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DieseArbeitsmappe"/>
  <bookViews>
    <workbookView xWindow="0" yWindow="0" windowWidth="24240" windowHeight="12435" activeTab="2"/>
  </bookViews>
  <sheets>
    <sheet name="Resultat souhaite" sheetId="28" r:id="rId1"/>
    <sheet name="Calculs" sheetId="9" r:id="rId2"/>
    <sheet name="Resultat" sheetId="31" r:id="rId3"/>
    <sheet name="Resultat_" sheetId="30" r:id="rId4"/>
    <sheet name="Data" sheetId="7" r:id="rId5"/>
    <sheet name="Liste" sheetId="3" r:id="rId6"/>
    <sheet name="Parametre" sheetId="1" r:id="rId7"/>
  </sheets>
  <definedNames>
    <definedName name="Oberbegriff">OFFSET(Liste!$D$4,,,27-COUNTBLANK(Liste!$D$4:$D$30))</definedName>
    <definedName name="Pro_Name">OFFSET(Liste!$A$2,,,100-COUNTBLANK(Liste!$A$1:$A$101))</definedName>
    <definedName name="Projektname">OFFSET(Data!$A$4,1,,COUNTA(Data!$A:$A)-2)</definedName>
    <definedName name="Projektname_ODW">OFFSET(Liste!$A$2,,,ROWS(Liste!$A:$A)-COUNTBLANK(Liste!$A:$A)-1)</definedName>
    <definedName name="Such_Log01">INDEX(Tab_DaBa[],MATCH(CONCATENATE(Liste!$C$3,Liste!$E$3,Liste!$F$3),Data!$BO:$BO,0)-2,18)</definedName>
    <definedName name="Such_Log02">INDEX(Tab_DaBa[],MATCH(CONCATENATE(Liste!$C$3,Liste!$E$3,Liste!$F$3),Data!$BO:$BO,0)-2,23)</definedName>
    <definedName name="Such_Log03">INDEX(Tab_DaBa[],MATCH(CONCATENATE(Liste!$C$3,Liste!$E$3,Liste!$F$3),Data!$BO:$BO,0)-2,28)</definedName>
    <definedName name="Such_Log04">INDEX(Tab_DaBa[],MATCH(CONCATENATE(Liste!$C$3,Liste!$E$3,Liste!$F$3),Data!$BO:$BO,0)-2,33)</definedName>
    <definedName name="Such_Log05">INDEX(Tab_DaBa[],MATCH(CONCATENATE(Liste!$C$3,Liste!$E$3,Liste!$F$3),Data!$BO:$BO,0)-2,38)</definedName>
    <definedName name="Such_Log06">INDEX(Tab_DaBa[],MATCH(CONCATENATE(Liste!$C$3,Liste!$E$3,Liste!$F$3),Data!$BO:$BO,0)-2,43)</definedName>
    <definedName name="Such_Log07">INDEX(Tab_DaBa[],MATCH(CONCATENATE(Liste!$C$3,Liste!$E$3,Liste!$F$3),Data!$BO:$BO,0)-2,48)</definedName>
    <definedName name="Such_Log08">INDEX(Tab_DaBa[],MATCH(CONCATENATE(Liste!$C$3,Liste!$E$3,Liste!$F$3),Data!$BO:$BO,0)-2,53)</definedName>
    <definedName name="Such_Log09">INDEX(Tab_DaBa[],MATCH(CONCATENATE(Liste!$C$3,Liste!$E$3,Liste!$F$3),Data!$BO:$BO,0)-2,58)</definedName>
    <definedName name="Such_Log10">INDEX(Tab_DaBa[],MATCH(CONCATENATE(Liste!$C$3,Liste!$E$3,Liste!$F$3),Data!$BO:$BO,0)-2,63)</definedName>
    <definedName name="Unterbegriff">OFFSET(Liste!$E$4,,,27-COUNTBLANK(Liste!$E$4:$E$30))</definedName>
    <definedName name="_xlnm.Print_Area" localSheetId="6">Parametre!$B$5:$I$30</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BO116" i="7"/>
  <c r="BP116"/>
  <c r="BO117"/>
  <c r="BP117"/>
  <c r="BO118"/>
  <c r="BP118"/>
  <c r="BO119"/>
  <c r="BP119"/>
  <c r="BO120"/>
  <c r="BP120"/>
  <c r="BO121"/>
  <c r="BP121"/>
  <c r="BO122"/>
  <c r="BP122"/>
  <c r="BO123"/>
  <c r="BP123"/>
  <c r="BO124"/>
  <c r="BP124"/>
  <c r="BO125"/>
  <c r="BP125"/>
  <c r="BO126"/>
  <c r="BP126"/>
  <c r="BO127"/>
  <c r="BP127"/>
  <c r="BO128"/>
  <c r="BP128"/>
  <c r="BO129"/>
  <c r="BP129"/>
  <c r="BO130"/>
  <c r="BP130"/>
  <c r="BO131"/>
  <c r="BP131"/>
  <c r="BO132"/>
  <c r="BP132"/>
  <c r="BO133"/>
  <c r="BP133"/>
  <c r="BO134"/>
  <c r="BP134"/>
  <c r="BO135"/>
  <c r="BP135"/>
  <c r="BO136"/>
  <c r="BP136"/>
  <c r="BO137"/>
  <c r="BP137"/>
  <c r="BO138"/>
  <c r="BP138"/>
  <c r="BO139"/>
  <c r="BP139"/>
  <c r="BO140"/>
  <c r="BP140"/>
  <c r="BO141"/>
  <c r="BP141"/>
  <c r="BO142"/>
  <c r="BP142"/>
  <c r="BO143"/>
  <c r="BP143"/>
  <c r="BO144"/>
  <c r="BP144"/>
  <c r="BO145"/>
  <c r="BP145"/>
  <c r="BO146"/>
  <c r="BP146"/>
  <c r="BO147"/>
  <c r="BP147"/>
  <c r="BO148"/>
  <c r="BP148"/>
  <c r="BO149"/>
  <c r="BP149"/>
  <c r="BO150"/>
  <c r="BP150"/>
  <c r="BO151"/>
  <c r="BP151"/>
  <c r="BO152"/>
  <c r="BP152"/>
  <c r="BO153"/>
  <c r="BP153"/>
  <c r="BO154"/>
  <c r="BP154"/>
  <c r="BO155"/>
  <c r="BP155"/>
  <c r="BO156"/>
  <c r="BP156"/>
  <c r="BO157"/>
  <c r="BP157"/>
  <c r="BO158"/>
  <c r="BP158"/>
  <c r="BO159"/>
  <c r="BP159"/>
  <c r="BO160"/>
  <c r="BP160"/>
  <c r="BO161"/>
  <c r="BP161"/>
  <c r="BO162"/>
  <c r="BP162"/>
  <c r="BO163"/>
  <c r="BP163"/>
  <c r="BO164"/>
  <c r="BP164"/>
  <c r="BO165"/>
  <c r="BP165"/>
  <c r="BO66"/>
  <c r="BP66"/>
  <c r="BO67"/>
  <c r="BP67"/>
  <c r="BO68"/>
  <c r="BP68"/>
  <c r="BO69"/>
  <c r="BP69"/>
  <c r="BO70"/>
  <c r="BP70"/>
  <c r="BO71"/>
  <c r="BP71"/>
  <c r="BO72"/>
  <c r="BP72"/>
  <c r="BO73"/>
  <c r="BP73"/>
  <c r="BO74"/>
  <c r="BP74"/>
  <c r="BO75"/>
  <c r="BP75"/>
  <c r="BO76"/>
  <c r="BP76"/>
  <c r="BO77"/>
  <c r="BP77"/>
  <c r="BO78"/>
  <c r="BP78"/>
  <c r="BO79"/>
  <c r="BP79"/>
  <c r="BO80"/>
  <c r="BP80"/>
  <c r="BO81"/>
  <c r="BP81"/>
  <c r="BO82"/>
  <c r="BP82"/>
  <c r="BO83"/>
  <c r="BP83"/>
  <c r="BO84"/>
  <c r="BP84"/>
  <c r="BO85"/>
  <c r="BP85"/>
  <c r="BO86"/>
  <c r="BP86"/>
  <c r="BO87"/>
  <c r="BP87"/>
  <c r="BO88"/>
  <c r="BP88"/>
  <c r="BO89"/>
  <c r="BP89"/>
  <c r="BO90"/>
  <c r="BP90"/>
  <c r="BO91"/>
  <c r="BP91"/>
  <c r="BO92"/>
  <c r="BP92"/>
  <c r="BO93"/>
  <c r="BP93"/>
  <c r="BO94"/>
  <c r="BP94"/>
  <c r="BO95"/>
  <c r="BP95"/>
  <c r="BO96"/>
  <c r="BP96"/>
  <c r="BO97"/>
  <c r="BP97"/>
  <c r="BO98"/>
  <c r="BP98"/>
  <c r="BO99"/>
  <c r="BP99"/>
  <c r="BO100"/>
  <c r="BP100"/>
  <c r="BO101"/>
  <c r="BP101"/>
  <c r="BO102"/>
  <c r="BP102"/>
  <c r="BO103"/>
  <c r="BP103"/>
  <c r="BO104"/>
  <c r="BP104"/>
  <c r="BO105"/>
  <c r="BP105"/>
  <c r="BO106"/>
  <c r="BP106"/>
  <c r="BO107"/>
  <c r="BP107"/>
  <c r="BO108"/>
  <c r="BP108"/>
  <c r="BO109"/>
  <c r="BP109"/>
  <c r="BO110"/>
  <c r="BP110"/>
  <c r="BO111"/>
  <c r="BP111"/>
  <c r="BO112"/>
  <c r="BP112"/>
  <c r="BO113"/>
  <c r="BP113"/>
  <c r="BO114"/>
  <c r="BP114"/>
  <c r="BO115"/>
  <c r="BP115"/>
  <c r="BO56"/>
  <c r="BP56"/>
  <c r="BO57"/>
  <c r="BP57"/>
  <c r="BO58"/>
  <c r="BP58"/>
  <c r="BO59"/>
  <c r="BP59"/>
  <c r="BO60"/>
  <c r="BP60"/>
  <c r="BO61"/>
  <c r="BP61"/>
  <c r="BO62"/>
  <c r="BP62"/>
  <c r="BO63"/>
  <c r="BP63"/>
  <c r="BO64"/>
  <c r="BP64"/>
  <c r="BO65"/>
  <c r="BP65"/>
  <c r="BO46"/>
  <c r="BP46"/>
  <c r="BO47"/>
  <c r="BP47"/>
  <c r="BO48"/>
  <c r="BP48"/>
  <c r="BO49"/>
  <c r="BP49"/>
  <c r="BO50"/>
  <c r="BP50"/>
  <c r="BO51"/>
  <c r="BP51"/>
  <c r="BO52"/>
  <c r="BP52"/>
  <c r="BO53"/>
  <c r="BP53"/>
  <c r="BO54"/>
  <c r="BP54"/>
  <c r="BO55"/>
  <c r="BP55"/>
  <c r="A3" i="3" a="1"/>
  <c r="A3" s="1"/>
  <c r="A4" a="1"/>
  <c r="A4" s="1"/>
  <c r="A5" a="1"/>
  <c r="A5" s="1"/>
  <c r="A6" a="1"/>
  <c r="A6" s="1"/>
  <c r="A7" a="1"/>
  <c r="A7" s="1"/>
  <c r="A8" a="1"/>
  <c r="A8" s="1"/>
  <c r="A9" a="1"/>
  <c r="A9" s="1"/>
  <c r="A10" a="1"/>
  <c r="A10" s="1"/>
  <c r="A11" a="1"/>
  <c r="A11" s="1"/>
  <c r="A12" a="1"/>
  <c r="A12" s="1"/>
  <c r="A13" a="1"/>
  <c r="A13" s="1"/>
  <c r="A14" a="1"/>
  <c r="A14" s="1"/>
  <c r="A15" a="1"/>
  <c r="A15" s="1"/>
  <c r="A16" a="1"/>
  <c r="A16" s="1"/>
  <c r="A17" a="1"/>
  <c r="A17" s="1"/>
  <c r="A18" a="1"/>
  <c r="A18" s="1"/>
  <c r="A19" a="1"/>
  <c r="A19" s="1"/>
  <c r="A20" a="1"/>
  <c r="A20" s="1"/>
  <c r="A21" a="1"/>
  <c r="A21" s="1"/>
  <c r="A22" a="1"/>
  <c r="A22" s="1"/>
  <c r="A23" a="1"/>
  <c r="A23" s="1"/>
  <c r="A24" a="1"/>
  <c r="A24" s="1"/>
  <c r="A25" a="1"/>
  <c r="A25" s="1"/>
  <c r="A26" a="1"/>
  <c r="A26" s="1"/>
  <c r="A27" a="1"/>
  <c r="A27" s="1"/>
  <c r="A28" a="1"/>
  <c r="A28" s="1"/>
  <c r="A29" a="1"/>
  <c r="A29" s="1"/>
  <c r="A30" a="1"/>
  <c r="A30" s="1"/>
  <c r="A31" a="1"/>
  <c r="A31" s="1"/>
  <c r="A32" a="1"/>
  <c r="A32" s="1"/>
  <c r="A33" a="1"/>
  <c r="A33" s="1"/>
  <c r="A34" a="1"/>
  <c r="A34" s="1"/>
  <c r="A35" a="1"/>
  <c r="A35" s="1"/>
  <c r="A36" a="1"/>
  <c r="A36" s="1"/>
  <c r="A37" a="1"/>
  <c r="A37" s="1"/>
  <c r="A38" a="1"/>
  <c r="A38" s="1"/>
  <c r="A39" a="1"/>
  <c r="A39" s="1"/>
  <c r="A40" a="1"/>
  <c r="A40" s="1"/>
  <c r="A41" a="1"/>
  <c r="A41" s="1"/>
  <c r="A42" a="1"/>
  <c r="A42" s="1"/>
  <c r="A43" a="1"/>
  <c r="A43" s="1"/>
  <c r="A44" a="1"/>
  <c r="A44" s="1"/>
  <c r="A45" a="1"/>
  <c r="A45" s="1"/>
  <c r="A46" a="1"/>
  <c r="A46" s="1"/>
  <c r="A47" a="1"/>
  <c r="A47" s="1"/>
  <c r="A48" a="1"/>
  <c r="A48" s="1"/>
  <c r="A49" a="1"/>
  <c r="A49" s="1"/>
  <c r="A50" a="1"/>
  <c r="A50" s="1"/>
  <c r="A51" a="1"/>
  <c r="A51" s="1"/>
  <c r="A52" a="1"/>
  <c r="A52" s="1"/>
  <c r="A53" a="1"/>
  <c r="A53" s="1"/>
  <c r="A54" a="1"/>
  <c r="A54" s="1"/>
  <c r="A55" a="1"/>
  <c r="A55" s="1"/>
  <c r="A56" a="1"/>
  <c r="A56" s="1"/>
  <c r="A57" a="1"/>
  <c r="A57" s="1"/>
  <c r="A58" a="1"/>
  <c r="A58" s="1"/>
  <c r="A59" a="1"/>
  <c r="A59" s="1"/>
  <c r="A60" a="1"/>
  <c r="A60" s="1"/>
  <c r="A61" a="1"/>
  <c r="A61" s="1"/>
  <c r="A62" a="1"/>
  <c r="A62" s="1"/>
  <c r="A63" a="1"/>
  <c r="A63" s="1"/>
  <c r="A64" a="1"/>
  <c r="A64" s="1"/>
  <c r="A65" a="1"/>
  <c r="A65" s="1"/>
  <c r="A66" a="1"/>
  <c r="A66" s="1"/>
  <c r="A67" a="1"/>
  <c r="A67" s="1"/>
  <c r="A68" a="1"/>
  <c r="A68" s="1"/>
  <c r="A69" a="1"/>
  <c r="A69" s="1"/>
  <c r="A70" a="1"/>
  <c r="A70" s="1"/>
  <c r="A71" a="1"/>
  <c r="A71" s="1"/>
  <c r="A72" a="1"/>
  <c r="A72" s="1"/>
  <c r="A73" a="1"/>
  <c r="A73" s="1"/>
  <c r="A74" a="1"/>
  <c r="A74" s="1"/>
  <c r="A75" a="1"/>
  <c r="A75" s="1"/>
  <c r="A76" a="1"/>
  <c r="A76" s="1"/>
  <c r="A77" a="1"/>
  <c r="A77" s="1"/>
  <c r="A78" a="1"/>
  <c r="A78" s="1"/>
  <c r="A79" a="1"/>
  <c r="A79" s="1"/>
  <c r="A80" a="1"/>
  <c r="A80" s="1"/>
  <c r="A81" a="1"/>
  <c r="A81" s="1"/>
  <c r="A82" a="1"/>
  <c r="A82" s="1"/>
  <c r="A83" a="1"/>
  <c r="A83" s="1"/>
  <c r="A84" a="1"/>
  <c r="A84" s="1"/>
  <c r="A85" a="1"/>
  <c r="A85" s="1"/>
  <c r="A86" a="1"/>
  <c r="A86" s="1"/>
  <c r="A87" a="1"/>
  <c r="A87" s="1"/>
  <c r="A88" a="1"/>
  <c r="A88" s="1"/>
  <c r="A89" a="1"/>
  <c r="A89" s="1"/>
  <c r="A90" a="1"/>
  <c r="A90" s="1"/>
  <c r="A91" a="1"/>
  <c r="A91" s="1"/>
  <c r="A92" a="1"/>
  <c r="A92" s="1"/>
  <c r="A93" a="1"/>
  <c r="A93" s="1"/>
  <c r="A94" a="1"/>
  <c r="A94" s="1"/>
  <c r="A95" a="1"/>
  <c r="A95" s="1"/>
  <c r="A96" a="1"/>
  <c r="A96" s="1"/>
  <c r="A97" a="1"/>
  <c r="A97" s="1"/>
  <c r="A98" a="1"/>
  <c r="A98" s="1"/>
  <c r="A99" a="1"/>
  <c r="A99" s="1"/>
  <c r="A100" a="1"/>
  <c r="A100" s="1"/>
  <c r="A101" a="1"/>
  <c r="A101" s="1"/>
  <c r="A102" a="1"/>
  <c r="A102" s="1"/>
  <c r="A103" a="1"/>
  <c r="A103" s="1"/>
  <c r="A104" a="1"/>
  <c r="A104" s="1"/>
  <c r="A105" a="1"/>
  <c r="A105" s="1"/>
  <c r="A106" a="1"/>
  <c r="A106" s="1"/>
  <c r="A107" a="1"/>
  <c r="A107" s="1"/>
  <c r="A108" a="1"/>
  <c r="A108" s="1"/>
  <c r="A109" a="1"/>
  <c r="A109" s="1"/>
  <c r="A110" a="1"/>
  <c r="A110" s="1"/>
  <c r="A111" a="1"/>
  <c r="A111" s="1"/>
  <c r="A112" a="1"/>
  <c r="A112" s="1"/>
  <c r="A113" a="1"/>
  <c r="A113" s="1"/>
  <c r="A114" a="1"/>
  <c r="A114" s="1"/>
  <c r="A115" a="1"/>
  <c r="A115" s="1"/>
  <c r="A116" a="1"/>
  <c r="A116" s="1"/>
  <c r="A117" a="1"/>
  <c r="A117" s="1"/>
  <c r="A118" a="1"/>
  <c r="A118" s="1"/>
  <c r="A119" a="1"/>
  <c r="A119" s="1"/>
  <c r="A120" a="1"/>
  <c r="A120" s="1"/>
  <c r="A121" a="1"/>
  <c r="A121" s="1"/>
  <c r="A122" a="1"/>
  <c r="A122" s="1"/>
  <c r="A123" a="1"/>
  <c r="A123" s="1"/>
  <c r="A124" a="1"/>
  <c r="A124" s="1"/>
  <c r="A125" a="1"/>
  <c r="A125" s="1"/>
  <c r="A126" a="1"/>
  <c r="A126" s="1"/>
  <c r="A127" a="1"/>
  <c r="A127" s="1"/>
  <c r="A128" a="1"/>
  <c r="A128" s="1"/>
  <c r="A129" a="1"/>
  <c r="A129" s="1"/>
  <c r="A130" a="1"/>
  <c r="A130" s="1"/>
  <c r="A131" a="1"/>
  <c r="A131" s="1"/>
  <c r="A132" a="1"/>
  <c r="A132" s="1"/>
  <c r="A133" a="1"/>
  <c r="A133" s="1"/>
  <c r="A134" a="1"/>
  <c r="A134" s="1"/>
  <c r="A135" a="1"/>
  <c r="A135" s="1"/>
  <c r="A136" a="1"/>
  <c r="A136" s="1"/>
  <c r="A137" a="1"/>
  <c r="A137" s="1"/>
  <c r="A138" a="1"/>
  <c r="A138" s="1"/>
  <c r="A139" a="1"/>
  <c r="A139" s="1"/>
  <c r="A140" a="1"/>
  <c r="A140" s="1"/>
  <c r="A141" a="1"/>
  <c r="A141" s="1"/>
  <c r="A142" a="1"/>
  <c r="A142" s="1"/>
  <c r="A143" a="1"/>
  <c r="A143" s="1"/>
  <c r="A144" a="1"/>
  <c r="A144" s="1"/>
  <c r="A145" a="1"/>
  <c r="A145" s="1"/>
  <c r="A146" a="1"/>
  <c r="A146" s="1"/>
  <c r="A147" a="1"/>
  <c r="A147" s="1"/>
  <c r="A148" a="1"/>
  <c r="A148" s="1"/>
  <c r="A149" a="1"/>
  <c r="A149" s="1"/>
  <c r="A150" a="1"/>
  <c r="A150" s="1"/>
  <c r="A151" a="1"/>
  <c r="A151" s="1"/>
  <c r="A152" a="1"/>
  <c r="A152" s="1"/>
  <c r="A153" a="1"/>
  <c r="A153" s="1"/>
  <c r="A154" a="1"/>
  <c r="A154" s="1"/>
  <c r="A155" a="1"/>
  <c r="A155" s="1"/>
  <c r="A156" a="1"/>
  <c r="A156" s="1"/>
  <c r="A157" a="1"/>
  <c r="A157" s="1"/>
  <c r="A158" a="1"/>
  <c r="A158" s="1"/>
  <c r="A159" a="1"/>
  <c r="A159" s="1"/>
  <c r="A160" a="1"/>
  <c r="A160" s="1"/>
  <c r="A161" a="1"/>
  <c r="A161" s="1"/>
  <c r="A162" a="1"/>
  <c r="A162" s="1"/>
  <c r="A163" a="1"/>
  <c r="A163" s="1"/>
  <c r="A164" a="1"/>
  <c r="A164" s="1"/>
  <c r="A165" a="1"/>
  <c r="A165" s="1"/>
  <c r="A166" a="1"/>
  <c r="A166" s="1"/>
  <c r="A167" a="1"/>
  <c r="A167" s="1"/>
  <c r="A168" a="1"/>
  <c r="A168" s="1"/>
  <c r="A169" a="1"/>
  <c r="A169" s="1"/>
  <c r="A170" a="1"/>
  <c r="A170" s="1"/>
  <c r="A171" a="1"/>
  <c r="A171" s="1"/>
  <c r="A172" a="1"/>
  <c r="A172" s="1"/>
  <c r="A173" a="1"/>
  <c r="A173" s="1"/>
  <c r="A174" a="1"/>
  <c r="A174" s="1"/>
  <c r="A175" a="1"/>
  <c r="A175" s="1"/>
  <c r="A176" a="1"/>
  <c r="A176" s="1"/>
  <c r="A177" a="1"/>
  <c r="A177" s="1"/>
  <c r="A178" a="1"/>
  <c r="A178" s="1"/>
  <c r="A179" a="1"/>
  <c r="A179" s="1"/>
  <c r="A180" a="1"/>
  <c r="A180" s="1"/>
  <c r="A181" a="1"/>
  <c r="A181" s="1"/>
  <c r="A182" a="1"/>
  <c r="A182" s="1"/>
  <c r="A183" a="1"/>
  <c r="A183" s="1"/>
  <c r="A184" a="1"/>
  <c r="A184" s="1"/>
  <c r="A185" a="1"/>
  <c r="A185" s="1"/>
  <c r="A186" a="1"/>
  <c r="A186" s="1"/>
  <c r="A187" a="1"/>
  <c r="A187" s="1"/>
  <c r="A188" a="1"/>
  <c r="A188" s="1"/>
  <c r="A189" a="1"/>
  <c r="A189" s="1"/>
  <c r="A190" a="1"/>
  <c r="A190" s="1"/>
  <c r="A191" a="1"/>
  <c r="A191" s="1"/>
  <c r="A192" a="1"/>
  <c r="A192" s="1"/>
  <c r="A193" a="1"/>
  <c r="A193" s="1"/>
  <c r="A194" a="1"/>
  <c r="A194" s="1"/>
  <c r="A195" a="1"/>
  <c r="A195" s="1"/>
  <c r="A196" a="1"/>
  <c r="A196" s="1"/>
  <c r="A197" a="1"/>
  <c r="A197" s="1"/>
  <c r="A198" a="1"/>
  <c r="A198" s="1"/>
  <c r="A199" a="1"/>
  <c r="A199" s="1"/>
  <c r="A200" a="1"/>
  <c r="A200" s="1"/>
  <c r="A201" a="1"/>
  <c r="A201" s="1"/>
  <c r="A202" a="1"/>
  <c r="A202" s="1"/>
  <c r="A203" a="1"/>
  <c r="A203" s="1"/>
  <c r="A204" a="1"/>
  <c r="A204" s="1"/>
  <c r="A205" a="1"/>
  <c r="A205" s="1"/>
  <c r="A206" a="1"/>
  <c r="A206" s="1"/>
  <c r="A207" a="1"/>
  <c r="A207" s="1"/>
  <c r="A208" a="1"/>
  <c r="A208" s="1"/>
  <c r="A209" a="1"/>
  <c r="A209" s="1"/>
  <c r="A210" a="1"/>
  <c r="A210" s="1"/>
  <c r="A211" a="1"/>
  <c r="A211" s="1"/>
  <c r="A212" a="1"/>
  <c r="A212" s="1"/>
  <c r="A213" a="1"/>
  <c r="A213" s="1"/>
  <c r="A214" a="1"/>
  <c r="A214" s="1"/>
  <c r="A215" a="1"/>
  <c r="A215" s="1"/>
  <c r="A216" a="1"/>
  <c r="A216" s="1"/>
  <c r="A217" a="1"/>
  <c r="A217" s="1"/>
  <c r="A218" a="1"/>
  <c r="A218" s="1"/>
  <c r="A219" a="1"/>
  <c r="A219" s="1"/>
  <c r="A220" a="1"/>
  <c r="A220" s="1"/>
  <c r="A221" a="1"/>
  <c r="A221" s="1"/>
  <c r="A222" a="1"/>
  <c r="A222" s="1"/>
  <c r="A223" a="1"/>
  <c r="A223" s="1"/>
  <c r="A224" a="1"/>
  <c r="A224" s="1"/>
  <c r="A225" a="1"/>
  <c r="A225" s="1"/>
  <c r="A226" a="1"/>
  <c r="A226" s="1"/>
  <c r="A227" a="1"/>
  <c r="A227" s="1"/>
  <c r="A228" a="1"/>
  <c r="A228" s="1"/>
  <c r="A229" a="1"/>
  <c r="A229" s="1"/>
  <c r="A230" a="1"/>
  <c r="A230" s="1"/>
  <c r="A231" a="1"/>
  <c r="A231" s="1"/>
  <c r="A232" a="1"/>
  <c r="A232" s="1"/>
  <c r="A233" a="1"/>
  <c r="A233" s="1"/>
  <c r="A234" a="1"/>
  <c r="A234" s="1"/>
  <c r="A235" a="1"/>
  <c r="A235" s="1"/>
  <c r="A236" a="1"/>
  <c r="A236" s="1"/>
  <c r="A237" a="1"/>
  <c r="A237" s="1"/>
  <c r="A238" a="1"/>
  <c r="A238" s="1"/>
  <c r="A239" a="1"/>
  <c r="A239" s="1"/>
  <c r="A240" a="1"/>
  <c r="A240" s="1"/>
  <c r="A241" a="1"/>
  <c r="A241" s="1"/>
  <c r="A242" a="1"/>
  <c r="A242" s="1"/>
  <c r="A243" a="1"/>
  <c r="A243" s="1"/>
  <c r="A244" a="1"/>
  <c r="A244" s="1"/>
  <c r="A245" a="1"/>
  <c r="A245" s="1"/>
  <c r="A246" a="1"/>
  <c r="A246" s="1"/>
  <c r="A247" a="1"/>
  <c r="A247" s="1"/>
  <c r="A248" a="1"/>
  <c r="A248" s="1"/>
  <c r="A249" a="1"/>
  <c r="A249" s="1"/>
  <c r="A250" a="1"/>
  <c r="A250" s="1"/>
  <c r="A251" a="1"/>
  <c r="A251" s="1"/>
  <c r="A252" a="1"/>
  <c r="A252" s="1"/>
  <c r="A253" a="1"/>
  <c r="A253" s="1"/>
  <c r="A254" a="1"/>
  <c r="A254" s="1"/>
  <c r="A255" a="1"/>
  <c r="A255" s="1"/>
  <c r="A256" a="1"/>
  <c r="A256" s="1"/>
  <c r="A257" a="1"/>
  <c r="A257" s="1"/>
  <c r="A258" a="1"/>
  <c r="A258" s="1"/>
  <c r="A259" a="1"/>
  <c r="A259" s="1"/>
  <c r="A260" a="1"/>
  <c r="A260" s="1"/>
  <c r="A261" a="1"/>
  <c r="A261" s="1"/>
  <c r="A262" a="1"/>
  <c r="A262" s="1"/>
  <c r="A263" a="1"/>
  <c r="A263" s="1"/>
  <c r="A264" a="1"/>
  <c r="A264" s="1"/>
  <c r="A265" a="1"/>
  <c r="A265" s="1"/>
  <c r="A266" a="1"/>
  <c r="A266" s="1"/>
  <c r="A267" a="1"/>
  <c r="A267" s="1"/>
  <c r="A268" a="1"/>
  <c r="A268" s="1"/>
  <c r="A269" a="1"/>
  <c r="A269" s="1"/>
  <c r="A270" a="1"/>
  <c r="A270" s="1"/>
  <c r="A271" a="1"/>
  <c r="A271" s="1"/>
  <c r="A272" a="1"/>
  <c r="A272" s="1"/>
  <c r="A273" a="1"/>
  <c r="A273" s="1"/>
  <c r="A274" a="1"/>
  <c r="A274" s="1"/>
  <c r="A275" a="1"/>
  <c r="A275" s="1"/>
  <c r="A276" a="1"/>
  <c r="A276" s="1"/>
  <c r="A277" a="1"/>
  <c r="A277" s="1"/>
  <c r="A278" a="1"/>
  <c r="A278" s="1"/>
  <c r="A279" a="1"/>
  <c r="A279" s="1"/>
  <c r="A280" a="1"/>
  <c r="A280" s="1"/>
  <c r="A281" a="1"/>
  <c r="A281" s="1"/>
  <c r="A282" a="1"/>
  <c r="A282" s="1"/>
  <c r="A283" a="1"/>
  <c r="A283" s="1"/>
  <c r="A284" a="1"/>
  <c r="A284" s="1"/>
  <c r="A285" a="1"/>
  <c r="A285" s="1"/>
  <c r="A286" a="1"/>
  <c r="A286" s="1"/>
  <c r="A287" a="1"/>
  <c r="A287" s="1"/>
  <c r="A288" a="1"/>
  <c r="A288" s="1"/>
  <c r="A289" a="1"/>
  <c r="A289" s="1"/>
  <c r="A290" a="1"/>
  <c r="A290" s="1"/>
  <c r="A291" a="1"/>
  <c r="A291" s="1"/>
  <c r="A292" a="1"/>
  <c r="A292" s="1"/>
  <c r="A293" a="1"/>
  <c r="A293" s="1"/>
  <c r="A294" a="1"/>
  <c r="A294" s="1"/>
  <c r="A295" a="1"/>
  <c r="A295" s="1"/>
  <c r="A296" a="1"/>
  <c r="A296" s="1"/>
  <c r="A297" a="1"/>
  <c r="A297" s="1"/>
  <c r="A298" a="1"/>
  <c r="A298" s="1"/>
  <c r="A299" a="1"/>
  <c r="A299" s="1"/>
  <c r="A300" a="1"/>
  <c r="A300" s="1"/>
  <c r="A301" a="1"/>
  <c r="A301" s="1"/>
  <c r="A302" a="1"/>
  <c r="A302" s="1"/>
  <c r="A303" a="1"/>
  <c r="A303" s="1"/>
  <c r="A304" a="1"/>
  <c r="A304" s="1"/>
  <c r="A305" a="1"/>
  <c r="A305" s="1"/>
  <c r="A306" a="1"/>
  <c r="A306" s="1"/>
  <c r="A307" a="1"/>
  <c r="A307" s="1"/>
  <c r="A308" a="1"/>
  <c r="A308" s="1"/>
  <c r="A309" a="1"/>
  <c r="A309" s="1"/>
  <c r="A310" a="1"/>
  <c r="A310" s="1"/>
  <c r="A311" a="1"/>
  <c r="A311" s="1"/>
  <c r="A312" a="1"/>
  <c r="A312" s="1"/>
  <c r="A313" a="1"/>
  <c r="A313" s="1"/>
  <c r="A314" a="1"/>
  <c r="A314" s="1"/>
  <c r="A315" a="1"/>
  <c r="A315" s="1"/>
  <c r="A316" a="1"/>
  <c r="A316" s="1"/>
  <c r="A317" a="1"/>
  <c r="A317" s="1"/>
  <c r="A318" a="1"/>
  <c r="A318" s="1"/>
  <c r="A319" a="1"/>
  <c r="A319" s="1"/>
  <c r="A320" a="1"/>
  <c r="A320" s="1"/>
  <c r="A321" a="1"/>
  <c r="A321" s="1"/>
  <c r="A322" a="1"/>
  <c r="A322" s="1"/>
  <c r="A323" a="1"/>
  <c r="A323" s="1"/>
  <c r="A324" a="1"/>
  <c r="A324" s="1"/>
  <c r="A325" a="1"/>
  <c r="A325" s="1"/>
  <c r="A326" a="1"/>
  <c r="A326" s="1"/>
  <c r="A327" a="1"/>
  <c r="A327" s="1"/>
  <c r="A328" a="1"/>
  <c r="A328" s="1"/>
  <c r="A329" a="1"/>
  <c r="A329" s="1"/>
  <c r="A330" a="1"/>
  <c r="A330" s="1"/>
  <c r="A331" a="1"/>
  <c r="A331" s="1"/>
  <c r="A332" a="1"/>
  <c r="A332" s="1"/>
  <c r="A333" a="1"/>
  <c r="A333" s="1"/>
  <c r="A334" a="1"/>
  <c r="A334" s="1"/>
  <c r="A335" a="1"/>
  <c r="A335" s="1"/>
  <c r="A336" a="1"/>
  <c r="A336" s="1"/>
  <c r="A337" a="1"/>
  <c r="A337" s="1"/>
  <c r="A338" a="1"/>
  <c r="A338" s="1"/>
  <c r="A339" a="1"/>
  <c r="A339" s="1"/>
  <c r="A340" a="1"/>
  <c r="A340" s="1"/>
  <c r="A341" a="1"/>
  <c r="A341" s="1"/>
  <c r="A342" a="1"/>
  <c r="A342" s="1"/>
  <c r="A343" a="1"/>
  <c r="A343" s="1"/>
  <c r="A344" a="1"/>
  <c r="A344" s="1"/>
  <c r="A345" a="1"/>
  <c r="A345" s="1"/>
  <c r="A346" a="1"/>
  <c r="A346" s="1"/>
  <c r="A347" a="1"/>
  <c r="A347" s="1"/>
  <c r="A348" a="1"/>
  <c r="A348" s="1"/>
  <c r="A349" a="1"/>
  <c r="A349" s="1"/>
  <c r="A350" a="1"/>
  <c r="A350" s="1"/>
  <c r="A351" a="1"/>
  <c r="A351" s="1"/>
  <c r="A352" a="1"/>
  <c r="A352" s="1"/>
  <c r="A353" a="1"/>
  <c r="A353" s="1"/>
  <c r="A354" a="1"/>
  <c r="A354" s="1"/>
  <c r="A355" a="1"/>
  <c r="A355" s="1"/>
  <c r="A356" a="1"/>
  <c r="A356" s="1"/>
  <c r="A357" a="1"/>
  <c r="A357" s="1"/>
  <c r="A358" a="1"/>
  <c r="A358" s="1"/>
  <c r="A359" a="1"/>
  <c r="A359" s="1"/>
  <c r="A360" a="1"/>
  <c r="A360" s="1"/>
  <c r="A361" a="1"/>
  <c r="A361" s="1"/>
  <c r="A362" a="1"/>
  <c r="A362" s="1"/>
  <c r="A363" a="1"/>
  <c r="A363" s="1"/>
  <c r="A364" a="1"/>
  <c r="A364" s="1"/>
  <c r="A365" a="1"/>
  <c r="A365" s="1"/>
  <c r="A366" a="1"/>
  <c r="A366" s="1"/>
  <c r="A367" a="1"/>
  <c r="A367" s="1"/>
  <c r="A368" a="1"/>
  <c r="A368" s="1"/>
  <c r="A369" a="1"/>
  <c r="A369" s="1"/>
  <c r="A370" a="1"/>
  <c r="A370" s="1"/>
  <c r="A371" a="1"/>
  <c r="A371" s="1"/>
  <c r="A372" a="1"/>
  <c r="A372" s="1"/>
  <c r="A373" a="1"/>
  <c r="A373" s="1"/>
  <c r="A374" a="1"/>
  <c r="A374" s="1"/>
  <c r="A375" a="1"/>
  <c r="A375" s="1"/>
  <c r="A376" a="1"/>
  <c r="A376" s="1"/>
  <c r="A377" a="1"/>
  <c r="A377" s="1"/>
  <c r="A378" a="1"/>
  <c r="A378" s="1"/>
  <c r="A379" a="1"/>
  <c r="A379" s="1"/>
  <c r="A380" a="1"/>
  <c r="A380" s="1"/>
  <c r="A381" a="1"/>
  <c r="A381" s="1"/>
  <c r="A382" a="1"/>
  <c r="A382" s="1"/>
  <c r="A383" a="1"/>
  <c r="A383" s="1"/>
  <c r="A384" a="1"/>
  <c r="A384" s="1"/>
  <c r="A385" a="1"/>
  <c r="A385" s="1"/>
  <c r="A386" a="1"/>
  <c r="A386" s="1"/>
  <c r="A387" a="1"/>
  <c r="A387" s="1"/>
  <c r="A388" a="1"/>
  <c r="A388" s="1"/>
  <c r="A389" a="1"/>
  <c r="A389" s="1"/>
  <c r="A390" a="1"/>
  <c r="A390" s="1"/>
  <c r="A391" a="1"/>
  <c r="A391" s="1"/>
  <c r="A392" a="1"/>
  <c r="A392" s="1"/>
  <c r="A393" a="1"/>
  <c r="A393" s="1"/>
  <c r="A394" a="1"/>
  <c r="A394" s="1"/>
  <c r="A395" a="1"/>
  <c r="A395" s="1"/>
  <c r="A396" a="1"/>
  <c r="A396" s="1"/>
  <c r="A397" a="1"/>
  <c r="A397" s="1"/>
  <c r="A398" a="1"/>
  <c r="A398" s="1"/>
  <c r="A399" a="1"/>
  <c r="A399" s="1"/>
  <c r="A400" a="1"/>
  <c r="A400" s="1"/>
  <c r="A401" a="1"/>
  <c r="A401" s="1"/>
  <c r="A402" a="1"/>
  <c r="A402" s="1"/>
  <c r="A403" a="1"/>
  <c r="A403" s="1"/>
  <c r="A404" a="1"/>
  <c r="A404" s="1"/>
  <c r="A405" a="1"/>
  <c r="A405" s="1"/>
  <c r="A406" a="1"/>
  <c r="A406" s="1"/>
  <c r="A407" a="1"/>
  <c r="A407" s="1"/>
  <c r="A408" a="1"/>
  <c r="A408" s="1"/>
  <c r="A409" a="1"/>
  <c r="A409" s="1"/>
  <c r="A410" a="1"/>
  <c r="A410" s="1"/>
  <c r="A411" a="1"/>
  <c r="A411" s="1"/>
  <c r="A412" a="1"/>
  <c r="A412" s="1"/>
  <c r="A413" a="1"/>
  <c r="A413" s="1"/>
  <c r="A414" a="1"/>
  <c r="A414" s="1"/>
  <c r="A415" a="1"/>
  <c r="A415" s="1"/>
  <c r="A416" a="1"/>
  <c r="A416" s="1"/>
  <c r="A417" a="1"/>
  <c r="A417" s="1"/>
  <c r="A418" a="1"/>
  <c r="A418" s="1"/>
  <c r="A419" a="1"/>
  <c r="A419" s="1"/>
  <c r="A420" a="1"/>
  <c r="A420" s="1"/>
  <c r="A421" a="1"/>
  <c r="A421" s="1"/>
  <c r="A422" a="1"/>
  <c r="A422" s="1"/>
  <c r="A423" a="1"/>
  <c r="A423" s="1"/>
  <c r="A424" a="1"/>
  <c r="A424" s="1"/>
  <c r="A425" a="1"/>
  <c r="A425" s="1"/>
  <c r="A426" a="1"/>
  <c r="A426" s="1"/>
  <c r="A427" a="1"/>
  <c r="A427" s="1"/>
  <c r="A428" a="1"/>
  <c r="A428" s="1"/>
  <c r="A429" a="1"/>
  <c r="A429" s="1"/>
  <c r="A430" a="1"/>
  <c r="A430" s="1"/>
  <c r="A431" a="1"/>
  <c r="A431" s="1"/>
  <c r="A432" a="1"/>
  <c r="A432" s="1"/>
  <c r="A433" a="1"/>
  <c r="A433" s="1"/>
  <c r="A434" a="1"/>
  <c r="A434" s="1"/>
  <c r="A435" a="1"/>
  <c r="A435" s="1"/>
  <c r="A436" a="1"/>
  <c r="A436" s="1"/>
  <c r="A437" a="1"/>
  <c r="A437" s="1"/>
  <c r="A438" a="1"/>
  <c r="A438" s="1"/>
  <c r="A439" a="1"/>
  <c r="A439" s="1"/>
  <c r="A440" a="1"/>
  <c r="A440" s="1"/>
  <c r="A441" a="1"/>
  <c r="A441" s="1"/>
  <c r="A442" a="1"/>
  <c r="A442" s="1"/>
  <c r="A443" a="1"/>
  <c r="A443" s="1"/>
  <c r="A444" a="1"/>
  <c r="A444" s="1"/>
  <c r="A445" a="1"/>
  <c r="A445" s="1"/>
  <c r="A446" a="1"/>
  <c r="A446" s="1"/>
  <c r="A447" a="1"/>
  <c r="A447" s="1"/>
  <c r="A448" a="1"/>
  <c r="A448" s="1"/>
  <c r="A449" a="1"/>
  <c r="A449" s="1"/>
  <c r="A450" a="1"/>
  <c r="A450" s="1"/>
  <c r="A451" a="1"/>
  <c r="A451" s="1"/>
  <c r="A452" a="1"/>
  <c r="A452" s="1"/>
  <c r="A453" a="1"/>
  <c r="A453" s="1"/>
  <c r="A454" a="1"/>
  <c r="A454" s="1"/>
  <c r="A455" a="1"/>
  <c r="A455" s="1"/>
  <c r="A456" a="1"/>
  <c r="A456" s="1"/>
  <c r="A457" a="1"/>
  <c r="A457" s="1"/>
  <c r="A458" a="1"/>
  <c r="A458" s="1"/>
  <c r="A459" a="1"/>
  <c r="A459" s="1"/>
  <c r="A460" a="1"/>
  <c r="A460" s="1"/>
  <c r="A461" a="1"/>
  <c r="A461" s="1"/>
  <c r="A462" a="1"/>
  <c r="A462" s="1"/>
  <c r="A463" a="1"/>
  <c r="A463" s="1"/>
  <c r="A464" a="1"/>
  <c r="A464" s="1"/>
  <c r="A465" a="1"/>
  <c r="A465" s="1"/>
  <c r="A466" a="1"/>
  <c r="A466" s="1"/>
  <c r="A467" a="1"/>
  <c r="A467" s="1"/>
  <c r="A468" a="1"/>
  <c r="A468" s="1"/>
  <c r="A469" a="1"/>
  <c r="A469" s="1"/>
  <c r="A470" a="1"/>
  <c r="A470" s="1"/>
  <c r="A471" a="1"/>
  <c r="A471" s="1"/>
  <c r="A472" a="1"/>
  <c r="A472" s="1"/>
  <c r="A473" a="1"/>
  <c r="A473" s="1"/>
  <c r="A474" a="1"/>
  <c r="A474" s="1"/>
  <c r="A475" a="1"/>
  <c r="A475" s="1"/>
  <c r="A476" a="1"/>
  <c r="A476" s="1"/>
  <c r="A477" a="1"/>
  <c r="A477" s="1"/>
  <c r="A478" a="1"/>
  <c r="A478" s="1"/>
  <c r="A479" a="1"/>
  <c r="A479" s="1"/>
  <c r="A480" a="1"/>
  <c r="A480" s="1"/>
  <c r="A481" a="1"/>
  <c r="A481" s="1"/>
  <c r="A482" a="1"/>
  <c r="A482" s="1"/>
  <c r="A483" a="1"/>
  <c r="A483" s="1"/>
  <c r="A484" a="1"/>
  <c r="A484" s="1"/>
  <c r="A485" a="1"/>
  <c r="A485" s="1"/>
  <c r="A486" a="1"/>
  <c r="A486" s="1"/>
  <c r="A487" a="1"/>
  <c r="A487" s="1"/>
  <c r="A488" a="1"/>
  <c r="A488" s="1"/>
  <c r="A489" a="1"/>
  <c r="A489" s="1"/>
  <c r="A490" a="1"/>
  <c r="A490" s="1"/>
  <c r="A491" a="1"/>
  <c r="A491" s="1"/>
  <c r="A492" a="1"/>
  <c r="A492" s="1"/>
  <c r="A493" a="1"/>
  <c r="A493" s="1"/>
  <c r="A494" a="1"/>
  <c r="A494" s="1"/>
  <c r="A495" a="1"/>
  <c r="A495" s="1"/>
  <c r="A496" a="1"/>
  <c r="A496" s="1"/>
  <c r="A497" a="1"/>
  <c r="A497" s="1"/>
  <c r="A498" a="1"/>
  <c r="A498" s="1"/>
  <c r="A499" a="1"/>
  <c r="A499" s="1"/>
  <c r="A500" a="1"/>
  <c r="A500" s="1"/>
  <c r="A501" a="1"/>
  <c r="A501" s="1"/>
  <c r="A502" a="1"/>
  <c r="A502" s="1"/>
  <c r="A503" a="1"/>
  <c r="A503" s="1"/>
  <c r="A504" a="1"/>
  <c r="A504" s="1"/>
  <c r="A505" a="1"/>
  <c r="A505" s="1"/>
  <c r="A506" a="1"/>
  <c r="A506" s="1"/>
  <c r="A507" a="1"/>
  <c r="A507" s="1"/>
  <c r="A508" a="1"/>
  <c r="A508" s="1"/>
  <c r="A509" a="1"/>
  <c r="A509" s="1"/>
  <c r="A510" a="1"/>
  <c r="A510" s="1"/>
  <c r="A511" a="1"/>
  <c r="A511" s="1"/>
  <c r="A512" a="1"/>
  <c r="A512" s="1"/>
  <c r="A513" a="1"/>
  <c r="A513" s="1"/>
  <c r="A514" a="1"/>
  <c r="A514" s="1"/>
  <c r="A515" a="1"/>
  <c r="A515" s="1"/>
  <c r="A516" a="1"/>
  <c r="A516" s="1"/>
  <c r="A517" a="1"/>
  <c r="A517" s="1"/>
  <c r="A518" a="1"/>
  <c r="A518" s="1"/>
  <c r="A519" a="1"/>
  <c r="A519" s="1"/>
  <c r="A520" a="1"/>
  <c r="A520" s="1"/>
  <c r="A521" a="1"/>
  <c r="A521" s="1"/>
  <c r="A522" a="1"/>
  <c r="A522" s="1"/>
  <c r="A523" a="1"/>
  <c r="A523" s="1"/>
  <c r="A524" a="1"/>
  <c r="A524" s="1"/>
  <c r="A525" a="1"/>
  <c r="A525" s="1"/>
  <c r="A526" a="1"/>
  <c r="A526" s="1"/>
  <c r="A527" a="1"/>
  <c r="A527" s="1"/>
  <c r="A528" a="1"/>
  <c r="A528" s="1"/>
  <c r="A529" a="1"/>
  <c r="A529" s="1"/>
  <c r="A530" a="1"/>
  <c r="A530" s="1"/>
  <c r="A531" a="1"/>
  <c r="A531" s="1"/>
  <c r="A532" a="1"/>
  <c r="A532" s="1"/>
  <c r="A533" a="1"/>
  <c r="A533" s="1"/>
  <c r="A534" a="1"/>
  <c r="A534" s="1"/>
  <c r="A535" a="1"/>
  <c r="A535" s="1"/>
  <c r="A536" a="1"/>
  <c r="A536" s="1"/>
  <c r="A537" a="1"/>
  <c r="A537" s="1"/>
  <c r="A538" a="1"/>
  <c r="A538" s="1"/>
  <c r="A539" a="1"/>
  <c r="A539" s="1"/>
  <c r="A540" a="1"/>
  <c r="A540" s="1"/>
  <c r="A541" a="1"/>
  <c r="A541" s="1"/>
  <c r="A542" a="1"/>
  <c r="A542" s="1"/>
  <c r="A543" a="1"/>
  <c r="A543" s="1"/>
  <c r="A544" a="1"/>
  <c r="A544" s="1"/>
  <c r="A545" a="1"/>
  <c r="A545" s="1"/>
  <c r="A546" a="1"/>
  <c r="A546" s="1"/>
  <c r="A547" a="1"/>
  <c r="A547" s="1"/>
  <c r="A548" a="1"/>
  <c r="A548" s="1"/>
  <c r="A549" a="1"/>
  <c r="A549" s="1"/>
  <c r="A550" a="1"/>
  <c r="A550" s="1"/>
  <c r="A551" a="1"/>
  <c r="A551" s="1"/>
  <c r="A552" a="1"/>
  <c r="A552" s="1"/>
  <c r="A553" a="1"/>
  <c r="A553" s="1"/>
  <c r="A554" a="1"/>
  <c r="A554" s="1"/>
  <c r="A555" a="1"/>
  <c r="A555" s="1"/>
  <c r="A556" a="1"/>
  <c r="A556" s="1"/>
  <c r="A557" a="1"/>
  <c r="A557" s="1"/>
  <c r="A558" a="1"/>
  <c r="A558" s="1"/>
  <c r="A559" a="1"/>
  <c r="A559" s="1"/>
  <c r="A560" a="1"/>
  <c r="A560" s="1"/>
  <c r="A561" a="1"/>
  <c r="A561" s="1"/>
  <c r="A562" a="1"/>
  <c r="A562" s="1"/>
  <c r="A563" a="1"/>
  <c r="A563" s="1"/>
  <c r="A564" a="1"/>
  <c r="A564" s="1"/>
  <c r="A565" a="1"/>
  <c r="A565" s="1"/>
  <c r="A566" a="1"/>
  <c r="A566" s="1"/>
  <c r="A567" a="1"/>
  <c r="A567" s="1"/>
  <c r="A568" a="1"/>
  <c r="A568" s="1"/>
  <c r="A569" a="1"/>
  <c r="A569" s="1"/>
  <c r="A570" a="1"/>
  <c r="A570" s="1"/>
  <c r="A571" a="1"/>
  <c r="A571" s="1"/>
  <c r="A572" a="1"/>
  <c r="A572" s="1"/>
  <c r="A573" a="1"/>
  <c r="A573" s="1"/>
  <c r="A574" a="1"/>
  <c r="A574" s="1"/>
  <c r="A575" a="1"/>
  <c r="A575" s="1"/>
  <c r="A576" a="1"/>
  <c r="A576" s="1"/>
  <c r="A577" a="1"/>
  <c r="A577" s="1"/>
  <c r="A578" a="1"/>
  <c r="A578" s="1"/>
  <c r="A579" a="1"/>
  <c r="A579" s="1"/>
  <c r="A580" a="1"/>
  <c r="A580" s="1"/>
  <c r="A581" a="1"/>
  <c r="A581" s="1"/>
  <c r="A582" a="1"/>
  <c r="A582" s="1"/>
  <c r="A583" a="1"/>
  <c r="A583" s="1"/>
  <c r="A584" a="1"/>
  <c r="A584" s="1"/>
  <c r="A585" a="1"/>
  <c r="A585" s="1"/>
  <c r="A586" a="1"/>
  <c r="A586" s="1"/>
  <c r="A587" a="1"/>
  <c r="A587" s="1"/>
  <c r="A588" a="1"/>
  <c r="A588" s="1"/>
  <c r="A589" a="1"/>
  <c r="A589" s="1"/>
  <c r="A590" a="1"/>
  <c r="A590" s="1"/>
  <c r="A591" a="1"/>
  <c r="A591" s="1"/>
  <c r="A592" a="1"/>
  <c r="A592" s="1"/>
  <c r="A593" a="1"/>
  <c r="A593" s="1"/>
  <c r="A594" a="1"/>
  <c r="A594" s="1"/>
  <c r="A595" a="1"/>
  <c r="A595" s="1"/>
  <c r="A596" a="1"/>
  <c r="A596" s="1"/>
  <c r="A597" a="1"/>
  <c r="A597" s="1"/>
  <c r="A598" a="1"/>
  <c r="A598" s="1"/>
  <c r="A599" a="1"/>
  <c r="A599" s="1"/>
  <c r="A600" a="1"/>
  <c r="A600" s="1"/>
  <c r="A601" a="1"/>
  <c r="A601" s="1"/>
  <c r="A602" a="1"/>
  <c r="A602" s="1"/>
  <c r="A603" a="1"/>
  <c r="A603" s="1"/>
  <c r="A604" a="1"/>
  <c r="A604" s="1"/>
  <c r="A605" a="1"/>
  <c r="A605" s="1"/>
  <c r="A606" a="1"/>
  <c r="A606" s="1"/>
  <c r="A607" a="1"/>
  <c r="A607" s="1"/>
  <c r="A608" a="1"/>
  <c r="A608" s="1"/>
  <c r="A609" a="1"/>
  <c r="A609" s="1"/>
  <c r="A610" a="1"/>
  <c r="A610" s="1"/>
  <c r="A611" a="1"/>
  <c r="A611" s="1"/>
  <c r="A612" a="1"/>
  <c r="A612" s="1"/>
  <c r="A613" a="1"/>
  <c r="A613" s="1"/>
  <c r="A614" a="1"/>
  <c r="A614" s="1"/>
  <c r="A615" a="1"/>
  <c r="A615" s="1"/>
  <c r="A616" a="1"/>
  <c r="A616" s="1"/>
  <c r="A617" a="1"/>
  <c r="A617" s="1"/>
  <c r="A618" a="1"/>
  <c r="A618" s="1"/>
  <c r="A619" a="1"/>
  <c r="A619" s="1"/>
  <c r="A620" a="1"/>
  <c r="A620" s="1"/>
  <c r="A621" a="1"/>
  <c r="A621" s="1"/>
  <c r="A622" a="1"/>
  <c r="A622" s="1"/>
  <c r="A623" a="1"/>
  <c r="A623" s="1"/>
  <c r="A624" a="1"/>
  <c r="A624" s="1"/>
  <c r="A625" a="1"/>
  <c r="A625" s="1"/>
  <c r="A626" a="1"/>
  <c r="A626" s="1"/>
  <c r="A627" a="1"/>
  <c r="A627" s="1"/>
  <c r="A628" a="1"/>
  <c r="A628" s="1"/>
  <c r="A629" a="1"/>
  <c r="A629" s="1"/>
  <c r="A630" a="1"/>
  <c r="A630" s="1"/>
  <c r="A631" a="1"/>
  <c r="A631" s="1"/>
  <c r="A632" a="1"/>
  <c r="A632" s="1"/>
  <c r="A633" a="1"/>
  <c r="A633" s="1"/>
  <c r="A634" a="1"/>
  <c r="A634" s="1"/>
  <c r="A635" a="1"/>
  <c r="A635" s="1"/>
  <c r="A636" a="1"/>
  <c r="A636" s="1"/>
  <c r="A637" a="1"/>
  <c r="A637" s="1"/>
  <c r="A638" a="1"/>
  <c r="A638" s="1"/>
  <c r="A639" a="1"/>
  <c r="A639" s="1"/>
  <c r="A640" a="1"/>
  <c r="A640" s="1"/>
  <c r="A641" a="1"/>
  <c r="A641" s="1"/>
  <c r="A642" a="1"/>
  <c r="A642" s="1"/>
  <c r="A643" a="1"/>
  <c r="A643" s="1"/>
  <c r="A644" a="1"/>
  <c r="A644" s="1"/>
  <c r="A645" a="1"/>
  <c r="A645" s="1"/>
  <c r="A646" a="1"/>
  <c r="A646" s="1"/>
  <c r="A647" a="1"/>
  <c r="A647" s="1"/>
  <c r="A648" a="1"/>
  <c r="A648" s="1"/>
  <c r="A649" a="1"/>
  <c r="A649" s="1"/>
  <c r="A650" a="1"/>
  <c r="A650" s="1"/>
  <c r="A651" a="1"/>
  <c r="A651" s="1"/>
  <c r="A652" a="1"/>
  <c r="A652" s="1"/>
  <c r="A653" a="1"/>
  <c r="A653" s="1"/>
  <c r="A654" a="1"/>
  <c r="A654" s="1"/>
  <c r="A655" a="1"/>
  <c r="A655" s="1"/>
  <c r="A656" a="1"/>
  <c r="A656" s="1"/>
  <c r="A657" a="1"/>
  <c r="A657" s="1"/>
  <c r="A658" a="1"/>
  <c r="A658" s="1"/>
  <c r="A659" a="1"/>
  <c r="A659" s="1"/>
  <c r="A660" a="1"/>
  <c r="A660" s="1"/>
  <c r="A661" a="1"/>
  <c r="A661" s="1"/>
  <c r="A662" a="1"/>
  <c r="A662" s="1"/>
  <c r="A663" a="1"/>
  <c r="A663" s="1"/>
  <c r="A664" a="1"/>
  <c r="A664" s="1"/>
  <c r="A665" a="1"/>
  <c r="A665" s="1"/>
  <c r="A666" a="1"/>
  <c r="A666" s="1"/>
  <c r="A667" a="1"/>
  <c r="A667" s="1"/>
  <c r="A668" a="1"/>
  <c r="A668" s="1"/>
  <c r="A669" a="1"/>
  <c r="A669" s="1"/>
  <c r="A670" a="1"/>
  <c r="A670" s="1"/>
  <c r="A671" a="1"/>
  <c r="A671" s="1"/>
  <c r="A672" a="1"/>
  <c r="A672" s="1"/>
  <c r="A673" a="1"/>
  <c r="A673" s="1"/>
  <c r="A674" a="1"/>
  <c r="A674" s="1"/>
  <c r="A675" a="1"/>
  <c r="A675" s="1"/>
  <c r="A676" a="1"/>
  <c r="A676" s="1"/>
  <c r="A677" a="1"/>
  <c r="A677" s="1"/>
  <c r="A678" a="1"/>
  <c r="A678" s="1"/>
  <c r="A679" a="1"/>
  <c r="A679" s="1"/>
  <c r="A680" a="1"/>
  <c r="A680" s="1"/>
  <c r="A681" a="1"/>
  <c r="A681" s="1"/>
  <c r="A682" a="1"/>
  <c r="A682" s="1"/>
  <c r="A683" a="1"/>
  <c r="A683" s="1"/>
  <c r="A684" a="1"/>
  <c r="A684" s="1"/>
  <c r="A685" a="1"/>
  <c r="A685" s="1"/>
  <c r="A686" a="1"/>
  <c r="A686" s="1"/>
  <c r="A687" a="1"/>
  <c r="A687" s="1"/>
  <c r="A688" a="1"/>
  <c r="A688" s="1"/>
  <c r="A689" a="1"/>
  <c r="A689" s="1"/>
  <c r="A690" a="1"/>
  <c r="A690" s="1"/>
  <c r="A691" a="1"/>
  <c r="A691" s="1"/>
  <c r="A692" a="1"/>
  <c r="A692" s="1"/>
  <c r="A693" a="1"/>
  <c r="A693" s="1"/>
  <c r="A694" a="1"/>
  <c r="A694" s="1"/>
  <c r="A695" a="1"/>
  <c r="A695" s="1"/>
  <c r="A696" a="1"/>
  <c r="A696" s="1"/>
  <c r="A697" a="1"/>
  <c r="A697" s="1"/>
  <c r="A698" a="1"/>
  <c r="A698" s="1"/>
  <c r="A699" a="1"/>
  <c r="A699" s="1"/>
  <c r="A700" a="1"/>
  <c r="A700" s="1"/>
  <c r="A701" a="1"/>
  <c r="A701" s="1"/>
  <c r="A702" a="1"/>
  <c r="A702" s="1"/>
  <c r="A703" a="1"/>
  <c r="A703" s="1"/>
  <c r="A704" a="1"/>
  <c r="A704" s="1"/>
  <c r="A705" a="1"/>
  <c r="A705" s="1"/>
  <c r="A706" a="1"/>
  <c r="A706" s="1"/>
  <c r="A707" a="1"/>
  <c r="A707" s="1"/>
  <c r="A708" a="1"/>
  <c r="A708" s="1"/>
  <c r="A709" a="1"/>
  <c r="A709" s="1"/>
  <c r="A710" a="1"/>
  <c r="A710" s="1"/>
  <c r="A711" a="1"/>
  <c r="A711" s="1"/>
  <c r="A712" a="1"/>
  <c r="A712" s="1"/>
  <c r="A713" a="1"/>
  <c r="A713" s="1"/>
  <c r="A714" a="1"/>
  <c r="A714" s="1"/>
  <c r="A715" a="1"/>
  <c r="A715" s="1"/>
  <c r="A716" a="1"/>
  <c r="A716" s="1"/>
  <c r="A717" a="1"/>
  <c r="A717" s="1"/>
  <c r="A718" a="1"/>
  <c r="A718" s="1"/>
  <c r="A719" a="1"/>
  <c r="A719" s="1"/>
  <c r="A720" a="1"/>
  <c r="A720" s="1"/>
  <c r="A721" a="1"/>
  <c r="A721" s="1"/>
  <c r="A722" a="1"/>
  <c r="A722" s="1"/>
  <c r="A723" a="1"/>
  <c r="A723" s="1"/>
  <c r="A724" a="1"/>
  <c r="A724" s="1"/>
  <c r="A725" a="1"/>
  <c r="A725" s="1"/>
  <c r="A726" a="1"/>
  <c r="A726" s="1"/>
  <c r="A727" a="1"/>
  <c r="A727" s="1"/>
  <c r="A728" a="1"/>
  <c r="A728" s="1"/>
  <c r="A729" a="1"/>
  <c r="A729" s="1"/>
  <c r="A730" a="1"/>
  <c r="A730" s="1"/>
  <c r="A731" a="1"/>
  <c r="A731" s="1"/>
  <c r="A732" a="1"/>
  <c r="A732" s="1"/>
  <c r="A733" a="1"/>
  <c r="A733" s="1"/>
  <c r="A734" a="1"/>
  <c r="A734" s="1"/>
  <c r="A735" a="1"/>
  <c r="A735" s="1"/>
  <c r="A736" a="1"/>
  <c r="A736" s="1"/>
  <c r="A737" a="1"/>
  <c r="A737" s="1"/>
  <c r="A738" a="1"/>
  <c r="A738" s="1"/>
  <c r="A739" a="1"/>
  <c r="A739" s="1"/>
  <c r="A740" a="1"/>
  <c r="A740" s="1"/>
  <c r="A741" a="1"/>
  <c r="A741" s="1"/>
  <c r="A742" a="1"/>
  <c r="A742" s="1"/>
  <c r="A743" a="1"/>
  <c r="A743" s="1"/>
  <c r="A744" a="1"/>
  <c r="A744" s="1"/>
  <c r="A745" a="1"/>
  <c r="A745" s="1"/>
  <c r="A746" a="1"/>
  <c r="A746" s="1"/>
  <c r="A747" a="1"/>
  <c r="A747" s="1"/>
  <c r="A748" a="1"/>
  <c r="A748" s="1"/>
  <c r="A749" a="1"/>
  <c r="A749" s="1"/>
  <c r="A750" a="1"/>
  <c r="A750" s="1"/>
  <c r="A751" a="1"/>
  <c r="A751" s="1"/>
  <c r="A752" a="1"/>
  <c r="A752" s="1"/>
  <c r="A753" a="1"/>
  <c r="A753" s="1"/>
  <c r="A754" a="1"/>
  <c r="A754" s="1"/>
  <c r="A755" a="1"/>
  <c r="A755" s="1"/>
  <c r="A756" a="1"/>
  <c r="A756" s="1"/>
  <c r="A757" a="1"/>
  <c r="A757" s="1"/>
  <c r="A758" a="1"/>
  <c r="A758" s="1"/>
  <c r="A759" a="1"/>
  <c r="A759" s="1"/>
  <c r="A760" a="1"/>
  <c r="A760" s="1"/>
  <c r="A761" a="1"/>
  <c r="A761" s="1"/>
  <c r="A762" a="1"/>
  <c r="A762" s="1"/>
  <c r="A763" a="1"/>
  <c r="A763" s="1"/>
  <c r="A764" a="1"/>
  <c r="A764" s="1"/>
  <c r="A765" a="1"/>
  <c r="A765" s="1"/>
  <c r="A766" a="1"/>
  <c r="A766" s="1"/>
  <c r="A767" a="1"/>
  <c r="A767" s="1"/>
  <c r="A768" a="1"/>
  <c r="A768" s="1"/>
  <c r="A769" a="1"/>
  <c r="A769" s="1"/>
  <c r="A770" a="1"/>
  <c r="A770" s="1"/>
  <c r="A771" a="1"/>
  <c r="A771" s="1"/>
  <c r="A772" a="1"/>
  <c r="A772" s="1"/>
  <c r="A773" a="1"/>
  <c r="A773" s="1"/>
  <c r="A774" a="1"/>
  <c r="A774" s="1"/>
  <c r="A775" a="1"/>
  <c r="A775" s="1"/>
  <c r="A776" a="1"/>
  <c r="A776" s="1"/>
  <c r="A777" a="1"/>
  <c r="A777" s="1"/>
  <c r="A778" a="1"/>
  <c r="A778" s="1"/>
  <c r="A779" a="1"/>
  <c r="A779" s="1"/>
  <c r="A780" a="1"/>
  <c r="A780" s="1"/>
  <c r="A781" a="1"/>
  <c r="A781" s="1"/>
  <c r="A782" a="1"/>
  <c r="A782" s="1"/>
  <c r="A783" a="1"/>
  <c r="A783" s="1"/>
  <c r="A784" a="1"/>
  <c r="A784" s="1"/>
  <c r="A785" a="1"/>
  <c r="A785" s="1"/>
  <c r="A786" a="1"/>
  <c r="A786" s="1"/>
  <c r="A787" a="1"/>
  <c r="A787" s="1"/>
  <c r="A788" a="1"/>
  <c r="A788" s="1"/>
  <c r="A789" a="1"/>
  <c r="A789" s="1"/>
  <c r="A790" a="1"/>
  <c r="A790" s="1"/>
  <c r="A791" a="1"/>
  <c r="A791" s="1"/>
  <c r="A792" a="1"/>
  <c r="A792" s="1"/>
  <c r="A793" a="1"/>
  <c r="A793" s="1"/>
  <c r="A794" a="1"/>
  <c r="A794" s="1"/>
  <c r="A795" a="1"/>
  <c r="A795" s="1"/>
  <c r="A796" a="1"/>
  <c r="A796" s="1"/>
  <c r="A797" a="1"/>
  <c r="A797" s="1"/>
  <c r="A798" a="1"/>
  <c r="A798" s="1"/>
  <c r="A799" a="1"/>
  <c r="A799" s="1"/>
  <c r="A800" a="1"/>
  <c r="A800" s="1"/>
  <c r="A801" a="1"/>
  <c r="A801" s="1"/>
  <c r="A802" a="1"/>
  <c r="A802" s="1"/>
  <c r="A803" a="1"/>
  <c r="A803" s="1"/>
  <c r="A804" a="1"/>
  <c r="A804" s="1"/>
  <c r="A805" a="1"/>
  <c r="A805" s="1"/>
  <c r="A806" a="1"/>
  <c r="A806" s="1"/>
  <c r="A807" a="1"/>
  <c r="A807" s="1"/>
  <c r="A808" a="1"/>
  <c r="A808" s="1"/>
  <c r="A809" a="1"/>
  <c r="A809" s="1"/>
  <c r="A810" a="1"/>
  <c r="A810" s="1"/>
  <c r="A811" a="1"/>
  <c r="A811" s="1"/>
  <c r="A812" a="1"/>
  <c r="A812" s="1"/>
  <c r="A813" a="1"/>
  <c r="A813" s="1"/>
  <c r="A814" a="1"/>
  <c r="A814" s="1"/>
  <c r="A815" a="1"/>
  <c r="A815" s="1"/>
  <c r="A816" a="1"/>
  <c r="A816" s="1"/>
  <c r="A817" a="1"/>
  <c r="A817" s="1"/>
  <c r="A818" a="1"/>
  <c r="A818" s="1"/>
  <c r="A819" a="1"/>
  <c r="A819" s="1"/>
  <c r="A820" a="1"/>
  <c r="A820" s="1"/>
  <c r="A821" a="1"/>
  <c r="A821" s="1"/>
  <c r="A822" a="1"/>
  <c r="A822" s="1"/>
  <c r="A823" a="1"/>
  <c r="A823" s="1"/>
  <c r="A824" a="1"/>
  <c r="A824" s="1"/>
  <c r="A825" a="1"/>
  <c r="A825" s="1"/>
  <c r="A826" a="1"/>
  <c r="A826" s="1"/>
  <c r="A827" a="1"/>
  <c r="A827" s="1"/>
  <c r="A828" a="1"/>
  <c r="A828" s="1"/>
  <c r="A829" a="1"/>
  <c r="A829" s="1"/>
  <c r="A830" a="1"/>
  <c r="A830" s="1"/>
  <c r="A831" a="1"/>
  <c r="A831" s="1"/>
  <c r="A832" a="1"/>
  <c r="A832" s="1"/>
  <c r="A833" a="1"/>
  <c r="A833" s="1"/>
  <c r="A834" a="1"/>
  <c r="A834" s="1"/>
  <c r="A835" a="1"/>
  <c r="A835" s="1"/>
  <c r="A836" a="1"/>
  <c r="A836" s="1"/>
  <c r="A837" a="1"/>
  <c r="A837" s="1"/>
  <c r="A838" a="1"/>
  <c r="A838" s="1"/>
  <c r="A839" a="1"/>
  <c r="A839" s="1"/>
  <c r="A840" a="1"/>
  <c r="A840" s="1"/>
  <c r="A841" a="1"/>
  <c r="A841" s="1"/>
  <c r="A842" a="1"/>
  <c r="A842" s="1"/>
  <c r="A843" a="1"/>
  <c r="A843" s="1"/>
  <c r="A844" a="1"/>
  <c r="A844" s="1"/>
  <c r="A845" a="1"/>
  <c r="A845" s="1"/>
  <c r="A846" a="1"/>
  <c r="A846" s="1"/>
  <c r="A847" a="1"/>
  <c r="A847" s="1"/>
  <c r="A848" a="1"/>
  <c r="A848" s="1"/>
  <c r="A849" a="1"/>
  <c r="A849" s="1"/>
  <c r="A850" a="1"/>
  <c r="A850" s="1"/>
  <c r="A851" a="1"/>
  <c r="A851" s="1"/>
  <c r="A852" a="1"/>
  <c r="A852" s="1"/>
  <c r="A853" a="1"/>
  <c r="A853" s="1"/>
  <c r="A854" a="1"/>
  <c r="A854" s="1"/>
  <c r="A855" a="1"/>
  <c r="A855" s="1"/>
  <c r="A856" a="1"/>
  <c r="A856" s="1"/>
  <c r="A857" a="1"/>
  <c r="A857" s="1"/>
  <c r="A858" a="1"/>
  <c r="A858" s="1"/>
  <c r="A859" a="1"/>
  <c r="A859" s="1"/>
  <c r="A860" a="1"/>
  <c r="A860" s="1"/>
  <c r="A861" a="1"/>
  <c r="A861" s="1"/>
  <c r="A862" a="1"/>
  <c r="A862" s="1"/>
  <c r="A863" a="1"/>
  <c r="A863" s="1"/>
  <c r="A864" a="1"/>
  <c r="A864" s="1"/>
  <c r="A865" a="1"/>
  <c r="A865" s="1"/>
  <c r="A866" a="1"/>
  <c r="A866" s="1"/>
  <c r="A867" a="1"/>
  <c r="A867" s="1"/>
  <c r="A868" a="1"/>
  <c r="A868" s="1"/>
  <c r="A869" a="1"/>
  <c r="A869" s="1"/>
  <c r="A870" a="1"/>
  <c r="A870" s="1"/>
  <c r="A871" a="1"/>
  <c r="A871" s="1"/>
  <c r="A872" a="1"/>
  <c r="A872" s="1"/>
  <c r="A873" a="1"/>
  <c r="A873" s="1"/>
  <c r="A874" a="1"/>
  <c r="A874" s="1"/>
  <c r="A875" a="1"/>
  <c r="A875" s="1"/>
  <c r="A876" a="1"/>
  <c r="A876" s="1"/>
  <c r="A877" a="1"/>
  <c r="A877" s="1"/>
  <c r="A878" a="1"/>
  <c r="A878" s="1"/>
  <c r="A879" a="1"/>
  <c r="A879" s="1"/>
  <c r="A880" a="1"/>
  <c r="A880" s="1"/>
  <c r="A881" a="1"/>
  <c r="A881" s="1"/>
  <c r="A882" a="1"/>
  <c r="A882" s="1"/>
  <c r="A883" a="1"/>
  <c r="A883" s="1"/>
  <c r="A884" a="1"/>
  <c r="A884" s="1"/>
  <c r="A885" a="1"/>
  <c r="A885" s="1"/>
  <c r="A886" a="1"/>
  <c r="A886" s="1"/>
  <c r="A887" a="1"/>
  <c r="A887" s="1"/>
  <c r="A888" a="1"/>
  <c r="A888" s="1"/>
  <c r="A889" a="1"/>
  <c r="A889" s="1"/>
  <c r="A890" a="1"/>
  <c r="A890" s="1"/>
  <c r="A891" a="1"/>
  <c r="A891" s="1"/>
  <c r="A892" a="1"/>
  <c r="A892" s="1"/>
  <c r="A893" a="1"/>
  <c r="A893" s="1"/>
  <c r="A894" a="1"/>
  <c r="A894" s="1"/>
  <c r="A895" a="1"/>
  <c r="A895" s="1"/>
  <c r="A896" a="1"/>
  <c r="A896" s="1"/>
  <c r="A897" a="1"/>
  <c r="A897" s="1"/>
  <c r="A898" a="1"/>
  <c r="A898" s="1"/>
  <c r="A899" a="1"/>
  <c r="A899" s="1"/>
  <c r="A900" a="1"/>
  <c r="A900" s="1"/>
  <c r="A901" a="1"/>
  <c r="A901" s="1"/>
  <c r="A902" a="1"/>
  <c r="A902" s="1"/>
  <c r="A903" a="1"/>
  <c r="A903" s="1"/>
  <c r="A904" a="1"/>
  <c r="A904" s="1"/>
  <c r="A905" a="1"/>
  <c r="A905" s="1"/>
  <c r="A906" a="1"/>
  <c r="A906" s="1"/>
  <c r="A907" a="1"/>
  <c r="A907" s="1"/>
  <c r="A908" a="1"/>
  <c r="A908" s="1"/>
  <c r="A909" a="1"/>
  <c r="A909" s="1"/>
  <c r="A910" a="1"/>
  <c r="A910" s="1"/>
  <c r="A911" a="1"/>
  <c r="A911" s="1"/>
  <c r="A912" a="1"/>
  <c r="A912" s="1"/>
  <c r="A913" a="1"/>
  <c r="A913" s="1"/>
  <c r="A914" a="1"/>
  <c r="A914" s="1"/>
  <c r="A915" a="1"/>
  <c r="A915" s="1"/>
  <c r="A916" a="1"/>
  <c r="A916" s="1"/>
  <c r="A917" a="1"/>
  <c r="A917" s="1"/>
  <c r="A918" a="1"/>
  <c r="A918" s="1"/>
  <c r="A919" a="1"/>
  <c r="A919" s="1"/>
  <c r="A920" a="1"/>
  <c r="A920" s="1"/>
  <c r="A921" a="1"/>
  <c r="A921" s="1"/>
  <c r="A922" a="1"/>
  <c r="A922" s="1"/>
  <c r="A923" a="1"/>
  <c r="A923" s="1"/>
  <c r="A924" a="1"/>
  <c r="A924" s="1"/>
  <c r="A925" a="1"/>
  <c r="A925" s="1"/>
  <c r="A926" a="1"/>
  <c r="A926" s="1"/>
  <c r="A927" a="1"/>
  <c r="A927" s="1"/>
  <c r="A928" a="1"/>
  <c r="A928" s="1"/>
  <c r="A929" a="1"/>
  <c r="A929" s="1"/>
  <c r="A930" a="1"/>
  <c r="A930" s="1"/>
  <c r="A931" a="1"/>
  <c r="A931" s="1"/>
  <c r="A932" a="1"/>
  <c r="A932" s="1"/>
  <c r="A933" a="1"/>
  <c r="A933" s="1"/>
  <c r="A934" a="1"/>
  <c r="A934" s="1"/>
  <c r="A935" a="1"/>
  <c r="A935" s="1"/>
  <c r="A936" a="1"/>
  <c r="A936" s="1"/>
  <c r="A937" a="1"/>
  <c r="A937" s="1"/>
  <c r="A938" a="1"/>
  <c r="A938" s="1"/>
  <c r="A939" a="1"/>
  <c r="A939" s="1"/>
  <c r="A940" a="1"/>
  <c r="A940" s="1"/>
  <c r="A941" a="1"/>
  <c r="A941" s="1"/>
  <c r="A942" a="1"/>
  <c r="A942" s="1"/>
  <c r="A943" a="1"/>
  <c r="A943" s="1"/>
  <c r="A944" a="1"/>
  <c r="A944" s="1"/>
  <c r="A945" a="1"/>
  <c r="A945" s="1"/>
  <c r="A946" a="1"/>
  <c r="A946" s="1"/>
  <c r="A947" a="1"/>
  <c r="A947" s="1"/>
  <c r="A948" a="1"/>
  <c r="A948" s="1"/>
  <c r="A949" a="1"/>
  <c r="A949" s="1"/>
  <c r="A950" a="1"/>
  <c r="A950" s="1"/>
  <c r="A951" a="1"/>
  <c r="A951" s="1"/>
  <c r="A952" a="1"/>
  <c r="A952" s="1"/>
  <c r="A953" a="1"/>
  <c r="A953" s="1"/>
  <c r="A954" a="1"/>
  <c r="A954" s="1"/>
  <c r="A955" a="1"/>
  <c r="A955" s="1"/>
  <c r="A956" a="1"/>
  <c r="A956" s="1"/>
  <c r="A957" a="1"/>
  <c r="A957" s="1"/>
  <c r="A958" a="1"/>
  <c r="A958" s="1"/>
  <c r="A959" a="1"/>
  <c r="A959" s="1"/>
  <c r="A960" a="1"/>
  <c r="A960" s="1"/>
  <c r="A961" a="1"/>
  <c r="A961" s="1"/>
  <c r="A962" a="1"/>
  <c r="A962" s="1"/>
  <c r="A963" a="1"/>
  <c r="A963" s="1"/>
  <c r="A964" a="1"/>
  <c r="A964" s="1"/>
  <c r="A965" a="1"/>
  <c r="A965" s="1"/>
  <c r="A966" a="1"/>
  <c r="A966" s="1"/>
  <c r="A967" a="1"/>
  <c r="A967" s="1"/>
  <c r="A968" a="1"/>
  <c r="A968" s="1"/>
  <c r="A969" a="1"/>
  <c r="A969" s="1"/>
  <c r="A970" a="1"/>
  <c r="A970" s="1"/>
  <c r="A971" a="1"/>
  <c r="A971" s="1"/>
  <c r="A972" a="1"/>
  <c r="A972" s="1"/>
  <c r="A973" a="1"/>
  <c r="A973" s="1"/>
  <c r="A974" a="1"/>
  <c r="A974" s="1"/>
  <c r="A975" a="1"/>
  <c r="A975" s="1"/>
  <c r="A976" a="1"/>
  <c r="A976" s="1"/>
  <c r="A977" a="1"/>
  <c r="A977" s="1"/>
  <c r="A978" a="1"/>
  <c r="A978" s="1"/>
  <c r="A979" a="1"/>
  <c r="A979" s="1"/>
  <c r="A980" a="1"/>
  <c r="A980" s="1"/>
  <c r="A981" a="1"/>
  <c r="A981" s="1"/>
  <c r="A982" a="1"/>
  <c r="A982" s="1"/>
  <c r="A983" a="1"/>
  <c r="A983" s="1"/>
  <c r="A984" a="1"/>
  <c r="A984" s="1"/>
  <c r="A985" a="1"/>
  <c r="A985" s="1"/>
  <c r="A986" a="1"/>
  <c r="A986" s="1"/>
  <c r="A987" a="1"/>
  <c r="A987" s="1"/>
  <c r="A988" a="1"/>
  <c r="A988" s="1"/>
  <c r="A989" a="1"/>
  <c r="A989" s="1"/>
  <c r="A990" a="1"/>
  <c r="A990" s="1"/>
  <c r="A991" a="1"/>
  <c r="A991" s="1"/>
  <c r="A992" a="1"/>
  <c r="A992" s="1"/>
  <c r="A993" a="1"/>
  <c r="A993" s="1"/>
  <c r="A994" a="1"/>
  <c r="A994" s="1"/>
  <c r="A995" a="1"/>
  <c r="A995" s="1"/>
  <c r="A996" a="1"/>
  <c r="A996" s="1"/>
  <c r="A997" a="1"/>
  <c r="A997" s="1"/>
  <c r="A998" a="1"/>
  <c r="A998" s="1"/>
  <c r="A999" a="1"/>
  <c r="A999" s="1"/>
  <c r="A1000" a="1"/>
  <c r="A1000" s="1"/>
  <c r="A1001" a="1"/>
  <c r="A1001" s="1"/>
  <c r="A2" a="1"/>
  <c r="A2" s="1"/>
  <c r="B170" l="1" a="1"/>
  <c r="B170" s="1"/>
  <c r="B163" a="1"/>
  <c r="B163" s="1"/>
  <c r="B591" a="1"/>
  <c r="B591" s="1"/>
  <c r="B992" a="1"/>
  <c r="B992" s="1"/>
  <c r="B974" a="1"/>
  <c r="B974" s="1"/>
  <c r="B933" a="1"/>
  <c r="B933" s="1"/>
  <c r="B915" a="1"/>
  <c r="B915" s="1"/>
  <c r="B895" a="1"/>
  <c r="B895" s="1"/>
  <c r="B874" a="1"/>
  <c r="B874" s="1"/>
  <c r="B796" a="1"/>
  <c r="B796" s="1"/>
  <c r="B713" a="1"/>
  <c r="B713" s="1"/>
  <c r="B455" a="1"/>
  <c r="B455" s="1"/>
  <c r="B375" a="1"/>
  <c r="B375" s="1"/>
  <c r="B218" a="1"/>
  <c r="B218" s="1"/>
  <c r="B990" a="1"/>
  <c r="B990" s="1"/>
  <c r="B952" a="1"/>
  <c r="B952" s="1"/>
  <c r="B932" a="1"/>
  <c r="B932" s="1"/>
  <c r="B894" a="1"/>
  <c r="B894" s="1"/>
  <c r="B873" a="1"/>
  <c r="B873" s="1"/>
  <c r="B848" a="1"/>
  <c r="B848" s="1"/>
  <c r="B795" a="1"/>
  <c r="B795" s="1"/>
  <c r="B765" a="1"/>
  <c r="B765" s="1"/>
  <c r="B742" a="1"/>
  <c r="B742" s="1"/>
  <c r="B711" a="1"/>
  <c r="B711" s="1"/>
  <c r="B679" a="1"/>
  <c r="B679" s="1"/>
  <c r="B653" a="1"/>
  <c r="B653" s="1"/>
  <c r="B947" a="1"/>
  <c r="B947" s="1"/>
  <c r="B847" a="1"/>
  <c r="B847" s="1"/>
  <c r="B678" a="1"/>
  <c r="B678" s="1"/>
  <c r="B508" a="1"/>
  <c r="B508" s="1"/>
  <c r="B984" a="1"/>
  <c r="B984" s="1"/>
  <c r="B967" a="1"/>
  <c r="B967" s="1"/>
  <c r="B946" a="1"/>
  <c r="B946" s="1"/>
  <c r="B926" a="1"/>
  <c r="B926" s="1"/>
  <c r="B909" a="1"/>
  <c r="B909" s="1"/>
  <c r="B887" a="1"/>
  <c r="B887" s="1"/>
  <c r="B786" a="1"/>
  <c r="B786" s="1"/>
  <c r="B763" a="1"/>
  <c r="B763" s="1"/>
  <c r="B732" a="1"/>
  <c r="B732" s="1"/>
  <c r="B702" a="1"/>
  <c r="B702" s="1"/>
  <c r="B677" a="1"/>
  <c r="B677" s="1"/>
  <c r="B575" a="1"/>
  <c r="B575" s="1"/>
  <c r="B345" a="1"/>
  <c r="B345" s="1"/>
  <c r="B71" a="1"/>
  <c r="B71" s="1"/>
  <c r="B272" a="1"/>
  <c r="B272" s="1"/>
  <c r="B350" a="1"/>
  <c r="B350" s="1"/>
  <c r="B377" a="1"/>
  <c r="B377" s="1"/>
  <c r="B401" a="1"/>
  <c r="B401" s="1"/>
  <c r="B419" a="1"/>
  <c r="B419" s="1"/>
  <c r="B439" a="1"/>
  <c r="B439" s="1"/>
  <c r="B477" a="1"/>
  <c r="B477" s="1"/>
  <c r="B494" a="1"/>
  <c r="B494" s="1"/>
  <c r="B510" a="1"/>
  <c r="B510" s="1"/>
  <c r="B544" a="1"/>
  <c r="B544" s="1"/>
  <c r="B560" a="1"/>
  <c r="B560" s="1"/>
  <c r="B594" a="1"/>
  <c r="B594" s="1"/>
  <c r="B924" a="1"/>
  <c r="B924" s="1"/>
  <c r="B838" a="1"/>
  <c r="B838" s="1"/>
  <c r="B815" a="1"/>
  <c r="B815" s="1"/>
  <c r="B784" a="1"/>
  <c r="B784" s="1"/>
  <c r="B701" a="1"/>
  <c r="B701" s="1"/>
  <c r="B667" a="1"/>
  <c r="B667" s="1"/>
  <c r="B559" a="1"/>
  <c r="B559" s="1"/>
  <c r="B999" a="1"/>
  <c r="B999" s="1"/>
  <c r="B941" a="1"/>
  <c r="B941" s="1"/>
  <c r="B837" a="1"/>
  <c r="B837" s="1"/>
  <c r="B700" a="1"/>
  <c r="B700" s="1"/>
  <c r="B309" a="1"/>
  <c r="B309" s="1"/>
  <c r="B98" a="1"/>
  <c r="B98" s="1"/>
  <c r="B864" a="1"/>
  <c r="B864" s="1"/>
  <c r="B310" a="1"/>
  <c r="B310" s="1"/>
  <c r="B171" a="1"/>
  <c r="B171" s="1"/>
  <c r="B982" a="1"/>
  <c r="B982" s="1"/>
  <c r="B923" a="1"/>
  <c r="B923" s="1"/>
  <c r="B882" a="1"/>
  <c r="B882" s="1"/>
  <c r="B723" a="1"/>
  <c r="B723" s="1"/>
  <c r="B624" a="1"/>
  <c r="B624" s="1"/>
  <c r="B491" a="1"/>
  <c r="B491" s="1"/>
  <c r="B113" a="1"/>
  <c r="B113" s="1"/>
  <c r="B997" a="1"/>
  <c r="B997" s="1"/>
  <c r="B960" a="1"/>
  <c r="B960" s="1"/>
  <c r="B938" a="1"/>
  <c r="B938" s="1"/>
  <c r="B901" a="1"/>
  <c r="B901" s="1"/>
  <c r="B836" a="1"/>
  <c r="B836" s="1"/>
  <c r="B775" a="1"/>
  <c r="B775" s="1"/>
  <c r="B752" a="1"/>
  <c r="B752" s="1"/>
  <c r="B722" a="1"/>
  <c r="B722" s="1"/>
  <c r="B665" a="1"/>
  <c r="B665" s="1"/>
  <c r="B609" a="1"/>
  <c r="B609" s="1"/>
  <c r="B475" a="1"/>
  <c r="B475" s="1"/>
  <c r="B398" a="1"/>
  <c r="B398" s="1"/>
  <c r="B266" a="1"/>
  <c r="B266" s="1"/>
  <c r="B955" a="1"/>
  <c r="B955" s="1"/>
  <c r="B917" a="1"/>
  <c r="B917" s="1"/>
  <c r="B857" a="1"/>
  <c r="B857" s="1"/>
  <c r="B805" a="1"/>
  <c r="B805" s="1"/>
  <c r="B774" a="1"/>
  <c r="B774" s="1"/>
  <c r="B744" a="1"/>
  <c r="B744" s="1"/>
  <c r="B690" a="1"/>
  <c r="B690" s="1"/>
  <c r="B655" a="1"/>
  <c r="B655" s="1"/>
  <c r="B541" a="1"/>
  <c r="B541" s="1"/>
  <c r="B473" a="1"/>
  <c r="B473" s="1"/>
  <c r="B264" a="1"/>
  <c r="B264" s="1"/>
  <c r="B991" a="1"/>
  <c r="B991" s="1"/>
  <c r="B983" a="1"/>
  <c r="B983" s="1"/>
  <c r="B969" a="1"/>
  <c r="B969" s="1"/>
  <c r="B961" a="1"/>
  <c r="B961" s="1"/>
  <c r="B940" a="1"/>
  <c r="B940" s="1"/>
  <c r="B918" a="1"/>
  <c r="B918" s="1"/>
  <c r="B910" a="1"/>
  <c r="B910" s="1"/>
  <c r="B903" a="1"/>
  <c r="B903" s="1"/>
  <c r="B896" a="1"/>
  <c r="B896" s="1"/>
  <c r="B888" a="1"/>
  <c r="B888" s="1"/>
  <c r="B866" a="1"/>
  <c r="B866" s="1"/>
  <c r="B827" a="1"/>
  <c r="B827" s="1"/>
  <c r="B816" a="1"/>
  <c r="B816" s="1"/>
  <c r="B806" a="1"/>
  <c r="B806" s="1"/>
  <c r="B764" a="1"/>
  <c r="B764" s="1"/>
  <c r="B754" a="1"/>
  <c r="B754" s="1"/>
  <c r="B743" a="1"/>
  <c r="B743" s="1"/>
  <c r="B733" a="1"/>
  <c r="B733" s="1"/>
  <c r="B712" a="1"/>
  <c r="B712" s="1"/>
  <c r="B654" a="1"/>
  <c r="B654" s="1"/>
  <c r="B642" a="1"/>
  <c r="B642" s="1"/>
  <c r="B627" a="1"/>
  <c r="B627" s="1"/>
  <c r="B576" a="1"/>
  <c r="B576" s="1"/>
  <c r="B526" a="1"/>
  <c r="B526" s="1"/>
  <c r="B493" a="1"/>
  <c r="B493" s="1"/>
  <c r="B457" a="1"/>
  <c r="B457" s="1"/>
  <c r="B399" a="1"/>
  <c r="B399" s="1"/>
  <c r="B349" a="1"/>
  <c r="B349" s="1"/>
  <c r="B220" a="1"/>
  <c r="B220" s="1"/>
  <c r="B996" a="1"/>
  <c r="B996" s="1"/>
  <c r="B988" a="1"/>
  <c r="B988" s="1"/>
  <c r="B981" a="1"/>
  <c r="B981" s="1"/>
  <c r="B959" a="1"/>
  <c r="B959" s="1"/>
  <c r="B951" a="1"/>
  <c r="B951" s="1"/>
  <c r="B937" a="1"/>
  <c r="B937" s="1"/>
  <c r="B929" a="1"/>
  <c r="B929" s="1"/>
  <c r="B908" a="1"/>
  <c r="B908" s="1"/>
  <c r="B886" a="1"/>
  <c r="B886" s="1"/>
  <c r="B878" a="1"/>
  <c r="B878" s="1"/>
  <c r="B871" a="1"/>
  <c r="B871" s="1"/>
  <c r="B863" a="1"/>
  <c r="B863" s="1"/>
  <c r="B854" a="1"/>
  <c r="B854" s="1"/>
  <c r="B843" a="1"/>
  <c r="B843" s="1"/>
  <c r="B833" a="1"/>
  <c r="B833" s="1"/>
  <c r="B791" a="1"/>
  <c r="B791" s="1"/>
  <c r="B781" a="1"/>
  <c r="B781" s="1"/>
  <c r="B770" a="1"/>
  <c r="B770" s="1"/>
  <c r="B728" a="1"/>
  <c r="B728" s="1"/>
  <c r="B718" a="1"/>
  <c r="B718" s="1"/>
  <c r="B697" a="1"/>
  <c r="B697" s="1"/>
  <c r="B661" a="1"/>
  <c r="B661" s="1"/>
  <c r="B649" a="1"/>
  <c r="B649" s="1"/>
  <c r="B635" a="1"/>
  <c r="B635" s="1"/>
  <c r="B619" a="1"/>
  <c r="B619" s="1"/>
  <c r="B586" a="1"/>
  <c r="B586" s="1"/>
  <c r="B552" a="1"/>
  <c r="B552" s="1"/>
  <c r="B486" a="1"/>
  <c r="B486" s="1"/>
  <c r="B429" a="1"/>
  <c r="B429" s="1"/>
  <c r="B410" a="1"/>
  <c r="B410" s="1"/>
  <c r="B391" a="1"/>
  <c r="B391" s="1"/>
  <c r="B332" a="1"/>
  <c r="B332" s="1"/>
  <c r="B148" a="1"/>
  <c r="B148" s="1"/>
  <c r="B2" a="1"/>
  <c r="B2" s="1"/>
  <c r="B3" a="1"/>
  <c r="B3" s="1"/>
  <c r="B4" a="1"/>
  <c r="B4" s="1"/>
  <c r="B8" a="1"/>
  <c r="B8" s="1"/>
  <c r="B12" a="1"/>
  <c r="B12" s="1"/>
  <c r="B16" a="1"/>
  <c r="B16" s="1"/>
  <c r="B20" a="1"/>
  <c r="B20" s="1"/>
  <c r="B24" a="1"/>
  <c r="B24" s="1"/>
  <c r="B28" a="1"/>
  <c r="B28" s="1"/>
  <c r="B32" a="1"/>
  <c r="B32" s="1"/>
  <c r="B36" a="1"/>
  <c r="B36" s="1"/>
  <c r="B40" a="1"/>
  <c r="B40" s="1"/>
  <c r="B44" a="1"/>
  <c r="B44" s="1"/>
  <c r="B48" a="1"/>
  <c r="B48" s="1"/>
  <c r="B52" a="1"/>
  <c r="B52" s="1"/>
  <c r="B56" a="1"/>
  <c r="B56" s="1"/>
  <c r="B60" a="1"/>
  <c r="B60" s="1"/>
  <c r="B64" a="1"/>
  <c r="B64" s="1"/>
  <c r="B68" a="1"/>
  <c r="B68" s="1"/>
  <c r="B72" a="1"/>
  <c r="B72" s="1"/>
  <c r="B76" a="1"/>
  <c r="B76" s="1"/>
  <c r="B80" a="1"/>
  <c r="B80" s="1"/>
  <c r="B84" a="1"/>
  <c r="B84" s="1"/>
  <c r="B88" a="1"/>
  <c r="B88" s="1"/>
  <c r="B92" a="1"/>
  <c r="B92" s="1"/>
  <c r="B96" a="1"/>
  <c r="B96" s="1"/>
  <c r="B100" a="1"/>
  <c r="B100" s="1"/>
  <c r="B105" a="1"/>
  <c r="B105" s="1"/>
  <c r="B114" a="1"/>
  <c r="B114" s="1"/>
  <c r="B123" a="1"/>
  <c r="B123" s="1"/>
  <c r="B132" a="1"/>
  <c r="B132" s="1"/>
  <c r="B137" a="1"/>
  <c r="B137" s="1"/>
  <c r="B146" a="1"/>
  <c r="B146" s="1"/>
  <c r="B155" a="1"/>
  <c r="B155" s="1"/>
  <c r="B164" a="1"/>
  <c r="B164" s="1"/>
  <c r="B169" a="1"/>
  <c r="B169" s="1"/>
  <c r="B178" a="1"/>
  <c r="B178" s="1"/>
  <c r="B187" a="1"/>
  <c r="B187" s="1"/>
  <c r="B196" a="1"/>
  <c r="B196" s="1"/>
  <c r="B201" a="1"/>
  <c r="B201" s="1"/>
  <c r="B210" a="1"/>
  <c r="B210" s="1"/>
  <c r="B219" a="1"/>
  <c r="B219" s="1"/>
  <c r="B228" a="1"/>
  <c r="B228" s="1"/>
  <c r="B233" a="1"/>
  <c r="B233" s="1"/>
  <c r="B242" a="1"/>
  <c r="B242" s="1"/>
  <c r="B251" a="1"/>
  <c r="B251" s="1"/>
  <c r="B260" a="1"/>
  <c r="B260" s="1"/>
  <c r="B265" a="1"/>
  <c r="B265" s="1"/>
  <c r="B274" a="1"/>
  <c r="B274" s="1"/>
  <c r="B283" a="1"/>
  <c r="B283" s="1"/>
  <c r="B292" a="1"/>
  <c r="B292" s="1"/>
  <c r="B297" a="1"/>
  <c r="B297" s="1"/>
  <c r="B306" a="1"/>
  <c r="B306" s="1"/>
  <c r="B315" a="1"/>
  <c r="B315" s="1"/>
  <c r="B324" a="1"/>
  <c r="B324" s="1"/>
  <c r="B329" a="1"/>
  <c r="B329" s="1"/>
  <c r="B338" a="1"/>
  <c r="B338" s="1"/>
  <c r="B5" a="1"/>
  <c r="B5" s="1"/>
  <c r="B10" a="1"/>
  <c r="B10" s="1"/>
  <c r="B15" a="1"/>
  <c r="B15" s="1"/>
  <c r="B21" a="1"/>
  <c r="B21" s="1"/>
  <c r="B26" a="1"/>
  <c r="B26" s="1"/>
  <c r="B31" a="1"/>
  <c r="B31" s="1"/>
  <c r="B37" a="1"/>
  <c r="B37" s="1"/>
  <c r="B42" a="1"/>
  <c r="B42" s="1"/>
  <c r="B47" a="1"/>
  <c r="B47" s="1"/>
  <c r="B53" a="1"/>
  <c r="B53" s="1"/>
  <c r="B58" a="1"/>
  <c r="B58" s="1"/>
  <c r="B63" a="1"/>
  <c r="B63" s="1"/>
  <c r="B69" a="1"/>
  <c r="B69" s="1"/>
  <c r="B74" a="1"/>
  <c r="B74" s="1"/>
  <c r="B79" a="1"/>
  <c r="B79" s="1"/>
  <c r="B85" a="1"/>
  <c r="B85" s="1"/>
  <c r="B90" a="1"/>
  <c r="B90" s="1"/>
  <c r="B95" a="1"/>
  <c r="B95" s="1"/>
  <c r="B101" a="1"/>
  <c r="B101" s="1"/>
  <c r="B110" a="1"/>
  <c r="B110" s="1"/>
  <c r="B119" a="1"/>
  <c r="B119" s="1"/>
  <c r="B128" a="1"/>
  <c r="B128" s="1"/>
  <c r="B133" a="1"/>
  <c r="B133" s="1"/>
  <c r="B142" a="1"/>
  <c r="B142" s="1"/>
  <c r="B151" a="1"/>
  <c r="B151" s="1"/>
  <c r="B160" a="1"/>
  <c r="B160" s="1"/>
  <c r="B165" a="1"/>
  <c r="B165" s="1"/>
  <c r="B174" a="1"/>
  <c r="B174" s="1"/>
  <c r="B183" a="1"/>
  <c r="B183" s="1"/>
  <c r="B192" a="1"/>
  <c r="B192" s="1"/>
  <c r="B197" a="1"/>
  <c r="B197" s="1"/>
  <c r="B206" a="1"/>
  <c r="B206" s="1"/>
  <c r="B215" a="1"/>
  <c r="B215" s="1"/>
  <c r="B224" a="1"/>
  <c r="B224" s="1"/>
  <c r="B229" a="1"/>
  <c r="B229" s="1"/>
  <c r="B238" a="1"/>
  <c r="B238" s="1"/>
  <c r="B247" a="1"/>
  <c r="B247" s="1"/>
  <c r="B256" a="1"/>
  <c r="B256" s="1"/>
  <c r="B261" a="1"/>
  <c r="B261" s="1"/>
  <c r="B270" a="1"/>
  <c r="B270" s="1"/>
  <c r="B279" a="1"/>
  <c r="B279" s="1"/>
  <c r="B288" a="1"/>
  <c r="B288" s="1"/>
  <c r="B293" a="1"/>
  <c r="B293" s="1"/>
  <c r="B302" a="1"/>
  <c r="B302" s="1"/>
  <c r="B311" a="1"/>
  <c r="B311" s="1"/>
  <c r="B320" a="1"/>
  <c r="B320" s="1"/>
  <c r="B325" a="1"/>
  <c r="B325" s="1"/>
  <c r="B334" a="1"/>
  <c r="B334" s="1"/>
  <c r="B343" a="1"/>
  <c r="B343" s="1"/>
  <c r="B347" a="1"/>
  <c r="B347" s="1"/>
  <c r="B351" a="1"/>
  <c r="B351" s="1"/>
  <c r="B355" a="1"/>
  <c r="B355" s="1"/>
  <c r="B6" a="1"/>
  <c r="B6" s="1"/>
  <c r="B11" a="1"/>
  <c r="B11" s="1"/>
  <c r="B17" a="1"/>
  <c r="B17" s="1"/>
  <c r="B22" a="1"/>
  <c r="B22" s="1"/>
  <c r="B27" a="1"/>
  <c r="B27" s="1"/>
  <c r="B33" a="1"/>
  <c r="B33" s="1"/>
  <c r="B38" a="1"/>
  <c r="B38" s="1"/>
  <c r="B43" a="1"/>
  <c r="B43" s="1"/>
  <c r="B49" a="1"/>
  <c r="B49" s="1"/>
  <c r="B54" a="1"/>
  <c r="B54" s="1"/>
  <c r="B59" a="1"/>
  <c r="B59" s="1"/>
  <c r="B65" a="1"/>
  <c r="B65" s="1"/>
  <c r="B70" a="1"/>
  <c r="B70" s="1"/>
  <c r="B75" a="1"/>
  <c r="B75" s="1"/>
  <c r="B81" a="1"/>
  <c r="B81" s="1"/>
  <c r="B86" a="1"/>
  <c r="B86" s="1"/>
  <c r="B91" a="1"/>
  <c r="B91" s="1"/>
  <c r="B97" a="1"/>
  <c r="B97" s="1"/>
  <c r="B102" a="1"/>
  <c r="B102" s="1"/>
  <c r="B111" a="1"/>
  <c r="B111" s="1"/>
  <c r="B120" a="1"/>
  <c r="B120" s="1"/>
  <c r="B125" a="1"/>
  <c r="B125" s="1"/>
  <c r="B134" a="1"/>
  <c r="B134" s="1"/>
  <c r="B143" a="1"/>
  <c r="B143" s="1"/>
  <c r="B152" a="1"/>
  <c r="B152" s="1"/>
  <c r="B157" a="1"/>
  <c r="B157" s="1"/>
  <c r="B166" a="1"/>
  <c r="B166" s="1"/>
  <c r="B175" a="1"/>
  <c r="B175" s="1"/>
  <c r="B184" a="1"/>
  <c r="B184" s="1"/>
  <c r="B189" a="1"/>
  <c r="B189" s="1"/>
  <c r="B198" a="1"/>
  <c r="B198" s="1"/>
  <c r="B207" a="1"/>
  <c r="B207" s="1"/>
  <c r="B216" a="1"/>
  <c r="B216" s="1"/>
  <c r="B221" a="1"/>
  <c r="B221" s="1"/>
  <c r="B230" a="1"/>
  <c r="B230" s="1"/>
  <c r="B239" a="1"/>
  <c r="B239" s="1"/>
  <c r="B248" a="1"/>
  <c r="B248" s="1"/>
  <c r="B253" a="1"/>
  <c r="B253" s="1"/>
  <c r="B262" a="1"/>
  <c r="B262" s="1"/>
  <c r="B271" a="1"/>
  <c r="B271" s="1"/>
  <c r="B280" a="1"/>
  <c r="B280" s="1"/>
  <c r="B285" a="1"/>
  <c r="B285" s="1"/>
  <c r="B294" a="1"/>
  <c r="B294" s="1"/>
  <c r="B303" a="1"/>
  <c r="B303" s="1"/>
  <c r="B312" a="1"/>
  <c r="B312" s="1"/>
  <c r="B317" a="1"/>
  <c r="B317" s="1"/>
  <c r="B326" a="1"/>
  <c r="B326" s="1"/>
  <c r="B335" a="1"/>
  <c r="B335" s="1"/>
  <c r="B344" a="1"/>
  <c r="B344" s="1"/>
  <c r="B348" a="1"/>
  <c r="B348" s="1"/>
  <c r="B352" a="1"/>
  <c r="B352" s="1"/>
  <c r="B356" a="1"/>
  <c r="B356" s="1"/>
  <c r="B360" a="1"/>
  <c r="B360" s="1"/>
  <c r="B364" a="1"/>
  <c r="B364" s="1"/>
  <c r="B368" a="1"/>
  <c r="B368" s="1"/>
  <c r="B372" a="1"/>
  <c r="B372" s="1"/>
  <c r="B376" a="1"/>
  <c r="B376" s="1"/>
  <c r="B380" a="1"/>
  <c r="B380" s="1"/>
  <c r="B384" a="1"/>
  <c r="B384" s="1"/>
  <c r="B388" a="1"/>
  <c r="B388" s="1"/>
  <c r="B392" a="1"/>
  <c r="B392" s="1"/>
  <c r="B396" a="1"/>
  <c r="B396" s="1"/>
  <c r="B400" a="1"/>
  <c r="B400" s="1"/>
  <c r="B404" a="1"/>
  <c r="B404" s="1"/>
  <c r="B408" a="1"/>
  <c r="B408" s="1"/>
  <c r="B412" a="1"/>
  <c r="B412" s="1"/>
  <c r="B416" a="1"/>
  <c r="B416" s="1"/>
  <c r="B420" a="1"/>
  <c r="B420" s="1"/>
  <c r="B424" a="1"/>
  <c r="B424" s="1"/>
  <c r="B428" a="1"/>
  <c r="B428" s="1"/>
  <c r="B432" a="1"/>
  <c r="B432" s="1"/>
  <c r="B436" a="1"/>
  <c r="B436" s="1"/>
  <c r="B440" a="1"/>
  <c r="B440" s="1"/>
  <c r="B444" a="1"/>
  <c r="B444" s="1"/>
  <c r="B448" a="1"/>
  <c r="B448" s="1"/>
  <c r="B452" a="1"/>
  <c r="B452" s="1"/>
  <c r="B456" a="1"/>
  <c r="B456" s="1"/>
  <c r="B460" a="1"/>
  <c r="B460" s="1"/>
  <c r="B464" a="1"/>
  <c r="B464" s="1"/>
  <c r="B468" a="1"/>
  <c r="B468" s="1"/>
  <c r="B472" a="1"/>
  <c r="B472" s="1"/>
  <c r="B476" a="1"/>
  <c r="B476" s="1"/>
  <c r="B30" a="1"/>
  <c r="B30" s="1"/>
  <c r="B39" a="1"/>
  <c r="B39" s="1"/>
  <c r="B73" a="1"/>
  <c r="B73" s="1"/>
  <c r="B82" a="1"/>
  <c r="B82" s="1"/>
  <c r="B107" a="1"/>
  <c r="B107" s="1"/>
  <c r="B129" a="1"/>
  <c r="B129" s="1"/>
  <c r="B150" a="1"/>
  <c r="B150" s="1"/>
  <c r="B158" a="1"/>
  <c r="B158" s="1"/>
  <c r="B172" a="1"/>
  <c r="B172" s="1"/>
  <c r="B180" a="1"/>
  <c r="B180" s="1"/>
  <c r="B202" a="1"/>
  <c r="B202" s="1"/>
  <c r="B209" a="1"/>
  <c r="B209" s="1"/>
  <c r="B217" a="1"/>
  <c r="B217" s="1"/>
  <c r="B223" a="1"/>
  <c r="B223" s="1"/>
  <c r="B231" a="1"/>
  <c r="B231" s="1"/>
  <c r="B275" a="1"/>
  <c r="B275" s="1"/>
  <c r="B282" a="1"/>
  <c r="B282" s="1"/>
  <c r="B14" a="1"/>
  <c r="B14" s="1"/>
  <c r="B23" a="1"/>
  <c r="B23" s="1"/>
  <c r="B57" a="1"/>
  <c r="B57" s="1"/>
  <c r="B66" a="1"/>
  <c r="B66" s="1"/>
  <c r="B99" a="1"/>
  <c r="B99" s="1"/>
  <c r="B115" a="1"/>
  <c r="B115" s="1"/>
  <c r="B122" a="1"/>
  <c r="B122" s="1"/>
  <c r="B130" a="1"/>
  <c r="B130" s="1"/>
  <c r="B136" a="1"/>
  <c r="B136" s="1"/>
  <c r="B144" a="1"/>
  <c r="B144" s="1"/>
  <c r="B173" a="1"/>
  <c r="B173" s="1"/>
  <c r="B181" a="1"/>
  <c r="B181" s="1"/>
  <c r="B188" a="1"/>
  <c r="B188" s="1"/>
  <c r="B195" a="1"/>
  <c r="B195" s="1"/>
  <c r="B203" a="1"/>
  <c r="B203" s="1"/>
  <c r="B225" a="1"/>
  <c r="B225" s="1"/>
  <c r="B246" a="1"/>
  <c r="B246" s="1"/>
  <c r="B254" a="1"/>
  <c r="B254" s="1"/>
  <c r="B268" a="1"/>
  <c r="B268" s="1"/>
  <c r="B276" a="1"/>
  <c r="B276" s="1"/>
  <c r="B298" a="1"/>
  <c r="B298" s="1"/>
  <c r="B305" a="1"/>
  <c r="B305" s="1"/>
  <c r="B313" a="1"/>
  <c r="B313" s="1"/>
  <c r="B319" a="1"/>
  <c r="B319" s="1"/>
  <c r="B327" a="1"/>
  <c r="B327" s="1"/>
  <c r="B354" a="1"/>
  <c r="B354" s="1"/>
  <c r="B371" a="1"/>
  <c r="B371" s="1"/>
  <c r="B387" a="1"/>
  <c r="B387" s="1"/>
  <c r="B25" a="1"/>
  <c r="B25" s="1"/>
  <c r="B34" a="1"/>
  <c r="B34" s="1"/>
  <c r="B67" a="1"/>
  <c r="B67" s="1"/>
  <c r="B77" a="1"/>
  <c r="B77" s="1"/>
  <c r="B109" a="1"/>
  <c r="B109" s="1"/>
  <c r="B117" a="1"/>
  <c r="B117" s="1"/>
  <c r="B124" a="1"/>
  <c r="B124" s="1"/>
  <c r="B131" a="1"/>
  <c r="B131" s="1"/>
  <c r="B139" a="1"/>
  <c r="B139" s="1"/>
  <c r="B161" a="1"/>
  <c r="B161" s="1"/>
  <c r="B182" a="1"/>
  <c r="B182" s="1"/>
  <c r="B190" a="1"/>
  <c r="B190" s="1"/>
  <c r="B204" a="1"/>
  <c r="B204" s="1"/>
  <c r="B212" a="1"/>
  <c r="B212" s="1"/>
  <c r="B234" a="1"/>
  <c r="B234" s="1"/>
  <c r="B241" a="1"/>
  <c r="B241" s="1"/>
  <c r="B249" a="1"/>
  <c r="B249" s="1"/>
  <c r="B255" a="1"/>
  <c r="B255" s="1"/>
  <c r="B263" a="1"/>
  <c r="B263" s="1"/>
  <c r="B307" a="1"/>
  <c r="B307" s="1"/>
  <c r="B314" a="1"/>
  <c r="B314" s="1"/>
  <c r="B322" a="1"/>
  <c r="B322" s="1"/>
  <c r="B328" a="1"/>
  <c r="B328" s="1"/>
  <c r="B336" a="1"/>
  <c r="B336" s="1"/>
  <c r="B367" a="1"/>
  <c r="B367" s="1"/>
  <c r="B383" a="1"/>
  <c r="B383" s="1"/>
  <c r="B403" a="1"/>
  <c r="B403" s="1"/>
  <c r="B417" a="1"/>
  <c r="B417" s="1"/>
  <c r="B426" a="1"/>
  <c r="B426" s="1"/>
  <c r="B435" a="1"/>
  <c r="B435" s="1"/>
  <c r="B449" a="1"/>
  <c r="B449" s="1"/>
  <c r="B458" a="1"/>
  <c r="B458" s="1"/>
  <c r="B467" a="1"/>
  <c r="B467" s="1"/>
  <c r="B7" a="1"/>
  <c r="B7" s="1"/>
  <c r="B19" a="1"/>
  <c r="B19" s="1"/>
  <c r="B9" a="1"/>
  <c r="B9" s="1"/>
  <c r="B35" a="1"/>
  <c r="B35" s="1"/>
  <c r="B50" a="1"/>
  <c r="B50" s="1"/>
  <c r="B62" a="1"/>
  <c r="B62" s="1"/>
  <c r="B89" a="1"/>
  <c r="B89" s="1"/>
  <c r="B116" a="1"/>
  <c r="B116" s="1"/>
  <c r="B208" a="1"/>
  <c r="B208" s="1"/>
  <c r="B232" a="1"/>
  <c r="B232" s="1"/>
  <c r="B244" a="1"/>
  <c r="B244" s="1"/>
  <c r="B257" a="1"/>
  <c r="B257" s="1"/>
  <c r="B267" a="1"/>
  <c r="B267" s="1"/>
  <c r="B290" a="1"/>
  <c r="B290" s="1"/>
  <c r="B300" a="1"/>
  <c r="B300" s="1"/>
  <c r="B29" a="1"/>
  <c r="B29" s="1"/>
  <c r="B55" a="1"/>
  <c r="B55" s="1"/>
  <c r="B83" a="1"/>
  <c r="B83" s="1"/>
  <c r="B121" a="1"/>
  <c r="B121" s="1"/>
  <c r="B145" a="1"/>
  <c r="B145" s="1"/>
  <c r="B156" a="1"/>
  <c r="B156" s="1"/>
  <c r="B168" a="1"/>
  <c r="B168" s="1"/>
  <c r="B179" a="1"/>
  <c r="B179" s="1"/>
  <c r="B191" a="1"/>
  <c r="B191" s="1"/>
  <c r="B214" a="1"/>
  <c r="B214" s="1"/>
  <c r="B227" a="1"/>
  <c r="B227" s="1"/>
  <c r="B237" a="1"/>
  <c r="B237" s="1"/>
  <c r="B250" a="1"/>
  <c r="B250" s="1"/>
  <c r="B273" a="1"/>
  <c r="B273" s="1"/>
  <c r="B286" a="1"/>
  <c r="B286" s="1"/>
  <c r="B295" a="1"/>
  <c r="B295" s="1"/>
  <c r="B304" a="1"/>
  <c r="B304" s="1"/>
  <c r="B333" a="1"/>
  <c r="B333" s="1"/>
  <c r="B374" a="1"/>
  <c r="B374" s="1"/>
  <c r="B381" a="1"/>
  <c r="B381" s="1"/>
  <c r="B389" a="1"/>
  <c r="B389" s="1"/>
  <c r="B395" a="1"/>
  <c r="B395" s="1"/>
  <c r="B421" a="1"/>
  <c r="B421" s="1"/>
  <c r="B437" a="1"/>
  <c r="B437" s="1"/>
  <c r="B442" a="1"/>
  <c r="B442" s="1"/>
  <c r="B447" a="1"/>
  <c r="B447" s="1"/>
  <c r="B463" a="1"/>
  <c r="B463" s="1"/>
  <c r="B483" a="1"/>
  <c r="B483" s="1"/>
  <c r="B492" a="1"/>
  <c r="B492" s="1"/>
  <c r="B497" a="1"/>
  <c r="B497" s="1"/>
  <c r="B506" a="1"/>
  <c r="B506" s="1"/>
  <c r="B515" a="1"/>
  <c r="B515" s="1"/>
  <c r="B524" a="1"/>
  <c r="B524" s="1"/>
  <c r="B529" a="1"/>
  <c r="B529" s="1"/>
  <c r="B538" a="1"/>
  <c r="B538" s="1"/>
  <c r="B547" a="1"/>
  <c r="B547" s="1"/>
  <c r="B556" a="1"/>
  <c r="B556" s="1"/>
  <c r="B561" a="1"/>
  <c r="B561" s="1"/>
  <c r="B570" a="1"/>
  <c r="B570" s="1"/>
  <c r="B579" a="1"/>
  <c r="B579" s="1"/>
  <c r="B588" a="1"/>
  <c r="B588" s="1"/>
  <c r="B593" a="1"/>
  <c r="B593" s="1"/>
  <c r="B602" a="1"/>
  <c r="B602" s="1"/>
  <c r="B611" a="1"/>
  <c r="B611" s="1"/>
  <c r="B620" a="1"/>
  <c r="B620" s="1"/>
  <c r="B625" a="1"/>
  <c r="B625" s="1"/>
  <c r="B46" a="1"/>
  <c r="B46" s="1"/>
  <c r="B103" a="1"/>
  <c r="B103" s="1"/>
  <c r="B118" a="1"/>
  <c r="B118" s="1"/>
  <c r="B149" a="1"/>
  <c r="B149" s="1"/>
  <c r="B213" a="1"/>
  <c r="B213" s="1"/>
  <c r="B243" a="1"/>
  <c r="B243" s="1"/>
  <c r="B289" a="1"/>
  <c r="B289" s="1"/>
  <c r="B337" a="1"/>
  <c r="B337" s="1"/>
  <c r="B346" a="1"/>
  <c r="B346" s="1"/>
  <c r="B357" a="1"/>
  <c r="B357" s="1"/>
  <c r="B373" a="1"/>
  <c r="B373" s="1"/>
  <c r="B402" a="1"/>
  <c r="B402" s="1"/>
  <c r="B414" a="1"/>
  <c r="B414" s="1"/>
  <c r="B438" a="1"/>
  <c r="B438" s="1"/>
  <c r="B450" a="1"/>
  <c r="B450" s="1"/>
  <c r="B474" a="1"/>
  <c r="B474" s="1"/>
  <c r="B485" a="1"/>
  <c r="B485" s="1"/>
  <c r="B490" a="1"/>
  <c r="B490" s="1"/>
  <c r="B495" a="1"/>
  <c r="B495" s="1"/>
  <c r="B500" a="1"/>
  <c r="B500" s="1"/>
  <c r="B511" a="1"/>
  <c r="B511" s="1"/>
  <c r="B516" a="1"/>
  <c r="B516" s="1"/>
  <c r="B537" a="1"/>
  <c r="B537" s="1"/>
  <c r="B542" a="1"/>
  <c r="B542" s="1"/>
  <c r="B553" a="1"/>
  <c r="B553" s="1"/>
  <c r="B558" a="1"/>
  <c r="B558" s="1"/>
  <c r="B563" a="1"/>
  <c r="B563" s="1"/>
  <c r="B568" a="1"/>
  <c r="B568" s="1"/>
  <c r="B584" a="1"/>
  <c r="B584" s="1"/>
  <c r="B605" a="1"/>
  <c r="B605" s="1"/>
  <c r="B610" a="1"/>
  <c r="B610" s="1"/>
  <c r="B615" a="1"/>
  <c r="B615" s="1"/>
  <c r="B621" a="1"/>
  <c r="B621" s="1"/>
  <c r="B626" a="1"/>
  <c r="B626" s="1"/>
  <c r="B631" a="1"/>
  <c r="B631" s="1"/>
  <c r="B640" a="1"/>
  <c r="B640" s="1"/>
  <c r="B51" a="1"/>
  <c r="B51" s="1"/>
  <c r="B87" a="1"/>
  <c r="B87" s="1"/>
  <c r="B104" a="1"/>
  <c r="B104" s="1"/>
  <c r="B135" a="1"/>
  <c r="B135" s="1"/>
  <c r="B153" a="1"/>
  <c r="B153" s="1"/>
  <c r="B167" a="1"/>
  <c r="B167" s="1"/>
  <c r="B199" a="1"/>
  <c r="B199" s="1"/>
  <c r="B245" a="1"/>
  <c r="B245" s="1"/>
  <c r="B259" a="1"/>
  <c r="B259" s="1"/>
  <c r="B277" a="1"/>
  <c r="B277" s="1"/>
  <c r="B291" a="1"/>
  <c r="B291" s="1"/>
  <c r="B316" a="1"/>
  <c r="B316" s="1"/>
  <c r="B365" a="1"/>
  <c r="B365" s="1"/>
  <c r="B382" a="1"/>
  <c r="B382" s="1"/>
  <c r="B390" a="1"/>
  <c r="B390" s="1"/>
  <c r="B397" a="1"/>
  <c r="B397" s="1"/>
  <c r="B409" a="1"/>
  <c r="B409" s="1"/>
  <c r="B427" a="1"/>
  <c r="B427" s="1"/>
  <c r="B433" a="1"/>
  <c r="B433" s="1"/>
  <c r="B445" a="1"/>
  <c r="B445" s="1"/>
  <c r="B462" a="1"/>
  <c r="B462" s="1"/>
  <c r="B469" a="1"/>
  <c r="B469" s="1"/>
  <c r="B480" a="1"/>
  <c r="B480" s="1"/>
  <c r="B501" a="1"/>
  <c r="B501" s="1"/>
  <c r="B517" a="1"/>
  <c r="B517" s="1"/>
  <c r="B522" a="1"/>
  <c r="B522" s="1"/>
  <c r="B527" a="1"/>
  <c r="B527" s="1"/>
  <c r="B532" a="1"/>
  <c r="B532" s="1"/>
  <c r="B543" a="1"/>
  <c r="B543" s="1"/>
  <c r="B548" a="1"/>
  <c r="B548" s="1"/>
  <c r="B569" a="1"/>
  <c r="B569" s="1"/>
  <c r="B574" a="1"/>
  <c r="B574" s="1"/>
  <c r="B585" a="1"/>
  <c r="B585" s="1"/>
  <c r="B590" a="1"/>
  <c r="B590" s="1"/>
  <c r="B595" a="1"/>
  <c r="B595" s="1"/>
  <c r="B600" a="1"/>
  <c r="B600" s="1"/>
  <c r="B616" a="1"/>
  <c r="B616" s="1"/>
  <c r="B636" a="1"/>
  <c r="B636" s="1"/>
  <c r="B641" a="1"/>
  <c r="B641" s="1"/>
  <c r="B650" a="1"/>
  <c r="B650" s="1"/>
  <c r="B659" a="1"/>
  <c r="B659" s="1"/>
  <c r="B668" a="1"/>
  <c r="B668" s="1"/>
  <c r="B673" a="1"/>
  <c r="B673" s="1"/>
  <c r="B682" a="1"/>
  <c r="B682" s="1"/>
  <c r="B691" a="1"/>
  <c r="B691" s="1"/>
  <c r="B41" a="1"/>
  <c r="B41" s="1"/>
  <c r="B61" a="1"/>
  <c r="B61" s="1"/>
  <c r="B78" a="1"/>
  <c r="B78" s="1"/>
  <c r="B112" a="1"/>
  <c r="B112" s="1"/>
  <c r="B127" a="1"/>
  <c r="B127" s="1"/>
  <c r="B159" a="1"/>
  <c r="B159" s="1"/>
  <c r="B176" a="1"/>
  <c r="B176" s="1"/>
  <c r="B222" a="1"/>
  <c r="B222" s="1"/>
  <c r="B236" a="1"/>
  <c r="B236" s="1"/>
  <c r="B252" a="1"/>
  <c r="B252" s="1"/>
  <c r="B269" a="1"/>
  <c r="B269" s="1"/>
  <c r="B284" a="1"/>
  <c r="B284" s="1"/>
  <c r="B296" a="1"/>
  <c r="B296" s="1"/>
  <c r="B321" a="1"/>
  <c r="B321" s="1"/>
  <c r="B342" a="1"/>
  <c r="B342" s="1"/>
  <c r="B353" a="1"/>
  <c r="B353" s="1"/>
  <c r="B362" a="1"/>
  <c r="B362" s="1"/>
  <c r="B378" a="1"/>
  <c r="B378" s="1"/>
  <c r="B393" a="1"/>
  <c r="B393" s="1"/>
  <c r="B406" a="1"/>
  <c r="B406" s="1"/>
  <c r="B418" a="1"/>
  <c r="B418" s="1"/>
  <c r="B454" a="1"/>
  <c r="B454" s="1"/>
  <c r="B471" a="1"/>
  <c r="B471" s="1"/>
  <c r="B488" a="1"/>
  <c r="B488" s="1"/>
  <c r="B509" a="1"/>
  <c r="B509" s="1"/>
  <c r="B514" a="1"/>
  <c r="B514" s="1"/>
  <c r="B519" a="1"/>
  <c r="B519" s="1"/>
  <c r="B525" a="1"/>
  <c r="B525" s="1"/>
  <c r="B530" a="1"/>
  <c r="B530" s="1"/>
  <c r="B535" a="1"/>
  <c r="B535" s="1"/>
  <c r="B540" a="1"/>
  <c r="B540" s="1"/>
  <c r="B577" a="1"/>
  <c r="B577" s="1"/>
  <c r="B582" a="1"/>
  <c r="B582" s="1"/>
  <c r="B587" a="1"/>
  <c r="B587" s="1"/>
  <c r="B592" a="1"/>
  <c r="B592" s="1"/>
  <c r="B598" a="1"/>
  <c r="B598" s="1"/>
  <c r="B603" a="1"/>
  <c r="B603" s="1"/>
  <c r="B608" a="1"/>
  <c r="B608" s="1"/>
  <c r="B629" a="1"/>
  <c r="B629" s="1"/>
  <c r="B634" a="1"/>
  <c r="B634" s="1"/>
  <c r="B643" a="1"/>
  <c r="B643" s="1"/>
  <c r="B652" a="1"/>
  <c r="B652" s="1"/>
  <c r="B657" a="1"/>
  <c r="B657" s="1"/>
  <c r="B666" a="1"/>
  <c r="B666" s="1"/>
  <c r="B675" a="1"/>
  <c r="B675" s="1"/>
  <c r="B684" a="1"/>
  <c r="B684" s="1"/>
  <c r="B689" a="1"/>
  <c r="B689" s="1"/>
  <c r="B698" a="1"/>
  <c r="B698" s="1"/>
  <c r="B707" a="1"/>
  <c r="B707" s="1"/>
  <c r="B716" a="1"/>
  <c r="B716" s="1"/>
  <c r="B721" a="1"/>
  <c r="B721" s="1"/>
  <c r="B730" a="1"/>
  <c r="B730" s="1"/>
  <c r="B739" a="1"/>
  <c r="B739" s="1"/>
  <c r="B748" a="1"/>
  <c r="B748" s="1"/>
  <c r="B753" a="1"/>
  <c r="B753" s="1"/>
  <c r="B762" a="1"/>
  <c r="B762" s="1"/>
  <c r="B771" a="1"/>
  <c r="B771" s="1"/>
  <c r="B780" a="1"/>
  <c r="B780" s="1"/>
  <c r="B785" a="1"/>
  <c r="B785" s="1"/>
  <c r="B794" a="1"/>
  <c r="B794" s="1"/>
  <c r="B803" a="1"/>
  <c r="B803" s="1"/>
  <c r="B812" a="1"/>
  <c r="B812" s="1"/>
  <c r="B817" a="1"/>
  <c r="B817" s="1"/>
  <c r="B826" a="1"/>
  <c r="B826" s="1"/>
  <c r="B835" a="1"/>
  <c r="B835" s="1"/>
  <c r="B844" a="1"/>
  <c r="B844" s="1"/>
  <c r="B849" a="1"/>
  <c r="B849" s="1"/>
  <c r="B858" a="1"/>
  <c r="B858" s="1"/>
  <c r="B867" a="1"/>
  <c r="B867" s="1"/>
  <c r="B13" a="1"/>
  <c r="B13" s="1"/>
  <c r="B45" a="1"/>
  <c r="B45" s="1"/>
  <c r="B126" a="1"/>
  <c r="B126" s="1"/>
  <c r="B154" a="1"/>
  <c r="B154" s="1"/>
  <c r="B177" a="1"/>
  <c r="B177" s="1"/>
  <c r="B200" a="1"/>
  <c r="B200" s="1"/>
  <c r="B226" a="1"/>
  <c r="B226" s="1"/>
  <c r="B278" a="1"/>
  <c r="B278" s="1"/>
  <c r="B299" a="1"/>
  <c r="B299" s="1"/>
  <c r="B318" a="1"/>
  <c r="B318" s="1"/>
  <c r="B366" a="1"/>
  <c r="B366" s="1"/>
  <c r="B379" a="1"/>
  <c r="B379" s="1"/>
  <c r="B411" a="1"/>
  <c r="B411" s="1"/>
  <c r="B422" a="1"/>
  <c r="B422" s="1"/>
  <c r="B430" a="1"/>
  <c r="B430" s="1"/>
  <c r="B459" a="1"/>
  <c r="B459" s="1"/>
  <c r="B478" a="1"/>
  <c r="B478" s="1"/>
  <c r="B503" a="1"/>
  <c r="B503" s="1"/>
  <c r="B512" a="1"/>
  <c r="B512" s="1"/>
  <c r="B520" a="1"/>
  <c r="B520" s="1"/>
  <c r="B528" a="1"/>
  <c r="B528" s="1"/>
  <c r="B536" a="1"/>
  <c r="B536" s="1"/>
  <c r="B545" a="1"/>
  <c r="B545" s="1"/>
  <c r="B554" a="1"/>
  <c r="B554" s="1"/>
  <c r="B562" a="1"/>
  <c r="B562" s="1"/>
  <c r="B578" a="1"/>
  <c r="B578" s="1"/>
  <c r="B612" a="1"/>
  <c r="B612" s="1"/>
  <c r="B628" a="1"/>
  <c r="B628" s="1"/>
  <c r="B637" a="1"/>
  <c r="B637" s="1"/>
  <c r="B662" a="1"/>
  <c r="B662" s="1"/>
  <c r="B674" a="1"/>
  <c r="B674" s="1"/>
  <c r="B680" a="1"/>
  <c r="B680" s="1"/>
  <c r="B686" a="1"/>
  <c r="B686" s="1"/>
  <c r="B692" a="1"/>
  <c r="B692" s="1"/>
  <c r="B703" a="1"/>
  <c r="B703" s="1"/>
  <c r="B708" a="1"/>
  <c r="B708" s="1"/>
  <c r="B729" a="1"/>
  <c r="B729" s="1"/>
  <c r="B734" a="1"/>
  <c r="B734" s="1"/>
  <c r="B745" a="1"/>
  <c r="B745" s="1"/>
  <c r="B750" a="1"/>
  <c r="B750" s="1"/>
  <c r="B755" a="1"/>
  <c r="B755" s="1"/>
  <c r="B760" a="1"/>
  <c r="B760" s="1"/>
  <c r="B776" a="1"/>
  <c r="B776" s="1"/>
  <c r="B797" a="1"/>
  <c r="B797" s="1"/>
  <c r="B802" a="1"/>
  <c r="B802" s="1"/>
  <c r="B807" a="1"/>
  <c r="B807" s="1"/>
  <c r="B813" a="1"/>
  <c r="B813" s="1"/>
  <c r="B818" a="1"/>
  <c r="B818" s="1"/>
  <c r="B823" a="1"/>
  <c r="B823" s="1"/>
  <c r="B828" a="1"/>
  <c r="B828" s="1"/>
  <c r="B865" a="1"/>
  <c r="B865" s="1"/>
  <c r="B870" a="1"/>
  <c r="B870" s="1"/>
  <c r="B879" a="1"/>
  <c r="B879" s="1"/>
  <c r="B884" a="1"/>
  <c r="B884" s="1"/>
  <c r="B893" a="1"/>
  <c r="B893" s="1"/>
  <c r="B902" a="1"/>
  <c r="B902" s="1"/>
  <c r="B911" a="1"/>
  <c r="B911" s="1"/>
  <c r="B916" a="1"/>
  <c r="B916" s="1"/>
  <c r="B925" a="1"/>
  <c r="B925" s="1"/>
  <c r="B934" a="1"/>
  <c r="B934" s="1"/>
  <c r="B943" a="1"/>
  <c r="B943" s="1"/>
  <c r="B948" a="1"/>
  <c r="B948" s="1"/>
  <c r="B957" a="1"/>
  <c r="B957" s="1"/>
  <c r="B966" a="1"/>
  <c r="B966" s="1"/>
  <c r="B975" a="1"/>
  <c r="B975" s="1"/>
  <c r="B980" a="1"/>
  <c r="B980" s="1"/>
  <c r="B989" a="1"/>
  <c r="B989" s="1"/>
  <c r="B998" a="1"/>
  <c r="B998" s="1"/>
  <c r="B18" a="1"/>
  <c r="B18" s="1"/>
  <c r="B106" a="1"/>
  <c r="B106" s="1"/>
  <c r="B205" a="1"/>
  <c r="B205" s="1"/>
  <c r="B281" a="1"/>
  <c r="B281" s="1"/>
  <c r="B301" a="1"/>
  <c r="B301" s="1"/>
  <c r="B339" a="1"/>
  <c r="B339" s="1"/>
  <c r="B413" a="1"/>
  <c r="B413" s="1"/>
  <c r="B431" a="1"/>
  <c r="B431" s="1"/>
  <c r="B441" a="1"/>
  <c r="B441" s="1"/>
  <c r="B451" a="1"/>
  <c r="B451" s="1"/>
  <c r="B470" a="1"/>
  <c r="B470" s="1"/>
  <c r="B479" a="1"/>
  <c r="B479" s="1"/>
  <c r="B487" a="1"/>
  <c r="B487" s="1"/>
  <c r="B496" a="1"/>
  <c r="B496" s="1"/>
  <c r="B504" a="1"/>
  <c r="B504" s="1"/>
  <c r="B513" a="1"/>
  <c r="B513" s="1"/>
  <c r="B521" a="1"/>
  <c r="B521" s="1"/>
  <c r="B546" a="1"/>
  <c r="B546" s="1"/>
  <c r="B571" a="1"/>
  <c r="B571" s="1"/>
  <c r="B580" a="1"/>
  <c r="B580" s="1"/>
  <c r="B596" a="1"/>
  <c r="B596" s="1"/>
  <c r="B604" a="1"/>
  <c r="B604" s="1"/>
  <c r="B613" a="1"/>
  <c r="B613" s="1"/>
  <c r="B622" a="1"/>
  <c r="B622" s="1"/>
  <c r="B630" a="1"/>
  <c r="B630" s="1"/>
  <c r="B644" a="1"/>
  <c r="B644" s="1"/>
  <c r="B656" a="1"/>
  <c r="B656" s="1"/>
  <c r="B669" a="1"/>
  <c r="B669" s="1"/>
  <c r="B681" a="1"/>
  <c r="B681" s="1"/>
  <c r="B687" a="1"/>
  <c r="B687" s="1"/>
  <c r="B693" a="1"/>
  <c r="B693" s="1"/>
  <c r="B709" a="1"/>
  <c r="B709" s="1"/>
  <c r="B714" a="1"/>
  <c r="B714" s="1"/>
  <c r="B719" a="1"/>
  <c r="B719" s="1"/>
  <c r="B724" a="1"/>
  <c r="B724" s="1"/>
  <c r="B735" a="1"/>
  <c r="B735" s="1"/>
  <c r="B740" a="1"/>
  <c r="B740" s="1"/>
  <c r="B761" a="1"/>
  <c r="B761" s="1"/>
  <c r="B766" a="1"/>
  <c r="B766" s="1"/>
  <c r="B777" a="1"/>
  <c r="B777" s="1"/>
  <c r="B782" a="1"/>
  <c r="B782" s="1"/>
  <c r="B787" a="1"/>
  <c r="B787" s="1"/>
  <c r="B792" a="1"/>
  <c r="B792" s="1"/>
  <c r="B808" a="1"/>
  <c r="B808" s="1"/>
  <c r="B829" a="1"/>
  <c r="B829" s="1"/>
  <c r="B834" a="1"/>
  <c r="B834" s="1"/>
  <c r="B839" a="1"/>
  <c r="B839" s="1"/>
  <c r="B845" a="1"/>
  <c r="B845" s="1"/>
  <c r="B850" a="1"/>
  <c r="B850" s="1"/>
  <c r="B855" a="1"/>
  <c r="B855" s="1"/>
  <c r="B860" a="1"/>
  <c r="B860" s="1"/>
  <c r="B875" a="1"/>
  <c r="B875" s="1"/>
  <c r="B880" a="1"/>
  <c r="B880" s="1"/>
  <c r="B889" a="1"/>
  <c r="B889" s="1"/>
  <c r="B898" a="1"/>
  <c r="B898" s="1"/>
  <c r="B907" a="1"/>
  <c r="B907" s="1"/>
  <c r="B912" a="1"/>
  <c r="B912" s="1"/>
  <c r="B921" a="1"/>
  <c r="B921" s="1"/>
  <c r="B930" a="1"/>
  <c r="B930" s="1"/>
  <c r="B939" a="1"/>
  <c r="B939" s="1"/>
  <c r="B944" a="1"/>
  <c r="B944" s="1"/>
  <c r="B953" a="1"/>
  <c r="B953" s="1"/>
  <c r="B962" a="1"/>
  <c r="B962" s="1"/>
  <c r="B971" a="1"/>
  <c r="B971" s="1"/>
  <c r="B976" a="1"/>
  <c r="B976" s="1"/>
  <c r="B985" a="1"/>
  <c r="B985" s="1"/>
  <c r="B994" a="1"/>
  <c r="B994" s="1"/>
  <c r="B108" a="1"/>
  <c r="B108" s="1"/>
  <c r="B185" a="1"/>
  <c r="B185" s="1"/>
  <c r="B235" a="1"/>
  <c r="B235" s="1"/>
  <c r="B258" a="1"/>
  <c r="B258" s="1"/>
  <c r="B340" a="1"/>
  <c r="B340" s="1"/>
  <c r="B369" a="1"/>
  <c r="B369" s="1"/>
  <c r="B394" a="1"/>
  <c r="B394" s="1"/>
  <c r="B423" a="1"/>
  <c r="B423" s="1"/>
  <c r="B461" a="1"/>
  <c r="B461" s="1"/>
  <c r="B481" a="1"/>
  <c r="B481" s="1"/>
  <c r="B489" a="1"/>
  <c r="B489" s="1"/>
  <c r="B505" a="1"/>
  <c r="B505" s="1"/>
  <c r="B539" a="1"/>
  <c r="B539" s="1"/>
  <c r="B555" a="1"/>
  <c r="B555" s="1"/>
  <c r="B564" a="1"/>
  <c r="B564" s="1"/>
  <c r="B572" a="1"/>
  <c r="B572" s="1"/>
  <c r="B581" a="1"/>
  <c r="B581" s="1"/>
  <c r="B589" a="1"/>
  <c r="B589" s="1"/>
  <c r="B597" a="1"/>
  <c r="B597" s="1"/>
  <c r="B606" a="1"/>
  <c r="B606" s="1"/>
  <c r="B614" a="1"/>
  <c r="B614" s="1"/>
  <c r="B638" a="1"/>
  <c r="B638" s="1"/>
  <c r="B645" a="1"/>
  <c r="B645" s="1"/>
  <c r="B651" a="1"/>
  <c r="B651" s="1"/>
  <c r="B663" a="1"/>
  <c r="B663" s="1"/>
  <c r="B694" a="1"/>
  <c r="B694" s="1"/>
  <c r="B699" a="1"/>
  <c r="B699" s="1"/>
  <c r="B704" a="1"/>
  <c r="B704" s="1"/>
  <c r="B725" a="1"/>
  <c r="B725" s="1"/>
  <c r="B741" a="1"/>
  <c r="B741" s="1"/>
  <c r="B746" a="1"/>
  <c r="B746" s="1"/>
  <c r="B751" a="1"/>
  <c r="B751" s="1"/>
  <c r="B756" a="1"/>
  <c r="B756" s="1"/>
  <c r="B767" a="1"/>
  <c r="B767" s="1"/>
  <c r="B772" a="1"/>
  <c r="B772" s="1"/>
  <c r="B793" a="1"/>
  <c r="B793" s="1"/>
  <c r="B798" a="1"/>
  <c r="B798" s="1"/>
  <c r="B809" a="1"/>
  <c r="B809" s="1"/>
  <c r="B814" a="1"/>
  <c r="B814" s="1"/>
  <c r="B819" a="1"/>
  <c r="B819" s="1"/>
  <c r="B824" a="1"/>
  <c r="B824" s="1"/>
  <c r="B840" a="1"/>
  <c r="B840" s="1"/>
  <c r="B138" a="1"/>
  <c r="B138" s="1"/>
  <c r="B162" a="1"/>
  <c r="B162" s="1"/>
  <c r="B186" a="1"/>
  <c r="B186" s="1"/>
  <c r="B211" a="1"/>
  <c r="B211" s="1"/>
  <c r="B308" a="1"/>
  <c r="B308" s="1"/>
  <c r="B323" a="1"/>
  <c r="B323" s="1"/>
  <c r="B341" a="1"/>
  <c r="B341" s="1"/>
  <c r="B358" a="1"/>
  <c r="B358" s="1"/>
  <c r="B370" a="1"/>
  <c r="B370" s="1"/>
  <c r="B405" a="1"/>
  <c r="B405" s="1"/>
  <c r="B415" a="1"/>
  <c r="B415" s="1"/>
  <c r="B434" a="1"/>
  <c r="B434" s="1"/>
  <c r="B443" a="1"/>
  <c r="B443" s="1"/>
  <c r="B453" a="1"/>
  <c r="B453" s="1"/>
  <c r="B498" a="1"/>
  <c r="B498" s="1"/>
  <c r="B507" a="1"/>
  <c r="B507" s="1"/>
  <c r="B523" a="1"/>
  <c r="B523" s="1"/>
  <c r="B531" a="1"/>
  <c r="B531" s="1"/>
  <c r="B549" a="1"/>
  <c r="B549" s="1"/>
  <c r="B557" a="1"/>
  <c r="B557" s="1"/>
  <c r="B565" a="1"/>
  <c r="B565" s="1"/>
  <c r="B573" a="1"/>
  <c r="B573" s="1"/>
  <c r="B607" a="1"/>
  <c r="B607" s="1"/>
  <c r="B623" a="1"/>
  <c r="B623" s="1"/>
  <c r="B632" a="1"/>
  <c r="B632" s="1"/>
  <c r="B639" a="1"/>
  <c r="B639" s="1"/>
  <c r="B646" a="1"/>
  <c r="B646" s="1"/>
  <c r="B658" a="1"/>
  <c r="B658" s="1"/>
  <c r="B664" a="1"/>
  <c r="B664" s="1"/>
  <c r="B670" a="1"/>
  <c r="B670" s="1"/>
  <c r="B676" a="1"/>
  <c r="B676" s="1"/>
  <c r="B688" a="1"/>
  <c r="B688" s="1"/>
  <c r="B705" a="1"/>
  <c r="B705" s="1"/>
  <c r="B710" a="1"/>
  <c r="B710" s="1"/>
  <c r="B715" a="1"/>
  <c r="B715" s="1"/>
  <c r="B720" a="1"/>
  <c r="B720" s="1"/>
  <c r="B726" a="1"/>
  <c r="B726" s="1"/>
  <c r="B731" a="1"/>
  <c r="B731" s="1"/>
  <c r="B736" a="1"/>
  <c r="B736" s="1"/>
  <c r="B757" a="1"/>
  <c r="B757" s="1"/>
  <c r="B773" a="1"/>
  <c r="B773" s="1"/>
  <c r="B778" a="1"/>
  <c r="B778" s="1"/>
  <c r="B783" a="1"/>
  <c r="B783" s="1"/>
  <c r="B788" a="1"/>
  <c r="B788" s="1"/>
  <c r="B799" a="1"/>
  <c r="B799" s="1"/>
  <c r="B804" a="1"/>
  <c r="B804" s="1"/>
  <c r="B825" a="1"/>
  <c r="B825" s="1"/>
  <c r="B830" a="1"/>
  <c r="B830" s="1"/>
  <c r="B841" a="1"/>
  <c r="B841" s="1"/>
  <c r="B846" a="1"/>
  <c r="B846" s="1"/>
  <c r="B851" a="1"/>
  <c r="B851" s="1"/>
  <c r="B856" a="1"/>
  <c r="B856" s="1"/>
  <c r="B872" a="1"/>
  <c r="B872" s="1"/>
  <c r="B881" a="1"/>
  <c r="B881" s="1"/>
  <c r="B890" a="1"/>
  <c r="B890" s="1"/>
  <c r="B899" a="1"/>
  <c r="B899" s="1"/>
  <c r="B904" a="1"/>
  <c r="B904" s="1"/>
  <c r="B913" a="1"/>
  <c r="B913" s="1"/>
  <c r="B922" a="1"/>
  <c r="B922" s="1"/>
  <c r="B931" a="1"/>
  <c r="B931" s="1"/>
  <c r="B936" a="1"/>
  <c r="B936" s="1"/>
  <c r="B945" a="1"/>
  <c r="B945" s="1"/>
  <c r="B954" a="1"/>
  <c r="B954" s="1"/>
  <c r="B963" a="1"/>
  <c r="B963" s="1"/>
  <c r="B968" a="1"/>
  <c r="B968" s="1"/>
  <c r="B977" a="1"/>
  <c r="B977" s="1"/>
  <c r="B986" a="1"/>
  <c r="B986" s="1"/>
  <c r="B995" a="1"/>
  <c r="B995" s="1"/>
  <c r="B1000" a="1"/>
  <c r="B1000" s="1"/>
  <c r="B987" a="1"/>
  <c r="B987" s="1"/>
  <c r="B979" a="1"/>
  <c r="B979" s="1"/>
  <c r="B973" a="1"/>
  <c r="B973" s="1"/>
  <c r="B965" a="1"/>
  <c r="B965" s="1"/>
  <c r="B958" a="1"/>
  <c r="B958" s="1"/>
  <c r="B914" a="1"/>
  <c r="B914" s="1"/>
  <c r="B906" a="1"/>
  <c r="B906" s="1"/>
  <c r="B900" a="1"/>
  <c r="B900" s="1"/>
  <c r="B892" a="1"/>
  <c r="B892" s="1"/>
  <c r="B885" a="1"/>
  <c r="B885" s="1"/>
  <c r="B862" a="1"/>
  <c r="B862" s="1"/>
  <c r="B853" a="1"/>
  <c r="B853" s="1"/>
  <c r="B832" a="1"/>
  <c r="B832" s="1"/>
  <c r="B822" a="1"/>
  <c r="B822" s="1"/>
  <c r="B811" a="1"/>
  <c r="B811" s="1"/>
  <c r="B801" a="1"/>
  <c r="B801" s="1"/>
  <c r="B759" a="1"/>
  <c r="B759" s="1"/>
  <c r="B749" a="1"/>
  <c r="B749" s="1"/>
  <c r="B738" a="1"/>
  <c r="B738" s="1"/>
  <c r="B696" a="1"/>
  <c r="B696" s="1"/>
  <c r="B685" a="1"/>
  <c r="B685" s="1"/>
  <c r="B672" a="1"/>
  <c r="B672" s="1"/>
  <c r="B660" a="1"/>
  <c r="B660" s="1"/>
  <c r="B648" a="1"/>
  <c r="B648" s="1"/>
  <c r="B618" a="1"/>
  <c r="B618" s="1"/>
  <c r="B551" a="1"/>
  <c r="B551" s="1"/>
  <c r="B518" a="1"/>
  <c r="B518" s="1"/>
  <c r="B502" a="1"/>
  <c r="B502" s="1"/>
  <c r="B484" a="1"/>
  <c r="B484" s="1"/>
  <c r="B466" a="1"/>
  <c r="B466" s="1"/>
  <c r="B363" a="1"/>
  <c r="B363" s="1"/>
  <c r="B331" a="1"/>
  <c r="B331" s="1"/>
  <c r="B194" a="1"/>
  <c r="B194" s="1"/>
  <c r="B147" a="1"/>
  <c r="B147" s="1"/>
  <c r="B94" a="1"/>
  <c r="B94" s="1"/>
  <c r="B1001" a="1"/>
  <c r="B1001" s="1"/>
  <c r="B993" a="1"/>
  <c r="B993" s="1"/>
  <c r="B972" a="1"/>
  <c r="B972" s="1"/>
  <c r="B950" a="1"/>
  <c r="B950" s="1"/>
  <c r="B942" a="1"/>
  <c r="B942" s="1"/>
  <c r="B935" a="1"/>
  <c r="B935" s="1"/>
  <c r="B928" a="1"/>
  <c r="B928" s="1"/>
  <c r="B920" a="1"/>
  <c r="B920" s="1"/>
  <c r="B891" a="1"/>
  <c r="B891" s="1"/>
  <c r="B883" a="1"/>
  <c r="B883" s="1"/>
  <c r="B877" a="1"/>
  <c r="B877" s="1"/>
  <c r="B869" a="1"/>
  <c r="B869" s="1"/>
  <c r="B861" a="1"/>
  <c r="B861" s="1"/>
  <c r="B852" a="1"/>
  <c r="B852" s="1"/>
  <c r="B842" a="1"/>
  <c r="B842" s="1"/>
  <c r="B821" a="1"/>
  <c r="B821" s="1"/>
  <c r="B800" a="1"/>
  <c r="B800" s="1"/>
  <c r="B790" a="1"/>
  <c r="B790" s="1"/>
  <c r="B779" a="1"/>
  <c r="B779" s="1"/>
  <c r="B769" a="1"/>
  <c r="B769" s="1"/>
  <c r="B727" a="1"/>
  <c r="B727" s="1"/>
  <c r="B717" a="1"/>
  <c r="B717" s="1"/>
  <c r="B706" a="1"/>
  <c r="B706" s="1"/>
  <c r="B647" a="1"/>
  <c r="B647" s="1"/>
  <c r="B601" a="1"/>
  <c r="B601" s="1"/>
  <c r="B583" a="1"/>
  <c r="B583" s="1"/>
  <c r="B567" a="1"/>
  <c r="B567" s="1"/>
  <c r="B550" a="1"/>
  <c r="B550" s="1"/>
  <c r="B534" a="1"/>
  <c r="B534" s="1"/>
  <c r="B465" a="1"/>
  <c r="B465" s="1"/>
  <c r="B446" a="1"/>
  <c r="B446" s="1"/>
  <c r="B407" a="1"/>
  <c r="B407" s="1"/>
  <c r="B386" a="1"/>
  <c r="B386" s="1"/>
  <c r="B361" a="1"/>
  <c r="B361" s="1"/>
  <c r="B330" a="1"/>
  <c r="B330" s="1"/>
  <c r="B193" a="1"/>
  <c r="B193" s="1"/>
  <c r="B141" a="1"/>
  <c r="B141" s="1"/>
  <c r="B93" a="1"/>
  <c r="B93" s="1"/>
  <c r="B978" a="1"/>
  <c r="B978" s="1"/>
  <c r="B970" a="1"/>
  <c r="B970" s="1"/>
  <c r="B964" a="1"/>
  <c r="B964" s="1"/>
  <c r="B956" a="1"/>
  <c r="B956" s="1"/>
  <c r="B949" a="1"/>
  <c r="B949" s="1"/>
  <c r="B927" a="1"/>
  <c r="B927" s="1"/>
  <c r="B919" a="1"/>
  <c r="B919" s="1"/>
  <c r="B905" a="1"/>
  <c r="B905" s="1"/>
  <c r="B897" a="1"/>
  <c r="B897" s="1"/>
  <c r="B876" a="1"/>
  <c r="B876" s="1"/>
  <c r="B868" a="1"/>
  <c r="B868" s="1"/>
  <c r="B859" a="1"/>
  <c r="B859" s="1"/>
  <c r="B831" a="1"/>
  <c r="B831" s="1"/>
  <c r="B820" a="1"/>
  <c r="B820" s="1"/>
  <c r="B810" a="1"/>
  <c r="B810" s="1"/>
  <c r="B789" a="1"/>
  <c r="B789" s="1"/>
  <c r="B768" a="1"/>
  <c r="B768" s="1"/>
  <c r="B758" a="1"/>
  <c r="B758" s="1"/>
  <c r="B747" a="1"/>
  <c r="B747" s="1"/>
  <c r="B737" a="1"/>
  <c r="B737" s="1"/>
  <c r="B695" a="1"/>
  <c r="B695" s="1"/>
  <c r="B683" a="1"/>
  <c r="B683" s="1"/>
  <c r="B671" a="1"/>
  <c r="B671" s="1"/>
  <c r="B633" a="1"/>
  <c r="B633" s="1"/>
  <c r="B617" a="1"/>
  <c r="B617" s="1"/>
  <c r="B599" a="1"/>
  <c r="B599" s="1"/>
  <c r="B566" a="1"/>
  <c r="B566" s="1"/>
  <c r="B533" a="1"/>
  <c r="B533" s="1"/>
  <c r="B499" a="1"/>
  <c r="B499" s="1"/>
  <c r="B482" a="1"/>
  <c r="B482" s="1"/>
  <c r="B425" a="1"/>
  <c r="B425" s="1"/>
  <c r="B385" a="1"/>
  <c r="B385" s="1"/>
  <c r="B359" a="1"/>
  <c r="B359" s="1"/>
  <c r="B287" a="1"/>
  <c r="B287" s="1"/>
  <c r="B240" a="1"/>
  <c r="B240" s="1"/>
  <c r="B140" a="1"/>
  <c r="B140" s="1"/>
  <c r="BO37" i="7"/>
  <c r="BP37"/>
  <c r="BO38"/>
  <c r="BP38"/>
  <c r="BO39"/>
  <c r="BP39"/>
  <c r="BO40"/>
  <c r="BP40"/>
  <c r="BO41"/>
  <c r="BP41"/>
  <c r="BO42"/>
  <c r="BP42"/>
  <c r="BO43"/>
  <c r="BP43"/>
  <c r="BO44"/>
  <c r="BP44"/>
  <c r="BO45"/>
  <c r="BP45"/>
  <c r="BO26"/>
  <c r="BP26"/>
  <c r="BO27"/>
  <c r="BP27"/>
  <c r="BO28"/>
  <c r="BP28"/>
  <c r="BO29"/>
  <c r="BP29"/>
  <c r="BO30"/>
  <c r="BP30"/>
  <c r="BO31"/>
  <c r="BP31"/>
  <c r="BO32"/>
  <c r="BP32"/>
  <c r="BO33"/>
  <c r="BP33"/>
  <c r="BO34"/>
  <c r="BP34"/>
  <c r="BO35"/>
  <c r="BP35"/>
  <c r="BO36"/>
  <c r="BP36"/>
  <c r="BO24"/>
  <c r="BP24"/>
  <c r="BO25"/>
  <c r="BP25"/>
  <c r="BO6"/>
  <c r="BP6"/>
  <c r="BO23" l="1"/>
  <c r="BP23"/>
  <c r="BO15"/>
  <c r="BP15"/>
  <c r="BO10"/>
  <c r="BP10"/>
  <c r="BO11"/>
  <c r="BP11"/>
  <c r="BO12"/>
  <c r="BP12"/>
  <c r="BO13"/>
  <c r="BP13"/>
  <c r="BO14"/>
  <c r="BP14"/>
  <c r="BO20" l="1"/>
  <c r="BO21"/>
  <c r="BO22"/>
  <c r="BP20"/>
  <c r="BP21"/>
  <c r="BP22"/>
  <c r="BO19"/>
  <c r="BP19"/>
  <c r="BO17"/>
  <c r="BO18"/>
  <c r="BP17"/>
  <c r="BP18"/>
  <c r="BO16"/>
  <c r="BP16"/>
  <c r="BO7"/>
  <c r="BO8"/>
  <c r="BO9"/>
  <c r="BP7"/>
  <c r="BP8"/>
  <c r="BP9"/>
  <c r="BO5"/>
  <c r="BP5"/>
  <c r="C3" i="3" l="1"/>
  <c r="C177" l="1"/>
  <c r="C175"/>
  <c r="C176"/>
  <c r="C173"/>
  <c r="C174"/>
  <c r="C171"/>
  <c r="C172"/>
  <c r="C169"/>
  <c r="C170"/>
  <c r="C167"/>
  <c r="C168"/>
  <c r="C165"/>
  <c r="C166"/>
  <c r="C163"/>
  <c r="C164"/>
  <c r="C161"/>
  <c r="C162"/>
  <c r="C159"/>
  <c r="C160"/>
  <c r="C157"/>
  <c r="C158"/>
  <c r="C155"/>
  <c r="C156"/>
  <c r="C153"/>
  <c r="C154"/>
  <c r="C151"/>
  <c r="C152"/>
  <c r="C149"/>
  <c r="C150"/>
  <c r="C147"/>
  <c r="C148"/>
  <c r="C146"/>
  <c r="C145"/>
  <c r="C134"/>
  <c r="C124"/>
  <c r="C133"/>
  <c r="C143"/>
  <c r="C144"/>
  <c r="C141"/>
  <c r="C142"/>
  <c r="C139"/>
  <c r="C140"/>
  <c r="C137"/>
  <c r="C138"/>
  <c r="C135"/>
  <c r="C136"/>
  <c r="C131"/>
  <c r="C132"/>
  <c r="C129"/>
  <c r="C130"/>
  <c r="C127"/>
  <c r="C128"/>
  <c r="C126"/>
  <c r="C125"/>
  <c r="C122"/>
  <c r="C123"/>
  <c r="C120"/>
  <c r="C121"/>
  <c r="C118"/>
  <c r="C119"/>
  <c r="C117"/>
  <c r="C115"/>
  <c r="C116"/>
  <c r="C113"/>
  <c r="C114"/>
  <c r="C111"/>
  <c r="C112"/>
  <c r="C109"/>
  <c r="C110"/>
  <c r="C107"/>
  <c r="C108"/>
  <c r="C105"/>
  <c r="C106"/>
  <c r="C103"/>
  <c r="C104"/>
  <c r="C101"/>
  <c r="C102"/>
  <c r="C99"/>
  <c r="C100"/>
  <c r="C97"/>
  <c r="C98"/>
  <c r="C95"/>
  <c r="C96"/>
  <c r="C93"/>
  <c r="C94"/>
  <c r="C91"/>
  <c r="C92"/>
  <c r="C89"/>
  <c r="C90"/>
  <c r="C87"/>
  <c r="C88"/>
  <c r="C86"/>
  <c r="C84"/>
  <c r="C85"/>
  <c r="C82"/>
  <c r="C83"/>
  <c r="C73"/>
  <c r="C74"/>
  <c r="C71"/>
  <c r="C72"/>
  <c r="C69"/>
  <c r="C70"/>
  <c r="C67"/>
  <c r="C68"/>
  <c r="C65"/>
  <c r="C66"/>
  <c r="C63"/>
  <c r="C64"/>
  <c r="C61"/>
  <c r="C62"/>
  <c r="C59"/>
  <c r="C60"/>
  <c r="C57"/>
  <c r="C58"/>
  <c r="C55"/>
  <c r="C56"/>
  <c r="C54"/>
  <c r="C52"/>
  <c r="C53"/>
  <c r="C50"/>
  <c r="C51"/>
  <c r="C48"/>
  <c r="C49"/>
  <c r="C46"/>
  <c r="C47"/>
  <c r="C44"/>
  <c r="C45"/>
  <c r="C42"/>
  <c r="C43"/>
  <c r="C40"/>
  <c r="C41"/>
  <c r="C38"/>
  <c r="C39"/>
  <c r="C36"/>
  <c r="C37"/>
  <c r="C34"/>
  <c r="C35"/>
  <c r="C32"/>
  <c r="C33"/>
  <c r="C30"/>
  <c r="C31"/>
  <c r="C28"/>
  <c r="C29"/>
  <c r="C26"/>
  <c r="C27"/>
  <c r="C24"/>
  <c r="C25"/>
  <c r="C22"/>
  <c r="C23"/>
  <c r="C20"/>
  <c r="C21"/>
  <c r="C18"/>
  <c r="C19"/>
  <c r="C16"/>
  <c r="C17"/>
  <c r="C14"/>
  <c r="C15"/>
  <c r="C12"/>
  <c r="C13"/>
  <c r="C10"/>
  <c r="C11"/>
  <c r="C8"/>
  <c r="C9"/>
  <c r="C6"/>
  <c r="C7"/>
  <c r="C4"/>
  <c r="C5"/>
  <c r="C81"/>
  <c r="C79"/>
  <c r="C80"/>
  <c r="C77"/>
  <c r="C78"/>
  <c r="C75"/>
  <c r="C76"/>
  <c r="D5" l="1" a="1"/>
  <c r="D5" s="1"/>
  <c r="D9" a="1"/>
  <c r="D9" s="1"/>
  <c r="D13" a="1"/>
  <c r="D13" s="1"/>
  <c r="D17" a="1"/>
  <c r="D17" s="1"/>
  <c r="D21" a="1"/>
  <c r="D21" s="1"/>
  <c r="D25" a="1"/>
  <c r="D25" s="1"/>
  <c r="D29" a="1"/>
  <c r="D29" s="1"/>
  <c r="D20" a="1"/>
  <c r="D20" s="1"/>
  <c r="D10" a="1"/>
  <c r="D10" s="1"/>
  <c r="D18" a="1"/>
  <c r="D18" s="1"/>
  <c r="D26" a="1"/>
  <c r="D26" s="1"/>
  <c r="D11" a="1"/>
  <c r="D11" s="1"/>
  <c r="D19" a="1"/>
  <c r="D19" s="1"/>
  <c r="D27" a="1"/>
  <c r="D27" s="1"/>
  <c r="D12" a="1"/>
  <c r="D12" s="1"/>
  <c r="D24" a="1"/>
  <c r="D24" s="1"/>
  <c r="D6" a="1"/>
  <c r="D6" s="1"/>
  <c r="D14" a="1"/>
  <c r="D14" s="1"/>
  <c r="D22" a="1"/>
  <c r="D22" s="1"/>
  <c r="D7" a="1"/>
  <c r="D7" s="1"/>
  <c r="D15" a="1"/>
  <c r="D15" s="1"/>
  <c r="D23" a="1"/>
  <c r="D23" s="1"/>
  <c r="D8" a="1"/>
  <c r="D8" s="1"/>
  <c r="D16" a="1"/>
  <c r="D16" s="1"/>
  <c r="D28" a="1"/>
  <c r="D28" s="1"/>
  <c r="D4" a="1"/>
  <c r="D4" s="1"/>
  <c r="B1133" i="9" l="1"/>
  <c r="B1303" s="1"/>
  <c r="B2543"/>
  <c r="B2657" s="1"/>
  <c r="B1415"/>
  <c r="B569"/>
  <c r="B739" s="1"/>
  <c r="B1697"/>
  <c r="B1727" s="1"/>
  <c r="B3671"/>
  <c r="B3785" s="1"/>
  <c r="D3811" s="1"/>
  <c r="B3389"/>
  <c r="B3587" s="1"/>
  <c r="D3613" s="1"/>
  <c r="B3107"/>
  <c r="B3165" s="1"/>
  <c r="D3191" s="1"/>
  <c r="B2825"/>
  <c r="B2939" s="1"/>
  <c r="D2965" s="1"/>
  <c r="B2685"/>
  <c r="B2261"/>
  <c r="B851"/>
  <c r="B287"/>
  <c r="B1979"/>
  <c r="B5"/>
  <c r="E3" i="3"/>
  <c r="B2573" i="9" l="1"/>
  <c r="F2585" s="1"/>
  <c r="B2629"/>
  <c r="F2633" s="1"/>
  <c r="B2601"/>
  <c r="B2611" s="1"/>
  <c r="B2713"/>
  <c r="D2737" s="1"/>
  <c r="B2797"/>
  <c r="F2811" s="1"/>
  <c r="B1755"/>
  <c r="B1839"/>
  <c r="B1867"/>
  <c r="B2545"/>
  <c r="D2566" s="1"/>
  <c r="B2769"/>
  <c r="F2773" s="1"/>
  <c r="B2741"/>
  <c r="B2746" s="1"/>
  <c r="B3841"/>
  <c r="D3867" s="1"/>
  <c r="B3869"/>
  <c r="H3891" s="1"/>
  <c r="B3897"/>
  <c r="D3916" s="1"/>
  <c r="B3925"/>
  <c r="D3951" s="1"/>
  <c r="B3757"/>
  <c r="D3783" s="1"/>
  <c r="B3729"/>
  <c r="D3755" s="1"/>
  <c r="B3673"/>
  <c r="D3699" s="1"/>
  <c r="B3701"/>
  <c r="D3727" s="1"/>
  <c r="B3813"/>
  <c r="D3837" s="1"/>
  <c r="B3797"/>
  <c r="H3803"/>
  <c r="H3790"/>
  <c r="F3807"/>
  <c r="F3797"/>
  <c r="F3788"/>
  <c r="F3795"/>
  <c r="D3795"/>
  <c r="D3798"/>
  <c r="H3796"/>
  <c r="F3806"/>
  <c r="H3791"/>
  <c r="D3788"/>
  <c r="H3805"/>
  <c r="D3790"/>
  <c r="F3804"/>
  <c r="D3799"/>
  <c r="F3803"/>
  <c r="H3787"/>
  <c r="H3788"/>
  <c r="B3790"/>
  <c r="B3804"/>
  <c r="B3788"/>
  <c r="F3796"/>
  <c r="B3795"/>
  <c r="D3805"/>
  <c r="D3791"/>
  <c r="F3787"/>
  <c r="F3791"/>
  <c r="F3798"/>
  <c r="D3809"/>
  <c r="F3790"/>
  <c r="H3797"/>
  <c r="H3806"/>
  <c r="H3799"/>
  <c r="B3787"/>
  <c r="B3789"/>
  <c r="B3791"/>
  <c r="F3799"/>
  <c r="H3795"/>
  <c r="B3798"/>
  <c r="B3807"/>
  <c r="B3803"/>
  <c r="D3787"/>
  <c r="D3789"/>
  <c r="D3796"/>
  <c r="H3804"/>
  <c r="B3796"/>
  <c r="D3807"/>
  <c r="F3805"/>
  <c r="F3789"/>
  <c r="H3789"/>
  <c r="H3798"/>
  <c r="H3807"/>
  <c r="B3805"/>
  <c r="D3803"/>
  <c r="B3799"/>
  <c r="D3797"/>
  <c r="B3806"/>
  <c r="D3804"/>
  <c r="D3806"/>
  <c r="B3615"/>
  <c r="B3637" s="1"/>
  <c r="B3503"/>
  <c r="H3524" s="1"/>
  <c r="B3531"/>
  <c r="D3544" s="1"/>
  <c r="B3447"/>
  <c r="F3452" s="1"/>
  <c r="B3391"/>
  <c r="D3396" s="1"/>
  <c r="B3559"/>
  <c r="F3580" s="1"/>
  <c r="B3419"/>
  <c r="H3430" s="1"/>
  <c r="B3643"/>
  <c r="B3475"/>
  <c r="D3494" s="1"/>
  <c r="F3590"/>
  <c r="H3597"/>
  <c r="H3599"/>
  <c r="D3590"/>
  <c r="F3599"/>
  <c r="H3590"/>
  <c r="H3592"/>
  <c r="H3606"/>
  <c r="H3608"/>
  <c r="F3597"/>
  <c r="F3606"/>
  <c r="B3589"/>
  <c r="B3591"/>
  <c r="B3593"/>
  <c r="H3601"/>
  <c r="B3600"/>
  <c r="B3605"/>
  <c r="B3607"/>
  <c r="B3609"/>
  <c r="D3589"/>
  <c r="D3591"/>
  <c r="D3593"/>
  <c r="B3598"/>
  <c r="D3600"/>
  <c r="D3605"/>
  <c r="D3607"/>
  <c r="D3609"/>
  <c r="F3589"/>
  <c r="F3591"/>
  <c r="F3593"/>
  <c r="D3598"/>
  <c r="F3600"/>
  <c r="F3605"/>
  <c r="F3607"/>
  <c r="F3609"/>
  <c r="H3589"/>
  <c r="H3591"/>
  <c r="H3593"/>
  <c r="F3598"/>
  <c r="H3600"/>
  <c r="H3605"/>
  <c r="H3607"/>
  <c r="H3609"/>
  <c r="B3590"/>
  <c r="B3592"/>
  <c r="B3597"/>
  <c r="H3598"/>
  <c r="B3601"/>
  <c r="B3606"/>
  <c r="B3608"/>
  <c r="D3611"/>
  <c r="F3592"/>
  <c r="F3601"/>
  <c r="F3608"/>
  <c r="B3599"/>
  <c r="D3592"/>
  <c r="D3597"/>
  <c r="D3599"/>
  <c r="D3601"/>
  <c r="D3606"/>
  <c r="D3608"/>
  <c r="B3193"/>
  <c r="D3198" s="1"/>
  <c r="B3333"/>
  <c r="F3338" s="1"/>
  <c r="B3277"/>
  <c r="B3295" s="1"/>
  <c r="B3137"/>
  <c r="B3148" s="1"/>
  <c r="B3361"/>
  <c r="F3380" s="1"/>
  <c r="B3305"/>
  <c r="B3310" s="1"/>
  <c r="B3109"/>
  <c r="B3123" s="1"/>
  <c r="B3249"/>
  <c r="H3263" s="1"/>
  <c r="B3221"/>
  <c r="D3235" s="1"/>
  <c r="F3179"/>
  <c r="F3184"/>
  <c r="D3170"/>
  <c r="F3168"/>
  <c r="F3170"/>
  <c r="F3175"/>
  <c r="F3177"/>
  <c r="F3186"/>
  <c r="H3170"/>
  <c r="H3175"/>
  <c r="H3177"/>
  <c r="H3179"/>
  <c r="H3184"/>
  <c r="H3186"/>
  <c r="H3168"/>
  <c r="B3167"/>
  <c r="B3171"/>
  <c r="B3176"/>
  <c r="B3178"/>
  <c r="B3183"/>
  <c r="B3185"/>
  <c r="B3187"/>
  <c r="B3169"/>
  <c r="D3167"/>
  <c r="D3171"/>
  <c r="D3176"/>
  <c r="D3178"/>
  <c r="D3183"/>
  <c r="D3185"/>
  <c r="D3187"/>
  <c r="D3169"/>
  <c r="F3167"/>
  <c r="F3171"/>
  <c r="F3176"/>
  <c r="F3178"/>
  <c r="F3183"/>
  <c r="F3185"/>
  <c r="F3187"/>
  <c r="F3169"/>
  <c r="H3167"/>
  <c r="H3171"/>
  <c r="H3176"/>
  <c r="H3178"/>
  <c r="H3183"/>
  <c r="H3185"/>
  <c r="H3187"/>
  <c r="H3169"/>
  <c r="B3168"/>
  <c r="B3175"/>
  <c r="B3177"/>
  <c r="B3179"/>
  <c r="B3184"/>
  <c r="B3186"/>
  <c r="D3189"/>
  <c r="B3170"/>
  <c r="D3168"/>
  <c r="D3175"/>
  <c r="D3177"/>
  <c r="D3179"/>
  <c r="D3184"/>
  <c r="D3186"/>
  <c r="B2911"/>
  <c r="B2916" s="1"/>
  <c r="B2827"/>
  <c r="F2841" s="1"/>
  <c r="B3079"/>
  <c r="D3097" s="1"/>
  <c r="C3099" s="1"/>
  <c r="B2883"/>
  <c r="H2895" s="1"/>
  <c r="B2967"/>
  <c r="H2985" s="1"/>
  <c r="G2987" s="1"/>
  <c r="B2995"/>
  <c r="H2997" s="1"/>
  <c r="G2999" s="1"/>
  <c r="B3051"/>
  <c r="H3073" s="1"/>
  <c r="B2855"/>
  <c r="F2861" s="1"/>
  <c r="B3023"/>
  <c r="H3026" s="1"/>
  <c r="H2952"/>
  <c r="D2961"/>
  <c r="D2944"/>
  <c r="D2949"/>
  <c r="C2951" s="1"/>
  <c r="D2951"/>
  <c r="D2953"/>
  <c r="H2950"/>
  <c r="F2942"/>
  <c r="F2951"/>
  <c r="H2942"/>
  <c r="F2943"/>
  <c r="D2958"/>
  <c r="D2960"/>
  <c r="B2957"/>
  <c r="F2958"/>
  <c r="H2944"/>
  <c r="H2951"/>
  <c r="H2960"/>
  <c r="H2953"/>
  <c r="B2943"/>
  <c r="F2944"/>
  <c r="F2959"/>
  <c r="D2943"/>
  <c r="D2950"/>
  <c r="D2957"/>
  <c r="C2959" s="1"/>
  <c r="F2941"/>
  <c r="E2943" s="1"/>
  <c r="B2941"/>
  <c r="B2950"/>
  <c r="B2961"/>
  <c r="B2951"/>
  <c r="H2945"/>
  <c r="H2957"/>
  <c r="G2959" s="1"/>
  <c r="H2961"/>
  <c r="B2942"/>
  <c r="F2945"/>
  <c r="F2952"/>
  <c r="H2941"/>
  <c r="G2943" s="1"/>
  <c r="H2949"/>
  <c r="G2951" s="1"/>
  <c r="B2958"/>
  <c r="B2960"/>
  <c r="D2963"/>
  <c r="B2963" s="1"/>
  <c r="F2949"/>
  <c r="E2951" s="1"/>
  <c r="B2944"/>
  <c r="B2949"/>
  <c r="B2953"/>
  <c r="D2959"/>
  <c r="B2945"/>
  <c r="B2952"/>
  <c r="B2959"/>
  <c r="D2941"/>
  <c r="C2943" s="1"/>
  <c r="F2953"/>
  <c r="F2960"/>
  <c r="H2958"/>
  <c r="H2959"/>
  <c r="F2950"/>
  <c r="F2957"/>
  <c r="E2959" s="1"/>
  <c r="F2961"/>
  <c r="H2943"/>
  <c r="D2945"/>
  <c r="D2952"/>
  <c r="D2942"/>
  <c r="F2679"/>
  <c r="B2965"/>
  <c r="D2709"/>
  <c r="D2781"/>
  <c r="B2744"/>
  <c r="D2754"/>
  <c r="D2662"/>
  <c r="D2676"/>
  <c r="B2662"/>
  <c r="B2676"/>
  <c r="B2688"/>
  <c r="H2690"/>
  <c r="D2695"/>
  <c r="D2699"/>
  <c r="D2706"/>
  <c r="F2688"/>
  <c r="F2695"/>
  <c r="B2667"/>
  <c r="F2699"/>
  <c r="F2696"/>
  <c r="F2698"/>
  <c r="D2698"/>
  <c r="D2705"/>
  <c r="D2707"/>
  <c r="F2687"/>
  <c r="F2689"/>
  <c r="H2659"/>
  <c r="D2667"/>
  <c r="B2705"/>
  <c r="D2711"/>
  <c r="F2690"/>
  <c r="F2703"/>
  <c r="F2705"/>
  <c r="F2707"/>
  <c r="D2690"/>
  <c r="D2697"/>
  <c r="F2663"/>
  <c r="B2669"/>
  <c r="F2691"/>
  <c r="B2689"/>
  <c r="B2696"/>
  <c r="F2697"/>
  <c r="F2704"/>
  <c r="H2688"/>
  <c r="H2695"/>
  <c r="H2704"/>
  <c r="D2687"/>
  <c r="D2691"/>
  <c r="H2697"/>
  <c r="H2699"/>
  <c r="B2687"/>
  <c r="B2691"/>
  <c r="B2698"/>
  <c r="H2677"/>
  <c r="D2669"/>
  <c r="D2704"/>
  <c r="H2689"/>
  <c r="H2691"/>
  <c r="B2703"/>
  <c r="B2707"/>
  <c r="D2689"/>
  <c r="D2696"/>
  <c r="D2703"/>
  <c r="H2679"/>
  <c r="B2671"/>
  <c r="H2706"/>
  <c r="B2690"/>
  <c r="B2695"/>
  <c r="H2696"/>
  <c r="H2698"/>
  <c r="H2703"/>
  <c r="H2705"/>
  <c r="H2707"/>
  <c r="D2681"/>
  <c r="D2671"/>
  <c r="H2687"/>
  <c r="D2688"/>
  <c r="F2706"/>
  <c r="B2697"/>
  <c r="B2699"/>
  <c r="B2704"/>
  <c r="B2706"/>
  <c r="H2639"/>
  <c r="D2663"/>
  <c r="F2659"/>
  <c r="H2661"/>
  <c r="H2663"/>
  <c r="H2668"/>
  <c r="H2670"/>
  <c r="H2675"/>
  <c r="F2648"/>
  <c r="B2660"/>
  <c r="B2678"/>
  <c r="D2683"/>
  <c r="F2662"/>
  <c r="F2667"/>
  <c r="F2669"/>
  <c r="F2671"/>
  <c r="F2676"/>
  <c r="F2650"/>
  <c r="D2660"/>
  <c r="D2678"/>
  <c r="H2660"/>
  <c r="H2667"/>
  <c r="H2669"/>
  <c r="H2671"/>
  <c r="H2676"/>
  <c r="H2678"/>
  <c r="F2660"/>
  <c r="F2678"/>
  <c r="B2661"/>
  <c r="B2668"/>
  <c r="B2670"/>
  <c r="B2675"/>
  <c r="B2677"/>
  <c r="B2679"/>
  <c r="H2662"/>
  <c r="B2659"/>
  <c r="D2661"/>
  <c r="D2668"/>
  <c r="D2670"/>
  <c r="D2675"/>
  <c r="D2677"/>
  <c r="D2679"/>
  <c r="H2634"/>
  <c r="B2663"/>
  <c r="D2659"/>
  <c r="F2661"/>
  <c r="F2668"/>
  <c r="F2670"/>
  <c r="F2675"/>
  <c r="F2677"/>
  <c r="D2615"/>
  <c r="D2632"/>
  <c r="F2639"/>
  <c r="F2640"/>
  <c r="F2643"/>
  <c r="H2650"/>
  <c r="B2642"/>
  <c r="B2633"/>
  <c r="D2625"/>
  <c r="H2648"/>
  <c r="D2631"/>
  <c r="D2642"/>
  <c r="D2647"/>
  <c r="B2649"/>
  <c r="F2631"/>
  <c r="F2647"/>
  <c r="F2649"/>
  <c r="D2611"/>
  <c r="H2633"/>
  <c r="H2635"/>
  <c r="H2647"/>
  <c r="H2651"/>
  <c r="D2613"/>
  <c r="H2631"/>
  <c r="B2634"/>
  <c r="B2643"/>
  <c r="B2648"/>
  <c r="B2632"/>
  <c r="D2634"/>
  <c r="D2643"/>
  <c r="D2648"/>
  <c r="B2620"/>
  <c r="B2622"/>
  <c r="F2620"/>
  <c r="H2606"/>
  <c r="H2622"/>
  <c r="B2607"/>
  <c r="B2623"/>
  <c r="D2607"/>
  <c r="D2603"/>
  <c r="F2607"/>
  <c r="F2603"/>
  <c r="H2607"/>
  <c r="F2592"/>
  <c r="B2586"/>
  <c r="D2595"/>
  <c r="D2592"/>
  <c r="F2584"/>
  <c r="B2592"/>
  <c r="H2551"/>
  <c r="B2347"/>
  <c r="B2351" s="1"/>
  <c r="B2375"/>
  <c r="F2378" s="1"/>
  <c r="B2431"/>
  <c r="D2434" s="1"/>
  <c r="B2487"/>
  <c r="B2498" s="1"/>
  <c r="B2291"/>
  <c r="F2296" s="1"/>
  <c r="B2459"/>
  <c r="B2480" s="1"/>
  <c r="B2515"/>
  <c r="B2263"/>
  <c r="B2403"/>
  <c r="B2319"/>
  <c r="F2330" s="1"/>
  <c r="B1981"/>
  <c r="B2121"/>
  <c r="B2205"/>
  <c r="B2037"/>
  <c r="B2149"/>
  <c r="B2233"/>
  <c r="B2177"/>
  <c r="B2009"/>
  <c r="B2093"/>
  <c r="B2065"/>
  <c r="B1951"/>
  <c r="B1783"/>
  <c r="B1811"/>
  <c r="B1895"/>
  <c r="B1699"/>
  <c r="B1923"/>
  <c r="B1669"/>
  <c r="B1641"/>
  <c r="B1613"/>
  <c r="B1585"/>
  <c r="B1557"/>
  <c r="B1529"/>
  <c r="B1501"/>
  <c r="B1473"/>
  <c r="B1445"/>
  <c r="B1417"/>
  <c r="B1191"/>
  <c r="B1247"/>
  <c r="B1275"/>
  <c r="B1387"/>
  <c r="B1219"/>
  <c r="B1331"/>
  <c r="B1135"/>
  <c r="B1359"/>
  <c r="B1163"/>
  <c r="B1105"/>
  <c r="B1077"/>
  <c r="B1049"/>
  <c r="B1021"/>
  <c r="B993"/>
  <c r="B965"/>
  <c r="B937"/>
  <c r="B909"/>
  <c r="B881"/>
  <c r="B853"/>
  <c r="B711"/>
  <c r="B683"/>
  <c r="B767"/>
  <c r="B795"/>
  <c r="B571"/>
  <c r="B599"/>
  <c r="B627"/>
  <c r="B655"/>
  <c r="B823"/>
  <c r="B429"/>
  <c r="B457"/>
  <c r="B373"/>
  <c r="B401"/>
  <c r="B345"/>
  <c r="B289"/>
  <c r="B317"/>
  <c r="B541"/>
  <c r="B513"/>
  <c r="B485"/>
  <c r="B91"/>
  <c r="B259"/>
  <c r="B147"/>
  <c r="B119"/>
  <c r="B7"/>
  <c r="B63"/>
  <c r="B231"/>
  <c r="B35"/>
  <c r="B203"/>
  <c r="B175"/>
  <c r="E10" i="3"/>
  <c r="E6"/>
  <c r="E7"/>
  <c r="E4"/>
  <c r="E5"/>
  <c r="E20"/>
  <c r="E12"/>
  <c r="E14"/>
  <c r="E21"/>
  <c r="E13"/>
  <c r="E27"/>
  <c r="E11"/>
  <c r="E19"/>
  <c r="E16"/>
  <c r="E17"/>
  <c r="E9"/>
  <c r="E22"/>
  <c r="E26"/>
  <c r="E29"/>
  <c r="E25"/>
  <c r="E24"/>
  <c r="E23"/>
  <c r="E28"/>
  <c r="E8"/>
  <c r="E18"/>
  <c r="E15"/>
  <c r="B2727" i="9" l="1"/>
  <c r="H2594"/>
  <c r="F2593"/>
  <c r="F2577"/>
  <c r="H2585"/>
  <c r="D2623"/>
  <c r="D2622"/>
  <c r="H2555"/>
  <c r="G2557" s="1"/>
  <c r="D2583"/>
  <c r="C2585" s="1"/>
  <c r="F2583"/>
  <c r="E2585" s="1"/>
  <c r="B2603"/>
  <c r="F2604"/>
  <c r="H2584"/>
  <c r="D2586"/>
  <c r="H2734"/>
  <c r="H2591"/>
  <c r="G2593" s="1"/>
  <c r="B2595"/>
  <c r="F2623"/>
  <c r="F2622"/>
  <c r="B2604"/>
  <c r="D2761"/>
  <c r="H2559"/>
  <c r="H2579"/>
  <c r="F2579"/>
  <c r="D2584"/>
  <c r="B2585"/>
  <c r="D2577"/>
  <c r="B2577"/>
  <c r="H2576"/>
  <c r="D2599"/>
  <c r="B2599" s="1"/>
  <c r="D2641"/>
  <c r="B2641"/>
  <c r="H2642"/>
  <c r="F2642"/>
  <c r="D2640"/>
  <c r="B2647"/>
  <c r="D2645" s="1"/>
  <c r="F2641"/>
  <c r="H2632"/>
  <c r="H2548"/>
  <c r="F2575"/>
  <c r="E2577" s="1"/>
  <c r="D2579"/>
  <c r="B2583"/>
  <c r="D2581" s="1"/>
  <c r="B2584"/>
  <c r="H2583"/>
  <c r="G2585" s="1"/>
  <c r="F2578"/>
  <c r="D2578"/>
  <c r="H2641"/>
  <c r="B2735"/>
  <c r="D2734"/>
  <c r="D2715"/>
  <c r="C2717" s="1"/>
  <c r="D2655"/>
  <c r="B2655" s="1"/>
  <c r="H2575"/>
  <c r="G2577" s="1"/>
  <c r="D2650"/>
  <c r="B2650"/>
  <c r="H2640"/>
  <c r="F2635"/>
  <c r="D2635"/>
  <c r="B2640"/>
  <c r="F2634"/>
  <c r="H2556"/>
  <c r="H2595"/>
  <c r="B2559"/>
  <c r="D2575"/>
  <c r="C2577" s="1"/>
  <c r="B2576"/>
  <c r="B2579"/>
  <c r="H2578"/>
  <c r="F2576"/>
  <c r="D2576"/>
  <c r="D2639"/>
  <c r="C2641" s="1"/>
  <c r="B2639"/>
  <c r="B2637" s="1"/>
  <c r="H2649"/>
  <c r="F2651"/>
  <c r="D2633"/>
  <c r="B2635"/>
  <c r="F2632"/>
  <c r="H2643"/>
  <c r="D2735"/>
  <c r="H2716"/>
  <c r="D2597"/>
  <c r="B2597" s="1"/>
  <c r="H2565"/>
  <c r="B2594"/>
  <c r="H2593"/>
  <c r="F2595"/>
  <c r="D2557"/>
  <c r="D2569"/>
  <c r="B2569" s="1"/>
  <c r="B2575"/>
  <c r="F2594"/>
  <c r="D2594"/>
  <c r="F2734"/>
  <c r="D2558"/>
  <c r="B2587"/>
  <c r="H2586"/>
  <c r="F2591"/>
  <c r="E2593" s="1"/>
  <c r="D2587"/>
  <c r="D2593"/>
  <c r="B2593"/>
  <c r="H2592"/>
  <c r="F2587"/>
  <c r="D2653"/>
  <c r="D2649"/>
  <c r="D2651"/>
  <c r="B2651"/>
  <c r="B2631"/>
  <c r="D2727"/>
  <c r="B2725"/>
  <c r="D2565"/>
  <c r="B2578"/>
  <c r="H2577"/>
  <c r="F2586"/>
  <c r="D2585"/>
  <c r="D2591"/>
  <c r="C2593" s="1"/>
  <c r="B2591"/>
  <c r="F2589" s="1"/>
  <c r="H2587"/>
  <c r="F2715"/>
  <c r="E2717" s="1"/>
  <c r="D2717"/>
  <c r="B2734"/>
  <c r="B2719"/>
  <c r="H2725"/>
  <c r="F2726"/>
  <c r="F2723"/>
  <c r="E2725" s="1"/>
  <c r="F2716"/>
  <c r="H2731"/>
  <c r="G2733" s="1"/>
  <c r="B2715"/>
  <c r="F2733"/>
  <c r="B2732"/>
  <c r="H2719"/>
  <c r="H2718"/>
  <c r="F2719"/>
  <c r="H2726"/>
  <c r="H2723"/>
  <c r="G2725" s="1"/>
  <c r="D2724"/>
  <c r="D2716"/>
  <c r="B2724"/>
  <c r="H2717"/>
  <c r="D2731"/>
  <c r="C2733" s="1"/>
  <c r="H2732"/>
  <c r="D2723"/>
  <c r="C2725" s="1"/>
  <c r="F2731"/>
  <c r="E2733" s="1"/>
  <c r="B2731"/>
  <c r="F2729" s="1"/>
  <c r="F2727"/>
  <c r="H2724"/>
  <c r="B2718"/>
  <c r="D2732"/>
  <c r="H2715"/>
  <c r="G2717" s="1"/>
  <c r="B2733"/>
  <c r="F2725"/>
  <c r="B2723"/>
  <c r="F2721" s="1"/>
  <c r="D2733"/>
  <c r="D2725"/>
  <c r="F2732"/>
  <c r="H2735"/>
  <c r="F2724"/>
  <c r="B2726"/>
  <c r="F2718"/>
  <c r="B2716"/>
  <c r="D2726"/>
  <c r="D2718"/>
  <c r="H2727"/>
  <c r="H2733"/>
  <c r="F2717"/>
  <c r="B2717"/>
  <c r="D2739"/>
  <c r="B2739" s="1"/>
  <c r="F2735"/>
  <c r="D2719"/>
  <c r="F2815"/>
  <c r="E2817" s="1"/>
  <c r="F2810"/>
  <c r="F2809"/>
  <c r="D2819"/>
  <c r="D2816"/>
  <c r="B2816"/>
  <c r="B2808"/>
  <c r="H2810"/>
  <c r="H2815"/>
  <c r="G2817" s="1"/>
  <c r="B2810"/>
  <c r="F2807"/>
  <c r="E2809" s="1"/>
  <c r="D2808"/>
  <c r="H2612"/>
  <c r="F2612"/>
  <c r="D2612"/>
  <c r="B2612"/>
  <c r="H2611"/>
  <c r="G2613" s="1"/>
  <c r="F2606"/>
  <c r="B2606"/>
  <c r="H2605"/>
  <c r="F2605"/>
  <c r="D2605"/>
  <c r="B2605"/>
  <c r="H2604"/>
  <c r="D2627"/>
  <c r="B2627" s="1"/>
  <c r="H2603"/>
  <c r="G2605" s="1"/>
  <c r="D2604"/>
  <c r="B2762"/>
  <c r="H2803"/>
  <c r="F2816"/>
  <c r="H2802"/>
  <c r="H2623"/>
  <c r="H2621"/>
  <c r="F2621"/>
  <c r="D2621"/>
  <c r="B2621"/>
  <c r="H2620"/>
  <c r="F2615"/>
  <c r="B2615"/>
  <c r="D2606"/>
  <c r="D2620"/>
  <c r="F2803"/>
  <c r="D2619"/>
  <c r="C2621" s="1"/>
  <c r="H2615"/>
  <c r="B2613"/>
  <c r="H2759"/>
  <c r="G2761" s="1"/>
  <c r="H2744"/>
  <c r="B2807"/>
  <c r="H2805" s="1"/>
  <c r="B2817"/>
  <c r="D2807"/>
  <c r="C2809" s="1"/>
  <c r="B2815"/>
  <c r="D2813" s="1"/>
  <c r="H2619"/>
  <c r="G2621" s="1"/>
  <c r="F2619"/>
  <c r="E2621" s="1"/>
  <c r="B2619"/>
  <c r="D2617" s="1"/>
  <c r="F2613"/>
  <c r="H2614"/>
  <c r="F2614"/>
  <c r="D2614"/>
  <c r="B2614"/>
  <c r="H2613"/>
  <c r="F2611"/>
  <c r="E2613" s="1"/>
  <c r="H2745"/>
  <c r="D2762"/>
  <c r="B2811"/>
  <c r="B2799"/>
  <c r="D2811"/>
  <c r="H2818"/>
  <c r="D2802"/>
  <c r="B2802"/>
  <c r="H2801"/>
  <c r="F2801"/>
  <c r="H2816"/>
  <c r="H2807"/>
  <c r="G2809" s="1"/>
  <c r="B2801"/>
  <c r="B2809"/>
  <c r="H2808"/>
  <c r="F2808"/>
  <c r="B2803"/>
  <c r="F2802"/>
  <c r="D2809"/>
  <c r="D2810"/>
  <c r="D2817"/>
  <c r="D2823"/>
  <c r="B2823" s="1"/>
  <c r="B2800"/>
  <c r="H2799"/>
  <c r="G2801" s="1"/>
  <c r="F2799"/>
  <c r="E2801" s="1"/>
  <c r="H2809"/>
  <c r="D2815"/>
  <c r="C2817" s="1"/>
  <c r="D2800"/>
  <c r="F2800"/>
  <c r="D2803"/>
  <c r="D2821"/>
  <c r="B2821" s="1"/>
  <c r="H2819"/>
  <c r="F2819"/>
  <c r="D2801"/>
  <c r="H2800"/>
  <c r="F2818"/>
  <c r="D2818"/>
  <c r="B2818"/>
  <c r="H2817"/>
  <c r="F2817"/>
  <c r="D2799"/>
  <c r="C2801" s="1"/>
  <c r="H2811"/>
  <c r="B2819"/>
  <c r="F2563"/>
  <c r="E2565" s="1"/>
  <c r="F2548"/>
  <c r="D2551"/>
  <c r="F2559"/>
  <c r="B2563"/>
  <c r="D2561" s="1"/>
  <c r="F2550"/>
  <c r="F2557"/>
  <c r="F2788"/>
  <c r="D2790"/>
  <c r="H2780"/>
  <c r="F2789"/>
  <c r="D2787"/>
  <c r="C2789" s="1"/>
  <c r="D2780"/>
  <c r="D2773"/>
  <c r="F2558"/>
  <c r="B2558"/>
  <c r="D2571"/>
  <c r="B2571" s="1"/>
  <c r="B2557"/>
  <c r="F2747"/>
  <c r="B2759"/>
  <c r="I2753" s="1"/>
  <c r="D2746"/>
  <c r="H2783"/>
  <c r="D2788"/>
  <c r="B2771"/>
  <c r="B2791"/>
  <c r="F2761"/>
  <c r="B2763"/>
  <c r="D2755"/>
  <c r="B2782"/>
  <c r="F2565"/>
  <c r="B2565"/>
  <c r="D2555"/>
  <c r="C2557" s="1"/>
  <c r="F2752"/>
  <c r="F2762"/>
  <c r="D2765"/>
  <c r="B2765" s="1"/>
  <c r="F2790"/>
  <c r="B2781"/>
  <c r="B2789"/>
  <c r="B2790"/>
  <c r="F2551"/>
  <c r="B2551"/>
  <c r="B2548"/>
  <c r="F2744"/>
  <c r="H2790"/>
  <c r="H2789"/>
  <c r="F2782"/>
  <c r="H2743"/>
  <c r="G2745" s="1"/>
  <c r="D2563"/>
  <c r="C2565" s="1"/>
  <c r="H2557"/>
  <c r="H2558"/>
  <c r="H2747"/>
  <c r="D2763"/>
  <c r="H2746"/>
  <c r="D2767"/>
  <c r="B2767" s="1"/>
  <c r="F2781"/>
  <c r="B2788"/>
  <c r="B2775"/>
  <c r="H3871"/>
  <c r="G3873" s="1"/>
  <c r="H2549"/>
  <c r="F2549"/>
  <c r="D2549"/>
  <c r="B2547"/>
  <c r="F2566"/>
  <c r="H2563"/>
  <c r="G2565" s="1"/>
  <c r="B2549"/>
  <c r="B2566"/>
  <c r="H2567"/>
  <c r="H3853"/>
  <c r="F2556"/>
  <c r="D2556"/>
  <c r="B2556"/>
  <c r="H2550"/>
  <c r="D2564"/>
  <c r="H2547"/>
  <c r="G2549" s="1"/>
  <c r="F2555"/>
  <c r="E2557" s="1"/>
  <c r="F2547"/>
  <c r="E2549" s="1"/>
  <c r="D2547"/>
  <c r="C2549" s="1"/>
  <c r="H2566"/>
  <c r="F2564"/>
  <c r="D2548"/>
  <c r="B2550"/>
  <c r="D2550"/>
  <c r="B2555"/>
  <c r="D2553" s="1"/>
  <c r="F2567"/>
  <c r="D2567"/>
  <c r="B2567"/>
  <c r="H2564"/>
  <c r="D2559"/>
  <c r="B2564"/>
  <c r="D3881"/>
  <c r="B2773"/>
  <c r="H2772"/>
  <c r="D2795"/>
  <c r="B2795" s="1"/>
  <c r="D2793"/>
  <c r="B2793" s="1"/>
  <c r="H2791"/>
  <c r="F2771"/>
  <c r="E2773" s="1"/>
  <c r="D2775"/>
  <c r="H2787"/>
  <c r="G2789" s="1"/>
  <c r="H2788"/>
  <c r="F2783"/>
  <c r="D2783"/>
  <c r="B2783"/>
  <c r="H2782"/>
  <c r="F2791"/>
  <c r="D2789"/>
  <c r="H2781"/>
  <c r="F2779"/>
  <c r="E2781" s="1"/>
  <c r="D2779"/>
  <c r="C2781" s="1"/>
  <c r="B2779"/>
  <c r="F2777" s="1"/>
  <c r="H2775"/>
  <c r="D2771"/>
  <c r="C2773" s="1"/>
  <c r="B2780"/>
  <c r="B2787"/>
  <c r="I2781" s="1"/>
  <c r="H2779"/>
  <c r="G2781" s="1"/>
  <c r="F2774"/>
  <c r="D2774"/>
  <c r="B2774"/>
  <c r="H2773"/>
  <c r="D2791"/>
  <c r="F2787"/>
  <c r="E2789" s="1"/>
  <c r="D2782"/>
  <c r="H2774"/>
  <c r="F2772"/>
  <c r="D2772"/>
  <c r="B2772"/>
  <c r="H2771"/>
  <c r="G2773" s="1"/>
  <c r="F2775"/>
  <c r="F2780"/>
  <c r="H3887"/>
  <c r="G3889" s="1"/>
  <c r="H2754"/>
  <c r="F2759"/>
  <c r="E2761" s="1"/>
  <c r="D2747"/>
  <c r="B2761"/>
  <c r="H2762"/>
  <c r="F2760"/>
  <c r="B2760"/>
  <c r="H2752"/>
  <c r="F2754"/>
  <c r="D2759"/>
  <c r="C2761" s="1"/>
  <c r="B2747"/>
  <c r="H2760"/>
  <c r="D2760"/>
  <c r="F2755"/>
  <c r="B2755"/>
  <c r="F2743"/>
  <c r="E2745" s="1"/>
  <c r="F2745"/>
  <c r="D2752"/>
  <c r="B2754"/>
  <c r="H2755"/>
  <c r="D2744"/>
  <c r="F2753"/>
  <c r="B2753"/>
  <c r="D2743"/>
  <c r="C2745" s="1"/>
  <c r="D2745"/>
  <c r="B2752"/>
  <c r="H2753"/>
  <c r="D2753"/>
  <c r="F2751"/>
  <c r="E2753" s="1"/>
  <c r="B2751"/>
  <c r="I2745" s="1"/>
  <c r="H2763"/>
  <c r="H2761"/>
  <c r="F2763"/>
  <c r="B2743"/>
  <c r="B2745"/>
  <c r="H2751"/>
  <c r="G2753" s="1"/>
  <c r="D2751"/>
  <c r="C2753" s="1"/>
  <c r="F2746"/>
  <c r="D3826"/>
  <c r="H3854"/>
  <c r="D3893"/>
  <c r="B3893" s="1"/>
  <c r="F3879"/>
  <c r="E3881" s="1"/>
  <c r="F3831"/>
  <c r="E3833" s="1"/>
  <c r="D3895"/>
  <c r="B3895" s="1"/>
  <c r="D3883"/>
  <c r="B3888"/>
  <c r="D3891"/>
  <c r="D3882"/>
  <c r="B3887"/>
  <c r="D3885" s="1"/>
  <c r="B3889"/>
  <c r="B3891"/>
  <c r="F3891"/>
  <c r="H3872"/>
  <c r="H3890"/>
  <c r="F3888"/>
  <c r="H3879"/>
  <c r="G3881" s="1"/>
  <c r="H3881"/>
  <c r="F3871"/>
  <c r="E3873" s="1"/>
  <c r="D3879"/>
  <c r="C3881" s="1"/>
  <c r="D3846"/>
  <c r="H3889"/>
  <c r="F3881"/>
  <c r="D3875"/>
  <c r="F3887"/>
  <c r="E3889" s="1"/>
  <c r="D3908"/>
  <c r="D3854"/>
  <c r="B3853"/>
  <c r="B3843"/>
  <c r="F3817"/>
  <c r="D3872"/>
  <c r="H3903"/>
  <c r="B3859"/>
  <c r="I3853" s="1"/>
  <c r="F3874"/>
  <c r="D3874"/>
  <c r="F3890"/>
  <c r="D3871"/>
  <c r="C3873" s="1"/>
  <c r="D3824"/>
  <c r="H3819"/>
  <c r="F3852"/>
  <c r="F3861"/>
  <c r="F3834"/>
  <c r="F3915"/>
  <c r="E3917" s="1"/>
  <c r="B3908"/>
  <c r="B3834"/>
  <c r="D3819"/>
  <c r="B3815"/>
  <c r="F3825"/>
  <c r="H3815"/>
  <c r="G3817" s="1"/>
  <c r="F3819"/>
  <c r="F3823"/>
  <c r="E3825" s="1"/>
  <c r="B3861"/>
  <c r="D3845"/>
  <c r="B3846"/>
  <c r="H3844"/>
  <c r="H3843"/>
  <c r="G3845" s="1"/>
  <c r="F3860"/>
  <c r="F3844"/>
  <c r="D3833"/>
  <c r="F3832"/>
  <c r="H3834"/>
  <c r="F3818"/>
  <c r="F3835"/>
  <c r="H3827"/>
  <c r="F3816"/>
  <c r="B3819"/>
  <c r="D3865"/>
  <c r="B3865" s="1"/>
  <c r="B3844"/>
  <c r="F3846"/>
  <c r="F3859"/>
  <c r="E3861" s="1"/>
  <c r="B3847"/>
  <c r="D3859"/>
  <c r="C3861" s="1"/>
  <c r="B3863"/>
  <c r="H3824"/>
  <c r="F3833"/>
  <c r="H3823"/>
  <c r="G3825" s="1"/>
  <c r="H3825"/>
  <c r="B3831"/>
  <c r="F3829" s="1"/>
  <c r="D3831"/>
  <c r="C3833" s="1"/>
  <c r="D3839"/>
  <c r="B3839" s="1"/>
  <c r="D3853"/>
  <c r="H3847"/>
  <c r="H3817"/>
  <c r="B3854"/>
  <c r="H3863"/>
  <c r="D3861"/>
  <c r="H3855"/>
  <c r="D3847"/>
  <c r="H3860"/>
  <c r="B3827"/>
  <c r="F3826"/>
  <c r="H3816"/>
  <c r="D3834"/>
  <c r="H3831"/>
  <c r="G3833" s="1"/>
  <c r="D3817"/>
  <c r="D3825"/>
  <c r="D3862"/>
  <c r="D3863"/>
  <c r="B3862"/>
  <c r="H3818"/>
  <c r="D3843"/>
  <c r="C3845" s="1"/>
  <c r="D3852"/>
  <c r="H3846"/>
  <c r="F3862"/>
  <c r="H3852"/>
  <c r="B3823"/>
  <c r="F3821" s="1"/>
  <c r="D3823"/>
  <c r="C3825" s="1"/>
  <c r="H3833"/>
  <c r="D3827"/>
  <c r="H3826"/>
  <c r="B3835"/>
  <c r="D3832"/>
  <c r="D3860"/>
  <c r="F3863"/>
  <c r="B3851"/>
  <c r="D3849" s="1"/>
  <c r="B3845"/>
  <c r="B3824"/>
  <c r="F3851"/>
  <c r="E3853" s="1"/>
  <c r="F3853"/>
  <c r="H3845"/>
  <c r="H3861"/>
  <c r="B3818"/>
  <c r="D3835"/>
  <c r="B3833"/>
  <c r="D3816"/>
  <c r="B3832"/>
  <c r="F3827"/>
  <c r="D3818"/>
  <c r="D3855"/>
  <c r="F3854"/>
  <c r="B3860"/>
  <c r="F3855"/>
  <c r="H3859"/>
  <c r="G3861" s="1"/>
  <c r="D3844"/>
  <c r="B3852"/>
  <c r="F3843"/>
  <c r="E3845" s="1"/>
  <c r="D3815"/>
  <c r="C3817" s="1"/>
  <c r="F3815"/>
  <c r="E3817" s="1"/>
  <c r="B3826"/>
  <c r="H3835"/>
  <c r="B3825"/>
  <c r="F3824"/>
  <c r="B3816"/>
  <c r="D3851"/>
  <c r="C3853" s="1"/>
  <c r="F3845"/>
  <c r="B3855"/>
  <c r="H3862"/>
  <c r="F3847"/>
  <c r="H3832"/>
  <c r="B3817"/>
  <c r="H3851"/>
  <c r="G3853" s="1"/>
  <c r="B3918"/>
  <c r="F3900"/>
  <c r="B3916"/>
  <c r="B3911"/>
  <c r="D3918"/>
  <c r="B3909"/>
  <c r="F3918"/>
  <c r="F3908"/>
  <c r="B3902"/>
  <c r="F3907"/>
  <c r="E3909" s="1"/>
  <c r="F3916"/>
  <c r="F3899"/>
  <c r="E3901" s="1"/>
  <c r="F3909"/>
  <c r="D3903"/>
  <c r="B3915"/>
  <c r="D3913" s="1"/>
  <c r="H3909"/>
  <c r="D3909"/>
  <c r="F3919"/>
  <c r="D3901"/>
  <c r="B3901"/>
  <c r="H3882"/>
  <c r="D3887"/>
  <c r="C3889" s="1"/>
  <c r="B3879"/>
  <c r="B3877" s="1"/>
  <c r="B3881"/>
  <c r="B3882"/>
  <c r="F3872"/>
  <c r="B3890"/>
  <c r="B3875"/>
  <c r="H3875"/>
  <c r="D3880"/>
  <c r="B3871"/>
  <c r="F3882"/>
  <c r="F3883"/>
  <c r="B3883"/>
  <c r="B3874"/>
  <c r="F3889"/>
  <c r="F3875"/>
  <c r="H3873"/>
  <c r="D3873"/>
  <c r="H3888"/>
  <c r="F3873"/>
  <c r="D3890"/>
  <c r="H3880"/>
  <c r="B3872"/>
  <c r="B3873"/>
  <c r="B3880"/>
  <c r="H3874"/>
  <c r="D3888"/>
  <c r="D3889"/>
  <c r="H3883"/>
  <c r="F3880"/>
  <c r="D3706"/>
  <c r="D3703"/>
  <c r="C3705" s="1"/>
  <c r="H3714"/>
  <c r="F3712"/>
  <c r="D3721"/>
  <c r="H3938"/>
  <c r="B3937"/>
  <c r="B3935"/>
  <c r="B3933" s="1"/>
  <c r="F3944"/>
  <c r="F3776"/>
  <c r="B3775"/>
  <c r="F3773" s="1"/>
  <c r="D3919"/>
  <c r="H3911"/>
  <c r="H3910"/>
  <c r="F3910"/>
  <c r="D3902"/>
  <c r="H3901"/>
  <c r="B3930"/>
  <c r="B3947"/>
  <c r="D3900"/>
  <c r="H3899"/>
  <c r="G3901" s="1"/>
  <c r="H3908"/>
  <c r="F3903"/>
  <c r="H3900"/>
  <c r="H3916"/>
  <c r="F3911"/>
  <c r="B3945"/>
  <c r="H3902"/>
  <c r="H3919"/>
  <c r="H3918"/>
  <c r="F3901"/>
  <c r="B3919"/>
  <c r="D3915"/>
  <c r="C3917" s="1"/>
  <c r="D3907"/>
  <c r="C3909" s="1"/>
  <c r="H3943"/>
  <c r="G3945" s="1"/>
  <c r="B3903"/>
  <c r="D3910"/>
  <c r="B3907"/>
  <c r="B3905" s="1"/>
  <c r="H3917"/>
  <c r="H3907"/>
  <c r="G3909" s="1"/>
  <c r="F3917"/>
  <c r="F3902"/>
  <c r="B3917"/>
  <c r="D3911"/>
  <c r="F3931"/>
  <c r="D3921"/>
  <c r="B3921" s="1"/>
  <c r="H3944"/>
  <c r="F3938"/>
  <c r="F3936"/>
  <c r="H3768"/>
  <c r="D3917"/>
  <c r="H3915"/>
  <c r="G3917" s="1"/>
  <c r="D3899"/>
  <c r="C3901" s="1"/>
  <c r="B3899"/>
  <c r="D3923"/>
  <c r="B3923" s="1"/>
  <c r="B3900"/>
  <c r="B3939"/>
  <c r="B3910"/>
  <c r="H3939"/>
  <c r="B3762"/>
  <c r="D3775"/>
  <c r="C3777" s="1"/>
  <c r="B3769"/>
  <c r="H3778"/>
  <c r="D3944"/>
  <c r="D3949"/>
  <c r="B3949" s="1"/>
  <c r="D3927"/>
  <c r="C3929" s="1"/>
  <c r="B3931"/>
  <c r="H3935"/>
  <c r="G3937" s="1"/>
  <c r="F3947"/>
  <c r="D3937"/>
  <c r="B3127"/>
  <c r="I3121" s="1"/>
  <c r="B3767"/>
  <c r="B3765" s="1"/>
  <c r="H3776"/>
  <c r="D3939"/>
  <c r="B3946"/>
  <c r="H3947"/>
  <c r="B3927"/>
  <c r="H3930"/>
  <c r="D3936"/>
  <c r="D3935"/>
  <c r="C3937" s="1"/>
  <c r="H3770"/>
  <c r="F3778"/>
  <c r="D3930"/>
  <c r="B3944"/>
  <c r="H3945"/>
  <c r="F3945"/>
  <c r="F3946"/>
  <c r="D3929"/>
  <c r="D3928"/>
  <c r="F3928"/>
  <c r="F3770"/>
  <c r="B3928"/>
  <c r="H3936"/>
  <c r="H3929"/>
  <c r="F3927"/>
  <c r="E3929" s="1"/>
  <c r="B3943"/>
  <c r="I3937" s="1"/>
  <c r="F3939"/>
  <c r="F3929"/>
  <c r="H3937"/>
  <c r="B3770"/>
  <c r="D3762"/>
  <c r="D3777"/>
  <c r="H3931"/>
  <c r="D3945"/>
  <c r="D3931"/>
  <c r="B3938"/>
  <c r="F3937"/>
  <c r="D3947"/>
  <c r="F3930"/>
  <c r="F3775"/>
  <c r="E3777" s="1"/>
  <c r="D3946"/>
  <c r="H3927"/>
  <c r="G3929" s="1"/>
  <c r="D3938"/>
  <c r="B3936"/>
  <c r="B3929"/>
  <c r="F3935"/>
  <c r="E3937" s="1"/>
  <c r="D3943"/>
  <c r="C3945" s="1"/>
  <c r="B3685"/>
  <c r="D3720"/>
  <c r="F3522"/>
  <c r="B3751"/>
  <c r="D3714"/>
  <c r="D3685"/>
  <c r="F3677"/>
  <c r="H3684"/>
  <c r="D3677"/>
  <c r="F3685"/>
  <c r="F3692"/>
  <c r="H3467"/>
  <c r="H3928"/>
  <c r="D3692"/>
  <c r="B3692"/>
  <c r="H3691"/>
  <c r="G3693" s="1"/>
  <c r="D3691"/>
  <c r="C3693" s="1"/>
  <c r="H3683"/>
  <c r="G3685" s="1"/>
  <c r="H3685"/>
  <c r="B3691"/>
  <c r="F3689" s="1"/>
  <c r="D3686"/>
  <c r="D3683"/>
  <c r="C3685" s="1"/>
  <c r="B3683"/>
  <c r="H3681" s="1"/>
  <c r="H3679"/>
  <c r="B3693"/>
  <c r="F3676"/>
  <c r="F3683"/>
  <c r="E3685" s="1"/>
  <c r="B3686"/>
  <c r="D3678"/>
  <c r="B3678"/>
  <c r="H3677"/>
  <c r="B3684"/>
  <c r="D3675"/>
  <c r="C3677" s="1"/>
  <c r="D3676"/>
  <c r="F3678"/>
  <c r="D3687"/>
  <c r="B3687"/>
  <c r="H3686"/>
  <c r="D3684"/>
  <c r="F3694"/>
  <c r="H3678"/>
  <c r="B3695"/>
  <c r="F3693"/>
  <c r="H3676"/>
  <c r="H3549"/>
  <c r="G3551" s="1"/>
  <c r="B3676"/>
  <c r="H3675"/>
  <c r="G3677" s="1"/>
  <c r="B3677"/>
  <c r="H3687"/>
  <c r="F3684"/>
  <c r="F3686"/>
  <c r="D3679"/>
  <c r="D3468"/>
  <c r="H3695"/>
  <c r="B3675"/>
  <c r="F3687"/>
  <c r="D3553"/>
  <c r="D3697"/>
  <c r="B3697" s="1"/>
  <c r="F3675"/>
  <c r="E3677" s="1"/>
  <c r="B3679"/>
  <c r="D3694"/>
  <c r="B3694"/>
  <c r="H3693"/>
  <c r="D3695"/>
  <c r="H3692"/>
  <c r="H3694"/>
  <c r="F3691"/>
  <c r="E3693" s="1"/>
  <c r="D3693"/>
  <c r="F3679"/>
  <c r="F3695"/>
  <c r="B3537"/>
  <c r="B3732"/>
  <c r="D3550"/>
  <c r="H3731"/>
  <c r="G3733" s="1"/>
  <c r="F3731"/>
  <c r="E3733" s="1"/>
  <c r="H3739"/>
  <c r="G3741" s="1"/>
  <c r="D3739"/>
  <c r="C3741" s="1"/>
  <c r="F3732"/>
  <c r="B3543"/>
  <c r="D3748"/>
  <c r="H3734"/>
  <c r="B3741"/>
  <c r="H3740"/>
  <c r="F3740"/>
  <c r="D3735"/>
  <c r="B3735"/>
  <c r="D3769"/>
  <c r="B3776"/>
  <c r="H3777"/>
  <c r="F3779"/>
  <c r="F3759"/>
  <c r="E3761" s="1"/>
  <c r="F3734"/>
  <c r="B3740"/>
  <c r="D3760"/>
  <c r="F3943"/>
  <c r="E3945" s="1"/>
  <c r="B3541"/>
  <c r="H3539" s="1"/>
  <c r="D3743"/>
  <c r="F3748"/>
  <c r="B3739"/>
  <c r="B3737" s="1"/>
  <c r="H3735"/>
  <c r="F3735"/>
  <c r="D3733"/>
  <c r="H3743"/>
  <c r="D3767"/>
  <c r="C3769" s="1"/>
  <c r="B3771"/>
  <c r="H3775"/>
  <c r="G3777" s="1"/>
  <c r="F3777"/>
  <c r="D3779"/>
  <c r="B3759"/>
  <c r="H3732"/>
  <c r="B3777"/>
  <c r="H3760"/>
  <c r="H3946"/>
  <c r="D3734"/>
  <c r="D3753"/>
  <c r="B3753" s="1"/>
  <c r="H3751"/>
  <c r="F3751"/>
  <c r="D3751"/>
  <c r="B3749"/>
  <c r="F3739"/>
  <c r="E3741" s="1"/>
  <c r="B3750"/>
  <c r="H3749"/>
  <c r="F3749"/>
  <c r="D3749"/>
  <c r="B3742"/>
  <c r="D3742"/>
  <c r="D3732"/>
  <c r="B3733"/>
  <c r="H3761"/>
  <c r="H3763"/>
  <c r="F3768"/>
  <c r="D3770"/>
  <c r="H3771"/>
  <c r="F3771"/>
  <c r="B3768"/>
  <c r="B3779"/>
  <c r="B3731"/>
  <c r="B3748"/>
  <c r="H3747"/>
  <c r="G3749" s="1"/>
  <c r="F3747"/>
  <c r="E3749" s="1"/>
  <c r="D3747"/>
  <c r="C3749" s="1"/>
  <c r="D3778"/>
  <c r="F3762"/>
  <c r="H3750"/>
  <c r="F3761"/>
  <c r="F3763"/>
  <c r="D3768"/>
  <c r="H3769"/>
  <c r="F3769"/>
  <c r="B3763"/>
  <c r="D3741"/>
  <c r="F3741"/>
  <c r="B3734"/>
  <c r="H3733"/>
  <c r="F3733"/>
  <c r="D3731"/>
  <c r="C3733" s="1"/>
  <c r="B3747"/>
  <c r="D3745" s="1"/>
  <c r="D3776"/>
  <c r="D3781"/>
  <c r="B3781" s="1"/>
  <c r="B3760"/>
  <c r="H3741"/>
  <c r="D3761"/>
  <c r="D3763"/>
  <c r="H3767"/>
  <c r="G3769" s="1"/>
  <c r="F3767"/>
  <c r="E3769" s="1"/>
  <c r="D3759"/>
  <c r="C3761" s="1"/>
  <c r="D3750"/>
  <c r="H3748"/>
  <c r="B3743"/>
  <c r="H3742"/>
  <c r="F3742"/>
  <c r="D3740"/>
  <c r="F3750"/>
  <c r="D3771"/>
  <c r="B3778"/>
  <c r="H3779"/>
  <c r="H3759"/>
  <c r="G3761" s="1"/>
  <c r="F3743"/>
  <c r="B3761"/>
  <c r="H3762"/>
  <c r="F3760"/>
  <c r="F3707"/>
  <c r="F3719"/>
  <c r="E3721" s="1"/>
  <c r="D3723"/>
  <c r="D3705"/>
  <c r="F3704"/>
  <c r="B3711"/>
  <c r="I3705" s="1"/>
  <c r="F3722"/>
  <c r="D3725"/>
  <c r="B3725" s="1"/>
  <c r="B3706"/>
  <c r="D3707"/>
  <c r="D3719"/>
  <c r="C3721" s="1"/>
  <c r="B3723"/>
  <c r="B3705"/>
  <c r="B3722"/>
  <c r="B3704"/>
  <c r="B3714"/>
  <c r="D3712"/>
  <c r="B3721"/>
  <c r="B3703"/>
  <c r="D3722"/>
  <c r="F3720"/>
  <c r="B3720"/>
  <c r="H3723"/>
  <c r="H3705"/>
  <c r="B3707"/>
  <c r="B3719"/>
  <c r="I3713" s="1"/>
  <c r="H3722"/>
  <c r="D3715"/>
  <c r="F3715"/>
  <c r="B3713"/>
  <c r="H3721"/>
  <c r="H3703"/>
  <c r="G3705" s="1"/>
  <c r="H3704"/>
  <c r="H3713"/>
  <c r="B3712"/>
  <c r="H3720"/>
  <c r="D3713"/>
  <c r="F3713"/>
  <c r="H3707"/>
  <c r="H3719"/>
  <c r="G3721" s="1"/>
  <c r="F3723"/>
  <c r="F3705"/>
  <c r="H3706"/>
  <c r="H3715"/>
  <c r="D3711"/>
  <c r="C3713" s="1"/>
  <c r="F3706"/>
  <c r="F3714"/>
  <c r="H3712"/>
  <c r="F3721"/>
  <c r="F3703"/>
  <c r="E3705" s="1"/>
  <c r="F3711"/>
  <c r="E3713" s="1"/>
  <c r="H3711"/>
  <c r="G3713" s="1"/>
  <c r="D3704"/>
  <c r="B3715"/>
  <c r="D3421"/>
  <c r="C3423" s="1"/>
  <c r="B3432"/>
  <c r="D3422"/>
  <c r="F3480"/>
  <c r="F3534"/>
  <c r="D3517"/>
  <c r="H3508"/>
  <c r="H3509"/>
  <c r="F3543"/>
  <c r="B3466"/>
  <c r="H3466"/>
  <c r="H3458"/>
  <c r="F3466"/>
  <c r="H3453"/>
  <c r="F3451"/>
  <c r="F3461"/>
  <c r="D3451"/>
  <c r="F3467"/>
  <c r="H3543"/>
  <c r="H3542"/>
  <c r="B3469"/>
  <c r="B3453"/>
  <c r="D3457"/>
  <c r="C3459" s="1"/>
  <c r="H3541"/>
  <c r="G3543" s="1"/>
  <c r="F3533"/>
  <c r="E3535" s="1"/>
  <c r="B3451"/>
  <c r="F3449"/>
  <c r="E3451" s="1"/>
  <c r="B3449"/>
  <c r="B3467"/>
  <c r="B3410"/>
  <c r="D3431"/>
  <c r="H3469"/>
  <c r="D3473"/>
  <c r="B3473" s="1"/>
  <c r="D3460"/>
  <c r="H3536"/>
  <c r="F3553"/>
  <c r="F3453"/>
  <c r="D3453"/>
  <c r="D3459"/>
  <c r="F3505"/>
  <c r="E3507" s="1"/>
  <c r="D3534"/>
  <c r="D3535"/>
  <c r="D3432"/>
  <c r="F3440"/>
  <c r="D3430"/>
  <c r="F3433"/>
  <c r="F3552"/>
  <c r="D3536"/>
  <c r="F3544"/>
  <c r="D3423"/>
  <c r="D3440"/>
  <c r="B3441"/>
  <c r="B3431"/>
  <c r="F3432"/>
  <c r="H3429"/>
  <c r="G3431" s="1"/>
  <c r="B3422"/>
  <c r="F3421"/>
  <c r="E3423" s="1"/>
  <c r="H3440"/>
  <c r="B3438"/>
  <c r="B3542"/>
  <c r="D3557"/>
  <c r="B3557" s="1"/>
  <c r="H3537"/>
  <c r="F3425"/>
  <c r="H3438"/>
  <c r="B3440"/>
  <c r="B3457"/>
  <c r="H3455" s="1"/>
  <c r="H3449"/>
  <c r="G3451" s="1"/>
  <c r="H3461"/>
  <c r="D3450"/>
  <c r="B3549"/>
  <c r="B3547" s="1"/>
  <c r="F3541"/>
  <c r="E3543" s="1"/>
  <c r="B3536"/>
  <c r="D3542"/>
  <c r="D3412"/>
  <c r="D3397"/>
  <c r="D3402"/>
  <c r="F3402"/>
  <c r="H3410"/>
  <c r="B3581"/>
  <c r="B3578"/>
  <c r="F3439"/>
  <c r="B3437"/>
  <c r="I3431" s="1"/>
  <c r="F3438"/>
  <c r="H3432"/>
  <c r="B3459"/>
  <c r="F3458"/>
  <c r="H3452"/>
  <c r="D3486"/>
  <c r="D3552"/>
  <c r="H3551"/>
  <c r="D3551"/>
  <c r="D3533"/>
  <c r="C3535" s="1"/>
  <c r="D3565"/>
  <c r="D3562"/>
  <c r="H3479"/>
  <c r="H3489"/>
  <c r="D3629"/>
  <c r="F3437"/>
  <c r="E3439" s="1"/>
  <c r="D3441"/>
  <c r="H3422"/>
  <c r="D3424"/>
  <c r="H3423"/>
  <c r="B3468"/>
  <c r="B3460"/>
  <c r="D3469"/>
  <c r="D3467"/>
  <c r="D3461"/>
  <c r="D3488"/>
  <c r="F3489"/>
  <c r="H3545"/>
  <c r="F3536"/>
  <c r="B3550"/>
  <c r="H3533"/>
  <c r="G3535" s="1"/>
  <c r="D3639"/>
  <c r="B3639" s="1"/>
  <c r="B3488"/>
  <c r="D3489"/>
  <c r="F3637"/>
  <c r="D3636"/>
  <c r="H3497"/>
  <c r="B3493"/>
  <c r="I3487" s="1"/>
  <c r="F3396"/>
  <c r="D3437"/>
  <c r="C3439" s="1"/>
  <c r="B3425"/>
  <c r="D3445"/>
  <c r="B3445" s="1"/>
  <c r="B3424"/>
  <c r="B3465"/>
  <c r="B3463" s="1"/>
  <c r="H3451"/>
  <c r="F3465"/>
  <c r="E3467" s="1"/>
  <c r="F3468"/>
  <c r="F3457"/>
  <c r="E3459" s="1"/>
  <c r="F3486"/>
  <c r="B3481"/>
  <c r="D3487"/>
  <c r="B3544"/>
  <c r="H3534"/>
  <c r="D3543"/>
  <c r="F3551"/>
  <c r="F3537"/>
  <c r="B3533"/>
  <c r="F3634"/>
  <c r="F3481"/>
  <c r="D3480"/>
  <c r="H3618"/>
  <c r="B3636"/>
  <c r="B3634"/>
  <c r="D3633"/>
  <c r="C3635" s="1"/>
  <c r="F3203"/>
  <c r="E3205" s="1"/>
  <c r="B3494"/>
  <c r="D3479"/>
  <c r="H3494"/>
  <c r="F3629"/>
  <c r="D3415"/>
  <c r="B3415" s="1"/>
  <c r="D3413"/>
  <c r="H3412"/>
  <c r="H3404"/>
  <c r="D3411"/>
  <c r="D3401"/>
  <c r="C3403" s="1"/>
  <c r="D3471"/>
  <c r="B3471" s="1"/>
  <c r="H3465"/>
  <c r="G3467" s="1"/>
  <c r="H3450"/>
  <c r="H3468"/>
  <c r="F3459"/>
  <c r="H3481"/>
  <c r="D3452"/>
  <c r="F3487"/>
  <c r="D3509"/>
  <c r="B3535"/>
  <c r="F3550"/>
  <c r="D3541"/>
  <c r="C3543" s="1"/>
  <c r="H3553"/>
  <c r="F3549"/>
  <c r="E3551" s="1"/>
  <c r="D3537"/>
  <c r="D3585"/>
  <c r="B3585" s="1"/>
  <c r="H3619"/>
  <c r="B3619"/>
  <c r="B3412"/>
  <c r="D3404"/>
  <c r="H3403"/>
  <c r="H3393"/>
  <c r="G3395" s="1"/>
  <c r="B3404"/>
  <c r="H3405"/>
  <c r="D3410"/>
  <c r="B3405"/>
  <c r="B3402"/>
  <c r="H3402"/>
  <c r="F3395"/>
  <c r="H3401"/>
  <c r="G3403" s="1"/>
  <c r="B3413"/>
  <c r="F3394"/>
  <c r="B3580"/>
  <c r="D3405"/>
  <c r="B3394"/>
  <c r="H3396"/>
  <c r="H3395"/>
  <c r="F3413"/>
  <c r="H3394"/>
  <c r="B3561"/>
  <c r="D3394"/>
  <c r="D3393"/>
  <c r="C3395" s="1"/>
  <c r="F3403"/>
  <c r="H3413"/>
  <c r="F3411"/>
  <c r="F3410"/>
  <c r="D3395"/>
  <c r="D3409"/>
  <c r="C3411" s="1"/>
  <c r="F3581"/>
  <c r="D3573"/>
  <c r="B3625"/>
  <c r="B3623" s="1"/>
  <c r="D3635"/>
  <c r="B3403"/>
  <c r="B3409"/>
  <c r="D3407" s="1"/>
  <c r="B3395"/>
  <c r="H3411"/>
  <c r="F3409"/>
  <c r="E3411" s="1"/>
  <c r="F3405"/>
  <c r="F3401"/>
  <c r="E3403" s="1"/>
  <c r="F3577"/>
  <c r="E3579" s="1"/>
  <c r="B3396"/>
  <c r="F3393"/>
  <c r="E3395" s="1"/>
  <c r="B3393"/>
  <c r="H3409"/>
  <c r="G3411" s="1"/>
  <c r="F3404"/>
  <c r="D3403"/>
  <c r="H3513"/>
  <c r="G3515" s="1"/>
  <c r="D3529"/>
  <c r="B3529" s="1"/>
  <c r="D3507"/>
  <c r="H3514"/>
  <c r="F3515"/>
  <c r="D3506"/>
  <c r="H3506"/>
  <c r="D3522"/>
  <c r="B3523"/>
  <c r="H3517"/>
  <c r="F3506"/>
  <c r="F3509"/>
  <c r="F3517"/>
  <c r="F3516"/>
  <c r="B3521"/>
  <c r="H3519" s="1"/>
  <c r="B3513"/>
  <c r="H3511" s="1"/>
  <c r="H3505"/>
  <c r="G3507" s="1"/>
  <c r="D3523"/>
  <c r="D3514"/>
  <c r="B3525"/>
  <c r="H3516"/>
  <c r="F3507"/>
  <c r="D3513"/>
  <c r="C3515" s="1"/>
  <c r="B3506"/>
  <c r="F3523"/>
  <c r="D3516"/>
  <c r="H3507"/>
  <c r="H3515"/>
  <c r="B3505"/>
  <c r="H3523"/>
  <c r="F3521"/>
  <c r="E3523" s="1"/>
  <c r="B3509"/>
  <c r="H3522"/>
  <c r="B3517"/>
  <c r="B3508"/>
  <c r="F3514"/>
  <c r="D3508"/>
  <c r="B3524"/>
  <c r="H3521"/>
  <c r="G3523" s="1"/>
  <c r="F3513"/>
  <c r="E3515" s="1"/>
  <c r="B3516"/>
  <c r="B3514"/>
  <c r="B3141"/>
  <c r="F3430"/>
  <c r="B3421"/>
  <c r="F3429"/>
  <c r="E3431" s="1"/>
  <c r="D3438"/>
  <c r="H3425"/>
  <c r="B3452"/>
  <c r="B3450"/>
  <c r="F3469"/>
  <c r="D3465"/>
  <c r="C3467" s="1"/>
  <c r="H3459"/>
  <c r="F3450"/>
  <c r="H3477"/>
  <c r="G3479" s="1"/>
  <c r="D3477"/>
  <c r="C3479" s="1"/>
  <c r="H3485"/>
  <c r="G3487" s="1"/>
  <c r="B3515"/>
  <c r="F3508"/>
  <c r="D3521"/>
  <c r="C3523" s="1"/>
  <c r="B3522"/>
  <c r="D3505"/>
  <c r="C3507" s="1"/>
  <c r="D3515"/>
  <c r="D3466"/>
  <c r="H3550"/>
  <c r="F3545"/>
  <c r="D3545"/>
  <c r="B3545"/>
  <c r="H3544"/>
  <c r="F3542"/>
  <c r="F3561"/>
  <c r="E3563" s="1"/>
  <c r="H3578"/>
  <c r="B3629"/>
  <c r="H3129"/>
  <c r="B3401"/>
  <c r="B3399" s="1"/>
  <c r="B3411"/>
  <c r="F3412"/>
  <c r="H3397"/>
  <c r="F3397"/>
  <c r="B3397"/>
  <c r="D3439"/>
  <c r="B3439"/>
  <c r="H3433"/>
  <c r="F3422"/>
  <c r="D3443"/>
  <c r="B3443" s="1"/>
  <c r="H3439"/>
  <c r="B3458"/>
  <c r="B3461"/>
  <c r="H3460"/>
  <c r="F3460"/>
  <c r="D3449"/>
  <c r="C3451" s="1"/>
  <c r="H3457"/>
  <c r="G3459" s="1"/>
  <c r="H3525"/>
  <c r="F3525"/>
  <c r="D3525"/>
  <c r="B3507"/>
  <c r="F3524"/>
  <c r="D3524"/>
  <c r="B3551"/>
  <c r="H3552"/>
  <c r="B3552"/>
  <c r="D3555"/>
  <c r="B3555" s="1"/>
  <c r="B3534"/>
  <c r="H3535"/>
  <c r="F3535"/>
  <c r="D3579"/>
  <c r="D3549"/>
  <c r="C3551" s="1"/>
  <c r="D3344"/>
  <c r="D3122"/>
  <c r="F3423"/>
  <c r="D3425"/>
  <c r="B3430"/>
  <c r="H3431"/>
  <c r="F3431"/>
  <c r="D3433"/>
  <c r="B3433"/>
  <c r="H3437"/>
  <c r="G3439" s="1"/>
  <c r="B3121"/>
  <c r="H3421"/>
  <c r="G3423" s="1"/>
  <c r="F3441"/>
  <c r="B3423"/>
  <c r="H3424"/>
  <c r="F3424"/>
  <c r="D3429"/>
  <c r="C3431" s="1"/>
  <c r="B3429"/>
  <c r="D3427" s="1"/>
  <c r="B3485"/>
  <c r="B3483" s="1"/>
  <c r="H3488"/>
  <c r="F3493"/>
  <c r="E3495" s="1"/>
  <c r="D3495"/>
  <c r="B3497"/>
  <c r="D3501"/>
  <c r="B3501" s="1"/>
  <c r="D3620"/>
  <c r="H3635"/>
  <c r="D3628"/>
  <c r="F3618"/>
  <c r="H3625"/>
  <c r="G3627" s="1"/>
  <c r="H3621"/>
  <c r="F3625"/>
  <c r="E3627" s="1"/>
  <c r="F3628"/>
  <c r="B3553"/>
  <c r="B3837"/>
  <c r="B3478"/>
  <c r="H3486"/>
  <c r="F3488"/>
  <c r="D3493"/>
  <c r="C3495" s="1"/>
  <c r="B3495"/>
  <c r="H3496"/>
  <c r="F3494"/>
  <c r="F3617"/>
  <c r="E3619" s="1"/>
  <c r="F3621"/>
  <c r="H3627"/>
  <c r="F3636"/>
  <c r="D3625"/>
  <c r="C3627" s="1"/>
  <c r="H3617"/>
  <c r="G3619" s="1"/>
  <c r="F3635"/>
  <c r="D3527"/>
  <c r="B3527" s="1"/>
  <c r="C3805"/>
  <c r="D3793"/>
  <c r="B3801"/>
  <c r="G3797"/>
  <c r="E3789"/>
  <c r="G3789"/>
  <c r="B3811"/>
  <c r="B3809"/>
  <c r="E3805"/>
  <c r="C3797"/>
  <c r="E3797"/>
  <c r="G3805"/>
  <c r="C3789"/>
  <c r="D3499"/>
  <c r="B3499" s="1"/>
  <c r="B3783"/>
  <c r="D3641"/>
  <c r="B3641" s="1"/>
  <c r="B3496"/>
  <c r="F3479"/>
  <c r="F3477"/>
  <c r="E3479" s="1"/>
  <c r="D3481"/>
  <c r="B3486"/>
  <c r="H3487"/>
  <c r="F3485"/>
  <c r="E3487" s="1"/>
  <c r="D3485"/>
  <c r="C3487" s="1"/>
  <c r="H3637"/>
  <c r="B3620"/>
  <c r="F3633"/>
  <c r="E3635" s="1"/>
  <c r="D3617"/>
  <c r="C3619" s="1"/>
  <c r="D3637"/>
  <c r="H3636"/>
  <c r="F3620"/>
  <c r="B3626"/>
  <c r="H3441"/>
  <c r="B3727"/>
  <c r="H3633"/>
  <c r="G3635" s="1"/>
  <c r="H3629"/>
  <c r="F3626"/>
  <c r="B3635"/>
  <c r="D3619"/>
  <c r="D3634"/>
  <c r="D3618"/>
  <c r="B3564"/>
  <c r="B3867"/>
  <c r="B3489"/>
  <c r="H3495"/>
  <c r="F3497"/>
  <c r="B3479"/>
  <c r="B3477"/>
  <c r="H3480"/>
  <c r="F3478"/>
  <c r="D3478"/>
  <c r="B3618"/>
  <c r="H3620"/>
  <c r="D3626"/>
  <c r="B3633"/>
  <c r="B3631" s="1"/>
  <c r="B3617"/>
  <c r="B3621"/>
  <c r="D3627"/>
  <c r="B3627"/>
  <c r="D3417"/>
  <c r="B3417" s="1"/>
  <c r="B3699"/>
  <c r="D3669"/>
  <c r="B3669" s="1"/>
  <c r="B3951"/>
  <c r="H3121"/>
  <c r="B3487"/>
  <c r="H3493"/>
  <c r="G3495" s="1"/>
  <c r="F3495"/>
  <c r="D3497"/>
  <c r="H3478"/>
  <c r="F3496"/>
  <c r="D3496"/>
  <c r="B3480"/>
  <c r="H3580"/>
  <c r="F3619"/>
  <c r="D3621"/>
  <c r="F3627"/>
  <c r="H3634"/>
  <c r="H3626"/>
  <c r="B3628"/>
  <c r="H3628"/>
  <c r="D3458"/>
  <c r="B3755"/>
  <c r="F3579"/>
  <c r="D3581"/>
  <c r="D3561"/>
  <c r="C3563" s="1"/>
  <c r="D3563"/>
  <c r="F3565"/>
  <c r="D3580"/>
  <c r="D3583"/>
  <c r="B3583" s="1"/>
  <c r="B3569"/>
  <c r="B3567" s="1"/>
  <c r="F3572"/>
  <c r="D3577"/>
  <c r="C3579" s="1"/>
  <c r="B3579"/>
  <c r="B3571"/>
  <c r="H3573"/>
  <c r="B3573"/>
  <c r="B3565"/>
  <c r="B3655"/>
  <c r="B3656"/>
  <c r="F3664"/>
  <c r="B3661"/>
  <c r="B3659" s="1"/>
  <c r="F3119"/>
  <c r="E3121" s="1"/>
  <c r="F3570"/>
  <c r="D3572"/>
  <c r="B3577"/>
  <c r="F3575" s="1"/>
  <c r="B3562"/>
  <c r="H3571"/>
  <c r="F3571"/>
  <c r="H3577"/>
  <c r="G3579" s="1"/>
  <c r="F3563"/>
  <c r="D3570"/>
  <c r="B3572"/>
  <c r="H3579"/>
  <c r="H3569"/>
  <c r="G3571" s="1"/>
  <c r="F3569"/>
  <c r="E3571" s="1"/>
  <c r="D3571"/>
  <c r="H3570"/>
  <c r="F3578"/>
  <c r="B3563"/>
  <c r="B3570"/>
  <c r="H3572"/>
  <c r="H3564"/>
  <c r="F3564"/>
  <c r="D3569"/>
  <c r="C3571" s="1"/>
  <c r="H3563"/>
  <c r="H3581"/>
  <c r="D3578"/>
  <c r="F3573"/>
  <c r="H3565"/>
  <c r="H3562"/>
  <c r="F3562"/>
  <c r="D3564"/>
  <c r="H3561"/>
  <c r="G3563" s="1"/>
  <c r="B3646"/>
  <c r="H3661"/>
  <c r="G3663" s="1"/>
  <c r="H3657"/>
  <c r="F3647"/>
  <c r="D3131"/>
  <c r="H3214"/>
  <c r="B3653"/>
  <c r="H3651" s="1"/>
  <c r="H3654"/>
  <c r="H3646"/>
  <c r="H3655"/>
  <c r="F3662"/>
  <c r="D3665"/>
  <c r="B3654"/>
  <c r="D3664"/>
  <c r="B3648"/>
  <c r="H3649"/>
  <c r="F3645"/>
  <c r="E3647" s="1"/>
  <c r="H3653"/>
  <c r="G3655" s="1"/>
  <c r="F3657"/>
  <c r="B3647"/>
  <c r="D3662"/>
  <c r="F3649"/>
  <c r="H3645"/>
  <c r="G3647" s="1"/>
  <c r="D3663"/>
  <c r="H3648"/>
  <c r="F3655"/>
  <c r="H3656"/>
  <c r="D3646"/>
  <c r="D3657"/>
  <c r="D3667"/>
  <c r="B3667" s="1"/>
  <c r="F3663"/>
  <c r="D3656"/>
  <c r="H3663"/>
  <c r="F3653"/>
  <c r="E3655" s="1"/>
  <c r="H3647"/>
  <c r="D3655"/>
  <c r="B3664"/>
  <c r="F3656"/>
  <c r="D3649"/>
  <c r="B3645"/>
  <c r="F3648"/>
  <c r="F3665"/>
  <c r="D3654"/>
  <c r="D3128"/>
  <c r="D3653"/>
  <c r="C3655" s="1"/>
  <c r="B3662"/>
  <c r="B3649"/>
  <c r="D3645"/>
  <c r="C3647" s="1"/>
  <c r="H3664"/>
  <c r="F3646"/>
  <c r="F3661"/>
  <c r="E3663" s="1"/>
  <c r="D3647"/>
  <c r="D3648"/>
  <c r="B3657"/>
  <c r="H3665"/>
  <c r="B3663"/>
  <c r="H3662"/>
  <c r="D3661"/>
  <c r="C3663" s="1"/>
  <c r="F3654"/>
  <c r="B3665"/>
  <c r="I3797"/>
  <c r="F3206"/>
  <c r="D3212"/>
  <c r="B3131"/>
  <c r="F3195"/>
  <c r="E3197" s="1"/>
  <c r="H3352"/>
  <c r="D3338"/>
  <c r="F3335"/>
  <c r="E3337" s="1"/>
  <c r="F3111"/>
  <c r="E3113" s="1"/>
  <c r="D3119"/>
  <c r="C3121" s="1"/>
  <c r="D3113"/>
  <c r="F3123"/>
  <c r="B3196"/>
  <c r="D3213"/>
  <c r="H3205"/>
  <c r="F3198"/>
  <c r="D3207"/>
  <c r="D3195"/>
  <c r="C3197" s="1"/>
  <c r="H3213"/>
  <c r="D3199"/>
  <c r="H3203"/>
  <c r="G3205" s="1"/>
  <c r="D3204"/>
  <c r="B3197"/>
  <c r="B3215"/>
  <c r="H3204"/>
  <c r="D3197"/>
  <c r="F3205"/>
  <c r="B3211"/>
  <c r="H3209" s="1"/>
  <c r="B3214"/>
  <c r="H3195"/>
  <c r="G3197" s="1"/>
  <c r="H3207"/>
  <c r="F3211"/>
  <c r="E3213" s="1"/>
  <c r="D3215"/>
  <c r="B3212"/>
  <c r="H3211"/>
  <c r="G3213" s="1"/>
  <c r="D3206"/>
  <c r="F3196"/>
  <c r="H3215"/>
  <c r="D3211"/>
  <c r="C3213" s="1"/>
  <c r="B3207"/>
  <c r="H3122"/>
  <c r="H3130"/>
  <c r="B3114"/>
  <c r="D3196"/>
  <c r="B3213"/>
  <c r="H3198"/>
  <c r="F3214"/>
  <c r="H3206"/>
  <c r="H3197"/>
  <c r="D3205"/>
  <c r="H3115"/>
  <c r="H3128"/>
  <c r="F3213"/>
  <c r="B3206"/>
  <c r="B3199"/>
  <c r="F3207"/>
  <c r="F3215"/>
  <c r="D3203"/>
  <c r="C3205" s="1"/>
  <c r="D3219"/>
  <c r="B3219" s="1"/>
  <c r="F3131"/>
  <c r="H3112"/>
  <c r="D3121"/>
  <c r="D3141"/>
  <c r="D2933"/>
  <c r="H3127"/>
  <c r="G3129" s="1"/>
  <c r="D3115"/>
  <c r="F3121"/>
  <c r="F3149"/>
  <c r="F3339"/>
  <c r="B3203"/>
  <c r="I3197" s="1"/>
  <c r="F3199"/>
  <c r="H3196"/>
  <c r="B3205"/>
  <c r="F3204"/>
  <c r="F3197"/>
  <c r="B3195"/>
  <c r="F3269"/>
  <c r="F3261"/>
  <c r="D3289"/>
  <c r="D3283"/>
  <c r="B3291"/>
  <c r="D3297"/>
  <c r="F3127"/>
  <c r="E3129" s="1"/>
  <c r="B3111"/>
  <c r="F3112"/>
  <c r="H3113"/>
  <c r="D3214"/>
  <c r="D3217"/>
  <c r="B3217" s="1"/>
  <c r="H3212"/>
  <c r="F3212"/>
  <c r="B3198"/>
  <c r="B3204"/>
  <c r="H3199"/>
  <c r="D3287"/>
  <c r="C3289" s="1"/>
  <c r="B3290"/>
  <c r="B3287"/>
  <c r="F3285" s="1"/>
  <c r="D3282"/>
  <c r="B3337"/>
  <c r="H3290"/>
  <c r="B3296"/>
  <c r="H3298"/>
  <c r="F3281"/>
  <c r="H3283"/>
  <c r="H3282"/>
  <c r="H3281"/>
  <c r="D3288"/>
  <c r="B3279"/>
  <c r="B3281"/>
  <c r="D3295"/>
  <c r="C3297" s="1"/>
  <c r="F3296"/>
  <c r="F3288"/>
  <c r="F3298"/>
  <c r="F3299"/>
  <c r="B3288"/>
  <c r="H3296"/>
  <c r="F3282"/>
  <c r="F3279"/>
  <c r="E3281" s="1"/>
  <c r="D3353"/>
  <c r="D3296"/>
  <c r="D3290"/>
  <c r="D3299"/>
  <c r="H3291"/>
  <c r="F3352"/>
  <c r="B3336"/>
  <c r="F3353"/>
  <c r="B3353"/>
  <c r="F3343"/>
  <c r="E3345" s="1"/>
  <c r="B3355"/>
  <c r="H3346"/>
  <c r="H3111"/>
  <c r="G3113" s="1"/>
  <c r="D3111"/>
  <c r="C3113" s="1"/>
  <c r="F3130"/>
  <c r="B3130"/>
  <c r="D3263"/>
  <c r="B3344"/>
  <c r="D3352"/>
  <c r="F3115"/>
  <c r="B3129"/>
  <c r="F3128"/>
  <c r="D3112"/>
  <c r="H3143"/>
  <c r="D3139"/>
  <c r="C3141" s="1"/>
  <c r="H3159"/>
  <c r="H3141"/>
  <c r="B3139"/>
  <c r="H3140"/>
  <c r="B3347"/>
  <c r="H3353"/>
  <c r="H3343"/>
  <c r="G3345" s="1"/>
  <c r="H3139"/>
  <c r="G3141" s="1"/>
  <c r="B3157"/>
  <c r="B3158"/>
  <c r="F3159"/>
  <c r="F3156"/>
  <c r="H3147"/>
  <c r="G3149" s="1"/>
  <c r="D3156"/>
  <c r="F3157"/>
  <c r="B3151"/>
  <c r="F3143"/>
  <c r="F3147"/>
  <c r="E3149" s="1"/>
  <c r="D3151"/>
  <c r="F3148"/>
  <c r="H3156"/>
  <c r="B3149"/>
  <c r="F3139"/>
  <c r="E3141" s="1"/>
  <c r="F3140"/>
  <c r="D3147"/>
  <c r="C3149" s="1"/>
  <c r="B3143"/>
  <c r="H3142"/>
  <c r="B3147"/>
  <c r="B3145" s="1"/>
  <c r="H3158"/>
  <c r="D3140"/>
  <c r="H3151"/>
  <c r="D3142"/>
  <c r="D3159"/>
  <c r="F3158"/>
  <c r="B3140"/>
  <c r="D3150"/>
  <c r="B3345"/>
  <c r="H3351"/>
  <c r="G3353" s="1"/>
  <c r="B3351"/>
  <c r="F3141"/>
  <c r="D3148"/>
  <c r="F3151"/>
  <c r="D3157"/>
  <c r="D3143"/>
  <c r="H3239"/>
  <c r="G3241" s="1"/>
  <c r="B3338"/>
  <c r="D3347"/>
  <c r="D3351"/>
  <c r="C3353" s="1"/>
  <c r="H3347"/>
  <c r="H3242"/>
  <c r="F3227"/>
  <c r="H3355"/>
  <c r="D3346"/>
  <c r="H3345"/>
  <c r="D3335"/>
  <c r="C3337" s="1"/>
  <c r="F3122"/>
  <c r="B3113"/>
  <c r="H3123"/>
  <c r="D3133"/>
  <c r="B3133" s="1"/>
  <c r="D3149"/>
  <c r="F3150"/>
  <c r="B3150"/>
  <c r="B3112"/>
  <c r="H3155"/>
  <c r="G3157" s="1"/>
  <c r="B3155"/>
  <c r="F3153" s="1"/>
  <c r="H3268"/>
  <c r="F3351"/>
  <c r="E3353" s="1"/>
  <c r="B3335"/>
  <c r="H3372"/>
  <c r="B3343"/>
  <c r="D3355"/>
  <c r="B3235"/>
  <c r="H3233"/>
  <c r="D3251"/>
  <c r="C3253" s="1"/>
  <c r="H3261"/>
  <c r="D3271"/>
  <c r="F3252"/>
  <c r="H3287"/>
  <c r="G3289" s="1"/>
  <c r="H3262"/>
  <c r="F3254"/>
  <c r="F3260"/>
  <c r="B3269"/>
  <c r="F3251"/>
  <c r="E3253" s="1"/>
  <c r="F3253"/>
  <c r="F3259"/>
  <c r="E3261" s="1"/>
  <c r="F3262"/>
  <c r="B3268"/>
  <c r="D3262"/>
  <c r="H3260"/>
  <c r="D3269"/>
  <c r="B3259"/>
  <c r="D3257" s="1"/>
  <c r="D3253"/>
  <c r="F3267"/>
  <c r="E3269" s="1"/>
  <c r="H3150"/>
  <c r="D3155"/>
  <c r="C3157" s="1"/>
  <c r="H3149"/>
  <c r="B3156"/>
  <c r="H3148"/>
  <c r="B3159"/>
  <c r="D3261"/>
  <c r="D3273"/>
  <c r="B3273" s="1"/>
  <c r="B3263"/>
  <c r="H3270"/>
  <c r="D3267"/>
  <c r="C3269" s="1"/>
  <c r="F3295"/>
  <c r="E3297" s="1"/>
  <c r="H3259"/>
  <c r="G3261" s="1"/>
  <c r="B3280"/>
  <c r="B3260"/>
  <c r="D3268"/>
  <c r="B3267"/>
  <c r="D3265" s="1"/>
  <c r="B3254"/>
  <c r="H3254"/>
  <c r="D3255"/>
  <c r="B3251"/>
  <c r="F3113"/>
  <c r="D3129"/>
  <c r="B3115"/>
  <c r="D3135"/>
  <c r="B3135" s="1"/>
  <c r="D3123"/>
  <c r="B3128"/>
  <c r="D3254"/>
  <c r="H3252"/>
  <c r="B3261"/>
  <c r="H3271"/>
  <c r="H3251"/>
  <c r="G3253" s="1"/>
  <c r="F3270"/>
  <c r="D3279"/>
  <c r="C3281" s="1"/>
  <c r="D3301"/>
  <c r="B3301" s="1"/>
  <c r="D3252"/>
  <c r="H3280"/>
  <c r="D3345"/>
  <c r="D3354"/>
  <c r="B3346"/>
  <c r="F3354"/>
  <c r="F3346"/>
  <c r="F3355"/>
  <c r="D3363"/>
  <c r="C3365" s="1"/>
  <c r="B3382"/>
  <c r="H3373"/>
  <c r="D3374"/>
  <c r="F3129"/>
  <c r="D3127"/>
  <c r="C3129" s="1"/>
  <c r="B3122"/>
  <c r="H3114"/>
  <c r="D3130"/>
  <c r="D3158"/>
  <c r="H3157"/>
  <c r="B3119"/>
  <c r="F3117" s="1"/>
  <c r="D3161"/>
  <c r="B3161" s="1"/>
  <c r="F3142"/>
  <c r="B3142"/>
  <c r="F3155"/>
  <c r="E3157" s="1"/>
  <c r="F3233"/>
  <c r="F3271"/>
  <c r="F3263"/>
  <c r="B3252"/>
  <c r="F3268"/>
  <c r="F3255"/>
  <c r="D3280"/>
  <c r="B3298"/>
  <c r="H3289"/>
  <c r="B3289"/>
  <c r="F3297"/>
  <c r="F3280"/>
  <c r="B3352"/>
  <c r="H3344"/>
  <c r="D3337"/>
  <c r="F3287"/>
  <c r="E3289" s="1"/>
  <c r="F3344"/>
  <c r="B3327"/>
  <c r="H3315"/>
  <c r="G3317" s="1"/>
  <c r="D3315"/>
  <c r="C3317" s="1"/>
  <c r="F3325"/>
  <c r="D3310"/>
  <c r="H3327"/>
  <c r="H3120"/>
  <c r="F3120"/>
  <c r="D3120"/>
  <c r="B3120"/>
  <c r="H3119"/>
  <c r="G3121" s="1"/>
  <c r="F3114"/>
  <c r="D3114"/>
  <c r="H3235"/>
  <c r="D3259"/>
  <c r="C3261" s="1"/>
  <c r="D3260"/>
  <c r="H3267"/>
  <c r="G3269" s="1"/>
  <c r="B3271"/>
  <c r="B3253"/>
  <c r="H3269"/>
  <c r="D3291"/>
  <c r="H3279"/>
  <c r="G3281" s="1"/>
  <c r="B3299"/>
  <c r="F3291"/>
  <c r="B3282"/>
  <c r="F3290"/>
  <c r="B3283"/>
  <c r="D3316"/>
  <c r="F3289"/>
  <c r="F3345"/>
  <c r="H3335"/>
  <c r="G3337" s="1"/>
  <c r="F3336"/>
  <c r="D3336"/>
  <c r="H3338"/>
  <c r="H3354"/>
  <c r="H3339"/>
  <c r="B3307"/>
  <c r="H3317"/>
  <c r="B3317"/>
  <c r="D3323"/>
  <c r="C3325" s="1"/>
  <c r="H3363"/>
  <c r="G3365" s="1"/>
  <c r="B3311"/>
  <c r="F3309"/>
  <c r="F3317"/>
  <c r="D3380"/>
  <c r="D3270"/>
  <c r="H3253"/>
  <c r="B3255"/>
  <c r="B3270"/>
  <c r="H3255"/>
  <c r="B3262"/>
  <c r="D3298"/>
  <c r="H3297"/>
  <c r="H3295"/>
  <c r="G3297" s="1"/>
  <c r="H3288"/>
  <c r="H3299"/>
  <c r="F3283"/>
  <c r="D3281"/>
  <c r="B3297"/>
  <c r="D3339"/>
  <c r="B3339"/>
  <c r="H3336"/>
  <c r="B3354"/>
  <c r="B3380"/>
  <c r="D3343"/>
  <c r="C3345" s="1"/>
  <c r="H3367"/>
  <c r="F3383"/>
  <c r="D3359"/>
  <c r="B3359" s="1"/>
  <c r="D3372"/>
  <c r="B3383"/>
  <c r="F3347"/>
  <c r="H3371"/>
  <c r="G3373" s="1"/>
  <c r="F3375"/>
  <c r="H3337"/>
  <c r="D3163"/>
  <c r="B3163" s="1"/>
  <c r="B3375"/>
  <c r="F3365"/>
  <c r="F3381"/>
  <c r="D3367"/>
  <c r="B3381"/>
  <c r="H3366"/>
  <c r="F3373"/>
  <c r="D3303"/>
  <c r="B3303" s="1"/>
  <c r="B3373"/>
  <c r="B3364"/>
  <c r="F3379"/>
  <c r="E3381" s="1"/>
  <c r="B3365"/>
  <c r="B3379"/>
  <c r="D3377" s="1"/>
  <c r="D3382"/>
  <c r="F3371"/>
  <c r="E3373" s="1"/>
  <c r="D3373"/>
  <c r="D3357"/>
  <c r="B3357" s="1"/>
  <c r="B3371"/>
  <c r="F3369" s="1"/>
  <c r="H3383"/>
  <c r="F3374"/>
  <c r="F3363"/>
  <c r="E3365" s="1"/>
  <c r="B3374"/>
  <c r="B3363"/>
  <c r="F3364"/>
  <c r="D3245"/>
  <c r="B3245" s="1"/>
  <c r="H3365"/>
  <c r="H3381"/>
  <c r="F3372"/>
  <c r="D3383"/>
  <c r="B3372"/>
  <c r="H3382"/>
  <c r="D3387"/>
  <c r="B3387" s="1"/>
  <c r="D3275"/>
  <c r="B3275" s="1"/>
  <c r="H3379"/>
  <c r="G3381" s="1"/>
  <c r="F3367"/>
  <c r="D3381"/>
  <c r="B3367"/>
  <c r="H3380"/>
  <c r="H3131"/>
  <c r="F2932"/>
  <c r="H2913"/>
  <c r="G2915" s="1"/>
  <c r="D3385"/>
  <c r="B3385" s="1"/>
  <c r="H3374"/>
  <c r="D3365"/>
  <c r="D3379"/>
  <c r="C3381" s="1"/>
  <c r="H3364"/>
  <c r="H3375"/>
  <c r="F3382"/>
  <c r="B3366"/>
  <c r="D3331"/>
  <c r="B3331" s="1"/>
  <c r="G3607"/>
  <c r="E3591"/>
  <c r="E3607"/>
  <c r="G3599"/>
  <c r="C3591"/>
  <c r="C3599"/>
  <c r="D3595"/>
  <c r="G3591"/>
  <c r="E3599"/>
  <c r="B3603"/>
  <c r="F2894"/>
  <c r="D2916"/>
  <c r="F3226"/>
  <c r="F3231"/>
  <c r="E3233" s="1"/>
  <c r="D3233"/>
  <c r="B3233"/>
  <c r="H3234"/>
  <c r="F3223"/>
  <c r="E3225" s="1"/>
  <c r="H3226"/>
  <c r="B3227"/>
  <c r="F3323"/>
  <c r="E3325" s="1"/>
  <c r="D3327"/>
  <c r="B3318"/>
  <c r="D3311"/>
  <c r="F3315"/>
  <c r="E3317" s="1"/>
  <c r="D3308"/>
  <c r="B3319"/>
  <c r="B3613"/>
  <c r="F2886"/>
  <c r="B2914"/>
  <c r="H2917"/>
  <c r="H3227"/>
  <c r="D3232"/>
  <c r="D3226"/>
  <c r="D3231"/>
  <c r="C3233" s="1"/>
  <c r="B3231"/>
  <c r="I3225" s="1"/>
  <c r="H3232"/>
  <c r="D3241"/>
  <c r="D3239"/>
  <c r="C3241" s="1"/>
  <c r="D3325"/>
  <c r="F3324"/>
  <c r="D3309"/>
  <c r="B3316"/>
  <c r="B3326"/>
  <c r="B3308"/>
  <c r="B3611"/>
  <c r="F3241"/>
  <c r="B3243"/>
  <c r="H3224"/>
  <c r="F3224"/>
  <c r="F3239"/>
  <c r="E3241" s="1"/>
  <c r="F3243"/>
  <c r="D3227"/>
  <c r="B3324"/>
  <c r="H3316"/>
  <c r="B3325"/>
  <c r="D3319"/>
  <c r="B3309"/>
  <c r="H3308"/>
  <c r="F3308"/>
  <c r="D3317"/>
  <c r="C3607"/>
  <c r="H3223"/>
  <c r="G3225" s="1"/>
  <c r="D3225"/>
  <c r="H3231"/>
  <c r="G3233" s="1"/>
  <c r="D2922"/>
  <c r="B2933"/>
  <c r="F3234"/>
  <c r="B3239"/>
  <c r="F3237" s="1"/>
  <c r="F3242"/>
  <c r="D3247"/>
  <c r="B3247" s="1"/>
  <c r="D3224"/>
  <c r="B3241"/>
  <c r="D3223"/>
  <c r="C3225" s="1"/>
  <c r="H3318"/>
  <c r="H3311"/>
  <c r="B3323"/>
  <c r="I3317" s="1"/>
  <c r="H3326"/>
  <c r="F3310"/>
  <c r="F3326"/>
  <c r="D3326"/>
  <c r="F3307"/>
  <c r="E3309" s="1"/>
  <c r="F3337"/>
  <c r="B3224"/>
  <c r="B3226"/>
  <c r="H3225"/>
  <c r="D3234"/>
  <c r="B2915"/>
  <c r="F3225"/>
  <c r="B3232"/>
  <c r="F3240"/>
  <c r="D3242"/>
  <c r="B3242"/>
  <c r="H3243"/>
  <c r="B3223"/>
  <c r="D3307"/>
  <c r="C3309" s="1"/>
  <c r="H3309"/>
  <c r="F3316"/>
  <c r="H3324"/>
  <c r="D3329"/>
  <c r="B3329" s="1"/>
  <c r="B3315"/>
  <c r="F3313" s="1"/>
  <c r="D3324"/>
  <c r="H3323"/>
  <c r="G3325" s="1"/>
  <c r="D3371"/>
  <c r="C3373" s="1"/>
  <c r="H2930"/>
  <c r="D3243"/>
  <c r="B3225"/>
  <c r="F3235"/>
  <c r="D3240"/>
  <c r="B3240"/>
  <c r="H3241"/>
  <c r="F3232"/>
  <c r="H3240"/>
  <c r="B3234"/>
  <c r="F3327"/>
  <c r="D3318"/>
  <c r="F3311"/>
  <c r="H3319"/>
  <c r="F3319"/>
  <c r="F3318"/>
  <c r="H3307"/>
  <c r="G3309" s="1"/>
  <c r="H3310"/>
  <c r="H3325"/>
  <c r="B2830"/>
  <c r="D2831"/>
  <c r="D3364"/>
  <c r="D3375"/>
  <c r="F2933"/>
  <c r="D2914"/>
  <c r="F2922"/>
  <c r="D2923"/>
  <c r="D3366"/>
  <c r="F3366"/>
  <c r="H2905"/>
  <c r="F2839"/>
  <c r="H2903"/>
  <c r="F2914"/>
  <c r="H2857"/>
  <c r="G2859" s="1"/>
  <c r="B2922"/>
  <c r="D2932"/>
  <c r="B2861"/>
  <c r="F2913"/>
  <c r="E2915" s="1"/>
  <c r="H2925"/>
  <c r="B2930"/>
  <c r="F2869"/>
  <c r="D2837"/>
  <c r="C2839" s="1"/>
  <c r="D2913"/>
  <c r="C2915" s="1"/>
  <c r="D2937"/>
  <c r="B2937" s="1"/>
  <c r="F2917"/>
  <c r="H2929"/>
  <c r="G2931" s="1"/>
  <c r="D2971"/>
  <c r="B2988"/>
  <c r="F2971"/>
  <c r="H2986"/>
  <c r="D2829"/>
  <c r="C2831" s="1"/>
  <c r="D2894"/>
  <c r="D2931"/>
  <c r="H2921"/>
  <c r="G2923" s="1"/>
  <c r="H2933"/>
  <c r="D2866"/>
  <c r="F2931"/>
  <c r="B2929"/>
  <c r="B2927" s="1"/>
  <c r="F2925"/>
  <c r="B2925"/>
  <c r="B3013"/>
  <c r="F3011" s="1"/>
  <c r="D2917"/>
  <c r="B2931"/>
  <c r="H2914"/>
  <c r="D2930"/>
  <c r="H2931"/>
  <c r="H2922"/>
  <c r="B2973"/>
  <c r="F2988"/>
  <c r="B2972"/>
  <c r="H2998"/>
  <c r="B2971"/>
  <c r="B2970"/>
  <c r="D3017"/>
  <c r="F2986"/>
  <c r="B3015"/>
  <c r="F2978"/>
  <c r="B2987"/>
  <c r="D2979"/>
  <c r="F3014"/>
  <c r="F2832"/>
  <c r="D2929"/>
  <c r="C2931" s="1"/>
  <c r="H2916"/>
  <c r="F2916"/>
  <c r="B2932"/>
  <c r="D2980"/>
  <c r="B2969"/>
  <c r="D2977"/>
  <c r="C2979" s="1"/>
  <c r="H2980"/>
  <c r="B2986"/>
  <c r="D2978"/>
  <c r="H2981"/>
  <c r="F2985"/>
  <c r="E2987" s="1"/>
  <c r="D2849"/>
  <c r="B2847"/>
  <c r="H2838"/>
  <c r="B2845"/>
  <c r="D2843" s="1"/>
  <c r="H2873"/>
  <c r="G2875" s="1"/>
  <c r="H2865"/>
  <c r="G2867" s="1"/>
  <c r="H2897"/>
  <c r="F2830"/>
  <c r="F2977"/>
  <c r="E2979" s="1"/>
  <c r="D2981"/>
  <c r="D3008"/>
  <c r="H2840"/>
  <c r="B2829"/>
  <c r="H2831"/>
  <c r="H2848"/>
  <c r="D2833"/>
  <c r="H2829"/>
  <c r="G2831" s="1"/>
  <c r="H2845"/>
  <c r="G2847" s="1"/>
  <c r="F2849"/>
  <c r="H2841"/>
  <c r="D2830"/>
  <c r="D2848"/>
  <c r="F2847"/>
  <c r="B2846"/>
  <c r="F2840"/>
  <c r="F2837"/>
  <c r="E2839" s="1"/>
  <c r="B2849"/>
  <c r="D2846"/>
  <c r="F2838"/>
  <c r="B2841"/>
  <c r="F2833"/>
  <c r="H2837"/>
  <c r="G2839" s="1"/>
  <c r="D2841"/>
  <c r="B2848"/>
  <c r="B2837"/>
  <c r="D2835" s="1"/>
  <c r="H2839"/>
  <c r="H2832"/>
  <c r="D2969"/>
  <c r="C2971" s="1"/>
  <c r="H2988"/>
  <c r="D2972"/>
  <c r="B2997"/>
  <c r="B2998"/>
  <c r="D2839"/>
  <c r="D2845"/>
  <c r="C2847" s="1"/>
  <c r="B2832"/>
  <c r="F2848"/>
  <c r="B2831"/>
  <c r="H2833"/>
  <c r="B2838"/>
  <c r="D2847"/>
  <c r="D2840"/>
  <c r="H2830"/>
  <c r="F2860"/>
  <c r="B2889"/>
  <c r="F2929"/>
  <c r="E2931" s="1"/>
  <c r="D2915"/>
  <c r="H2932"/>
  <c r="F2923"/>
  <c r="D2935"/>
  <c r="B2935" s="1"/>
  <c r="H2915"/>
  <c r="D2989"/>
  <c r="H2970"/>
  <c r="F2981"/>
  <c r="B2979"/>
  <c r="F2973"/>
  <c r="H2978"/>
  <c r="B3026"/>
  <c r="H2971"/>
  <c r="D3028"/>
  <c r="H2847"/>
  <c r="D2838"/>
  <c r="B2839"/>
  <c r="F2845"/>
  <c r="E2847" s="1"/>
  <c r="B2833"/>
  <c r="F2846"/>
  <c r="B2840"/>
  <c r="F2889"/>
  <c r="D2889"/>
  <c r="B2887"/>
  <c r="D2907"/>
  <c r="B2907" s="1"/>
  <c r="B2904"/>
  <c r="H2901"/>
  <c r="G2903" s="1"/>
  <c r="H2893"/>
  <c r="G2895" s="1"/>
  <c r="F2915"/>
  <c r="B2917"/>
  <c r="B2913"/>
  <c r="F2930"/>
  <c r="D2925"/>
  <c r="B2923"/>
  <c r="F2987"/>
  <c r="B2985"/>
  <c r="F2983" s="1"/>
  <c r="H2977"/>
  <c r="G2979" s="1"/>
  <c r="F2972"/>
  <c r="D2991"/>
  <c r="B2991" s="1"/>
  <c r="H2989"/>
  <c r="F3013"/>
  <c r="E3015" s="1"/>
  <c r="F2980"/>
  <c r="H3025"/>
  <c r="G3027" s="1"/>
  <c r="F3035"/>
  <c r="F2887"/>
  <c r="D2887"/>
  <c r="D2909"/>
  <c r="B2909" s="1"/>
  <c r="D2904"/>
  <c r="B2902"/>
  <c r="H2894"/>
  <c r="H2888"/>
  <c r="D2985"/>
  <c r="C2987" s="1"/>
  <c r="B2980"/>
  <c r="H2972"/>
  <c r="F2970"/>
  <c r="D2997"/>
  <c r="C2999" s="1"/>
  <c r="H2987"/>
  <c r="F3015"/>
  <c r="H3035"/>
  <c r="D3047"/>
  <c r="B3047" s="1"/>
  <c r="D2885"/>
  <c r="C2887" s="1"/>
  <c r="B2885"/>
  <c r="F2904"/>
  <c r="D2902"/>
  <c r="B2895"/>
  <c r="H2889"/>
  <c r="H2886"/>
  <c r="B2905"/>
  <c r="F2902"/>
  <c r="D2895"/>
  <c r="B2893"/>
  <c r="H2891" s="1"/>
  <c r="H2887"/>
  <c r="F2885"/>
  <c r="E2887" s="1"/>
  <c r="F3045"/>
  <c r="D2905"/>
  <c r="B2903"/>
  <c r="F2895"/>
  <c r="D2893"/>
  <c r="C2895" s="1"/>
  <c r="B2888"/>
  <c r="H2885"/>
  <c r="G2887" s="1"/>
  <c r="D3045"/>
  <c r="F2903"/>
  <c r="D2903"/>
  <c r="B2896"/>
  <c r="F2893"/>
  <c r="E2895" s="1"/>
  <c r="D2888"/>
  <c r="B2886"/>
  <c r="B3041"/>
  <c r="D3039" s="1"/>
  <c r="F2901"/>
  <c r="E2903" s="1"/>
  <c r="D2896"/>
  <c r="B2894"/>
  <c r="F2888"/>
  <c r="D2886"/>
  <c r="H2904"/>
  <c r="H2902"/>
  <c r="B3028"/>
  <c r="F3042"/>
  <c r="D3013"/>
  <c r="C3015" s="1"/>
  <c r="H3027"/>
  <c r="B3034"/>
  <c r="F3097"/>
  <c r="E3099" s="1"/>
  <c r="H3097"/>
  <c r="G3099" s="1"/>
  <c r="D2832"/>
  <c r="F2831"/>
  <c r="D2851"/>
  <c r="B2851" s="1"/>
  <c r="H2849"/>
  <c r="F2829"/>
  <c r="E2831" s="1"/>
  <c r="H2846"/>
  <c r="F2896"/>
  <c r="D2901"/>
  <c r="C2903" s="1"/>
  <c r="B2901"/>
  <c r="B2899" s="1"/>
  <c r="F2897"/>
  <c r="D2897"/>
  <c r="B2897"/>
  <c r="H2896"/>
  <c r="F2924"/>
  <c r="D2924"/>
  <c r="B2924"/>
  <c r="H2923"/>
  <c r="F2921"/>
  <c r="E2923" s="1"/>
  <c r="D2921"/>
  <c r="C2923" s="1"/>
  <c r="B3017"/>
  <c r="B3006"/>
  <c r="F3025"/>
  <c r="E3027" s="1"/>
  <c r="D3093"/>
  <c r="H3093"/>
  <c r="D3073"/>
  <c r="H3016"/>
  <c r="F3006"/>
  <c r="D3006"/>
  <c r="B2999"/>
  <c r="F3017"/>
  <c r="H3028"/>
  <c r="H3070"/>
  <c r="B3101"/>
  <c r="F2999"/>
  <c r="H3000"/>
  <c r="D2998"/>
  <c r="F2998"/>
  <c r="D3069"/>
  <c r="C3071" s="1"/>
  <c r="H3013"/>
  <c r="G3015" s="1"/>
  <c r="D3005"/>
  <c r="C3007" s="1"/>
  <c r="B3001"/>
  <c r="D3016"/>
  <c r="H3017"/>
  <c r="B3016"/>
  <c r="H3008"/>
  <c r="D3000"/>
  <c r="F3009"/>
  <c r="D3009"/>
  <c r="D3001"/>
  <c r="F3005"/>
  <c r="E3007" s="1"/>
  <c r="B3054"/>
  <c r="B3093"/>
  <c r="F3073"/>
  <c r="B3014"/>
  <c r="H2999"/>
  <c r="B3007"/>
  <c r="D3014"/>
  <c r="H3009"/>
  <c r="F3000"/>
  <c r="B3053"/>
  <c r="B3005"/>
  <c r="B3003" s="1"/>
  <c r="F3001"/>
  <c r="D3015"/>
  <c r="H3005"/>
  <c r="G3007" s="1"/>
  <c r="D3021"/>
  <c r="B3021" s="1"/>
  <c r="D2879"/>
  <c r="B2879" s="1"/>
  <c r="F3089"/>
  <c r="E3091" s="1"/>
  <c r="H2868"/>
  <c r="F2873"/>
  <c r="E2875" s="1"/>
  <c r="B2857"/>
  <c r="F2858"/>
  <c r="F2857"/>
  <c r="E2859" s="1"/>
  <c r="D2861"/>
  <c r="D2860"/>
  <c r="H2860"/>
  <c r="F2969"/>
  <c r="E2971" s="1"/>
  <c r="D2987"/>
  <c r="B2989"/>
  <c r="D2993"/>
  <c r="B2993" s="1"/>
  <c r="D2970"/>
  <c r="B2977"/>
  <c r="I2971" s="1"/>
  <c r="H3001"/>
  <c r="H3006"/>
  <c r="D3007"/>
  <c r="F3008"/>
  <c r="H2969"/>
  <c r="G2971" s="1"/>
  <c r="B3009"/>
  <c r="B3000"/>
  <c r="H3015"/>
  <c r="H3045"/>
  <c r="D3034"/>
  <c r="F3044"/>
  <c r="F3043"/>
  <c r="D3043"/>
  <c r="B3027"/>
  <c r="F3028"/>
  <c r="B3044"/>
  <c r="D3091"/>
  <c r="B3091"/>
  <c r="D3085"/>
  <c r="H3089"/>
  <c r="G3091" s="1"/>
  <c r="H3092"/>
  <c r="F3092"/>
  <c r="B3097"/>
  <c r="B3095" s="1"/>
  <c r="D3077"/>
  <c r="B3077" s="1"/>
  <c r="D2853"/>
  <c r="B2853" s="1"/>
  <c r="H2859"/>
  <c r="F2868"/>
  <c r="H2869"/>
  <c r="D2876"/>
  <c r="D2873"/>
  <c r="C2875" s="1"/>
  <c r="D2857"/>
  <c r="C2859" s="1"/>
  <c r="D2858"/>
  <c r="F2876"/>
  <c r="H3043"/>
  <c r="D3027"/>
  <c r="F3037"/>
  <c r="F3041"/>
  <c r="E3043" s="1"/>
  <c r="D3041"/>
  <c r="C3043" s="1"/>
  <c r="B3025"/>
  <c r="D3049"/>
  <c r="B3049" s="1"/>
  <c r="B3042"/>
  <c r="D3082"/>
  <c r="B3082"/>
  <c r="B3090"/>
  <c r="F3091"/>
  <c r="H3083"/>
  <c r="D3099"/>
  <c r="H3100"/>
  <c r="H3084"/>
  <c r="B2921"/>
  <c r="D2919" s="1"/>
  <c r="F2859"/>
  <c r="H2867"/>
  <c r="D2867"/>
  <c r="D2868"/>
  <c r="B2873"/>
  <c r="D2871" s="1"/>
  <c r="B2874"/>
  <c r="F2867"/>
  <c r="H3041"/>
  <c r="G3043" s="1"/>
  <c r="B3045"/>
  <c r="F3033"/>
  <c r="E3035" s="1"/>
  <c r="F3036"/>
  <c r="D3036"/>
  <c r="H3042"/>
  <c r="D3042"/>
  <c r="B3037"/>
  <c r="B3089"/>
  <c r="I3083" s="1"/>
  <c r="D3081"/>
  <c r="C3083" s="1"/>
  <c r="H3082"/>
  <c r="H3090"/>
  <c r="F3085"/>
  <c r="B3092"/>
  <c r="F3082"/>
  <c r="D3019"/>
  <c r="B3019" s="1"/>
  <c r="F3293"/>
  <c r="F2866"/>
  <c r="H2877"/>
  <c r="H2858"/>
  <c r="D2865"/>
  <c r="C2867" s="1"/>
  <c r="D2859"/>
  <c r="B2868"/>
  <c r="B2869"/>
  <c r="F2865"/>
  <c r="E2867" s="1"/>
  <c r="H3036"/>
  <c r="B3036"/>
  <c r="F3026"/>
  <c r="F3034"/>
  <c r="D3029"/>
  <c r="H3037"/>
  <c r="D3033"/>
  <c r="C3035" s="1"/>
  <c r="B3035"/>
  <c r="B3084"/>
  <c r="B3099"/>
  <c r="F3098"/>
  <c r="H3085"/>
  <c r="F3081"/>
  <c r="E3083" s="1"/>
  <c r="B3085"/>
  <c r="F3100"/>
  <c r="D2869"/>
  <c r="B2876"/>
  <c r="B2877"/>
  <c r="F2877"/>
  <c r="B2859"/>
  <c r="B2860"/>
  <c r="D2881"/>
  <c r="B2881" s="1"/>
  <c r="D2973"/>
  <c r="B2978"/>
  <c r="H2979"/>
  <c r="F2979"/>
  <c r="D2988"/>
  <c r="D2986"/>
  <c r="H2924"/>
  <c r="B2981"/>
  <c r="H3014"/>
  <c r="F2997"/>
  <c r="E2999" s="1"/>
  <c r="F3016"/>
  <c r="D2999"/>
  <c r="B3008"/>
  <c r="H3007"/>
  <c r="F3007"/>
  <c r="H2973"/>
  <c r="H3034"/>
  <c r="B3029"/>
  <c r="D3044"/>
  <c r="F3029"/>
  <c r="D3025"/>
  <c r="C3027" s="1"/>
  <c r="H3033"/>
  <c r="G3035" s="1"/>
  <c r="D3026"/>
  <c r="B3033"/>
  <c r="B3031" s="1"/>
  <c r="D3103"/>
  <c r="B3103" s="1"/>
  <c r="F3090"/>
  <c r="B3083"/>
  <c r="F3084"/>
  <c r="H3081"/>
  <c r="G3083" s="1"/>
  <c r="D3092"/>
  <c r="F3093"/>
  <c r="B2865"/>
  <c r="D2863" s="1"/>
  <c r="B2867"/>
  <c r="D2875"/>
  <c r="F2874"/>
  <c r="H2875"/>
  <c r="D2877"/>
  <c r="H2876"/>
  <c r="H3029"/>
  <c r="H3044"/>
  <c r="D3035"/>
  <c r="F3027"/>
  <c r="B3043"/>
  <c r="D3100"/>
  <c r="B3100"/>
  <c r="F3083"/>
  <c r="B3081"/>
  <c r="H3101"/>
  <c r="F3101"/>
  <c r="D3090"/>
  <c r="D3084"/>
  <c r="F2989"/>
  <c r="B2858"/>
  <c r="H2861"/>
  <c r="B2866"/>
  <c r="H2874"/>
  <c r="H2866"/>
  <c r="F2875"/>
  <c r="D2874"/>
  <c r="B2875"/>
  <c r="D3098"/>
  <c r="B3098"/>
  <c r="D3101"/>
  <c r="H3098"/>
  <c r="H3099"/>
  <c r="F3099"/>
  <c r="D3083"/>
  <c r="D3037"/>
  <c r="F2905"/>
  <c r="C3185"/>
  <c r="D3173"/>
  <c r="G3177"/>
  <c r="E3185"/>
  <c r="G3169"/>
  <c r="C3177"/>
  <c r="B3191"/>
  <c r="C3169"/>
  <c r="E3177"/>
  <c r="E3169"/>
  <c r="F3181"/>
  <c r="B3189"/>
  <c r="G3185"/>
  <c r="H3091"/>
  <c r="D3105"/>
  <c r="B3105" s="1"/>
  <c r="D3089"/>
  <c r="C3091" s="1"/>
  <c r="D3075"/>
  <c r="B3075" s="1"/>
  <c r="D3071"/>
  <c r="H3072"/>
  <c r="H3071"/>
  <c r="F3071"/>
  <c r="H3063"/>
  <c r="D3062"/>
  <c r="D3072"/>
  <c r="B3072"/>
  <c r="D3064"/>
  <c r="H3065"/>
  <c r="H3069"/>
  <c r="G3071" s="1"/>
  <c r="F3069"/>
  <c r="E3071" s="1"/>
  <c r="H3056"/>
  <c r="D3055"/>
  <c r="D3070"/>
  <c r="B3070"/>
  <c r="D3057"/>
  <c r="H3061"/>
  <c r="G3063" s="1"/>
  <c r="H3064"/>
  <c r="F3064"/>
  <c r="F3072"/>
  <c r="D3053"/>
  <c r="C3055" s="1"/>
  <c r="D3065"/>
  <c r="B3065"/>
  <c r="B3073"/>
  <c r="H3054"/>
  <c r="H3062"/>
  <c r="F3062"/>
  <c r="F3065"/>
  <c r="B3071"/>
  <c r="D3063"/>
  <c r="B3063"/>
  <c r="B3069"/>
  <c r="D3067" s="1"/>
  <c r="F3070"/>
  <c r="H3057"/>
  <c r="F3057"/>
  <c r="F3061"/>
  <c r="E3063" s="1"/>
  <c r="B3064"/>
  <c r="D3061"/>
  <c r="C3063" s="1"/>
  <c r="B3061"/>
  <c r="H3059" s="1"/>
  <c r="B3062"/>
  <c r="F3063"/>
  <c r="H3055"/>
  <c r="F3055"/>
  <c r="F3054"/>
  <c r="B3057"/>
  <c r="D3056"/>
  <c r="B3056"/>
  <c r="B3055"/>
  <c r="F3056"/>
  <c r="H3053"/>
  <c r="G3055" s="1"/>
  <c r="F3053"/>
  <c r="E3055" s="1"/>
  <c r="D3054"/>
  <c r="B3181"/>
  <c r="I3177"/>
  <c r="H3181"/>
  <c r="H3173"/>
  <c r="F3173"/>
  <c r="I3169"/>
  <c r="B3173"/>
  <c r="F2955"/>
  <c r="B2955"/>
  <c r="I2951"/>
  <c r="H2955"/>
  <c r="D2955"/>
  <c r="F2947"/>
  <c r="I2943"/>
  <c r="D2947"/>
  <c r="B2947"/>
  <c r="H2947"/>
  <c r="H2388"/>
  <c r="B2388"/>
  <c r="F2380"/>
  <c r="D2337"/>
  <c r="C2339" s="1"/>
  <c r="H2379"/>
  <c r="D2388"/>
  <c r="H2338"/>
  <c r="H2380"/>
  <c r="D2367"/>
  <c r="H2366"/>
  <c r="D2508"/>
  <c r="B2361"/>
  <c r="H2493"/>
  <c r="B2396"/>
  <c r="H2387"/>
  <c r="F2386"/>
  <c r="F2385"/>
  <c r="E2387" s="1"/>
  <c r="B2397"/>
  <c r="H2389"/>
  <c r="F2388"/>
  <c r="H2385"/>
  <c r="G2387" s="1"/>
  <c r="H2394"/>
  <c r="H2381"/>
  <c r="F2377"/>
  <c r="E2379" s="1"/>
  <c r="H2393"/>
  <c r="G2395" s="1"/>
  <c r="D2393"/>
  <c r="C2395" s="1"/>
  <c r="F2389"/>
  <c r="B2385"/>
  <c r="F2383" s="1"/>
  <c r="B2452"/>
  <c r="F2449"/>
  <c r="E2451" s="1"/>
  <c r="F2365"/>
  <c r="E2367" s="1"/>
  <c r="D2386"/>
  <c r="F2394"/>
  <c r="B2380"/>
  <c r="F2397"/>
  <c r="F2450"/>
  <c r="D2453"/>
  <c r="F2444"/>
  <c r="F2434"/>
  <c r="D2449"/>
  <c r="C2451" s="1"/>
  <c r="H2433"/>
  <c r="G2435" s="1"/>
  <c r="H2452"/>
  <c r="D2452"/>
  <c r="F2451"/>
  <c r="H2437"/>
  <c r="B2437"/>
  <c r="H2449"/>
  <c r="G2451" s="1"/>
  <c r="F2442"/>
  <c r="B2453"/>
  <c r="F2304"/>
  <c r="D2396"/>
  <c r="H2377"/>
  <c r="G2379" s="1"/>
  <c r="D2385"/>
  <c r="C2387" s="1"/>
  <c r="B2386"/>
  <c r="H2435"/>
  <c r="F2437"/>
  <c r="D2443"/>
  <c r="H2378"/>
  <c r="F2395"/>
  <c r="B2443"/>
  <c r="F2445"/>
  <c r="F2462"/>
  <c r="F2329"/>
  <c r="E2331" s="1"/>
  <c r="D2394"/>
  <c r="B2395"/>
  <c r="B2381"/>
  <c r="B2389"/>
  <c r="F2393"/>
  <c r="E2395" s="1"/>
  <c r="H2395"/>
  <c r="D2445"/>
  <c r="D2437"/>
  <c r="B2434"/>
  <c r="B2461"/>
  <c r="F2473"/>
  <c r="H2365"/>
  <c r="G2367" s="1"/>
  <c r="H2386"/>
  <c r="D2359"/>
  <c r="F2379"/>
  <c r="B2387"/>
  <c r="H2396"/>
  <c r="F2443"/>
  <c r="F2441"/>
  <c r="E2443" s="1"/>
  <c r="F2435"/>
  <c r="D2485"/>
  <c r="B2485" s="1"/>
  <c r="D2472"/>
  <c r="F2469"/>
  <c r="E2471" s="1"/>
  <c r="B2470"/>
  <c r="D2469"/>
  <c r="C2471" s="1"/>
  <c r="B2465"/>
  <c r="B2479"/>
  <c r="D2465"/>
  <c r="B2478"/>
  <c r="B2477"/>
  <c r="F2463"/>
  <c r="F2478"/>
  <c r="H2469"/>
  <c r="G2471" s="1"/>
  <c r="H2478"/>
  <c r="D2295"/>
  <c r="D2304"/>
  <c r="H2305"/>
  <c r="B2297"/>
  <c r="D2397"/>
  <c r="B2393"/>
  <c r="F2387"/>
  <c r="D2379"/>
  <c r="D2380"/>
  <c r="H2451"/>
  <c r="H2442"/>
  <c r="B2451"/>
  <c r="F2453"/>
  <c r="F2381"/>
  <c r="F2481"/>
  <c r="D2463"/>
  <c r="H2471"/>
  <c r="F2312"/>
  <c r="B2310"/>
  <c r="B2441"/>
  <c r="D2441"/>
  <c r="C2443" s="1"/>
  <c r="F2452"/>
  <c r="D2442"/>
  <c r="D2435"/>
  <c r="D2450"/>
  <c r="H2367"/>
  <c r="F2367"/>
  <c r="D2369"/>
  <c r="H2368"/>
  <c r="B2366"/>
  <c r="B2369"/>
  <c r="H2359"/>
  <c r="B2352"/>
  <c r="D2361"/>
  <c r="H2351"/>
  <c r="F2351"/>
  <c r="D2365"/>
  <c r="C2367" s="1"/>
  <c r="H2361"/>
  <c r="B2357"/>
  <c r="H2355" s="1"/>
  <c r="D2352"/>
  <c r="D2357"/>
  <c r="C2359" s="1"/>
  <c r="D2349"/>
  <c r="C2351" s="1"/>
  <c r="F2360"/>
  <c r="D2360"/>
  <c r="D2351"/>
  <c r="H2350"/>
  <c r="H2360"/>
  <c r="D2395"/>
  <c r="B2394"/>
  <c r="D2381"/>
  <c r="D2366"/>
  <c r="D2387"/>
  <c r="D2378"/>
  <c r="B2365"/>
  <c r="B2377"/>
  <c r="B2350"/>
  <c r="H2443"/>
  <c r="B2450"/>
  <c r="B2435"/>
  <c r="H2450"/>
  <c r="B2433"/>
  <c r="F2461"/>
  <c r="E2463" s="1"/>
  <c r="F2436"/>
  <c r="H2462"/>
  <c r="D2473"/>
  <c r="F2358"/>
  <c r="D2358"/>
  <c r="B2360"/>
  <c r="F2357"/>
  <c r="E2359" s="1"/>
  <c r="H2358"/>
  <c r="D2373"/>
  <c r="B2373" s="1"/>
  <c r="F2366"/>
  <c r="F2353"/>
  <c r="D2353"/>
  <c r="B2358"/>
  <c r="F2352"/>
  <c r="H2353"/>
  <c r="D2368"/>
  <c r="H2352"/>
  <c r="B2367"/>
  <c r="F2368"/>
  <c r="D2371"/>
  <c r="B2371" s="1"/>
  <c r="H2349"/>
  <c r="G2351" s="1"/>
  <c r="B2353"/>
  <c r="F2350"/>
  <c r="F2359"/>
  <c r="H2369"/>
  <c r="F2369"/>
  <c r="F2349"/>
  <c r="E2351" s="1"/>
  <c r="B2349"/>
  <c r="B2368"/>
  <c r="H2357"/>
  <c r="G2359" s="1"/>
  <c r="D2350"/>
  <c r="F2361"/>
  <c r="D2478"/>
  <c r="F2497"/>
  <c r="E2499" s="1"/>
  <c r="B2508"/>
  <c r="D2493"/>
  <c r="F2505"/>
  <c r="E2507" s="1"/>
  <c r="D2389"/>
  <c r="D2377"/>
  <c r="C2379" s="1"/>
  <c r="D2399"/>
  <c r="B2399" s="1"/>
  <c r="B2379"/>
  <c r="H2397"/>
  <c r="H2444"/>
  <c r="F2396"/>
  <c r="D2451"/>
  <c r="D2444"/>
  <c r="H2445"/>
  <c r="B2444"/>
  <c r="H2441"/>
  <c r="G2443" s="1"/>
  <c r="B2449"/>
  <c r="D2470"/>
  <c r="H2463"/>
  <c r="F2472"/>
  <c r="D2477"/>
  <c r="C2479" s="1"/>
  <c r="H2480"/>
  <c r="D2457"/>
  <c r="B2457" s="1"/>
  <c r="D2436"/>
  <c r="B2445"/>
  <c r="H2498"/>
  <c r="H2499"/>
  <c r="D2289"/>
  <c r="B2289" s="1"/>
  <c r="D2499"/>
  <c r="D2507"/>
  <c r="H2490"/>
  <c r="H2481"/>
  <c r="B2378"/>
  <c r="D2455"/>
  <c r="B2455" s="1"/>
  <c r="H2436"/>
  <c r="B2436"/>
  <c r="H2434"/>
  <c r="F2433"/>
  <c r="E2435" s="1"/>
  <c r="D2433"/>
  <c r="C2435" s="1"/>
  <c r="B2442"/>
  <c r="D2461"/>
  <c r="C2463" s="1"/>
  <c r="H2464"/>
  <c r="F2464"/>
  <c r="B2472"/>
  <c r="H2473"/>
  <c r="F2471"/>
  <c r="D2471"/>
  <c r="D2497"/>
  <c r="C2499" s="1"/>
  <c r="D2498"/>
  <c r="F2501"/>
  <c r="D2315"/>
  <c r="B2315" s="1"/>
  <c r="B2473"/>
  <c r="H2479"/>
  <c r="D2481"/>
  <c r="F2480"/>
  <c r="D2464"/>
  <c r="D2483"/>
  <c r="B2483" s="1"/>
  <c r="H2470"/>
  <c r="F2470"/>
  <c r="B2499"/>
  <c r="B2507"/>
  <c r="F2492"/>
  <c r="H2453"/>
  <c r="B2737"/>
  <c r="D2541"/>
  <c r="B2541" s="1"/>
  <c r="B2471"/>
  <c r="H2477"/>
  <c r="G2479" s="1"/>
  <c r="F2479"/>
  <c r="B2481"/>
  <c r="D2462"/>
  <c r="B2464"/>
  <c r="H2465"/>
  <c r="F2465"/>
  <c r="B2497"/>
  <c r="F2323"/>
  <c r="C2605"/>
  <c r="E2605"/>
  <c r="D2401"/>
  <c r="B2401" s="1"/>
  <c r="I2669"/>
  <c r="E2661"/>
  <c r="G2669"/>
  <c r="F2665"/>
  <c r="G2661"/>
  <c r="G2677"/>
  <c r="B2681"/>
  <c r="C2661"/>
  <c r="E2677"/>
  <c r="C2677"/>
  <c r="C2669"/>
  <c r="B2683"/>
  <c r="E2669"/>
  <c r="D2513"/>
  <c r="B2513" s="1"/>
  <c r="B2469"/>
  <c r="H2472"/>
  <c r="F2477"/>
  <c r="E2479" s="1"/>
  <c r="D2479"/>
  <c r="D2480"/>
  <c r="B2462"/>
  <c r="B2463"/>
  <c r="H2461"/>
  <c r="G2463" s="1"/>
  <c r="H2507"/>
  <c r="B2493"/>
  <c r="H2425"/>
  <c r="E2689"/>
  <c r="E2697"/>
  <c r="B2709"/>
  <c r="C2697"/>
  <c r="G2705"/>
  <c r="F2701"/>
  <c r="B2711"/>
  <c r="F2693"/>
  <c r="G2689"/>
  <c r="E2705"/>
  <c r="G2697"/>
  <c r="B2359"/>
  <c r="E2633"/>
  <c r="E2649"/>
  <c r="C2649"/>
  <c r="C2633"/>
  <c r="B2653"/>
  <c r="E2641"/>
  <c r="G2633"/>
  <c r="G2649"/>
  <c r="H2295"/>
  <c r="B2312"/>
  <c r="F2293"/>
  <c r="E2295" s="1"/>
  <c r="G2641"/>
  <c r="F2309"/>
  <c r="E2311" s="1"/>
  <c r="H2303"/>
  <c r="B2301"/>
  <c r="D2511"/>
  <c r="B2511" s="1"/>
  <c r="H2509"/>
  <c r="D2509"/>
  <c r="B2509"/>
  <c r="F2506"/>
  <c r="D2490"/>
  <c r="D2506"/>
  <c r="B2506"/>
  <c r="H2505"/>
  <c r="G2507" s="1"/>
  <c r="D2505"/>
  <c r="C2507" s="1"/>
  <c r="B2505"/>
  <c r="F2491"/>
  <c r="H2497"/>
  <c r="G2499" s="1"/>
  <c r="H2294"/>
  <c r="H2293"/>
  <c r="G2295" s="1"/>
  <c r="D2501"/>
  <c r="B2501"/>
  <c r="H2500"/>
  <c r="D2500"/>
  <c r="B2500"/>
  <c r="F2507"/>
  <c r="D2489"/>
  <c r="C2491" s="1"/>
  <c r="H2311"/>
  <c r="F2297"/>
  <c r="D2294"/>
  <c r="D2492"/>
  <c r="B2492"/>
  <c r="H2491"/>
  <c r="D2491"/>
  <c r="B2491"/>
  <c r="H2506"/>
  <c r="H2501"/>
  <c r="B2490"/>
  <c r="H2489"/>
  <c r="G2491" s="1"/>
  <c r="F2489"/>
  <c r="E2491" s="1"/>
  <c r="B2489"/>
  <c r="F2508"/>
  <c r="F2498"/>
  <c r="F2493"/>
  <c r="F2490"/>
  <c r="B2296"/>
  <c r="H2302"/>
  <c r="F2302"/>
  <c r="D2317"/>
  <c r="B2317" s="1"/>
  <c r="F2313"/>
  <c r="B2303"/>
  <c r="B2309"/>
  <c r="H2312"/>
  <c r="F2301"/>
  <c r="E2303" s="1"/>
  <c r="D2303"/>
  <c r="H2492"/>
  <c r="H2309"/>
  <c r="G2311" s="1"/>
  <c r="D2293"/>
  <c r="C2295" s="1"/>
  <c r="B2295"/>
  <c r="F2303"/>
  <c r="F2305"/>
  <c r="F2295"/>
  <c r="D2302"/>
  <c r="B2293"/>
  <c r="H2296"/>
  <c r="D2301"/>
  <c r="C2303" s="1"/>
  <c r="D2534"/>
  <c r="B2521"/>
  <c r="F2536"/>
  <c r="B2533"/>
  <c r="B2537"/>
  <c r="F2284"/>
  <c r="F2533"/>
  <c r="E2535" s="1"/>
  <c r="H2519"/>
  <c r="H2520"/>
  <c r="D2529"/>
  <c r="D2527"/>
  <c r="B2528"/>
  <c r="H2273"/>
  <c r="G2275" s="1"/>
  <c r="H2527"/>
  <c r="H2525"/>
  <c r="G2527" s="1"/>
  <c r="F2269"/>
  <c r="F2275"/>
  <c r="F2274"/>
  <c r="B2276"/>
  <c r="B2305"/>
  <c r="H2304"/>
  <c r="D2297"/>
  <c r="B2313"/>
  <c r="B2302"/>
  <c r="H2301"/>
  <c r="G2303" s="1"/>
  <c r="D2296"/>
  <c r="F2294"/>
  <c r="D2525"/>
  <c r="C2527" s="1"/>
  <c r="H2529"/>
  <c r="H2536"/>
  <c r="H2281"/>
  <c r="G2283" s="1"/>
  <c r="B2269"/>
  <c r="B2294"/>
  <c r="D2313"/>
  <c r="F2311"/>
  <c r="B2304"/>
  <c r="F2310"/>
  <c r="D2310"/>
  <c r="H2297"/>
  <c r="H2521"/>
  <c r="B2526"/>
  <c r="H2518"/>
  <c r="B2519"/>
  <c r="F2529"/>
  <c r="F2265"/>
  <c r="E2267" s="1"/>
  <c r="F2268"/>
  <c r="H2267"/>
  <c r="D2282"/>
  <c r="H2269"/>
  <c r="B2267"/>
  <c r="H2313"/>
  <c r="D2311"/>
  <c r="D2309"/>
  <c r="C2311" s="1"/>
  <c r="B2311"/>
  <c r="H2310"/>
  <c r="D2305"/>
  <c r="D2312"/>
  <c r="F2525"/>
  <c r="E2527" s="1"/>
  <c r="F2425"/>
  <c r="D2275"/>
  <c r="D2267"/>
  <c r="H2265"/>
  <c r="G2267" s="1"/>
  <c r="H2277"/>
  <c r="D2268"/>
  <c r="D2406"/>
  <c r="F2413"/>
  <c r="E2415" s="1"/>
  <c r="D2520"/>
  <c r="D2539"/>
  <c r="B2539" s="1"/>
  <c r="F2527"/>
  <c r="D2518"/>
  <c r="F2526"/>
  <c r="F2534"/>
  <c r="F2518"/>
  <c r="D2266"/>
  <c r="B2273"/>
  <c r="F2271" s="1"/>
  <c r="F2281"/>
  <c r="E2283" s="1"/>
  <c r="D2274"/>
  <c r="D2283"/>
  <c r="B2518"/>
  <c r="D2528"/>
  <c r="B2534"/>
  <c r="F2520"/>
  <c r="B2536"/>
  <c r="F2519"/>
  <c r="F2535"/>
  <c r="F2528"/>
  <c r="B2282"/>
  <c r="B2275"/>
  <c r="F2267"/>
  <c r="D2277"/>
  <c r="B2283"/>
  <c r="D2405"/>
  <c r="C2407" s="1"/>
  <c r="H2535"/>
  <c r="D2517"/>
  <c r="C2519" s="1"/>
  <c r="B2520"/>
  <c r="F2537"/>
  <c r="B2529"/>
  <c r="F2517"/>
  <c r="E2519" s="1"/>
  <c r="D2533"/>
  <c r="C2535" s="1"/>
  <c r="F2521"/>
  <c r="D2273"/>
  <c r="C2275" s="1"/>
  <c r="D2281"/>
  <c r="C2283" s="1"/>
  <c r="H2274"/>
  <c r="D2285"/>
  <c r="D2265"/>
  <c r="C2267" s="1"/>
  <c r="B2268"/>
  <c r="B2266"/>
  <c r="H2268"/>
  <c r="F2282"/>
  <c r="B2281"/>
  <c r="H2279" s="1"/>
  <c r="D2422"/>
  <c r="H2528"/>
  <c r="B2517"/>
  <c r="H2517"/>
  <c r="G2519" s="1"/>
  <c r="H2537"/>
  <c r="B2527"/>
  <c r="D2537"/>
  <c r="D2521"/>
  <c r="D2535"/>
  <c r="H2526"/>
  <c r="D2536"/>
  <c r="D2519"/>
  <c r="H2533"/>
  <c r="G2535" s="1"/>
  <c r="D2526"/>
  <c r="B2535"/>
  <c r="H2534"/>
  <c r="F2500"/>
  <c r="D2417"/>
  <c r="B2422"/>
  <c r="H2423"/>
  <c r="B2277"/>
  <c r="D2276"/>
  <c r="H2276"/>
  <c r="F2276"/>
  <c r="F2273"/>
  <c r="E2275" s="1"/>
  <c r="B2274"/>
  <c r="F2266"/>
  <c r="B2421"/>
  <c r="H2419" s="1"/>
  <c r="B2407"/>
  <c r="F2424"/>
  <c r="B2406"/>
  <c r="H2409"/>
  <c r="H2413"/>
  <c r="G2415" s="1"/>
  <c r="H2508"/>
  <c r="F2405"/>
  <c r="E2407" s="1"/>
  <c r="B2413"/>
  <c r="B2411" s="1"/>
  <c r="H2424"/>
  <c r="F2422"/>
  <c r="F2408"/>
  <c r="D2425"/>
  <c r="B2409"/>
  <c r="F2285"/>
  <c r="D2287"/>
  <c r="B2287" s="1"/>
  <c r="H2285"/>
  <c r="H2284"/>
  <c r="F2277"/>
  <c r="D2269"/>
  <c r="H2266"/>
  <c r="F2417"/>
  <c r="D2414"/>
  <c r="D2421"/>
  <c r="C2423" s="1"/>
  <c r="H2416"/>
  <c r="F2509"/>
  <c r="B2423"/>
  <c r="H2406"/>
  <c r="B2425"/>
  <c r="D2416"/>
  <c r="B2424"/>
  <c r="D2429"/>
  <c r="B2429" s="1"/>
  <c r="B2414"/>
  <c r="B2417"/>
  <c r="D2284"/>
  <c r="F2283"/>
  <c r="B2284"/>
  <c r="H2283"/>
  <c r="H2282"/>
  <c r="B2285"/>
  <c r="H2275"/>
  <c r="B2265"/>
  <c r="H2405"/>
  <c r="G2407" s="1"/>
  <c r="D2424"/>
  <c r="D2413"/>
  <c r="C2415" s="1"/>
  <c r="D2408"/>
  <c r="F2414"/>
  <c r="F2499"/>
  <c r="F2321"/>
  <c r="E2323" s="1"/>
  <c r="B2339"/>
  <c r="H2331"/>
  <c r="D2338"/>
  <c r="F2325"/>
  <c r="H2321"/>
  <c r="G2323" s="1"/>
  <c r="B2405"/>
  <c r="F2341"/>
  <c r="F2415"/>
  <c r="H2339"/>
  <c r="D2415"/>
  <c r="D2427"/>
  <c r="B2427" s="1"/>
  <c r="F2407"/>
  <c r="H2421"/>
  <c r="G2423" s="1"/>
  <c r="F2409"/>
  <c r="C2705"/>
  <c r="H2332"/>
  <c r="B2625"/>
  <c r="C2689"/>
  <c r="C2613"/>
  <c r="B2337"/>
  <c r="H2335" s="1"/>
  <c r="F2333"/>
  <c r="D2329"/>
  <c r="C2331" s="1"/>
  <c r="H2337"/>
  <c r="G2339" s="1"/>
  <c r="D2409"/>
  <c r="H2422"/>
  <c r="B2416"/>
  <c r="H2415"/>
  <c r="B2415"/>
  <c r="F2416"/>
  <c r="F2423"/>
  <c r="D2423"/>
  <c r="D2332"/>
  <c r="H2340"/>
  <c r="F2322"/>
  <c r="D2325"/>
  <c r="H2333"/>
  <c r="D2333"/>
  <c r="B2340"/>
  <c r="B2341"/>
  <c r="H2324"/>
  <c r="D2331"/>
  <c r="H2325"/>
  <c r="D2339"/>
  <c r="B2332"/>
  <c r="F2338"/>
  <c r="D2322"/>
  <c r="H2323"/>
  <c r="D2407"/>
  <c r="H2417"/>
  <c r="H2408"/>
  <c r="F2406"/>
  <c r="B2408"/>
  <c r="H2407"/>
  <c r="H2414"/>
  <c r="F2421"/>
  <c r="E2423" s="1"/>
  <c r="D2341"/>
  <c r="B2325"/>
  <c r="F2331"/>
  <c r="B2333"/>
  <c r="B2330"/>
  <c r="H2329"/>
  <c r="G2331" s="1"/>
  <c r="F2324"/>
  <c r="D2324"/>
  <c r="B2324"/>
  <c r="B2329"/>
  <c r="F2327" s="1"/>
  <c r="F2332"/>
  <c r="B2323"/>
  <c r="H2322"/>
  <c r="D2345"/>
  <c r="B2345" s="1"/>
  <c r="D2343"/>
  <c r="B2343" s="1"/>
  <c r="H2341"/>
  <c r="F2339"/>
  <c r="D2323"/>
  <c r="F2337"/>
  <c r="E2339" s="1"/>
  <c r="B2322"/>
  <c r="D2330"/>
  <c r="B2331"/>
  <c r="D2321"/>
  <c r="C2323" s="1"/>
  <c r="B2321"/>
  <c r="F2340"/>
  <c r="D2340"/>
  <c r="H2330"/>
  <c r="B2338"/>
  <c r="D2609"/>
  <c r="B2525"/>
  <c r="H2721"/>
  <c r="F2673"/>
  <c r="H2673"/>
  <c r="D2231"/>
  <c r="B2231" s="1"/>
  <c r="D2091"/>
  <c r="B2091" s="1"/>
  <c r="D2147"/>
  <c r="B2147" s="1"/>
  <c r="D2119"/>
  <c r="B2119" s="1"/>
  <c r="D2259"/>
  <c r="B2259" s="1"/>
  <c r="D2175"/>
  <c r="B2175" s="1"/>
  <c r="D2035"/>
  <c r="B2035" s="1"/>
  <c r="D2203"/>
  <c r="B2203" s="1"/>
  <c r="D2063"/>
  <c r="B2063" s="1"/>
  <c r="D2007"/>
  <c r="B2007" s="1"/>
  <c r="B2235"/>
  <c r="B2251"/>
  <c r="H2249" s="1"/>
  <c r="D2251"/>
  <c r="C2253" s="1"/>
  <c r="H2236"/>
  <c r="D2246"/>
  <c r="B2244"/>
  <c r="H2252"/>
  <c r="B2253"/>
  <c r="H2198"/>
  <c r="F2254"/>
  <c r="H2247"/>
  <c r="D2244"/>
  <c r="B2237"/>
  <c r="H2238"/>
  <c r="D2253"/>
  <c r="D2237"/>
  <c r="B2239"/>
  <c r="H2254"/>
  <c r="H2245"/>
  <c r="D2239"/>
  <c r="B2255"/>
  <c r="F2195"/>
  <c r="E2197" s="1"/>
  <c r="B2246"/>
  <c r="H2243"/>
  <c r="G2245" s="1"/>
  <c r="D2255"/>
  <c r="B2195"/>
  <c r="D2215"/>
  <c r="C2217" s="1"/>
  <c r="D2223"/>
  <c r="C2225" s="1"/>
  <c r="B2227"/>
  <c r="D2236"/>
  <c r="F2243"/>
  <c r="E2245" s="1"/>
  <c r="F2245"/>
  <c r="F2236"/>
  <c r="F2238"/>
  <c r="F2247"/>
  <c r="F2252"/>
  <c r="D2207"/>
  <c r="C2209" s="1"/>
  <c r="B2216"/>
  <c r="D2163"/>
  <c r="B2207"/>
  <c r="B2223"/>
  <c r="F2215"/>
  <c r="E2217" s="1"/>
  <c r="D2235"/>
  <c r="C2237" s="1"/>
  <c r="F2237"/>
  <c r="F2246"/>
  <c r="F2251"/>
  <c r="E2253" s="1"/>
  <c r="F2239"/>
  <c r="F2244"/>
  <c r="F2253"/>
  <c r="F2255"/>
  <c r="F2226"/>
  <c r="F2217"/>
  <c r="D2211"/>
  <c r="D2171"/>
  <c r="D2208"/>
  <c r="D2218"/>
  <c r="B2218"/>
  <c r="F2235"/>
  <c r="E2237" s="1"/>
  <c r="H2237"/>
  <c r="H2246"/>
  <c r="H2251"/>
  <c r="G2253" s="1"/>
  <c r="H2239"/>
  <c r="H2244"/>
  <c r="H2253"/>
  <c r="H2255"/>
  <c r="B2209"/>
  <c r="F2210"/>
  <c r="D2227"/>
  <c r="F2187"/>
  <c r="E2189" s="1"/>
  <c r="H2210"/>
  <c r="F2219"/>
  <c r="D2216"/>
  <c r="H2235"/>
  <c r="G2237" s="1"/>
  <c r="B2238"/>
  <c r="B2247"/>
  <c r="B2252"/>
  <c r="B2243"/>
  <c r="B2245"/>
  <c r="B2254"/>
  <c r="D2257"/>
  <c r="B2257" s="1"/>
  <c r="B2181"/>
  <c r="B2211"/>
  <c r="B2225"/>
  <c r="F2224"/>
  <c r="B2236"/>
  <c r="D2238"/>
  <c r="D2247"/>
  <c r="D2252"/>
  <c r="D2243"/>
  <c r="C2245" s="1"/>
  <c r="D2245"/>
  <c r="D2254"/>
  <c r="H2168"/>
  <c r="F2181"/>
  <c r="B2199"/>
  <c r="F2208"/>
  <c r="H2208"/>
  <c r="H2219"/>
  <c r="H2224"/>
  <c r="H2215"/>
  <c r="G2217" s="1"/>
  <c r="H2217"/>
  <c r="H2226"/>
  <c r="H2154"/>
  <c r="F2198"/>
  <c r="B2183"/>
  <c r="D2225"/>
  <c r="D2209"/>
  <c r="H2209"/>
  <c r="H2223"/>
  <c r="G2225" s="1"/>
  <c r="H2225"/>
  <c r="H2216"/>
  <c r="H2218"/>
  <c r="H2227"/>
  <c r="D2155"/>
  <c r="B2179"/>
  <c r="F2183"/>
  <c r="H2207"/>
  <c r="G2209" s="1"/>
  <c r="H2211"/>
  <c r="B2210"/>
  <c r="B2224"/>
  <c r="B2226"/>
  <c r="B2217"/>
  <c r="B2219"/>
  <c r="D2229"/>
  <c r="B2229" s="1"/>
  <c r="F2161"/>
  <c r="H2187"/>
  <c r="G2189" s="1"/>
  <c r="B2197"/>
  <c r="B2208"/>
  <c r="B2215"/>
  <c r="I2209" s="1"/>
  <c r="F2209"/>
  <c r="F2223"/>
  <c r="E2225" s="1"/>
  <c r="F2225"/>
  <c r="F2216"/>
  <c r="F2218"/>
  <c r="F2227"/>
  <c r="H2162"/>
  <c r="B2188"/>
  <c r="F2197"/>
  <c r="F2207"/>
  <c r="E2209" s="1"/>
  <c r="F2211"/>
  <c r="D2210"/>
  <c r="D2224"/>
  <c r="D2226"/>
  <c r="D2217"/>
  <c r="D2219"/>
  <c r="F2152"/>
  <c r="F2159"/>
  <c r="E2161" s="1"/>
  <c r="H2170"/>
  <c r="D2191"/>
  <c r="F2182"/>
  <c r="H2180"/>
  <c r="H2191"/>
  <c r="H2182"/>
  <c r="H2196"/>
  <c r="F2196"/>
  <c r="H2189"/>
  <c r="F2179"/>
  <c r="E2181" s="1"/>
  <c r="F2188"/>
  <c r="D2181"/>
  <c r="D2195"/>
  <c r="C2197" s="1"/>
  <c r="D2183"/>
  <c r="D2197"/>
  <c r="F2199"/>
  <c r="B2151"/>
  <c r="H2163"/>
  <c r="B2170"/>
  <c r="B2190"/>
  <c r="D2179"/>
  <c r="C2181" s="1"/>
  <c r="D2188"/>
  <c r="H2181"/>
  <c r="H2195"/>
  <c r="G2197" s="1"/>
  <c r="H2183"/>
  <c r="H2197"/>
  <c r="D2199"/>
  <c r="F2112"/>
  <c r="D2152"/>
  <c r="D2167"/>
  <c r="C2169" s="1"/>
  <c r="D2170"/>
  <c r="F2190"/>
  <c r="H2179"/>
  <c r="G2181" s="1"/>
  <c r="H2188"/>
  <c r="B2182"/>
  <c r="B2196"/>
  <c r="B2187"/>
  <c r="H2185" s="1"/>
  <c r="B2198"/>
  <c r="H2199"/>
  <c r="H2152"/>
  <c r="F2154"/>
  <c r="B2160"/>
  <c r="D2190"/>
  <c r="B2180"/>
  <c r="B2189"/>
  <c r="D2182"/>
  <c r="D2196"/>
  <c r="D2187"/>
  <c r="C2189" s="1"/>
  <c r="D2198"/>
  <c r="D2201"/>
  <c r="B2201" s="1"/>
  <c r="D2098"/>
  <c r="D2153"/>
  <c r="D2160"/>
  <c r="F2168"/>
  <c r="H2190"/>
  <c r="D2180"/>
  <c r="D2189"/>
  <c r="F2189"/>
  <c r="F2180"/>
  <c r="F2191"/>
  <c r="B2191"/>
  <c r="F2170"/>
  <c r="B2153"/>
  <c r="B2155"/>
  <c r="B2167"/>
  <c r="D2165" s="1"/>
  <c r="B2161"/>
  <c r="F2163"/>
  <c r="H2159"/>
  <c r="G2161" s="1"/>
  <c r="B2171"/>
  <c r="D2151"/>
  <c r="C2153" s="1"/>
  <c r="F2153"/>
  <c r="F2155"/>
  <c r="F2167"/>
  <c r="E2169" s="1"/>
  <c r="H2161"/>
  <c r="B2169"/>
  <c r="F2160"/>
  <c r="F2171"/>
  <c r="F2151"/>
  <c r="E2153" s="1"/>
  <c r="H2153"/>
  <c r="H2155"/>
  <c r="H2167"/>
  <c r="G2169" s="1"/>
  <c r="B2162"/>
  <c r="D2169"/>
  <c r="H2160"/>
  <c r="H2171"/>
  <c r="H2151"/>
  <c r="G2153" s="1"/>
  <c r="B2154"/>
  <c r="B2159"/>
  <c r="H2157" s="1"/>
  <c r="B2168"/>
  <c r="D2162"/>
  <c r="F2169"/>
  <c r="D2161"/>
  <c r="D2173"/>
  <c r="B2173" s="1"/>
  <c r="B2076"/>
  <c r="B2152"/>
  <c r="D2154"/>
  <c r="D2159"/>
  <c r="C2161" s="1"/>
  <c r="D2168"/>
  <c r="F2162"/>
  <c r="H2169"/>
  <c r="B2163"/>
  <c r="H2086"/>
  <c r="F2142"/>
  <c r="B2134"/>
  <c r="B2132"/>
  <c r="B2139"/>
  <c r="I2133" s="1"/>
  <c r="B2127"/>
  <c r="B2141"/>
  <c r="B2143"/>
  <c r="B2123"/>
  <c r="D2125"/>
  <c r="D2134"/>
  <c r="D2132"/>
  <c r="D2139"/>
  <c r="C2141" s="1"/>
  <c r="D2127"/>
  <c r="D2141"/>
  <c r="D2143"/>
  <c r="H2070"/>
  <c r="F2107"/>
  <c r="D2124"/>
  <c r="F2131"/>
  <c r="E2133" s="1"/>
  <c r="F2126"/>
  <c r="F2133"/>
  <c r="F2124"/>
  <c r="F2135"/>
  <c r="F2140"/>
  <c r="B2125"/>
  <c r="D2103"/>
  <c r="C2105" s="1"/>
  <c r="D2123"/>
  <c r="C2125" s="1"/>
  <c r="F2125"/>
  <c r="F2134"/>
  <c r="F2132"/>
  <c r="F2139"/>
  <c r="E2141" s="1"/>
  <c r="F2127"/>
  <c r="F2141"/>
  <c r="F2143"/>
  <c r="H2124"/>
  <c r="H2133"/>
  <c r="H2131"/>
  <c r="G2133" s="1"/>
  <c r="H2135"/>
  <c r="H2126"/>
  <c r="H2140"/>
  <c r="H2142"/>
  <c r="F2098"/>
  <c r="F2123"/>
  <c r="E2125" s="1"/>
  <c r="H2125"/>
  <c r="H2134"/>
  <c r="H2132"/>
  <c r="H2139"/>
  <c r="G2141" s="1"/>
  <c r="H2127"/>
  <c r="H2141"/>
  <c r="H2143"/>
  <c r="B2057"/>
  <c r="F2103"/>
  <c r="E2105" s="1"/>
  <c r="H2123"/>
  <c r="G2125" s="1"/>
  <c r="B2126"/>
  <c r="B2135"/>
  <c r="B2133"/>
  <c r="B2140"/>
  <c r="B2131"/>
  <c r="H2129" s="1"/>
  <c r="B2142"/>
  <c r="D2145"/>
  <c r="B2145" s="1"/>
  <c r="F2086"/>
  <c r="F2105"/>
  <c r="B2124"/>
  <c r="D2126"/>
  <c r="D2135"/>
  <c r="D2133"/>
  <c r="D2140"/>
  <c r="D2131"/>
  <c r="C2133" s="1"/>
  <c r="D2142"/>
  <c r="D2057"/>
  <c r="B2071"/>
  <c r="B2087"/>
  <c r="F2096"/>
  <c r="F2114"/>
  <c r="H2103"/>
  <c r="G2105" s="1"/>
  <c r="H2105"/>
  <c r="H2107"/>
  <c r="H2112"/>
  <c r="H2114"/>
  <c r="D2059"/>
  <c r="H2075"/>
  <c r="G2077" s="1"/>
  <c r="H2096"/>
  <c r="H2098"/>
  <c r="B2095"/>
  <c r="B2104"/>
  <c r="B2106"/>
  <c r="B2111"/>
  <c r="B2113"/>
  <c r="B2115"/>
  <c r="H2047"/>
  <c r="G2049" s="1"/>
  <c r="H2068"/>
  <c r="H2079"/>
  <c r="D2097"/>
  <c r="D2099"/>
  <c r="F2095"/>
  <c r="E2097" s="1"/>
  <c r="F2104"/>
  <c r="F2106"/>
  <c r="F2111"/>
  <c r="E2113" s="1"/>
  <c r="F2113"/>
  <c r="F2115"/>
  <c r="B2099"/>
  <c r="D2113"/>
  <c r="B2048"/>
  <c r="B2069"/>
  <c r="B2083"/>
  <c r="D2081" s="1"/>
  <c r="F2097"/>
  <c r="F2099"/>
  <c r="H2095"/>
  <c r="G2097" s="1"/>
  <c r="H2104"/>
  <c r="H2106"/>
  <c r="H2111"/>
  <c r="G2113" s="1"/>
  <c r="H2113"/>
  <c r="H2115"/>
  <c r="F2058"/>
  <c r="B2097"/>
  <c r="D2095"/>
  <c r="C2097" s="1"/>
  <c r="D2104"/>
  <c r="D2106"/>
  <c r="D2111"/>
  <c r="C2113" s="1"/>
  <c r="D2115"/>
  <c r="F2049"/>
  <c r="H2077"/>
  <c r="H2084"/>
  <c r="H2097"/>
  <c r="H2099"/>
  <c r="B2096"/>
  <c r="B2105"/>
  <c r="B2107"/>
  <c r="B2112"/>
  <c r="B2114"/>
  <c r="D2117"/>
  <c r="B2117" s="1"/>
  <c r="H2056"/>
  <c r="B2078"/>
  <c r="B2085"/>
  <c r="B2098"/>
  <c r="B2103"/>
  <c r="B2101" s="1"/>
  <c r="D2096"/>
  <c r="D2105"/>
  <c r="D2107"/>
  <c r="D2112"/>
  <c r="D2114"/>
  <c r="B2020"/>
  <c r="F2042"/>
  <c r="D2041"/>
  <c r="B2059"/>
  <c r="D2068"/>
  <c r="F2075"/>
  <c r="E2077" s="1"/>
  <c r="F2068"/>
  <c r="F2070"/>
  <c r="F2077"/>
  <c r="F2079"/>
  <c r="F2084"/>
  <c r="B2039"/>
  <c r="H2051"/>
  <c r="H2042"/>
  <c r="D2067"/>
  <c r="C2069" s="1"/>
  <c r="F2069"/>
  <c r="F2078"/>
  <c r="F2071"/>
  <c r="F2076"/>
  <c r="F2083"/>
  <c r="E2085" s="1"/>
  <c r="F2085"/>
  <c r="F2087"/>
  <c r="B2031"/>
  <c r="F1985"/>
  <c r="F2047"/>
  <c r="E2049" s="1"/>
  <c r="B2055"/>
  <c r="I2049" s="1"/>
  <c r="B2043"/>
  <c r="F2067"/>
  <c r="E2069" s="1"/>
  <c r="H2069"/>
  <c r="H2078"/>
  <c r="H2071"/>
  <c r="H2076"/>
  <c r="H2083"/>
  <c r="G2085" s="1"/>
  <c r="H2085"/>
  <c r="H2087"/>
  <c r="H2011"/>
  <c r="G2013" s="1"/>
  <c r="B2067"/>
  <c r="D2069"/>
  <c r="D2078"/>
  <c r="D2071"/>
  <c r="D2076"/>
  <c r="D2083"/>
  <c r="C2085" s="1"/>
  <c r="D2085"/>
  <c r="D2087"/>
  <c r="F1999"/>
  <c r="E2001" s="1"/>
  <c r="H2049"/>
  <c r="H2040"/>
  <c r="D2043"/>
  <c r="H2067"/>
  <c r="G2069" s="1"/>
  <c r="B2070"/>
  <c r="B2079"/>
  <c r="B2075"/>
  <c r="B2077"/>
  <c r="B2084"/>
  <c r="B2086"/>
  <c r="D2089"/>
  <c r="B2089" s="1"/>
  <c r="H2003"/>
  <c r="B2050"/>
  <c r="B2041"/>
  <c r="H2058"/>
  <c r="B2068"/>
  <c r="D2070"/>
  <c r="D2079"/>
  <c r="D2075"/>
  <c r="C2077" s="1"/>
  <c r="D2077"/>
  <c r="D2084"/>
  <c r="D2086"/>
  <c r="B2012"/>
  <c r="H1999"/>
  <c r="G2001" s="1"/>
  <c r="H2019"/>
  <c r="G2021" s="1"/>
  <c r="B2028"/>
  <c r="D2031"/>
  <c r="D2040"/>
  <c r="D2051"/>
  <c r="D2049"/>
  <c r="D2056"/>
  <c r="F2051"/>
  <c r="F2040"/>
  <c r="F2056"/>
  <c r="H2020"/>
  <c r="B1994"/>
  <c r="D2013"/>
  <c r="H2022"/>
  <c r="H2028"/>
  <c r="D2039"/>
  <c r="C2041" s="1"/>
  <c r="D2050"/>
  <c r="D2048"/>
  <c r="D2055"/>
  <c r="C2057" s="1"/>
  <c r="F2041"/>
  <c r="F2057"/>
  <c r="F2043"/>
  <c r="F2059"/>
  <c r="H1994"/>
  <c r="F2012"/>
  <c r="B2023"/>
  <c r="D2029"/>
  <c r="F2039"/>
  <c r="E2041" s="1"/>
  <c r="F2050"/>
  <c r="F2048"/>
  <c r="F2055"/>
  <c r="E2057" s="1"/>
  <c r="H2041"/>
  <c r="H2057"/>
  <c r="H2043"/>
  <c r="H2059"/>
  <c r="H2012"/>
  <c r="F2022"/>
  <c r="D2012"/>
  <c r="H1986"/>
  <c r="H2014"/>
  <c r="F2027"/>
  <c r="E2029" s="1"/>
  <c r="B2029"/>
  <c r="H2039"/>
  <c r="G2041" s="1"/>
  <c r="H2050"/>
  <c r="H2048"/>
  <c r="H2055"/>
  <c r="G2057" s="1"/>
  <c r="B2042"/>
  <c r="B2058"/>
  <c r="B2047"/>
  <c r="D2045" s="1"/>
  <c r="D2061"/>
  <c r="B2061" s="1"/>
  <c r="B1999"/>
  <c r="D2015"/>
  <c r="H2027"/>
  <c r="G2029" s="1"/>
  <c r="H2030"/>
  <c r="B2040"/>
  <c r="B2051"/>
  <c r="B2049"/>
  <c r="B2056"/>
  <c r="D2042"/>
  <c r="D2058"/>
  <c r="D2047"/>
  <c r="C2049" s="1"/>
  <c r="H1993"/>
  <c r="H1992"/>
  <c r="B2003"/>
  <c r="D2014"/>
  <c r="D2019"/>
  <c r="C2021" s="1"/>
  <c r="B2022"/>
  <c r="B2027"/>
  <c r="D2025" s="1"/>
  <c r="F2011"/>
  <c r="E2013" s="1"/>
  <c r="F2023"/>
  <c r="F2028"/>
  <c r="F2002"/>
  <c r="B1987"/>
  <c r="H2000"/>
  <c r="B2013"/>
  <c r="B2015"/>
  <c r="D2021"/>
  <c r="D2023"/>
  <c r="D2028"/>
  <c r="F2014"/>
  <c r="F2029"/>
  <c r="F2031"/>
  <c r="D1984"/>
  <c r="H1987"/>
  <c r="B2001"/>
  <c r="F2013"/>
  <c r="F2015"/>
  <c r="F2019"/>
  <c r="E2021" s="1"/>
  <c r="F2021"/>
  <c r="F2030"/>
  <c r="D2020"/>
  <c r="H2029"/>
  <c r="H2031"/>
  <c r="H1984"/>
  <c r="H1991"/>
  <c r="G1993" s="1"/>
  <c r="H2001"/>
  <c r="H2013"/>
  <c r="H2015"/>
  <c r="H2021"/>
  <c r="H2023"/>
  <c r="D2011"/>
  <c r="C2013" s="1"/>
  <c r="F2020"/>
  <c r="B2030"/>
  <c r="D2033"/>
  <c r="B2033" s="1"/>
  <c r="B1985"/>
  <c r="B1992"/>
  <c r="H2002"/>
  <c r="B2014"/>
  <c r="B2019"/>
  <c r="H2017" s="1"/>
  <c r="D2022"/>
  <c r="D2027"/>
  <c r="C2029" s="1"/>
  <c r="B2011"/>
  <c r="B2021"/>
  <c r="D2030"/>
  <c r="D1983"/>
  <c r="C1985" s="1"/>
  <c r="F1991"/>
  <c r="E1993" s="1"/>
  <c r="F1984"/>
  <c r="F1986"/>
  <c r="H1995"/>
  <c r="F1995"/>
  <c r="F2000"/>
  <c r="B1983"/>
  <c r="H1985"/>
  <c r="F1994"/>
  <c r="F1987"/>
  <c r="F1992"/>
  <c r="B2000"/>
  <c r="F2001"/>
  <c r="F2003"/>
  <c r="H1983"/>
  <c r="G1985" s="1"/>
  <c r="B1986"/>
  <c r="B1995"/>
  <c r="B1991"/>
  <c r="D1992"/>
  <c r="D1999"/>
  <c r="C2001" s="1"/>
  <c r="B2002"/>
  <c r="D2005"/>
  <c r="B2005" s="1"/>
  <c r="F1983"/>
  <c r="E1985" s="1"/>
  <c r="D1985"/>
  <c r="D1994"/>
  <c r="D1987"/>
  <c r="D1993"/>
  <c r="D2000"/>
  <c r="D2001"/>
  <c r="D2003"/>
  <c r="B1984"/>
  <c r="D1986"/>
  <c r="D1995"/>
  <c r="D1991"/>
  <c r="C1993" s="1"/>
  <c r="F1993"/>
  <c r="B1993"/>
  <c r="D2002"/>
  <c r="D1963"/>
  <c r="H1954"/>
  <c r="B1954"/>
  <c r="F1953"/>
  <c r="E1955" s="1"/>
  <c r="H1965"/>
  <c r="H1957"/>
  <c r="F1957"/>
  <c r="D1964"/>
  <c r="D1973"/>
  <c r="F1963"/>
  <c r="B1973"/>
  <c r="B1965"/>
  <c r="F1970"/>
  <c r="D1954"/>
  <c r="F1956"/>
  <c r="B1969"/>
  <c r="I1963" s="1"/>
  <c r="B1955"/>
  <c r="H1961"/>
  <c r="G1963" s="1"/>
  <c r="F1962"/>
  <c r="B1962"/>
  <c r="B1934"/>
  <c r="F1944"/>
  <c r="D1933"/>
  <c r="C1935" s="1"/>
  <c r="B1942"/>
  <c r="H1937"/>
  <c r="F1934"/>
  <c r="B1927"/>
  <c r="D1947"/>
  <c r="B1947" s="1"/>
  <c r="D1937"/>
  <c r="B1935"/>
  <c r="H1933"/>
  <c r="G1935" s="1"/>
  <c r="D1921"/>
  <c r="D1909"/>
  <c r="D1907"/>
  <c r="D1916"/>
  <c r="D1914"/>
  <c r="D1905"/>
  <c r="C1907" s="1"/>
  <c r="D1900"/>
  <c r="B1898"/>
  <c r="F1914"/>
  <c r="F1905"/>
  <c r="E1907" s="1"/>
  <c r="F1900"/>
  <c r="F1909"/>
  <c r="F1907"/>
  <c r="F1898"/>
  <c r="D1898"/>
  <c r="D1919"/>
  <c r="B1909"/>
  <c r="B1907"/>
  <c r="B1916"/>
  <c r="B1914"/>
  <c r="B1905"/>
  <c r="B1900"/>
  <c r="H1897"/>
  <c r="G1899" s="1"/>
  <c r="H1917"/>
  <c r="H1908"/>
  <c r="H1906"/>
  <c r="H1915"/>
  <c r="H1913"/>
  <c r="G1915" s="1"/>
  <c r="H1901"/>
  <c r="H1899"/>
  <c r="F1897"/>
  <c r="E1899" s="1"/>
  <c r="F1917"/>
  <c r="F1908"/>
  <c r="F1906"/>
  <c r="F1915"/>
  <c r="F1913"/>
  <c r="E1915" s="1"/>
  <c r="F1901"/>
  <c r="F1899"/>
  <c r="D1897"/>
  <c r="C1899" s="1"/>
  <c r="D1917"/>
  <c r="D1908"/>
  <c r="D1906"/>
  <c r="D1915"/>
  <c r="D1913"/>
  <c r="C1915" s="1"/>
  <c r="D1901"/>
  <c r="D1899"/>
  <c r="B1897"/>
  <c r="B1917"/>
  <c r="B1908"/>
  <c r="B1906"/>
  <c r="B1915"/>
  <c r="B1913"/>
  <c r="B1901"/>
  <c r="B1899"/>
  <c r="F1916"/>
  <c r="H1916"/>
  <c r="H1907"/>
  <c r="H1905"/>
  <c r="G1907" s="1"/>
  <c r="H1914"/>
  <c r="H1909"/>
  <c r="H1900"/>
  <c r="H1898"/>
  <c r="H1877"/>
  <c r="H1886"/>
  <c r="B1871"/>
  <c r="D1865"/>
  <c r="B1865" s="1"/>
  <c r="B1858"/>
  <c r="B1844"/>
  <c r="H1845"/>
  <c r="H1857"/>
  <c r="G1859" s="1"/>
  <c r="B1857"/>
  <c r="B1843"/>
  <c r="F1845"/>
  <c r="F1843"/>
  <c r="D1841"/>
  <c r="C1843" s="1"/>
  <c r="D1845"/>
  <c r="D1843"/>
  <c r="H1853"/>
  <c r="H1842"/>
  <c r="B1849"/>
  <c r="B1847" s="1"/>
  <c r="F1853"/>
  <c r="F1851"/>
  <c r="D1858"/>
  <c r="D1844"/>
  <c r="D1832"/>
  <c r="H1815"/>
  <c r="D1824"/>
  <c r="H1823"/>
  <c r="H1795"/>
  <c r="D1760"/>
  <c r="H1757"/>
  <c r="G1759" s="1"/>
  <c r="D1739"/>
  <c r="H1749"/>
  <c r="H1745"/>
  <c r="G1747" s="1"/>
  <c r="B1733"/>
  <c r="F1747"/>
  <c r="F1740"/>
  <c r="D1741"/>
  <c r="D1709"/>
  <c r="C1711" s="1"/>
  <c r="F1704"/>
  <c r="B1701"/>
  <c r="D1704"/>
  <c r="H1709"/>
  <c r="G1711" s="1"/>
  <c r="B1705"/>
  <c r="B1717"/>
  <c r="B1718"/>
  <c r="D1720"/>
  <c r="B1719"/>
  <c r="D1719"/>
  <c r="H1719"/>
  <c r="F1720"/>
  <c r="B1919"/>
  <c r="B1921"/>
  <c r="H1672"/>
  <c r="H1671"/>
  <c r="G1673" s="1"/>
  <c r="B1673"/>
  <c r="F1689"/>
  <c r="B1689"/>
  <c r="D1671"/>
  <c r="C1673" s="1"/>
  <c r="F1690"/>
  <c r="D1682"/>
  <c r="F1671"/>
  <c r="E1673" s="1"/>
  <c r="F1679"/>
  <c r="E1681" s="1"/>
  <c r="D1691"/>
  <c r="B1691"/>
  <c r="B1682"/>
  <c r="B1675"/>
  <c r="B1687"/>
  <c r="F1685" s="1"/>
  <c r="H1688"/>
  <c r="D1673"/>
  <c r="B1672"/>
  <c r="H1687"/>
  <c r="G1689" s="1"/>
  <c r="H1680"/>
  <c r="H1689"/>
  <c r="F1691"/>
  <c r="F1673"/>
  <c r="D1672"/>
  <c r="B1688"/>
  <c r="B1681"/>
  <c r="B1690"/>
  <c r="H1691"/>
  <c r="H1673"/>
  <c r="H1675"/>
  <c r="D1688"/>
  <c r="D1681"/>
  <c r="D1690"/>
  <c r="D1693"/>
  <c r="B1693" s="1"/>
  <c r="B1674"/>
  <c r="H1679"/>
  <c r="G1681" s="1"/>
  <c r="H1674"/>
  <c r="H1683"/>
  <c r="B1679"/>
  <c r="F1677" s="1"/>
  <c r="D1644"/>
  <c r="D1643"/>
  <c r="C1645" s="1"/>
  <c r="D1661"/>
  <c r="H1644"/>
  <c r="H1655"/>
  <c r="B1662"/>
  <c r="B1647"/>
  <c r="B1652"/>
  <c r="B1661"/>
  <c r="D1653"/>
  <c r="D1660"/>
  <c r="B1615"/>
  <c r="D1615"/>
  <c r="C1617" s="1"/>
  <c r="F1625"/>
  <c r="F1634"/>
  <c r="B1619"/>
  <c r="D1635"/>
  <c r="D1623"/>
  <c r="C1625" s="1"/>
  <c r="D1625"/>
  <c r="H1627"/>
  <c r="H1623"/>
  <c r="G1625" s="1"/>
  <c r="B1631"/>
  <c r="B1633"/>
  <c r="F1624"/>
  <c r="F1631"/>
  <c r="E1633" s="1"/>
  <c r="B1634"/>
  <c r="D1637"/>
  <c r="B1637" s="1"/>
  <c r="B1625"/>
  <c r="B1627"/>
  <c r="B1632"/>
  <c r="H1633"/>
  <c r="H1624"/>
  <c r="H1626"/>
  <c r="H1631"/>
  <c r="G1633" s="1"/>
  <c r="D1634"/>
  <c r="D1611"/>
  <c r="B1611" s="1"/>
  <c r="D1588"/>
  <c r="D1587"/>
  <c r="C1589" s="1"/>
  <c r="D1596"/>
  <c r="D1589"/>
  <c r="D1591"/>
  <c r="D1598"/>
  <c r="D1603"/>
  <c r="C1605" s="1"/>
  <c r="D1607"/>
  <c r="F1587"/>
  <c r="E1589" s="1"/>
  <c r="F1596"/>
  <c r="F1589"/>
  <c r="F1591"/>
  <c r="F1598"/>
  <c r="F1603"/>
  <c r="E1605" s="1"/>
  <c r="D1605"/>
  <c r="F1607"/>
  <c r="H1588"/>
  <c r="H1597"/>
  <c r="H1590"/>
  <c r="H1595"/>
  <c r="G1597" s="1"/>
  <c r="H1599"/>
  <c r="H1604"/>
  <c r="B1607"/>
  <c r="F1588"/>
  <c r="F1590"/>
  <c r="F1599"/>
  <c r="F1595"/>
  <c r="E1597" s="1"/>
  <c r="F1597"/>
  <c r="F1604"/>
  <c r="F1606"/>
  <c r="F1605"/>
  <c r="B1587"/>
  <c r="B1589"/>
  <c r="B1598"/>
  <c r="B1591"/>
  <c r="B1596"/>
  <c r="B1603"/>
  <c r="F1601" s="1"/>
  <c r="B1605"/>
  <c r="H1606"/>
  <c r="H1587"/>
  <c r="G1589" s="1"/>
  <c r="H1589"/>
  <c r="H1598"/>
  <c r="H1591"/>
  <c r="H1596"/>
  <c r="H1603"/>
  <c r="G1605" s="1"/>
  <c r="H1605"/>
  <c r="H1607"/>
  <c r="B1590"/>
  <c r="B1595"/>
  <c r="I1589" s="1"/>
  <c r="B1604"/>
  <c r="B1597"/>
  <c r="B1599"/>
  <c r="B1606"/>
  <c r="D1609"/>
  <c r="B1609" s="1"/>
  <c r="B1588"/>
  <c r="D1590"/>
  <c r="D1595"/>
  <c r="C1597" s="1"/>
  <c r="D1604"/>
  <c r="D1597"/>
  <c r="D1599"/>
  <c r="D1606"/>
  <c r="D1583"/>
  <c r="B1583" s="1"/>
  <c r="B1568"/>
  <c r="B1569"/>
  <c r="H1570"/>
  <c r="D1555"/>
  <c r="B1555" s="1"/>
  <c r="H1532"/>
  <c r="D1535"/>
  <c r="D1533"/>
  <c r="B1540"/>
  <c r="B1535"/>
  <c r="B1512"/>
  <c r="B1504"/>
  <c r="B1475"/>
  <c r="D1477"/>
  <c r="D1484"/>
  <c r="F1495"/>
  <c r="H1484"/>
  <c r="D1471"/>
  <c r="B1471" s="1"/>
  <c r="H1438"/>
  <c r="D1413"/>
  <c r="B1413" s="1"/>
  <c r="H1392"/>
  <c r="F1398"/>
  <c r="F1406"/>
  <c r="H1409"/>
  <c r="F1407"/>
  <c r="F1400"/>
  <c r="D1399"/>
  <c r="D1405"/>
  <c r="C1407" s="1"/>
  <c r="H1398"/>
  <c r="B1409"/>
  <c r="B1407"/>
  <c r="H1393"/>
  <c r="H1401"/>
  <c r="F1393"/>
  <c r="D1352"/>
  <c r="D1341"/>
  <c r="C1343" s="1"/>
  <c r="B1352"/>
  <c r="B1350"/>
  <c r="F1353"/>
  <c r="F1351"/>
  <c r="F1344"/>
  <c r="F1349"/>
  <c r="E1351" s="1"/>
  <c r="F1335"/>
  <c r="B1333"/>
  <c r="H1351"/>
  <c r="H1344"/>
  <c r="H1349"/>
  <c r="G1351" s="1"/>
  <c r="H1337"/>
  <c r="H1335"/>
  <c r="F1333"/>
  <c r="E1335" s="1"/>
  <c r="B1351"/>
  <c r="B1335"/>
  <c r="F1345"/>
  <c r="F1341"/>
  <c r="E1343" s="1"/>
  <c r="F1336"/>
  <c r="F1343"/>
  <c r="F1334"/>
  <c r="D1353"/>
  <c r="B1353"/>
  <c r="B1342"/>
  <c r="B1337"/>
  <c r="F1352"/>
  <c r="H1352"/>
  <c r="H1350"/>
  <c r="H1343"/>
  <c r="H1341"/>
  <c r="G1343" s="1"/>
  <c r="H1336"/>
  <c r="H1334"/>
  <c r="D1351"/>
  <c r="D1349"/>
  <c r="C1351" s="1"/>
  <c r="D1344"/>
  <c r="D1337"/>
  <c r="D1335"/>
  <c r="D1333"/>
  <c r="C1335" s="1"/>
  <c r="D1334"/>
  <c r="D1329"/>
  <c r="B1329" s="1"/>
  <c r="D1287"/>
  <c r="D1288"/>
  <c r="D1281"/>
  <c r="B1281"/>
  <c r="F1294"/>
  <c r="F1285"/>
  <c r="E1287" s="1"/>
  <c r="B1289"/>
  <c r="H1277"/>
  <c r="G1279" s="1"/>
  <c r="H1295"/>
  <c r="H1286"/>
  <c r="H1281"/>
  <c r="F1286"/>
  <c r="F1288"/>
  <c r="F1281"/>
  <c r="B1297"/>
  <c r="B1288"/>
  <c r="H1287"/>
  <c r="H1280"/>
  <c r="H1278"/>
  <c r="D1261"/>
  <c r="F1261"/>
  <c r="F1253"/>
  <c r="B1261"/>
  <c r="D1273"/>
  <c r="B1273" s="1"/>
  <c r="D1240"/>
  <c r="B1232"/>
  <c r="H1239"/>
  <c r="H1223"/>
  <c r="B1223"/>
  <c r="H1222"/>
  <c r="H1240"/>
  <c r="B1229"/>
  <c r="D1237"/>
  <c r="C1239" s="1"/>
  <c r="D1232"/>
  <c r="F1194"/>
  <c r="B1197"/>
  <c r="H1203"/>
  <c r="D1209"/>
  <c r="C1211" s="1"/>
  <c r="D1189"/>
  <c r="B1189" s="1"/>
  <c r="H1184"/>
  <c r="D1161"/>
  <c r="B1161" s="1"/>
  <c r="B1156"/>
  <c r="B1140"/>
  <c r="H1157"/>
  <c r="B1141"/>
  <c r="B1138"/>
  <c r="H1154"/>
  <c r="H1147"/>
  <c r="H1138"/>
  <c r="F1157"/>
  <c r="H1146"/>
  <c r="H1141"/>
  <c r="H1139"/>
  <c r="F1153"/>
  <c r="E1155" s="1"/>
  <c r="F1146"/>
  <c r="F1141"/>
  <c r="F1139"/>
  <c r="F1137"/>
  <c r="E1139" s="1"/>
  <c r="F1149"/>
  <c r="F1145"/>
  <c r="E1147" s="1"/>
  <c r="F1147"/>
  <c r="F1138"/>
  <c r="D1138"/>
  <c r="D1155"/>
  <c r="D1146"/>
  <c r="D1148"/>
  <c r="D1141"/>
  <c r="D1137"/>
  <c r="C1139" s="1"/>
  <c r="F1107"/>
  <c r="E1109" s="1"/>
  <c r="B1111"/>
  <c r="H1124"/>
  <c r="H1125"/>
  <c r="H1118"/>
  <c r="D1103"/>
  <c r="B1103" s="1"/>
  <c r="B1095"/>
  <c r="I1089" s="1"/>
  <c r="H1083"/>
  <c r="D1099"/>
  <c r="D1101"/>
  <c r="B1101" s="1"/>
  <c r="H1087"/>
  <c r="G1089" s="1"/>
  <c r="D1079"/>
  <c r="C1081" s="1"/>
  <c r="F1095"/>
  <c r="E1097" s="1"/>
  <c r="F1096"/>
  <c r="B1081"/>
  <c r="B1083"/>
  <c r="B1079"/>
  <c r="D1083"/>
  <c r="H1079"/>
  <c r="G1081" s="1"/>
  <c r="D1088"/>
  <c r="D1081"/>
  <c r="F1083"/>
  <c r="H1090"/>
  <c r="F1089"/>
  <c r="D1095"/>
  <c r="C1097" s="1"/>
  <c r="B1087"/>
  <c r="D1085" s="1"/>
  <c r="B1088"/>
  <c r="F1087"/>
  <c r="E1089" s="1"/>
  <c r="D1096"/>
  <c r="F1088"/>
  <c r="F1081"/>
  <c r="D1087"/>
  <c r="C1089" s="1"/>
  <c r="D1075"/>
  <c r="B1075" s="1"/>
  <c r="F1063"/>
  <c r="D1071"/>
  <c r="B1062"/>
  <c r="F1061"/>
  <c r="D1068"/>
  <c r="H1070"/>
  <c r="D1061"/>
  <c r="B1063"/>
  <c r="B1070"/>
  <c r="B1069"/>
  <c r="D1052"/>
  <c r="H1063"/>
  <c r="F1067"/>
  <c r="E1069" s="1"/>
  <c r="H1068"/>
  <c r="F1053"/>
  <c r="B1059"/>
  <c r="I1053" s="1"/>
  <c r="D1069"/>
  <c r="B1053"/>
  <c r="H1062"/>
  <c r="D1039"/>
  <c r="C1041" s="1"/>
  <c r="D1019"/>
  <c r="B1019" s="1"/>
  <c r="D975"/>
  <c r="C977" s="1"/>
  <c r="F976"/>
  <c r="H987"/>
  <c r="H967"/>
  <c r="G969" s="1"/>
  <c r="B979"/>
  <c r="B968"/>
  <c r="D970"/>
  <c r="D984"/>
  <c r="F949"/>
  <c r="B957"/>
  <c r="H955"/>
  <c r="G957" s="1"/>
  <c r="H919"/>
  <c r="G921" s="1"/>
  <c r="H891"/>
  <c r="G893" s="1"/>
  <c r="F844"/>
  <c r="D841"/>
  <c r="B834"/>
  <c r="B835"/>
  <c r="D836"/>
  <c r="B836"/>
  <c r="F833"/>
  <c r="F825"/>
  <c r="H837"/>
  <c r="D821"/>
  <c r="B821" s="1"/>
  <c r="F805"/>
  <c r="E807" s="1"/>
  <c r="H797"/>
  <c r="G799" s="1"/>
  <c r="D793"/>
  <c r="B793" s="1"/>
  <c r="B772"/>
  <c r="D770"/>
  <c r="F787"/>
  <c r="B773"/>
  <c r="H781"/>
  <c r="F772"/>
  <c r="D781"/>
  <c r="B779"/>
  <c r="D786"/>
  <c r="B769"/>
  <c r="B788"/>
  <c r="F779"/>
  <c r="F786"/>
  <c r="B771"/>
  <c r="H780"/>
  <c r="H761"/>
  <c r="D753"/>
  <c r="F753"/>
  <c r="B742"/>
  <c r="F742"/>
  <c r="F743"/>
  <c r="B757"/>
  <c r="F745"/>
  <c r="F758"/>
  <c r="F750"/>
  <c r="H759"/>
  <c r="H757"/>
  <c r="G759" s="1"/>
  <c r="B741"/>
  <c r="F757"/>
  <c r="E759" s="1"/>
  <c r="B752"/>
  <c r="D716"/>
  <c r="H733"/>
  <c r="D724"/>
  <c r="B733"/>
  <c r="B714"/>
  <c r="F713"/>
  <c r="E715" s="1"/>
  <c r="B731"/>
  <c r="D735"/>
  <c r="B735" s="1"/>
  <c r="B722"/>
  <c r="F729"/>
  <c r="E731" s="1"/>
  <c r="F722"/>
  <c r="H730"/>
  <c r="D733"/>
  <c r="H731"/>
  <c r="H732"/>
  <c r="F730"/>
  <c r="D709"/>
  <c r="B709" s="1"/>
  <c r="B704"/>
  <c r="H688"/>
  <c r="H702"/>
  <c r="B693"/>
  <c r="D689"/>
  <c r="B702"/>
  <c r="D695"/>
  <c r="B689"/>
  <c r="B705"/>
  <c r="F658"/>
  <c r="D658"/>
  <c r="H668"/>
  <c r="B657"/>
  <c r="H660"/>
  <c r="B677"/>
  <c r="D676"/>
  <c r="H676"/>
  <c r="D679"/>
  <c r="B679" s="1"/>
  <c r="D666"/>
  <c r="H665"/>
  <c r="G667" s="1"/>
  <c r="B666"/>
  <c r="F676"/>
  <c r="B661"/>
  <c r="B658"/>
  <c r="D659"/>
  <c r="D675"/>
  <c r="F661"/>
  <c r="D677"/>
  <c r="B674"/>
  <c r="D638"/>
  <c r="B641"/>
  <c r="F649"/>
  <c r="B640"/>
  <c r="D625"/>
  <c r="B625" s="1"/>
  <c r="D597"/>
  <c r="B597" s="1"/>
  <c r="H592"/>
  <c r="D562"/>
  <c r="D527"/>
  <c r="D511"/>
  <c r="B511" s="1"/>
  <c r="D499"/>
  <c r="D497"/>
  <c r="H478"/>
  <c r="D479"/>
  <c r="D431"/>
  <c r="C433" s="1"/>
  <c r="D439"/>
  <c r="C441" s="1"/>
  <c r="D450"/>
  <c r="D371"/>
  <c r="B371" s="1"/>
  <c r="D339"/>
  <c r="B319"/>
  <c r="D327"/>
  <c r="C329" s="1"/>
  <c r="F330"/>
  <c r="D335"/>
  <c r="C337" s="1"/>
  <c r="F320"/>
  <c r="H331"/>
  <c r="D336"/>
  <c r="F339"/>
  <c r="B311"/>
  <c r="B356"/>
  <c r="D319"/>
  <c r="C321" s="1"/>
  <c r="H335"/>
  <c r="G337" s="1"/>
  <c r="D343"/>
  <c r="B343" s="1"/>
  <c r="H337"/>
  <c r="F337"/>
  <c r="H327"/>
  <c r="G329" s="1"/>
  <c r="D331"/>
  <c r="H319"/>
  <c r="G321" s="1"/>
  <c r="H330"/>
  <c r="H329"/>
  <c r="F336"/>
  <c r="B339"/>
  <c r="D341"/>
  <c r="B341" s="1"/>
  <c r="D323"/>
  <c r="F323"/>
  <c r="D369"/>
  <c r="B369" s="1"/>
  <c r="H367"/>
  <c r="F358"/>
  <c r="D356"/>
  <c r="H350"/>
  <c r="F338"/>
  <c r="B331"/>
  <c r="B337"/>
  <c r="B329"/>
  <c r="B351"/>
  <c r="F348"/>
  <c r="H358"/>
  <c r="H357"/>
  <c r="B355"/>
  <c r="B353" s="1"/>
  <c r="H320"/>
  <c r="B328"/>
  <c r="B323"/>
  <c r="B336"/>
  <c r="H323"/>
  <c r="D364"/>
  <c r="H366"/>
  <c r="D359"/>
  <c r="D349"/>
  <c r="B330"/>
  <c r="F329"/>
  <c r="F328"/>
  <c r="D329"/>
  <c r="H338"/>
  <c r="B348"/>
  <c r="D366"/>
  <c r="D365"/>
  <c r="F366"/>
  <c r="H356"/>
  <c r="F359"/>
  <c r="F365"/>
  <c r="B357"/>
  <c r="B321"/>
  <c r="F331"/>
  <c r="H328"/>
  <c r="B320"/>
  <c r="H322"/>
  <c r="B335"/>
  <c r="F333" s="1"/>
  <c r="B327"/>
  <c r="H325" s="1"/>
  <c r="H321"/>
  <c r="H348"/>
  <c r="B363"/>
  <c r="I357" s="1"/>
  <c r="D367"/>
  <c r="D363"/>
  <c r="C365" s="1"/>
  <c r="B366"/>
  <c r="B347"/>
  <c r="F356"/>
  <c r="B350"/>
  <c r="H336"/>
  <c r="F327"/>
  <c r="E329" s="1"/>
  <c r="D320"/>
  <c r="D330"/>
  <c r="F319"/>
  <c r="E321" s="1"/>
  <c r="B322"/>
  <c r="B338"/>
  <c r="D347"/>
  <c r="C349" s="1"/>
  <c r="F364"/>
  <c r="H349"/>
  <c r="H347"/>
  <c r="G349" s="1"/>
  <c r="B364"/>
  <c r="D358"/>
  <c r="F349"/>
  <c r="H351"/>
  <c r="F322"/>
  <c r="D322"/>
  <c r="F335"/>
  <c r="E337" s="1"/>
  <c r="D321"/>
  <c r="D338"/>
  <c r="D328"/>
  <c r="H339"/>
  <c r="H205"/>
  <c r="H243"/>
  <c r="F3" i="3"/>
  <c r="B22" i="1" s="1"/>
  <c r="H186" i="9"/>
  <c r="F185"/>
  <c r="E187" s="1"/>
  <c r="D159"/>
  <c r="D145"/>
  <c r="B145" s="1"/>
  <c r="D117"/>
  <c r="B117" s="1"/>
  <c r="D89"/>
  <c r="B89" s="1"/>
  <c r="D37"/>
  <c r="C39" s="1"/>
  <c r="B11"/>
  <c r="I2641" l="1"/>
  <c r="F2645"/>
  <c r="H2645"/>
  <c r="H2637"/>
  <c r="D2637"/>
  <c r="F2637"/>
  <c r="I2717"/>
  <c r="H2757"/>
  <c r="F3885"/>
  <c r="I2549"/>
  <c r="B3849"/>
  <c r="B2749"/>
  <c r="D3857"/>
  <c r="B3885"/>
  <c r="H3885"/>
  <c r="I3881"/>
  <c r="F3857"/>
  <c r="B3829"/>
  <c r="H3829"/>
  <c r="I3825"/>
  <c r="D3829"/>
  <c r="B3821"/>
  <c r="F3877"/>
  <c r="I3873"/>
  <c r="D3877"/>
  <c r="H3877"/>
  <c r="I3769"/>
  <c r="D3689"/>
  <c r="H3689"/>
  <c r="I3685"/>
  <c r="B3689"/>
  <c r="D3681"/>
  <c r="F3681"/>
  <c r="I3677"/>
  <c r="I3741"/>
  <c r="B3681"/>
  <c r="B3125"/>
  <c r="D3125"/>
  <c r="F3765"/>
  <c r="I3761"/>
  <c r="D3765"/>
  <c r="H3125"/>
  <c r="F3125"/>
  <c r="H3765"/>
  <c r="F3737"/>
  <c r="D3717"/>
  <c r="F3717"/>
  <c r="B3575"/>
  <c r="B3717"/>
  <c r="D3575"/>
  <c r="H3717"/>
  <c r="F3491"/>
  <c r="D3737"/>
  <c r="I3733"/>
  <c r="I3543"/>
  <c r="H3623"/>
  <c r="D3201"/>
  <c r="F3745"/>
  <c r="B3745"/>
  <c r="D3463"/>
  <c r="D3483"/>
  <c r="H3483"/>
  <c r="F3483"/>
  <c r="I3479"/>
  <c r="D3399"/>
  <c r="F3399"/>
  <c r="B3455"/>
  <c r="B3435"/>
  <c r="H3399"/>
  <c r="D3209"/>
  <c r="D3455"/>
  <c r="D3435"/>
  <c r="I3395"/>
  <c r="F3455"/>
  <c r="H3435"/>
  <c r="I3451"/>
  <c r="F3435"/>
  <c r="D3511"/>
  <c r="D3491"/>
  <c r="B3511"/>
  <c r="H3491"/>
  <c r="I3619"/>
  <c r="D3623"/>
  <c r="F3511"/>
  <c r="B3491"/>
  <c r="F3941"/>
  <c r="B3941"/>
  <c r="D3941"/>
  <c r="I3403"/>
  <c r="H3905"/>
  <c r="F3407"/>
  <c r="H3407"/>
  <c r="B3651"/>
  <c r="B3407"/>
  <c r="F3257"/>
  <c r="I3647"/>
  <c r="F3849"/>
  <c r="F3651"/>
  <c r="H3463"/>
  <c r="B3427"/>
  <c r="I3459"/>
  <c r="F3463"/>
  <c r="I3845"/>
  <c r="F3209"/>
  <c r="F3265"/>
  <c r="I3205"/>
  <c r="B3209"/>
  <c r="F3933"/>
  <c r="H3933"/>
  <c r="B3265"/>
  <c r="I3929"/>
  <c r="H3849"/>
  <c r="H3857"/>
  <c r="H3265"/>
  <c r="D3933"/>
  <c r="H3257"/>
  <c r="D3905"/>
  <c r="B3257"/>
  <c r="I3901"/>
  <c r="F3905"/>
  <c r="I3515"/>
  <c r="I3253"/>
  <c r="B3519"/>
  <c r="H3941"/>
  <c r="D3519"/>
  <c r="I3817"/>
  <c r="F3801"/>
  <c r="D3821"/>
  <c r="H3801"/>
  <c r="H3821"/>
  <c r="D3801"/>
  <c r="B3857"/>
  <c r="H3745"/>
  <c r="B3201"/>
  <c r="D3651"/>
  <c r="I3571"/>
  <c r="H3737"/>
  <c r="B3709"/>
  <c r="H3575"/>
  <c r="H3709"/>
  <c r="H3201"/>
  <c r="D3709"/>
  <c r="F3201"/>
  <c r="F3709"/>
  <c r="H3229"/>
  <c r="F3793"/>
  <c r="B3773"/>
  <c r="H3913"/>
  <c r="H3773"/>
  <c r="B3913"/>
  <c r="D3773"/>
  <c r="H3793"/>
  <c r="B3793"/>
  <c r="F3913"/>
  <c r="I3789"/>
  <c r="I3909"/>
  <c r="I3149"/>
  <c r="B3153"/>
  <c r="H3153"/>
  <c r="I3233"/>
  <c r="D3153"/>
  <c r="F3145"/>
  <c r="I3141"/>
  <c r="H3145"/>
  <c r="D3145"/>
  <c r="B3229"/>
  <c r="D3229"/>
  <c r="F3229"/>
  <c r="H3285"/>
  <c r="B2983"/>
  <c r="F3623"/>
  <c r="F3631"/>
  <c r="H3631"/>
  <c r="I3627"/>
  <c r="D3631"/>
  <c r="I2887"/>
  <c r="B2891"/>
  <c r="H2843"/>
  <c r="F3603"/>
  <c r="D3603"/>
  <c r="B2835"/>
  <c r="I3599"/>
  <c r="H3603"/>
  <c r="H3313"/>
  <c r="I3507"/>
  <c r="H3117"/>
  <c r="B3117"/>
  <c r="I3535"/>
  <c r="I3113"/>
  <c r="F3539"/>
  <c r="D3117"/>
  <c r="B3539"/>
  <c r="D3539"/>
  <c r="F3427"/>
  <c r="I3423"/>
  <c r="H3427"/>
  <c r="F3567"/>
  <c r="I3091"/>
  <c r="H2927"/>
  <c r="I3563"/>
  <c r="H2919"/>
  <c r="F3659"/>
  <c r="F3595"/>
  <c r="H3567"/>
  <c r="H3659"/>
  <c r="I3591"/>
  <c r="D3567"/>
  <c r="I3655"/>
  <c r="H3595"/>
  <c r="D3659"/>
  <c r="B3595"/>
  <c r="H2835"/>
  <c r="B3237"/>
  <c r="F3519"/>
  <c r="H3547"/>
  <c r="F2835"/>
  <c r="I2831"/>
  <c r="H2983"/>
  <c r="I2979"/>
  <c r="F2899"/>
  <c r="D3237"/>
  <c r="D2983"/>
  <c r="H3237"/>
  <c r="F3547"/>
  <c r="D3095"/>
  <c r="D3547"/>
  <c r="B3011"/>
  <c r="I3007"/>
  <c r="H3011"/>
  <c r="D3011"/>
  <c r="F2843"/>
  <c r="I2839"/>
  <c r="B2843"/>
  <c r="F3003"/>
  <c r="I2923"/>
  <c r="D2927"/>
  <c r="F2927"/>
  <c r="B3377"/>
  <c r="I2867"/>
  <c r="D3003"/>
  <c r="H3003"/>
  <c r="I2999"/>
  <c r="B2975"/>
  <c r="H3095"/>
  <c r="F2891"/>
  <c r="I3309"/>
  <c r="F3095"/>
  <c r="H2899"/>
  <c r="B3039"/>
  <c r="I2895"/>
  <c r="D2899"/>
  <c r="D2891"/>
  <c r="B2863"/>
  <c r="I3027"/>
  <c r="H3293"/>
  <c r="I2859"/>
  <c r="H3031"/>
  <c r="D3293"/>
  <c r="B3293"/>
  <c r="D3285"/>
  <c r="B3285"/>
  <c r="F2975"/>
  <c r="F3031"/>
  <c r="I3035"/>
  <c r="I3281"/>
  <c r="I3261"/>
  <c r="I3289"/>
  <c r="H3039"/>
  <c r="F3039"/>
  <c r="D2975"/>
  <c r="H2975"/>
  <c r="F2871"/>
  <c r="H2871"/>
  <c r="H3369"/>
  <c r="I3365"/>
  <c r="B3369"/>
  <c r="D3369"/>
  <c r="D3031"/>
  <c r="B2871"/>
  <c r="H2863"/>
  <c r="D3321"/>
  <c r="D3313"/>
  <c r="B2919"/>
  <c r="F3321"/>
  <c r="H3377"/>
  <c r="F2863"/>
  <c r="F2919"/>
  <c r="H3321"/>
  <c r="B3067"/>
  <c r="F3067"/>
  <c r="I3373"/>
  <c r="I2915"/>
  <c r="D3181"/>
  <c r="B3321"/>
  <c r="B3313"/>
  <c r="F3377"/>
  <c r="I3063"/>
  <c r="H3087"/>
  <c r="D3087"/>
  <c r="F3087"/>
  <c r="B3087"/>
  <c r="I3055"/>
  <c r="D3059"/>
  <c r="H3067"/>
  <c r="B3059"/>
  <c r="F3059"/>
  <c r="H3341"/>
  <c r="B3341"/>
  <c r="F3341"/>
  <c r="D3341"/>
  <c r="I3337"/>
  <c r="F3349"/>
  <c r="D3349"/>
  <c r="B3349"/>
  <c r="I3345"/>
  <c r="H3349"/>
  <c r="F2757"/>
  <c r="H2749"/>
  <c r="D2749"/>
  <c r="F2749"/>
  <c r="B2729"/>
  <c r="H2729"/>
  <c r="I2725"/>
  <c r="D2729"/>
  <c r="B2645"/>
  <c r="D2673"/>
  <c r="I2633"/>
  <c r="B2673"/>
  <c r="B2665"/>
  <c r="D2721"/>
  <c r="I2661"/>
  <c r="B2721"/>
  <c r="D2665"/>
  <c r="B2757"/>
  <c r="H2665"/>
  <c r="D2757"/>
  <c r="I2577"/>
  <c r="H2777"/>
  <c r="D2785"/>
  <c r="B2589"/>
  <c r="I2773"/>
  <c r="F2581"/>
  <c r="D2777"/>
  <c r="H2581"/>
  <c r="B2777"/>
  <c r="B2581"/>
  <c r="F2785"/>
  <c r="B2785"/>
  <c r="H2785"/>
  <c r="H2701"/>
  <c r="D2701"/>
  <c r="H2589"/>
  <c r="I2585"/>
  <c r="B2553"/>
  <c r="D2589"/>
  <c r="D2805"/>
  <c r="F2805"/>
  <c r="B2813"/>
  <c r="F2561"/>
  <c r="D2279"/>
  <c r="B2805"/>
  <c r="I2801"/>
  <c r="I2697"/>
  <c r="B2701"/>
  <c r="F2553"/>
  <c r="H2553"/>
  <c r="I2267"/>
  <c r="H2813"/>
  <c r="I2557"/>
  <c r="B2693"/>
  <c r="F2813"/>
  <c r="B2561"/>
  <c r="H2693"/>
  <c r="I2809"/>
  <c r="H2561"/>
  <c r="I2689"/>
  <c r="D2271"/>
  <c r="D2693"/>
  <c r="B2271"/>
  <c r="H2271"/>
  <c r="H2609"/>
  <c r="I2605"/>
  <c r="F2617"/>
  <c r="B2609"/>
  <c r="I2613"/>
  <c r="F2609"/>
  <c r="B2617"/>
  <c r="H2617"/>
  <c r="I2331"/>
  <c r="D2335"/>
  <c r="F2335"/>
  <c r="B2335"/>
  <c r="H2383"/>
  <c r="B2279"/>
  <c r="I2379"/>
  <c r="F2279"/>
  <c r="D2383"/>
  <c r="I2275"/>
  <c r="D2355"/>
  <c r="B2383"/>
  <c r="F2411"/>
  <c r="D2411"/>
  <c r="H2411"/>
  <c r="I2407"/>
  <c r="D2419"/>
  <c r="I2125"/>
  <c r="B2419"/>
  <c r="H2327"/>
  <c r="F2419"/>
  <c r="D2327"/>
  <c r="I2351"/>
  <c r="B2327"/>
  <c r="B2355"/>
  <c r="F2355"/>
  <c r="D2157"/>
  <c r="I2415"/>
  <c r="I2323"/>
  <c r="D2531"/>
  <c r="F2531"/>
  <c r="I2527"/>
  <c r="B2531"/>
  <c r="H2531"/>
  <c r="I2153"/>
  <c r="F2467"/>
  <c r="D2467"/>
  <c r="B2467"/>
  <c r="H2467"/>
  <c r="I2463"/>
  <c r="F2157"/>
  <c r="B2129"/>
  <c r="D2475"/>
  <c r="H2475"/>
  <c r="F2475"/>
  <c r="B2475"/>
  <c r="I2471"/>
  <c r="I2295"/>
  <c r="F2299"/>
  <c r="D2299"/>
  <c r="B2299"/>
  <c r="H2299"/>
  <c r="H2307"/>
  <c r="F2307"/>
  <c r="D2307"/>
  <c r="I2303"/>
  <c r="B2307"/>
  <c r="F2447"/>
  <c r="B2447"/>
  <c r="I2443"/>
  <c r="H2447"/>
  <c r="D2447"/>
  <c r="F2391"/>
  <c r="B2391"/>
  <c r="D2391"/>
  <c r="H2391"/>
  <c r="I2387"/>
  <c r="B2157"/>
  <c r="D2439"/>
  <c r="F2439"/>
  <c r="B2439"/>
  <c r="H2439"/>
  <c r="I2435"/>
  <c r="F2523"/>
  <c r="D2523"/>
  <c r="B2523"/>
  <c r="I2519"/>
  <c r="H2523"/>
  <c r="F2503"/>
  <c r="D2503"/>
  <c r="B2503"/>
  <c r="H2503"/>
  <c r="I2499"/>
  <c r="D2495"/>
  <c r="F2495"/>
  <c r="I2491"/>
  <c r="B2495"/>
  <c r="H2495"/>
  <c r="D2363"/>
  <c r="H2363"/>
  <c r="F2363"/>
  <c r="I2359"/>
  <c r="B2363"/>
  <c r="F2165"/>
  <c r="D2129"/>
  <c r="F2129"/>
  <c r="H2137"/>
  <c r="H2053"/>
  <c r="F2053"/>
  <c r="F2025"/>
  <c r="I2021"/>
  <c r="D2053"/>
  <c r="H2165"/>
  <c r="I2161"/>
  <c r="B2165"/>
  <c r="H2025"/>
  <c r="B2053"/>
  <c r="B2025"/>
  <c r="B2137"/>
  <c r="D2137"/>
  <c r="F2137"/>
  <c r="H2045"/>
  <c r="B2045"/>
  <c r="F2045"/>
  <c r="I2041"/>
  <c r="I2245"/>
  <c r="D2017"/>
  <c r="F2017"/>
  <c r="B2017"/>
  <c r="I2013"/>
  <c r="D2249"/>
  <c r="B2249"/>
  <c r="F2249"/>
  <c r="D2185"/>
  <c r="I2097"/>
  <c r="F2185"/>
  <c r="D2101"/>
  <c r="B2185"/>
  <c r="I2077"/>
  <c r="H2101"/>
  <c r="I2181"/>
  <c r="F2101"/>
  <c r="B2081"/>
  <c r="H2213"/>
  <c r="H2081"/>
  <c r="D2213"/>
  <c r="F2081"/>
  <c r="F2213"/>
  <c r="B2213"/>
  <c r="D1989"/>
  <c r="I1985"/>
  <c r="F1989"/>
  <c r="B1989"/>
  <c r="H1989"/>
  <c r="D2193"/>
  <c r="I2189"/>
  <c r="F2193"/>
  <c r="B2193"/>
  <c r="H2193"/>
  <c r="F2109"/>
  <c r="D2109"/>
  <c r="H2109"/>
  <c r="I2105"/>
  <c r="B2109"/>
  <c r="F1997"/>
  <c r="D1997"/>
  <c r="H1997"/>
  <c r="B1997"/>
  <c r="I1993"/>
  <c r="F2221"/>
  <c r="D2221"/>
  <c r="H2221"/>
  <c r="B2221"/>
  <c r="I2217"/>
  <c r="F2241"/>
  <c r="D2241"/>
  <c r="H2241"/>
  <c r="I2237"/>
  <c r="B2241"/>
  <c r="F2073"/>
  <c r="D2073"/>
  <c r="H2073"/>
  <c r="I2069"/>
  <c r="B2073"/>
  <c r="B1971"/>
  <c r="F1972"/>
  <c r="D1965"/>
  <c r="D1962"/>
  <c r="B1957"/>
  <c r="F1964"/>
  <c r="D1956"/>
  <c r="H1971"/>
  <c r="F1971"/>
  <c r="H1969"/>
  <c r="G1971" s="1"/>
  <c r="F1973"/>
  <c r="B1953"/>
  <c r="F1961"/>
  <c r="E1963" s="1"/>
  <c r="B1961"/>
  <c r="F1959" s="1"/>
  <c r="B1956"/>
  <c r="D1953"/>
  <c r="C1955" s="1"/>
  <c r="H1972"/>
  <c r="F1965"/>
  <c r="D1969"/>
  <c r="C1971" s="1"/>
  <c r="F1954"/>
  <c r="H1964"/>
  <c r="B1970"/>
  <c r="F1955"/>
  <c r="B1972"/>
  <c r="D1977"/>
  <c r="B1977" s="1"/>
  <c r="B1963"/>
  <c r="H1963"/>
  <c r="D1971"/>
  <c r="H1956"/>
  <c r="D1970"/>
  <c r="H1955"/>
  <c r="D1972"/>
  <c r="F1969"/>
  <c r="E1971" s="1"/>
  <c r="H1973"/>
  <c r="H1962"/>
  <c r="D1955"/>
  <c r="D1957"/>
  <c r="B1964"/>
  <c r="D1961"/>
  <c r="C1963" s="1"/>
  <c r="H1953"/>
  <c r="G1955" s="1"/>
  <c r="H1970"/>
  <c r="D1975"/>
  <c r="B1975" s="1"/>
  <c r="F1943"/>
  <c r="D1944"/>
  <c r="F1933"/>
  <c r="E1935" s="1"/>
  <c r="H1934"/>
  <c r="D1949"/>
  <c r="B1949" s="1"/>
  <c r="D1945"/>
  <c r="B1925"/>
  <c r="D1943"/>
  <c r="D1928"/>
  <c r="D1941"/>
  <c r="C1943" s="1"/>
  <c r="B1929"/>
  <c r="D1935"/>
  <c r="H1926"/>
  <c r="H1929"/>
  <c r="D1929"/>
  <c r="B1928"/>
  <c r="H1944"/>
  <c r="F1927"/>
  <c r="D1936"/>
  <c r="B1944"/>
  <c r="H1936"/>
  <c r="H1925"/>
  <c r="G1927" s="1"/>
  <c r="B1937"/>
  <c r="B1933"/>
  <c r="H1931" s="1"/>
  <c r="H1928"/>
  <c r="B1926"/>
  <c r="F1929"/>
  <c r="H1935"/>
  <c r="F1935"/>
  <c r="D1927"/>
  <c r="D1934"/>
  <c r="F1928"/>
  <c r="B1936"/>
  <c r="H1927"/>
  <c r="H1941"/>
  <c r="G1943" s="1"/>
  <c r="D1926"/>
  <c r="F1926"/>
  <c r="D1925"/>
  <c r="C1927" s="1"/>
  <c r="H1943"/>
  <c r="B1945"/>
  <c r="B1941"/>
  <c r="F1939" s="1"/>
  <c r="H1945"/>
  <c r="F1937"/>
  <c r="F1945"/>
  <c r="F1942"/>
  <c r="H1942"/>
  <c r="B1943"/>
  <c r="F1925"/>
  <c r="E1927" s="1"/>
  <c r="F1936"/>
  <c r="F1941"/>
  <c r="E1943" s="1"/>
  <c r="D1942"/>
  <c r="B1881"/>
  <c r="D1871"/>
  <c r="F1873"/>
  <c r="B1885"/>
  <c r="F1885"/>
  <c r="H1887"/>
  <c r="H1881"/>
  <c r="D1879"/>
  <c r="D1885"/>
  <c r="D1889"/>
  <c r="H1872"/>
  <c r="F1888"/>
  <c r="F1870"/>
  <c r="D1893"/>
  <c r="D1877"/>
  <c r="H1869"/>
  <c r="D1880"/>
  <c r="D1873"/>
  <c r="F1881"/>
  <c r="F1878"/>
  <c r="F1877"/>
  <c r="B1880"/>
  <c r="D1881"/>
  <c r="D1887"/>
  <c r="B1873"/>
  <c r="H1879"/>
  <c r="H1888"/>
  <c r="F1879"/>
  <c r="F1889"/>
  <c r="B1889"/>
  <c r="F1869"/>
  <c r="B1886"/>
  <c r="D1869"/>
  <c r="H1880"/>
  <c r="F1887"/>
  <c r="F1886"/>
  <c r="B1879"/>
  <c r="D1886"/>
  <c r="F1871"/>
  <c r="D1891"/>
  <c r="H1873"/>
  <c r="D1878"/>
  <c r="B1872"/>
  <c r="D1872"/>
  <c r="H1889"/>
  <c r="H1878"/>
  <c r="B1877"/>
  <c r="F1880"/>
  <c r="H1871"/>
  <c r="B1888"/>
  <c r="F1872"/>
  <c r="D1888"/>
  <c r="B1878"/>
  <c r="B1887"/>
  <c r="B1869"/>
  <c r="H1885"/>
  <c r="B1870"/>
  <c r="H1870"/>
  <c r="D1870"/>
  <c r="H1841"/>
  <c r="G1843" s="1"/>
  <c r="B1851"/>
  <c r="H1858"/>
  <c r="B1859"/>
  <c r="F1858"/>
  <c r="D1859"/>
  <c r="B1845"/>
  <c r="B1842"/>
  <c r="F1842"/>
  <c r="D1857"/>
  <c r="C1859" s="1"/>
  <c r="F1860"/>
  <c r="H1859"/>
  <c r="D1851"/>
  <c r="H1844"/>
  <c r="F1857"/>
  <c r="E1859" s="1"/>
  <c r="F1841"/>
  <c r="E1843" s="1"/>
  <c r="B1860"/>
  <c r="B1841"/>
  <c r="F1859"/>
  <c r="H1843"/>
  <c r="D1849"/>
  <c r="C1851" s="1"/>
  <c r="D1842"/>
  <c r="F1844"/>
  <c r="B1850"/>
  <c r="D1850"/>
  <c r="H1849"/>
  <c r="G1851" s="1"/>
  <c r="F1850"/>
  <c r="H1850"/>
  <c r="D1860"/>
  <c r="H1851"/>
  <c r="B1852"/>
  <c r="F1852"/>
  <c r="H1852"/>
  <c r="D1852"/>
  <c r="B1853"/>
  <c r="D1853"/>
  <c r="F1849"/>
  <c r="E1851" s="1"/>
  <c r="H1860"/>
  <c r="B1861"/>
  <c r="F1861"/>
  <c r="H1861"/>
  <c r="D1861"/>
  <c r="D1863"/>
  <c r="B1863" s="1"/>
  <c r="H1825"/>
  <c r="D1833"/>
  <c r="H1824"/>
  <c r="B1814"/>
  <c r="F1822"/>
  <c r="D1835"/>
  <c r="B1835" s="1"/>
  <c r="F1831"/>
  <c r="H1830"/>
  <c r="F1823"/>
  <c r="B1831"/>
  <c r="D1816"/>
  <c r="H1813"/>
  <c r="G1815" s="1"/>
  <c r="H1831"/>
  <c r="B1829"/>
  <c r="D1827" s="1"/>
  <c r="F1829"/>
  <c r="E1831" s="1"/>
  <c r="F1824"/>
  <c r="B1815"/>
  <c r="F1813"/>
  <c r="E1815" s="1"/>
  <c r="F1825"/>
  <c r="D1815"/>
  <c r="B1821"/>
  <c r="I1815" s="1"/>
  <c r="H1814"/>
  <c r="F1830"/>
  <c r="D1831"/>
  <c r="B1825"/>
  <c r="H1816"/>
  <c r="D1813"/>
  <c r="C1815" s="1"/>
  <c r="H1833"/>
  <c r="B1816"/>
  <c r="B1822"/>
  <c r="H1832"/>
  <c r="F1833"/>
  <c r="D1817"/>
  <c r="F1817"/>
  <c r="H1817"/>
  <c r="D1823"/>
  <c r="B1833"/>
  <c r="F1816"/>
  <c r="H1821"/>
  <c r="G1823" s="1"/>
  <c r="F1814"/>
  <c r="H1822"/>
  <c r="D1822"/>
  <c r="B1823"/>
  <c r="B1813"/>
  <c r="D1814"/>
  <c r="F1832"/>
  <c r="F1815"/>
  <c r="F1821"/>
  <c r="E1823" s="1"/>
  <c r="H1829"/>
  <c r="G1831" s="1"/>
  <c r="D1829"/>
  <c r="C1831" s="1"/>
  <c r="B1830"/>
  <c r="B1817"/>
  <c r="D1821"/>
  <c r="C1823" s="1"/>
  <c r="B1832"/>
  <c r="B1824"/>
  <c r="D1825"/>
  <c r="D1830"/>
  <c r="D1837"/>
  <c r="B1837" s="1"/>
  <c r="D1785"/>
  <c r="C1787" s="1"/>
  <c r="H1785"/>
  <c r="G1787" s="1"/>
  <c r="F1793"/>
  <c r="E1795" s="1"/>
  <c r="D1794"/>
  <c r="H1805"/>
  <c r="D1801"/>
  <c r="C1803" s="1"/>
  <c r="D1788"/>
  <c r="H1797"/>
  <c r="D1793"/>
  <c r="C1795" s="1"/>
  <c r="F1797"/>
  <c r="F1804"/>
  <c r="H1789"/>
  <c r="D1786"/>
  <c r="B1804"/>
  <c r="H1802"/>
  <c r="B1787"/>
  <c r="H1787"/>
  <c r="B1795"/>
  <c r="F1786"/>
  <c r="D1803"/>
  <c r="B1802"/>
  <c r="H1794"/>
  <c r="D1795"/>
  <c r="F1787"/>
  <c r="D1797"/>
  <c r="D1805"/>
  <c r="F1802"/>
  <c r="F1789"/>
  <c r="B1796"/>
  <c r="F1785"/>
  <c r="E1787" s="1"/>
  <c r="B1801"/>
  <c r="F1799" s="1"/>
  <c r="F1788"/>
  <c r="B1793"/>
  <c r="F1791" s="1"/>
  <c r="B1797"/>
  <c r="H1801"/>
  <c r="G1803" s="1"/>
  <c r="F1801"/>
  <c r="E1803" s="1"/>
  <c r="F1794"/>
  <c r="B1803"/>
  <c r="B1805"/>
  <c r="H1786"/>
  <c r="H1788"/>
  <c r="H1803"/>
  <c r="H1796"/>
  <c r="D1804"/>
  <c r="F1805"/>
  <c r="D1809"/>
  <c r="B1809" s="1"/>
  <c r="B1789"/>
  <c r="B1786"/>
  <c r="D1787"/>
  <c r="D1789"/>
  <c r="F1795"/>
  <c r="F1803"/>
  <c r="H1793"/>
  <c r="G1795" s="1"/>
  <c r="B1788"/>
  <c r="H1804"/>
  <c r="F1796"/>
  <c r="B1785"/>
  <c r="D1796"/>
  <c r="D1802"/>
  <c r="B1794"/>
  <c r="D1807"/>
  <c r="B1807" s="1"/>
  <c r="F1758"/>
  <c r="H1761"/>
  <c r="F1776"/>
  <c r="H1767"/>
  <c r="F1767"/>
  <c r="B1758"/>
  <c r="D1777"/>
  <c r="F1765"/>
  <c r="E1767" s="1"/>
  <c r="F1761"/>
  <c r="H1776"/>
  <c r="D1757"/>
  <c r="C1759" s="1"/>
  <c r="F1773"/>
  <c r="E1775" s="1"/>
  <c r="D1765"/>
  <c r="C1767" s="1"/>
  <c r="B1768"/>
  <c r="F1760"/>
  <c r="D1761"/>
  <c r="F1766"/>
  <c r="H1769"/>
  <c r="D1781"/>
  <c r="B1781" s="1"/>
  <c r="B1765"/>
  <c r="D1763" s="1"/>
  <c r="F1775"/>
  <c r="H1773"/>
  <c r="G1775" s="1"/>
  <c r="D1769"/>
  <c r="H1758"/>
  <c r="D1758"/>
  <c r="F1768"/>
  <c r="H1768"/>
  <c r="H1759"/>
  <c r="D1773"/>
  <c r="C1775" s="1"/>
  <c r="B1760"/>
  <c r="B1757"/>
  <c r="B1759"/>
  <c r="D1768"/>
  <c r="B1774"/>
  <c r="F1759"/>
  <c r="H1760"/>
  <c r="F1757"/>
  <c r="E1759" s="1"/>
  <c r="B1769"/>
  <c r="D1774"/>
  <c r="B1761"/>
  <c r="B1773"/>
  <c r="B1771" s="1"/>
  <c r="B1777"/>
  <c r="H1775"/>
  <c r="B1766"/>
  <c r="B1767"/>
  <c r="F1777"/>
  <c r="H1774"/>
  <c r="D1767"/>
  <c r="B1775"/>
  <c r="B1776"/>
  <c r="F1769"/>
  <c r="F1774"/>
  <c r="H1765"/>
  <c r="G1767" s="1"/>
  <c r="H1777"/>
  <c r="D1759"/>
  <c r="D1776"/>
  <c r="D1766"/>
  <c r="D1779"/>
  <c r="B1779" s="1"/>
  <c r="D1775"/>
  <c r="H1766"/>
  <c r="F1729"/>
  <c r="E1731" s="1"/>
  <c r="D1746"/>
  <c r="H1740"/>
  <c r="D1748"/>
  <c r="F1730"/>
  <c r="D1730"/>
  <c r="B1745"/>
  <c r="D1743" s="1"/>
  <c r="H1733"/>
  <c r="B1729"/>
  <c r="F1748"/>
  <c r="F1749"/>
  <c r="D1745"/>
  <c r="C1747" s="1"/>
  <c r="B1737"/>
  <c r="H1735" s="1"/>
  <c r="F1733"/>
  <c r="B1747"/>
  <c r="H1748"/>
  <c r="F1745"/>
  <c r="E1747" s="1"/>
  <c r="B1740"/>
  <c r="D1747"/>
  <c r="B1746"/>
  <c r="D1749"/>
  <c r="H1729"/>
  <c r="G1731" s="1"/>
  <c r="B1748"/>
  <c r="D1733"/>
  <c r="H1746"/>
  <c r="H1737"/>
  <c r="G1739" s="1"/>
  <c r="D1729"/>
  <c r="C1731" s="1"/>
  <c r="F1737"/>
  <c r="E1739" s="1"/>
  <c r="H1741"/>
  <c r="F1731"/>
  <c r="B1749"/>
  <c r="D1740"/>
  <c r="H1747"/>
  <c r="B1741"/>
  <c r="F1741"/>
  <c r="D1732"/>
  <c r="F1746"/>
  <c r="D1751"/>
  <c r="B1751" s="1"/>
  <c r="D1753"/>
  <c r="B1753" s="1"/>
  <c r="H1730"/>
  <c r="F1738"/>
  <c r="B1738"/>
  <c r="D1738"/>
  <c r="H1738"/>
  <c r="F1739"/>
  <c r="B1739"/>
  <c r="H1739"/>
  <c r="B1730"/>
  <c r="D1737"/>
  <c r="C1739" s="1"/>
  <c r="B1731"/>
  <c r="D1731"/>
  <c r="H1731"/>
  <c r="F1732"/>
  <c r="B1732"/>
  <c r="H1732"/>
  <c r="B1720"/>
  <c r="H1717"/>
  <c r="G1719" s="1"/>
  <c r="F1702"/>
  <c r="H1704"/>
  <c r="D1703"/>
  <c r="B1713"/>
  <c r="D1710"/>
  <c r="H1720"/>
  <c r="B1712"/>
  <c r="B1710"/>
  <c r="H1705"/>
  <c r="H1721"/>
  <c r="D1718"/>
  <c r="F1705"/>
  <c r="B1709"/>
  <c r="F1707" s="1"/>
  <c r="D1723"/>
  <c r="B1723" s="1"/>
  <c r="H1703"/>
  <c r="H1701"/>
  <c r="G1703" s="1"/>
  <c r="F1701"/>
  <c r="E1703" s="1"/>
  <c r="F1718"/>
  <c r="F1703"/>
  <c r="D1701"/>
  <c r="C1703" s="1"/>
  <c r="D1702"/>
  <c r="H1710"/>
  <c r="H1702"/>
  <c r="H1718"/>
  <c r="D1712"/>
  <c r="H1712"/>
  <c r="D1705"/>
  <c r="F1709"/>
  <c r="E1711" s="1"/>
  <c r="B1704"/>
  <c r="D1713"/>
  <c r="B1711"/>
  <c r="H1711"/>
  <c r="F1713"/>
  <c r="D1717"/>
  <c r="C1719" s="1"/>
  <c r="F1710"/>
  <c r="B1702"/>
  <c r="F1711"/>
  <c r="B1721"/>
  <c r="F1717"/>
  <c r="E1719" s="1"/>
  <c r="F1712"/>
  <c r="D1711"/>
  <c r="F1721"/>
  <c r="B1703"/>
  <c r="F1719"/>
  <c r="D1721"/>
  <c r="H1713"/>
  <c r="D1725"/>
  <c r="B1725" s="1"/>
  <c r="F1967"/>
  <c r="H1967"/>
  <c r="D1967"/>
  <c r="B1967"/>
  <c r="D1847"/>
  <c r="I1843"/>
  <c r="H1847"/>
  <c r="F1847"/>
  <c r="F1715"/>
  <c r="D1715"/>
  <c r="I1711"/>
  <c r="H1715"/>
  <c r="B1715"/>
  <c r="H1855"/>
  <c r="I1851"/>
  <c r="B1855"/>
  <c r="F1855"/>
  <c r="D1855"/>
  <c r="F1903"/>
  <c r="D1903"/>
  <c r="B1903"/>
  <c r="I1899"/>
  <c r="H1903"/>
  <c r="H1911"/>
  <c r="F1911"/>
  <c r="I1907"/>
  <c r="B1911"/>
  <c r="D1911"/>
  <c r="D1689"/>
  <c r="H1681"/>
  <c r="D1683"/>
  <c r="B1683"/>
  <c r="H1682"/>
  <c r="B1680"/>
  <c r="F1672"/>
  <c r="F1683"/>
  <c r="H1690"/>
  <c r="D1679"/>
  <c r="C1681" s="1"/>
  <c r="F1675"/>
  <c r="D1675"/>
  <c r="D1674"/>
  <c r="F1687"/>
  <c r="E1689" s="1"/>
  <c r="D1680"/>
  <c r="D1687"/>
  <c r="C1689" s="1"/>
  <c r="F1682"/>
  <c r="F1688"/>
  <c r="F1674"/>
  <c r="D1695"/>
  <c r="B1695" s="1"/>
  <c r="F1680"/>
  <c r="F1681"/>
  <c r="B1671"/>
  <c r="D1662"/>
  <c r="B1645"/>
  <c r="D1647"/>
  <c r="B1660"/>
  <c r="F1644"/>
  <c r="D1646"/>
  <c r="B1646"/>
  <c r="F1652"/>
  <c r="B1663"/>
  <c r="H1662"/>
  <c r="H1652"/>
  <c r="D1651"/>
  <c r="C1653" s="1"/>
  <c r="B1644"/>
  <c r="H1646"/>
  <c r="F1660"/>
  <c r="B1653"/>
  <c r="D1659"/>
  <c r="C1661" s="1"/>
  <c r="H1654"/>
  <c r="B1659"/>
  <c r="B1657" s="1"/>
  <c r="B1651"/>
  <c r="B1649" s="1"/>
  <c r="D1654"/>
  <c r="F1655"/>
  <c r="B1643"/>
  <c r="D1665"/>
  <c r="B1665" s="1"/>
  <c r="H1653"/>
  <c r="D1645"/>
  <c r="H1643"/>
  <c r="G1645" s="1"/>
  <c r="F1653"/>
  <c r="D1663"/>
  <c r="H1663"/>
  <c r="F1645"/>
  <c r="H1645"/>
  <c r="F1646"/>
  <c r="H1661"/>
  <c r="F1663"/>
  <c r="H1659"/>
  <c r="G1661" s="1"/>
  <c r="H1660"/>
  <c r="F1659"/>
  <c r="E1661" s="1"/>
  <c r="F1661"/>
  <c r="F1662"/>
  <c r="F1651"/>
  <c r="E1653" s="1"/>
  <c r="D1655"/>
  <c r="B1654"/>
  <c r="B1655"/>
  <c r="H1651"/>
  <c r="G1653" s="1"/>
  <c r="D1652"/>
  <c r="H1647"/>
  <c r="F1654"/>
  <c r="D1667"/>
  <c r="B1667" s="1"/>
  <c r="F1647"/>
  <c r="F1643"/>
  <c r="E1645" s="1"/>
  <c r="H1618"/>
  <c r="D1617"/>
  <c r="H1635"/>
  <c r="F1626"/>
  <c r="D1632"/>
  <c r="F1627"/>
  <c r="D1618"/>
  <c r="B1624"/>
  <c r="H1625"/>
  <c r="F1623"/>
  <c r="E1625" s="1"/>
  <c r="F1616"/>
  <c r="B1593"/>
  <c r="D1616"/>
  <c r="H1615"/>
  <c r="G1617" s="1"/>
  <c r="B1616"/>
  <c r="H1634"/>
  <c r="D1627"/>
  <c r="D1631"/>
  <c r="C1633" s="1"/>
  <c r="F1615"/>
  <c r="E1617" s="1"/>
  <c r="H1619"/>
  <c r="B1623"/>
  <c r="D1621" s="1"/>
  <c r="F1619"/>
  <c r="H1616"/>
  <c r="F1635"/>
  <c r="D1619"/>
  <c r="D1624"/>
  <c r="H1617"/>
  <c r="B1618"/>
  <c r="F1617"/>
  <c r="H1632"/>
  <c r="B1635"/>
  <c r="F1632"/>
  <c r="D1639"/>
  <c r="B1639" s="1"/>
  <c r="F1633"/>
  <c r="D1633"/>
  <c r="F1618"/>
  <c r="B1617"/>
  <c r="B1626"/>
  <c r="D1626"/>
  <c r="D1593"/>
  <c r="F1593"/>
  <c r="H1593"/>
  <c r="H1601"/>
  <c r="I1597"/>
  <c r="B1601"/>
  <c r="D1601"/>
  <c r="F1570"/>
  <c r="H1568"/>
  <c r="F1562"/>
  <c r="F1563"/>
  <c r="H1579"/>
  <c r="H1561"/>
  <c r="H1577"/>
  <c r="D1575"/>
  <c r="C1577" s="1"/>
  <c r="F1567"/>
  <c r="E1569" s="1"/>
  <c r="H1569"/>
  <c r="D1577"/>
  <c r="D1559"/>
  <c r="C1561" s="1"/>
  <c r="B1567"/>
  <c r="B1565" s="1"/>
  <c r="B1561"/>
  <c r="B1560"/>
  <c r="B1575"/>
  <c r="F1573" s="1"/>
  <c r="F1560"/>
  <c r="H1563"/>
  <c r="F1571"/>
  <c r="H1576"/>
  <c r="B1571"/>
  <c r="D1560"/>
  <c r="D1570"/>
  <c r="B1559"/>
  <c r="H1560"/>
  <c r="H1571"/>
  <c r="F1561"/>
  <c r="B1579"/>
  <c r="B1577"/>
  <c r="D1563"/>
  <c r="D1567"/>
  <c r="C1569" s="1"/>
  <c r="B1570"/>
  <c r="H1562"/>
  <c r="F1568"/>
  <c r="F1577"/>
  <c r="B1563"/>
  <c r="F1575"/>
  <c r="E1577" s="1"/>
  <c r="D1562"/>
  <c r="H1578"/>
  <c r="F1569"/>
  <c r="D1578"/>
  <c r="D1561"/>
  <c r="B1562"/>
  <c r="D1579"/>
  <c r="D1581"/>
  <c r="B1581" s="1"/>
  <c r="H1567"/>
  <c r="G1569" s="1"/>
  <c r="H1559"/>
  <c r="G1561" s="1"/>
  <c r="D1569"/>
  <c r="D1568"/>
  <c r="F1579"/>
  <c r="D1571"/>
  <c r="F1578"/>
  <c r="D1576"/>
  <c r="B1578"/>
  <c r="H1575"/>
  <c r="G1577" s="1"/>
  <c r="F1559"/>
  <c r="E1561" s="1"/>
  <c r="F1576"/>
  <c r="B1576"/>
  <c r="H1543"/>
  <c r="F1547"/>
  <c r="E1549" s="1"/>
  <c r="F1551"/>
  <c r="F1535"/>
  <c r="H1539"/>
  <c r="G1541" s="1"/>
  <c r="D1531"/>
  <c r="C1533" s="1"/>
  <c r="D1542"/>
  <c r="H1531"/>
  <c r="G1533" s="1"/>
  <c r="F1548"/>
  <c r="D1534"/>
  <c r="B1543"/>
  <c r="F1543"/>
  <c r="B1547"/>
  <c r="F1545" s="1"/>
  <c r="B1533"/>
  <c r="H1549"/>
  <c r="H1540"/>
  <c r="B1548"/>
  <c r="F1541"/>
  <c r="F1550"/>
  <c r="F1532"/>
  <c r="B1532"/>
  <c r="H1534"/>
  <c r="D1547"/>
  <c r="C1549" s="1"/>
  <c r="B1531"/>
  <c r="B1541"/>
  <c r="B1534"/>
  <c r="B1539"/>
  <c r="H1537" s="1"/>
  <c r="H1551"/>
  <c r="D1543"/>
  <c r="F1542"/>
  <c r="B1542"/>
  <c r="H1541"/>
  <c r="D1540"/>
  <c r="F1540"/>
  <c r="F1534"/>
  <c r="F1531"/>
  <c r="E1533" s="1"/>
  <c r="F1533"/>
  <c r="D1553"/>
  <c r="B1553" s="1"/>
  <c r="D1551"/>
  <c r="B1551"/>
  <c r="H1550"/>
  <c r="H1547"/>
  <c r="G1549" s="1"/>
  <c r="D1539"/>
  <c r="C1541" s="1"/>
  <c r="D1548"/>
  <c r="D1550"/>
  <c r="B1550"/>
  <c r="D1549"/>
  <c r="B1549"/>
  <c r="H1548"/>
  <c r="D1541"/>
  <c r="F1549"/>
  <c r="H1542"/>
  <c r="H1533"/>
  <c r="H1535"/>
  <c r="D1532"/>
  <c r="F1539"/>
  <c r="E1541" s="1"/>
  <c r="H1512"/>
  <c r="H1505"/>
  <c r="B1507"/>
  <c r="F1507"/>
  <c r="D1511"/>
  <c r="C1513" s="1"/>
  <c r="F1503"/>
  <c r="E1505" s="1"/>
  <c r="D1504"/>
  <c r="D1506"/>
  <c r="H1514"/>
  <c r="B1513"/>
  <c r="H1507"/>
  <c r="F1515"/>
  <c r="D1520"/>
  <c r="F1511"/>
  <c r="E1513" s="1"/>
  <c r="F1523"/>
  <c r="B1522"/>
  <c r="F1514"/>
  <c r="B1505"/>
  <c r="B1520"/>
  <c r="F1505"/>
  <c r="B1523"/>
  <c r="D1522"/>
  <c r="B1511"/>
  <c r="F1509" s="1"/>
  <c r="F1504"/>
  <c r="F1506"/>
  <c r="D1521"/>
  <c r="D1507"/>
  <c r="B1519"/>
  <c r="F1517" s="1"/>
  <c r="B1506"/>
  <c r="H1523"/>
  <c r="D1523"/>
  <c r="H1513"/>
  <c r="H1522"/>
  <c r="H1521"/>
  <c r="D1503"/>
  <c r="C1505" s="1"/>
  <c r="H1504"/>
  <c r="D1512"/>
  <c r="D1515"/>
  <c r="B1515"/>
  <c r="H1519"/>
  <c r="G1521" s="1"/>
  <c r="F1512"/>
  <c r="F1513"/>
  <c r="H1511"/>
  <c r="G1513" s="1"/>
  <c r="D1519"/>
  <c r="C1521" s="1"/>
  <c r="D1525"/>
  <c r="B1525" s="1"/>
  <c r="F1520"/>
  <c r="F1521"/>
  <c r="H1503"/>
  <c r="G1505" s="1"/>
  <c r="H1520"/>
  <c r="D1505"/>
  <c r="H1506"/>
  <c r="F1519"/>
  <c r="E1521" s="1"/>
  <c r="F1522"/>
  <c r="H1515"/>
  <c r="B1521"/>
  <c r="D1527"/>
  <c r="B1527" s="1"/>
  <c r="D1514"/>
  <c r="B1514"/>
  <c r="B1503"/>
  <c r="D1513"/>
  <c r="D1483"/>
  <c r="C1485" s="1"/>
  <c r="D1485"/>
  <c r="D1475"/>
  <c r="C1477" s="1"/>
  <c r="H1486"/>
  <c r="H1494"/>
  <c r="H1475"/>
  <c r="G1477" s="1"/>
  <c r="F1485"/>
  <c r="H1495"/>
  <c r="F1492"/>
  <c r="H1477"/>
  <c r="D1486"/>
  <c r="F1487"/>
  <c r="B1487"/>
  <c r="F1484"/>
  <c r="B1495"/>
  <c r="D1492"/>
  <c r="B1478"/>
  <c r="F1486"/>
  <c r="H1485"/>
  <c r="B1484"/>
  <c r="B1476"/>
  <c r="F1475"/>
  <c r="E1477" s="1"/>
  <c r="H1476"/>
  <c r="B1493"/>
  <c r="D1497"/>
  <c r="B1497" s="1"/>
  <c r="F1477"/>
  <c r="H1483"/>
  <c r="G1485" s="1"/>
  <c r="F1476"/>
  <c r="F1494"/>
  <c r="D1476"/>
  <c r="B1492"/>
  <c r="H1491"/>
  <c r="G1493" s="1"/>
  <c r="F1491"/>
  <c r="E1493" s="1"/>
  <c r="D1491"/>
  <c r="C1493" s="1"/>
  <c r="H1487"/>
  <c r="F1483"/>
  <c r="E1485" s="1"/>
  <c r="D1478"/>
  <c r="B1483"/>
  <c r="H1481" s="1"/>
  <c r="H1479"/>
  <c r="F1479"/>
  <c r="D1479"/>
  <c r="H1478"/>
  <c r="B1485"/>
  <c r="D1495"/>
  <c r="D1494"/>
  <c r="B1479"/>
  <c r="B1494"/>
  <c r="H1493"/>
  <c r="F1493"/>
  <c r="D1493"/>
  <c r="H1492"/>
  <c r="F1478"/>
  <c r="D1487"/>
  <c r="D1499"/>
  <c r="B1499" s="1"/>
  <c r="B1486"/>
  <c r="B1491"/>
  <c r="B1489" s="1"/>
  <c r="B1477"/>
  <c r="B1459"/>
  <c r="D1449"/>
  <c r="D1469"/>
  <c r="B1469" s="1"/>
  <c r="B1463"/>
  <c r="H1461" s="1"/>
  <c r="B1448"/>
  <c r="F1465"/>
  <c r="F1464"/>
  <c r="B1451"/>
  <c r="D1450"/>
  <c r="H1449"/>
  <c r="F1463"/>
  <c r="E1465" s="1"/>
  <c r="F1450"/>
  <c r="D1457"/>
  <c r="F1449"/>
  <c r="H1463"/>
  <c r="G1465" s="1"/>
  <c r="D1467"/>
  <c r="B1464"/>
  <c r="B1449"/>
  <c r="D1463"/>
  <c r="C1465" s="1"/>
  <c r="H1451"/>
  <c r="H1450"/>
  <c r="D1464"/>
  <c r="H1458"/>
  <c r="F1458"/>
  <c r="F1451"/>
  <c r="D1456"/>
  <c r="H1457"/>
  <c r="H1467"/>
  <c r="F1455"/>
  <c r="E1457" s="1"/>
  <c r="H1465"/>
  <c r="H1466"/>
  <c r="B1466"/>
  <c r="F1457"/>
  <c r="B1458"/>
  <c r="H1464"/>
  <c r="D1455"/>
  <c r="C1457" s="1"/>
  <c r="B1467"/>
  <c r="H1459"/>
  <c r="D1447"/>
  <c r="C1449" s="1"/>
  <c r="F1467"/>
  <c r="B1450"/>
  <c r="D1458"/>
  <c r="B1465"/>
  <c r="H1448"/>
  <c r="D1466"/>
  <c r="D1465"/>
  <c r="F1456"/>
  <c r="B1457"/>
  <c r="F1459"/>
  <c r="H1456"/>
  <c r="B1456"/>
  <c r="H1455"/>
  <c r="G1457" s="1"/>
  <c r="F1448"/>
  <c r="D1451"/>
  <c r="B1455"/>
  <c r="H1453" s="1"/>
  <c r="B1447"/>
  <c r="H1447"/>
  <c r="G1449" s="1"/>
  <c r="D1448"/>
  <c r="F1447"/>
  <c r="E1449" s="1"/>
  <c r="F1466"/>
  <c r="D1459"/>
  <c r="F1421"/>
  <c r="B1420"/>
  <c r="D1435"/>
  <c r="C1437" s="1"/>
  <c r="B1435"/>
  <c r="D1433" s="1"/>
  <c r="B1428"/>
  <c r="D1429"/>
  <c r="B1431"/>
  <c r="F1438"/>
  <c r="B1419"/>
  <c r="F1423"/>
  <c r="B1438"/>
  <c r="F1435"/>
  <c r="E1437" s="1"/>
  <c r="D1441"/>
  <c r="B1441" s="1"/>
  <c r="D1437"/>
  <c r="B1421"/>
  <c r="H1421"/>
  <c r="D1419"/>
  <c r="C1421" s="1"/>
  <c r="B1423"/>
  <c r="H1423"/>
  <c r="D1421"/>
  <c r="F1428"/>
  <c r="D1422"/>
  <c r="F1422"/>
  <c r="D1430"/>
  <c r="B1422"/>
  <c r="D1436"/>
  <c r="F1436"/>
  <c r="D1423"/>
  <c r="F1430"/>
  <c r="B1430"/>
  <c r="D1443"/>
  <c r="B1443" s="1"/>
  <c r="F1429"/>
  <c r="D1428"/>
  <c r="F1437"/>
  <c r="H1430"/>
  <c r="H1419"/>
  <c r="G1421" s="1"/>
  <c r="H1429"/>
  <c r="B1427"/>
  <c r="I1421" s="1"/>
  <c r="H1431"/>
  <c r="D1439"/>
  <c r="F1439"/>
  <c r="B1437"/>
  <c r="F1419"/>
  <c r="E1421" s="1"/>
  <c r="B1436"/>
  <c r="H1420"/>
  <c r="H1428"/>
  <c r="F1420"/>
  <c r="H1427"/>
  <c r="G1429" s="1"/>
  <c r="D1427"/>
  <c r="C1429" s="1"/>
  <c r="H1437"/>
  <c r="F1427"/>
  <c r="E1429" s="1"/>
  <c r="H1436"/>
  <c r="B1439"/>
  <c r="D1438"/>
  <c r="H1439"/>
  <c r="D1420"/>
  <c r="H1422"/>
  <c r="D1431"/>
  <c r="H1435"/>
  <c r="G1437" s="1"/>
  <c r="B1429"/>
  <c r="F1431"/>
  <c r="F1657"/>
  <c r="B1685"/>
  <c r="H1685"/>
  <c r="D1685"/>
  <c r="I1681"/>
  <c r="I1673"/>
  <c r="B1677"/>
  <c r="H1677"/>
  <c r="D1677"/>
  <c r="H1629"/>
  <c r="F1629"/>
  <c r="I1625"/>
  <c r="D1629"/>
  <c r="B1629"/>
  <c r="H1399"/>
  <c r="D1389"/>
  <c r="C1391" s="1"/>
  <c r="D1393"/>
  <c r="F1389"/>
  <c r="E1391" s="1"/>
  <c r="D1398"/>
  <c r="H1405"/>
  <c r="G1407" s="1"/>
  <c r="B1390"/>
  <c r="H1390"/>
  <c r="D1400"/>
  <c r="H1407"/>
  <c r="B1399"/>
  <c r="B1398"/>
  <c r="B1389"/>
  <c r="F1405"/>
  <c r="E1407" s="1"/>
  <c r="D1390"/>
  <c r="B1401"/>
  <c r="F1409"/>
  <c r="F1399"/>
  <c r="B1393"/>
  <c r="H1408"/>
  <c r="D1407"/>
  <c r="H1400"/>
  <c r="F1408"/>
  <c r="D1406"/>
  <c r="B1400"/>
  <c r="D1409"/>
  <c r="F1390"/>
  <c r="F1401"/>
  <c r="B1406"/>
  <c r="H1389"/>
  <c r="G1391" s="1"/>
  <c r="D1401"/>
  <c r="B1391"/>
  <c r="B1397"/>
  <c r="F1395" s="1"/>
  <c r="D1397"/>
  <c r="C1399" s="1"/>
  <c r="H1397"/>
  <c r="G1399" s="1"/>
  <c r="F1397"/>
  <c r="E1399" s="1"/>
  <c r="B1392"/>
  <c r="D1392"/>
  <c r="B1408"/>
  <c r="D1408"/>
  <c r="H1406"/>
  <c r="D1391"/>
  <c r="F1391"/>
  <c r="H1391"/>
  <c r="F1392"/>
  <c r="B1405"/>
  <c r="B1403" s="1"/>
  <c r="D1411"/>
  <c r="B1411" s="1"/>
  <c r="B1334"/>
  <c r="B1349"/>
  <c r="F1347" s="1"/>
  <c r="H1353"/>
  <c r="H1333"/>
  <c r="G1335" s="1"/>
  <c r="F1337"/>
  <c r="D1355"/>
  <c r="B1355" s="1"/>
  <c r="D1342"/>
  <c r="H1345"/>
  <c r="B1344"/>
  <c r="F1350"/>
  <c r="H1342"/>
  <c r="F1342"/>
  <c r="B1343"/>
  <c r="B1336"/>
  <c r="D1350"/>
  <c r="B1341"/>
  <c r="B1339" s="1"/>
  <c r="D1343"/>
  <c r="D1336"/>
  <c r="B1345"/>
  <c r="D1345"/>
  <c r="D1357"/>
  <c r="D1322"/>
  <c r="F1308"/>
  <c r="D1305"/>
  <c r="C1307" s="1"/>
  <c r="D1325"/>
  <c r="F1317"/>
  <c r="H1306"/>
  <c r="H1315"/>
  <c r="D1306"/>
  <c r="F1325"/>
  <c r="F1315"/>
  <c r="B1322"/>
  <c r="F1324"/>
  <c r="H1305"/>
  <c r="G1307" s="1"/>
  <c r="F1305"/>
  <c r="E1307" s="1"/>
  <c r="F1316"/>
  <c r="F1307"/>
  <c r="H1321"/>
  <c r="G1323" s="1"/>
  <c r="F1306"/>
  <c r="D1314"/>
  <c r="H1314"/>
  <c r="B1307"/>
  <c r="F1313"/>
  <c r="E1315" s="1"/>
  <c r="D1321"/>
  <c r="C1323" s="1"/>
  <c r="H1325"/>
  <c r="B1316"/>
  <c r="F1322"/>
  <c r="F1321"/>
  <c r="E1323" s="1"/>
  <c r="B1308"/>
  <c r="D1308"/>
  <c r="F1309"/>
  <c r="B1315"/>
  <c r="D1324"/>
  <c r="D1307"/>
  <c r="F1314"/>
  <c r="H1308"/>
  <c r="D1327"/>
  <c r="B1327" s="1"/>
  <c r="B1305"/>
  <c r="H1322"/>
  <c r="B1309"/>
  <c r="D1317"/>
  <c r="D1309"/>
  <c r="H1307"/>
  <c r="B1306"/>
  <c r="B1323"/>
  <c r="D1315"/>
  <c r="H1313"/>
  <c r="G1315" s="1"/>
  <c r="B1313"/>
  <c r="H1311" s="1"/>
  <c r="B1314"/>
  <c r="D1313"/>
  <c r="C1315" s="1"/>
  <c r="D1316"/>
  <c r="H1323"/>
  <c r="H1324"/>
  <c r="B1324"/>
  <c r="B1325"/>
  <c r="B1321"/>
  <c r="F1319" s="1"/>
  <c r="D1323"/>
  <c r="F1323"/>
  <c r="B1317"/>
  <c r="H1316"/>
  <c r="H1317"/>
  <c r="H1309"/>
  <c r="B1286"/>
  <c r="H1288"/>
  <c r="F1287"/>
  <c r="H1285"/>
  <c r="G1287" s="1"/>
  <c r="F1295"/>
  <c r="B1287"/>
  <c r="D1297"/>
  <c r="H1294"/>
  <c r="F1277"/>
  <c r="E1279" s="1"/>
  <c r="B1296"/>
  <c r="D1280"/>
  <c r="H1297"/>
  <c r="F1296"/>
  <c r="B1279"/>
  <c r="F1297"/>
  <c r="B1285"/>
  <c r="B1283" s="1"/>
  <c r="F1289"/>
  <c r="D1293"/>
  <c r="C1295" s="1"/>
  <c r="D1285"/>
  <c r="C1287" s="1"/>
  <c r="D1299"/>
  <c r="B1299" s="1"/>
  <c r="F1279"/>
  <c r="D1289"/>
  <c r="D1278"/>
  <c r="D1279"/>
  <c r="D1294"/>
  <c r="H1296"/>
  <c r="F1293"/>
  <c r="E1295" s="1"/>
  <c r="H1293"/>
  <c r="G1295" s="1"/>
  <c r="B1294"/>
  <c r="F1280"/>
  <c r="B1278"/>
  <c r="D1277"/>
  <c r="C1279" s="1"/>
  <c r="H1289"/>
  <c r="B1277"/>
  <c r="H1279"/>
  <c r="B1280"/>
  <c r="F1278"/>
  <c r="B1293"/>
  <c r="F1291" s="1"/>
  <c r="D1286"/>
  <c r="D1296"/>
  <c r="B1295"/>
  <c r="D1295"/>
  <c r="D1301"/>
  <c r="B1301" s="1"/>
  <c r="D1249"/>
  <c r="C1251" s="1"/>
  <c r="D1260"/>
  <c r="B1252"/>
  <c r="B1260"/>
  <c r="B1269"/>
  <c r="F1249"/>
  <c r="E1251" s="1"/>
  <c r="B1250"/>
  <c r="H1252"/>
  <c r="D1252"/>
  <c r="F1266"/>
  <c r="D1269"/>
  <c r="H1261"/>
  <c r="D1253"/>
  <c r="H1269"/>
  <c r="D1250"/>
  <c r="D1259"/>
  <c r="H1249"/>
  <c r="G1251" s="1"/>
  <c r="F1252"/>
  <c r="F1259"/>
  <c r="H1250"/>
  <c r="F1257"/>
  <c r="E1259" s="1"/>
  <c r="B1251"/>
  <c r="F1250"/>
  <c r="H1257"/>
  <c r="G1259" s="1"/>
  <c r="D1258"/>
  <c r="F1251"/>
  <c r="B1259"/>
  <c r="D1271"/>
  <c r="B1271" s="1"/>
  <c r="H1260"/>
  <c r="F1268"/>
  <c r="F1258"/>
  <c r="D1257"/>
  <c r="C1259" s="1"/>
  <c r="H1258"/>
  <c r="H1253"/>
  <c r="B1258"/>
  <c r="F1260"/>
  <c r="F1267"/>
  <c r="B1257"/>
  <c r="B1255" s="1"/>
  <c r="H1259"/>
  <c r="F1269"/>
  <c r="B1249"/>
  <c r="D1266"/>
  <c r="F1265"/>
  <c r="E1267" s="1"/>
  <c r="H1251"/>
  <c r="B1253"/>
  <c r="D1251"/>
  <c r="D1265"/>
  <c r="C1267" s="1"/>
  <c r="H1266"/>
  <c r="B1266"/>
  <c r="D1267"/>
  <c r="H1268"/>
  <c r="H1267"/>
  <c r="H1265"/>
  <c r="G1267" s="1"/>
  <c r="D1268"/>
  <c r="B1268"/>
  <c r="B1265"/>
  <c r="B1263" s="1"/>
  <c r="B1267"/>
  <c r="H1231"/>
  <c r="H1232"/>
  <c r="B1224"/>
  <c r="H1241"/>
  <c r="F1238"/>
  <c r="B1237"/>
  <c r="B1235" s="1"/>
  <c r="B1239"/>
  <c r="D1231"/>
  <c r="B1225"/>
  <c r="B1231"/>
  <c r="B1230"/>
  <c r="H1238"/>
  <c r="F1224"/>
  <c r="D1222"/>
  <c r="H1221"/>
  <c r="G1223" s="1"/>
  <c r="D1233"/>
  <c r="F1232"/>
  <c r="B1221"/>
  <c r="F1239"/>
  <c r="F1231"/>
  <c r="F1233"/>
  <c r="B1222"/>
  <c r="H1225"/>
  <c r="F1229"/>
  <c r="E1231" s="1"/>
  <c r="H1224"/>
  <c r="B1241"/>
  <c r="D1221"/>
  <c r="C1223" s="1"/>
  <c r="B1238"/>
  <c r="B1233"/>
  <c r="F1241"/>
  <c r="H1237"/>
  <c r="G1239" s="1"/>
  <c r="F1223"/>
  <c r="D1238"/>
  <c r="H1230"/>
  <c r="F1240"/>
  <c r="D1239"/>
  <c r="H1233"/>
  <c r="D1243"/>
  <c r="B1243" s="1"/>
  <c r="D1225"/>
  <c r="D1229"/>
  <c r="C1231" s="1"/>
  <c r="D1245"/>
  <c r="B1245" s="1"/>
  <c r="F1221"/>
  <c r="E1223" s="1"/>
  <c r="D1224"/>
  <c r="F1230"/>
  <c r="F1222"/>
  <c r="D1223"/>
  <c r="F1225"/>
  <c r="D1230"/>
  <c r="B1240"/>
  <c r="F1237"/>
  <c r="E1239" s="1"/>
  <c r="H1229"/>
  <c r="G1231" s="1"/>
  <c r="D1241"/>
  <c r="D1213"/>
  <c r="F1193"/>
  <c r="E1195" s="1"/>
  <c r="D1194"/>
  <c r="B1201"/>
  <c r="D1199" s="1"/>
  <c r="D1193"/>
  <c r="C1195" s="1"/>
  <c r="B1209"/>
  <c r="I1203" s="1"/>
  <c r="H1201"/>
  <c r="G1203" s="1"/>
  <c r="B1196"/>
  <c r="F1210"/>
  <c r="B1210"/>
  <c r="H1212"/>
  <c r="D1215"/>
  <c r="B1215" s="1"/>
  <c r="B1193"/>
  <c r="D1197"/>
  <c r="D1195"/>
  <c r="F1195"/>
  <c r="H1210"/>
  <c r="F1204"/>
  <c r="H1197"/>
  <c r="B1202"/>
  <c r="H1195"/>
  <c r="F1212"/>
  <c r="H1196"/>
  <c r="B1204"/>
  <c r="F1209"/>
  <c r="E1211" s="1"/>
  <c r="H1213"/>
  <c r="D1210"/>
  <c r="H1209"/>
  <c r="G1211" s="1"/>
  <c r="B1213"/>
  <c r="B1195"/>
  <c r="H1194"/>
  <c r="F1197"/>
  <c r="B1203"/>
  <c r="F1213"/>
  <c r="D1196"/>
  <c r="F1202"/>
  <c r="B1205"/>
  <c r="H1193"/>
  <c r="G1195" s="1"/>
  <c r="F1201"/>
  <c r="E1203" s="1"/>
  <c r="F1196"/>
  <c r="H1205"/>
  <c r="B1211"/>
  <c r="F1211"/>
  <c r="B1212"/>
  <c r="H1211"/>
  <c r="D1212"/>
  <c r="B1194"/>
  <c r="D1201"/>
  <c r="C1203" s="1"/>
  <c r="D1202"/>
  <c r="F1203"/>
  <c r="H1202"/>
  <c r="D1203"/>
  <c r="D1204"/>
  <c r="F1205"/>
  <c r="H1204"/>
  <c r="D1205"/>
  <c r="D1211"/>
  <c r="D1217"/>
  <c r="B1217" s="1"/>
  <c r="D1176"/>
  <c r="D1174"/>
  <c r="B1184"/>
  <c r="H1173"/>
  <c r="G1175" s="1"/>
  <c r="H1167"/>
  <c r="F1165"/>
  <c r="E1167" s="1"/>
  <c r="D1173"/>
  <c r="C1175" s="1"/>
  <c r="B1167"/>
  <c r="F1177"/>
  <c r="F1185"/>
  <c r="H1166"/>
  <c r="B1169"/>
  <c r="F1167"/>
  <c r="D1168"/>
  <c r="F1182"/>
  <c r="F1183"/>
  <c r="H1165"/>
  <c r="G1167" s="1"/>
  <c r="D1183"/>
  <c r="B1165"/>
  <c r="B1173"/>
  <c r="I1167" s="1"/>
  <c r="F1184"/>
  <c r="B1168"/>
  <c r="D1166"/>
  <c r="H1182"/>
  <c r="D1165"/>
  <c r="C1167" s="1"/>
  <c r="H1174"/>
  <c r="B1185"/>
  <c r="B1166"/>
  <c r="D1167"/>
  <c r="F1174"/>
  <c r="H1169"/>
  <c r="F1169"/>
  <c r="D1175"/>
  <c r="F1173"/>
  <c r="E1175" s="1"/>
  <c r="F1175"/>
  <c r="D1185"/>
  <c r="B1182"/>
  <c r="B1174"/>
  <c r="H1175"/>
  <c r="D1169"/>
  <c r="B1175"/>
  <c r="B1183"/>
  <c r="H1177"/>
  <c r="F1166"/>
  <c r="D1181"/>
  <c r="C1183" s="1"/>
  <c r="F1181"/>
  <c r="E1183" s="1"/>
  <c r="H1183"/>
  <c r="B1176"/>
  <c r="B1181"/>
  <c r="I1175" s="1"/>
  <c r="D1182"/>
  <c r="H1168"/>
  <c r="D1184"/>
  <c r="F1168"/>
  <c r="H1181"/>
  <c r="G1183" s="1"/>
  <c r="H1176"/>
  <c r="B1177"/>
  <c r="D1177"/>
  <c r="F1176"/>
  <c r="H1185"/>
  <c r="D1187"/>
  <c r="B1187" s="1"/>
  <c r="B1145"/>
  <c r="F1143" s="1"/>
  <c r="D1139"/>
  <c r="F1140"/>
  <c r="F1148"/>
  <c r="H1153"/>
  <c r="G1155" s="1"/>
  <c r="B1139"/>
  <c r="B1149"/>
  <c r="B1146"/>
  <c r="D1140"/>
  <c r="D1157"/>
  <c r="H1140"/>
  <c r="B1148"/>
  <c r="D1145"/>
  <c r="C1147" s="1"/>
  <c r="D1153"/>
  <c r="C1155" s="1"/>
  <c r="F1156"/>
  <c r="H1137"/>
  <c r="G1139" s="1"/>
  <c r="H1145"/>
  <c r="G1147" s="1"/>
  <c r="B1155"/>
  <c r="D1147"/>
  <c r="F1154"/>
  <c r="F1155"/>
  <c r="H1155"/>
  <c r="H1156"/>
  <c r="B1157"/>
  <c r="B1137"/>
  <c r="B1147"/>
  <c r="D1154"/>
  <c r="H1148"/>
  <c r="H1149"/>
  <c r="B1153"/>
  <c r="D1151" s="1"/>
  <c r="B1154"/>
  <c r="D1149"/>
  <c r="D1156"/>
  <c r="D1159"/>
  <c r="B1159" s="1"/>
  <c r="F1227"/>
  <c r="D1227"/>
  <c r="H1227"/>
  <c r="B1227"/>
  <c r="I1223"/>
  <c r="H1109"/>
  <c r="H1123"/>
  <c r="G1125" s="1"/>
  <c r="B1118"/>
  <c r="F1115"/>
  <c r="E1117" s="1"/>
  <c r="H1116"/>
  <c r="B1117"/>
  <c r="B1107"/>
  <c r="H1117"/>
  <c r="H1126"/>
  <c r="F1124"/>
  <c r="D1127"/>
  <c r="B1123"/>
  <c r="F1121" s="1"/>
  <c r="H1108"/>
  <c r="H1127"/>
  <c r="D1110"/>
  <c r="F1111"/>
  <c r="B1125"/>
  <c r="F1118"/>
  <c r="D1115"/>
  <c r="C1117" s="1"/>
  <c r="H1119"/>
  <c r="F1109"/>
  <c r="D1131"/>
  <c r="B1131" s="1"/>
  <c r="B1110"/>
  <c r="B1119"/>
  <c r="F1126"/>
  <c r="F1123"/>
  <c r="E1125" s="1"/>
  <c r="F1110"/>
  <c r="B1115"/>
  <c r="D1113" s="1"/>
  <c r="H1115"/>
  <c r="G1117" s="1"/>
  <c r="D1125"/>
  <c r="D1109"/>
  <c r="D1124"/>
  <c r="B1108"/>
  <c r="B1124"/>
  <c r="F1117"/>
  <c r="H1111"/>
  <c r="B1109"/>
  <c r="D1118"/>
  <c r="D1126"/>
  <c r="D1108"/>
  <c r="F1108"/>
  <c r="H1110"/>
  <c r="F1127"/>
  <c r="B1116"/>
  <c r="D1116"/>
  <c r="H1107"/>
  <c r="G1109" s="1"/>
  <c r="D1117"/>
  <c r="F1119"/>
  <c r="B1126"/>
  <c r="F1125"/>
  <c r="D1107"/>
  <c r="C1109" s="1"/>
  <c r="B1127"/>
  <c r="D1123"/>
  <c r="C1125" s="1"/>
  <c r="F1116"/>
  <c r="D1111"/>
  <c r="D1129"/>
  <c r="B1129" s="1"/>
  <c r="D1119"/>
  <c r="H1081"/>
  <c r="B1096"/>
  <c r="F1090"/>
  <c r="H1082"/>
  <c r="D1089"/>
  <c r="H1095"/>
  <c r="G1097" s="1"/>
  <c r="H1088"/>
  <c r="B1099"/>
  <c r="F1079"/>
  <c r="E1081" s="1"/>
  <c r="D1080"/>
  <c r="H1096"/>
  <c r="B1098"/>
  <c r="B1080"/>
  <c r="F1091"/>
  <c r="D1090"/>
  <c r="B1097"/>
  <c r="H1089"/>
  <c r="F1080"/>
  <c r="D1098"/>
  <c r="B1089"/>
  <c r="F1099"/>
  <c r="H1098"/>
  <c r="B1090"/>
  <c r="H1099"/>
  <c r="D1091"/>
  <c r="D1082"/>
  <c r="D1097"/>
  <c r="F1082"/>
  <c r="F1097"/>
  <c r="H1080"/>
  <c r="B1082"/>
  <c r="H1097"/>
  <c r="H1091"/>
  <c r="F1098"/>
  <c r="B1091"/>
  <c r="D1062"/>
  <c r="B1071"/>
  <c r="H1060"/>
  <c r="H1052"/>
  <c r="F1062"/>
  <c r="F1055"/>
  <c r="B1051"/>
  <c r="H1069"/>
  <c r="H1059"/>
  <c r="G1061" s="1"/>
  <c r="F1070"/>
  <c r="D1060"/>
  <c r="B1061"/>
  <c r="D1053"/>
  <c r="H1071"/>
  <c r="D1070"/>
  <c r="F1069"/>
  <c r="H1055"/>
  <c r="F1054"/>
  <c r="H1061"/>
  <c r="B1060"/>
  <c r="F1052"/>
  <c r="B1055"/>
  <c r="H1051"/>
  <c r="G1053" s="1"/>
  <c r="D1055"/>
  <c r="F1059"/>
  <c r="E1061" s="1"/>
  <c r="D1067"/>
  <c r="C1069" s="1"/>
  <c r="D1054"/>
  <c r="F1051"/>
  <c r="E1053" s="1"/>
  <c r="D1059"/>
  <c r="C1061" s="1"/>
  <c r="B1054"/>
  <c r="B1052"/>
  <c r="D1063"/>
  <c r="B1067"/>
  <c r="H1065" s="1"/>
  <c r="D1051"/>
  <c r="C1053" s="1"/>
  <c r="F1068"/>
  <c r="H1067"/>
  <c r="G1069" s="1"/>
  <c r="F1060"/>
  <c r="D1073"/>
  <c r="B1073" s="1"/>
  <c r="B1068"/>
  <c r="F1071"/>
  <c r="H1053"/>
  <c r="H1054"/>
  <c r="B1042"/>
  <c r="B1041"/>
  <c r="F1023"/>
  <c r="E1025" s="1"/>
  <c r="F1032"/>
  <c r="B1035"/>
  <c r="F1031"/>
  <c r="E1033" s="1"/>
  <c r="B1033"/>
  <c r="D1040"/>
  <c r="F1025"/>
  <c r="H1026"/>
  <c r="H1040"/>
  <c r="D1045"/>
  <c r="B1045" s="1"/>
  <c r="F1033"/>
  <c r="D1034"/>
  <c r="H1025"/>
  <c r="D1027"/>
  <c r="F1042"/>
  <c r="H1032"/>
  <c r="F1024"/>
  <c r="H1023"/>
  <c r="G1025" s="1"/>
  <c r="B1027"/>
  <c r="H1024"/>
  <c r="B1031"/>
  <c r="H1033"/>
  <c r="D1024"/>
  <c r="H1035"/>
  <c r="B1039"/>
  <c r="H1041"/>
  <c r="D1026"/>
  <c r="D1023"/>
  <c r="C1025" s="1"/>
  <c r="H1043"/>
  <c r="D1035"/>
  <c r="F1035"/>
  <c r="D1031"/>
  <c r="C1033" s="1"/>
  <c r="B1024"/>
  <c r="F1043"/>
  <c r="H1034"/>
  <c r="F1027"/>
  <c r="H1027"/>
  <c r="B1034"/>
  <c r="D1032"/>
  <c r="F1034"/>
  <c r="D1042"/>
  <c r="F1026"/>
  <c r="H1042"/>
  <c r="H1039"/>
  <c r="G1041" s="1"/>
  <c r="F1040"/>
  <c r="F1041"/>
  <c r="B1026"/>
  <c r="B1025"/>
  <c r="F1039"/>
  <c r="E1041" s="1"/>
  <c r="D1033"/>
  <c r="D1025"/>
  <c r="D1043"/>
  <c r="B1043"/>
  <c r="B1032"/>
  <c r="H1031"/>
  <c r="G1033" s="1"/>
  <c r="B1023"/>
  <c r="B1040"/>
  <c r="D1041"/>
  <c r="D1047"/>
  <c r="B1047" s="1"/>
  <c r="B1006"/>
  <c r="F1012"/>
  <c r="D1004"/>
  <c r="D999"/>
  <c r="B1003"/>
  <c r="B1001" s="1"/>
  <c r="B1005"/>
  <c r="F1007"/>
  <c r="D1003"/>
  <c r="C1005" s="1"/>
  <c r="D1013"/>
  <c r="H997"/>
  <c r="F1004"/>
  <c r="B1011"/>
  <c r="I1005" s="1"/>
  <c r="D997"/>
  <c r="D995"/>
  <c r="C997" s="1"/>
  <c r="F996"/>
  <c r="D1005"/>
  <c r="F999"/>
  <c r="H1012"/>
  <c r="B1015"/>
  <c r="H996"/>
  <c r="B996"/>
  <c r="B1007"/>
  <c r="H1014"/>
  <c r="D996"/>
  <c r="B999"/>
  <c r="B998"/>
  <c r="F1005"/>
  <c r="D1015"/>
  <c r="B1012"/>
  <c r="F998"/>
  <c r="H1013"/>
  <c r="H995"/>
  <c r="G997" s="1"/>
  <c r="F995"/>
  <c r="E997" s="1"/>
  <c r="H999"/>
  <c r="D998"/>
  <c r="B1014"/>
  <c r="H1006"/>
  <c r="B1013"/>
  <c r="F1011"/>
  <c r="E1013" s="1"/>
  <c r="H1015"/>
  <c r="H1007"/>
  <c r="F997"/>
  <c r="H1004"/>
  <c r="D1012"/>
  <c r="B1004"/>
  <c r="B997"/>
  <c r="D1007"/>
  <c r="H1011"/>
  <c r="G1013" s="1"/>
  <c r="D1017"/>
  <c r="B1017" s="1"/>
  <c r="D1011"/>
  <c r="C1013" s="1"/>
  <c r="D1006"/>
  <c r="F1014"/>
  <c r="B995"/>
  <c r="F1006"/>
  <c r="H1005"/>
  <c r="F1015"/>
  <c r="F1013"/>
  <c r="F1003"/>
  <c r="E1005" s="1"/>
  <c r="D1014"/>
  <c r="H998"/>
  <c r="H1003"/>
  <c r="G1005" s="1"/>
  <c r="D969"/>
  <c r="D979"/>
  <c r="B978"/>
  <c r="F978"/>
  <c r="B970"/>
  <c r="D989"/>
  <c r="B989" s="1"/>
  <c r="H978"/>
  <c r="H983"/>
  <c r="G985" s="1"/>
  <c r="F985"/>
  <c r="D978"/>
  <c r="H969"/>
  <c r="B975"/>
  <c r="B973" s="1"/>
  <c r="H971"/>
  <c r="F967"/>
  <c r="E969" s="1"/>
  <c r="F975"/>
  <c r="E977" s="1"/>
  <c r="D991"/>
  <c r="B991" s="1"/>
  <c r="H984"/>
  <c r="F969"/>
  <c r="B984"/>
  <c r="F979"/>
  <c r="H979"/>
  <c r="D983"/>
  <c r="C985" s="1"/>
  <c r="B967"/>
  <c r="D976"/>
  <c r="D987"/>
  <c r="H976"/>
  <c r="B983"/>
  <c r="I977" s="1"/>
  <c r="D986"/>
  <c r="F986"/>
  <c r="B987"/>
  <c r="F970"/>
  <c r="H975"/>
  <c r="G977" s="1"/>
  <c r="B986"/>
  <c r="F984"/>
  <c r="H986"/>
  <c r="D967"/>
  <c r="C969" s="1"/>
  <c r="B976"/>
  <c r="H985"/>
  <c r="F971"/>
  <c r="F968"/>
  <c r="F983"/>
  <c r="E985" s="1"/>
  <c r="B969"/>
  <c r="H968"/>
  <c r="F987"/>
  <c r="D977"/>
  <c r="D968"/>
  <c r="B977"/>
  <c r="H977"/>
  <c r="D971"/>
  <c r="D985"/>
  <c r="F977"/>
  <c r="H970"/>
  <c r="B971"/>
  <c r="B985"/>
  <c r="F948"/>
  <c r="H943"/>
  <c r="F959"/>
  <c r="B940"/>
  <c r="D959"/>
  <c r="H949"/>
  <c r="B958"/>
  <c r="D943"/>
  <c r="B951"/>
  <c r="F950"/>
  <c r="H950"/>
  <c r="D955"/>
  <c r="C957" s="1"/>
  <c r="D958"/>
  <c r="B947"/>
  <c r="I941" s="1"/>
  <c r="H951"/>
  <c r="H941"/>
  <c r="D963"/>
  <c r="B963" s="1"/>
  <c r="H939"/>
  <c r="G941" s="1"/>
  <c r="F939"/>
  <c r="E941" s="1"/>
  <c r="H940"/>
  <c r="H959"/>
  <c r="B959"/>
  <c r="B943"/>
  <c r="D942"/>
  <c r="F956"/>
  <c r="F947"/>
  <c r="E949" s="1"/>
  <c r="D949"/>
  <c r="H957"/>
  <c r="D950"/>
  <c r="F951"/>
  <c r="B941"/>
  <c r="H956"/>
  <c r="D940"/>
  <c r="F955"/>
  <c r="E957" s="1"/>
  <c r="F941"/>
  <c r="B949"/>
  <c r="H947"/>
  <c r="G949" s="1"/>
  <c r="B948"/>
  <c r="B956"/>
  <c r="H948"/>
  <c r="D957"/>
  <c r="H942"/>
  <c r="D939"/>
  <c r="C941" s="1"/>
  <c r="D948"/>
  <c r="B950"/>
  <c r="D947"/>
  <c r="C949" s="1"/>
  <c r="H958"/>
  <c r="F940"/>
  <c r="F958"/>
  <c r="B955"/>
  <c r="H953" s="1"/>
  <c r="D941"/>
  <c r="D956"/>
  <c r="B942"/>
  <c r="F942"/>
  <c r="D951"/>
  <c r="B939"/>
  <c r="F943"/>
  <c r="F957"/>
  <c r="D961"/>
  <c r="B961" s="1"/>
  <c r="D922"/>
  <c r="F928"/>
  <c r="H913"/>
  <c r="H931"/>
  <c r="F931"/>
  <c r="H921"/>
  <c r="B921"/>
  <c r="D929"/>
  <c r="D928"/>
  <c r="F927"/>
  <c r="E929" s="1"/>
  <c r="B928"/>
  <c r="B914"/>
  <c r="D914"/>
  <c r="F912"/>
  <c r="F921"/>
  <c r="B929"/>
  <c r="D921"/>
  <c r="B912"/>
  <c r="H928"/>
  <c r="B930"/>
  <c r="F930"/>
  <c r="B922"/>
  <c r="F915"/>
  <c r="B923"/>
  <c r="H923"/>
  <c r="H920"/>
  <c r="D915"/>
  <c r="H929"/>
  <c r="H927"/>
  <c r="G929" s="1"/>
  <c r="D930"/>
  <c r="H915"/>
  <c r="B913"/>
  <c r="H922"/>
  <c r="H911"/>
  <c r="G913" s="1"/>
  <c r="D923"/>
  <c r="D933"/>
  <c r="B933" s="1"/>
  <c r="B920"/>
  <c r="D935"/>
  <c r="B935" s="1"/>
  <c r="D927"/>
  <c r="C929" s="1"/>
  <c r="F929"/>
  <c r="B911"/>
  <c r="B931"/>
  <c r="F913"/>
  <c r="H914"/>
  <c r="H930"/>
  <c r="F911"/>
  <c r="E913" s="1"/>
  <c r="B927"/>
  <c r="H925" s="1"/>
  <c r="F923"/>
  <c r="D931"/>
  <c r="D912"/>
  <c r="D919"/>
  <c r="C921" s="1"/>
  <c r="F920"/>
  <c r="D911"/>
  <c r="C913" s="1"/>
  <c r="B919"/>
  <c r="F917" s="1"/>
  <c r="B915"/>
  <c r="D913"/>
  <c r="F922"/>
  <c r="D920"/>
  <c r="H912"/>
  <c r="F919"/>
  <c r="E921" s="1"/>
  <c r="F914"/>
  <c r="B902"/>
  <c r="H901"/>
  <c r="F885"/>
  <c r="D885"/>
  <c r="H902"/>
  <c r="B894"/>
  <c r="B899"/>
  <c r="I893" s="1"/>
  <c r="F887"/>
  <c r="D900"/>
  <c r="D902"/>
  <c r="F901"/>
  <c r="B901"/>
  <c r="H894"/>
  <c r="H903"/>
  <c r="F893"/>
  <c r="D894"/>
  <c r="D883"/>
  <c r="C885" s="1"/>
  <c r="H885"/>
  <c r="H899"/>
  <c r="G901" s="1"/>
  <c r="B892"/>
  <c r="B903"/>
  <c r="B900"/>
  <c r="D891"/>
  <c r="C893" s="1"/>
  <c r="F902"/>
  <c r="F891"/>
  <c r="E893" s="1"/>
  <c r="F899"/>
  <c r="E901" s="1"/>
  <c r="D899"/>
  <c r="C901" s="1"/>
  <c r="B883"/>
  <c r="D887"/>
  <c r="D905"/>
  <c r="B905" s="1"/>
  <c r="H884"/>
  <c r="F900"/>
  <c r="B887"/>
  <c r="H886"/>
  <c r="D886"/>
  <c r="F903"/>
  <c r="D895"/>
  <c r="B884"/>
  <c r="B891"/>
  <c r="I885" s="1"/>
  <c r="B895"/>
  <c r="B886"/>
  <c r="D892"/>
  <c r="D884"/>
  <c r="B885"/>
  <c r="H895"/>
  <c r="F883"/>
  <c r="E885" s="1"/>
  <c r="D903"/>
  <c r="B893"/>
  <c r="H883"/>
  <c r="G885" s="1"/>
  <c r="H892"/>
  <c r="D901"/>
  <c r="F892"/>
  <c r="F884"/>
  <c r="H900"/>
  <c r="D907"/>
  <c r="B907" s="1"/>
  <c r="H893"/>
  <c r="H887"/>
  <c r="F895"/>
  <c r="F886"/>
  <c r="F894"/>
  <c r="D893"/>
  <c r="F867"/>
  <c r="D877"/>
  <c r="B877" s="1"/>
  <c r="D879"/>
  <c r="B879" s="1"/>
  <c r="H858"/>
  <c r="F1001"/>
  <c r="B874"/>
  <c r="B872"/>
  <c r="B875"/>
  <c r="H864"/>
  <c r="F866"/>
  <c r="F857"/>
  <c r="D865"/>
  <c r="F871"/>
  <c r="E873" s="1"/>
  <c r="D859"/>
  <c r="D871"/>
  <c r="C873" s="1"/>
  <c r="B871"/>
  <c r="F869" s="1"/>
  <c r="H857"/>
  <c r="F855"/>
  <c r="E857" s="1"/>
  <c r="H866"/>
  <c r="D866"/>
  <c r="B866"/>
  <c r="H855"/>
  <c r="G857" s="1"/>
  <c r="F864"/>
  <c r="F856"/>
  <c r="B857"/>
  <c r="H872"/>
  <c r="B863"/>
  <c r="B861" s="1"/>
  <c r="H856"/>
  <c r="D855"/>
  <c r="C857" s="1"/>
  <c r="D864"/>
  <c r="B864"/>
  <c r="F875"/>
  <c r="D875"/>
  <c r="H874"/>
  <c r="H859"/>
  <c r="H867"/>
  <c r="H863"/>
  <c r="G865" s="1"/>
  <c r="F872"/>
  <c r="F859"/>
  <c r="F865"/>
  <c r="F858"/>
  <c r="H871"/>
  <c r="G873" s="1"/>
  <c r="F874"/>
  <c r="F863"/>
  <c r="E865" s="1"/>
  <c r="F873"/>
  <c r="D872"/>
  <c r="B873"/>
  <c r="B856"/>
  <c r="D867"/>
  <c r="B859"/>
  <c r="D863"/>
  <c r="C865" s="1"/>
  <c r="D856"/>
  <c r="B865"/>
  <c r="D857"/>
  <c r="B858"/>
  <c r="H875"/>
  <c r="D874"/>
  <c r="B855"/>
  <c r="H865"/>
  <c r="H873"/>
  <c r="D873"/>
  <c r="D858"/>
  <c r="B867"/>
  <c r="B1057"/>
  <c r="D1057"/>
  <c r="B1065"/>
  <c r="F1057"/>
  <c r="H1057"/>
  <c r="F1093"/>
  <c r="B1093"/>
  <c r="D1093"/>
  <c r="F1085"/>
  <c r="H1121"/>
  <c r="H1085"/>
  <c r="B1085"/>
  <c r="H1093"/>
  <c r="I1081"/>
  <c r="H833"/>
  <c r="G835" s="1"/>
  <c r="B827"/>
  <c r="B844"/>
  <c r="B843"/>
  <c r="F845"/>
  <c r="D842"/>
  <c r="F834"/>
  <c r="D827"/>
  <c r="H845"/>
  <c r="H835"/>
  <c r="H844"/>
  <c r="F827"/>
  <c r="D826"/>
  <c r="F843"/>
  <c r="B833"/>
  <c r="B845"/>
  <c r="B842"/>
  <c r="H842"/>
  <c r="F835"/>
  <c r="F842"/>
  <c r="D834"/>
  <c r="H834"/>
  <c r="H843"/>
  <c r="H827"/>
  <c r="D835"/>
  <c r="F841"/>
  <c r="E843" s="1"/>
  <c r="H828"/>
  <c r="D849"/>
  <c r="B849" s="1"/>
  <c r="D829"/>
  <c r="D833"/>
  <c r="C835" s="1"/>
  <c r="D845"/>
  <c r="D837"/>
  <c r="H829"/>
  <c r="H826"/>
  <c r="H836"/>
  <c r="H825"/>
  <c r="G827" s="1"/>
  <c r="F828"/>
  <c r="D843"/>
  <c r="B825"/>
  <c r="D828"/>
  <c r="F836"/>
  <c r="F837"/>
  <c r="D844"/>
  <c r="H841"/>
  <c r="G843" s="1"/>
  <c r="D825"/>
  <c r="C827" s="1"/>
  <c r="F829"/>
  <c r="D847"/>
  <c r="B847" s="1"/>
  <c r="F826"/>
  <c r="B828"/>
  <c r="B841"/>
  <c r="B837"/>
  <c r="B826"/>
  <c r="B829"/>
  <c r="F817"/>
  <c r="H805"/>
  <c r="G807" s="1"/>
  <c r="B798"/>
  <c r="D814"/>
  <c r="B797"/>
  <c r="D799"/>
  <c r="F801"/>
  <c r="F809"/>
  <c r="H800"/>
  <c r="H807"/>
  <c r="B813"/>
  <c r="F811" s="1"/>
  <c r="D808"/>
  <c r="H813"/>
  <c r="G815" s="1"/>
  <c r="H817"/>
  <c r="B800"/>
  <c r="H799"/>
  <c r="B817"/>
  <c r="F807"/>
  <c r="D809"/>
  <c r="B801"/>
  <c r="D813"/>
  <c r="C815" s="1"/>
  <c r="H816"/>
  <c r="F800"/>
  <c r="F814"/>
  <c r="F797"/>
  <c r="E799" s="1"/>
  <c r="H808"/>
  <c r="D798"/>
  <c r="F799"/>
  <c r="B806"/>
  <c r="H814"/>
  <c r="F808"/>
  <c r="B814"/>
  <c r="H806"/>
  <c r="D797"/>
  <c r="C799" s="1"/>
  <c r="H815"/>
  <c r="D815"/>
  <c r="H801"/>
  <c r="D805"/>
  <c r="C807" s="1"/>
  <c r="D819"/>
  <c r="B819" s="1"/>
  <c r="B799"/>
  <c r="F816"/>
  <c r="B805"/>
  <c r="I799" s="1"/>
  <c r="D817"/>
  <c r="B809"/>
  <c r="F806"/>
  <c r="D800"/>
  <c r="F813"/>
  <c r="E815" s="1"/>
  <c r="F815"/>
  <c r="H809"/>
  <c r="D801"/>
  <c r="B816"/>
  <c r="D816"/>
  <c r="B807"/>
  <c r="D807"/>
  <c r="B808"/>
  <c r="H798"/>
  <c r="D806"/>
  <c r="B815"/>
  <c r="F798"/>
  <c r="D780"/>
  <c r="F789"/>
  <c r="F777"/>
  <c r="E779" s="1"/>
  <c r="B785"/>
  <c r="D783" s="1"/>
  <c r="B777"/>
  <c r="F775" s="1"/>
  <c r="B789"/>
  <c r="D769"/>
  <c r="C771" s="1"/>
  <c r="B786"/>
  <c r="F780"/>
  <c r="F771"/>
  <c r="F785"/>
  <c r="E787" s="1"/>
  <c r="H772"/>
  <c r="D787"/>
  <c r="H771"/>
  <c r="D772"/>
  <c r="D788"/>
  <c r="D791"/>
  <c r="B791" s="1"/>
  <c r="F781"/>
  <c r="B781"/>
  <c r="D789"/>
  <c r="F788"/>
  <c r="D773"/>
  <c r="D778"/>
  <c r="D779"/>
  <c r="B780"/>
  <c r="H778"/>
  <c r="H786"/>
  <c r="F770"/>
  <c r="D785"/>
  <c r="C787" s="1"/>
  <c r="H785"/>
  <c r="G787" s="1"/>
  <c r="B778"/>
  <c r="H787"/>
  <c r="H788"/>
  <c r="H779"/>
  <c r="B770"/>
  <c r="H773"/>
  <c r="H789"/>
  <c r="H777"/>
  <c r="G779" s="1"/>
  <c r="F773"/>
  <c r="H769"/>
  <c r="G771" s="1"/>
  <c r="F778"/>
  <c r="D771"/>
  <c r="B787"/>
  <c r="D777"/>
  <c r="C779" s="1"/>
  <c r="F769"/>
  <c r="E771" s="1"/>
  <c r="H770"/>
  <c r="H744"/>
  <c r="D745"/>
  <c r="D761"/>
  <c r="D763"/>
  <c r="B763" s="1"/>
  <c r="H758"/>
  <c r="B744"/>
  <c r="H751"/>
  <c r="D743"/>
  <c r="B758"/>
  <c r="B751"/>
  <c r="D741"/>
  <c r="C743" s="1"/>
  <c r="D760"/>
  <c r="B743"/>
  <c r="H750"/>
  <c r="D751"/>
  <c r="B753"/>
  <c r="H743"/>
  <c r="F761"/>
  <c r="B745"/>
  <c r="F749"/>
  <c r="E751" s="1"/>
  <c r="B761"/>
  <c r="B759"/>
  <c r="D752"/>
  <c r="B750"/>
  <c r="D749"/>
  <c r="C751" s="1"/>
  <c r="H760"/>
  <c r="F741"/>
  <c r="E743" s="1"/>
  <c r="D744"/>
  <c r="D758"/>
  <c r="F751"/>
  <c r="H749"/>
  <c r="G751" s="1"/>
  <c r="D742"/>
  <c r="D765"/>
  <c r="B765" s="1"/>
  <c r="H752"/>
  <c r="F744"/>
  <c r="H742"/>
  <c r="F759"/>
  <c r="F752"/>
  <c r="D750"/>
  <c r="D757"/>
  <c r="C759" s="1"/>
  <c r="H741"/>
  <c r="G743" s="1"/>
  <c r="F760"/>
  <c r="B749"/>
  <c r="D747" s="1"/>
  <c r="B760"/>
  <c r="H745"/>
  <c r="D759"/>
  <c r="H753"/>
  <c r="D713"/>
  <c r="C715" s="1"/>
  <c r="D729"/>
  <c r="C731" s="1"/>
  <c r="H729"/>
  <c r="G731" s="1"/>
  <c r="F715"/>
  <c r="D714"/>
  <c r="F716"/>
  <c r="D722"/>
  <c r="B730"/>
  <c r="B715"/>
  <c r="D717"/>
  <c r="B716"/>
  <c r="H725"/>
  <c r="B717"/>
  <c r="B729"/>
  <c r="I723" s="1"/>
  <c r="B724"/>
  <c r="F725"/>
  <c r="B723"/>
  <c r="D715"/>
  <c r="D721"/>
  <c r="C723" s="1"/>
  <c r="B713"/>
  <c r="D731"/>
  <c r="F733"/>
  <c r="H713"/>
  <c r="G715" s="1"/>
  <c r="H722"/>
  <c r="F723"/>
  <c r="F721"/>
  <c r="E723" s="1"/>
  <c r="B725"/>
  <c r="F724"/>
  <c r="H715"/>
  <c r="B721"/>
  <c r="H719" s="1"/>
  <c r="D732"/>
  <c r="H716"/>
  <c r="H721"/>
  <c r="G723" s="1"/>
  <c r="D725"/>
  <c r="F732"/>
  <c r="H723"/>
  <c r="H724"/>
  <c r="F731"/>
  <c r="D723"/>
  <c r="F717"/>
  <c r="D730"/>
  <c r="H714"/>
  <c r="B732"/>
  <c r="H717"/>
  <c r="F714"/>
  <c r="D737"/>
  <c r="B737" s="1"/>
  <c r="F703"/>
  <c r="H685"/>
  <c r="G687" s="1"/>
  <c r="F694"/>
  <c r="F704"/>
  <c r="F688"/>
  <c r="F701"/>
  <c r="E703" s="1"/>
  <c r="D685"/>
  <c r="C687" s="1"/>
  <c r="D688"/>
  <c r="H686"/>
  <c r="H703"/>
  <c r="F696"/>
  <c r="B685"/>
  <c r="D697"/>
  <c r="H696"/>
  <c r="F693"/>
  <c r="E695" s="1"/>
  <c r="D707"/>
  <c r="B707" s="1"/>
  <c r="D704"/>
  <c r="D696"/>
  <c r="H701"/>
  <c r="G703" s="1"/>
  <c r="B694"/>
  <c r="H697"/>
  <c r="F689"/>
  <c r="F685"/>
  <c r="E687" s="1"/>
  <c r="F686"/>
  <c r="B687"/>
  <c r="B695"/>
  <c r="F687"/>
  <c r="H705"/>
  <c r="D687"/>
  <c r="D686"/>
  <c r="H687"/>
  <c r="B688"/>
  <c r="F695"/>
  <c r="H695"/>
  <c r="D705"/>
  <c r="D701"/>
  <c r="C703" s="1"/>
  <c r="H704"/>
  <c r="B703"/>
  <c r="H689"/>
  <c r="H693"/>
  <c r="G695" s="1"/>
  <c r="D693"/>
  <c r="C695" s="1"/>
  <c r="H694"/>
  <c r="F702"/>
  <c r="B701"/>
  <c r="F699" s="1"/>
  <c r="B697"/>
  <c r="B696"/>
  <c r="B686"/>
  <c r="D694"/>
  <c r="F697"/>
  <c r="D703"/>
  <c r="F705"/>
  <c r="D702"/>
  <c r="F659"/>
  <c r="H661"/>
  <c r="D669"/>
  <c r="F660"/>
  <c r="B668"/>
  <c r="H658"/>
  <c r="H669"/>
  <c r="F668"/>
  <c r="D674"/>
  <c r="H673"/>
  <c r="G675" s="1"/>
  <c r="H657"/>
  <c r="G659" s="1"/>
  <c r="F677"/>
  <c r="H675"/>
  <c r="F666"/>
  <c r="F669"/>
  <c r="F667"/>
  <c r="F673"/>
  <c r="E675" s="1"/>
  <c r="D667"/>
  <c r="F675"/>
  <c r="D673"/>
  <c r="C675" s="1"/>
  <c r="B667"/>
  <c r="B675"/>
  <c r="F674"/>
  <c r="B659"/>
  <c r="D668"/>
  <c r="B665"/>
  <c r="H663" s="1"/>
  <c r="H659"/>
  <c r="H666"/>
  <c r="F657"/>
  <c r="E659" s="1"/>
  <c r="B669"/>
  <c r="F665"/>
  <c r="E667" s="1"/>
  <c r="D661"/>
  <c r="B660"/>
  <c r="B676"/>
  <c r="H674"/>
  <c r="B673"/>
  <c r="I667" s="1"/>
  <c r="D681"/>
  <c r="B681" s="1"/>
  <c r="D660"/>
  <c r="D657"/>
  <c r="C659" s="1"/>
  <c r="H667"/>
  <c r="D665"/>
  <c r="C667" s="1"/>
  <c r="H677"/>
  <c r="D648"/>
  <c r="F648"/>
  <c r="B649"/>
  <c r="H629"/>
  <c r="G631" s="1"/>
  <c r="D653"/>
  <c r="B653" s="1"/>
  <c r="H630"/>
  <c r="B629"/>
  <c r="B645"/>
  <c r="I639" s="1"/>
  <c r="B647"/>
  <c r="H639"/>
  <c r="B639"/>
  <c r="F629"/>
  <c r="E631" s="1"/>
  <c r="F632"/>
  <c r="B633"/>
  <c r="F647"/>
  <c r="F637"/>
  <c r="E639" s="1"/>
  <c r="F641"/>
  <c r="H649"/>
  <c r="D632"/>
  <c r="B631"/>
  <c r="F630"/>
  <c r="D646"/>
  <c r="D640"/>
  <c r="B646"/>
  <c r="D651"/>
  <c r="B651" s="1"/>
  <c r="H648"/>
  <c r="B630"/>
  <c r="F640"/>
  <c r="F638"/>
  <c r="H646"/>
  <c r="B637"/>
  <c r="I631" s="1"/>
  <c r="H647"/>
  <c r="F631"/>
  <c r="D637"/>
  <c r="C639" s="1"/>
  <c r="H645"/>
  <c r="G647" s="1"/>
  <c r="B632"/>
  <c r="B648"/>
  <c r="D645"/>
  <c r="C647" s="1"/>
  <c r="D641"/>
  <c r="D630"/>
  <c r="D631"/>
  <c r="D649"/>
  <c r="H638"/>
  <c r="D639"/>
  <c r="H637"/>
  <c r="G639" s="1"/>
  <c r="D647"/>
  <c r="F646"/>
  <c r="D629"/>
  <c r="C631" s="1"/>
  <c r="H631"/>
  <c r="H640"/>
  <c r="H632"/>
  <c r="B638"/>
  <c r="F639"/>
  <c r="H641"/>
  <c r="D633"/>
  <c r="H633"/>
  <c r="F633"/>
  <c r="F645"/>
  <c r="E647" s="1"/>
  <c r="F612"/>
  <c r="B618"/>
  <c r="H602"/>
  <c r="H612"/>
  <c r="F617"/>
  <c r="E619" s="1"/>
  <c r="H604"/>
  <c r="B610"/>
  <c r="B620"/>
  <c r="H611"/>
  <c r="D602"/>
  <c r="H605"/>
  <c r="F609"/>
  <c r="E611" s="1"/>
  <c r="B613"/>
  <c r="D623"/>
  <c r="B623" s="1"/>
  <c r="B612"/>
  <c r="B617"/>
  <c r="F615" s="1"/>
  <c r="F613"/>
  <c r="D617"/>
  <c r="C619" s="1"/>
  <c r="H617"/>
  <c r="G619" s="1"/>
  <c r="D604"/>
  <c r="H601"/>
  <c r="G603" s="1"/>
  <c r="D621"/>
  <c r="B603"/>
  <c r="D613"/>
  <c r="B621"/>
  <c r="F605"/>
  <c r="H621"/>
  <c r="F619"/>
  <c r="D612"/>
  <c r="H613"/>
  <c r="D620"/>
  <c r="F610"/>
  <c r="D618"/>
  <c r="F611"/>
  <c r="D619"/>
  <c r="D610"/>
  <c r="F621"/>
  <c r="H618"/>
  <c r="F620"/>
  <c r="D611"/>
  <c r="F618"/>
  <c r="H609"/>
  <c r="G611" s="1"/>
  <c r="H610"/>
  <c r="B609"/>
  <c r="I603" s="1"/>
  <c r="D601"/>
  <c r="C603" s="1"/>
  <c r="F601"/>
  <c r="E603" s="1"/>
  <c r="B602"/>
  <c r="D603"/>
  <c r="H619"/>
  <c r="B619"/>
  <c r="F602"/>
  <c r="B604"/>
  <c r="H620"/>
  <c r="H603"/>
  <c r="F604"/>
  <c r="D609"/>
  <c r="C611" s="1"/>
  <c r="B601"/>
  <c r="F603"/>
  <c r="B605"/>
  <c r="B611"/>
  <c r="D605"/>
  <c r="H584"/>
  <c r="F589"/>
  <c r="E591" s="1"/>
  <c r="F574"/>
  <c r="H577"/>
  <c r="F590"/>
  <c r="B583"/>
  <c r="D574"/>
  <c r="H581"/>
  <c r="G583" s="1"/>
  <c r="B575"/>
  <c r="D591"/>
  <c r="B589"/>
  <c r="I583" s="1"/>
  <c r="D595"/>
  <c r="B595" s="1"/>
  <c r="H589"/>
  <c r="G591" s="1"/>
  <c r="B576"/>
  <c r="H576"/>
  <c r="B577"/>
  <c r="B585"/>
  <c r="F577"/>
  <c r="F575"/>
  <c r="F585"/>
  <c r="D577"/>
  <c r="F573"/>
  <c r="E575" s="1"/>
  <c r="D593"/>
  <c r="F581"/>
  <c r="E583" s="1"/>
  <c r="H590"/>
  <c r="F576"/>
  <c r="B573"/>
  <c r="D582"/>
  <c r="D575"/>
  <c r="H575"/>
  <c r="F583"/>
  <c r="H593"/>
  <c r="F584"/>
  <c r="B581"/>
  <c r="F579" s="1"/>
  <c r="F582"/>
  <c r="B584"/>
  <c r="D589"/>
  <c r="C591" s="1"/>
  <c r="D584"/>
  <c r="F593"/>
  <c r="H574"/>
  <c r="D581"/>
  <c r="C583" s="1"/>
  <c r="D585"/>
  <c r="H573"/>
  <c r="G575" s="1"/>
  <c r="H582"/>
  <c r="F592"/>
  <c r="H585"/>
  <c r="B592"/>
  <c r="D583"/>
  <c r="D590"/>
  <c r="B590"/>
  <c r="B593"/>
  <c r="D576"/>
  <c r="B591"/>
  <c r="H591"/>
  <c r="D573"/>
  <c r="C575" s="1"/>
  <c r="B582"/>
  <c r="B574"/>
  <c r="H583"/>
  <c r="F591"/>
  <c r="D592"/>
  <c r="B546"/>
  <c r="B562"/>
  <c r="D560"/>
  <c r="B555"/>
  <c r="B544"/>
  <c r="F555"/>
  <c r="C843"/>
  <c r="E835"/>
  <c r="E827"/>
  <c r="D691"/>
  <c r="B691"/>
  <c r="I687"/>
  <c r="H691"/>
  <c r="F691"/>
  <c r="D755"/>
  <c r="B755"/>
  <c r="I751"/>
  <c r="H755"/>
  <c r="F755"/>
  <c r="B560"/>
  <c r="B559"/>
  <c r="F557" s="1"/>
  <c r="B553"/>
  <c r="D544"/>
  <c r="B554"/>
  <c r="D547"/>
  <c r="B551"/>
  <c r="H549" s="1"/>
  <c r="B547"/>
  <c r="D565"/>
  <c r="B565" s="1"/>
  <c r="B561"/>
  <c r="D543"/>
  <c r="C545" s="1"/>
  <c r="H555"/>
  <c r="B563"/>
  <c r="F544"/>
  <c r="F551"/>
  <c r="E553" s="1"/>
  <c r="D567"/>
  <c r="B567" s="1"/>
  <c r="D561"/>
  <c r="F547"/>
  <c r="H559"/>
  <c r="G561" s="1"/>
  <c r="D553"/>
  <c r="D563"/>
  <c r="H554"/>
  <c r="D552"/>
  <c r="D554"/>
  <c r="H543"/>
  <c r="G545" s="1"/>
  <c r="D546"/>
  <c r="H547"/>
  <c r="H562"/>
  <c r="B552"/>
  <c r="F563"/>
  <c r="H553"/>
  <c r="F562"/>
  <c r="F559"/>
  <c r="E561" s="1"/>
  <c r="F546"/>
  <c r="B543"/>
  <c r="D545"/>
  <c r="F552"/>
  <c r="H545"/>
  <c r="D551"/>
  <c r="C553" s="1"/>
  <c r="D559"/>
  <c r="C561" s="1"/>
  <c r="H544"/>
  <c r="H563"/>
  <c r="F554"/>
  <c r="H546"/>
  <c r="D555"/>
  <c r="F543"/>
  <c r="E545" s="1"/>
  <c r="H561"/>
  <c r="H551"/>
  <c r="G553" s="1"/>
  <c r="H552"/>
  <c r="F553"/>
  <c r="B545"/>
  <c r="F561"/>
  <c r="F560"/>
  <c r="F545"/>
  <c r="H560"/>
  <c r="H518"/>
  <c r="H524"/>
  <c r="B527"/>
  <c r="H519"/>
  <c r="H515"/>
  <c r="G517" s="1"/>
  <c r="H534"/>
  <c r="H526"/>
  <c r="D523"/>
  <c r="C525" s="1"/>
  <c r="H531"/>
  <c r="G533" s="1"/>
  <c r="D539"/>
  <c r="B539" s="1"/>
  <c r="D532"/>
  <c r="D526"/>
  <c r="F517"/>
  <c r="F515"/>
  <c r="E517" s="1"/>
  <c r="D531"/>
  <c r="C533" s="1"/>
  <c r="F518"/>
  <c r="F519"/>
  <c r="D516"/>
  <c r="D519"/>
  <c r="B533"/>
  <c r="H533"/>
  <c r="D535"/>
  <c r="H535"/>
  <c r="B519"/>
  <c r="F527"/>
  <c r="D534"/>
  <c r="D525"/>
  <c r="F516"/>
  <c r="D517"/>
  <c r="B515"/>
  <c r="F525"/>
  <c r="F524"/>
  <c r="D515"/>
  <c r="C517" s="1"/>
  <c r="F534"/>
  <c r="B525"/>
  <c r="F533"/>
  <c r="B532"/>
  <c r="H517"/>
  <c r="H525"/>
  <c r="B523"/>
  <c r="B521" s="1"/>
  <c r="F526"/>
  <c r="D537"/>
  <c r="B537" s="1"/>
  <c r="D524"/>
  <c r="B534"/>
  <c r="B531"/>
  <c r="F529" s="1"/>
  <c r="F532"/>
  <c r="H523"/>
  <c r="G525" s="1"/>
  <c r="B517"/>
  <c r="H516"/>
  <c r="F531"/>
  <c r="E533" s="1"/>
  <c r="D533"/>
  <c r="B524"/>
  <c r="B516"/>
  <c r="D518"/>
  <c r="B535"/>
  <c r="B526"/>
  <c r="F523"/>
  <c r="E525" s="1"/>
  <c r="B518"/>
  <c r="H532"/>
  <c r="F535"/>
  <c r="H527"/>
  <c r="H498"/>
  <c r="B491"/>
  <c r="B507"/>
  <c r="D495"/>
  <c r="C497" s="1"/>
  <c r="H499"/>
  <c r="F507"/>
  <c r="B506"/>
  <c r="B505"/>
  <c r="D507"/>
  <c r="B504"/>
  <c r="H495"/>
  <c r="G497" s="1"/>
  <c r="D504"/>
  <c r="D491"/>
  <c r="B496"/>
  <c r="H506"/>
  <c r="D505"/>
  <c r="H491"/>
  <c r="H504"/>
  <c r="D498"/>
  <c r="F491"/>
  <c r="F490"/>
  <c r="D488"/>
  <c r="H497"/>
  <c r="D503"/>
  <c r="C505" s="1"/>
  <c r="F495"/>
  <c r="E497" s="1"/>
  <c r="F503"/>
  <c r="E505" s="1"/>
  <c r="B498"/>
  <c r="H489"/>
  <c r="F487"/>
  <c r="E489" s="1"/>
  <c r="D509"/>
  <c r="B509" s="1"/>
  <c r="F505"/>
  <c r="H507"/>
  <c r="B503"/>
  <c r="F501" s="1"/>
  <c r="F499"/>
  <c r="B489"/>
  <c r="B495"/>
  <c r="F493" s="1"/>
  <c r="D487"/>
  <c r="C489" s="1"/>
  <c r="H505"/>
  <c r="H490"/>
  <c r="F504"/>
  <c r="D506"/>
  <c r="B497"/>
  <c r="F496"/>
  <c r="B490"/>
  <c r="F488"/>
  <c r="F497"/>
  <c r="B487"/>
  <c r="B488"/>
  <c r="H487"/>
  <c r="G489" s="1"/>
  <c r="D490"/>
  <c r="H488"/>
  <c r="D489"/>
  <c r="F506"/>
  <c r="H496"/>
  <c r="F498"/>
  <c r="F489"/>
  <c r="H503"/>
  <c r="G505" s="1"/>
  <c r="B499"/>
  <c r="D496"/>
  <c r="B460"/>
  <c r="H461"/>
  <c r="F476"/>
  <c r="H460"/>
  <c r="D483"/>
  <c r="B483" s="1"/>
  <c r="F475"/>
  <c r="E477" s="1"/>
  <c r="H476"/>
  <c r="B476"/>
  <c r="D471"/>
  <c r="F471"/>
  <c r="B469"/>
  <c r="F477"/>
  <c r="H471"/>
  <c r="B478"/>
  <c r="B459"/>
  <c r="D462"/>
  <c r="H477"/>
  <c r="B471"/>
  <c r="F469"/>
  <c r="H459"/>
  <c r="G461" s="1"/>
  <c r="H475"/>
  <c r="G477" s="1"/>
  <c r="D478"/>
  <c r="B462"/>
  <c r="F468"/>
  <c r="F459"/>
  <c r="E461" s="1"/>
  <c r="D460"/>
  <c r="D476"/>
  <c r="B461"/>
  <c r="H468"/>
  <c r="H470"/>
  <c r="F479"/>
  <c r="D461"/>
  <c r="D469"/>
  <c r="F470"/>
  <c r="H479"/>
  <c r="D477"/>
  <c r="H469"/>
  <c r="F467"/>
  <c r="E469" s="1"/>
  <c r="D481"/>
  <c r="B481" s="1"/>
  <c r="B477"/>
  <c r="F461"/>
  <c r="D459"/>
  <c r="C461" s="1"/>
  <c r="D467"/>
  <c r="C469" s="1"/>
  <c r="F463"/>
  <c r="B467"/>
  <c r="H465" s="1"/>
  <c r="H463"/>
  <c r="D475"/>
  <c r="C477" s="1"/>
  <c r="B479"/>
  <c r="B470"/>
  <c r="F460"/>
  <c r="D463"/>
  <c r="B475"/>
  <c r="F478"/>
  <c r="D470"/>
  <c r="B463"/>
  <c r="D468"/>
  <c r="H467"/>
  <c r="G469" s="1"/>
  <c r="H462"/>
  <c r="B468"/>
  <c r="F462"/>
  <c r="H447"/>
  <c r="G449" s="1"/>
  <c r="F431"/>
  <c r="E433" s="1"/>
  <c r="H443"/>
  <c r="H435"/>
  <c r="F441"/>
  <c r="H450"/>
  <c r="F449"/>
  <c r="F447"/>
  <c r="E449" s="1"/>
  <c r="H441"/>
  <c r="F433"/>
  <c r="H449"/>
  <c r="D453"/>
  <c r="B453" s="1"/>
  <c r="D449"/>
  <c r="B451"/>
  <c r="B448"/>
  <c r="F450"/>
  <c r="D435"/>
  <c r="D441"/>
  <c r="D434"/>
  <c r="H451"/>
  <c r="B450"/>
  <c r="B447"/>
  <c r="D445" s="1"/>
  <c r="H439"/>
  <c r="G441" s="1"/>
  <c r="D455"/>
  <c r="B455" s="1"/>
  <c r="B441"/>
  <c r="D440"/>
  <c r="F435"/>
  <c r="B432"/>
  <c r="H431"/>
  <c r="G433" s="1"/>
  <c r="B434"/>
  <c r="F448"/>
  <c r="H433"/>
  <c r="D447"/>
  <c r="C449" s="1"/>
  <c r="D448"/>
  <c r="H440"/>
  <c r="B439"/>
  <c r="F437" s="1"/>
  <c r="F440"/>
  <c r="B440"/>
  <c r="B433"/>
  <c r="F439"/>
  <c r="E441" s="1"/>
  <c r="H432"/>
  <c r="B431"/>
  <c r="B442"/>
  <c r="F443"/>
  <c r="F434"/>
  <c r="H434"/>
  <c r="D442"/>
  <c r="D433"/>
  <c r="F432"/>
  <c r="D432"/>
  <c r="F451"/>
  <c r="D451"/>
  <c r="H448"/>
  <c r="B443"/>
  <c r="B449"/>
  <c r="D443"/>
  <c r="H442"/>
  <c r="F442"/>
  <c r="B435"/>
  <c r="D425"/>
  <c r="B425" s="1"/>
  <c r="F407"/>
  <c r="H404"/>
  <c r="F406"/>
  <c r="H407"/>
  <c r="F420"/>
  <c r="D420"/>
  <c r="H413"/>
  <c r="H403"/>
  <c r="G405" s="1"/>
  <c r="D423"/>
  <c r="D405"/>
  <c r="B423"/>
  <c r="D414"/>
  <c r="F421"/>
  <c r="B407"/>
  <c r="B422"/>
  <c r="B420"/>
  <c r="H415"/>
  <c r="B415"/>
  <c r="B413"/>
  <c r="D411"/>
  <c r="C413" s="1"/>
  <c r="B421"/>
  <c r="B406"/>
  <c r="F414"/>
  <c r="B405"/>
  <c r="B404"/>
  <c r="F403"/>
  <c r="E405" s="1"/>
  <c r="D421"/>
  <c r="H405"/>
  <c r="F419"/>
  <c r="E421" s="1"/>
  <c r="D404"/>
  <c r="H419"/>
  <c r="G421" s="1"/>
  <c r="F405"/>
  <c r="H423"/>
  <c r="H412"/>
  <c r="D413"/>
  <c r="D406"/>
  <c r="B419"/>
  <c r="B417" s="1"/>
  <c r="F412"/>
  <c r="D427"/>
  <c r="B427" s="1"/>
  <c r="F423"/>
  <c r="B411"/>
  <c r="H409" s="1"/>
  <c r="F413"/>
  <c r="B414"/>
  <c r="H420"/>
  <c r="H422"/>
  <c r="F415"/>
  <c r="D407"/>
  <c r="B412"/>
  <c r="F404"/>
  <c r="D403"/>
  <c r="C405" s="1"/>
  <c r="B403"/>
  <c r="D415"/>
  <c r="D412"/>
  <c r="H421"/>
  <c r="H406"/>
  <c r="F411"/>
  <c r="E413" s="1"/>
  <c r="H414"/>
  <c r="F422"/>
  <c r="D422"/>
  <c r="D419"/>
  <c r="C421" s="1"/>
  <c r="H411"/>
  <c r="G413" s="1"/>
  <c r="F394"/>
  <c r="B394"/>
  <c r="F387"/>
  <c r="B383"/>
  <c r="B381" s="1"/>
  <c r="B395"/>
  <c r="B377"/>
  <c r="H391"/>
  <c r="D378"/>
  <c r="D399"/>
  <c r="B399" s="1"/>
  <c r="D387"/>
  <c r="D394"/>
  <c r="D385"/>
  <c r="H394"/>
  <c r="H376"/>
  <c r="F383"/>
  <c r="E385" s="1"/>
  <c r="H387"/>
  <c r="D397"/>
  <c r="B397" s="1"/>
  <c r="H395"/>
  <c r="B387"/>
  <c r="D391"/>
  <c r="C393" s="1"/>
  <c r="F393"/>
  <c r="F384"/>
  <c r="F375"/>
  <c r="E377" s="1"/>
  <c r="H379"/>
  <c r="D393"/>
  <c r="H377"/>
  <c r="H392"/>
  <c r="D377"/>
  <c r="D386"/>
  <c r="B393"/>
  <c r="B376"/>
  <c r="B391"/>
  <c r="B375"/>
  <c r="B384"/>
  <c r="F377"/>
  <c r="F395"/>
  <c r="H378"/>
  <c r="F378"/>
  <c r="H386"/>
  <c r="F392"/>
  <c r="F376"/>
  <c r="F385"/>
  <c r="B385"/>
  <c r="H385"/>
  <c r="H393"/>
  <c r="H383"/>
  <c r="G385" s="1"/>
  <c r="F391"/>
  <c r="E393" s="1"/>
  <c r="F379"/>
  <c r="F386"/>
  <c r="D383"/>
  <c r="C385" s="1"/>
  <c r="D376"/>
  <c r="B378"/>
  <c r="B392"/>
  <c r="D395"/>
  <c r="D379"/>
  <c r="B386"/>
  <c r="D375"/>
  <c r="C377" s="1"/>
  <c r="D384"/>
  <c r="H384"/>
  <c r="H375"/>
  <c r="G377" s="1"/>
  <c r="B379"/>
  <c r="D392"/>
  <c r="G393"/>
  <c r="F350"/>
  <c r="F351"/>
  <c r="D355"/>
  <c r="C357" s="1"/>
  <c r="F367"/>
  <c r="B349"/>
  <c r="D351"/>
  <c r="H359"/>
  <c r="F355"/>
  <c r="E357" s="1"/>
  <c r="H364"/>
  <c r="F363"/>
  <c r="E365" s="1"/>
  <c r="F357"/>
  <c r="D357"/>
  <c r="F347"/>
  <c r="E349" s="1"/>
  <c r="H363"/>
  <c r="G365" s="1"/>
  <c r="H355"/>
  <c r="G357" s="1"/>
  <c r="B365"/>
  <c r="B358"/>
  <c r="D350"/>
  <c r="B367"/>
  <c r="B359"/>
  <c r="D348"/>
  <c r="H365"/>
  <c r="F321"/>
  <c r="D337"/>
  <c r="H293"/>
  <c r="D308"/>
  <c r="F300"/>
  <c r="B303"/>
  <c r="H311"/>
  <c r="B310"/>
  <c r="F301"/>
  <c r="H301"/>
  <c r="H308"/>
  <c r="D295"/>
  <c r="D310"/>
  <c r="H295"/>
  <c r="B291"/>
  <c r="D300"/>
  <c r="B302"/>
  <c r="D303"/>
  <c r="D333"/>
  <c r="B361"/>
  <c r="H333"/>
  <c r="D293"/>
  <c r="B301"/>
  <c r="H310"/>
  <c r="F299"/>
  <c r="E301" s="1"/>
  <c r="F295"/>
  <c r="F293"/>
  <c r="H309"/>
  <c r="D291"/>
  <c r="C293" s="1"/>
  <c r="F308"/>
  <c r="F307"/>
  <c r="E309" s="1"/>
  <c r="D294"/>
  <c r="B292"/>
  <c r="H307"/>
  <c r="G309" s="1"/>
  <c r="I349"/>
  <c r="B307"/>
  <c r="I301" s="1"/>
  <c r="F303"/>
  <c r="F294"/>
  <c r="B300"/>
  <c r="D309"/>
  <c r="D301"/>
  <c r="D292"/>
  <c r="D353"/>
  <c r="F361"/>
  <c r="F353"/>
  <c r="F309"/>
  <c r="F292"/>
  <c r="B294"/>
  <c r="F302"/>
  <c r="D313"/>
  <c r="B313" s="1"/>
  <c r="B308"/>
  <c r="D315"/>
  <c r="B315" s="1"/>
  <c r="D361"/>
  <c r="H353"/>
  <c r="B295"/>
  <c r="B299"/>
  <c r="F297" s="1"/>
  <c r="D311"/>
  <c r="B309"/>
  <c r="B293"/>
  <c r="H294"/>
  <c r="D307"/>
  <c r="C309" s="1"/>
  <c r="H291"/>
  <c r="G293" s="1"/>
  <c r="H299"/>
  <c r="G301" s="1"/>
  <c r="F291"/>
  <c r="E293" s="1"/>
  <c r="H361"/>
  <c r="B325"/>
  <c r="H302"/>
  <c r="D325"/>
  <c r="H292"/>
  <c r="D302"/>
  <c r="H300"/>
  <c r="F311"/>
  <c r="D299"/>
  <c r="C301" s="1"/>
  <c r="H303"/>
  <c r="F310"/>
  <c r="F325"/>
  <c r="I321"/>
  <c r="I329"/>
  <c r="B333"/>
  <c r="D285"/>
  <c r="B285" s="1"/>
  <c r="D278"/>
  <c r="B264"/>
  <c r="H264"/>
  <c r="H273"/>
  <c r="H269"/>
  <c r="G271" s="1"/>
  <c r="H262"/>
  <c r="F278"/>
  <c r="F264"/>
  <c r="B280"/>
  <c r="B263"/>
  <c r="F271"/>
  <c r="H277"/>
  <c r="G279" s="1"/>
  <c r="H272"/>
  <c r="H270"/>
  <c r="H265"/>
  <c r="B270"/>
  <c r="H280"/>
  <c r="D280"/>
  <c r="D262"/>
  <c r="B278"/>
  <c r="B273"/>
  <c r="B271"/>
  <c r="B269"/>
  <c r="B267" s="1"/>
  <c r="B262"/>
  <c r="H279"/>
  <c r="D283"/>
  <c r="B283" s="1"/>
  <c r="H263"/>
  <c r="F277"/>
  <c r="E279" s="1"/>
  <c r="F272"/>
  <c r="F270"/>
  <c r="F265"/>
  <c r="H261"/>
  <c r="G263" s="1"/>
  <c r="F279"/>
  <c r="H281"/>
  <c r="F263"/>
  <c r="D277"/>
  <c r="C279" s="1"/>
  <c r="D272"/>
  <c r="D270"/>
  <c r="D265"/>
  <c r="F261"/>
  <c r="E263" s="1"/>
  <c r="D279"/>
  <c r="F281"/>
  <c r="D263"/>
  <c r="B277"/>
  <c r="D275" s="1"/>
  <c r="B272"/>
  <c r="B265"/>
  <c r="B261"/>
  <c r="D261"/>
  <c r="C263" s="1"/>
  <c r="B279"/>
  <c r="D281"/>
  <c r="H278"/>
  <c r="F273"/>
  <c r="F269"/>
  <c r="E271" s="1"/>
  <c r="F262"/>
  <c r="H271"/>
  <c r="F280"/>
  <c r="B281"/>
  <c r="D273"/>
  <c r="D271"/>
  <c r="D269"/>
  <c r="C271" s="1"/>
  <c r="D264"/>
  <c r="F237"/>
  <c r="H249"/>
  <c r="G251" s="1"/>
  <c r="D236"/>
  <c r="D252"/>
  <c r="F242"/>
  <c r="F250"/>
  <c r="F233"/>
  <c r="E235" s="1"/>
  <c r="B234"/>
  <c r="F244"/>
  <c r="B245"/>
  <c r="B243"/>
  <c r="D245"/>
  <c r="D253"/>
  <c r="B249"/>
  <c r="F247" s="1"/>
  <c r="B242"/>
  <c r="F252"/>
  <c r="H241"/>
  <c r="G243" s="1"/>
  <c r="H236"/>
  <c r="H251"/>
  <c r="F236"/>
  <c r="D242"/>
  <c r="B250"/>
  <c r="H245"/>
  <c r="H233"/>
  <c r="G235" s="1"/>
  <c r="B251"/>
  <c r="B253"/>
  <c r="B236"/>
  <c r="B252"/>
  <c r="B241"/>
  <c r="H239" s="1"/>
  <c r="D234"/>
  <c r="F251"/>
  <c r="F243"/>
  <c r="H252"/>
  <c r="D249"/>
  <c r="C251" s="1"/>
  <c r="D233"/>
  <c r="C235" s="1"/>
  <c r="H234"/>
  <c r="H244"/>
  <c r="F245"/>
  <c r="H242"/>
  <c r="F253"/>
  <c r="D235"/>
  <c r="D237"/>
  <c r="B237"/>
  <c r="D257"/>
  <c r="B257" s="1"/>
  <c r="B244"/>
  <c r="H237"/>
  <c r="D244"/>
  <c r="F249"/>
  <c r="E251" s="1"/>
  <c r="D250"/>
  <c r="H253"/>
  <c r="H250"/>
  <c r="F235"/>
  <c r="B233"/>
  <c r="H235"/>
  <c r="D255"/>
  <c r="B255" s="1"/>
  <c r="F241"/>
  <c r="E243" s="1"/>
  <c r="D251"/>
  <c r="B235"/>
  <c r="D241"/>
  <c r="C243" s="1"/>
  <c r="F234"/>
  <c r="D243"/>
  <c r="F225"/>
  <c r="B206"/>
  <c r="F207"/>
  <c r="H209"/>
  <c r="B216"/>
  <c r="F208"/>
  <c r="F205"/>
  <c r="E207" s="1"/>
  <c r="D227"/>
  <c r="B227" s="1"/>
  <c r="D221"/>
  <c r="C223" s="1"/>
  <c r="D215"/>
  <c r="D216"/>
  <c r="H213"/>
  <c r="G215" s="1"/>
  <c r="D224"/>
  <c r="F215"/>
  <c r="D222"/>
  <c r="H217"/>
  <c r="B208"/>
  <c r="F217"/>
  <c r="F222"/>
  <c r="D217"/>
  <c r="D208"/>
  <c r="D206"/>
  <c r="B222"/>
  <c r="H223"/>
  <c r="F224"/>
  <c r="B215"/>
  <c r="B205"/>
  <c r="H215"/>
  <c r="B213"/>
  <c r="F211" s="1"/>
  <c r="D223"/>
  <c r="H225"/>
  <c r="D214"/>
  <c r="D209"/>
  <c r="D207"/>
  <c r="B223"/>
  <c r="F216"/>
  <c r="H206"/>
  <c r="B217"/>
  <c r="D225"/>
  <c r="F221"/>
  <c r="E223" s="1"/>
  <c r="H222"/>
  <c r="B224"/>
  <c r="H221"/>
  <c r="G223" s="1"/>
  <c r="D205"/>
  <c r="C207" s="1"/>
  <c r="D213"/>
  <c r="C215" s="1"/>
  <c r="B225"/>
  <c r="F206"/>
  <c r="F213"/>
  <c r="E215" s="1"/>
  <c r="H224"/>
  <c r="H216"/>
  <c r="F223"/>
  <c r="F214"/>
  <c r="B207"/>
  <c r="D229"/>
  <c r="B229" s="1"/>
  <c r="B221"/>
  <c r="B209"/>
  <c r="G207"/>
  <c r="B214"/>
  <c r="H207"/>
  <c r="H214"/>
  <c r="H208"/>
  <c r="F209"/>
  <c r="B177"/>
  <c r="H196"/>
  <c r="D193"/>
  <c r="C195" s="1"/>
  <c r="F194"/>
  <c r="B178"/>
  <c r="D178"/>
  <c r="F177"/>
  <c r="E179" s="1"/>
  <c r="H197"/>
  <c r="F179"/>
  <c r="B195"/>
  <c r="B179"/>
  <c r="F187"/>
  <c r="D188"/>
  <c r="B181"/>
  <c r="D187"/>
  <c r="D194"/>
  <c r="F189"/>
  <c r="D186"/>
  <c r="B189"/>
  <c r="F197"/>
  <c r="D197"/>
  <c r="H193"/>
  <c r="G195" s="1"/>
  <c r="F186"/>
  <c r="B196"/>
  <c r="D185"/>
  <c r="C187" s="1"/>
  <c r="H185"/>
  <c r="G187" s="1"/>
  <c r="F181"/>
  <c r="H179"/>
  <c r="D196"/>
  <c r="B193"/>
  <c r="H191" s="1"/>
  <c r="B197"/>
  <c r="B185"/>
  <c r="B183" s="1"/>
  <c r="H189"/>
  <c r="H194"/>
  <c r="H178"/>
  <c r="B194"/>
  <c r="H181"/>
  <c r="H180"/>
  <c r="F180"/>
  <c r="D189"/>
  <c r="B188"/>
  <c r="F193"/>
  <c r="E195" s="1"/>
  <c r="D181"/>
  <c r="D177"/>
  <c r="C179" s="1"/>
  <c r="H187"/>
  <c r="B187"/>
  <c r="H177"/>
  <c r="G179" s="1"/>
  <c r="B180"/>
  <c r="D179"/>
  <c r="F196"/>
  <c r="D199"/>
  <c r="B199" s="1"/>
  <c r="D201"/>
  <c r="B201" s="1"/>
  <c r="B186"/>
  <c r="H188"/>
  <c r="D180"/>
  <c r="F188"/>
  <c r="D195"/>
  <c r="H195"/>
  <c r="F178"/>
  <c r="F195"/>
  <c r="D152"/>
  <c r="D166"/>
  <c r="F161"/>
  <c r="F149"/>
  <c r="E151" s="1"/>
  <c r="B151"/>
  <c r="D157"/>
  <c r="C159" s="1"/>
  <c r="F151"/>
  <c r="D167"/>
  <c r="F160"/>
  <c r="F150"/>
  <c r="B166"/>
  <c r="B165"/>
  <c r="F163" s="1"/>
  <c r="D151"/>
  <c r="H159"/>
  <c r="F166"/>
  <c r="H167"/>
  <c r="H165"/>
  <c r="G167" s="1"/>
  <c r="D153"/>
  <c r="F153"/>
  <c r="H166"/>
  <c r="H158"/>
  <c r="F168"/>
  <c r="D149"/>
  <c r="C151" s="1"/>
  <c r="D173"/>
  <c r="B173" s="1"/>
  <c r="D161"/>
  <c r="F158"/>
  <c r="B153"/>
  <c r="B159"/>
  <c r="B158"/>
  <c r="H152"/>
  <c r="H153"/>
  <c r="B161"/>
  <c r="D171"/>
  <c r="B171" s="1"/>
  <c r="B149"/>
  <c r="D160"/>
  <c r="D150"/>
  <c r="H160"/>
  <c r="F167"/>
  <c r="B160"/>
  <c r="B157"/>
  <c r="H155" s="1"/>
  <c r="D168"/>
  <c r="F157"/>
  <c r="E159" s="1"/>
  <c r="H157"/>
  <c r="G159" s="1"/>
  <c r="H168"/>
  <c r="D165"/>
  <c r="C167" s="1"/>
  <c r="F169"/>
  <c r="H161"/>
  <c r="B167"/>
  <c r="H150"/>
  <c r="D158"/>
  <c r="F159"/>
  <c r="H151"/>
  <c r="H149"/>
  <c r="G151" s="1"/>
  <c r="F152"/>
  <c r="D169"/>
  <c r="B169"/>
  <c r="F165"/>
  <c r="E167" s="1"/>
  <c r="H169"/>
  <c r="B152"/>
  <c r="B150"/>
  <c r="B168"/>
  <c r="D125"/>
  <c r="D137"/>
  <c r="C139" s="1"/>
  <c r="D138"/>
  <c r="F133"/>
  <c r="B140"/>
  <c r="H123"/>
  <c r="H124"/>
  <c r="F121"/>
  <c r="E123" s="1"/>
  <c r="D139"/>
  <c r="H130"/>
  <c r="D131"/>
  <c r="D121"/>
  <c r="C123" s="1"/>
  <c r="F141"/>
  <c r="H133"/>
  <c r="H141"/>
  <c r="D122"/>
  <c r="H121"/>
  <c r="G123" s="1"/>
  <c r="F132"/>
  <c r="B124"/>
  <c r="H122"/>
  <c r="H138"/>
  <c r="D141"/>
  <c r="F140"/>
  <c r="F139"/>
  <c r="H137"/>
  <c r="G139" s="1"/>
  <c r="D140"/>
  <c r="B131"/>
  <c r="H131"/>
  <c r="F138"/>
  <c r="H129"/>
  <c r="G131" s="1"/>
  <c r="B138"/>
  <c r="H139"/>
  <c r="B133"/>
  <c r="D143"/>
  <c r="B143" s="1"/>
  <c r="F125"/>
  <c r="F123"/>
  <c r="B130"/>
  <c r="D124"/>
  <c r="B129"/>
  <c r="B127" s="1"/>
  <c r="B137"/>
  <c r="I131" s="1"/>
  <c r="H140"/>
  <c r="F131"/>
  <c r="D130"/>
  <c r="B125"/>
  <c r="F124"/>
  <c r="F130"/>
  <c r="D132"/>
  <c r="F137"/>
  <c r="E139" s="1"/>
  <c r="B121"/>
  <c r="D129"/>
  <c r="C131" s="1"/>
  <c r="D133"/>
  <c r="F122"/>
  <c r="B132"/>
  <c r="F129"/>
  <c r="E131" s="1"/>
  <c r="D123"/>
  <c r="H125"/>
  <c r="H132"/>
  <c r="B122"/>
  <c r="B123"/>
  <c r="B139"/>
  <c r="B141"/>
  <c r="F93"/>
  <c r="E95" s="1"/>
  <c r="H102"/>
  <c r="B93"/>
  <c r="H97"/>
  <c r="B96"/>
  <c r="H103"/>
  <c r="F96"/>
  <c r="F104"/>
  <c r="F110"/>
  <c r="D102"/>
  <c r="H93"/>
  <c r="G95" s="1"/>
  <c r="D115"/>
  <c r="B115" s="1"/>
  <c r="F97"/>
  <c r="B104"/>
  <c r="H112"/>
  <c r="F112"/>
  <c r="D95"/>
  <c r="B95"/>
  <c r="B97"/>
  <c r="B109"/>
  <c r="F107" s="1"/>
  <c r="F94"/>
  <c r="H95"/>
  <c r="H101"/>
  <c r="G103" s="1"/>
  <c r="H104"/>
  <c r="D104"/>
  <c r="D105"/>
  <c r="F113"/>
  <c r="F109"/>
  <c r="E111" s="1"/>
  <c r="B110"/>
  <c r="B94"/>
  <c r="B101"/>
  <c r="D99" s="1"/>
  <c r="B113"/>
  <c r="F105"/>
  <c r="D111"/>
  <c r="B112"/>
  <c r="D110"/>
  <c r="D97"/>
  <c r="B105"/>
  <c r="H111"/>
  <c r="H96"/>
  <c r="D101"/>
  <c r="C103" s="1"/>
  <c r="B102"/>
  <c r="F101"/>
  <c r="E103" s="1"/>
  <c r="H109"/>
  <c r="G111" s="1"/>
  <c r="D96"/>
  <c r="H105"/>
  <c r="D103"/>
  <c r="F95"/>
  <c r="D112"/>
  <c r="H113"/>
  <c r="D109"/>
  <c r="C111" s="1"/>
  <c r="D113"/>
  <c r="B111"/>
  <c r="D94"/>
  <c r="H94"/>
  <c r="B103"/>
  <c r="H110"/>
  <c r="F103"/>
  <c r="D93"/>
  <c r="C95" s="1"/>
  <c r="F102"/>
  <c r="F111"/>
  <c r="B77"/>
  <c r="B81"/>
  <c r="I75" s="1"/>
  <c r="D81"/>
  <c r="C83" s="1"/>
  <c r="B69"/>
  <c r="H68"/>
  <c r="B68"/>
  <c r="F69"/>
  <c r="H84"/>
  <c r="F77"/>
  <c r="B82"/>
  <c r="B75"/>
  <c r="D68"/>
  <c r="D67"/>
  <c r="H75"/>
  <c r="F82"/>
  <c r="B73"/>
  <c r="D71" s="1"/>
  <c r="D84"/>
  <c r="D77"/>
  <c r="F74"/>
  <c r="D87"/>
  <c r="B87" s="1"/>
  <c r="B65"/>
  <c r="H66"/>
  <c r="D76"/>
  <c r="H77"/>
  <c r="D83"/>
  <c r="B74"/>
  <c r="D73"/>
  <c r="C75" s="1"/>
  <c r="F76"/>
  <c r="F81"/>
  <c r="E83" s="1"/>
  <c r="B85"/>
  <c r="F73"/>
  <c r="E75" s="1"/>
  <c r="H76"/>
  <c r="D85"/>
  <c r="F84"/>
  <c r="D69"/>
  <c r="D75"/>
  <c r="F75"/>
  <c r="B83"/>
  <c r="D65"/>
  <c r="C67" s="1"/>
  <c r="H67"/>
  <c r="D66"/>
  <c r="H83"/>
  <c r="H82"/>
  <c r="H65"/>
  <c r="G67" s="1"/>
  <c r="F66"/>
  <c r="B76"/>
  <c r="H85"/>
  <c r="F68"/>
  <c r="D82"/>
  <c r="F85"/>
  <c r="D74"/>
  <c r="B67"/>
  <c r="F83"/>
  <c r="B66"/>
  <c r="H73"/>
  <c r="G75" s="1"/>
  <c r="H74"/>
  <c r="H81"/>
  <c r="G83" s="1"/>
  <c r="F67"/>
  <c r="H69"/>
  <c r="F65"/>
  <c r="E67" s="1"/>
  <c r="B84"/>
  <c r="B46"/>
  <c r="F37"/>
  <c r="E39" s="1"/>
  <c r="D54"/>
  <c r="F57"/>
  <c r="F40"/>
  <c r="H48"/>
  <c r="H49"/>
  <c r="B56"/>
  <c r="H39"/>
  <c r="D38"/>
  <c r="B38"/>
  <c r="B49"/>
  <c r="D46"/>
  <c r="F45"/>
  <c r="E47" s="1"/>
  <c r="F41"/>
  <c r="H56"/>
  <c r="D48"/>
  <c r="D56"/>
  <c r="H45"/>
  <c r="G47" s="1"/>
  <c r="H41"/>
  <c r="H55"/>
  <c r="D45"/>
  <c r="C47" s="1"/>
  <c r="D49"/>
  <c r="H47"/>
  <c r="D41"/>
  <c r="F49"/>
  <c r="F53"/>
  <c r="E55" s="1"/>
  <c r="F56"/>
  <c r="H38"/>
  <c r="F47"/>
  <c r="D59"/>
  <c r="B59" s="1"/>
  <c r="B54"/>
  <c r="B53"/>
  <c r="I47" s="1"/>
  <c r="D55"/>
  <c r="B40"/>
  <c r="D40"/>
  <c r="D53"/>
  <c r="C55" s="1"/>
  <c r="B55"/>
  <c r="B48"/>
  <c r="D39"/>
  <c r="B47"/>
  <c r="H57"/>
  <c r="F55"/>
  <c r="B45"/>
  <c r="B43" s="1"/>
  <c r="H40"/>
  <c r="H54"/>
  <c r="B57"/>
  <c r="F38"/>
  <c r="H46"/>
  <c r="F54"/>
  <c r="B39"/>
  <c r="H53"/>
  <c r="G55" s="1"/>
  <c r="F48"/>
  <c r="D47"/>
  <c r="B41"/>
  <c r="D57"/>
  <c r="B37"/>
  <c r="F39"/>
  <c r="H37"/>
  <c r="G39" s="1"/>
  <c r="F46"/>
  <c r="D61"/>
  <c r="B61" s="1"/>
  <c r="B17"/>
  <c r="B15" s="1"/>
  <c r="B9"/>
  <c r="H18"/>
  <c r="D11"/>
  <c r="F17"/>
  <c r="E19" s="1"/>
  <c r="D17"/>
  <c r="C19" s="1"/>
  <c r="B13"/>
  <c r="F13"/>
  <c r="D29"/>
  <c r="D33"/>
  <c r="B33" s="1"/>
  <c r="F21"/>
  <c r="F12"/>
  <c r="F10"/>
  <c r="H17"/>
  <c r="G19" s="1"/>
  <c r="F25"/>
  <c r="E27" s="1"/>
  <c r="D19"/>
  <c r="H20"/>
  <c r="F9"/>
  <c r="E11" s="1"/>
  <c r="B10"/>
  <c r="F18"/>
  <c r="B27"/>
  <c r="F26"/>
  <c r="H10"/>
  <c r="D28"/>
  <c r="D31"/>
  <c r="B31" s="1"/>
  <c r="B19"/>
  <c r="F27"/>
  <c r="H9"/>
  <c r="G11" s="1"/>
  <c r="H11"/>
  <c r="F19"/>
  <c r="F28"/>
  <c r="H27"/>
  <c r="D27"/>
  <c r="H21"/>
  <c r="D10"/>
  <c r="D25"/>
  <c r="C27" s="1"/>
  <c r="D21"/>
  <c r="D20"/>
  <c r="B25"/>
  <c r="B23" s="1"/>
  <c r="B28"/>
  <c r="D9"/>
  <c r="C11" s="1"/>
  <c r="F20"/>
  <c r="D13"/>
  <c r="H12"/>
  <c r="B26"/>
  <c r="H29"/>
  <c r="F29"/>
  <c r="H13"/>
  <c r="B20"/>
  <c r="B21"/>
  <c r="B18"/>
  <c r="H28"/>
  <c r="H26"/>
  <c r="B12"/>
  <c r="D12"/>
  <c r="F11"/>
  <c r="B29"/>
  <c r="D26"/>
  <c r="D18"/>
  <c r="H25"/>
  <c r="G27" s="1"/>
  <c r="H19"/>
  <c r="D8" i="1"/>
  <c r="D7"/>
  <c r="H29"/>
  <c r="H30"/>
  <c r="H27"/>
  <c r="H28"/>
  <c r="H26"/>
  <c r="G26" s="1"/>
  <c r="D10"/>
  <c r="B14"/>
  <c r="B13"/>
  <c r="B12"/>
  <c r="B11"/>
  <c r="B10"/>
  <c r="F10"/>
  <c r="E10" s="1"/>
  <c r="F22"/>
  <c r="H22"/>
  <c r="F29"/>
  <c r="F30"/>
  <c r="F27"/>
  <c r="F28"/>
  <c r="F26"/>
  <c r="E26" s="1"/>
  <c r="D30"/>
  <c r="D27"/>
  <c r="D29"/>
  <c r="D28"/>
  <c r="B27"/>
  <c r="D26"/>
  <c r="C26" s="1"/>
  <c r="B30"/>
  <c r="B29"/>
  <c r="B28"/>
  <c r="B26"/>
  <c r="H21"/>
  <c r="H20"/>
  <c r="H19"/>
  <c r="H18"/>
  <c r="G18" s="1"/>
  <c r="D22"/>
  <c r="F21"/>
  <c r="F20"/>
  <c r="F19"/>
  <c r="B18"/>
  <c r="B16" s="1"/>
  <c r="D18"/>
  <c r="F18"/>
  <c r="E18" s="1"/>
  <c r="D21"/>
  <c r="D20"/>
  <c r="D19"/>
  <c r="D14"/>
  <c r="D12"/>
  <c r="D13"/>
  <c r="D11"/>
  <c r="F13"/>
  <c r="F14"/>
  <c r="F11"/>
  <c r="F12"/>
  <c r="H13"/>
  <c r="B19"/>
  <c r="B20"/>
  <c r="B5"/>
  <c r="H10"/>
  <c r="G10" s="1"/>
  <c r="B21"/>
  <c r="H11"/>
  <c r="H12"/>
  <c r="H14"/>
  <c r="I1955" i="9" l="1"/>
  <c r="B1959"/>
  <c r="D1959"/>
  <c r="H1959"/>
  <c r="B1931"/>
  <c r="D1931"/>
  <c r="I1927"/>
  <c r="F1931"/>
  <c r="H1939"/>
  <c r="B1939"/>
  <c r="I1935"/>
  <c r="D1939"/>
  <c r="B1827"/>
  <c r="I1823"/>
  <c r="D1819"/>
  <c r="F1827"/>
  <c r="H1827"/>
  <c r="H1819"/>
  <c r="F1819"/>
  <c r="B1819"/>
  <c r="B1791"/>
  <c r="D1791"/>
  <c r="I1795"/>
  <c r="H1791"/>
  <c r="I1787"/>
  <c r="D1799"/>
  <c r="B1799"/>
  <c r="H1799"/>
  <c r="D1771"/>
  <c r="H1763"/>
  <c r="F1763"/>
  <c r="I1759"/>
  <c r="B1763"/>
  <c r="F1771"/>
  <c r="H1771"/>
  <c r="I1767"/>
  <c r="F1743"/>
  <c r="H1743"/>
  <c r="D1707"/>
  <c r="D1735"/>
  <c r="I1739"/>
  <c r="B1743"/>
  <c r="B1735"/>
  <c r="F1735"/>
  <c r="I1731"/>
  <c r="B1707"/>
  <c r="H1707"/>
  <c r="I1703"/>
  <c r="I1653"/>
  <c r="D1657"/>
  <c r="F1621"/>
  <c r="D1649"/>
  <c r="I1645"/>
  <c r="F1649"/>
  <c r="H1649"/>
  <c r="H1657"/>
  <c r="B1621"/>
  <c r="I1617"/>
  <c r="H1621"/>
  <c r="I1569"/>
  <c r="D1573"/>
  <c r="B1573"/>
  <c r="H1573"/>
  <c r="F1565"/>
  <c r="D1565"/>
  <c r="I1561"/>
  <c r="H1565"/>
  <c r="F1537"/>
  <c r="I1541"/>
  <c r="D1545"/>
  <c r="B1545"/>
  <c r="D1489"/>
  <c r="H1545"/>
  <c r="B1537"/>
  <c r="I1533"/>
  <c r="D1537"/>
  <c r="H1509"/>
  <c r="B1517"/>
  <c r="I1513"/>
  <c r="H1517"/>
  <c r="D1509"/>
  <c r="I1505"/>
  <c r="B1509"/>
  <c r="D1517"/>
  <c r="D1481"/>
  <c r="F1481"/>
  <c r="I1477"/>
  <c r="B1481"/>
  <c r="H1489"/>
  <c r="I1485"/>
  <c r="F1489"/>
  <c r="F1461"/>
  <c r="I1457"/>
  <c r="B1461"/>
  <c r="F1453"/>
  <c r="D1461"/>
  <c r="D1453"/>
  <c r="B1453"/>
  <c r="I1449"/>
  <c r="I1429"/>
  <c r="B1433"/>
  <c r="F1433"/>
  <c r="H1433"/>
  <c r="F1425"/>
  <c r="B1425"/>
  <c r="H1425"/>
  <c r="D1425"/>
  <c r="I1399"/>
  <c r="H1395"/>
  <c r="B1395"/>
  <c r="H1347"/>
  <c r="D1395"/>
  <c r="D1347"/>
  <c r="I1391"/>
  <c r="D1403"/>
  <c r="H1403"/>
  <c r="F1403"/>
  <c r="B1347"/>
  <c r="I1343"/>
  <c r="D1339"/>
  <c r="H1235"/>
  <c r="D1385"/>
  <c r="B1385" s="1"/>
  <c r="H1365"/>
  <c r="F1373"/>
  <c r="D1378"/>
  <c r="D1369"/>
  <c r="C1371" s="1"/>
  <c r="B1373"/>
  <c r="B1371"/>
  <c r="B1362"/>
  <c r="D1381"/>
  <c r="D1380"/>
  <c r="D1364"/>
  <c r="D1377"/>
  <c r="C1379" s="1"/>
  <c r="D1365"/>
  <c r="F1372"/>
  <c r="F1370"/>
  <c r="F1361"/>
  <c r="E1363" s="1"/>
  <c r="B1381"/>
  <c r="H1379"/>
  <c r="H1363"/>
  <c r="B1377"/>
  <c r="F1362"/>
  <c r="F1369"/>
  <c r="E1371" s="1"/>
  <c r="F1364"/>
  <c r="H1364"/>
  <c r="D1383"/>
  <c r="B1383" s="1"/>
  <c r="D1379"/>
  <c r="D1363"/>
  <c r="B1378"/>
  <c r="B1369"/>
  <c r="H1372"/>
  <c r="H1370"/>
  <c r="H1361"/>
  <c r="G1363" s="1"/>
  <c r="H1381"/>
  <c r="F1379"/>
  <c r="F1363"/>
  <c r="H1377"/>
  <c r="G1379" s="1"/>
  <c r="B1365"/>
  <c r="H1371"/>
  <c r="H1369"/>
  <c r="G1371" s="1"/>
  <c r="F1380"/>
  <c r="H1380"/>
  <c r="B1379"/>
  <c r="B1363"/>
  <c r="H1373"/>
  <c r="D1373"/>
  <c r="D1371"/>
  <c r="D1362"/>
  <c r="F1381"/>
  <c r="B1380"/>
  <c r="B1364"/>
  <c r="F1377"/>
  <c r="E1379" s="1"/>
  <c r="F1365"/>
  <c r="B1372"/>
  <c r="B1370"/>
  <c r="B1361"/>
  <c r="F1378"/>
  <c r="H1378"/>
  <c r="H1362"/>
  <c r="F1371"/>
  <c r="D1372"/>
  <c r="D1370"/>
  <c r="D1361"/>
  <c r="C1363" s="1"/>
  <c r="B1357"/>
  <c r="F1339"/>
  <c r="I1335"/>
  <c r="H1339"/>
  <c r="B1311"/>
  <c r="B1319"/>
  <c r="D1311"/>
  <c r="F1311"/>
  <c r="I1315"/>
  <c r="H1319"/>
  <c r="D1319"/>
  <c r="I1307"/>
  <c r="H1283"/>
  <c r="D1291"/>
  <c r="I1287"/>
  <c r="F1283"/>
  <c r="D1283"/>
  <c r="I1279"/>
  <c r="B1291"/>
  <c r="H1291"/>
  <c r="D1263"/>
  <c r="F1263"/>
  <c r="H1263"/>
  <c r="F1255"/>
  <c r="I1251"/>
  <c r="H1255"/>
  <c r="D1255"/>
  <c r="I1259"/>
  <c r="D1235"/>
  <c r="F1235"/>
  <c r="I1231"/>
  <c r="B1199"/>
  <c r="H1199"/>
  <c r="F1199"/>
  <c r="I1195"/>
  <c r="H1207"/>
  <c r="F1207"/>
  <c r="B1207"/>
  <c r="D1207"/>
  <c r="H1171"/>
  <c r="H1143"/>
  <c r="F1171"/>
  <c r="B1171"/>
  <c r="D1171"/>
  <c r="D1143"/>
  <c r="B1179"/>
  <c r="D1179"/>
  <c r="H1179"/>
  <c r="F1179"/>
  <c r="I1139"/>
  <c r="B1143"/>
  <c r="I1147"/>
  <c r="B1151"/>
  <c r="H1151"/>
  <c r="F1151"/>
  <c r="I1109"/>
  <c r="D1121"/>
  <c r="H1113"/>
  <c r="B1121"/>
  <c r="F1113"/>
  <c r="I1117"/>
  <c r="B1113"/>
  <c r="D1065"/>
  <c r="I1061"/>
  <c r="F1065"/>
  <c r="D1029"/>
  <c r="B1029"/>
  <c r="I1025"/>
  <c r="H1029"/>
  <c r="F1029"/>
  <c r="I1033"/>
  <c r="D1037"/>
  <c r="B1037"/>
  <c r="H1037"/>
  <c r="F1037"/>
  <c r="I997"/>
  <c r="H1001"/>
  <c r="D1001"/>
  <c r="D1009"/>
  <c r="F1009"/>
  <c r="H1009"/>
  <c r="B1009"/>
  <c r="H973"/>
  <c r="B981"/>
  <c r="D973"/>
  <c r="F973"/>
  <c r="I969"/>
  <c r="F981"/>
  <c r="H981"/>
  <c r="D981"/>
  <c r="B945"/>
  <c r="D953"/>
  <c r="I949"/>
  <c r="F953"/>
  <c r="B953"/>
  <c r="D945"/>
  <c r="H945"/>
  <c r="F945"/>
  <c r="I921"/>
  <c r="H917"/>
  <c r="B925"/>
  <c r="I913"/>
  <c r="B917"/>
  <c r="D925"/>
  <c r="F925"/>
  <c r="D917"/>
  <c r="F897"/>
  <c r="H897"/>
  <c r="D897"/>
  <c r="B897"/>
  <c r="F889"/>
  <c r="B889"/>
  <c r="H889"/>
  <c r="D889"/>
  <c r="H869"/>
  <c r="I865"/>
  <c r="D869"/>
  <c r="B869"/>
  <c r="I857"/>
  <c r="H861"/>
  <c r="D861"/>
  <c r="F861"/>
  <c r="H811"/>
  <c r="I807"/>
  <c r="D811"/>
  <c r="B811"/>
  <c r="D803"/>
  <c r="B803"/>
  <c r="H803"/>
  <c r="F803"/>
  <c r="H747"/>
  <c r="I779"/>
  <c r="B783"/>
  <c r="F783"/>
  <c r="H783"/>
  <c r="B775"/>
  <c r="H775"/>
  <c r="D775"/>
  <c r="I771"/>
  <c r="I743"/>
  <c r="F747"/>
  <c r="B747"/>
  <c r="B719"/>
  <c r="D719"/>
  <c r="B727"/>
  <c r="H727"/>
  <c r="F727"/>
  <c r="I715"/>
  <c r="F719"/>
  <c r="D727"/>
  <c r="F663"/>
  <c r="H699"/>
  <c r="I659"/>
  <c r="B699"/>
  <c r="D699"/>
  <c r="I695"/>
  <c r="F671"/>
  <c r="D671"/>
  <c r="B671"/>
  <c r="B663"/>
  <c r="D663"/>
  <c r="H671"/>
  <c r="H643"/>
  <c r="D643"/>
  <c r="F643"/>
  <c r="B643"/>
  <c r="F635"/>
  <c r="B635"/>
  <c r="D635"/>
  <c r="H635"/>
  <c r="B615"/>
  <c r="H615"/>
  <c r="D615"/>
  <c r="I611"/>
  <c r="F607"/>
  <c r="D607"/>
  <c r="B607"/>
  <c r="H607"/>
  <c r="H587"/>
  <c r="B587"/>
  <c r="D587"/>
  <c r="F587"/>
  <c r="B579"/>
  <c r="I575"/>
  <c r="D579"/>
  <c r="H579"/>
  <c r="B557"/>
  <c r="H557"/>
  <c r="D557"/>
  <c r="I553"/>
  <c r="B839"/>
  <c r="I835"/>
  <c r="H839"/>
  <c r="F839"/>
  <c r="D839"/>
  <c r="F831"/>
  <c r="D831"/>
  <c r="B831"/>
  <c r="H831"/>
  <c r="I827"/>
  <c r="D549"/>
  <c r="I545"/>
  <c r="B549"/>
  <c r="F549"/>
  <c r="B529"/>
  <c r="D529"/>
  <c r="I525"/>
  <c r="H529"/>
  <c r="D521"/>
  <c r="F521"/>
  <c r="H521"/>
  <c r="I517"/>
  <c r="D493"/>
  <c r="B501"/>
  <c r="I497"/>
  <c r="D501"/>
  <c r="H501"/>
  <c r="I489"/>
  <c r="B493"/>
  <c r="H493"/>
  <c r="D465"/>
  <c r="F465"/>
  <c r="B465"/>
  <c r="I461"/>
  <c r="I469"/>
  <c r="H473"/>
  <c r="B473"/>
  <c r="F473"/>
  <c r="D473"/>
  <c r="B445"/>
  <c r="I441"/>
  <c r="F445"/>
  <c r="H445"/>
  <c r="H437"/>
  <c r="D437"/>
  <c r="B437"/>
  <c r="I433"/>
  <c r="D409"/>
  <c r="B409"/>
  <c r="I405"/>
  <c r="F409"/>
  <c r="D417"/>
  <c r="H417"/>
  <c r="F417"/>
  <c r="I413"/>
  <c r="I377"/>
  <c r="H381"/>
  <c r="D381"/>
  <c r="F381"/>
  <c r="H389"/>
  <c r="B389"/>
  <c r="F389"/>
  <c r="D389"/>
  <c r="I385"/>
  <c r="D305"/>
  <c r="B305"/>
  <c r="D297"/>
  <c r="I293"/>
  <c r="B297"/>
  <c r="H305"/>
  <c r="F305"/>
  <c r="H297"/>
  <c r="H247"/>
  <c r="I243"/>
  <c r="D247"/>
  <c r="B247"/>
  <c r="B239"/>
  <c r="I235"/>
  <c r="F239"/>
  <c r="D239"/>
  <c r="H267"/>
  <c r="D267"/>
  <c r="I263"/>
  <c r="F267"/>
  <c r="I271"/>
  <c r="B275"/>
  <c r="H275"/>
  <c r="F275"/>
  <c r="D211"/>
  <c r="B211"/>
  <c r="H211"/>
  <c r="I207"/>
  <c r="B219"/>
  <c r="F219"/>
  <c r="I215"/>
  <c r="H219"/>
  <c r="D219"/>
  <c r="D183"/>
  <c r="I179"/>
  <c r="F183"/>
  <c r="B191"/>
  <c r="F191"/>
  <c r="H183"/>
  <c r="I187"/>
  <c r="D191"/>
  <c r="H163"/>
  <c r="I159"/>
  <c r="D163"/>
  <c r="B163"/>
  <c r="D155"/>
  <c r="I151"/>
  <c r="B155"/>
  <c r="F155"/>
  <c r="H127"/>
  <c r="F127"/>
  <c r="I123"/>
  <c r="D127"/>
  <c r="D135"/>
  <c r="H135"/>
  <c r="B135"/>
  <c r="F135"/>
  <c r="H99"/>
  <c r="D107"/>
  <c r="H107"/>
  <c r="B107"/>
  <c r="B99"/>
  <c r="F99"/>
  <c r="I103"/>
  <c r="I95"/>
  <c r="D79"/>
  <c r="F79"/>
  <c r="B79"/>
  <c r="H79"/>
  <c r="B71"/>
  <c r="F71"/>
  <c r="I67"/>
  <c r="H71"/>
  <c r="H51"/>
  <c r="D51"/>
  <c r="F51"/>
  <c r="B51"/>
  <c r="D43"/>
  <c r="F43"/>
  <c r="I39"/>
  <c r="H43"/>
  <c r="F15"/>
  <c r="H15"/>
  <c r="D15"/>
  <c r="I11"/>
  <c r="I19"/>
  <c r="F23"/>
  <c r="D23"/>
  <c r="H23"/>
  <c r="D24" i="1"/>
  <c r="B24"/>
  <c r="H24"/>
  <c r="F24"/>
  <c r="I18"/>
  <c r="C18"/>
  <c r="H16"/>
  <c r="D16"/>
  <c r="I10"/>
  <c r="F16"/>
  <c r="B1367" i="9" l="1"/>
  <c r="H1367"/>
  <c r="F1367"/>
  <c r="D1367"/>
  <c r="I1363"/>
  <c r="D1375"/>
  <c r="H1375"/>
  <c r="F1375"/>
  <c r="I1371"/>
  <c r="B1375"/>
  <c r="E1871"/>
  <c r="F1875"/>
  <c r="D1875"/>
  <c r="H1875"/>
  <c r="I1871"/>
  <c r="B1875"/>
  <c r="E1879"/>
  <c r="C1879"/>
  <c r="C1871"/>
  <c r="I1879"/>
  <c r="D1883"/>
  <c r="B1883"/>
  <c r="F1883"/>
  <c r="H1883"/>
  <c r="B1893"/>
  <c r="G1879"/>
  <c r="C1887"/>
  <c r="G1871"/>
  <c r="B1891"/>
  <c r="G1887"/>
  <c r="E1887"/>
</calcChain>
</file>

<file path=xl/sharedStrings.xml><?xml version="1.0" encoding="utf-8"?>
<sst xmlns="http://schemas.openxmlformats.org/spreadsheetml/2006/main" count="13571" uniqueCount="1190">
  <si>
    <t>Bezeichnung</t>
  </si>
  <si>
    <t>PL</t>
  </si>
  <si>
    <t>PFH [1/h]</t>
  </si>
  <si>
    <t>Input</t>
  </si>
  <si>
    <t>Art</t>
  </si>
  <si>
    <t>Eingang</t>
  </si>
  <si>
    <t>Ausgang</t>
  </si>
  <si>
    <t>PLr</t>
  </si>
  <si>
    <t>Output</t>
  </si>
  <si>
    <t>Stückliste</t>
  </si>
  <si>
    <t>Logik4</t>
  </si>
  <si>
    <t>Logik5</t>
  </si>
  <si>
    <t>Logik6</t>
  </si>
  <si>
    <t>Logik7</t>
  </si>
  <si>
    <t>Logik8</t>
  </si>
  <si>
    <t>Logik9</t>
  </si>
  <si>
    <t>Logik10</t>
  </si>
  <si>
    <t>Logik 01</t>
  </si>
  <si>
    <t>Logik 02</t>
  </si>
  <si>
    <t>Logik 03</t>
  </si>
  <si>
    <t>Logik 04</t>
  </si>
  <si>
    <t>Logik 05</t>
  </si>
  <si>
    <t>Logik 06</t>
  </si>
  <si>
    <t>Logik 07</t>
  </si>
  <si>
    <t>Logik 08</t>
  </si>
  <si>
    <t>Logik 09</t>
  </si>
  <si>
    <t>Logik 10</t>
  </si>
  <si>
    <t>Spalte1</t>
  </si>
  <si>
    <t>Spalte2</t>
  </si>
  <si>
    <t>Spalte3</t>
  </si>
  <si>
    <t>Spalte4</t>
  </si>
  <si>
    <t>Spalte5</t>
  </si>
  <si>
    <t>Spalte6</t>
  </si>
  <si>
    <t>Spalte7</t>
  </si>
  <si>
    <t>Spalte8</t>
  </si>
  <si>
    <t>Spalte9</t>
  </si>
  <si>
    <t>Spalte10</t>
  </si>
  <si>
    <t>Spalte11</t>
  </si>
  <si>
    <t>Spalte12</t>
  </si>
  <si>
    <t>Spalte13</t>
  </si>
  <si>
    <t>Spalte14</t>
  </si>
  <si>
    <t>Spalte15</t>
  </si>
  <si>
    <t>Spalte16</t>
  </si>
  <si>
    <t>Spalte17</t>
  </si>
  <si>
    <t>Spalte18</t>
  </si>
  <si>
    <t>Spalte19</t>
  </si>
  <si>
    <t>Spalte20</t>
  </si>
  <si>
    <t>Spalte21</t>
  </si>
  <si>
    <t>Spalte22</t>
  </si>
  <si>
    <t>Spalte23</t>
  </si>
  <si>
    <t>Spalte24</t>
  </si>
  <si>
    <t>Spalte25</t>
  </si>
  <si>
    <t>Spalte26</t>
  </si>
  <si>
    <t>Spalte27</t>
  </si>
  <si>
    <t>Spalte28</t>
  </si>
  <si>
    <t>Spalte29</t>
  </si>
  <si>
    <t>Spalte30</t>
  </si>
  <si>
    <t>Spalte31</t>
  </si>
  <si>
    <t>Spalte32</t>
  </si>
  <si>
    <t>Spalte33</t>
  </si>
  <si>
    <t>Spalte34</t>
  </si>
  <si>
    <t>Spalte35</t>
  </si>
  <si>
    <t>Spalte36</t>
  </si>
  <si>
    <t>Spalte37</t>
  </si>
  <si>
    <t>Spalte38</t>
  </si>
  <si>
    <t>Spalte39</t>
  </si>
  <si>
    <t>Spalte40</t>
  </si>
  <si>
    <t>Spalte41</t>
  </si>
  <si>
    <t>Spalte42</t>
  </si>
  <si>
    <t>Spalte43</t>
  </si>
  <si>
    <t>Spalte44</t>
  </si>
  <si>
    <t>Spalte45</t>
  </si>
  <si>
    <t>Spalte46</t>
  </si>
  <si>
    <t>Spalte47</t>
  </si>
  <si>
    <t>Spalte48</t>
  </si>
  <si>
    <t>Spalte49</t>
  </si>
  <si>
    <t>Spalte50</t>
  </si>
  <si>
    <t>Spalte51</t>
  </si>
  <si>
    <t>Spalte52</t>
  </si>
  <si>
    <t>Spalte53</t>
  </si>
  <si>
    <t>Spalte54</t>
  </si>
  <si>
    <t>Spalte55</t>
  </si>
  <si>
    <t>Spalte56</t>
  </si>
  <si>
    <t>Spalte57</t>
  </si>
  <si>
    <t>Spalte58</t>
  </si>
  <si>
    <t>Spalte59</t>
  </si>
  <si>
    <t>Spalte60</t>
  </si>
  <si>
    <t>Spalte61</t>
  </si>
  <si>
    <t>Spalte62</t>
  </si>
  <si>
    <t>Spalte63</t>
  </si>
  <si>
    <t>Spalte64</t>
  </si>
  <si>
    <t>Spalte65</t>
  </si>
  <si>
    <t>Spalte66</t>
  </si>
  <si>
    <t>Spalte67</t>
  </si>
  <si>
    <t>Logic 01</t>
  </si>
  <si>
    <t>Logic 02</t>
  </si>
  <si>
    <t>Tricks01</t>
  </si>
  <si>
    <t>Tricks02</t>
  </si>
  <si>
    <t>Spalte68</t>
  </si>
  <si>
    <t>Dropdown 3</t>
  </si>
  <si>
    <t>Erforderlich</t>
  </si>
  <si>
    <t>Erreicht</t>
  </si>
  <si>
    <t>Logic3</t>
  </si>
  <si>
    <t>Firma Test</t>
  </si>
  <si>
    <t>1. test1</t>
  </si>
  <si>
    <t>2. test2</t>
  </si>
  <si>
    <t>eeee-0000</t>
  </si>
  <si>
    <t>Bez_Ein0</t>
  </si>
  <si>
    <t>PLr_ges0</t>
  </si>
  <si>
    <t>Pl_ges0</t>
  </si>
  <si>
    <t>PL_Ein0</t>
  </si>
  <si>
    <t>aaaa-0000</t>
  </si>
  <si>
    <t>Bez_Aus0</t>
  </si>
  <si>
    <t>Bez_Aus2</t>
  </si>
  <si>
    <t>Bez_Aus3</t>
  </si>
  <si>
    <t>Bez_Aus4</t>
  </si>
  <si>
    <t>Bez_Aus5</t>
  </si>
  <si>
    <t>Bez_Aus6</t>
  </si>
  <si>
    <t>Bez_Aus7</t>
  </si>
  <si>
    <t>Bez_Aus8</t>
  </si>
  <si>
    <t>Bez_Aus9</t>
  </si>
  <si>
    <t>PL_Aus0</t>
  </si>
  <si>
    <t>Bez_Aus10</t>
  </si>
  <si>
    <t>2.1 test2 (E+1L+A)</t>
  </si>
  <si>
    <t>2.2 test2 (E+2L+A)</t>
  </si>
  <si>
    <t>2.3 test2 (E+3L+A)</t>
  </si>
  <si>
    <t>2.4 test2 (E+4L+A)</t>
  </si>
  <si>
    <t>2.5 test2 (E+5L+A)</t>
  </si>
  <si>
    <t>1.2 test1 (E+2L+A)</t>
  </si>
  <si>
    <t>1.3 test1 (E+3L+A)</t>
  </si>
  <si>
    <t>1.4 test1 (E+4L+A)</t>
  </si>
  <si>
    <t>1.5 test1 (E+5L+A)</t>
  </si>
  <si>
    <t>1.6 test1 (E+6L+A)</t>
  </si>
  <si>
    <t>1.7 test1 (E+7L+A)</t>
  </si>
  <si>
    <t>1.8 test1 (E+8L+A)</t>
  </si>
  <si>
    <t>1.9 test1 (E+9L+A)</t>
  </si>
  <si>
    <t>1.10 test1 (E+10L+A)</t>
  </si>
  <si>
    <t>PLr_ges1_2</t>
  </si>
  <si>
    <t>PLr_ges1_3</t>
  </si>
  <si>
    <t>PLr_ges1_4</t>
  </si>
  <si>
    <t>PLr_ges1_5</t>
  </si>
  <si>
    <t>PLr_ges1_6</t>
  </si>
  <si>
    <t>PLr_ges1_7</t>
  </si>
  <si>
    <t>PLr_ges1_8</t>
  </si>
  <si>
    <t>PLr_ges1_9</t>
  </si>
  <si>
    <t>PLr_ges1_10</t>
  </si>
  <si>
    <t>Pl_ges1_2</t>
  </si>
  <si>
    <t>Pl_ges1_3</t>
  </si>
  <si>
    <t>Pl_ges1_4</t>
  </si>
  <si>
    <t>Pl_ges1_5</t>
  </si>
  <si>
    <t>Pl_ges1_6</t>
  </si>
  <si>
    <t>Pl_ges1_7</t>
  </si>
  <si>
    <t>Pl_ges1_8</t>
  </si>
  <si>
    <t>Pl_ges1_9</t>
  </si>
  <si>
    <t>Pl_ges1_10</t>
  </si>
  <si>
    <t>eeee-11_2</t>
  </si>
  <si>
    <t>eeee-11_3</t>
  </si>
  <si>
    <t>eeee-11_4</t>
  </si>
  <si>
    <t>eeee-11_5</t>
  </si>
  <si>
    <t>eeee-11_6</t>
  </si>
  <si>
    <t>eeee-11_7</t>
  </si>
  <si>
    <t>eeee-11_8</t>
  </si>
  <si>
    <t>eeee-11_9</t>
  </si>
  <si>
    <t>eeee-11_10</t>
  </si>
  <si>
    <t>Bez_Ein1_2</t>
  </si>
  <si>
    <t>Bez_Ein1_3</t>
  </si>
  <si>
    <t>Bez_Ein1_4</t>
  </si>
  <si>
    <t>Bez_Ein1_5</t>
  </si>
  <si>
    <t>Bez_Ein1_6</t>
  </si>
  <si>
    <t>Bez_Ein1_7</t>
  </si>
  <si>
    <t>Bez_Ein1_8</t>
  </si>
  <si>
    <t>Bez_Ein1_9</t>
  </si>
  <si>
    <t>Bez_Ein1_10</t>
  </si>
  <si>
    <t>PL_Ein1_2</t>
  </si>
  <si>
    <t>PL_Ein1_3</t>
  </si>
  <si>
    <t>PL_Ein1_4</t>
  </si>
  <si>
    <t>PL_Ein1_5</t>
  </si>
  <si>
    <t>PL_Ein1_6</t>
  </si>
  <si>
    <t>PL_Ein1_7</t>
  </si>
  <si>
    <t>PL_Ein1_8</t>
  </si>
  <si>
    <t>PL_Ein1_9</t>
  </si>
  <si>
    <t>PL_Ein1_10</t>
  </si>
  <si>
    <t>aaaa-11_2</t>
  </si>
  <si>
    <t>aaaa-11_3</t>
  </si>
  <si>
    <t>aaaa-11_4</t>
  </si>
  <si>
    <t>aaaa-11_5</t>
  </si>
  <si>
    <t>aaaa-11_6</t>
  </si>
  <si>
    <t>aaaa-11_7</t>
  </si>
  <si>
    <t>aaaa-11_8</t>
  </si>
  <si>
    <t>aaaa-11_9</t>
  </si>
  <si>
    <t>aaaa-11_10</t>
  </si>
  <si>
    <t>Bez_Lo01_2</t>
  </si>
  <si>
    <t>Bez_Lo01_3</t>
  </si>
  <si>
    <t>Bez_Lo01_4</t>
  </si>
  <si>
    <t>Bez_Lo01_5</t>
  </si>
  <si>
    <t>Bez_Lo01_6</t>
  </si>
  <si>
    <t>Bez_Lo01_7</t>
  </si>
  <si>
    <t>Bez_Lo01_8</t>
  </si>
  <si>
    <t>Bez_Lo01_9</t>
  </si>
  <si>
    <t>Bez_Lo01_10</t>
  </si>
  <si>
    <t>PL_Lo01_3</t>
  </si>
  <si>
    <t>PL_Lo01_4</t>
  </si>
  <si>
    <t>PL_Lo01_5</t>
  </si>
  <si>
    <t>PL_Lo01_6</t>
  </si>
  <si>
    <t>PL_Lo01_7</t>
  </si>
  <si>
    <t>PL_Lo01_8</t>
  </si>
  <si>
    <t>PL_Lo01_9</t>
  </si>
  <si>
    <t>PL_Lo01_10</t>
  </si>
  <si>
    <t>Lo02-22_2</t>
  </si>
  <si>
    <t>Lo02-22_3</t>
  </si>
  <si>
    <t>Lo02-22_4</t>
  </si>
  <si>
    <t>Lo02-22_5</t>
  </si>
  <si>
    <t>Lo02-22_6</t>
  </si>
  <si>
    <t>Lo02-22_7</t>
  </si>
  <si>
    <t>Lo02-22_8</t>
  </si>
  <si>
    <t>Lo02-22_9</t>
  </si>
  <si>
    <t>Bez_Lo02_2</t>
  </si>
  <si>
    <t>Bez_Lo02_3</t>
  </si>
  <si>
    <t>Bez_Lo02_4</t>
  </si>
  <si>
    <t>Bez_Lo02_5</t>
  </si>
  <si>
    <t>Bez_Lo02_6</t>
  </si>
  <si>
    <t>Bez_Lo02_7</t>
  </si>
  <si>
    <t>Bez_Lo02_8</t>
  </si>
  <si>
    <t>Bez_Lo02_9</t>
  </si>
  <si>
    <t>Lo02-22_10</t>
  </si>
  <si>
    <t>Bez_Lo02_10</t>
  </si>
  <si>
    <t>PL_Lo02_3</t>
  </si>
  <si>
    <t>PL_Lo02_4</t>
  </si>
  <si>
    <t>PL_Lo02_5</t>
  </si>
  <si>
    <t>PL_Lo02_6</t>
  </si>
  <si>
    <t>PL_Lo02_7</t>
  </si>
  <si>
    <t>PL_Lo02_8</t>
  </si>
  <si>
    <t>PL_Lo02_9</t>
  </si>
  <si>
    <t>PL_Lo02_10</t>
  </si>
  <si>
    <t>Lo03-33_3</t>
  </si>
  <si>
    <t>Lo03-33_4</t>
  </si>
  <si>
    <t>Lo03-33_5</t>
  </si>
  <si>
    <t>Lo03-33_6</t>
  </si>
  <si>
    <t>Lo03-33_7</t>
  </si>
  <si>
    <t>Lo03-33_8</t>
  </si>
  <si>
    <t>Lo03-33_9</t>
  </si>
  <si>
    <t>Lo03-33_10</t>
  </si>
  <si>
    <t>Bez_Lo03_3</t>
  </si>
  <si>
    <t>Bez_Lo03_4</t>
  </si>
  <si>
    <t>Bez_Lo03_5</t>
  </si>
  <si>
    <t>Bez_Lo03_6</t>
  </si>
  <si>
    <t>Bez_Lo03_7</t>
  </si>
  <si>
    <t>Bez_Lo03_8</t>
  </si>
  <si>
    <t>Bez_Lo03_9</t>
  </si>
  <si>
    <t>Bez_Lo03_10</t>
  </si>
  <si>
    <t>PL_Lo03_3</t>
  </si>
  <si>
    <t>PL_Lo03_4</t>
  </si>
  <si>
    <t>PL_Lo03_5</t>
  </si>
  <si>
    <t>PL_Lo03_6</t>
  </si>
  <si>
    <t>PL_Lo03_7</t>
  </si>
  <si>
    <t>PL_Lo03_8</t>
  </si>
  <si>
    <t>PL_Lo03_9</t>
  </si>
  <si>
    <t>PL_Lo03_10</t>
  </si>
  <si>
    <t>PL_Lo02_2</t>
  </si>
  <si>
    <t>Bez_Lo04_10</t>
  </si>
  <si>
    <t>PL_Lo04_10</t>
  </si>
  <si>
    <t>PL_Lo10_10</t>
  </si>
  <si>
    <t>1.1 test1 (E+1L+A)</t>
  </si>
  <si>
    <t>PLr_ges1_1</t>
  </si>
  <si>
    <t>Pl_ges1_1</t>
  </si>
  <si>
    <t>eeee-11_1</t>
  </si>
  <si>
    <t>Bez_Ein1_1</t>
  </si>
  <si>
    <t>PL_Ein1_1</t>
  </si>
  <si>
    <t>aaaa-11_1</t>
  </si>
  <si>
    <t>Bez_Aus1</t>
  </si>
  <si>
    <t>0.0 test0 (E+A)</t>
  </si>
  <si>
    <t>2.10 test2 (E+10L+A)</t>
  </si>
  <si>
    <t>2.6 test2 (E+6L+A)</t>
  </si>
  <si>
    <t>2.7 test2 (E+7L+A)</t>
  </si>
  <si>
    <t>2.8 test2 (E+8L+A)</t>
  </si>
  <si>
    <t>2.9 test2 (E+9L+A)</t>
  </si>
  <si>
    <t>PLr_ges2_1</t>
  </si>
  <si>
    <t>PLr_ges2_2</t>
  </si>
  <si>
    <t>PLr_ges2_3</t>
  </si>
  <si>
    <t>PLr_ges2_4</t>
  </si>
  <si>
    <t>PLr_ges2_5</t>
  </si>
  <si>
    <t>PLr_ges2_6</t>
  </si>
  <si>
    <t>PLr_ges2_7</t>
  </si>
  <si>
    <t>PLr_ges2_8</t>
  </si>
  <si>
    <t>PLr_ges2_9</t>
  </si>
  <si>
    <t>PLr_ges2_10</t>
  </si>
  <si>
    <t>Pl_ges2_1</t>
  </si>
  <si>
    <t>Pl_ges2_2</t>
  </si>
  <si>
    <t>Pl_ges2_3</t>
  </si>
  <si>
    <t>Pl_ges2_4</t>
  </si>
  <si>
    <t>Pl_ges2_5</t>
  </si>
  <si>
    <t>Pl_ges2_6</t>
  </si>
  <si>
    <t>Pl_ges2_7</t>
  </si>
  <si>
    <t>Pl_ges2_8</t>
  </si>
  <si>
    <t>Pl_ges2_9</t>
  </si>
  <si>
    <t>Pl_ges2_10</t>
  </si>
  <si>
    <t>eeee-22_1</t>
  </si>
  <si>
    <t>eeee-22_2</t>
  </si>
  <si>
    <t>eeee-22_3</t>
  </si>
  <si>
    <t>eeee-22_4</t>
  </si>
  <si>
    <t>eeee-22_5</t>
  </si>
  <si>
    <t>eeee-22_6</t>
  </si>
  <si>
    <t>eeee-22_7</t>
  </si>
  <si>
    <t>eeee-22_8</t>
  </si>
  <si>
    <t>eeee-22_9</t>
  </si>
  <si>
    <t>eeee-22_10</t>
  </si>
  <si>
    <t>Bez_Ein2_1</t>
  </si>
  <si>
    <t>Bez_Ein2_2</t>
  </si>
  <si>
    <t>Bez_Ein2_3</t>
  </si>
  <si>
    <t>Bez_Ein2_4</t>
  </si>
  <si>
    <t>Bez_Ein2_5</t>
  </si>
  <si>
    <t>Bez_Ein2_6</t>
  </si>
  <si>
    <t>Bez_Ein2_7</t>
  </si>
  <si>
    <t>Bez_Ein2_8</t>
  </si>
  <si>
    <t>Bez_Ein2_9</t>
  </si>
  <si>
    <t>Bez_Ein2_10</t>
  </si>
  <si>
    <t>PL_Ein2_1</t>
  </si>
  <si>
    <t>PL_Ein2_2</t>
  </si>
  <si>
    <t>PL_Ein2_3</t>
  </si>
  <si>
    <t>PL_Ein2_4</t>
  </si>
  <si>
    <t>PL_Ein2_5</t>
  </si>
  <si>
    <t>PL_Ein2_6</t>
  </si>
  <si>
    <t>PL_Ein2_7</t>
  </si>
  <si>
    <t>PL_Ein2_8</t>
  </si>
  <si>
    <t>PL_Ein2_9</t>
  </si>
  <si>
    <t>PL_Ein2_10</t>
  </si>
  <si>
    <t>aaaa-22_1</t>
  </si>
  <si>
    <t>aaaa-22_2</t>
  </si>
  <si>
    <t>aaaa-22_3</t>
  </si>
  <si>
    <t>aaaa-22_4</t>
  </si>
  <si>
    <t>aaaa-22_5</t>
  </si>
  <si>
    <t>aaaa-22_6</t>
  </si>
  <si>
    <t>aaaa-22_7</t>
  </si>
  <si>
    <t>aaaa-22_8</t>
  </si>
  <si>
    <t>aaaa-22_9</t>
  </si>
  <si>
    <t>aaaa-22_10</t>
  </si>
  <si>
    <t>Bez_Aus2_1</t>
  </si>
  <si>
    <t>Bez_Aus2_2</t>
  </si>
  <si>
    <t>Bez_Aus2_3</t>
  </si>
  <si>
    <t>Bez_Aus2_4</t>
  </si>
  <si>
    <t>Bez_Aus2_5</t>
  </si>
  <si>
    <t>Bez_Aus2_6</t>
  </si>
  <si>
    <t>Bez_Aus2_7</t>
  </si>
  <si>
    <t>Bez_Aus2_8</t>
  </si>
  <si>
    <t>Bez_Aus2_9</t>
  </si>
  <si>
    <t>Bez_Aus2_10</t>
  </si>
  <si>
    <t>PL_Aus2_1</t>
  </si>
  <si>
    <t>PL_Aus2_2</t>
  </si>
  <si>
    <t>PL_Aus2_3</t>
  </si>
  <si>
    <t>PL_Aus2_4</t>
  </si>
  <si>
    <t>PL_Aus2_5</t>
  </si>
  <si>
    <t>PL_Aus2_6</t>
  </si>
  <si>
    <t>PL_Aus2_7</t>
  </si>
  <si>
    <t>PL_Aus2_8</t>
  </si>
  <si>
    <t>PL_Aus2_9</t>
  </si>
  <si>
    <t>PL_Aus2_10</t>
  </si>
  <si>
    <t>PL_Aus1_1</t>
  </si>
  <si>
    <t>PL_Aus1_2</t>
  </si>
  <si>
    <t>PL_Aus1_3</t>
  </si>
  <si>
    <t>PL_Aus1_4</t>
  </si>
  <si>
    <t>PL_Aus1_5</t>
  </si>
  <si>
    <t>PL_Aus1_6</t>
  </si>
  <si>
    <t>PL_Aus1_7</t>
  </si>
  <si>
    <t>PL_Aus1_8</t>
  </si>
  <si>
    <t>PL_Aus1_9</t>
  </si>
  <si>
    <t>PL_Aus1_10</t>
  </si>
  <si>
    <t>Lo01-22_2</t>
  </si>
  <si>
    <t>Lo01-22_3</t>
  </si>
  <si>
    <t>Lo01-22_4</t>
  </si>
  <si>
    <t>Lo01-22_5</t>
  </si>
  <si>
    <t>Lo01-22_6</t>
  </si>
  <si>
    <t>Lo01-22_7</t>
  </si>
  <si>
    <t>Lo01-22_8</t>
  </si>
  <si>
    <t>Lo01-22_9</t>
  </si>
  <si>
    <t>Lo01-22_10</t>
  </si>
  <si>
    <t>Lo01-33_3</t>
  </si>
  <si>
    <t>Lo01-33_4</t>
  </si>
  <si>
    <t>Lo01-33_5</t>
  </si>
  <si>
    <t>Lo01-33_6</t>
  </si>
  <si>
    <t>Lo01-33_7</t>
  </si>
  <si>
    <t>Lo01-33_8</t>
  </si>
  <si>
    <t>Lo01-33_9</t>
  </si>
  <si>
    <t>Lo01-33_10</t>
  </si>
  <si>
    <t>Lo01_44_4</t>
  </si>
  <si>
    <t>Lo01_44_5</t>
  </si>
  <si>
    <t>Lo01_44_6</t>
  </si>
  <si>
    <t>Lo01_44_7</t>
  </si>
  <si>
    <t>Lo01_44_8</t>
  </si>
  <si>
    <t>Lo01_44_9</t>
  </si>
  <si>
    <t>Lo01_44_10</t>
  </si>
  <si>
    <t>Lo01_55_5</t>
  </si>
  <si>
    <t>Lo01_55_6</t>
  </si>
  <si>
    <t>Lo01_55_7</t>
  </si>
  <si>
    <t>Lo01_55_8</t>
  </si>
  <si>
    <t>Lo01_55_9</t>
  </si>
  <si>
    <t>Lo01_55_10</t>
  </si>
  <si>
    <t>Lo01_99_9</t>
  </si>
  <si>
    <t>Lo01_99_10</t>
  </si>
  <si>
    <t>Lo01_10_10</t>
  </si>
  <si>
    <t>Bez_01_10</t>
  </si>
  <si>
    <t>PL_Lo02_09</t>
  </si>
  <si>
    <t>PL_Lo02_08</t>
  </si>
  <si>
    <t>Lo02-10_10</t>
  </si>
  <si>
    <t>Bez_Lo02_07</t>
  </si>
  <si>
    <t>Bez_Lo02_08</t>
  </si>
  <si>
    <t>Bez_Lo02_09</t>
  </si>
  <si>
    <t>Lo02-22_09</t>
  </si>
  <si>
    <t>PL_Lo02_07</t>
  </si>
  <si>
    <t>Lo02-22_07</t>
  </si>
  <si>
    <t>Lo02-22_08</t>
  </si>
  <si>
    <t>PL_Lo02_06</t>
  </si>
  <si>
    <t>Bez_Lo02_06</t>
  </si>
  <si>
    <t>Lo02-22_06</t>
  </si>
  <si>
    <t>3. Test3</t>
  </si>
  <si>
    <t>3.1 Test3 (E+1L+A)</t>
  </si>
  <si>
    <t>3.2 Test3 (E+2L+A)</t>
  </si>
  <si>
    <t>3.3 Test3 (E+3L+A)</t>
  </si>
  <si>
    <t>3.4 Test3 (E+4L+A)</t>
  </si>
  <si>
    <t>3.5 Test3 (E+5L+A)</t>
  </si>
  <si>
    <t>3.6 Test3 (E+6L+A)</t>
  </si>
  <si>
    <t>3.7 Test3 (E+7L+A)</t>
  </si>
  <si>
    <t>3.8 Test3 (E+8L+A)</t>
  </si>
  <si>
    <t>3.9 Test3 (E+9L+A)</t>
  </si>
  <si>
    <t>3.10 Test3 (E+10L+A)</t>
  </si>
  <si>
    <t>eeee-33_1</t>
  </si>
  <si>
    <t>Bez_Ein3_1</t>
  </si>
  <si>
    <t>Pl_ges3_1</t>
  </si>
  <si>
    <t>Pl_ges3_2</t>
  </si>
  <si>
    <t>Pl_ges3_3</t>
  </si>
  <si>
    <t>Pl_ges3_4</t>
  </si>
  <si>
    <t>Pl_ges3_5</t>
  </si>
  <si>
    <t>Pl_ges3_6</t>
  </si>
  <si>
    <t>Pl_ges3_7</t>
  </si>
  <si>
    <t>Pl_ges3_8</t>
  </si>
  <si>
    <t>Pl_ges3_9</t>
  </si>
  <si>
    <t>Pl_ges3_10</t>
  </si>
  <si>
    <t>PLr_ges3_1</t>
  </si>
  <si>
    <t>PLr_ges3_2</t>
  </si>
  <si>
    <t>PLr_ges3_3</t>
  </si>
  <si>
    <t>PLr_ges3_4</t>
  </si>
  <si>
    <t>PLr_ges3_5</t>
  </si>
  <si>
    <t>PLr_ges3_6</t>
  </si>
  <si>
    <t>PLr_ges3_7</t>
  </si>
  <si>
    <t>PLr_ges3_8</t>
  </si>
  <si>
    <t>PLr_ges3_9</t>
  </si>
  <si>
    <t>PLr_ges3_10</t>
  </si>
  <si>
    <t>eeee-33_2</t>
  </si>
  <si>
    <t>eeee-33_3</t>
  </si>
  <si>
    <t>eeee-33_4</t>
  </si>
  <si>
    <t>eeee-33_5</t>
  </si>
  <si>
    <t>eeee-33_6</t>
  </si>
  <si>
    <t>eeee-33_7</t>
  </si>
  <si>
    <t>eeee-33_8</t>
  </si>
  <si>
    <t>eeee-33_9</t>
  </si>
  <si>
    <t>eeee-33_10</t>
  </si>
  <si>
    <t>Bez_Ein3_2</t>
  </si>
  <si>
    <t>Bez_Ein3_3</t>
  </si>
  <si>
    <t>Bez_Ein3_4</t>
  </si>
  <si>
    <t>Bez_Ein3_5</t>
  </si>
  <si>
    <t>Bez_Ein3_6</t>
  </si>
  <si>
    <t>Bez_Ein3_7</t>
  </si>
  <si>
    <t>Bez_Ein3_8</t>
  </si>
  <si>
    <t>Bez_Ein3_9</t>
  </si>
  <si>
    <t>Bez_Ein3_10</t>
  </si>
  <si>
    <t>PL_Ein3_1</t>
  </si>
  <si>
    <t>PL_Ein3_2</t>
  </si>
  <si>
    <t>PL_Ein3_3</t>
  </si>
  <si>
    <t>PL_Ein3_4</t>
  </si>
  <si>
    <t>PL_Ein3_5</t>
  </si>
  <si>
    <t>PL_Ein3_6</t>
  </si>
  <si>
    <t>PL_Ein3_7</t>
  </si>
  <si>
    <t>PL_Ein3_8</t>
  </si>
  <si>
    <t>PL_Ein3_9</t>
  </si>
  <si>
    <t>PL_Ein3_10</t>
  </si>
  <si>
    <t>aaaa-33_1</t>
  </si>
  <si>
    <t>aaaa-33_2</t>
  </si>
  <si>
    <t>aaaa-33_3</t>
  </si>
  <si>
    <t>aaaa-33_4</t>
  </si>
  <si>
    <t>aaaa-33_5</t>
  </si>
  <si>
    <t>aaaa-33_6</t>
  </si>
  <si>
    <t>aaaa-33_7</t>
  </si>
  <si>
    <t>aaaa-33_8</t>
  </si>
  <si>
    <t>aaaa-33_9</t>
  </si>
  <si>
    <t>aaaa-33_10</t>
  </si>
  <si>
    <t>Bez_Aus3_1</t>
  </si>
  <si>
    <t>Bez_Aus3_2</t>
  </si>
  <si>
    <t>Bez_Aus3_3</t>
  </si>
  <si>
    <t>Bez_Aus3_4</t>
  </si>
  <si>
    <t>Bez_Aus3_5</t>
  </si>
  <si>
    <t>Bez_Aus3_6</t>
  </si>
  <si>
    <t>Bez_Aus3_7</t>
  </si>
  <si>
    <t>Bez_Aus3_8</t>
  </si>
  <si>
    <t>Bez_Aus3_9</t>
  </si>
  <si>
    <t>Bez_Aus3_10</t>
  </si>
  <si>
    <t>PL_Aus3_1</t>
  </si>
  <si>
    <t>PL_Aus3_2</t>
  </si>
  <si>
    <t>PL_Aus3_3</t>
  </si>
  <si>
    <t>PL_Aus3_4</t>
  </si>
  <si>
    <t>PL_Aus3_5</t>
  </si>
  <si>
    <t>PL_Aus3_6</t>
  </si>
  <si>
    <t>PL_Aus3_7</t>
  </si>
  <si>
    <t>PL_Aus3_8</t>
  </si>
  <si>
    <t>PL_Aus3_9</t>
  </si>
  <si>
    <t>PL_Aus3_10</t>
  </si>
  <si>
    <t>PL_Lo03_2</t>
  </si>
  <si>
    <t>Lo03-33_06</t>
  </si>
  <si>
    <t>Lo03-33_07</t>
  </si>
  <si>
    <t>Lo03-33_08</t>
  </si>
  <si>
    <t>Lo03-33_09</t>
  </si>
  <si>
    <t>Bez_Lo03_06</t>
  </si>
  <si>
    <t>Bez_Lo03_07</t>
  </si>
  <si>
    <t>Bez_Lo03_08</t>
  </si>
  <si>
    <t>Bez_Lo03_09</t>
  </si>
  <si>
    <t>PL_Lo03_06</t>
  </si>
  <si>
    <t>PL_Lo03_07</t>
  </si>
  <si>
    <t>PL_Lo03_08</t>
  </si>
  <si>
    <t>PL_Lo03_09</t>
  </si>
  <si>
    <t>Lo03-10_10</t>
  </si>
  <si>
    <t>Lo02-88_08</t>
  </si>
  <si>
    <t>Lo02-88_09</t>
  </si>
  <si>
    <t>Lo02-88_10</t>
  </si>
  <si>
    <t>Lo03-88_08</t>
  </si>
  <si>
    <t>Lo03-88_09</t>
  </si>
  <si>
    <t>Lo03-88_10</t>
  </si>
  <si>
    <t>Lo01-88_8</t>
  </si>
  <si>
    <t>Lo01-88_9</t>
  </si>
  <si>
    <t>Lo01-88_10</t>
  </si>
  <si>
    <t>Lo01-77_7</t>
  </si>
  <si>
    <t>Lo01-77_8</t>
  </si>
  <si>
    <t>Lo01-77_9</t>
  </si>
  <si>
    <t>Lo01-77_10</t>
  </si>
  <si>
    <t>Lo01-66_6</t>
  </si>
  <si>
    <t>Lo01-66_7</t>
  </si>
  <si>
    <t>Lo01-66_8</t>
  </si>
  <si>
    <t>Lo01-66_9</t>
  </si>
  <si>
    <t>Lo01-66_10</t>
  </si>
  <si>
    <t>Projektname [A-Z]</t>
  </si>
  <si>
    <t>4. Test4</t>
  </si>
  <si>
    <t>4.1 Test4 (E+1L+A)</t>
  </si>
  <si>
    <t>4.2 Test4 (E+2L+A)</t>
  </si>
  <si>
    <t>4.3 Test4 (E+3L+A)</t>
  </si>
  <si>
    <t>4.4 Test4 (E+4L+A)</t>
  </si>
  <si>
    <t>4.5 Test4 (E+5L+A)</t>
  </si>
  <si>
    <t>4.6 Test4 (E+6L+A)</t>
  </si>
  <si>
    <t>4.7 Test4 (E+7L+A)</t>
  </si>
  <si>
    <t>4.8 Test4 (E+8L+A)</t>
  </si>
  <si>
    <t>4.9 Test4 (E+9L+A)</t>
  </si>
  <si>
    <t>4.10 Test4 (E+10L+A)</t>
  </si>
  <si>
    <t>PLr_ges4_1</t>
  </si>
  <si>
    <t>PLr_ges4_2</t>
  </si>
  <si>
    <t>PLr_ges4_3</t>
  </si>
  <si>
    <t>PLr_ges4_4</t>
  </si>
  <si>
    <t>PLr_ges4_5</t>
  </si>
  <si>
    <t>PLr_ges4_6</t>
  </si>
  <si>
    <t>PLr_ges4_7</t>
  </si>
  <si>
    <t>PLr_ges4_8</t>
  </si>
  <si>
    <t>PLr_ges4_9</t>
  </si>
  <si>
    <t>PLr_ges4_10</t>
  </si>
  <si>
    <t>Pl_ges4_1</t>
  </si>
  <si>
    <t>Pl_ges4_2</t>
  </si>
  <si>
    <t>Pl_ges4_3</t>
  </si>
  <si>
    <t>Pl_ges4_4</t>
  </si>
  <si>
    <t>Pl_ges4_5</t>
  </si>
  <si>
    <t>Pl_ges4_6</t>
  </si>
  <si>
    <t>Pl_ges4_7</t>
  </si>
  <si>
    <t>Pl_ges4_8</t>
  </si>
  <si>
    <t>Pl_ges4_9</t>
  </si>
  <si>
    <t>Pl_ges4_10</t>
  </si>
  <si>
    <t>Bez_Ein4_1</t>
  </si>
  <si>
    <t>Bez_Ein4_2</t>
  </si>
  <si>
    <t>Bez_Ein4_3</t>
  </si>
  <si>
    <t>Bez_Ein4_4</t>
  </si>
  <si>
    <t>Bez_Ein4_5</t>
  </si>
  <si>
    <t>Bez_Ein4_6</t>
  </si>
  <si>
    <t>Bez_Ein4_7</t>
  </si>
  <si>
    <t>Bez_Ein4_8</t>
  </si>
  <si>
    <t>Bez_Ein4_9</t>
  </si>
  <si>
    <t>Bez_Ein4_10</t>
  </si>
  <si>
    <t>PL_Ein4_1</t>
  </si>
  <si>
    <t>PL_Ein4_2</t>
  </si>
  <si>
    <t>PL_Ein4_3</t>
  </si>
  <si>
    <t>PL_Ein4_4</t>
  </si>
  <si>
    <t>PL_Ein4_5</t>
  </si>
  <si>
    <t>PL_Ein4_6</t>
  </si>
  <si>
    <t>PL_Ein4_7</t>
  </si>
  <si>
    <t>PL_Ein4_8</t>
  </si>
  <si>
    <t>PL_Ein4_9</t>
  </si>
  <si>
    <t>PL_Ein4_10</t>
  </si>
  <si>
    <t>aaaa-44_1</t>
  </si>
  <si>
    <t>aaaa-44_2</t>
  </si>
  <si>
    <t>aaaa-44_3</t>
  </si>
  <si>
    <t>aaaa-44_4</t>
  </si>
  <si>
    <t>aaaa-44_5</t>
  </si>
  <si>
    <t>aaaa-44_6</t>
  </si>
  <si>
    <t>aaaa-44_7</t>
  </si>
  <si>
    <t>aaaa-44_8</t>
  </si>
  <si>
    <t>aaaa-44_9</t>
  </si>
  <si>
    <t>aaaa-44_10</t>
  </si>
  <si>
    <t>Bez_Aus4_1</t>
  </si>
  <si>
    <t>Bez_Aus4_2</t>
  </si>
  <si>
    <t>Bez_Aus4_3</t>
  </si>
  <si>
    <t>Bez_Aus4_4</t>
  </si>
  <si>
    <t>Bez_Aus4_5</t>
  </si>
  <si>
    <t>Bez_Aus4_6</t>
  </si>
  <si>
    <t>Bez_Aus4_7</t>
  </si>
  <si>
    <t>Bez_Aus4_8</t>
  </si>
  <si>
    <t>Bez_Aus4_9</t>
  </si>
  <si>
    <t>Bez_Aus4_10</t>
  </si>
  <si>
    <t>PL_Aus4_1</t>
  </si>
  <si>
    <t>PL_Aus4_2</t>
  </si>
  <si>
    <t>PL_Aus4_3</t>
  </si>
  <si>
    <t>PL_Aus4_4</t>
  </si>
  <si>
    <t>PL_Aus4_5</t>
  </si>
  <si>
    <t>PL_Aus4_6</t>
  </si>
  <si>
    <t>PL_Aus4_7</t>
  </si>
  <si>
    <t>PL_Aus4_8</t>
  </si>
  <si>
    <t>PL_Aus4_9</t>
  </si>
  <si>
    <t>PL_Aus4_10</t>
  </si>
  <si>
    <t>Lo04-44_03</t>
  </si>
  <si>
    <t>Lo04-44_04</t>
  </si>
  <si>
    <t>Lo04-44_05</t>
  </si>
  <si>
    <t>Lo04-44_06</t>
  </si>
  <si>
    <t>Lo04-44_07</t>
  </si>
  <si>
    <t>Lo04-44_08</t>
  </si>
  <si>
    <t>Lo04-44_09</t>
  </si>
  <si>
    <t>Lo04-44_10</t>
  </si>
  <si>
    <t>Bez_Lo04_02</t>
  </si>
  <si>
    <t>Bez_Lo04_03</t>
  </si>
  <si>
    <t>Bez_Lo04_04</t>
  </si>
  <si>
    <t>Bez_Lo04_05</t>
  </si>
  <si>
    <t>Bez_Lo04_06</t>
  </si>
  <si>
    <t>Bez_Lo04_07</t>
  </si>
  <si>
    <t>Bez_Lo04_08</t>
  </si>
  <si>
    <t>Bez_Lo04_09</t>
  </si>
  <si>
    <t>PL_Lo04_02</t>
  </si>
  <si>
    <t>PL_Lo04_03</t>
  </si>
  <si>
    <t>PL_Lo04_04</t>
  </si>
  <si>
    <t>PL_Lo04_05</t>
  </si>
  <si>
    <t>PL_Lo04_06</t>
  </si>
  <si>
    <t>PL_Lo04_07</t>
  </si>
  <si>
    <t>PL_Lo04_08</t>
  </si>
  <si>
    <t>PL_Lo04_09</t>
  </si>
  <si>
    <t>Bez_Lo03_05</t>
  </si>
  <si>
    <t>Lo03-33_05</t>
  </si>
  <si>
    <t>PL_Lo03_04</t>
  </si>
  <si>
    <t>PL_Lo03_05</t>
  </si>
  <si>
    <t>Bez_Lo03_04</t>
  </si>
  <si>
    <t>Lo03-33_04</t>
  </si>
  <si>
    <t>Bez_Lo05_05</t>
  </si>
  <si>
    <t>Bez_Log01_04_10</t>
  </si>
  <si>
    <t>Bez_Log01_04_01</t>
  </si>
  <si>
    <t>Bez_Log01_04_02</t>
  </si>
  <si>
    <t>Bez_Log01_04_03</t>
  </si>
  <si>
    <t>Bez_Log01_04_04</t>
  </si>
  <si>
    <t>Bez_Log01_04_05</t>
  </si>
  <si>
    <t>Bez_Log01_04_06</t>
  </si>
  <si>
    <t>Bez_Log01_04_07</t>
  </si>
  <si>
    <t>Bez_Log01_04_08</t>
  </si>
  <si>
    <t>Bez_Log01_04_09</t>
  </si>
  <si>
    <t>PL_Log01_04_01</t>
  </si>
  <si>
    <t>PL_Log01_04_02</t>
  </si>
  <si>
    <t>PL_Log01_04_03</t>
  </si>
  <si>
    <t>PL_Log01_04_04</t>
  </si>
  <si>
    <t>PL_Log01_04_05</t>
  </si>
  <si>
    <t>PL_Log01_04_06</t>
  </si>
  <si>
    <t>PL_Log01_04_07</t>
  </si>
  <si>
    <t>PL_Log01_04_08</t>
  </si>
  <si>
    <t>PL_Log01_04_09</t>
  </si>
  <si>
    <t>PL_Log01_04_10</t>
  </si>
  <si>
    <t>Bez_Log01_03_01</t>
  </si>
  <si>
    <t>Bez_Log01_03_02</t>
  </si>
  <si>
    <t>Bez_Log01_03_03</t>
  </si>
  <si>
    <t>Bez_Log01_03_04</t>
  </si>
  <si>
    <t>Bez_Log01_03_05</t>
  </si>
  <si>
    <t>Bez_Log01_03_06</t>
  </si>
  <si>
    <t>Bez_Log01_03_07</t>
  </si>
  <si>
    <t>Bez_Log01_03_08</t>
  </si>
  <si>
    <t>Bez_Log01_03_09</t>
  </si>
  <si>
    <t>Bez_Log01_03_10</t>
  </si>
  <si>
    <t>PL_Log01_03_01</t>
  </si>
  <si>
    <t>PL_Log01_03_02</t>
  </si>
  <si>
    <t>PL_Log01_03_03</t>
  </si>
  <si>
    <t>PL_Log01_03_04</t>
  </si>
  <si>
    <t>PL_Log01_03_05</t>
  </si>
  <si>
    <t>PL_Log01_03_06</t>
  </si>
  <si>
    <t>PL_Log01_03_07</t>
  </si>
  <si>
    <t>PL_Log01_03_08</t>
  </si>
  <si>
    <t>PL_Log01_03_09</t>
  </si>
  <si>
    <t>PL_Log01_03_10</t>
  </si>
  <si>
    <t>Bez_Log02_03_2</t>
  </si>
  <si>
    <t>Bez_Log02_03_3</t>
  </si>
  <si>
    <t>Bez_Log02_03_4</t>
  </si>
  <si>
    <t>Bez_Log02_03_5</t>
  </si>
  <si>
    <t>Bez_Log02_03_6</t>
  </si>
  <si>
    <t>Bez_Log02_03_7</t>
  </si>
  <si>
    <t>Bez_Log02_03_8</t>
  </si>
  <si>
    <t>Bez_Log02_03_9</t>
  </si>
  <si>
    <t>Bez_Log02_03_10</t>
  </si>
  <si>
    <t>Log02-03_02</t>
  </si>
  <si>
    <t>Log02-03_03</t>
  </si>
  <si>
    <t>Log02-03_04</t>
  </si>
  <si>
    <t>Log02-03_05</t>
  </si>
  <si>
    <t>Log02-03_06</t>
  </si>
  <si>
    <t>Log02-03_07</t>
  </si>
  <si>
    <t>Log02-03_08</t>
  </si>
  <si>
    <t>Log02-03_09</t>
  </si>
  <si>
    <t>Log02-03_10</t>
  </si>
  <si>
    <t>Lo04-04_02</t>
  </si>
  <si>
    <t>Lo04-04_03</t>
  </si>
  <si>
    <t>Lo04-04_04</t>
  </si>
  <si>
    <t>Lo04-04_05</t>
  </si>
  <si>
    <t>Lo04-04_06</t>
  </si>
  <si>
    <t>Lo04-04_07</t>
  </si>
  <si>
    <t>Lo04-04_08</t>
  </si>
  <si>
    <t>Lo04-04_09</t>
  </si>
  <si>
    <t>Lo04-04_10</t>
  </si>
  <si>
    <t>Log01-01_01</t>
  </si>
  <si>
    <t>Log01-01_02</t>
  </si>
  <si>
    <t>Log01-01_03</t>
  </si>
  <si>
    <t>Log01-01_04</t>
  </si>
  <si>
    <t>Log01-01_05</t>
  </si>
  <si>
    <t>Log01-01_06</t>
  </si>
  <si>
    <t>Log01-01_07</t>
  </si>
  <si>
    <t>Log01-01_08</t>
  </si>
  <si>
    <t>Log01-01_09</t>
  </si>
  <si>
    <t>Log01-01_10</t>
  </si>
  <si>
    <t>Log02-02_01</t>
  </si>
  <si>
    <t>Log02-02_02</t>
  </si>
  <si>
    <t>Log02-02_03</t>
  </si>
  <si>
    <t>Log02-02_04</t>
  </si>
  <si>
    <t>Log02-02_05</t>
  </si>
  <si>
    <t>Log02-02_06</t>
  </si>
  <si>
    <t>Log02-02_07</t>
  </si>
  <si>
    <t>Log02-02_08</t>
  </si>
  <si>
    <t>Log02-02_09</t>
  </si>
  <si>
    <t>Log02-02_10</t>
  </si>
  <si>
    <t>Log01-03_01</t>
  </si>
  <si>
    <t>Log01-03_02</t>
  </si>
  <si>
    <t>Log01-03_03</t>
  </si>
  <si>
    <t>Log01-03_04</t>
  </si>
  <si>
    <t>Log01-03_05</t>
  </si>
  <si>
    <t>Log01-03_06</t>
  </si>
  <si>
    <t>Log01-03_07</t>
  </si>
  <si>
    <t>Log01-03_08</t>
  </si>
  <si>
    <t>Log01-03_09</t>
  </si>
  <si>
    <t>Log01-03_10</t>
  </si>
  <si>
    <t>Log01-04_01</t>
  </si>
  <si>
    <t>Log01-04_02</t>
  </si>
  <si>
    <t>Log01-04_03</t>
  </si>
  <si>
    <t>Log01-04_04</t>
  </si>
  <si>
    <t>Log01-04_05</t>
  </si>
  <si>
    <t>Log01-04_06</t>
  </si>
  <si>
    <t>Log01-04_07</t>
  </si>
  <si>
    <t>Log01-04_08</t>
  </si>
  <si>
    <t>Log01-04_09</t>
  </si>
  <si>
    <t>Log01-04_10</t>
  </si>
  <si>
    <t>Bez_Log01_01_01</t>
  </si>
  <si>
    <t>Bez_Log01_01_02</t>
  </si>
  <si>
    <t>Bez_Log01_01_03</t>
  </si>
  <si>
    <t>Bez_Log01_01_04</t>
  </si>
  <si>
    <t>Bez_Log01_01_05</t>
  </si>
  <si>
    <t>Bez_Log01_01_06</t>
  </si>
  <si>
    <t>Bez_Log01_01_07</t>
  </si>
  <si>
    <t>Bez_Log01_01_08</t>
  </si>
  <si>
    <t>Bez_Log01_01_09</t>
  </si>
  <si>
    <t>Bez_Log01_01_10</t>
  </si>
  <si>
    <t>Bez_Log01_02_01</t>
  </si>
  <si>
    <t>Bez_Log01_02_02</t>
  </si>
  <si>
    <t>Bez_Log01_02_03</t>
  </si>
  <si>
    <t>Bez_Log01_02_04</t>
  </si>
  <si>
    <t>Bez_Log01_02_05</t>
  </si>
  <si>
    <t>Bez_Log01_02_06</t>
  </si>
  <si>
    <t>Bez_Log01_02_07</t>
  </si>
  <si>
    <t>Bez_Log01_02_08</t>
  </si>
  <si>
    <t>Bez_Log01_02_09</t>
  </si>
  <si>
    <t>Bez_Log01_02_10</t>
  </si>
  <si>
    <t>PL_Log01_01_01</t>
  </si>
  <si>
    <t>PL_Log01_01_02</t>
  </si>
  <si>
    <t>PL_Log01_01_03</t>
  </si>
  <si>
    <t>PL_Log01_01_04</t>
  </si>
  <si>
    <t>PL_Log01_01_05</t>
  </si>
  <si>
    <t>PL_Log01_01_06</t>
  </si>
  <si>
    <t>PL_Log01_01_07</t>
  </si>
  <si>
    <t>PL_Log01_01_08</t>
  </si>
  <si>
    <t>PL_Log01_01_09</t>
  </si>
  <si>
    <t>PL_Log01_01_10</t>
  </si>
  <si>
    <t>PL_Log02_1</t>
  </si>
  <si>
    <t>Projekt Name [Ohne Doppelte Wert]</t>
  </si>
  <si>
    <t>5. Test4</t>
  </si>
  <si>
    <t>5.1 Test4 (E+1L+A)</t>
  </si>
  <si>
    <t>5.2 Test4 (E+2L+A)</t>
  </si>
  <si>
    <t>5.3 Test4 (E+3L+A)</t>
  </si>
  <si>
    <t>5.4 Test4 (E+4L+A)</t>
  </si>
  <si>
    <t>5.5 Test4 (E+5L+A)</t>
  </si>
  <si>
    <t>5.6 Test4 (E+6L+A)</t>
  </si>
  <si>
    <t>5.7 Test4 (E+7L+A)</t>
  </si>
  <si>
    <t>5.8 Test4 (E+8L+A)</t>
  </si>
  <si>
    <t>5.9 Test4 (E+9L+A)</t>
  </si>
  <si>
    <t>5.10 Test4 (E+10L+A)</t>
  </si>
  <si>
    <t>6. Test4</t>
  </si>
  <si>
    <t>6.1 Test4 (E+1L+A)</t>
  </si>
  <si>
    <t>6.2 Test4 (E+2L+A)</t>
  </si>
  <si>
    <t>6.3 Test4 (E+3L+A)</t>
  </si>
  <si>
    <t>6.4 Test4 (E+4L+A)</t>
  </si>
  <si>
    <t>6.5 Test4 (E+5L+A)</t>
  </si>
  <si>
    <t>6.6 Test4 (E+6L+A)</t>
  </si>
  <si>
    <t>6.7 Test4 (E+7L+A)</t>
  </si>
  <si>
    <t>6.8 Test4 (E+8L+A)</t>
  </si>
  <si>
    <t>6.9 Test4 (E+9L+A)</t>
  </si>
  <si>
    <t>6.10 Test4 (E+10L+A)</t>
  </si>
  <si>
    <t>7. Test4</t>
  </si>
  <si>
    <t>7.1 Test4 (E+1L+A)</t>
  </si>
  <si>
    <t>7.2 Test4 (E+2L+A)</t>
  </si>
  <si>
    <t>7.3 Test4 (E+3L+A)</t>
  </si>
  <si>
    <t>7.4 Test4 (E+4L+A)</t>
  </si>
  <si>
    <t>7.5 Test4 (E+5L+A)</t>
  </si>
  <si>
    <t>7.6 Test4 (E+6L+A)</t>
  </si>
  <si>
    <t>7.7 Test4 (E+7L+A)</t>
  </si>
  <si>
    <t>7.8 Test4 (E+8L+A)</t>
  </si>
  <si>
    <t>7.9 Test4 (E+9L+A)</t>
  </si>
  <si>
    <t>7.10 Test4 (E+10L+A)</t>
  </si>
  <si>
    <t>8. Test08</t>
  </si>
  <si>
    <t>8.1 Test08 (E+1L+A)</t>
  </si>
  <si>
    <t>8.2 Test08 (E+2L+A)</t>
  </si>
  <si>
    <t>8.3 Test08 (E+3L+A)</t>
  </si>
  <si>
    <t>8.4 Test08 (E+4L+A)</t>
  </si>
  <si>
    <t>8.5 Test08 (E+5L+A)</t>
  </si>
  <si>
    <t>8.6 Test08 (E+6L+A)</t>
  </si>
  <si>
    <t>8.7 Test08 (E+7L+A)</t>
  </si>
  <si>
    <t>8.8 Test08 (E+8L+A)</t>
  </si>
  <si>
    <t>8.9 Test08 (E+9L+A)</t>
  </si>
  <si>
    <t>8.10 Test08 (E+10L+A)</t>
  </si>
  <si>
    <t>9. Test09</t>
  </si>
  <si>
    <t>9.1 Test09 (E+1L+A)</t>
  </si>
  <si>
    <t>9.2 Test09 (E+2L+A)</t>
  </si>
  <si>
    <t>9.3 Test09 (E+3L+A)</t>
  </si>
  <si>
    <t>9.4 Test09 (E+4L+A)</t>
  </si>
  <si>
    <t>9.5 Test09 (E+5L+A)</t>
  </si>
  <si>
    <t>9.6 Test09 (E+6L+A)</t>
  </si>
  <si>
    <t>9.7 Test09 (E+7L+A)</t>
  </si>
  <si>
    <t>9.8 Test09 (E+8L+A)</t>
  </si>
  <si>
    <t>9.9 Test09 (E+9L+A)</t>
  </si>
  <si>
    <t>9.10 Test09 (E+10L+A)</t>
  </si>
  <si>
    <t>10. Test10</t>
  </si>
  <si>
    <t>10.1 Test10 (E+1L+A)</t>
  </si>
  <si>
    <t>10.2 Test10 (E+2L+A)</t>
  </si>
  <si>
    <t>10.3 Test10 (E+3L+A)</t>
  </si>
  <si>
    <t>10.4 Test10 (E+4L+A)</t>
  </si>
  <si>
    <t>10.5 Test10 (E+5L+A)</t>
  </si>
  <si>
    <t>10.6 Test10 (E+6L+A)</t>
  </si>
  <si>
    <t>10.7 Test10 (E+7L+A)</t>
  </si>
  <si>
    <t>10.8 Test10 (E+8L+A)</t>
  </si>
  <si>
    <t>10.9 Test10 (E+9L+A)</t>
  </si>
  <si>
    <t>10.10 Test10 (E+10L+A)</t>
  </si>
  <si>
    <t>11. Test11</t>
  </si>
  <si>
    <t>11.1 Test11 (E+1L+A)</t>
  </si>
  <si>
    <t>11.2 Test11 (E+2L+A)</t>
  </si>
  <si>
    <t>11.3 Test11 (E+3L+A)</t>
  </si>
  <si>
    <t>11.4 Test11 (E+4L+A)</t>
  </si>
  <si>
    <t>11.5 Test11 (E+5L+A)</t>
  </si>
  <si>
    <t>11.6 Test11 (E+6L+A)</t>
  </si>
  <si>
    <t>11.7 Test11 (E+7L+A)</t>
  </si>
  <si>
    <t>11.8 Test11 (E+8L+A)</t>
  </si>
  <si>
    <t>11.9 Test11 (E+9L+A)</t>
  </si>
  <si>
    <t>11.10 Test11 (E+10L+A)</t>
  </si>
  <si>
    <t>13. Test13</t>
  </si>
  <si>
    <t>13.1 Test13 (E+1L+A)</t>
  </si>
  <si>
    <t>13.2 Test13 (E+2L+A)</t>
  </si>
  <si>
    <t>13.3 Test13 (E+3L+A)</t>
  </si>
  <si>
    <t>13.4 Test13 (E+4L+A)</t>
  </si>
  <si>
    <t>13.5 Test13 (E+5L+A)</t>
  </si>
  <si>
    <t>13.6 Test13 (E+6L+A)</t>
  </si>
  <si>
    <t>13.7 Test13 (E+7L+A)</t>
  </si>
  <si>
    <t>13.8 Test13 (E+8L+A)</t>
  </si>
  <si>
    <t>13.9 Test13 (E+9L+A)</t>
  </si>
  <si>
    <t>13.10 Test13 (E+10L+A)</t>
  </si>
  <si>
    <t>12. Test12</t>
  </si>
  <si>
    <t>12.1 Test12 (E+1L+A)</t>
  </si>
  <si>
    <t>12.2 Test12 (E+2L+A)</t>
  </si>
  <si>
    <t>12.3 Test12 (E+3L+A)</t>
  </si>
  <si>
    <t>12.4 Test12 (E+4L+A)</t>
  </si>
  <si>
    <t>12.5 Test12 (E+5L+A)</t>
  </si>
  <si>
    <t>12.6 Test12 (E+6L+A)</t>
  </si>
  <si>
    <t>12.7 Test12 (E+7L+A)</t>
  </si>
  <si>
    <t>12.8 Test12 (E+8L+A)</t>
  </si>
  <si>
    <t>12.9 Test12 (E+9L+A)</t>
  </si>
  <si>
    <t>12.10 Test12 (E+10L+A)</t>
  </si>
  <si>
    <t>14. Test14</t>
  </si>
  <si>
    <t>14.1 Test14 (E+1L+A)</t>
  </si>
  <si>
    <t>14.2 Test14 (E+2L+A)</t>
  </si>
  <si>
    <t>14.3 Test14 (E+3L+A)</t>
  </si>
  <si>
    <t>14.4 Test14 (E+4L+A)</t>
  </si>
  <si>
    <t>14.5 Test14 (E+5L+A)</t>
  </si>
  <si>
    <t>14.6 Test14 (E+6L+A)</t>
  </si>
  <si>
    <t>14.7 Test14 (E+7L+A)</t>
  </si>
  <si>
    <t>14.8 Test14 (E+8L+A)</t>
  </si>
  <si>
    <t>14.9 Test14 (E+9L+A)</t>
  </si>
  <si>
    <t>14.10 Test14 (E+10L+A)</t>
  </si>
  <si>
    <t>15. Test15</t>
  </si>
  <si>
    <t>15.1 Test15 (E+1L+A)</t>
  </si>
  <si>
    <t>15.2 Test15 (E+2L+A)</t>
  </si>
  <si>
    <t>15.3 Test15 (E+3L+A)</t>
  </si>
  <si>
    <t>15.4 Test15 (E+4L+A)</t>
  </si>
  <si>
    <t>15.5 Test15 (E+5L+A)</t>
  </si>
  <si>
    <t>15.6 Test15 (E+6L+A)</t>
  </si>
  <si>
    <t>15.7 Test15 (E+7L+A)</t>
  </si>
  <si>
    <t>15.8 Test15 (E+8L+A)</t>
  </si>
  <si>
    <t>15.9 Test15 (E+9L+A)</t>
  </si>
  <si>
    <t>15.10 Test15 (E+10L+A)</t>
  </si>
  <si>
    <t>16. Test16</t>
  </si>
  <si>
    <t>16.1 Test16 (E+1L+A)</t>
  </si>
  <si>
    <t>16.2 Test16 (E+2L+A)</t>
  </si>
  <si>
    <t>16.3 Test16 (E+3L+A)</t>
  </si>
  <si>
    <t>16.4 Test16 (E+4L+A)</t>
  </si>
  <si>
    <t>16.5 Test16 (E+5L+A)</t>
  </si>
  <si>
    <t>16.6 Test16 (E+6L+A)</t>
  </si>
  <si>
    <t>16.7 Test16 (E+7L+A)</t>
  </si>
  <si>
    <t>16.8 Test16 (E+8L+A)</t>
  </si>
  <si>
    <t>16.9 Test16 (E+9L+A)</t>
  </si>
  <si>
    <t>16.10 Test16 (E+10L+A)</t>
  </si>
  <si>
    <t>Überschrift</t>
  </si>
  <si>
    <t>Überschrift ohne Doppelwert</t>
  </si>
  <si>
    <t>Unter Überschrift</t>
  </si>
  <si>
    <t/>
  </si>
  <si>
    <t>Performance Level: PL_Aus0</t>
  </si>
  <si>
    <t>Performance Level: PL_Ein0</t>
  </si>
  <si>
    <t>PFH [1/h] = 24,7E-9</t>
  </si>
  <si>
    <t>PFH [1/h] = 42,9E-9</t>
  </si>
  <si>
    <t>Performance Level: PLr_ges0</t>
  </si>
  <si>
    <t>Performance Level: Pl_ges0          PFH [1/h] = 0,7E-9</t>
  </si>
  <si>
    <t>Performance Level: PL_Aus1_1</t>
  </si>
  <si>
    <t>Performance Level: PL_Log01_01_01</t>
  </si>
  <si>
    <t>Performance Level: PL_Ein1_1</t>
  </si>
  <si>
    <t>PFH [1/h] = 2,198E-9</t>
  </si>
  <si>
    <t>PFH [1/h] = 2,9E-9</t>
  </si>
  <si>
    <t>Performance Level: PLr_ges1_1</t>
  </si>
  <si>
    <t>Performance Level: Pl_ges1_1          PFH [1/h] = 2,7E-9</t>
  </si>
  <si>
    <t>Performance Level: PL_Lo02_2</t>
  </si>
  <si>
    <t>Performance Level: PL_Log01_01_02</t>
  </si>
  <si>
    <t>Performance Level: PL_Ein1_2</t>
  </si>
  <si>
    <t>PFH [1/h] = 4,19E-9</t>
  </si>
  <si>
    <t>Performance Level: PLr_ges1_2</t>
  </si>
  <si>
    <t>Performance Level: Pl_ges1_2          PFH [1/h] = 2,7E-9</t>
  </si>
  <si>
    <t>Performance Level: PL_Lo02_3</t>
  </si>
  <si>
    <t>Performance Level: PL_Log01_01_03</t>
  </si>
  <si>
    <t>Performance Level: PL_Ein1_3</t>
  </si>
  <si>
    <t>PFH [1/h] = 4,195E-9</t>
  </si>
  <si>
    <t>PFH [1/h] = 3,198E-9</t>
  </si>
  <si>
    <t>PFH [1/h] = 3,9E-9</t>
  </si>
  <si>
    <t>Performance Level: PL_Aus1_3</t>
  </si>
  <si>
    <t>PFH [1/h] = 34,7E-9</t>
  </si>
  <si>
    <t>Performance Level: PLr_ges1_3</t>
  </si>
  <si>
    <t>Performance Level: Pl_ges1_3          PFH [1/h] = 3,7E-9</t>
  </si>
  <si>
    <t>Performance Level: PL_Lo02_4</t>
  </si>
  <si>
    <t>Performance Level: PL_Log01_01_04</t>
  </si>
  <si>
    <t>Performance Level: PL_Ein1_4</t>
  </si>
  <si>
    <t>PFH [1/h] = 4,198E-9</t>
  </si>
  <si>
    <t>PFH [1/h] = 4,9E-9</t>
  </si>
  <si>
    <t>Performance Level: PL_Aus1_4</t>
  </si>
  <si>
    <t>Performance Level: PL_Lo01_4</t>
  </si>
  <si>
    <t>PFH [1/h] = 44,7E-9</t>
  </si>
  <si>
    <t>Performance Level: PLr_ges1_4</t>
  </si>
  <si>
    <t>Performance Level: Pl_ges1_4          PFH [1/h] = 0,47E-9</t>
  </si>
  <si>
    <t>Performance Level: PL_Lo02_5</t>
  </si>
  <si>
    <t>Performance Level: PL_Log01_01_05</t>
  </si>
  <si>
    <t>Performance Level: PL_Ein1_5</t>
  </si>
  <si>
    <t>PFH [1/h] = 5,198E-9</t>
  </si>
  <si>
    <t>PFH [1/h] = 5,9E-9</t>
  </si>
  <si>
    <t>Performance Level: PL_Aus1_5</t>
  </si>
  <si>
    <t>Performance Level: PL_Lo01_5</t>
  </si>
  <si>
    <t>PFH [1/h] = 54,7E-9</t>
  </si>
  <si>
    <t>Performance Level: PLr_ges1_5</t>
  </si>
  <si>
    <t>Performance Level: Pl_ges1_5          PFH [1/h] = 0,57E-9</t>
  </si>
  <si>
    <t>Performance Level: PL_Lo02_6</t>
  </si>
  <si>
    <t>Performance Level: PL_Log01_01_06</t>
  </si>
  <si>
    <t>Performance Level: PL_Ein1_6</t>
  </si>
  <si>
    <t>PFH [1/h] = 6,198E-9</t>
  </si>
  <si>
    <t>PFH [1/h] = 6,9E-9</t>
  </si>
  <si>
    <t>Performance Level: PL_Lo01_6</t>
  </si>
  <si>
    <t>Performance Level: PLr_ges1_6</t>
  </si>
  <si>
    <t>Performance Level: Pl_ges1_6          PFH [1/h] = 0,67E-9</t>
  </si>
  <si>
    <t>Performance Level: PL_Lo02_7</t>
  </si>
  <si>
    <t>Performance Level: PL_Log01_01_07</t>
  </si>
  <si>
    <t>Performance Level: PL_Ein1_7</t>
  </si>
  <si>
    <t>PFH [1/h] = 7,198E-9</t>
  </si>
  <si>
    <t>PFH [1/h] = 7,9E-9</t>
  </si>
  <si>
    <t>Performance Level: PL_Lo01_7</t>
  </si>
  <si>
    <t>Performance Level: PL_Aus1_7</t>
  </si>
  <si>
    <t>PFH [1/h] = 74,7E-9</t>
  </si>
  <si>
    <t>Performance Level: PLr_ges1_7</t>
  </si>
  <si>
    <t>Performance Level: Pl_ges1_7          PFH [1/h] = 0,77E-9</t>
  </si>
  <si>
    <t>Performance Level: PL_Lo02_8</t>
  </si>
  <si>
    <t>Performance Level: PL_Log01_01_08</t>
  </si>
  <si>
    <t>Performance Level: PL_Ein1_8</t>
  </si>
  <si>
    <t>PFH [1/h] = 8,198E-9</t>
  </si>
  <si>
    <t>PFH [1/h] = 8,9E-9</t>
  </si>
  <si>
    <t>Performance Level: PL_Lo01_8</t>
  </si>
  <si>
    <t>Performance Level: PL_Aus1_8</t>
  </si>
  <si>
    <t>PFH [1/h] = 84,7E-9</t>
  </si>
  <si>
    <t>Performance Level: PLr_ges1_8</t>
  </si>
  <si>
    <t>Performance Level: Pl_ges1_8          PFH [1/h] = 0,87E-9</t>
  </si>
  <si>
    <t>Performance Level: PL_Aus1_2</t>
  </si>
  <si>
    <t>Performance Level: PL_Lo01_3</t>
  </si>
  <si>
    <t>Performance Level: PL_Aus1_6</t>
  </si>
  <si>
    <t>PFH [1/h] = 64,7E-9</t>
  </si>
  <si>
    <t>Performance Level: PL_Ein1_9</t>
  </si>
  <si>
    <t>Performance Level: PL_Log01_01_09</t>
  </si>
  <si>
    <t>Performance Level: PL_Lo02_9</t>
  </si>
  <si>
    <t>Performance Level: PL_Lo01_9</t>
  </si>
  <si>
    <t>PFH [1/h] = 9,9E-9</t>
  </si>
  <si>
    <t>PFH [1/h] = 9,198E-9</t>
  </si>
  <si>
    <t>Performance Level: PL_Aus1_9</t>
  </si>
  <si>
    <t>PFH [1/h] = 94,7E-9</t>
  </si>
  <si>
    <t>Performance Level: PLr_ges1_9</t>
  </si>
  <si>
    <t>Performance Level: Pl_ges1_9          PFH [1/h] = 0,97E-9</t>
  </si>
  <si>
    <t>Performance Level: PL_Ein2_1</t>
  </si>
  <si>
    <t>Performance Level: PL_Log02_1</t>
  </si>
  <si>
    <t>Performance Level: PL_Aus2_1</t>
  </si>
  <si>
    <t>Performance Level: PLr_ges2_1</t>
  </si>
  <si>
    <t>Performance Level: Pl_ges2_1          PFH [1/h] = 71,7E-9</t>
  </si>
  <si>
    <t>Performance Level: PL_Ein2_2</t>
  </si>
  <si>
    <t>Performance Level: PL_Aus2_2</t>
  </si>
  <si>
    <t>Performance Level: PLr_ges2_2</t>
  </si>
  <si>
    <t>Performance Level: Pl_ges2_2          PFH [1/h] = 71,7E-9</t>
  </si>
  <si>
    <t>Performance Level: PL_Ein2_3</t>
  </si>
  <si>
    <t>Performance Level: PL_Aus2_3</t>
  </si>
  <si>
    <t>Performance Level: PLr_ges2_3</t>
  </si>
  <si>
    <t>Performance Level: Pl_ges2_3          PFH [1/h] = 71,7E-9</t>
  </si>
  <si>
    <t>Performance Level: PL_Ein2_4</t>
  </si>
  <si>
    <t>Performance Level: PL_Aus2_4</t>
  </si>
  <si>
    <t>Performance Level: PLr_ges2_4</t>
  </si>
  <si>
    <t>Performance Level: Pl_ges2_4          PFH [1/h] = 71,7E-9</t>
  </si>
  <si>
    <t>Données</t>
  </si>
  <si>
    <t>Nom</t>
  </si>
  <si>
    <t>Titre</t>
  </si>
  <si>
    <t>Sous-titre</t>
  </si>
  <si>
    <t>Diagramme</t>
  </si>
  <si>
    <t>Performance Level: PL_Ein2_5</t>
  </si>
  <si>
    <t>Performance Level: PL_Aus2_5</t>
  </si>
  <si>
    <t>Performance Level: PLr_ges2_5</t>
  </si>
  <si>
    <t>Performance Level: Pl_ges2_5          PFH [1/h] = 71,7E-9</t>
  </si>
  <si>
    <t>Performance Level: PL_Ein2_6</t>
  </si>
  <si>
    <t>Performance Level: PL_Lo02_06</t>
  </si>
  <si>
    <t>Performance Level: PL_Aus2_6</t>
  </si>
  <si>
    <t>Performance Level: PLr_ges2_6</t>
  </si>
  <si>
    <t>Performance Level: Pl_ges2_6          PFH [1/h] = 71,7E-9</t>
  </si>
  <si>
    <t>Performance Level: PL_Ein2_7</t>
  </si>
  <si>
    <t>Performance Level: PL_Lo02_07</t>
  </si>
  <si>
    <t>Performance Level: PL_Aus2_7</t>
  </si>
  <si>
    <t>Performance Level: PLr_ges2_7</t>
  </si>
  <si>
    <t>Performance Level: Pl_ges2_7          PFH [1/h] = 71,7E-9</t>
  </si>
  <si>
    <t>Performance Level: PL_Ein2_8</t>
  </si>
  <si>
    <t>Performance Level: PL_Lo02_08</t>
  </si>
  <si>
    <t>Performance Level: PL_Aus2_8</t>
  </si>
  <si>
    <t>Performance Level: PLr_ges2_8</t>
  </si>
  <si>
    <t>Performance Level: Pl_ges2_8          PFH [1/h] = 71,7E-9</t>
  </si>
  <si>
    <t>Performance Level: PL_Ein2_9</t>
  </si>
  <si>
    <t>Performance Level: PL_Lo02_09</t>
  </si>
  <si>
    <t>Performance Level: PL_Aus2_9</t>
  </si>
  <si>
    <t>Performance Level: PLr_ges2_9</t>
  </si>
  <si>
    <t>Performance Level: Pl_ges2_9          PFH [1/h] = 71,7E-9</t>
  </si>
  <si>
    <t>Performance Level: PL_Ein2_10</t>
  </si>
  <si>
    <t>Performance Level: PL_Lo02_10</t>
  </si>
  <si>
    <t>Performance Level: PL_Aus2_10</t>
  </si>
  <si>
    <t>Performance Level: PLr_ges2_10</t>
  </si>
  <si>
    <t>Performance Level: Pl_ges2_10          PFH [1/h] = 71,7E-9</t>
  </si>
  <si>
    <t>Performance Level: PL_Ein3_1</t>
  </si>
  <si>
    <t>Performance Level: PL_Log01_03_01</t>
  </si>
  <si>
    <t>Performance Level: PL_Aus3_1</t>
  </si>
  <si>
    <t>Performance Level: PLr_ges3_1</t>
  </si>
  <si>
    <t>Performance Level: Pl_ges3_1          PFH [1/h] = 71,7E-9</t>
  </si>
  <si>
    <t>Performance Level: PL_Ein3_2</t>
  </si>
  <si>
    <t>Performance Level: PL_Log01_03_02</t>
  </si>
  <si>
    <t>Performance Level: PL_Lo03_2</t>
  </si>
  <si>
    <t>Performance Level: PL_Aus3_2</t>
  </si>
  <si>
    <t>Performance Level: PLr_ges3_2</t>
  </si>
  <si>
    <t>Performance Level: Pl_ges3_2          PFH [1/h] = 71,7E-9</t>
  </si>
  <si>
    <t>Performance Level: PL_Ein3_3</t>
  </si>
  <si>
    <t>Performance Level: PL_Log01_03_03</t>
  </si>
  <si>
    <t>Performance Level: PL_Lo03_3</t>
  </si>
  <si>
    <t>Performance Level: PL_Aus3_3</t>
  </si>
  <si>
    <t>Performance Level: PLr_ges3_3</t>
  </si>
  <si>
    <t>Performance Level: Pl_ges3_3          PFH [1/h] = 71,7E-9</t>
  </si>
  <si>
    <t>Performance Level: PL_Ein3_4</t>
  </si>
  <si>
    <t>Performance Level: PL_Log01_03_04</t>
  </si>
  <si>
    <t>Performance Level: PL_Lo03_4</t>
  </si>
  <si>
    <t>Performance Level: PL_Lo03_04</t>
  </si>
  <si>
    <t>Performance Level: PL_Aus3_4</t>
  </si>
  <si>
    <t>Performance Level: PLr_ges3_4</t>
  </si>
  <si>
    <t>Performance Level: Pl_ges3_4          PFH [1/h] = 71,7E-9</t>
  </si>
  <si>
    <t>Performance Level: PL_Ein3_5</t>
  </si>
  <si>
    <t>Performance Level: PL_Log01_03_05</t>
  </si>
  <si>
    <t>Performance Level: PL_Lo03_5</t>
  </si>
  <si>
    <t>Performance Level: PL_Lo03_05</t>
  </si>
  <si>
    <t>Performance Level: PL_Aus3_5</t>
  </si>
  <si>
    <t>Performance Level: PLr_ges3_5</t>
  </si>
  <si>
    <t>Performance Level: Pl_ges3_5          PFH [1/h] = 71,7E-9</t>
  </si>
  <si>
    <t>Performance Level: PL_Ein3_6</t>
  </si>
  <si>
    <t>Performance Level: PL_Log01_03_06</t>
  </si>
  <si>
    <t>Performance Level: PL_Lo03_6</t>
  </si>
  <si>
    <t>Performance Level: PL_Lo03_06</t>
  </si>
  <si>
    <t>Performance Level: PL_Aus3_6</t>
  </si>
  <si>
    <t>Performance Level: PLr_ges3_6</t>
  </si>
  <si>
    <t>Performance Level: Pl_ges3_6          PFH [1/h] = 71,7E-9</t>
  </si>
  <si>
    <t>Performance Level: PL_Ein3_7</t>
  </si>
  <si>
    <t>Performance Level: PL_Log01_03_07</t>
  </si>
  <si>
    <t>Performance Level: PL_Lo03_7</t>
  </si>
  <si>
    <t>Performance Level: PL_Lo03_07</t>
  </si>
  <si>
    <t>Performance Level: PL_Aus3_7</t>
  </si>
  <si>
    <t>Performance Level: PLr_ges3_7</t>
  </si>
  <si>
    <t>Performance Level: Pl_ges3_7          PFH [1/h] = 71,7E-9</t>
  </si>
  <si>
    <t>Performance Level: PL_Ein3_8</t>
  </si>
  <si>
    <t>Performance Level: PL_Log01_03_08</t>
  </si>
  <si>
    <t>Performance Level: PL_Lo03_8</t>
  </si>
  <si>
    <t>Performance Level: PL_Lo03_08</t>
  </si>
  <si>
    <t>Performance Level: PL_Aus3_8</t>
  </si>
  <si>
    <t>Performance Level: PLr_ges3_8</t>
  </si>
  <si>
    <t>Performance Level: Pl_ges3_8          PFH [1/h] = 71,7E-9</t>
  </si>
  <si>
    <t>Performance Level: PL_Ein3_9</t>
  </si>
  <si>
    <t>Performance Level: PL_Log01_03_09</t>
  </si>
  <si>
    <t>Performance Level: PL_Lo03_9</t>
  </si>
  <si>
    <t>Performance Level: PL_Lo03_09</t>
  </si>
  <si>
    <t>Performance Level: PL_Aus3_9</t>
  </si>
  <si>
    <t>Performance Level: PLr_ges3_9</t>
  </si>
  <si>
    <t>Performance Level: Pl_ges3_9          PFH [1/h] = 71,7E-9</t>
  </si>
  <si>
    <t>Performance Level: PL_Ein3_10</t>
  </si>
  <si>
    <t>Performance Level: PL_Log01_03_10</t>
  </si>
  <si>
    <t>Performance Level: PL_Lo03_10</t>
  </si>
  <si>
    <t>Performance Level: PL_Aus3_10</t>
  </si>
  <si>
    <t>Performance Level: PLr_ges3_10</t>
  </si>
  <si>
    <t>Performance Level: Pl_ges3_10          PFH [1/h] = 71,7E-9</t>
  </si>
  <si>
    <t>Performance Level: PL_Ein4_1</t>
  </si>
  <si>
    <t>Performance Level: PL_Log01_04_01</t>
  </si>
  <si>
    <t>Performance Level: PL_Aus4_1</t>
  </si>
  <si>
    <t>Performance Level: PLr_ges4_1</t>
  </si>
  <si>
    <t>Performance Level: Pl_ges4_1          PFH [1/h] = 71,7E-9</t>
  </si>
  <si>
    <t>Performance Level: PL_Ein4_2</t>
  </si>
  <si>
    <t>Performance Level: PL_Log01_04_02</t>
  </si>
  <si>
    <t>Performance Level: PL_Lo04_02</t>
  </si>
  <si>
    <t>Performance Level: PL_Aus4_2</t>
  </si>
  <si>
    <t>Performance Level: PLr_ges4_2</t>
  </si>
  <si>
    <t>Performance Level: Pl_ges4_2          PFH [1/h] = 71,7E-9</t>
  </si>
  <si>
    <t>Performance Level: PL_Ein4_3</t>
  </si>
  <si>
    <t>Performance Level: PL_Log01_04_03</t>
  </si>
  <si>
    <t>Performance Level: PL_Lo04_03</t>
  </si>
  <si>
    <t>Performance Level: PL_Aus4_3</t>
  </si>
  <si>
    <t>Performance Level: PLr_ges4_3</t>
  </si>
  <si>
    <t>Performance Level: Pl_ges4_3          PFH [1/h] = 71,7E-9</t>
  </si>
  <si>
    <t>Performance Level: PL_Ein4_4</t>
  </si>
  <si>
    <t>Performance Level: PL_Log01_04_04</t>
  </si>
  <si>
    <t>Performance Level: PL_Lo04_04</t>
  </si>
  <si>
    <t>Performance Level: PL_Aus4_4</t>
  </si>
  <si>
    <t>Performance Level: PLr_ges4_4</t>
  </si>
  <si>
    <t>Performance Level: Pl_ges4_4          PFH [1/h] = 71,7E-9</t>
  </si>
  <si>
    <t>Performance Level: PL_Ein4_5</t>
  </si>
  <si>
    <t>Performance Level: PL_Log01_04_05</t>
  </si>
  <si>
    <t>Performance Level: PL_Lo04_05</t>
  </si>
  <si>
    <t>Performance Level: PL_Aus4_5</t>
  </si>
  <si>
    <t>Performance Level: PLr_ges4_5</t>
  </si>
  <si>
    <t>Performance Level: Pl_ges4_5          PFH [1/h] = 71,7E-9</t>
  </si>
  <si>
    <t>Performance Level: PL_Ein4_6</t>
  </si>
  <si>
    <t>Performance Level: PL_Log01_04_06</t>
  </si>
  <si>
    <t>Performance Level: PL_Lo04_06</t>
  </si>
  <si>
    <t>Performance Level: PL_Aus4_6</t>
  </si>
  <si>
    <t>Performance Level: PLr_ges4_6</t>
  </si>
  <si>
    <t>Performance Level: Pl_ges4_6          PFH [1/h] = 71,7E-9</t>
  </si>
  <si>
    <t>Performance Level: PL_Ein4_7</t>
  </si>
  <si>
    <t>Performance Level: PL_Log01_04_07</t>
  </si>
  <si>
    <t>Performance Level: PL_Lo04_07</t>
  </si>
  <si>
    <t>Performance Level: PL_Aus4_7</t>
  </si>
  <si>
    <t>Performance Level: PLr_ges4_7</t>
  </si>
  <si>
    <t>Performance Level: Pl_ges4_7          PFH [1/h] = 71,7E-9</t>
  </si>
  <si>
    <t>Performance Level: PL_Ein4_8</t>
  </si>
  <si>
    <t>Performance Level: PL_Log01_04_08</t>
  </si>
  <si>
    <t>Performance Level: PL_Lo04_08</t>
  </si>
  <si>
    <t>Performance Level: PL_Aus4_8</t>
  </si>
  <si>
    <t>Performance Level: PLr_ges4_8</t>
  </si>
  <si>
    <t>Performance Level: Pl_ges4_8          PFH [1/h] = 71,7E-9</t>
  </si>
  <si>
    <t>Performance Level: PL_Ein4_9</t>
  </si>
  <si>
    <t>Performance Level: PL_Log01_04_09</t>
  </si>
  <si>
    <t>Performance Level: PL_Lo04_09</t>
  </si>
  <si>
    <t>Performance Level: PL_Aus4_9</t>
  </si>
  <si>
    <t>Performance Level: PLr_ges4_9</t>
  </si>
  <si>
    <t>Performance Level: Pl_ges4_9          PFH [1/h] = 71,7E-9</t>
  </si>
  <si>
    <t>Performance Level: PL_Ein4_10</t>
  </si>
  <si>
    <t>Performance Level: PL_Log01_04_10</t>
  </si>
  <si>
    <t>Performance Level: PL_Lo04_10</t>
  </si>
  <si>
    <t>Performance Level: PL_Aus4_10</t>
  </si>
  <si>
    <t>Performance Level: PLr_ges4_10</t>
  </si>
  <si>
    <t>Performance Level: Pl_ges4_10          PFH [1/h] = 71,7E-9</t>
  </si>
</sst>
</file>

<file path=xl/styles.xml><?xml version="1.0" encoding="utf-8"?>
<styleSheet xmlns="http://schemas.openxmlformats.org/spreadsheetml/2006/main">
  <numFmts count="1">
    <numFmt numFmtId="164" formatCode="0E+00"/>
  </numFmts>
  <fonts count="23">
    <font>
      <sz val="11"/>
      <color theme="1"/>
      <name val="Calibri"/>
      <family val="2"/>
      <scheme val="minor"/>
    </font>
    <font>
      <sz val="11"/>
      <color theme="0"/>
      <name val="Calibri"/>
      <family val="2"/>
      <scheme val="minor"/>
    </font>
    <font>
      <sz val="20"/>
      <color theme="1"/>
      <name val="Arial Black"/>
      <family val="2"/>
    </font>
    <font>
      <sz val="11"/>
      <color rgb="FFFFFF00"/>
      <name val="Calibri"/>
      <family val="2"/>
      <scheme val="minor"/>
    </font>
    <font>
      <sz val="12"/>
      <color theme="1"/>
      <name val="Calibri"/>
      <family val="2"/>
      <scheme val="minor"/>
    </font>
    <font>
      <sz val="12"/>
      <color rgb="FFFF0000"/>
      <name val="Arial Black"/>
      <family val="2"/>
    </font>
    <font>
      <sz val="12"/>
      <color theme="0"/>
      <name val="Arial Black"/>
      <family val="2"/>
    </font>
    <font>
      <b/>
      <sz val="20"/>
      <color rgb="FFFFFF00"/>
      <name val="Arial Black"/>
      <family val="2"/>
    </font>
    <font>
      <sz val="14"/>
      <color rgb="FFFFFF00"/>
      <name val="Arial Black"/>
      <family val="2"/>
    </font>
    <font>
      <b/>
      <sz val="11"/>
      <color theme="9" tint="0.39997558519241921"/>
      <name val="Calibri"/>
      <family val="2"/>
      <scheme val="minor"/>
    </font>
    <font>
      <sz val="20"/>
      <color rgb="FF0000FF"/>
      <name val="Webdings"/>
      <family val="1"/>
      <charset val="2"/>
    </font>
    <font>
      <sz val="18"/>
      <color theme="0"/>
      <name val="Agency FB"/>
      <family val="2"/>
    </font>
    <font>
      <sz val="11"/>
      <color theme="0"/>
      <name val="Arial"/>
      <family val="2"/>
    </font>
    <font>
      <sz val="11"/>
      <color theme="1"/>
      <name val="Arial"/>
      <family val="2"/>
    </font>
    <font>
      <sz val="11"/>
      <color rgb="FF0000FF"/>
      <name val="Arial"/>
      <family val="2"/>
    </font>
    <font>
      <sz val="11"/>
      <color rgb="FF0000FF"/>
      <name val="Webdings"/>
      <family val="1"/>
      <charset val="2"/>
    </font>
    <font>
      <sz val="11"/>
      <color rgb="FF00B0F0"/>
      <name val="Calibri"/>
      <family val="2"/>
      <scheme val="minor"/>
    </font>
    <font>
      <sz val="11"/>
      <name val="Calibri"/>
      <family val="2"/>
      <scheme val="minor"/>
    </font>
    <font>
      <sz val="11"/>
      <color rgb="FFFF99FF"/>
      <name val="Arial"/>
      <family val="2"/>
    </font>
    <font>
      <sz val="11"/>
      <color rgb="FF00B0F0"/>
      <name val="Arial"/>
      <family val="2"/>
    </font>
    <font>
      <sz val="11"/>
      <color rgb="FFFFFF00"/>
      <name val="Arial"/>
      <family val="2"/>
    </font>
    <font>
      <sz val="11"/>
      <color rgb="FF00B050"/>
      <name val="Arial"/>
      <family val="2"/>
    </font>
    <font>
      <sz val="11"/>
      <color rgb="FFFF0000"/>
      <name val="Arial"/>
      <family val="2"/>
    </font>
  </fonts>
  <fills count="14">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rgb="FFFF0000"/>
        <bgColor indexed="64"/>
      </patternFill>
    </fill>
    <fill>
      <patternFill patternType="solid">
        <fgColor rgb="FFFFC000"/>
        <bgColor indexed="64"/>
      </patternFill>
    </fill>
    <fill>
      <patternFill patternType="solid">
        <fgColor theme="0" tint="-0.34998626667073579"/>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00B05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0000FF"/>
        <bgColor indexed="64"/>
      </patternFill>
    </fill>
  </fills>
  <borders count="4">
    <border>
      <left/>
      <right/>
      <top/>
      <bottom/>
      <diagonal/>
    </border>
    <border>
      <left style="thin">
        <color rgb="FFFF0000"/>
      </left>
      <right style="thin">
        <color rgb="FFFF0000"/>
      </right>
      <top/>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rgb="FFFF0000"/>
      </bottom>
      <diagonal/>
    </border>
  </borders>
  <cellStyleXfs count="1">
    <xf numFmtId="0" fontId="0" fillId="0" borderId="0"/>
  </cellStyleXfs>
  <cellXfs count="61">
    <xf numFmtId="0" fontId="0" fillId="0" borderId="0" xfId="0"/>
    <xf numFmtId="0" fontId="0" fillId="0" borderId="0" xfId="0" applyFill="1"/>
    <xf numFmtId="0" fontId="0" fillId="4" borderId="0" xfId="0" applyFill="1"/>
    <xf numFmtId="0" fontId="0" fillId="5" borderId="0" xfId="0" applyFill="1"/>
    <xf numFmtId="0" fontId="0" fillId="2" borderId="0" xfId="0" applyFill="1"/>
    <xf numFmtId="0" fontId="0" fillId="6" borderId="0" xfId="0" applyFill="1"/>
    <xf numFmtId="0" fontId="0" fillId="7" borderId="0" xfId="0" applyFill="1"/>
    <xf numFmtId="0" fontId="2" fillId="0" borderId="0" xfId="0" applyFont="1"/>
    <xf numFmtId="0" fontId="0" fillId="8" borderId="0" xfId="0" applyFill="1"/>
    <xf numFmtId="0" fontId="0" fillId="9" borderId="0" xfId="0" applyFill="1"/>
    <xf numFmtId="0" fontId="1" fillId="3" borderId="0" xfId="0" applyFont="1" applyFill="1"/>
    <xf numFmtId="0" fontId="3" fillId="10" borderId="0" xfId="0" applyFont="1" applyFill="1"/>
    <xf numFmtId="0" fontId="1" fillId="10" borderId="0" xfId="0" applyFont="1" applyFill="1"/>
    <xf numFmtId="0" fontId="0" fillId="11" borderId="0" xfId="0" applyFill="1"/>
    <xf numFmtId="0" fontId="0" fillId="8" borderId="0" xfId="0" applyFill="1" applyAlignment="1">
      <alignment horizontal="left"/>
    </xf>
    <xf numFmtId="0" fontId="0" fillId="7" borderId="0" xfId="0" applyFill="1" applyAlignment="1">
      <alignment horizontal="left"/>
    </xf>
    <xf numFmtId="0" fontId="0" fillId="3" borderId="0" xfId="0" applyFill="1"/>
    <xf numFmtId="0" fontId="5" fillId="3" borderId="0" xfId="0" applyFont="1" applyFill="1" applyAlignment="1">
      <alignment horizontal="right"/>
    </xf>
    <xf numFmtId="0" fontId="4" fillId="3" borderId="0" xfId="0" applyFont="1" applyFill="1"/>
    <xf numFmtId="0" fontId="5" fillId="3" borderId="0" xfId="0" applyFont="1" applyFill="1"/>
    <xf numFmtId="0" fontId="0" fillId="3" borderId="0" xfId="0" applyFill="1" applyBorder="1"/>
    <xf numFmtId="0" fontId="6" fillId="3" borderId="0" xfId="0" applyFont="1" applyFill="1" applyAlignment="1">
      <alignment horizontal="right"/>
    </xf>
    <xf numFmtId="0" fontId="6" fillId="3" borderId="0" xfId="0" applyFont="1" applyFill="1"/>
    <xf numFmtId="0" fontId="8" fillId="3" borderId="0" xfId="0" applyFont="1" applyFill="1"/>
    <xf numFmtId="0" fontId="9" fillId="3" borderId="0" xfId="0" applyFont="1" applyFill="1"/>
    <xf numFmtId="0" fontId="10" fillId="3" borderId="0" xfId="0" applyFont="1" applyFill="1" applyAlignment="1">
      <alignment horizontal="center" vertical="center"/>
    </xf>
    <xf numFmtId="0" fontId="11" fillId="13" borderId="2" xfId="0" applyFont="1" applyFill="1" applyBorder="1" applyAlignment="1">
      <alignment horizontal="center" vertical="center"/>
    </xf>
    <xf numFmtId="0" fontId="11" fillId="13" borderId="1" xfId="0" applyFont="1" applyFill="1" applyBorder="1" applyAlignment="1">
      <alignment horizontal="center" vertical="center"/>
    </xf>
    <xf numFmtId="164" fontId="11" fillId="13" borderId="3" xfId="0" applyNumberFormat="1" applyFont="1" applyFill="1" applyBorder="1" applyAlignment="1">
      <alignment horizontal="center" vertical="center"/>
    </xf>
    <xf numFmtId="0" fontId="11" fillId="13" borderId="3" xfId="0" applyFont="1" applyFill="1" applyBorder="1" applyAlignment="1">
      <alignment horizontal="center" vertical="center"/>
    </xf>
    <xf numFmtId="0" fontId="11" fillId="3" borderId="0" xfId="0" applyFont="1" applyFill="1" applyBorder="1" applyAlignment="1">
      <alignment horizontal="center" vertical="center"/>
    </xf>
    <xf numFmtId="0" fontId="11" fillId="3" borderId="0" xfId="0" applyFont="1" applyFill="1" applyAlignment="1">
      <alignment horizontal="center" vertical="center"/>
    </xf>
    <xf numFmtId="0" fontId="0" fillId="13" borderId="0" xfId="0" applyFill="1"/>
    <xf numFmtId="0" fontId="13" fillId="3" borderId="0" xfId="0" applyFont="1" applyFill="1"/>
    <xf numFmtId="0" fontId="13" fillId="3" borderId="0" xfId="0" applyFont="1" applyFill="1" applyBorder="1"/>
    <xf numFmtId="0" fontId="12" fillId="3" borderId="0" xfId="0" applyFont="1" applyFill="1" applyBorder="1" applyAlignment="1">
      <alignment horizontal="center" vertical="center"/>
    </xf>
    <xf numFmtId="0" fontId="14" fillId="3" borderId="0" xfId="0" applyFont="1" applyFill="1" applyBorder="1" applyAlignment="1">
      <alignment vertical="center"/>
    </xf>
    <xf numFmtId="0" fontId="14" fillId="3" borderId="0" xfId="0" applyFont="1" applyFill="1" applyAlignment="1">
      <alignment vertical="center"/>
    </xf>
    <xf numFmtId="0" fontId="15" fillId="3" borderId="0" xfId="0" applyFont="1" applyFill="1" applyAlignment="1">
      <alignment horizontal="center" vertical="center"/>
    </xf>
    <xf numFmtId="0" fontId="15" fillId="3" borderId="0" xfId="0" applyFont="1" applyFill="1" applyAlignment="1">
      <alignment vertical="center"/>
    </xf>
    <xf numFmtId="0" fontId="15" fillId="3" borderId="0" xfId="0" applyFont="1" applyFill="1" applyBorder="1" applyAlignment="1">
      <alignment horizontal="center" vertical="center"/>
    </xf>
    <xf numFmtId="0" fontId="21" fillId="3" borderId="0" xfId="0" applyNumberFormat="1" applyFont="1" applyFill="1"/>
    <xf numFmtId="0" fontId="20" fillId="3" borderId="0" xfId="0" applyFont="1" applyFill="1"/>
    <xf numFmtId="0" fontId="18" fillId="3" borderId="0" xfId="0" applyFont="1" applyFill="1" applyAlignment="1">
      <alignment horizontal="right"/>
    </xf>
    <xf numFmtId="0" fontId="18" fillId="3" borderId="0" xfId="0" applyFont="1" applyFill="1"/>
    <xf numFmtId="0" fontId="0" fillId="3" borderId="0" xfId="0" applyFill="1" applyAlignment="1">
      <alignment horizontal="right"/>
    </xf>
    <xf numFmtId="0" fontId="19" fillId="3" borderId="0" xfId="0" applyFont="1" applyFill="1" applyAlignment="1">
      <alignment horizontal="right"/>
    </xf>
    <xf numFmtId="0" fontId="19" fillId="3" borderId="0" xfId="0" applyFont="1" applyFill="1"/>
    <xf numFmtId="0" fontId="17" fillId="3" borderId="0" xfId="0" applyFont="1" applyFill="1" applyAlignment="1">
      <alignment horizontal="left"/>
    </xf>
    <xf numFmtId="0" fontId="17" fillId="3" borderId="0" xfId="0" applyFont="1" applyFill="1"/>
    <xf numFmtId="0" fontId="17" fillId="3" borderId="0" xfId="0" applyFont="1" applyFill="1" applyAlignment="1">
      <alignment horizontal="right"/>
    </xf>
    <xf numFmtId="0" fontId="16" fillId="3" borderId="0" xfId="0" applyFont="1" applyFill="1"/>
    <xf numFmtId="0" fontId="16" fillId="3" borderId="0" xfId="0" applyFont="1" applyFill="1" applyAlignment="1">
      <alignment horizontal="right"/>
    </xf>
    <xf numFmtId="164" fontId="12" fillId="3" borderId="0" xfId="0" applyNumberFormat="1" applyFont="1" applyFill="1" applyBorder="1" applyAlignment="1">
      <alignment horizontal="center" vertical="center"/>
    </xf>
    <xf numFmtId="0" fontId="15" fillId="3" borderId="0" xfId="0" applyFont="1" applyFill="1" applyBorder="1" applyAlignment="1">
      <alignment vertical="center"/>
    </xf>
    <xf numFmtId="0" fontId="21" fillId="3" borderId="0" xfId="0" applyFont="1" applyFill="1"/>
    <xf numFmtId="0" fontId="22" fillId="3" borderId="0" xfId="0" applyFont="1" applyFill="1"/>
    <xf numFmtId="0" fontId="7" fillId="3" borderId="0" xfId="0" applyFont="1" applyFill="1" applyAlignment="1">
      <alignment horizontal="center"/>
    </xf>
    <xf numFmtId="0" fontId="10" fillId="3" borderId="0" xfId="0" applyFont="1" applyFill="1" applyAlignment="1">
      <alignment horizontal="center" vertical="center"/>
    </xf>
    <xf numFmtId="0" fontId="10" fillId="3" borderId="0" xfId="0" applyFont="1" applyFill="1" applyBorder="1" applyAlignment="1">
      <alignment horizontal="center" vertical="center"/>
    </xf>
    <xf numFmtId="0" fontId="10" fillId="12" borderId="0" xfId="0" applyFont="1" applyFill="1" applyBorder="1" applyAlignment="1">
      <alignment horizontal="center" vertical="center"/>
    </xf>
  </cellXfs>
  <cellStyles count="1">
    <cellStyle name="Normal" xfId="0" builtinId="0"/>
  </cellStyles>
  <dxfs count="10498">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rgb="FF0000FF"/>
        </patternFill>
      </fill>
      <border>
        <left style="thin">
          <color rgb="FFFF0000"/>
        </left>
        <right style="thin">
          <color rgb="FFFF0000"/>
        </right>
      </border>
    </dxf>
    <dxf>
      <fill>
        <patternFill patternType="solid">
          <fgColor indexed="64"/>
          <bgColor theme="5" tint="0.3999755851924192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fill>
        <patternFill>
          <bgColor theme="0" tint="-0.24994659260841701"/>
        </patternFill>
      </fill>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bottom style="thin">
          <color rgb="FFFF0000"/>
        </bottom>
        <vertical/>
        <horizontal/>
      </border>
    </dxf>
    <dxf>
      <border>
        <bottom style="thin">
          <color rgb="FFFF0000"/>
        </bottom>
        <vertical/>
        <horizontal/>
      </border>
    </dxf>
    <dxf>
      <border>
        <bottom style="thin">
          <color rgb="FFFF0000"/>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rgb="FF0000FF"/>
        </patternFill>
      </fill>
      <border>
        <left style="thin">
          <color rgb="FFFF0000"/>
        </left>
        <right style="thin">
          <color rgb="FFFF0000"/>
        </right>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
      <border>
        <bottom style="thin">
          <color rgb="FFFF0000"/>
        </bottom>
        <vertical/>
        <horizontal/>
      </border>
    </dxf>
    <dxf>
      <border>
        <top style="thin">
          <color rgb="FFFF0000"/>
        </top>
        <vertical/>
        <horizontal/>
      </border>
    </dxf>
    <dxf>
      <fill>
        <patternFill>
          <bgColor rgb="FF0000FF"/>
        </patternFill>
      </fill>
      <border>
        <left style="thin">
          <color rgb="FFFF0000"/>
        </left>
        <right style="thin">
          <color rgb="FFFF0000"/>
        </right>
        <top/>
        <bottom/>
        <vertical/>
        <horizontal/>
      </border>
    </dxf>
    <dxf>
      <fill>
        <patternFill>
          <bgColor theme="0" tint="-0.24994659260841701"/>
        </patternFill>
      </fill>
    </dxf>
  </dxfs>
  <tableStyles count="0" defaultTableStyle="TableStyleMedium2" defaultPivotStyle="PivotStyleLight16"/>
  <colors>
    <mruColors>
      <color rgb="FF0000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Drop" dropStyle="combo" dx="16" fmlaLink="Liste!$C$2" fmlaRange="Pro_Name" noThreeD="1" sel="1" val="0"/>
</file>

<file path=xl/ctrlProps/ctrlProp2.xml><?xml version="1.0" encoding="utf-8"?>
<formControlPr xmlns="http://schemas.microsoft.com/office/spreadsheetml/2009/9/main" objectType="Drop" dropStyle="combo" dx="16" fmlaLink="Liste!$E$2" fmlaRange="Oberbegriff" noThreeD="1" sel="1" val="0"/>
</file>

<file path=xl/ctrlProps/ctrlProp3.xml><?xml version="1.0" encoding="utf-8"?>
<formControlPr xmlns="http://schemas.microsoft.com/office/spreadsheetml/2009/9/main" objectType="Drop" dropStyle="combo" dx="16" fmlaLink="Liste!$F$2" fmlaRange="Unterbegriff" noThreeD="1" sel="1" val="0"/>
</file>

<file path=xl/tables/table1.xml><?xml version="1.0" encoding="utf-8"?>
<table xmlns="http://schemas.openxmlformats.org/spreadsheetml/2006/main" id="5" name="Tab_DaBa" displayName="Tab_DaBa" ref="A2:BP165" totalsRowShown="0" headerRowDxfId="40">
  <autoFilter ref="A2:BP165"/>
  <tableColumns count="68">
    <tableColumn id="1" name="Spalte1"/>
    <tableColumn id="2" name="Spalte2"/>
    <tableColumn id="3" name="Spalte3"/>
    <tableColumn id="4" name="Spalte4"/>
    <tableColumn id="5" name="Spalte5"/>
    <tableColumn id="6" name="Spalte6"/>
    <tableColumn id="7" name="Spalte7"/>
    <tableColumn id="8" name="Spalte8"/>
    <tableColumn id="9" name="Spalte9"/>
    <tableColumn id="10" name="Spalte10"/>
    <tableColumn id="11" name="Spalte11"/>
    <tableColumn id="12" name="Spalte12"/>
    <tableColumn id="13" name="Spalte13"/>
    <tableColumn id="14" name="Spalte14"/>
    <tableColumn id="15" name="Spalte15"/>
    <tableColumn id="16" name="Spalte16"/>
    <tableColumn id="17" name="Spalte17"/>
    <tableColumn id="18" name="Spalte18"/>
    <tableColumn id="19" name="Spalte19"/>
    <tableColumn id="20" name="Spalte20"/>
    <tableColumn id="21" name="Spalte21"/>
    <tableColumn id="22" name="Spalte22"/>
    <tableColumn id="23" name="Spalte23"/>
    <tableColumn id="24" name="Spalte24"/>
    <tableColumn id="25" name="Spalte25"/>
    <tableColumn id="26" name="Spalte26"/>
    <tableColumn id="27" name="Spalte27"/>
    <tableColumn id="28" name="Spalte28"/>
    <tableColumn id="29" name="Spalte29"/>
    <tableColumn id="30" name="Spalte30"/>
    <tableColumn id="31" name="Spalte31"/>
    <tableColumn id="32" name="Spalte32"/>
    <tableColumn id="33" name="Spalte33"/>
    <tableColumn id="34" name="Spalte34"/>
    <tableColumn id="35" name="Spalte35"/>
    <tableColumn id="36" name="Spalte36"/>
    <tableColumn id="37" name="Spalte37"/>
    <tableColumn id="38" name="Spalte38"/>
    <tableColumn id="39" name="Spalte39"/>
    <tableColumn id="40" name="Spalte40"/>
    <tableColumn id="41" name="Spalte41"/>
    <tableColumn id="42" name="Spalte42"/>
    <tableColumn id="43" name="Spalte43"/>
    <tableColumn id="44" name="Spalte44"/>
    <tableColumn id="45" name="Spalte45"/>
    <tableColumn id="46" name="Spalte46"/>
    <tableColumn id="47" name="Spalte47"/>
    <tableColumn id="48" name="Spalte48"/>
    <tableColumn id="49" name="Spalte49"/>
    <tableColumn id="50" name="Spalte50"/>
    <tableColumn id="51" name="Spalte51"/>
    <tableColumn id="52" name="Spalte52"/>
    <tableColumn id="53" name="Spalte53"/>
    <tableColumn id="54" name="Spalte54"/>
    <tableColumn id="55" name="Spalte55"/>
    <tableColumn id="56" name="Spalte56"/>
    <tableColumn id="57" name="Spalte57"/>
    <tableColumn id="58" name="Spalte58"/>
    <tableColumn id="59" name="Spalte59"/>
    <tableColumn id="60" name="Spalte60"/>
    <tableColumn id="61" name="Spalte61"/>
    <tableColumn id="62" name="Spalte62"/>
    <tableColumn id="63" name="Spalte63"/>
    <tableColumn id="64" name="Spalte64"/>
    <tableColumn id="65" name="Spalte65"/>
    <tableColumn id="66" name="Spalte66"/>
    <tableColumn id="67" name="Spalte67">
      <calculatedColumnFormula>CONCATENATE(A3,B3,C3)</calculatedColumnFormula>
    </tableColumn>
    <tableColumn id="68" name="Spalte68">
      <calculatedColumnFormula>CONCATENATE(A3,B3)</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Tabelle2"/>
  <dimension ref="B3:I3039"/>
  <sheetViews>
    <sheetView workbookViewId="0">
      <selection activeCell="B1992" sqref="B1992"/>
    </sheetView>
  </sheetViews>
  <sheetFormatPr baseColWidth="10" defaultRowHeight="15"/>
  <cols>
    <col min="1" max="1" width="11.42578125" style="16"/>
    <col min="2" max="2" width="50" style="16" customWidth="1"/>
    <col min="3" max="3" width="6.42578125" style="16" customWidth="1"/>
    <col min="4" max="4" width="50" style="16" customWidth="1"/>
    <col min="5" max="5" width="6.42578125" style="16" customWidth="1"/>
    <col min="6" max="6" width="50" style="16" customWidth="1"/>
    <col min="7" max="7" width="6.42578125" style="16" customWidth="1"/>
    <col min="8" max="8" width="50" style="16" customWidth="1"/>
    <col min="9" max="9" width="6.42578125" style="16" customWidth="1"/>
    <col min="10" max="16384" width="11.42578125" style="16"/>
  </cols>
  <sheetData>
    <row r="3" spans="2:9">
      <c r="B3" s="56" t="s">
        <v>1036</v>
      </c>
    </row>
    <row r="5" spans="2:9">
      <c r="B5" s="41" t="s">
        <v>104</v>
      </c>
    </row>
    <row r="7" spans="2:9">
      <c r="B7" s="42" t="s">
        <v>270</v>
      </c>
    </row>
    <row r="9" spans="2:9" ht="15.75">
      <c r="B9" s="35" t="s">
        <v>5</v>
      </c>
      <c r="C9" s="54"/>
      <c r="D9" s="35" t="s">
        <v>6</v>
      </c>
      <c r="E9" s="33"/>
      <c r="F9" s="35" t="s">
        <v>923</v>
      </c>
      <c r="G9" s="39"/>
      <c r="H9" s="35" t="s">
        <v>923</v>
      </c>
      <c r="I9" s="39"/>
    </row>
    <row r="10" spans="2:9" ht="15.75">
      <c r="B10" s="35" t="s">
        <v>106</v>
      </c>
      <c r="C10" s="54"/>
      <c r="D10" s="35" t="s">
        <v>111</v>
      </c>
      <c r="E10" s="36"/>
      <c r="F10" s="35" t="s">
        <v>923</v>
      </c>
      <c r="G10" s="39"/>
      <c r="H10" s="35" t="s">
        <v>923</v>
      </c>
      <c r="I10" s="39"/>
    </row>
    <row r="11" spans="2:9" ht="15.75">
      <c r="B11" s="35" t="s">
        <v>107</v>
      </c>
      <c r="C11" s="40">
        <v>4</v>
      </c>
      <c r="D11" s="35" t="s">
        <v>112</v>
      </c>
      <c r="E11" s="40" t="s">
        <v>923</v>
      </c>
      <c r="F11" s="35" t="s">
        <v>923</v>
      </c>
      <c r="G11" s="38" t="s">
        <v>923</v>
      </c>
      <c r="H11" s="35" t="s">
        <v>923</v>
      </c>
      <c r="I11" s="38" t="s">
        <v>923</v>
      </c>
    </row>
    <row r="12" spans="2:9" ht="15.75">
      <c r="B12" s="35" t="s">
        <v>925</v>
      </c>
      <c r="C12" s="54"/>
      <c r="D12" s="35" t="s">
        <v>924</v>
      </c>
      <c r="E12" s="36"/>
      <c r="F12" s="35" t="s">
        <v>923</v>
      </c>
      <c r="G12" s="39"/>
      <c r="H12" s="35" t="s">
        <v>923</v>
      </c>
      <c r="I12" s="38"/>
    </row>
    <row r="13" spans="2:9" ht="15.75">
      <c r="B13" s="53" t="s">
        <v>927</v>
      </c>
      <c r="C13" s="54"/>
      <c r="D13" s="35" t="s">
        <v>926</v>
      </c>
      <c r="E13" s="36"/>
      <c r="F13" s="35" t="s">
        <v>923</v>
      </c>
      <c r="G13" s="39"/>
      <c r="H13" s="35" t="s">
        <v>923</v>
      </c>
      <c r="I13" s="39"/>
    </row>
    <row r="15" spans="2:9">
      <c r="B15" s="43" t="s">
        <v>100</v>
      </c>
      <c r="D15" s="44" t="s">
        <v>928</v>
      </c>
    </row>
    <row r="16" spans="2:9">
      <c r="B16" s="45"/>
    </row>
    <row r="17" spans="2:9">
      <c r="B17" s="46" t="s">
        <v>101</v>
      </c>
      <c r="D17" s="47" t="s">
        <v>929</v>
      </c>
    </row>
    <row r="19" spans="2:9">
      <c r="B19" s="42" t="s">
        <v>262</v>
      </c>
    </row>
    <row r="21" spans="2:9" ht="15.75">
      <c r="B21" s="35" t="s">
        <v>5</v>
      </c>
      <c r="C21" s="40"/>
      <c r="D21" s="35" t="s">
        <v>17</v>
      </c>
      <c r="E21" s="33"/>
      <c r="F21" s="35" t="s">
        <v>6</v>
      </c>
      <c r="G21" s="39"/>
      <c r="H21" s="35" t="s">
        <v>923</v>
      </c>
      <c r="I21" s="39"/>
    </row>
    <row r="22" spans="2:9" ht="15.75">
      <c r="B22" s="35" t="s">
        <v>265</v>
      </c>
      <c r="C22" s="40"/>
      <c r="D22" s="35" t="s">
        <v>716</v>
      </c>
      <c r="E22" s="36"/>
      <c r="F22" s="35" t="s">
        <v>268</v>
      </c>
      <c r="G22" s="39"/>
      <c r="H22" s="35" t="s">
        <v>923</v>
      </c>
      <c r="I22" s="39"/>
    </row>
    <row r="23" spans="2:9" ht="15.75">
      <c r="B23" s="35" t="s">
        <v>266</v>
      </c>
      <c r="C23" s="40">
        <v>4</v>
      </c>
      <c r="D23" s="35" t="s">
        <v>756</v>
      </c>
      <c r="E23" s="40">
        <v>4</v>
      </c>
      <c r="F23" s="35" t="s">
        <v>269</v>
      </c>
      <c r="G23" s="38" t="s">
        <v>923</v>
      </c>
      <c r="H23" s="35" t="s">
        <v>923</v>
      </c>
      <c r="I23" s="38" t="s">
        <v>923</v>
      </c>
    </row>
    <row r="24" spans="2:9" ht="15.75">
      <c r="B24" s="35" t="s">
        <v>932</v>
      </c>
      <c r="C24" s="40"/>
      <c r="D24" s="35" t="s">
        <v>931</v>
      </c>
      <c r="E24" s="36"/>
      <c r="F24" s="35" t="s">
        <v>930</v>
      </c>
      <c r="G24" s="39"/>
      <c r="H24" s="35" t="s">
        <v>923</v>
      </c>
      <c r="I24" s="38"/>
    </row>
    <row r="25" spans="2:9" ht="15.75">
      <c r="B25" s="53" t="s">
        <v>934</v>
      </c>
      <c r="C25" s="40"/>
      <c r="D25" s="35" t="s">
        <v>933</v>
      </c>
      <c r="E25" s="36"/>
      <c r="F25" s="35" t="s">
        <v>926</v>
      </c>
      <c r="G25" s="39"/>
      <c r="H25" s="35" t="s">
        <v>923</v>
      </c>
      <c r="I25" s="39"/>
    </row>
    <row r="27" spans="2:9">
      <c r="B27" s="43" t="s">
        <v>100</v>
      </c>
      <c r="D27" s="44" t="s">
        <v>935</v>
      </c>
    </row>
    <row r="28" spans="2:9">
      <c r="B28" s="45"/>
    </row>
    <row r="29" spans="2:9">
      <c r="B29" s="46" t="s">
        <v>101</v>
      </c>
      <c r="D29" s="47" t="s">
        <v>936</v>
      </c>
    </row>
    <row r="31" spans="2:9">
      <c r="B31" s="42" t="s">
        <v>128</v>
      </c>
    </row>
    <row r="33" spans="2:9" ht="15.75">
      <c r="B33" s="35" t="s">
        <v>5</v>
      </c>
      <c r="C33" s="54"/>
      <c r="D33" s="35" t="s">
        <v>17</v>
      </c>
      <c r="E33" s="33"/>
      <c r="F33" s="35" t="s">
        <v>18</v>
      </c>
      <c r="G33" s="39"/>
      <c r="H33" s="35" t="s">
        <v>6</v>
      </c>
      <c r="I33" s="39"/>
    </row>
    <row r="34" spans="2:9" ht="15.75">
      <c r="B34" s="35" t="s">
        <v>155</v>
      </c>
      <c r="C34" s="54"/>
      <c r="D34" s="35" t="s">
        <v>717</v>
      </c>
      <c r="E34" s="36"/>
      <c r="F34" s="35" t="s">
        <v>366</v>
      </c>
      <c r="G34" s="39"/>
      <c r="H34" s="35" t="s">
        <v>182</v>
      </c>
      <c r="I34" s="39"/>
    </row>
    <row r="35" spans="2:9" ht="15.75">
      <c r="B35" s="35" t="s">
        <v>164</v>
      </c>
      <c r="C35" s="40">
        <v>4</v>
      </c>
      <c r="D35" s="35" t="s">
        <v>757</v>
      </c>
      <c r="E35" s="40">
        <v>4</v>
      </c>
      <c r="F35" s="35" t="s">
        <v>191</v>
      </c>
      <c r="G35" s="38">
        <v>4</v>
      </c>
      <c r="H35" s="35" t="s">
        <v>113</v>
      </c>
      <c r="I35" s="38" t="s">
        <v>923</v>
      </c>
    </row>
    <row r="36" spans="2:9" ht="15.75">
      <c r="B36" s="35" t="s">
        <v>939</v>
      </c>
      <c r="C36" s="54"/>
      <c r="D36" s="35" t="s">
        <v>938</v>
      </c>
      <c r="E36" s="36"/>
      <c r="F36" s="35" t="s">
        <v>937</v>
      </c>
      <c r="G36" s="39"/>
      <c r="H36" s="35" t="s">
        <v>1001</v>
      </c>
      <c r="I36" s="38"/>
    </row>
    <row r="37" spans="2:9" ht="15.75">
      <c r="B37" s="53" t="s">
        <v>934</v>
      </c>
      <c r="C37" s="54"/>
      <c r="D37" s="35" t="s">
        <v>933</v>
      </c>
      <c r="E37" s="36"/>
      <c r="F37" s="35" t="s">
        <v>940</v>
      </c>
      <c r="G37" s="39"/>
      <c r="H37" s="35" t="s">
        <v>926</v>
      </c>
      <c r="I37" s="39"/>
    </row>
    <row r="39" spans="2:9">
      <c r="B39" s="43" t="s">
        <v>100</v>
      </c>
      <c r="D39" s="44" t="s">
        <v>941</v>
      </c>
    </row>
    <row r="40" spans="2:9">
      <c r="B40" s="45"/>
    </row>
    <row r="41" spans="2:9">
      <c r="B41" s="46" t="s">
        <v>101</v>
      </c>
      <c r="D41" s="47" t="s">
        <v>942</v>
      </c>
    </row>
    <row r="43" spans="2:9">
      <c r="B43" s="42" t="s">
        <v>129</v>
      </c>
    </row>
    <row r="45" spans="2:9" ht="15.75">
      <c r="B45" s="35" t="s">
        <v>5</v>
      </c>
      <c r="C45" s="54"/>
      <c r="D45" s="35" t="s">
        <v>17</v>
      </c>
      <c r="E45" s="33"/>
      <c r="F45" s="35" t="s">
        <v>18</v>
      </c>
      <c r="G45" s="39"/>
      <c r="H45" s="35" t="s">
        <v>19</v>
      </c>
      <c r="I45" s="39"/>
    </row>
    <row r="46" spans="2:9" ht="15.75">
      <c r="B46" s="35" t="s">
        <v>156</v>
      </c>
      <c r="C46" s="54"/>
      <c r="D46" s="35" t="s">
        <v>718</v>
      </c>
      <c r="E46" s="36"/>
      <c r="F46" s="35" t="s">
        <v>367</v>
      </c>
      <c r="G46" s="39"/>
      <c r="H46" s="35" t="s">
        <v>375</v>
      </c>
      <c r="I46" s="39"/>
    </row>
    <row r="47" spans="2:9" ht="15.75">
      <c r="B47" s="35" t="s">
        <v>165</v>
      </c>
      <c r="C47" s="40">
        <v>4</v>
      </c>
      <c r="D47" s="35" t="s">
        <v>758</v>
      </c>
      <c r="E47" s="40">
        <v>4</v>
      </c>
      <c r="F47" s="35" t="s">
        <v>192</v>
      </c>
      <c r="G47" s="38">
        <v>4</v>
      </c>
      <c r="H47" s="35" t="s">
        <v>192</v>
      </c>
      <c r="I47" s="38">
        <v>6</v>
      </c>
    </row>
    <row r="48" spans="2:9" ht="15.75">
      <c r="B48" s="35" t="s">
        <v>945</v>
      </c>
      <c r="C48" s="54"/>
      <c r="D48" s="35" t="s">
        <v>944</v>
      </c>
      <c r="E48" s="36"/>
      <c r="F48" s="35" t="s">
        <v>943</v>
      </c>
      <c r="G48" s="39"/>
      <c r="H48" s="35" t="s">
        <v>1002</v>
      </c>
      <c r="I48" s="38"/>
    </row>
    <row r="49" spans="2:9" ht="15.75">
      <c r="B49" s="53" t="s">
        <v>948</v>
      </c>
      <c r="C49" s="54"/>
      <c r="D49" s="35" t="s">
        <v>947</v>
      </c>
      <c r="E49" s="36"/>
      <c r="F49" s="35" t="s">
        <v>946</v>
      </c>
      <c r="G49" s="39"/>
      <c r="H49" s="35" t="s">
        <v>940</v>
      </c>
      <c r="I49" s="39"/>
    </row>
    <row r="50" spans="2:9">
      <c r="B50" s="33"/>
      <c r="C50" s="34"/>
      <c r="D50" s="33"/>
      <c r="E50" s="33"/>
      <c r="F50" s="33"/>
      <c r="G50" s="33"/>
      <c r="H50" s="33"/>
      <c r="I50" s="33"/>
    </row>
    <row r="51" spans="2:9" ht="15.75">
      <c r="B51" s="38">
        <v>6</v>
      </c>
      <c r="C51" s="34"/>
      <c r="D51" s="38">
        <v>3</v>
      </c>
      <c r="E51" s="33"/>
      <c r="F51" s="38">
        <v>3</v>
      </c>
      <c r="G51" s="33"/>
      <c r="H51" s="38">
        <v>3</v>
      </c>
      <c r="I51" s="33"/>
    </row>
    <row r="52" spans="2:9" ht="15.75">
      <c r="B52" s="39"/>
      <c r="C52" s="33"/>
      <c r="D52" s="33"/>
      <c r="E52" s="33"/>
      <c r="F52" s="33"/>
      <c r="G52" s="33"/>
      <c r="H52" s="33"/>
      <c r="I52" s="33"/>
    </row>
    <row r="53" spans="2:9" ht="15.75">
      <c r="B53" s="35" t="s">
        <v>6</v>
      </c>
      <c r="C53" s="39"/>
      <c r="D53" s="35" t="s">
        <v>923</v>
      </c>
      <c r="E53" s="33"/>
      <c r="F53" s="35" t="s">
        <v>923</v>
      </c>
      <c r="G53" s="39"/>
      <c r="H53" s="35" t="s">
        <v>923</v>
      </c>
      <c r="I53" s="39"/>
    </row>
    <row r="54" spans="2:9" ht="15.75">
      <c r="B54" s="35" t="s">
        <v>183</v>
      </c>
      <c r="C54" s="39"/>
      <c r="D54" s="35" t="s">
        <v>923</v>
      </c>
      <c r="E54" s="37"/>
      <c r="F54" s="35" t="s">
        <v>923</v>
      </c>
      <c r="G54" s="39"/>
      <c r="H54" s="35" t="s">
        <v>923</v>
      </c>
      <c r="I54" s="39"/>
    </row>
    <row r="55" spans="2:9" ht="15.75">
      <c r="B55" s="35" t="s">
        <v>114</v>
      </c>
      <c r="C55" s="38" t="s">
        <v>923</v>
      </c>
      <c r="D55" s="35" t="s">
        <v>923</v>
      </c>
      <c r="E55" s="38" t="s">
        <v>923</v>
      </c>
      <c r="F55" s="35" t="s">
        <v>923</v>
      </c>
      <c r="G55" s="38" t="s">
        <v>923</v>
      </c>
      <c r="H55" s="35" t="s">
        <v>923</v>
      </c>
      <c r="I55" s="38" t="s">
        <v>923</v>
      </c>
    </row>
    <row r="56" spans="2:9" ht="15.75">
      <c r="B56" s="35" t="s">
        <v>949</v>
      </c>
      <c r="C56" s="39"/>
      <c r="D56" s="35" t="s">
        <v>923</v>
      </c>
      <c r="E56" s="37"/>
      <c r="F56" s="35" t="s">
        <v>923</v>
      </c>
      <c r="G56" s="39"/>
      <c r="H56" s="35" t="s">
        <v>923</v>
      </c>
      <c r="I56" s="39"/>
    </row>
    <row r="57" spans="2:9" ht="15.75">
      <c r="B57" s="35" t="s">
        <v>950</v>
      </c>
      <c r="C57" s="39"/>
      <c r="D57" s="35" t="s">
        <v>923</v>
      </c>
      <c r="E57" s="37"/>
      <c r="F57" s="35" t="s">
        <v>923</v>
      </c>
      <c r="G57" s="39"/>
      <c r="H57" s="35" t="s">
        <v>923</v>
      </c>
      <c r="I57" s="39"/>
    </row>
    <row r="59" spans="2:9">
      <c r="B59" s="43" t="s">
        <v>100</v>
      </c>
      <c r="D59" s="44" t="s">
        <v>951</v>
      </c>
    </row>
    <row r="60" spans="2:9">
      <c r="B60" s="45"/>
    </row>
    <row r="61" spans="2:9">
      <c r="B61" s="46" t="s">
        <v>101</v>
      </c>
      <c r="D61" s="47" t="s">
        <v>952</v>
      </c>
    </row>
    <row r="62" spans="2:9">
      <c r="B62" s="48"/>
      <c r="D62" s="49"/>
    </row>
    <row r="63" spans="2:9">
      <c r="B63" s="42" t="s">
        <v>130</v>
      </c>
    </row>
    <row r="65" spans="2:9" ht="15.75">
      <c r="B65" s="35" t="s">
        <v>5</v>
      </c>
      <c r="C65" s="54"/>
      <c r="D65" s="35" t="s">
        <v>17</v>
      </c>
      <c r="E65" s="33"/>
      <c r="F65" s="35" t="s">
        <v>18</v>
      </c>
      <c r="G65" s="39"/>
      <c r="H65" s="35" t="s">
        <v>19</v>
      </c>
      <c r="I65" s="39"/>
    </row>
    <row r="66" spans="2:9" ht="15.75">
      <c r="B66" s="35" t="s">
        <v>157</v>
      </c>
      <c r="C66" s="54"/>
      <c r="D66" s="35" t="s">
        <v>719</v>
      </c>
      <c r="E66" s="36"/>
      <c r="F66" s="35" t="s">
        <v>368</v>
      </c>
      <c r="G66" s="39"/>
      <c r="H66" s="35" t="s">
        <v>376</v>
      </c>
      <c r="I66" s="39"/>
    </row>
    <row r="67" spans="2:9" ht="15.75">
      <c r="B67" s="35" t="s">
        <v>166</v>
      </c>
      <c r="C67" s="40">
        <v>4</v>
      </c>
      <c r="D67" s="35" t="s">
        <v>759</v>
      </c>
      <c r="E67" s="40">
        <v>4</v>
      </c>
      <c r="F67" s="35" t="s">
        <v>193</v>
      </c>
      <c r="G67" s="38">
        <v>4</v>
      </c>
      <c r="H67" s="35" t="s">
        <v>193</v>
      </c>
      <c r="I67" s="38">
        <v>6</v>
      </c>
    </row>
    <row r="68" spans="2:9" ht="15.75">
      <c r="B68" s="35" t="s">
        <v>955</v>
      </c>
      <c r="C68" s="54"/>
      <c r="D68" s="35" t="s">
        <v>954</v>
      </c>
      <c r="E68" s="36"/>
      <c r="F68" s="35" t="s">
        <v>953</v>
      </c>
      <c r="G68" s="39"/>
      <c r="H68" s="35" t="s">
        <v>959</v>
      </c>
      <c r="I68" s="38"/>
    </row>
    <row r="69" spans="2:9" ht="15.75">
      <c r="B69" s="53" t="s">
        <v>957</v>
      </c>
      <c r="C69" s="54"/>
      <c r="D69" s="35" t="s">
        <v>956</v>
      </c>
      <c r="E69" s="36"/>
      <c r="F69" s="35" t="s">
        <v>946</v>
      </c>
      <c r="G69" s="39"/>
      <c r="H69" s="35" t="s">
        <v>940</v>
      </c>
      <c r="I69" s="39"/>
    </row>
    <row r="70" spans="2:9">
      <c r="B70" s="33"/>
      <c r="C70" s="34"/>
      <c r="D70" s="33"/>
      <c r="E70" s="33"/>
      <c r="F70" s="33"/>
      <c r="G70" s="33"/>
      <c r="H70" s="33"/>
      <c r="I70" s="33"/>
    </row>
    <row r="71" spans="2:9" ht="15.75">
      <c r="B71" s="38">
        <v>6</v>
      </c>
      <c r="C71" s="34"/>
      <c r="D71" s="38">
        <v>3</v>
      </c>
      <c r="E71" s="33"/>
      <c r="F71" s="38">
        <v>3</v>
      </c>
      <c r="G71" s="33"/>
      <c r="H71" s="38">
        <v>3</v>
      </c>
      <c r="I71" s="33"/>
    </row>
    <row r="72" spans="2:9" ht="15.75">
      <c r="B72" s="39"/>
      <c r="C72" s="33"/>
      <c r="D72" s="33"/>
      <c r="E72" s="33"/>
      <c r="F72" s="33"/>
      <c r="G72" s="33"/>
      <c r="H72" s="33"/>
      <c r="I72" s="33"/>
    </row>
    <row r="73" spans="2:9" ht="15.75">
      <c r="B73" s="35" t="s">
        <v>20</v>
      </c>
      <c r="C73" s="39"/>
      <c r="D73" s="35" t="s">
        <v>6</v>
      </c>
      <c r="E73" s="33"/>
      <c r="F73" s="35" t="s">
        <v>923</v>
      </c>
      <c r="G73" s="39"/>
      <c r="H73" s="35" t="s">
        <v>923</v>
      </c>
      <c r="I73" s="39"/>
    </row>
    <row r="74" spans="2:9" ht="15.75">
      <c r="B74" s="35" t="s">
        <v>383</v>
      </c>
      <c r="C74" s="39"/>
      <c r="D74" s="35" t="s">
        <v>184</v>
      </c>
      <c r="E74" s="37"/>
      <c r="F74" s="35" t="s">
        <v>923</v>
      </c>
      <c r="G74" s="39"/>
      <c r="H74" s="35" t="s">
        <v>923</v>
      </c>
      <c r="I74" s="39"/>
    </row>
    <row r="75" spans="2:9" ht="15.75">
      <c r="B75" s="35" t="s">
        <v>193</v>
      </c>
      <c r="C75" s="38">
        <v>4</v>
      </c>
      <c r="D75" s="35" t="s">
        <v>115</v>
      </c>
      <c r="E75" s="38" t="s">
        <v>923</v>
      </c>
      <c r="F75" s="35" t="s">
        <v>923</v>
      </c>
      <c r="G75" s="38" t="s">
        <v>923</v>
      </c>
      <c r="H75" s="35" t="s">
        <v>923</v>
      </c>
      <c r="I75" s="38" t="s">
        <v>923</v>
      </c>
    </row>
    <row r="76" spans="2:9" ht="15.75">
      <c r="B76" s="35" t="s">
        <v>959</v>
      </c>
      <c r="C76" s="39"/>
      <c r="D76" s="35" t="s">
        <v>958</v>
      </c>
      <c r="E76" s="37"/>
      <c r="F76" s="35" t="s">
        <v>923</v>
      </c>
      <c r="G76" s="39"/>
      <c r="H76" s="35" t="s">
        <v>923</v>
      </c>
      <c r="I76" s="39"/>
    </row>
    <row r="77" spans="2:9" ht="15.75">
      <c r="B77" s="35" t="s">
        <v>940</v>
      </c>
      <c r="C77" s="39"/>
      <c r="D77" s="35" t="s">
        <v>960</v>
      </c>
      <c r="E77" s="37"/>
      <c r="F77" s="35" t="s">
        <v>923</v>
      </c>
      <c r="G77" s="39"/>
      <c r="H77" s="35" t="s">
        <v>923</v>
      </c>
      <c r="I77" s="39"/>
    </row>
    <row r="78" spans="2:9">
      <c r="B78" s="33"/>
      <c r="C78" s="33"/>
      <c r="D78" s="33"/>
      <c r="E78" s="33"/>
      <c r="F78" s="33"/>
      <c r="G78" s="33"/>
      <c r="H78" s="33"/>
      <c r="I78" s="33"/>
    </row>
    <row r="79" spans="2:9">
      <c r="B79" s="43" t="s">
        <v>100</v>
      </c>
      <c r="D79" s="44" t="s">
        <v>961</v>
      </c>
    </row>
    <row r="80" spans="2:9">
      <c r="B80" s="45"/>
    </row>
    <row r="81" spans="2:9">
      <c r="B81" s="46" t="s">
        <v>101</v>
      </c>
      <c r="D81" s="47" t="s">
        <v>962</v>
      </c>
    </row>
    <row r="82" spans="2:9">
      <c r="B82" s="50"/>
      <c r="D82" s="51"/>
    </row>
    <row r="83" spans="2:9">
      <c r="B83" s="42" t="s">
        <v>131</v>
      </c>
    </row>
    <row r="85" spans="2:9" ht="15.75">
      <c r="B85" s="35" t="s">
        <v>5</v>
      </c>
      <c r="C85" s="54"/>
      <c r="D85" s="35" t="s">
        <v>17</v>
      </c>
      <c r="E85" s="33"/>
      <c r="F85" s="35" t="s">
        <v>18</v>
      </c>
      <c r="G85" s="39"/>
      <c r="H85" s="35" t="s">
        <v>19</v>
      </c>
      <c r="I85" s="39"/>
    </row>
    <row r="86" spans="2:9" ht="15.75">
      <c r="B86" s="35" t="s">
        <v>158</v>
      </c>
      <c r="C86" s="54"/>
      <c r="D86" s="35" t="s">
        <v>720</v>
      </c>
      <c r="E86" s="36"/>
      <c r="F86" s="35" t="s">
        <v>369</v>
      </c>
      <c r="G86" s="39"/>
      <c r="H86" s="35" t="s">
        <v>377</v>
      </c>
      <c r="I86" s="39"/>
    </row>
    <row r="87" spans="2:9" ht="15.75">
      <c r="B87" s="35" t="s">
        <v>167</v>
      </c>
      <c r="C87" s="40">
        <v>4</v>
      </c>
      <c r="D87" s="35" t="s">
        <v>760</v>
      </c>
      <c r="E87" s="40">
        <v>4</v>
      </c>
      <c r="F87" s="35" t="s">
        <v>194</v>
      </c>
      <c r="G87" s="38">
        <v>4</v>
      </c>
      <c r="H87" s="35" t="s">
        <v>194</v>
      </c>
      <c r="I87" s="38">
        <v>6</v>
      </c>
    </row>
    <row r="88" spans="2:9" ht="15.75">
      <c r="B88" s="35" t="s">
        <v>965</v>
      </c>
      <c r="C88" s="54"/>
      <c r="D88" s="35" t="s">
        <v>964</v>
      </c>
      <c r="E88" s="36"/>
      <c r="F88" s="35" t="s">
        <v>963</v>
      </c>
      <c r="G88" s="39"/>
      <c r="H88" s="35" t="s">
        <v>969</v>
      </c>
      <c r="I88" s="38"/>
    </row>
    <row r="89" spans="2:9" ht="15.75">
      <c r="B89" s="53" t="s">
        <v>967</v>
      </c>
      <c r="C89" s="54"/>
      <c r="D89" s="35" t="s">
        <v>966</v>
      </c>
      <c r="E89" s="36"/>
      <c r="F89" s="35" t="s">
        <v>946</v>
      </c>
      <c r="G89" s="39"/>
      <c r="H89" s="35" t="s">
        <v>940</v>
      </c>
      <c r="I89" s="39"/>
    </row>
    <row r="90" spans="2:9">
      <c r="B90" s="33"/>
      <c r="C90" s="34"/>
      <c r="D90" s="33"/>
      <c r="E90" s="33"/>
      <c r="F90" s="33"/>
      <c r="G90" s="33"/>
      <c r="H90" s="33"/>
      <c r="I90" s="33"/>
    </row>
    <row r="91" spans="2:9" ht="15.75">
      <c r="B91" s="38">
        <v>6</v>
      </c>
      <c r="C91" s="34"/>
      <c r="D91" s="38">
        <v>3</v>
      </c>
      <c r="E91" s="33"/>
      <c r="F91" s="38">
        <v>3</v>
      </c>
      <c r="G91" s="33"/>
      <c r="H91" s="38">
        <v>3</v>
      </c>
      <c r="I91" s="33"/>
    </row>
    <row r="92" spans="2:9" ht="15.75">
      <c r="B92" s="39"/>
      <c r="C92" s="33"/>
      <c r="D92" s="33"/>
      <c r="E92" s="33"/>
      <c r="F92" s="33"/>
      <c r="G92" s="33"/>
      <c r="H92" s="33"/>
      <c r="I92" s="33"/>
    </row>
    <row r="93" spans="2:9" ht="15.75">
      <c r="B93" s="35" t="s">
        <v>20</v>
      </c>
      <c r="C93" s="39"/>
      <c r="D93" s="35" t="s">
        <v>21</v>
      </c>
      <c r="E93" s="33"/>
      <c r="F93" s="35" t="s">
        <v>6</v>
      </c>
      <c r="G93" s="39"/>
      <c r="H93" s="35" t="s">
        <v>923</v>
      </c>
      <c r="I93" s="39"/>
    </row>
    <row r="94" spans="2:9" ht="15.75">
      <c r="B94" s="35" t="s">
        <v>384</v>
      </c>
      <c r="C94" s="39"/>
      <c r="D94" s="35" t="s">
        <v>390</v>
      </c>
      <c r="E94" s="37"/>
      <c r="F94" s="35" t="s">
        <v>185</v>
      </c>
      <c r="G94" s="39"/>
      <c r="H94" s="35" t="s">
        <v>923</v>
      </c>
      <c r="I94" s="39"/>
    </row>
    <row r="95" spans="2:9" ht="15.75">
      <c r="B95" s="35" t="s">
        <v>194</v>
      </c>
      <c r="C95" s="38">
        <v>4</v>
      </c>
      <c r="D95" s="35" t="s">
        <v>194</v>
      </c>
      <c r="E95" s="38">
        <v>4</v>
      </c>
      <c r="F95" s="35" t="s">
        <v>116</v>
      </c>
      <c r="G95" s="38" t="s">
        <v>923</v>
      </c>
      <c r="H95" s="35" t="s">
        <v>923</v>
      </c>
      <c r="I95" s="38" t="s">
        <v>923</v>
      </c>
    </row>
    <row r="96" spans="2:9" ht="15.75">
      <c r="B96" s="35" t="s">
        <v>969</v>
      </c>
      <c r="C96" s="39"/>
      <c r="D96" s="35" t="s">
        <v>969</v>
      </c>
      <c r="E96" s="37"/>
      <c r="F96" s="35" t="s">
        <v>968</v>
      </c>
      <c r="G96" s="39"/>
      <c r="H96" s="35" t="s">
        <v>923</v>
      </c>
      <c r="I96" s="39"/>
    </row>
    <row r="97" spans="2:9" ht="15.75">
      <c r="B97" s="35" t="s">
        <v>940</v>
      </c>
      <c r="C97" s="39"/>
      <c r="D97" s="35" t="s">
        <v>940</v>
      </c>
      <c r="E97" s="37"/>
      <c r="F97" s="35" t="s">
        <v>970</v>
      </c>
      <c r="G97" s="39"/>
      <c r="H97" s="35" t="s">
        <v>923</v>
      </c>
      <c r="I97" s="39"/>
    </row>
    <row r="98" spans="2:9">
      <c r="B98" s="33"/>
      <c r="C98" s="33"/>
      <c r="D98" s="33"/>
      <c r="E98" s="33"/>
      <c r="F98" s="33"/>
      <c r="G98" s="33"/>
      <c r="H98" s="33"/>
      <c r="I98" s="33"/>
    </row>
    <row r="99" spans="2:9">
      <c r="B99" s="43" t="s">
        <v>100</v>
      </c>
      <c r="D99" s="44" t="s">
        <v>971</v>
      </c>
    </row>
    <row r="100" spans="2:9">
      <c r="B100" s="45"/>
    </row>
    <row r="101" spans="2:9">
      <c r="B101" s="46" t="s">
        <v>101</v>
      </c>
      <c r="D101" s="47" t="s">
        <v>972</v>
      </c>
    </row>
    <row r="102" spans="2:9">
      <c r="B102" s="50"/>
      <c r="D102" s="51"/>
    </row>
    <row r="103" spans="2:9">
      <c r="B103" s="42" t="s">
        <v>132</v>
      </c>
    </row>
    <row r="105" spans="2:9" ht="15.75">
      <c r="B105" s="35" t="s">
        <v>5</v>
      </c>
      <c r="C105" s="54"/>
      <c r="D105" s="35" t="s">
        <v>17</v>
      </c>
      <c r="E105" s="33"/>
      <c r="F105" s="35" t="s">
        <v>18</v>
      </c>
      <c r="G105" s="39"/>
      <c r="H105" s="35" t="s">
        <v>19</v>
      </c>
      <c r="I105" s="39"/>
    </row>
    <row r="106" spans="2:9" ht="15.75">
      <c r="B106" s="35" t="s">
        <v>159</v>
      </c>
      <c r="C106" s="54"/>
      <c r="D106" s="35" t="s">
        <v>721</v>
      </c>
      <c r="E106" s="36"/>
      <c r="F106" s="35" t="s">
        <v>370</v>
      </c>
      <c r="G106" s="39"/>
      <c r="H106" s="35" t="s">
        <v>378</v>
      </c>
      <c r="I106" s="39"/>
    </row>
    <row r="107" spans="2:9" ht="15.75">
      <c r="B107" s="35" t="s">
        <v>168</v>
      </c>
      <c r="C107" s="40">
        <v>4</v>
      </c>
      <c r="D107" s="35" t="s">
        <v>761</v>
      </c>
      <c r="E107" s="40">
        <v>4</v>
      </c>
      <c r="F107" s="35" t="s">
        <v>195</v>
      </c>
      <c r="G107" s="38">
        <v>4</v>
      </c>
      <c r="H107" s="35" t="s">
        <v>195</v>
      </c>
      <c r="I107" s="38">
        <v>6</v>
      </c>
    </row>
    <row r="108" spans="2:9" ht="15.75">
      <c r="B108" s="35" t="s">
        <v>975</v>
      </c>
      <c r="C108" s="54"/>
      <c r="D108" s="35" t="s">
        <v>974</v>
      </c>
      <c r="E108" s="36"/>
      <c r="F108" s="35" t="s">
        <v>973</v>
      </c>
      <c r="G108" s="39"/>
      <c r="H108" s="35" t="s">
        <v>978</v>
      </c>
      <c r="I108" s="38"/>
    </row>
    <row r="109" spans="2:9" ht="15.75">
      <c r="B109" s="53" t="s">
        <v>977</v>
      </c>
      <c r="C109" s="54"/>
      <c r="D109" s="35" t="s">
        <v>976</v>
      </c>
      <c r="E109" s="36"/>
      <c r="F109" s="35" t="s">
        <v>946</v>
      </c>
      <c r="G109" s="39"/>
      <c r="H109" s="35" t="s">
        <v>940</v>
      </c>
      <c r="I109" s="39"/>
    </row>
    <row r="110" spans="2:9">
      <c r="B110" s="33"/>
      <c r="C110" s="34"/>
      <c r="D110" s="33"/>
      <c r="E110" s="33"/>
      <c r="F110" s="33"/>
      <c r="G110" s="33"/>
      <c r="H110" s="33"/>
      <c r="I110" s="33"/>
    </row>
    <row r="111" spans="2:9" ht="15.75">
      <c r="B111" s="38">
        <v>6</v>
      </c>
      <c r="C111" s="34"/>
      <c r="D111" s="38">
        <v>3</v>
      </c>
      <c r="E111" s="33"/>
      <c r="F111" s="38">
        <v>3</v>
      </c>
      <c r="G111" s="33"/>
      <c r="H111" s="38">
        <v>3</v>
      </c>
      <c r="I111" s="33"/>
    </row>
    <row r="112" spans="2:9" ht="15.75">
      <c r="B112" s="39"/>
      <c r="C112" s="33"/>
      <c r="D112" s="33"/>
      <c r="E112" s="33"/>
      <c r="F112" s="33"/>
      <c r="G112" s="33"/>
      <c r="H112" s="33"/>
      <c r="I112" s="33"/>
    </row>
    <row r="113" spans="2:9" ht="15.75">
      <c r="B113" s="35" t="s">
        <v>20</v>
      </c>
      <c r="C113" s="39"/>
      <c r="D113" s="35" t="s">
        <v>21</v>
      </c>
      <c r="E113" s="33"/>
      <c r="F113" s="35" t="s">
        <v>22</v>
      </c>
      <c r="G113" s="39"/>
      <c r="H113" s="35" t="s">
        <v>6</v>
      </c>
      <c r="I113" s="39"/>
    </row>
    <row r="114" spans="2:9" ht="15.75">
      <c r="B114" s="35" t="s">
        <v>385</v>
      </c>
      <c r="C114" s="39"/>
      <c r="D114" s="35" t="s">
        <v>391</v>
      </c>
      <c r="E114" s="37"/>
      <c r="F114" s="35" t="s">
        <v>531</v>
      </c>
      <c r="G114" s="39"/>
      <c r="H114" s="35" t="s">
        <v>186</v>
      </c>
      <c r="I114" s="39"/>
    </row>
    <row r="115" spans="2:9" ht="15.75">
      <c r="B115" s="35" t="s">
        <v>195</v>
      </c>
      <c r="C115" s="38">
        <v>4</v>
      </c>
      <c r="D115" s="35" t="s">
        <v>195</v>
      </c>
      <c r="E115" s="38">
        <v>4</v>
      </c>
      <c r="F115" s="35" t="s">
        <v>195</v>
      </c>
      <c r="G115" s="38">
        <v>4</v>
      </c>
      <c r="H115" s="35" t="s">
        <v>117</v>
      </c>
      <c r="I115" s="38" t="s">
        <v>923</v>
      </c>
    </row>
    <row r="116" spans="2:9" ht="15.75">
      <c r="B116" s="35" t="s">
        <v>978</v>
      </c>
      <c r="C116" s="39"/>
      <c r="D116" s="35" t="s">
        <v>978</v>
      </c>
      <c r="E116" s="37"/>
      <c r="F116" s="35" t="s">
        <v>978</v>
      </c>
      <c r="G116" s="39"/>
      <c r="H116" s="35" t="s">
        <v>1003</v>
      </c>
      <c r="I116" s="39"/>
    </row>
    <row r="117" spans="2:9" ht="15.75">
      <c r="B117" s="35" t="s">
        <v>940</v>
      </c>
      <c r="C117" s="39"/>
      <c r="D117" s="35" t="s">
        <v>940</v>
      </c>
      <c r="E117" s="37"/>
      <c r="F117" s="35" t="s">
        <v>940</v>
      </c>
      <c r="G117" s="39"/>
      <c r="H117" s="35" t="s">
        <v>1004</v>
      </c>
      <c r="I117" s="39"/>
    </row>
    <row r="118" spans="2:9">
      <c r="B118" s="33"/>
      <c r="C118" s="33"/>
      <c r="D118" s="33"/>
      <c r="E118" s="33"/>
      <c r="F118" s="33"/>
      <c r="G118" s="33"/>
      <c r="H118" s="33"/>
      <c r="I118" s="33"/>
    </row>
    <row r="119" spans="2:9">
      <c r="B119" s="43" t="s">
        <v>100</v>
      </c>
      <c r="D119" s="44" t="s">
        <v>979</v>
      </c>
    </row>
    <row r="120" spans="2:9">
      <c r="B120" s="45"/>
    </row>
    <row r="121" spans="2:9">
      <c r="B121" s="46" t="s">
        <v>101</v>
      </c>
      <c r="D121" s="47" t="s">
        <v>980</v>
      </c>
    </row>
    <row r="122" spans="2:9">
      <c r="B122" s="52"/>
      <c r="D122" s="51"/>
    </row>
    <row r="123" spans="2:9">
      <c r="B123" s="42" t="s">
        <v>133</v>
      </c>
    </row>
    <row r="125" spans="2:9" ht="15.75">
      <c r="B125" s="35" t="s">
        <v>5</v>
      </c>
      <c r="C125" s="54"/>
      <c r="D125" s="35" t="s">
        <v>17</v>
      </c>
      <c r="E125" s="33"/>
      <c r="F125" s="35" t="s">
        <v>18</v>
      </c>
      <c r="G125" s="39"/>
      <c r="H125" s="35" t="s">
        <v>19</v>
      </c>
      <c r="I125" s="39"/>
    </row>
    <row r="126" spans="2:9" ht="15.75">
      <c r="B126" s="35" t="s">
        <v>160</v>
      </c>
      <c r="C126" s="54"/>
      <c r="D126" s="35" t="s">
        <v>722</v>
      </c>
      <c r="E126" s="36"/>
      <c r="F126" s="35" t="s">
        <v>371</v>
      </c>
      <c r="G126" s="39"/>
      <c r="H126" s="35" t="s">
        <v>379</v>
      </c>
      <c r="I126" s="39"/>
    </row>
    <row r="127" spans="2:9" ht="15.75">
      <c r="B127" s="35" t="s">
        <v>169</v>
      </c>
      <c r="C127" s="40">
        <v>4</v>
      </c>
      <c r="D127" s="35" t="s">
        <v>762</v>
      </c>
      <c r="E127" s="40">
        <v>4</v>
      </c>
      <c r="F127" s="35" t="s">
        <v>196</v>
      </c>
      <c r="G127" s="38">
        <v>4</v>
      </c>
      <c r="H127" s="35" t="s">
        <v>196</v>
      </c>
      <c r="I127" s="38">
        <v>6</v>
      </c>
    </row>
    <row r="128" spans="2:9" ht="15.75">
      <c r="B128" s="35" t="s">
        <v>983</v>
      </c>
      <c r="C128" s="54"/>
      <c r="D128" s="35" t="s">
        <v>982</v>
      </c>
      <c r="E128" s="36"/>
      <c r="F128" s="35" t="s">
        <v>981</v>
      </c>
      <c r="G128" s="39"/>
      <c r="H128" s="35" t="s">
        <v>986</v>
      </c>
      <c r="I128" s="38"/>
    </row>
    <row r="129" spans="2:9" ht="15.75">
      <c r="B129" s="53" t="s">
        <v>985</v>
      </c>
      <c r="C129" s="54"/>
      <c r="D129" s="35" t="s">
        <v>984</v>
      </c>
      <c r="E129" s="36"/>
      <c r="F129" s="35" t="s">
        <v>946</v>
      </c>
      <c r="G129" s="39"/>
      <c r="H129" s="35" t="s">
        <v>940</v>
      </c>
      <c r="I129" s="39"/>
    </row>
    <row r="130" spans="2:9">
      <c r="B130" s="33"/>
      <c r="C130" s="34"/>
      <c r="D130" s="33"/>
      <c r="E130" s="33"/>
      <c r="F130" s="33"/>
      <c r="G130" s="33"/>
      <c r="H130" s="33"/>
      <c r="I130" s="33"/>
    </row>
    <row r="131" spans="2:9" ht="15.75">
      <c r="B131" s="38">
        <v>6</v>
      </c>
      <c r="C131" s="34"/>
      <c r="D131" s="38">
        <v>3</v>
      </c>
      <c r="E131" s="33"/>
      <c r="F131" s="38">
        <v>3</v>
      </c>
      <c r="G131" s="33"/>
      <c r="H131" s="38">
        <v>3</v>
      </c>
      <c r="I131" s="33"/>
    </row>
    <row r="132" spans="2:9" ht="15.75">
      <c r="B132" s="39"/>
      <c r="C132" s="33"/>
      <c r="D132" s="33"/>
      <c r="E132" s="33"/>
      <c r="F132" s="33"/>
      <c r="G132" s="33"/>
      <c r="H132" s="33"/>
      <c r="I132" s="33"/>
    </row>
    <row r="133" spans="2:9" ht="15.75">
      <c r="B133" s="35" t="s">
        <v>20</v>
      </c>
      <c r="C133" s="39"/>
      <c r="D133" s="35" t="s">
        <v>21</v>
      </c>
      <c r="E133" s="33"/>
      <c r="F133" s="35" t="s">
        <v>22</v>
      </c>
      <c r="G133" s="39"/>
      <c r="H133" s="35" t="s">
        <v>23</v>
      </c>
      <c r="I133" s="39"/>
    </row>
    <row r="134" spans="2:9" ht="15.75">
      <c r="B134" s="35" t="s">
        <v>386</v>
      </c>
      <c r="C134" s="39"/>
      <c r="D134" s="35" t="s">
        <v>392</v>
      </c>
      <c r="E134" s="37"/>
      <c r="F134" s="35" t="s">
        <v>532</v>
      </c>
      <c r="G134" s="39"/>
      <c r="H134" s="35" t="s">
        <v>527</v>
      </c>
      <c r="I134" s="39"/>
    </row>
    <row r="135" spans="2:9" ht="15.75">
      <c r="B135" s="35" t="s">
        <v>196</v>
      </c>
      <c r="C135" s="38">
        <v>4</v>
      </c>
      <c r="D135" s="35" t="s">
        <v>196</v>
      </c>
      <c r="E135" s="38">
        <v>4</v>
      </c>
      <c r="F135" s="35" t="s">
        <v>196</v>
      </c>
      <c r="G135" s="38">
        <v>4</v>
      </c>
      <c r="H135" s="35" t="s">
        <v>196</v>
      </c>
      <c r="I135" s="38">
        <v>6</v>
      </c>
    </row>
    <row r="136" spans="2:9" ht="15.75">
      <c r="B136" s="35" t="s">
        <v>986</v>
      </c>
      <c r="C136" s="39"/>
      <c r="D136" s="35" t="s">
        <v>986</v>
      </c>
      <c r="E136" s="37"/>
      <c r="F136" s="35" t="s">
        <v>986</v>
      </c>
      <c r="G136" s="39"/>
      <c r="H136" s="35" t="s">
        <v>986</v>
      </c>
      <c r="I136" s="39"/>
    </row>
    <row r="137" spans="2:9" ht="15.75">
      <c r="B137" s="35" t="s">
        <v>940</v>
      </c>
      <c r="C137" s="39"/>
      <c r="D137" s="35" t="s">
        <v>940</v>
      </c>
      <c r="E137" s="37"/>
      <c r="F137" s="35" t="s">
        <v>940</v>
      </c>
      <c r="G137" s="39"/>
      <c r="H137" s="35" t="s">
        <v>940</v>
      </c>
      <c r="I137" s="39"/>
    </row>
    <row r="138" spans="2:9">
      <c r="B138" s="33"/>
      <c r="C138" s="33"/>
      <c r="D138" s="33"/>
      <c r="E138" s="33"/>
      <c r="F138" s="33"/>
      <c r="G138" s="33"/>
      <c r="H138" s="33"/>
      <c r="I138" s="33"/>
    </row>
    <row r="139" spans="2:9" ht="15.75">
      <c r="B139" s="38">
        <v>6</v>
      </c>
      <c r="C139" s="33"/>
      <c r="D139" s="38">
        <v>3</v>
      </c>
      <c r="E139" s="33"/>
      <c r="F139" s="38">
        <v>3</v>
      </c>
      <c r="G139" s="33"/>
      <c r="H139" s="38">
        <v>3</v>
      </c>
      <c r="I139" s="33"/>
    </row>
    <row r="140" spans="2:9" ht="15.75">
      <c r="B140" s="39"/>
      <c r="C140" s="33"/>
      <c r="D140" s="33"/>
      <c r="E140" s="33"/>
      <c r="F140" s="33"/>
      <c r="G140" s="33"/>
      <c r="H140" s="33"/>
      <c r="I140" s="33"/>
    </row>
    <row r="141" spans="2:9" ht="15.75">
      <c r="B141" s="35" t="s">
        <v>6</v>
      </c>
      <c r="C141" s="39"/>
      <c r="D141" s="35" t="s">
        <v>923</v>
      </c>
      <c r="E141" s="33"/>
      <c r="F141" s="35" t="s">
        <v>923</v>
      </c>
      <c r="G141" s="39"/>
      <c r="H141" s="35" t="s">
        <v>923</v>
      </c>
    </row>
    <row r="142" spans="2:9" ht="15.75">
      <c r="B142" s="35" t="s">
        <v>187</v>
      </c>
      <c r="C142" s="39"/>
      <c r="D142" s="35" t="s">
        <v>923</v>
      </c>
      <c r="E142" s="37"/>
      <c r="F142" s="35" t="s">
        <v>923</v>
      </c>
      <c r="G142" s="39"/>
      <c r="H142" s="35" t="s">
        <v>923</v>
      </c>
    </row>
    <row r="143" spans="2:9" ht="15.75">
      <c r="B143" s="35" t="s">
        <v>118</v>
      </c>
      <c r="C143" s="38" t="s">
        <v>923</v>
      </c>
      <c r="D143" s="35" t="s">
        <v>923</v>
      </c>
      <c r="E143" s="38" t="s">
        <v>923</v>
      </c>
      <c r="F143" s="35" t="s">
        <v>923</v>
      </c>
      <c r="G143" s="38" t="s">
        <v>923</v>
      </c>
      <c r="H143" s="35" t="s">
        <v>923</v>
      </c>
    </row>
    <row r="144" spans="2:9" ht="15.75">
      <c r="B144" s="35" t="s">
        <v>987</v>
      </c>
      <c r="C144" s="39"/>
      <c r="D144" s="35" t="s">
        <v>923</v>
      </c>
      <c r="E144" s="37"/>
      <c r="F144" s="35" t="s">
        <v>923</v>
      </c>
      <c r="G144" s="39"/>
      <c r="H144" s="35" t="s">
        <v>923</v>
      </c>
    </row>
    <row r="145" spans="2:9" ht="15.75">
      <c r="B145" s="35" t="s">
        <v>988</v>
      </c>
      <c r="C145" s="39"/>
      <c r="D145" s="35" t="s">
        <v>923</v>
      </c>
      <c r="E145" s="37"/>
      <c r="F145" s="35" t="s">
        <v>923</v>
      </c>
      <c r="G145" s="39"/>
      <c r="H145" s="35" t="s">
        <v>923</v>
      </c>
    </row>
    <row r="147" spans="2:9">
      <c r="B147" s="43" t="s">
        <v>100</v>
      </c>
      <c r="D147" s="44" t="s">
        <v>989</v>
      </c>
    </row>
    <row r="148" spans="2:9">
      <c r="B148" s="45"/>
    </row>
    <row r="149" spans="2:9">
      <c r="B149" s="46" t="s">
        <v>101</v>
      </c>
      <c r="D149" s="47" t="s">
        <v>990</v>
      </c>
    </row>
    <row r="150" spans="2:9">
      <c r="B150" s="52"/>
      <c r="D150" s="51"/>
    </row>
    <row r="151" spans="2:9">
      <c r="B151" s="42" t="s">
        <v>134</v>
      </c>
    </row>
    <row r="153" spans="2:9" ht="15.75">
      <c r="B153" s="35" t="s">
        <v>5</v>
      </c>
      <c r="C153" s="54"/>
      <c r="D153" s="35" t="s">
        <v>17</v>
      </c>
      <c r="E153" s="33"/>
      <c r="F153" s="35" t="s">
        <v>18</v>
      </c>
      <c r="G153" s="39"/>
      <c r="H153" s="35" t="s">
        <v>19</v>
      </c>
      <c r="I153" s="39"/>
    </row>
    <row r="154" spans="2:9" ht="15.75">
      <c r="B154" s="35" t="s">
        <v>161</v>
      </c>
      <c r="C154" s="54"/>
      <c r="D154" s="35" t="s">
        <v>723</v>
      </c>
      <c r="E154" s="36"/>
      <c r="F154" s="35" t="s">
        <v>372</v>
      </c>
      <c r="G154" s="39"/>
      <c r="H154" s="35" t="s">
        <v>380</v>
      </c>
      <c r="I154" s="39"/>
    </row>
    <row r="155" spans="2:9" ht="15.75">
      <c r="B155" s="35" t="s">
        <v>170</v>
      </c>
      <c r="C155" s="40">
        <v>4</v>
      </c>
      <c r="D155" s="35" t="s">
        <v>763</v>
      </c>
      <c r="E155" s="40">
        <v>4</v>
      </c>
      <c r="F155" s="35" t="s">
        <v>197</v>
      </c>
      <c r="G155" s="38">
        <v>4</v>
      </c>
      <c r="H155" s="35" t="s">
        <v>197</v>
      </c>
      <c r="I155" s="38">
        <v>6</v>
      </c>
    </row>
    <row r="156" spans="2:9" ht="15.75">
      <c r="B156" s="35" t="s">
        <v>993</v>
      </c>
      <c r="C156" s="54"/>
      <c r="D156" s="35" t="s">
        <v>992</v>
      </c>
      <c r="E156" s="36"/>
      <c r="F156" s="35" t="s">
        <v>991</v>
      </c>
      <c r="G156" s="39"/>
      <c r="H156" s="35" t="s">
        <v>996</v>
      </c>
      <c r="I156" s="38"/>
    </row>
    <row r="157" spans="2:9" ht="15.75">
      <c r="B157" s="53" t="s">
        <v>995</v>
      </c>
      <c r="C157" s="54"/>
      <c r="D157" s="35" t="s">
        <v>994</v>
      </c>
      <c r="E157" s="36"/>
      <c r="F157" s="35" t="s">
        <v>946</v>
      </c>
      <c r="G157" s="39"/>
      <c r="H157" s="35" t="s">
        <v>940</v>
      </c>
      <c r="I157" s="39"/>
    </row>
    <row r="158" spans="2:9">
      <c r="B158" s="33"/>
      <c r="C158" s="34"/>
      <c r="D158" s="33"/>
      <c r="E158" s="33"/>
      <c r="F158" s="33"/>
      <c r="G158" s="33"/>
      <c r="H158" s="33"/>
      <c r="I158" s="33"/>
    </row>
    <row r="159" spans="2:9" ht="15.75">
      <c r="B159" s="38">
        <v>6</v>
      </c>
      <c r="C159" s="34"/>
      <c r="D159" s="38">
        <v>3</v>
      </c>
      <c r="E159" s="33"/>
      <c r="F159" s="38">
        <v>3</v>
      </c>
      <c r="G159" s="33"/>
      <c r="H159" s="38">
        <v>3</v>
      </c>
      <c r="I159" s="33"/>
    </row>
    <row r="160" spans="2:9" ht="15.75">
      <c r="B160" s="39"/>
      <c r="C160" s="33"/>
      <c r="D160" s="33"/>
      <c r="E160" s="33"/>
      <c r="F160" s="33"/>
      <c r="G160" s="33"/>
      <c r="H160" s="33"/>
      <c r="I160" s="33"/>
    </row>
    <row r="161" spans="2:9" ht="15.75">
      <c r="B161" s="35" t="s">
        <v>20</v>
      </c>
      <c r="C161" s="39"/>
      <c r="D161" s="35" t="s">
        <v>21</v>
      </c>
      <c r="E161" s="33"/>
      <c r="F161" s="35" t="s">
        <v>22</v>
      </c>
      <c r="G161" s="39"/>
      <c r="H161" s="35" t="s">
        <v>23</v>
      </c>
      <c r="I161" s="39"/>
    </row>
    <row r="162" spans="2:9" ht="15.75">
      <c r="B162" s="35" t="s">
        <v>387</v>
      </c>
      <c r="C162" s="39"/>
      <c r="D162" s="35" t="s">
        <v>393</v>
      </c>
      <c r="E162" s="37"/>
      <c r="F162" s="35" t="s">
        <v>533</v>
      </c>
      <c r="G162" s="39"/>
      <c r="H162" s="35" t="s">
        <v>528</v>
      </c>
      <c r="I162" s="39"/>
    </row>
    <row r="163" spans="2:9" ht="15.75">
      <c r="B163" s="35" t="s">
        <v>197</v>
      </c>
      <c r="C163" s="38">
        <v>4</v>
      </c>
      <c r="D163" s="35" t="s">
        <v>197</v>
      </c>
      <c r="E163" s="38">
        <v>4</v>
      </c>
      <c r="F163" s="35" t="s">
        <v>197</v>
      </c>
      <c r="G163" s="38">
        <v>4</v>
      </c>
      <c r="H163" s="35" t="s">
        <v>197</v>
      </c>
      <c r="I163" s="38">
        <v>6</v>
      </c>
    </row>
    <row r="164" spans="2:9" ht="15.75">
      <c r="B164" s="35" t="s">
        <v>996</v>
      </c>
      <c r="C164" s="39"/>
      <c r="D164" s="35" t="s">
        <v>996</v>
      </c>
      <c r="E164" s="37"/>
      <c r="F164" s="35" t="s">
        <v>996</v>
      </c>
      <c r="G164" s="39"/>
      <c r="H164" s="35" t="s">
        <v>996</v>
      </c>
      <c r="I164" s="39"/>
    </row>
    <row r="165" spans="2:9" ht="15.75">
      <c r="B165" s="35" t="s">
        <v>940</v>
      </c>
      <c r="C165" s="39"/>
      <c r="D165" s="35" t="s">
        <v>940</v>
      </c>
      <c r="E165" s="37"/>
      <c r="F165" s="35" t="s">
        <v>940</v>
      </c>
      <c r="G165" s="39"/>
      <c r="H165" s="35" t="s">
        <v>940</v>
      </c>
      <c r="I165" s="39"/>
    </row>
    <row r="166" spans="2:9">
      <c r="B166" s="33"/>
      <c r="C166" s="33"/>
      <c r="D166" s="33"/>
      <c r="E166" s="33"/>
      <c r="F166" s="33"/>
      <c r="G166" s="33"/>
      <c r="H166" s="33"/>
      <c r="I166" s="33"/>
    </row>
    <row r="167" spans="2:9" ht="15.75">
      <c r="B167" s="38">
        <v>6</v>
      </c>
      <c r="C167" s="33"/>
      <c r="D167" s="38">
        <v>3</v>
      </c>
      <c r="E167" s="33"/>
      <c r="F167" s="38">
        <v>3</v>
      </c>
      <c r="G167" s="33"/>
      <c r="H167" s="38">
        <v>3</v>
      </c>
      <c r="I167" s="33"/>
    </row>
    <row r="168" spans="2:9" ht="15.75">
      <c r="B168" s="39"/>
      <c r="C168" s="33"/>
      <c r="D168" s="33"/>
      <c r="E168" s="33"/>
      <c r="F168" s="33"/>
      <c r="G168" s="33"/>
      <c r="H168" s="33"/>
      <c r="I168" s="33"/>
    </row>
    <row r="169" spans="2:9" ht="15.75">
      <c r="B169" s="35" t="s">
        <v>24</v>
      </c>
      <c r="C169" s="39"/>
      <c r="D169" s="35" t="s">
        <v>6</v>
      </c>
      <c r="E169" s="33"/>
      <c r="F169" s="35" t="s">
        <v>923</v>
      </c>
      <c r="G169" s="39"/>
      <c r="H169" s="35" t="s">
        <v>923</v>
      </c>
    </row>
    <row r="170" spans="2:9" ht="15.75">
      <c r="B170" s="35" t="s">
        <v>524</v>
      </c>
      <c r="C170" s="39"/>
      <c r="D170" s="35" t="s">
        <v>188</v>
      </c>
      <c r="E170" s="37"/>
      <c r="F170" s="35" t="s">
        <v>923</v>
      </c>
      <c r="G170" s="39"/>
      <c r="H170" s="35" t="s">
        <v>923</v>
      </c>
    </row>
    <row r="171" spans="2:9" ht="15.75">
      <c r="B171" s="35" t="s">
        <v>197</v>
      </c>
      <c r="C171" s="38">
        <v>4</v>
      </c>
      <c r="D171" s="35" t="s">
        <v>119</v>
      </c>
      <c r="E171" s="38" t="s">
        <v>923</v>
      </c>
      <c r="F171" s="35" t="s">
        <v>923</v>
      </c>
      <c r="G171" s="38" t="s">
        <v>923</v>
      </c>
      <c r="H171" s="35" t="s">
        <v>923</v>
      </c>
    </row>
    <row r="172" spans="2:9" ht="15.75">
      <c r="B172" s="35" t="s">
        <v>996</v>
      </c>
      <c r="C172" s="39"/>
      <c r="D172" s="35" t="s">
        <v>997</v>
      </c>
      <c r="E172" s="37"/>
      <c r="F172" s="35" t="s">
        <v>923</v>
      </c>
      <c r="G172" s="39"/>
      <c r="H172" s="35" t="s">
        <v>923</v>
      </c>
    </row>
    <row r="173" spans="2:9" ht="15.75">
      <c r="B173" s="35" t="s">
        <v>940</v>
      </c>
      <c r="C173" s="39"/>
      <c r="D173" s="35" t="s">
        <v>998</v>
      </c>
      <c r="E173" s="37"/>
      <c r="F173" s="35" t="s">
        <v>923</v>
      </c>
      <c r="G173" s="39"/>
      <c r="H173" s="35" t="s">
        <v>923</v>
      </c>
    </row>
    <row r="175" spans="2:9">
      <c r="B175" s="43" t="s">
        <v>100</v>
      </c>
      <c r="D175" s="44" t="s">
        <v>999</v>
      </c>
    </row>
    <row r="176" spans="2:9">
      <c r="B176" s="45"/>
    </row>
    <row r="177" spans="2:9">
      <c r="B177" s="46" t="s">
        <v>101</v>
      </c>
      <c r="D177" s="47" t="s">
        <v>1000</v>
      </c>
    </row>
    <row r="178" spans="2:9">
      <c r="B178" s="52"/>
      <c r="D178" s="51"/>
    </row>
    <row r="179" spans="2:9">
      <c r="B179" s="42" t="s">
        <v>135</v>
      </c>
    </row>
    <row r="181" spans="2:9" ht="15.75">
      <c r="B181" s="35" t="s">
        <v>5</v>
      </c>
      <c r="C181" s="54"/>
      <c r="D181" s="35" t="s">
        <v>17</v>
      </c>
      <c r="E181" s="33"/>
      <c r="F181" s="35" t="s">
        <v>18</v>
      </c>
      <c r="G181" s="39"/>
      <c r="H181" s="35" t="s">
        <v>19</v>
      </c>
      <c r="I181" s="39"/>
    </row>
    <row r="182" spans="2:9" ht="15.75">
      <c r="B182" s="35" t="s">
        <v>162</v>
      </c>
      <c r="C182" s="54"/>
      <c r="D182" s="35" t="s">
        <v>724</v>
      </c>
      <c r="E182" s="36"/>
      <c r="F182" s="35" t="s">
        <v>373</v>
      </c>
      <c r="G182" s="39"/>
      <c r="H182" s="35" t="s">
        <v>381</v>
      </c>
      <c r="I182" s="39"/>
    </row>
    <row r="183" spans="2:9" ht="15.75">
      <c r="B183" s="35" t="s">
        <v>171</v>
      </c>
      <c r="C183" s="40">
        <v>4</v>
      </c>
      <c r="D183" s="35" t="s">
        <v>764</v>
      </c>
      <c r="E183" s="40">
        <v>4</v>
      </c>
      <c r="F183" s="35" t="s">
        <v>198</v>
      </c>
      <c r="G183" s="38">
        <v>4</v>
      </c>
      <c r="H183" s="35" t="s">
        <v>198</v>
      </c>
      <c r="I183" s="38">
        <v>6</v>
      </c>
    </row>
    <row r="184" spans="2:9" ht="15.75">
      <c r="B184" s="35" t="s">
        <v>1005</v>
      </c>
      <c r="C184" s="54"/>
      <c r="D184" s="35" t="s">
        <v>1006</v>
      </c>
      <c r="E184" s="36"/>
      <c r="F184" s="35" t="s">
        <v>1007</v>
      </c>
      <c r="G184" s="39"/>
      <c r="H184" s="35" t="s">
        <v>1008</v>
      </c>
      <c r="I184" s="38"/>
    </row>
    <row r="185" spans="2:9" ht="15.75">
      <c r="B185" s="53" t="s">
        <v>1009</v>
      </c>
      <c r="C185" s="54"/>
      <c r="D185" s="35" t="s">
        <v>1010</v>
      </c>
      <c r="E185" s="36"/>
      <c r="F185" s="35" t="s">
        <v>946</v>
      </c>
      <c r="G185" s="39"/>
      <c r="H185" s="35" t="s">
        <v>940</v>
      </c>
      <c r="I185" s="39"/>
    </row>
    <row r="186" spans="2:9">
      <c r="B186" s="33"/>
      <c r="C186" s="34"/>
      <c r="D186" s="33"/>
      <c r="E186" s="33"/>
      <c r="F186" s="33"/>
      <c r="G186" s="33"/>
      <c r="H186" s="33"/>
      <c r="I186" s="33"/>
    </row>
    <row r="187" spans="2:9" ht="15.75">
      <c r="B187" s="38">
        <v>6</v>
      </c>
      <c r="C187" s="34"/>
      <c r="D187" s="38">
        <v>3</v>
      </c>
      <c r="E187" s="33"/>
      <c r="F187" s="38">
        <v>3</v>
      </c>
      <c r="G187" s="33"/>
      <c r="H187" s="38">
        <v>3</v>
      </c>
      <c r="I187" s="33"/>
    </row>
    <row r="188" spans="2:9" ht="15.75">
      <c r="B188" s="39"/>
      <c r="C188" s="33"/>
      <c r="D188" s="33"/>
      <c r="E188" s="33"/>
      <c r="F188" s="33"/>
      <c r="G188" s="33"/>
      <c r="H188" s="33"/>
      <c r="I188" s="33"/>
    </row>
    <row r="189" spans="2:9" ht="15.75">
      <c r="B189" s="35" t="s">
        <v>20</v>
      </c>
      <c r="C189" s="39"/>
      <c r="D189" s="35" t="s">
        <v>21</v>
      </c>
      <c r="E189" s="33"/>
      <c r="F189" s="35" t="s">
        <v>22</v>
      </c>
      <c r="G189" s="39"/>
      <c r="H189" s="35" t="s">
        <v>23</v>
      </c>
      <c r="I189" s="39"/>
    </row>
    <row r="190" spans="2:9" ht="15.75">
      <c r="B190" s="35" t="s">
        <v>388</v>
      </c>
      <c r="C190" s="39"/>
      <c r="D190" s="35" t="s">
        <v>394</v>
      </c>
      <c r="E190" s="37"/>
      <c r="F190" s="35" t="s">
        <v>534</v>
      </c>
      <c r="G190" s="39"/>
      <c r="H190" s="35" t="s">
        <v>529</v>
      </c>
      <c r="I190" s="39"/>
    </row>
    <row r="191" spans="2:9" ht="15.75">
      <c r="B191" s="35" t="s">
        <v>198</v>
      </c>
      <c r="C191" s="38">
        <v>4</v>
      </c>
      <c r="D191" s="35" t="s">
        <v>198</v>
      </c>
      <c r="E191" s="38">
        <v>4</v>
      </c>
      <c r="F191" s="35" t="s">
        <v>198</v>
      </c>
      <c r="G191" s="38">
        <v>4</v>
      </c>
      <c r="H191" s="35" t="s">
        <v>198</v>
      </c>
      <c r="I191" s="38">
        <v>6</v>
      </c>
    </row>
    <row r="192" spans="2:9" ht="15.75">
      <c r="B192" s="35" t="s">
        <v>1008</v>
      </c>
      <c r="C192" s="39"/>
      <c r="D192" s="35" t="s">
        <v>1008</v>
      </c>
      <c r="E192" s="37"/>
      <c r="F192" s="35" t="s">
        <v>1008</v>
      </c>
      <c r="G192" s="39"/>
      <c r="H192" s="35" t="s">
        <v>1008</v>
      </c>
      <c r="I192" s="39"/>
    </row>
    <row r="193" spans="2:9" ht="15.75">
      <c r="B193" s="35" t="s">
        <v>940</v>
      </c>
      <c r="C193" s="39"/>
      <c r="D193" s="35" t="s">
        <v>940</v>
      </c>
      <c r="E193" s="37"/>
      <c r="F193" s="35" t="s">
        <v>940</v>
      </c>
      <c r="G193" s="39"/>
      <c r="H193" s="35" t="s">
        <v>940</v>
      </c>
      <c r="I193" s="39"/>
    </row>
    <row r="194" spans="2:9">
      <c r="B194" s="33"/>
      <c r="C194" s="33"/>
      <c r="D194" s="33"/>
      <c r="E194" s="33"/>
      <c r="F194" s="33"/>
      <c r="G194" s="33"/>
      <c r="H194" s="33"/>
      <c r="I194" s="33"/>
    </row>
    <row r="195" spans="2:9" ht="15.75">
      <c r="B195" s="38">
        <v>6</v>
      </c>
      <c r="C195" s="33"/>
      <c r="D195" s="38">
        <v>3</v>
      </c>
      <c r="E195" s="33"/>
      <c r="F195" s="38">
        <v>3</v>
      </c>
      <c r="G195" s="33"/>
      <c r="H195" s="38">
        <v>3</v>
      </c>
      <c r="I195" s="33"/>
    </row>
    <row r="196" spans="2:9" ht="15.75">
      <c r="B196" s="39"/>
      <c r="C196" s="33"/>
      <c r="D196" s="33"/>
      <c r="E196" s="33"/>
      <c r="F196" s="33"/>
      <c r="G196" s="33"/>
      <c r="H196" s="33"/>
      <c r="I196" s="33"/>
    </row>
    <row r="197" spans="2:9" ht="15.75">
      <c r="B197" s="35" t="s">
        <v>24</v>
      </c>
      <c r="C197" s="39"/>
      <c r="D197" s="35" t="s">
        <v>25</v>
      </c>
      <c r="E197" s="33"/>
      <c r="F197" s="35" t="s">
        <v>6</v>
      </c>
      <c r="G197" s="39"/>
      <c r="H197" s="35" t="s">
        <v>923</v>
      </c>
    </row>
    <row r="198" spans="2:9" ht="15.75">
      <c r="B198" s="35" t="s">
        <v>525</v>
      </c>
      <c r="C198" s="39"/>
      <c r="D198" s="35" t="s">
        <v>396</v>
      </c>
      <c r="E198" s="37"/>
      <c r="F198" s="35" t="s">
        <v>189</v>
      </c>
      <c r="G198" s="39"/>
      <c r="H198" s="35" t="s">
        <v>923</v>
      </c>
    </row>
    <row r="199" spans="2:9" ht="15.75">
      <c r="B199" s="35" t="s">
        <v>198</v>
      </c>
      <c r="C199" s="38">
        <v>4</v>
      </c>
      <c r="D199" s="35" t="s">
        <v>198</v>
      </c>
      <c r="E199" s="38">
        <v>4</v>
      </c>
      <c r="F199" s="35" t="s">
        <v>120</v>
      </c>
      <c r="G199" s="38" t="s">
        <v>923</v>
      </c>
      <c r="H199" s="35" t="s">
        <v>923</v>
      </c>
    </row>
    <row r="200" spans="2:9" ht="15.75">
      <c r="B200" s="35" t="s">
        <v>1008</v>
      </c>
      <c r="C200" s="39"/>
      <c r="D200" s="35" t="s">
        <v>1008</v>
      </c>
      <c r="E200" s="37"/>
      <c r="F200" s="35" t="s">
        <v>1011</v>
      </c>
      <c r="G200" s="39"/>
      <c r="H200" s="35" t="s">
        <v>923</v>
      </c>
    </row>
    <row r="201" spans="2:9" ht="15.75">
      <c r="B201" s="35" t="s">
        <v>940</v>
      </c>
      <c r="C201" s="39"/>
      <c r="D201" s="35" t="s">
        <v>940</v>
      </c>
      <c r="E201" s="37"/>
      <c r="F201" s="35" t="s">
        <v>1012</v>
      </c>
      <c r="G201" s="39"/>
      <c r="H201" s="35" t="s">
        <v>923</v>
      </c>
    </row>
    <row r="203" spans="2:9">
      <c r="B203" s="43" t="s">
        <v>100</v>
      </c>
      <c r="D203" s="44" t="s">
        <v>1013</v>
      </c>
    </row>
    <row r="204" spans="2:9">
      <c r="B204" s="45"/>
    </row>
    <row r="205" spans="2:9">
      <c r="B205" s="46" t="s">
        <v>101</v>
      </c>
      <c r="D205" s="47" t="s">
        <v>1014</v>
      </c>
    </row>
    <row r="206" spans="2:9">
      <c r="B206" s="52"/>
      <c r="D206" s="51"/>
    </row>
    <row r="207" spans="2:9">
      <c r="B207" s="55" t="s">
        <v>105</v>
      </c>
    </row>
    <row r="209" spans="2:9">
      <c r="B209" s="42" t="s">
        <v>123</v>
      </c>
    </row>
    <row r="211" spans="2:9" ht="15.75">
      <c r="B211" s="35" t="s">
        <v>5</v>
      </c>
      <c r="C211" s="54"/>
      <c r="D211" s="35" t="s">
        <v>17</v>
      </c>
      <c r="E211" s="33"/>
      <c r="F211" s="35" t="s">
        <v>6</v>
      </c>
      <c r="G211" s="39"/>
      <c r="H211" s="35" t="s">
        <v>923</v>
      </c>
      <c r="I211" s="39"/>
    </row>
    <row r="212" spans="2:9" ht="15.75">
      <c r="B212" s="35" t="s">
        <v>296</v>
      </c>
      <c r="C212" s="54"/>
      <c r="D212" s="35" t="s">
        <v>726</v>
      </c>
      <c r="E212" s="36"/>
      <c r="F212" s="35" t="s">
        <v>326</v>
      </c>
      <c r="G212" s="39"/>
      <c r="H212" s="35" t="s">
        <v>923</v>
      </c>
      <c r="I212" s="39"/>
    </row>
    <row r="213" spans="2:9" ht="15.75">
      <c r="B213" s="35" t="s">
        <v>306</v>
      </c>
      <c r="C213" s="40">
        <v>4</v>
      </c>
      <c r="D213" s="35" t="s">
        <v>766</v>
      </c>
      <c r="E213" s="40">
        <v>4</v>
      </c>
      <c r="F213" s="35" t="s">
        <v>336</v>
      </c>
      <c r="G213" s="38" t="s">
        <v>923</v>
      </c>
      <c r="H213" s="35" t="s">
        <v>923</v>
      </c>
      <c r="I213" s="38" t="s">
        <v>923</v>
      </c>
    </row>
    <row r="214" spans="2:9" ht="15.75">
      <c r="B214" s="35" t="s">
        <v>1015</v>
      </c>
      <c r="C214" s="54"/>
      <c r="D214" s="35" t="s">
        <v>1016</v>
      </c>
      <c r="E214" s="36"/>
      <c r="F214" s="35" t="s">
        <v>1017</v>
      </c>
      <c r="G214" s="39"/>
      <c r="H214" s="35" t="s">
        <v>923</v>
      </c>
      <c r="I214" s="38"/>
    </row>
    <row r="215" spans="2:9" ht="15.75">
      <c r="B215" s="53" t="s">
        <v>927</v>
      </c>
      <c r="C215" s="54"/>
      <c r="D215" s="35" t="s">
        <v>940</v>
      </c>
      <c r="E215" s="36"/>
      <c r="F215" s="35" t="s">
        <v>926</v>
      </c>
      <c r="G215" s="39"/>
      <c r="H215" s="35" t="s">
        <v>923</v>
      </c>
      <c r="I215" s="39"/>
    </row>
    <row r="216" spans="2:9">
      <c r="B216" s="33"/>
      <c r="C216" s="34"/>
      <c r="D216" s="33"/>
      <c r="E216" s="33"/>
      <c r="F216" s="33"/>
      <c r="G216" s="33"/>
      <c r="H216" s="33"/>
      <c r="I216" s="33"/>
    </row>
    <row r="217" spans="2:9">
      <c r="B217" s="43" t="s">
        <v>100</v>
      </c>
      <c r="D217" s="44" t="s">
        <v>1018</v>
      </c>
    </row>
    <row r="218" spans="2:9">
      <c r="B218" s="45"/>
    </row>
    <row r="219" spans="2:9">
      <c r="B219" s="46" t="s">
        <v>101</v>
      </c>
      <c r="D219" s="47" t="s">
        <v>1019</v>
      </c>
    </row>
    <row r="221" spans="2:9">
      <c r="B221" s="42" t="s">
        <v>124</v>
      </c>
    </row>
    <row r="223" spans="2:9" ht="15.75">
      <c r="B223" s="35" t="s">
        <v>5</v>
      </c>
      <c r="C223" s="54"/>
      <c r="D223" s="35" t="s">
        <v>17</v>
      </c>
      <c r="E223" s="33"/>
      <c r="F223" s="35" t="s">
        <v>18</v>
      </c>
      <c r="G223" s="39"/>
      <c r="H223" s="35" t="s">
        <v>6</v>
      </c>
      <c r="I223" s="39"/>
    </row>
    <row r="224" spans="2:9" ht="15.75">
      <c r="B224" s="35" t="s">
        <v>297</v>
      </c>
      <c r="C224" s="54"/>
      <c r="D224" s="35" t="s">
        <v>727</v>
      </c>
      <c r="E224" s="36"/>
      <c r="F224" s="35" t="s">
        <v>208</v>
      </c>
      <c r="G224" s="39"/>
      <c r="H224" s="35" t="s">
        <v>327</v>
      </c>
      <c r="I224" s="39"/>
    </row>
    <row r="225" spans="2:9" ht="15.75">
      <c r="B225" s="35" t="s">
        <v>307</v>
      </c>
      <c r="C225" s="40">
        <v>4</v>
      </c>
      <c r="D225" s="35" t="s">
        <v>767</v>
      </c>
      <c r="E225" s="40">
        <v>4</v>
      </c>
      <c r="F225" s="35" t="s">
        <v>216</v>
      </c>
      <c r="G225" s="38">
        <v>4</v>
      </c>
      <c r="H225" s="35" t="s">
        <v>337</v>
      </c>
      <c r="I225" s="38" t="s">
        <v>923</v>
      </c>
    </row>
    <row r="226" spans="2:9" ht="15.75">
      <c r="B226" s="35" t="s">
        <v>1020</v>
      </c>
      <c r="C226" s="54"/>
      <c r="D226" s="35" t="s">
        <v>937</v>
      </c>
      <c r="E226" s="36"/>
      <c r="F226" s="35" t="s">
        <v>937</v>
      </c>
      <c r="G226" s="39"/>
      <c r="H226" s="35" t="s">
        <v>1021</v>
      </c>
      <c r="I226" s="38"/>
    </row>
    <row r="227" spans="2:9" ht="15.75">
      <c r="B227" s="53" t="s">
        <v>927</v>
      </c>
      <c r="C227" s="54"/>
      <c r="D227" s="35" t="s">
        <v>940</v>
      </c>
      <c r="E227" s="36"/>
      <c r="F227" s="35" t="s">
        <v>940</v>
      </c>
      <c r="G227" s="39"/>
      <c r="H227" s="35" t="s">
        <v>926</v>
      </c>
      <c r="I227" s="39"/>
    </row>
    <row r="229" spans="2:9">
      <c r="B229" s="43" t="s">
        <v>100</v>
      </c>
      <c r="D229" s="44" t="s">
        <v>1022</v>
      </c>
    </row>
    <row r="230" spans="2:9">
      <c r="B230" s="45"/>
    </row>
    <row r="231" spans="2:9">
      <c r="B231" s="46" t="s">
        <v>101</v>
      </c>
      <c r="D231" s="47" t="s">
        <v>1023</v>
      </c>
    </row>
    <row r="233" spans="2:9">
      <c r="B233" s="42" t="s">
        <v>125</v>
      </c>
    </row>
    <row r="235" spans="2:9" ht="15.75">
      <c r="B235" s="35" t="s">
        <v>5</v>
      </c>
      <c r="C235" s="54"/>
      <c r="D235" s="35" t="s">
        <v>17</v>
      </c>
      <c r="E235" s="33"/>
      <c r="F235" s="35" t="s">
        <v>18</v>
      </c>
      <c r="G235" s="39"/>
      <c r="H235" s="35" t="s">
        <v>19</v>
      </c>
      <c r="I235" s="39"/>
    </row>
    <row r="236" spans="2:9" ht="15.75">
      <c r="B236" s="35" t="s">
        <v>298</v>
      </c>
      <c r="C236" s="54"/>
      <c r="D236" s="35" t="s">
        <v>728</v>
      </c>
      <c r="E236" s="36"/>
      <c r="F236" s="35" t="s">
        <v>209</v>
      </c>
      <c r="G236" s="39"/>
      <c r="H236" s="35" t="s">
        <v>209</v>
      </c>
      <c r="I236" s="39"/>
    </row>
    <row r="237" spans="2:9" ht="15.75">
      <c r="B237" s="35" t="s">
        <v>308</v>
      </c>
      <c r="C237" s="40">
        <v>4</v>
      </c>
      <c r="D237" s="35" t="s">
        <v>768</v>
      </c>
      <c r="E237" s="40">
        <v>4</v>
      </c>
      <c r="F237" s="35" t="s">
        <v>217</v>
      </c>
      <c r="G237" s="38">
        <v>4</v>
      </c>
      <c r="H237" s="35" t="s">
        <v>217</v>
      </c>
      <c r="I237" s="38">
        <v>6</v>
      </c>
    </row>
    <row r="238" spans="2:9" ht="15.75">
      <c r="B238" s="35" t="s">
        <v>1024</v>
      </c>
      <c r="C238" s="54"/>
      <c r="D238" s="35" t="s">
        <v>943</v>
      </c>
      <c r="E238" s="36"/>
      <c r="F238" s="35" t="s">
        <v>943</v>
      </c>
      <c r="G238" s="39"/>
      <c r="H238" s="35" t="s">
        <v>943</v>
      </c>
      <c r="I238" s="38"/>
    </row>
    <row r="239" spans="2:9" ht="15.75">
      <c r="B239" s="53" t="s">
        <v>927</v>
      </c>
      <c r="C239" s="54"/>
      <c r="D239" s="35" t="s">
        <v>940</v>
      </c>
      <c r="E239" s="36"/>
      <c r="F239" s="35" t="s">
        <v>940</v>
      </c>
      <c r="G239" s="39"/>
      <c r="H239" s="35" t="s">
        <v>940</v>
      </c>
      <c r="I239" s="39"/>
    </row>
    <row r="240" spans="2:9">
      <c r="B240" s="33"/>
      <c r="C240" s="34"/>
      <c r="D240" s="33"/>
      <c r="E240" s="33"/>
      <c r="F240" s="33"/>
      <c r="G240" s="33"/>
      <c r="H240" s="33"/>
      <c r="I240" s="33"/>
    </row>
    <row r="241" spans="2:9" ht="15.75">
      <c r="B241" s="38">
        <v>6</v>
      </c>
      <c r="C241" s="34"/>
      <c r="D241" s="38">
        <v>3</v>
      </c>
      <c r="E241" s="33"/>
      <c r="F241" s="38">
        <v>3</v>
      </c>
      <c r="G241" s="33"/>
      <c r="H241" s="38">
        <v>3</v>
      </c>
      <c r="I241" s="33"/>
    </row>
    <row r="242" spans="2:9" ht="15.75">
      <c r="B242" s="39"/>
      <c r="C242" s="33"/>
      <c r="D242" s="33"/>
      <c r="E242" s="33"/>
      <c r="F242" s="33"/>
      <c r="G242" s="33"/>
      <c r="H242" s="33"/>
      <c r="I242" s="33"/>
    </row>
    <row r="243" spans="2:9" ht="15.75">
      <c r="B243" s="35" t="s">
        <v>6</v>
      </c>
      <c r="C243" s="39"/>
      <c r="D243" s="35" t="s">
        <v>923</v>
      </c>
      <c r="E243" s="33"/>
      <c r="F243" s="35" t="s">
        <v>923</v>
      </c>
      <c r="G243" s="39"/>
      <c r="H243" s="35" t="s">
        <v>923</v>
      </c>
      <c r="I243" s="39"/>
    </row>
    <row r="244" spans="2:9" ht="15.75">
      <c r="B244" s="35" t="s">
        <v>328</v>
      </c>
      <c r="C244" s="39"/>
      <c r="D244" s="35" t="s">
        <v>923</v>
      </c>
      <c r="E244" s="37"/>
      <c r="F244" s="35" t="s">
        <v>923</v>
      </c>
      <c r="G244" s="39"/>
      <c r="H244" s="35" t="s">
        <v>923</v>
      </c>
      <c r="I244" s="39"/>
    </row>
    <row r="245" spans="2:9" ht="15.75">
      <c r="B245" s="35" t="s">
        <v>338</v>
      </c>
      <c r="C245" s="38" t="s">
        <v>923</v>
      </c>
      <c r="D245" s="35" t="s">
        <v>923</v>
      </c>
      <c r="E245" s="38" t="s">
        <v>923</v>
      </c>
      <c r="F245" s="35" t="s">
        <v>923</v>
      </c>
      <c r="G245" s="38" t="s">
        <v>923</v>
      </c>
      <c r="H245" s="35" t="s">
        <v>923</v>
      </c>
      <c r="I245" s="38" t="s">
        <v>923</v>
      </c>
    </row>
    <row r="246" spans="2:9" ht="15.75">
      <c r="B246" s="35" t="s">
        <v>1025</v>
      </c>
      <c r="C246" s="39"/>
      <c r="D246" s="35" t="s">
        <v>923</v>
      </c>
      <c r="E246" s="37"/>
      <c r="F246" s="35" t="s">
        <v>923</v>
      </c>
      <c r="G246" s="39"/>
      <c r="H246" s="35" t="s">
        <v>923</v>
      </c>
      <c r="I246" s="39"/>
    </row>
    <row r="247" spans="2:9" ht="15.75">
      <c r="B247" s="35" t="s">
        <v>926</v>
      </c>
      <c r="C247" s="39"/>
      <c r="D247" s="35" t="s">
        <v>923</v>
      </c>
      <c r="E247" s="37"/>
      <c r="F247" s="35" t="s">
        <v>923</v>
      </c>
      <c r="G247" s="39"/>
      <c r="H247" s="35" t="s">
        <v>923</v>
      </c>
      <c r="I247" s="39"/>
    </row>
    <row r="249" spans="2:9">
      <c r="B249" s="43" t="s">
        <v>100</v>
      </c>
      <c r="D249" s="44" t="s">
        <v>1026</v>
      </c>
    </row>
    <row r="250" spans="2:9">
      <c r="B250" s="45"/>
    </row>
    <row r="251" spans="2:9">
      <c r="B251" s="46" t="s">
        <v>101</v>
      </c>
      <c r="D251" s="47" t="s">
        <v>1027</v>
      </c>
    </row>
    <row r="253" spans="2:9">
      <c r="B253" s="42" t="s">
        <v>126</v>
      </c>
    </row>
    <row r="255" spans="2:9" ht="15.75">
      <c r="B255" s="35" t="s">
        <v>5</v>
      </c>
      <c r="C255" s="54"/>
      <c r="D255" s="35" t="s">
        <v>17</v>
      </c>
      <c r="E255" s="33"/>
      <c r="F255" s="35" t="s">
        <v>18</v>
      </c>
      <c r="G255" s="39"/>
      <c r="H255" s="35" t="s">
        <v>19</v>
      </c>
      <c r="I255" s="39"/>
    </row>
    <row r="256" spans="2:9" ht="15.75">
      <c r="B256" s="35" t="s">
        <v>299</v>
      </c>
      <c r="C256" s="54"/>
      <c r="D256" s="35" t="s">
        <v>729</v>
      </c>
      <c r="E256" s="36"/>
      <c r="F256" s="35" t="s">
        <v>210</v>
      </c>
      <c r="G256" s="39"/>
      <c r="H256" s="35" t="s">
        <v>210</v>
      </c>
      <c r="I256" s="39"/>
    </row>
    <row r="257" spans="2:9" ht="15.75">
      <c r="B257" s="35" t="s">
        <v>309</v>
      </c>
      <c r="C257" s="40">
        <v>4</v>
      </c>
      <c r="D257" s="35" t="s">
        <v>769</v>
      </c>
      <c r="E257" s="40">
        <v>4</v>
      </c>
      <c r="F257" s="35" t="s">
        <v>218</v>
      </c>
      <c r="G257" s="38">
        <v>4</v>
      </c>
      <c r="H257" s="35" t="s">
        <v>218</v>
      </c>
      <c r="I257" s="38">
        <v>6</v>
      </c>
    </row>
    <row r="258" spans="2:9" ht="15.75">
      <c r="B258" s="35" t="s">
        <v>1028</v>
      </c>
      <c r="C258" s="54"/>
      <c r="D258" s="35" t="s">
        <v>953</v>
      </c>
      <c r="E258" s="36"/>
      <c r="F258" s="35" t="s">
        <v>953</v>
      </c>
      <c r="G258" s="39"/>
      <c r="H258" s="35" t="s">
        <v>953</v>
      </c>
      <c r="I258" s="38"/>
    </row>
    <row r="259" spans="2:9" ht="15.75">
      <c r="B259" s="53" t="s">
        <v>927</v>
      </c>
      <c r="C259" s="54"/>
      <c r="D259" s="35" t="s">
        <v>940</v>
      </c>
      <c r="E259" s="36"/>
      <c r="F259" s="35" t="s">
        <v>940</v>
      </c>
      <c r="G259" s="39"/>
      <c r="H259" s="35" t="s">
        <v>940</v>
      </c>
      <c r="I259" s="39"/>
    </row>
    <row r="260" spans="2:9">
      <c r="B260" s="33"/>
      <c r="C260" s="34"/>
      <c r="D260" s="33"/>
      <c r="E260" s="33"/>
      <c r="F260" s="33"/>
      <c r="G260" s="33"/>
      <c r="H260" s="33"/>
      <c r="I260" s="33"/>
    </row>
    <row r="261" spans="2:9" ht="15.75">
      <c r="B261" s="38">
        <v>6</v>
      </c>
      <c r="C261" s="34"/>
      <c r="D261" s="38">
        <v>3</v>
      </c>
      <c r="E261" s="33"/>
      <c r="F261" s="38">
        <v>3</v>
      </c>
      <c r="G261" s="33"/>
      <c r="H261" s="38">
        <v>3</v>
      </c>
      <c r="I261" s="33"/>
    </row>
    <row r="262" spans="2:9" ht="15.75">
      <c r="B262" s="39"/>
      <c r="C262" s="33"/>
      <c r="D262" s="33"/>
      <c r="E262" s="33"/>
      <c r="F262" s="33"/>
      <c r="G262" s="33"/>
      <c r="H262" s="33"/>
      <c r="I262" s="33"/>
    </row>
    <row r="263" spans="2:9" ht="15.75">
      <c r="B263" s="35" t="s">
        <v>20</v>
      </c>
      <c r="C263" s="39"/>
      <c r="D263" s="35" t="s">
        <v>6</v>
      </c>
      <c r="E263" s="33"/>
      <c r="F263" s="35" t="s">
        <v>923</v>
      </c>
      <c r="G263" s="39"/>
      <c r="H263" s="35" t="s">
        <v>923</v>
      </c>
      <c r="I263" s="39"/>
    </row>
    <row r="264" spans="2:9" ht="15.75">
      <c r="B264" s="35" t="s">
        <v>210</v>
      </c>
      <c r="C264" s="39"/>
      <c r="D264" s="35" t="s">
        <v>329</v>
      </c>
      <c r="E264" s="37"/>
      <c r="F264" s="35" t="s">
        <v>923</v>
      </c>
      <c r="G264" s="39"/>
      <c r="H264" s="35" t="s">
        <v>923</v>
      </c>
      <c r="I264" s="39"/>
    </row>
    <row r="265" spans="2:9" ht="15.75">
      <c r="B265" s="35" t="s">
        <v>218</v>
      </c>
      <c r="C265" s="38">
        <v>4</v>
      </c>
      <c r="D265" s="35" t="s">
        <v>339</v>
      </c>
      <c r="E265" s="38" t="s">
        <v>923</v>
      </c>
      <c r="F265" s="35" t="s">
        <v>923</v>
      </c>
      <c r="G265" s="38" t="s">
        <v>923</v>
      </c>
      <c r="H265" s="35" t="s">
        <v>923</v>
      </c>
      <c r="I265" s="38" t="s">
        <v>923</v>
      </c>
    </row>
    <row r="266" spans="2:9" ht="15.75">
      <c r="B266" s="35" t="s">
        <v>953</v>
      </c>
      <c r="C266" s="39"/>
      <c r="D266" s="35" t="s">
        <v>1029</v>
      </c>
      <c r="E266" s="37"/>
      <c r="F266" s="35" t="s">
        <v>923</v>
      </c>
      <c r="G266" s="39"/>
      <c r="H266" s="35" t="s">
        <v>923</v>
      </c>
      <c r="I266" s="39"/>
    </row>
    <row r="267" spans="2:9" ht="15.75">
      <c r="B267" s="35" t="s">
        <v>940</v>
      </c>
      <c r="C267" s="39"/>
      <c r="D267" s="35" t="s">
        <v>926</v>
      </c>
      <c r="E267" s="37"/>
      <c r="F267" s="35" t="s">
        <v>923</v>
      </c>
      <c r="G267" s="39"/>
      <c r="H267" s="35" t="s">
        <v>923</v>
      </c>
      <c r="I267" s="39"/>
    </row>
    <row r="268" spans="2:9">
      <c r="B268" s="33"/>
      <c r="C268" s="33"/>
      <c r="D268" s="33"/>
      <c r="E268" s="33"/>
      <c r="F268" s="33"/>
      <c r="G268" s="33"/>
      <c r="H268" s="33"/>
      <c r="I268" s="33"/>
    </row>
    <row r="269" spans="2:9">
      <c r="B269" s="43" t="s">
        <v>100</v>
      </c>
      <c r="D269" s="44" t="s">
        <v>1030</v>
      </c>
    </row>
    <row r="270" spans="2:9">
      <c r="B270" s="45"/>
    </row>
    <row r="271" spans="2:9">
      <c r="B271" s="46" t="s">
        <v>101</v>
      </c>
      <c r="D271" s="47" t="s">
        <v>1031</v>
      </c>
    </row>
    <row r="273" spans="2:9">
      <c r="B273" s="42" t="s">
        <v>127</v>
      </c>
    </row>
    <row r="275" spans="2:9" ht="15.75">
      <c r="B275" s="35" t="s">
        <v>5</v>
      </c>
      <c r="C275" s="54"/>
      <c r="D275" s="35" t="s">
        <v>17</v>
      </c>
      <c r="E275" s="33"/>
      <c r="F275" s="35" t="s">
        <v>18</v>
      </c>
      <c r="G275" s="39"/>
      <c r="H275" s="35" t="s">
        <v>19</v>
      </c>
      <c r="I275" s="39"/>
    </row>
    <row r="276" spans="2:9" ht="15.75">
      <c r="B276" s="35" t="s">
        <v>300</v>
      </c>
      <c r="C276" s="54"/>
      <c r="D276" s="35" t="s">
        <v>730</v>
      </c>
      <c r="E276" s="36"/>
      <c r="F276" s="35" t="s">
        <v>211</v>
      </c>
      <c r="G276" s="39"/>
      <c r="H276" s="35" t="s">
        <v>211</v>
      </c>
      <c r="I276" s="39"/>
    </row>
    <row r="277" spans="2:9" ht="15.75">
      <c r="B277" s="35" t="s">
        <v>310</v>
      </c>
      <c r="C277" s="40">
        <v>4</v>
      </c>
      <c r="D277" s="35" t="s">
        <v>770</v>
      </c>
      <c r="E277" s="40">
        <v>4</v>
      </c>
      <c r="F277" s="35" t="s">
        <v>219</v>
      </c>
      <c r="G277" s="38">
        <v>4</v>
      </c>
      <c r="H277" s="35" t="s">
        <v>219</v>
      </c>
      <c r="I277" s="38">
        <v>6</v>
      </c>
    </row>
    <row r="278" spans="2:9" ht="15.75">
      <c r="B278" s="35" t="s">
        <v>1037</v>
      </c>
      <c r="C278" s="54"/>
      <c r="D278" s="35" t="s">
        <v>963</v>
      </c>
      <c r="E278" s="36"/>
      <c r="F278" s="35" t="s">
        <v>963</v>
      </c>
      <c r="G278" s="39"/>
      <c r="H278" s="35" t="s">
        <v>963</v>
      </c>
      <c r="I278" s="38"/>
    </row>
    <row r="279" spans="2:9" ht="15.75">
      <c r="B279" s="53" t="s">
        <v>927</v>
      </c>
      <c r="C279" s="54"/>
      <c r="D279" s="35" t="s">
        <v>940</v>
      </c>
      <c r="E279" s="36"/>
      <c r="F279" s="35" t="s">
        <v>940</v>
      </c>
      <c r="G279" s="39"/>
      <c r="H279" s="35" t="s">
        <v>940</v>
      </c>
      <c r="I279" s="39"/>
    </row>
    <row r="280" spans="2:9">
      <c r="B280" s="33"/>
      <c r="C280" s="34"/>
      <c r="D280" s="33"/>
      <c r="E280" s="33"/>
      <c r="F280" s="33"/>
      <c r="G280" s="33"/>
      <c r="H280" s="33"/>
      <c r="I280" s="33"/>
    </row>
    <row r="281" spans="2:9" ht="15.75">
      <c r="B281" s="38">
        <v>6</v>
      </c>
      <c r="C281" s="34"/>
      <c r="D281" s="38">
        <v>3</v>
      </c>
      <c r="E281" s="33"/>
      <c r="F281" s="38">
        <v>3</v>
      </c>
      <c r="G281" s="33"/>
      <c r="H281" s="38">
        <v>3</v>
      </c>
      <c r="I281" s="33"/>
    </row>
    <row r="282" spans="2:9" ht="15.75">
      <c r="B282" s="39"/>
      <c r="C282" s="33"/>
      <c r="D282" s="33"/>
      <c r="E282" s="33"/>
      <c r="F282" s="33"/>
      <c r="G282" s="33"/>
      <c r="H282" s="33"/>
      <c r="I282" s="33"/>
    </row>
    <row r="283" spans="2:9" ht="15.75">
      <c r="B283" s="35" t="s">
        <v>20</v>
      </c>
      <c r="C283" s="39"/>
      <c r="D283" s="35" t="s">
        <v>21</v>
      </c>
      <c r="E283" s="33"/>
      <c r="F283" s="35" t="s">
        <v>6</v>
      </c>
      <c r="G283" s="39"/>
      <c r="H283" s="35" t="s">
        <v>923</v>
      </c>
      <c r="I283" s="39"/>
    </row>
    <row r="284" spans="2:9" ht="15.75">
      <c r="B284" s="35" t="s">
        <v>211</v>
      </c>
      <c r="C284" s="39"/>
      <c r="D284" s="35" t="s">
        <v>211</v>
      </c>
      <c r="E284" s="37"/>
      <c r="F284" s="35" t="s">
        <v>330</v>
      </c>
      <c r="G284" s="39"/>
      <c r="H284" s="35" t="s">
        <v>923</v>
      </c>
      <c r="I284" s="39"/>
    </row>
    <row r="285" spans="2:9" ht="15.75">
      <c r="B285" s="35" t="s">
        <v>219</v>
      </c>
      <c r="C285" s="38">
        <v>4</v>
      </c>
      <c r="D285" s="35" t="s">
        <v>219</v>
      </c>
      <c r="E285" s="38">
        <v>4</v>
      </c>
      <c r="F285" s="35" t="s">
        <v>340</v>
      </c>
      <c r="G285" s="38" t="s">
        <v>923</v>
      </c>
      <c r="H285" s="35" t="s">
        <v>923</v>
      </c>
      <c r="I285" s="38" t="s">
        <v>923</v>
      </c>
    </row>
    <row r="286" spans="2:9" ht="15.75">
      <c r="B286" s="35" t="s">
        <v>963</v>
      </c>
      <c r="C286" s="39"/>
      <c r="D286" s="35" t="s">
        <v>963</v>
      </c>
      <c r="E286" s="37"/>
      <c r="F286" s="35" t="s">
        <v>1038</v>
      </c>
      <c r="G286" s="39"/>
      <c r="H286" s="35" t="s">
        <v>923</v>
      </c>
      <c r="I286" s="39"/>
    </row>
    <row r="287" spans="2:9" ht="15.75">
      <c r="B287" s="35" t="s">
        <v>940</v>
      </c>
      <c r="C287" s="39"/>
      <c r="D287" s="35" t="s">
        <v>940</v>
      </c>
      <c r="E287" s="37"/>
      <c r="F287" s="35" t="s">
        <v>926</v>
      </c>
      <c r="G287" s="39"/>
      <c r="H287" s="35" t="s">
        <v>923</v>
      </c>
      <c r="I287" s="39"/>
    </row>
    <row r="288" spans="2:9">
      <c r="B288" s="33"/>
      <c r="C288" s="33"/>
      <c r="D288" s="33"/>
      <c r="E288" s="33"/>
      <c r="F288" s="33"/>
      <c r="G288" s="33"/>
      <c r="H288" s="33"/>
      <c r="I288" s="33"/>
    </row>
    <row r="289" spans="2:9">
      <c r="B289" s="43" t="s">
        <v>100</v>
      </c>
      <c r="D289" s="44" t="s">
        <v>1039</v>
      </c>
    </row>
    <row r="290" spans="2:9">
      <c r="B290" s="45"/>
    </row>
    <row r="291" spans="2:9">
      <c r="B291" s="46" t="s">
        <v>101</v>
      </c>
      <c r="D291" s="47" t="s">
        <v>1040</v>
      </c>
    </row>
    <row r="293" spans="2:9">
      <c r="B293" s="42" t="s">
        <v>272</v>
      </c>
    </row>
    <row r="295" spans="2:9" ht="15.75">
      <c r="B295" s="35" t="s">
        <v>5</v>
      </c>
      <c r="C295" s="54"/>
      <c r="D295" s="35" t="s">
        <v>17</v>
      </c>
      <c r="E295" s="33"/>
      <c r="F295" s="35" t="s">
        <v>18</v>
      </c>
      <c r="G295" s="39"/>
      <c r="H295" s="35" t="s">
        <v>19</v>
      </c>
      <c r="I295" s="39"/>
    </row>
    <row r="296" spans="2:9" ht="15.75">
      <c r="B296" s="35" t="s">
        <v>301</v>
      </c>
      <c r="C296" s="54"/>
      <c r="D296" s="35" t="s">
        <v>731</v>
      </c>
      <c r="E296" s="36"/>
      <c r="F296" s="35" t="s">
        <v>212</v>
      </c>
      <c r="G296" s="39"/>
      <c r="H296" s="35" t="s">
        <v>212</v>
      </c>
      <c r="I296" s="39"/>
    </row>
    <row r="297" spans="2:9" ht="15.75">
      <c r="B297" s="35" t="s">
        <v>311</v>
      </c>
      <c r="C297" s="40">
        <v>4</v>
      </c>
      <c r="D297" s="35" t="s">
        <v>771</v>
      </c>
      <c r="E297" s="40">
        <v>4</v>
      </c>
      <c r="F297" s="35" t="s">
        <v>220</v>
      </c>
      <c r="G297" s="38">
        <v>4</v>
      </c>
      <c r="H297" s="35" t="s">
        <v>220</v>
      </c>
      <c r="I297" s="38">
        <v>6</v>
      </c>
    </row>
    <row r="298" spans="2:9" ht="15.75">
      <c r="B298" s="35" t="s">
        <v>1041</v>
      </c>
      <c r="C298" s="54"/>
      <c r="D298" s="35" t="s">
        <v>973</v>
      </c>
      <c r="E298" s="36"/>
      <c r="F298" s="35" t="s">
        <v>973</v>
      </c>
      <c r="G298" s="39"/>
      <c r="H298" s="35" t="s">
        <v>973</v>
      </c>
      <c r="I298" s="38"/>
    </row>
    <row r="299" spans="2:9" ht="15.75">
      <c r="B299" s="53" t="s">
        <v>927</v>
      </c>
      <c r="C299" s="54"/>
      <c r="D299" s="35" t="s">
        <v>940</v>
      </c>
      <c r="E299" s="36"/>
      <c r="F299" s="35" t="s">
        <v>940</v>
      </c>
      <c r="G299" s="39"/>
      <c r="H299" s="35" t="s">
        <v>940</v>
      </c>
      <c r="I299" s="39"/>
    </row>
    <row r="300" spans="2:9">
      <c r="B300" s="33"/>
      <c r="C300" s="34"/>
      <c r="D300" s="33"/>
      <c r="E300" s="33"/>
      <c r="F300" s="33"/>
      <c r="G300" s="33"/>
      <c r="H300" s="33"/>
      <c r="I300" s="33"/>
    </row>
    <row r="301" spans="2:9" ht="15.75">
      <c r="B301" s="38">
        <v>6</v>
      </c>
      <c r="C301" s="34"/>
      <c r="D301" s="38">
        <v>3</v>
      </c>
      <c r="E301" s="33"/>
      <c r="F301" s="38">
        <v>3</v>
      </c>
      <c r="G301" s="33"/>
      <c r="H301" s="38">
        <v>3</v>
      </c>
      <c r="I301" s="33"/>
    </row>
    <row r="302" spans="2:9" ht="15.75">
      <c r="B302" s="39"/>
      <c r="C302" s="33"/>
      <c r="D302" s="33"/>
      <c r="E302" s="33"/>
      <c r="F302" s="33"/>
      <c r="G302" s="33"/>
      <c r="H302" s="33"/>
      <c r="I302" s="33"/>
    </row>
    <row r="303" spans="2:9" ht="15.75">
      <c r="B303" s="35" t="s">
        <v>20</v>
      </c>
      <c r="C303" s="39"/>
      <c r="D303" s="35" t="s">
        <v>21</v>
      </c>
      <c r="E303" s="33"/>
      <c r="F303" s="35" t="s">
        <v>22</v>
      </c>
      <c r="G303" s="39"/>
      <c r="H303" s="35" t="s">
        <v>6</v>
      </c>
      <c r="I303" s="39"/>
    </row>
    <row r="304" spans="2:9" ht="15.75">
      <c r="B304" s="35" t="s">
        <v>212</v>
      </c>
      <c r="C304" s="39"/>
      <c r="D304" s="35" t="s">
        <v>212</v>
      </c>
      <c r="E304" s="37"/>
      <c r="F304" s="35" t="s">
        <v>412</v>
      </c>
      <c r="G304" s="39"/>
      <c r="H304" s="35" t="s">
        <v>331</v>
      </c>
      <c r="I304" s="39"/>
    </row>
    <row r="305" spans="2:9" ht="15.75">
      <c r="B305" s="35" t="s">
        <v>220</v>
      </c>
      <c r="C305" s="38">
        <v>4</v>
      </c>
      <c r="D305" s="35" t="s">
        <v>220</v>
      </c>
      <c r="E305" s="38">
        <v>4</v>
      </c>
      <c r="F305" s="35" t="s">
        <v>411</v>
      </c>
      <c r="G305" s="38">
        <v>4</v>
      </c>
      <c r="H305" s="35" t="s">
        <v>341</v>
      </c>
      <c r="I305" s="38" t="s">
        <v>923</v>
      </c>
    </row>
    <row r="306" spans="2:9" ht="15.75">
      <c r="B306" s="35" t="s">
        <v>973</v>
      </c>
      <c r="C306" s="39"/>
      <c r="D306" s="35" t="s">
        <v>973</v>
      </c>
      <c r="E306" s="37"/>
      <c r="F306" s="35" t="s">
        <v>1042</v>
      </c>
      <c r="G306" s="39"/>
      <c r="H306" s="35" t="s">
        <v>1043</v>
      </c>
      <c r="I306" s="39"/>
    </row>
    <row r="307" spans="2:9" ht="15.75">
      <c r="B307" s="35" t="s">
        <v>940</v>
      </c>
      <c r="C307" s="39"/>
      <c r="D307" s="35" t="s">
        <v>940</v>
      </c>
      <c r="E307" s="37"/>
      <c r="F307" s="35" t="s">
        <v>940</v>
      </c>
      <c r="G307" s="39"/>
      <c r="H307" s="35" t="s">
        <v>926</v>
      </c>
      <c r="I307" s="39"/>
    </row>
    <row r="308" spans="2:9">
      <c r="B308" s="33"/>
      <c r="C308" s="33"/>
      <c r="D308" s="33"/>
      <c r="E308" s="33"/>
      <c r="F308" s="33"/>
      <c r="G308" s="33"/>
      <c r="H308" s="33"/>
      <c r="I308" s="33"/>
    </row>
    <row r="309" spans="2:9">
      <c r="B309" s="43" t="s">
        <v>100</v>
      </c>
      <c r="D309" s="44" t="s">
        <v>1044</v>
      </c>
    </row>
    <row r="310" spans="2:9">
      <c r="B310" s="45"/>
    </row>
    <row r="311" spans="2:9">
      <c r="B311" s="46" t="s">
        <v>101</v>
      </c>
      <c r="D311" s="47" t="s">
        <v>1045</v>
      </c>
    </row>
    <row r="313" spans="2:9">
      <c r="B313" s="42" t="s">
        <v>273</v>
      </c>
    </row>
    <row r="315" spans="2:9" ht="15.75">
      <c r="B315" s="35" t="s">
        <v>5</v>
      </c>
      <c r="C315" s="54"/>
      <c r="D315" s="35" t="s">
        <v>17</v>
      </c>
      <c r="E315" s="33"/>
      <c r="F315" s="35" t="s">
        <v>18</v>
      </c>
      <c r="G315" s="39"/>
      <c r="H315" s="35" t="s">
        <v>19</v>
      </c>
      <c r="I315" s="39"/>
    </row>
    <row r="316" spans="2:9" ht="15.75">
      <c r="B316" s="35" t="s">
        <v>302</v>
      </c>
      <c r="C316" s="54"/>
      <c r="D316" s="35" t="s">
        <v>732</v>
      </c>
      <c r="E316" s="36"/>
      <c r="F316" s="35" t="s">
        <v>213</v>
      </c>
      <c r="G316" s="39"/>
      <c r="H316" s="35" t="s">
        <v>213</v>
      </c>
      <c r="I316" s="39"/>
    </row>
    <row r="317" spans="2:9" ht="15.75">
      <c r="B317" s="35" t="s">
        <v>312</v>
      </c>
      <c r="C317" s="40">
        <v>4</v>
      </c>
      <c r="D317" s="35" t="s">
        <v>772</v>
      </c>
      <c r="E317" s="40">
        <v>4</v>
      </c>
      <c r="F317" s="35" t="s">
        <v>221</v>
      </c>
      <c r="G317" s="38">
        <v>4</v>
      </c>
      <c r="H317" s="35" t="s">
        <v>221</v>
      </c>
      <c r="I317" s="38">
        <v>6</v>
      </c>
    </row>
    <row r="318" spans="2:9" ht="15.75">
      <c r="B318" s="35" t="s">
        <v>1046</v>
      </c>
      <c r="C318" s="54"/>
      <c r="D318" s="35" t="s">
        <v>981</v>
      </c>
      <c r="E318" s="36"/>
      <c r="F318" s="35" t="s">
        <v>981</v>
      </c>
      <c r="G318" s="39"/>
      <c r="H318" s="35" t="s">
        <v>981</v>
      </c>
      <c r="I318" s="38"/>
    </row>
    <row r="319" spans="2:9" ht="15.75">
      <c r="B319" s="53" t="s">
        <v>927</v>
      </c>
      <c r="C319" s="54"/>
      <c r="D319" s="35" t="s">
        <v>940</v>
      </c>
      <c r="E319" s="36"/>
      <c r="F319" s="35" t="s">
        <v>940</v>
      </c>
      <c r="G319" s="39"/>
      <c r="H319" s="35" t="s">
        <v>940</v>
      </c>
      <c r="I319" s="39"/>
    </row>
    <row r="320" spans="2:9">
      <c r="B320" s="33"/>
      <c r="C320" s="34"/>
      <c r="D320" s="33"/>
      <c r="E320" s="33"/>
      <c r="F320" s="33"/>
      <c r="G320" s="33"/>
      <c r="H320" s="33"/>
      <c r="I320" s="33"/>
    </row>
    <row r="321" spans="2:9" ht="15.75">
      <c r="B321" s="38">
        <v>6</v>
      </c>
      <c r="C321" s="34"/>
      <c r="D321" s="38">
        <v>3</v>
      </c>
      <c r="E321" s="33"/>
      <c r="F321" s="38">
        <v>3</v>
      </c>
      <c r="G321" s="33"/>
      <c r="H321" s="38">
        <v>3</v>
      </c>
      <c r="I321" s="33"/>
    </row>
    <row r="322" spans="2:9" ht="15.75">
      <c r="B322" s="39"/>
      <c r="C322" s="33"/>
      <c r="D322" s="33"/>
      <c r="E322" s="33"/>
      <c r="F322" s="33"/>
      <c r="G322" s="33"/>
      <c r="H322" s="33"/>
      <c r="I322" s="33"/>
    </row>
    <row r="323" spans="2:9" ht="15.75">
      <c r="B323" s="35" t="s">
        <v>20</v>
      </c>
      <c r="C323" s="39"/>
      <c r="D323" s="35" t="s">
        <v>21</v>
      </c>
      <c r="E323" s="33"/>
      <c r="F323" s="35" t="s">
        <v>22</v>
      </c>
      <c r="G323" s="39"/>
      <c r="H323" s="35" t="s">
        <v>23</v>
      </c>
      <c r="I323" s="39"/>
    </row>
    <row r="324" spans="2:9" ht="15.75">
      <c r="B324" s="35" t="s">
        <v>213</v>
      </c>
      <c r="C324" s="39"/>
      <c r="D324" s="35" t="s">
        <v>213</v>
      </c>
      <c r="E324" s="37"/>
      <c r="F324" s="35" t="s">
        <v>408</v>
      </c>
      <c r="G324" s="39"/>
      <c r="H324" s="35" t="s">
        <v>408</v>
      </c>
      <c r="I324" s="39"/>
    </row>
    <row r="325" spans="2:9" ht="15.75">
      <c r="B325" s="35" t="s">
        <v>221</v>
      </c>
      <c r="C325" s="38">
        <v>4</v>
      </c>
      <c r="D325" s="35" t="s">
        <v>221</v>
      </c>
      <c r="E325" s="38">
        <v>4</v>
      </c>
      <c r="F325" s="35" t="s">
        <v>403</v>
      </c>
      <c r="G325" s="38">
        <v>4</v>
      </c>
      <c r="H325" s="35" t="s">
        <v>403</v>
      </c>
      <c r="I325" s="38">
        <v>6</v>
      </c>
    </row>
    <row r="326" spans="2:9" ht="15.75">
      <c r="B326" s="35" t="s">
        <v>981</v>
      </c>
      <c r="C326" s="39"/>
      <c r="D326" s="35" t="s">
        <v>981</v>
      </c>
      <c r="E326" s="37"/>
      <c r="F326" s="35" t="s">
        <v>1047</v>
      </c>
      <c r="G326" s="39"/>
      <c r="H326" s="35" t="s">
        <v>1047</v>
      </c>
      <c r="I326" s="39"/>
    </row>
    <row r="327" spans="2:9" ht="15.75">
      <c r="B327" s="35" t="s">
        <v>940</v>
      </c>
      <c r="C327" s="39"/>
      <c r="D327" s="35" t="s">
        <v>940</v>
      </c>
      <c r="E327" s="37"/>
      <c r="F327" s="35" t="s">
        <v>940</v>
      </c>
      <c r="G327" s="39"/>
      <c r="H327" s="35" t="s">
        <v>940</v>
      </c>
      <c r="I327" s="39"/>
    </row>
    <row r="328" spans="2:9">
      <c r="B328" s="33"/>
      <c r="C328" s="33"/>
      <c r="D328" s="33"/>
      <c r="E328" s="33"/>
      <c r="F328" s="33"/>
      <c r="G328" s="33"/>
      <c r="H328" s="33"/>
      <c r="I328" s="33"/>
    </row>
    <row r="329" spans="2:9" ht="15.75">
      <c r="B329" s="38">
        <v>6</v>
      </c>
      <c r="C329" s="33"/>
      <c r="D329" s="38">
        <v>3</v>
      </c>
      <c r="E329" s="33"/>
      <c r="F329" s="38">
        <v>3</v>
      </c>
      <c r="G329" s="33"/>
      <c r="H329" s="38">
        <v>3</v>
      </c>
      <c r="I329" s="33"/>
    </row>
    <row r="330" spans="2:9" ht="15.75">
      <c r="B330" s="39"/>
      <c r="C330" s="33"/>
      <c r="D330" s="33"/>
      <c r="E330" s="33"/>
      <c r="F330" s="33"/>
      <c r="G330" s="33"/>
      <c r="H330" s="33"/>
      <c r="I330" s="33"/>
    </row>
    <row r="331" spans="2:9" ht="15.75">
      <c r="B331" s="35" t="s">
        <v>6</v>
      </c>
      <c r="C331" s="39"/>
      <c r="D331" s="35" t="s">
        <v>923</v>
      </c>
      <c r="E331" s="33"/>
      <c r="F331" s="35" t="s">
        <v>923</v>
      </c>
      <c r="G331" s="39"/>
      <c r="H331" s="35" t="s">
        <v>923</v>
      </c>
    </row>
    <row r="332" spans="2:9" ht="15.75">
      <c r="B332" s="35" t="s">
        <v>332</v>
      </c>
      <c r="C332" s="39"/>
      <c r="D332" s="35" t="s">
        <v>923</v>
      </c>
      <c r="E332" s="37"/>
      <c r="F332" s="35" t="s">
        <v>923</v>
      </c>
      <c r="G332" s="39"/>
      <c r="H332" s="35" t="s">
        <v>923</v>
      </c>
    </row>
    <row r="333" spans="2:9" ht="15.75">
      <c r="B333" s="35" t="s">
        <v>342</v>
      </c>
      <c r="C333" s="38" t="s">
        <v>923</v>
      </c>
      <c r="D333" s="35" t="s">
        <v>923</v>
      </c>
      <c r="E333" s="38" t="s">
        <v>923</v>
      </c>
      <c r="F333" s="35" t="s">
        <v>923</v>
      </c>
      <c r="G333" s="38" t="s">
        <v>923</v>
      </c>
      <c r="H333" s="35" t="s">
        <v>923</v>
      </c>
    </row>
    <row r="334" spans="2:9" ht="15.75">
      <c r="B334" s="35" t="s">
        <v>1048</v>
      </c>
      <c r="C334" s="39"/>
      <c r="D334" s="35" t="s">
        <v>923</v>
      </c>
      <c r="E334" s="37"/>
      <c r="F334" s="35" t="s">
        <v>923</v>
      </c>
      <c r="G334" s="39"/>
      <c r="H334" s="35" t="s">
        <v>923</v>
      </c>
    </row>
    <row r="335" spans="2:9" ht="15.75">
      <c r="B335" s="35" t="s">
        <v>926</v>
      </c>
      <c r="C335" s="39"/>
      <c r="D335" s="35" t="s">
        <v>923</v>
      </c>
      <c r="E335" s="37"/>
      <c r="F335" s="35" t="s">
        <v>923</v>
      </c>
      <c r="G335" s="39"/>
      <c r="H335" s="35" t="s">
        <v>923</v>
      </c>
    </row>
    <row r="337" spans="2:9">
      <c r="B337" s="43" t="s">
        <v>100</v>
      </c>
      <c r="D337" s="44" t="s">
        <v>1049</v>
      </c>
    </row>
    <row r="338" spans="2:9">
      <c r="B338" s="45"/>
    </row>
    <row r="339" spans="2:9">
      <c r="B339" s="46" t="s">
        <v>101</v>
      </c>
      <c r="D339" s="47" t="s">
        <v>1050</v>
      </c>
    </row>
    <row r="341" spans="2:9">
      <c r="B341" s="42" t="s">
        <v>274</v>
      </c>
    </row>
    <row r="343" spans="2:9" ht="15.75">
      <c r="B343" s="35" t="s">
        <v>5</v>
      </c>
      <c r="C343" s="54"/>
      <c r="D343" s="35" t="s">
        <v>17</v>
      </c>
      <c r="E343" s="33"/>
      <c r="F343" s="35" t="s">
        <v>18</v>
      </c>
      <c r="G343" s="39"/>
      <c r="H343" s="35" t="s">
        <v>19</v>
      </c>
      <c r="I343" s="39"/>
    </row>
    <row r="344" spans="2:9" ht="15.75">
      <c r="B344" s="35" t="s">
        <v>303</v>
      </c>
      <c r="C344" s="54"/>
      <c r="D344" s="35" t="s">
        <v>733</v>
      </c>
      <c r="E344" s="36"/>
      <c r="F344" s="35" t="s">
        <v>214</v>
      </c>
      <c r="G344" s="39"/>
      <c r="H344" s="35" t="s">
        <v>214</v>
      </c>
      <c r="I344" s="39"/>
    </row>
    <row r="345" spans="2:9" ht="15.75">
      <c r="B345" s="35" t="s">
        <v>313</v>
      </c>
      <c r="C345" s="40">
        <v>4</v>
      </c>
      <c r="D345" s="35" t="s">
        <v>773</v>
      </c>
      <c r="E345" s="40">
        <v>4</v>
      </c>
      <c r="F345" s="35" t="s">
        <v>222</v>
      </c>
      <c r="G345" s="38">
        <v>4</v>
      </c>
      <c r="H345" s="35" t="s">
        <v>222</v>
      </c>
      <c r="I345" s="38">
        <v>6</v>
      </c>
    </row>
    <row r="346" spans="2:9" ht="15.75">
      <c r="B346" s="35" t="s">
        <v>1051</v>
      </c>
      <c r="C346" s="54"/>
      <c r="D346" s="35" t="s">
        <v>991</v>
      </c>
      <c r="E346" s="36"/>
      <c r="F346" s="35" t="s">
        <v>991</v>
      </c>
      <c r="G346" s="39"/>
      <c r="H346" s="35" t="s">
        <v>991</v>
      </c>
      <c r="I346" s="38"/>
    </row>
    <row r="347" spans="2:9" ht="15.75">
      <c r="B347" s="53" t="s">
        <v>927</v>
      </c>
      <c r="C347" s="54"/>
      <c r="D347" s="35" t="s">
        <v>940</v>
      </c>
      <c r="E347" s="36"/>
      <c r="F347" s="35" t="s">
        <v>940</v>
      </c>
      <c r="G347" s="39"/>
      <c r="H347" s="35" t="s">
        <v>940</v>
      </c>
      <c r="I347" s="39"/>
    </row>
    <row r="348" spans="2:9">
      <c r="B348" s="33"/>
      <c r="C348" s="34"/>
      <c r="D348" s="33"/>
      <c r="E348" s="33"/>
      <c r="F348" s="33"/>
      <c r="G348" s="33"/>
      <c r="H348" s="33"/>
      <c r="I348" s="33"/>
    </row>
    <row r="349" spans="2:9" ht="15.75">
      <c r="B349" s="38">
        <v>6</v>
      </c>
      <c r="C349" s="34"/>
      <c r="D349" s="38">
        <v>3</v>
      </c>
      <c r="E349" s="33"/>
      <c r="F349" s="38">
        <v>3</v>
      </c>
      <c r="G349" s="33"/>
      <c r="H349" s="38">
        <v>3</v>
      </c>
      <c r="I349" s="33"/>
    </row>
    <row r="350" spans="2:9" ht="15.75">
      <c r="B350" s="39"/>
      <c r="C350" s="33"/>
      <c r="D350" s="33"/>
      <c r="E350" s="33"/>
      <c r="F350" s="33"/>
      <c r="G350" s="33"/>
      <c r="H350" s="33"/>
      <c r="I350" s="33"/>
    </row>
    <row r="351" spans="2:9" ht="15.75">
      <c r="B351" s="35" t="s">
        <v>20</v>
      </c>
      <c r="C351" s="39"/>
      <c r="D351" s="35" t="s">
        <v>22</v>
      </c>
      <c r="E351" s="33"/>
      <c r="F351" s="35" t="s">
        <v>22</v>
      </c>
      <c r="G351" s="39"/>
      <c r="H351" s="35" t="s">
        <v>23</v>
      </c>
      <c r="I351" s="39"/>
    </row>
    <row r="352" spans="2:9" ht="15.75">
      <c r="B352" s="35" t="s">
        <v>214</v>
      </c>
      <c r="C352" s="39"/>
      <c r="D352" s="35" t="s">
        <v>214</v>
      </c>
      <c r="E352" s="37"/>
      <c r="F352" s="35" t="s">
        <v>409</v>
      </c>
      <c r="G352" s="39"/>
      <c r="H352" s="35" t="s">
        <v>409</v>
      </c>
      <c r="I352" s="39"/>
    </row>
    <row r="353" spans="2:9" ht="15.75">
      <c r="B353" s="35" t="s">
        <v>222</v>
      </c>
      <c r="C353" s="38">
        <v>4</v>
      </c>
      <c r="D353" s="35" t="s">
        <v>222</v>
      </c>
      <c r="E353" s="38">
        <v>4</v>
      </c>
      <c r="F353" s="35" t="s">
        <v>404</v>
      </c>
      <c r="G353" s="38">
        <v>4</v>
      </c>
      <c r="H353" s="35" t="s">
        <v>404</v>
      </c>
      <c r="I353" s="38">
        <v>6</v>
      </c>
    </row>
    <row r="354" spans="2:9" ht="15.75">
      <c r="B354" s="35" t="s">
        <v>991</v>
      </c>
      <c r="C354" s="39"/>
      <c r="D354" s="35" t="s">
        <v>991</v>
      </c>
      <c r="E354" s="37"/>
      <c r="F354" s="35" t="s">
        <v>1052</v>
      </c>
      <c r="G354" s="39"/>
      <c r="H354" s="35" t="s">
        <v>1052</v>
      </c>
      <c r="I354" s="39"/>
    </row>
    <row r="355" spans="2:9" ht="15.75">
      <c r="B355" s="35" t="s">
        <v>940</v>
      </c>
      <c r="C355" s="39"/>
      <c r="D355" s="35" t="s">
        <v>940</v>
      </c>
      <c r="E355" s="37"/>
      <c r="F355" s="35" t="s">
        <v>940</v>
      </c>
      <c r="G355" s="39"/>
      <c r="H355" s="35" t="s">
        <v>940</v>
      </c>
      <c r="I355" s="39"/>
    </row>
    <row r="356" spans="2:9">
      <c r="B356" s="33"/>
      <c r="C356" s="33"/>
      <c r="D356" s="33"/>
      <c r="E356" s="33"/>
      <c r="F356" s="33"/>
      <c r="G356" s="33"/>
      <c r="H356" s="33"/>
      <c r="I356" s="33"/>
    </row>
    <row r="357" spans="2:9" ht="15.75">
      <c r="B357" s="38">
        <v>6</v>
      </c>
      <c r="C357" s="33"/>
      <c r="D357" s="38">
        <v>3</v>
      </c>
      <c r="E357" s="33"/>
      <c r="F357" s="38">
        <v>3</v>
      </c>
      <c r="G357" s="33"/>
      <c r="H357" s="38">
        <v>3</v>
      </c>
      <c r="I357" s="33"/>
    </row>
    <row r="358" spans="2:9" ht="15.75">
      <c r="B358" s="39"/>
      <c r="C358" s="33"/>
      <c r="D358" s="33"/>
      <c r="E358" s="33"/>
      <c r="F358" s="33"/>
      <c r="G358" s="33"/>
      <c r="H358" s="33"/>
      <c r="I358" s="33"/>
    </row>
    <row r="359" spans="2:9" ht="15.75">
      <c r="B359" s="35" t="s">
        <v>24</v>
      </c>
      <c r="C359" s="39"/>
      <c r="D359" s="35" t="s">
        <v>6</v>
      </c>
      <c r="E359" s="33"/>
      <c r="F359" s="35" t="s">
        <v>923</v>
      </c>
      <c r="G359" s="39"/>
      <c r="H359" s="35" t="s">
        <v>923</v>
      </c>
    </row>
    <row r="360" spans="2:9" ht="15.75">
      <c r="B360" s="35" t="s">
        <v>518</v>
      </c>
      <c r="C360" s="39"/>
      <c r="D360" s="35" t="s">
        <v>333</v>
      </c>
      <c r="E360" s="37"/>
      <c r="F360" s="35" t="s">
        <v>923</v>
      </c>
      <c r="G360" s="39"/>
      <c r="H360" s="35" t="s">
        <v>923</v>
      </c>
    </row>
    <row r="361" spans="2:9" ht="15.75">
      <c r="B361" s="35" t="s">
        <v>404</v>
      </c>
      <c r="C361" s="38">
        <v>4</v>
      </c>
      <c r="D361" s="35" t="s">
        <v>343</v>
      </c>
      <c r="E361" s="38" t="s">
        <v>923</v>
      </c>
      <c r="F361" s="35" t="s">
        <v>923</v>
      </c>
      <c r="G361" s="38" t="s">
        <v>923</v>
      </c>
      <c r="H361" s="35" t="s">
        <v>923</v>
      </c>
    </row>
    <row r="362" spans="2:9" ht="15.75">
      <c r="B362" s="35" t="s">
        <v>1052</v>
      </c>
      <c r="C362" s="39"/>
      <c r="D362" s="35" t="s">
        <v>1053</v>
      </c>
      <c r="E362" s="37"/>
      <c r="F362" s="35" t="s">
        <v>923</v>
      </c>
      <c r="G362" s="39"/>
      <c r="H362" s="35" t="s">
        <v>923</v>
      </c>
    </row>
    <row r="363" spans="2:9" ht="15.75">
      <c r="B363" s="35" t="s">
        <v>940</v>
      </c>
      <c r="C363" s="39"/>
      <c r="D363" s="35" t="s">
        <v>926</v>
      </c>
      <c r="E363" s="37"/>
      <c r="F363" s="35" t="s">
        <v>923</v>
      </c>
      <c r="G363" s="39"/>
      <c r="H363" s="35" t="s">
        <v>923</v>
      </c>
    </row>
    <row r="365" spans="2:9">
      <c r="B365" s="43" t="s">
        <v>100</v>
      </c>
      <c r="D365" s="44" t="s">
        <v>1054</v>
      </c>
    </row>
    <row r="366" spans="2:9">
      <c r="B366" s="45"/>
    </row>
    <row r="367" spans="2:9">
      <c r="B367" s="46" t="s">
        <v>101</v>
      </c>
      <c r="D367" s="47" t="s">
        <v>1055</v>
      </c>
    </row>
    <row r="368" spans="2:9">
      <c r="B368" s="50"/>
      <c r="C368" s="49"/>
      <c r="D368" s="49"/>
    </row>
    <row r="369" spans="2:9">
      <c r="B369" s="42" t="s">
        <v>275</v>
      </c>
    </row>
    <row r="371" spans="2:9" ht="15.75">
      <c r="B371" s="35" t="s">
        <v>5</v>
      </c>
      <c r="C371" s="54"/>
      <c r="D371" s="35" t="s">
        <v>17</v>
      </c>
      <c r="E371" s="33"/>
      <c r="F371" s="35" t="s">
        <v>18</v>
      </c>
      <c r="G371" s="39"/>
      <c r="H371" s="35" t="s">
        <v>19</v>
      </c>
      <c r="I371" s="39"/>
    </row>
    <row r="372" spans="2:9" ht="15.75">
      <c r="B372" s="35" t="s">
        <v>304</v>
      </c>
      <c r="C372" s="54"/>
      <c r="D372" s="35" t="s">
        <v>734</v>
      </c>
      <c r="E372" s="36"/>
      <c r="F372" s="35" t="s">
        <v>215</v>
      </c>
      <c r="G372" s="39"/>
      <c r="H372" s="35" t="s">
        <v>215</v>
      </c>
      <c r="I372" s="39"/>
    </row>
    <row r="373" spans="2:9" ht="15.75">
      <c r="B373" s="35" t="s">
        <v>314</v>
      </c>
      <c r="C373" s="40">
        <v>4</v>
      </c>
      <c r="D373" s="35" t="s">
        <v>774</v>
      </c>
      <c r="E373" s="40">
        <v>4</v>
      </c>
      <c r="F373" s="35" t="s">
        <v>223</v>
      </c>
      <c r="G373" s="38">
        <v>4</v>
      </c>
      <c r="H373" s="35" t="s">
        <v>223</v>
      </c>
      <c r="I373" s="38">
        <v>6</v>
      </c>
    </row>
    <row r="374" spans="2:9" ht="15.75">
      <c r="B374" s="35" t="s">
        <v>1056</v>
      </c>
      <c r="C374" s="54"/>
      <c r="D374" s="35" t="s">
        <v>1007</v>
      </c>
      <c r="E374" s="36"/>
      <c r="F374" s="35" t="s">
        <v>1007</v>
      </c>
      <c r="G374" s="39"/>
      <c r="H374" s="35" t="s">
        <v>1007</v>
      </c>
      <c r="I374" s="38"/>
    </row>
    <row r="375" spans="2:9" ht="15.75">
      <c r="B375" s="53" t="s">
        <v>927</v>
      </c>
      <c r="C375" s="54"/>
      <c r="D375" s="35" t="s">
        <v>940</v>
      </c>
      <c r="E375" s="36"/>
      <c r="F375" s="35" t="s">
        <v>940</v>
      </c>
      <c r="G375" s="39"/>
      <c r="H375" s="35" t="s">
        <v>940</v>
      </c>
      <c r="I375" s="39"/>
    </row>
    <row r="376" spans="2:9">
      <c r="B376" s="33"/>
      <c r="C376" s="34"/>
      <c r="D376" s="33"/>
      <c r="E376" s="33"/>
      <c r="F376" s="33"/>
      <c r="G376" s="33"/>
      <c r="H376" s="33"/>
      <c r="I376" s="33"/>
    </row>
    <row r="377" spans="2:9" ht="15.75">
      <c r="B377" s="38">
        <v>6</v>
      </c>
      <c r="C377" s="34"/>
      <c r="D377" s="38">
        <v>3</v>
      </c>
      <c r="E377" s="33"/>
      <c r="F377" s="38">
        <v>3</v>
      </c>
      <c r="G377" s="33"/>
      <c r="H377" s="38">
        <v>3</v>
      </c>
      <c r="I377" s="33"/>
    </row>
    <row r="378" spans="2:9" ht="15.75">
      <c r="B378" s="39"/>
      <c r="C378" s="33"/>
      <c r="D378" s="33"/>
      <c r="E378" s="33"/>
      <c r="F378" s="33"/>
      <c r="G378" s="33"/>
      <c r="H378" s="33"/>
      <c r="I378" s="33"/>
    </row>
    <row r="379" spans="2:9" ht="15.75">
      <c r="B379" s="35" t="s">
        <v>20</v>
      </c>
      <c r="C379" s="39"/>
      <c r="D379" s="35" t="s">
        <v>23</v>
      </c>
      <c r="E379" s="33"/>
      <c r="F379" s="35" t="s">
        <v>22</v>
      </c>
      <c r="G379" s="39"/>
      <c r="H379" s="35" t="s">
        <v>23</v>
      </c>
      <c r="I379" s="39"/>
    </row>
    <row r="380" spans="2:9" ht="15.75">
      <c r="B380" s="35" t="s">
        <v>215</v>
      </c>
      <c r="C380" s="39"/>
      <c r="D380" s="35" t="s">
        <v>215</v>
      </c>
      <c r="E380" s="37"/>
      <c r="F380" s="35" t="s">
        <v>406</v>
      </c>
      <c r="G380" s="39"/>
      <c r="H380" s="35" t="s">
        <v>406</v>
      </c>
      <c r="I380" s="39"/>
    </row>
    <row r="381" spans="2:9" ht="15.75">
      <c r="B381" s="35" t="s">
        <v>223</v>
      </c>
      <c r="C381" s="38">
        <v>4</v>
      </c>
      <c r="D381" s="35" t="s">
        <v>223</v>
      </c>
      <c r="E381" s="38">
        <v>4</v>
      </c>
      <c r="F381" s="35" t="s">
        <v>405</v>
      </c>
      <c r="G381" s="38">
        <v>4</v>
      </c>
      <c r="H381" s="35" t="s">
        <v>405</v>
      </c>
      <c r="I381" s="38">
        <v>6</v>
      </c>
    </row>
    <row r="382" spans="2:9" ht="15.75">
      <c r="B382" s="35" t="s">
        <v>1007</v>
      </c>
      <c r="C382" s="39"/>
      <c r="D382" s="35" t="s">
        <v>1007</v>
      </c>
      <c r="E382" s="37"/>
      <c r="F382" s="35" t="s">
        <v>1057</v>
      </c>
      <c r="G382" s="39"/>
      <c r="H382" s="35" t="s">
        <v>1057</v>
      </c>
      <c r="I382" s="39"/>
    </row>
    <row r="383" spans="2:9" ht="15.75">
      <c r="B383" s="35" t="s">
        <v>940</v>
      </c>
      <c r="C383" s="39"/>
      <c r="D383" s="35" t="s">
        <v>940</v>
      </c>
      <c r="E383" s="37"/>
      <c r="F383" s="35" t="s">
        <v>940</v>
      </c>
      <c r="G383" s="39"/>
      <c r="H383" s="35" t="s">
        <v>940</v>
      </c>
      <c r="I383" s="39"/>
    </row>
    <row r="384" spans="2:9">
      <c r="B384" s="33"/>
      <c r="C384" s="33"/>
      <c r="D384" s="33"/>
      <c r="E384" s="33"/>
      <c r="F384" s="33"/>
      <c r="G384" s="33"/>
      <c r="H384" s="33"/>
      <c r="I384" s="33"/>
    </row>
    <row r="385" spans="2:9" ht="15.75">
      <c r="B385" s="38">
        <v>6</v>
      </c>
      <c r="C385" s="33"/>
      <c r="D385" s="38">
        <v>3</v>
      </c>
      <c r="E385" s="33"/>
      <c r="F385" s="38">
        <v>3</v>
      </c>
      <c r="G385" s="33"/>
      <c r="H385" s="38">
        <v>3</v>
      </c>
      <c r="I385" s="33"/>
    </row>
    <row r="386" spans="2:9" ht="15.75">
      <c r="B386" s="39"/>
      <c r="C386" s="33"/>
      <c r="D386" s="33"/>
      <c r="E386" s="33"/>
      <c r="F386" s="33"/>
      <c r="G386" s="33"/>
      <c r="H386" s="33"/>
      <c r="I386" s="33"/>
    </row>
    <row r="387" spans="2:9" ht="15.75">
      <c r="B387" s="35" t="s">
        <v>24</v>
      </c>
      <c r="C387" s="39"/>
      <c r="D387" s="35" t="s">
        <v>25</v>
      </c>
      <c r="E387" s="33"/>
      <c r="F387" s="35" t="s">
        <v>6</v>
      </c>
      <c r="G387" s="39"/>
      <c r="H387" s="35" t="s">
        <v>923</v>
      </c>
    </row>
    <row r="388" spans="2:9" ht="15.75">
      <c r="B388" s="35" t="s">
        <v>519</v>
      </c>
      <c r="C388" s="39"/>
      <c r="D388" s="35" t="s">
        <v>406</v>
      </c>
      <c r="E388" s="37"/>
      <c r="F388" s="35" t="s">
        <v>334</v>
      </c>
      <c r="G388" s="39"/>
      <c r="H388" s="35" t="s">
        <v>923</v>
      </c>
    </row>
    <row r="389" spans="2:9" ht="15.75">
      <c r="B389" s="35" t="s">
        <v>405</v>
      </c>
      <c r="C389" s="38">
        <v>4</v>
      </c>
      <c r="D389" s="35" t="s">
        <v>405</v>
      </c>
      <c r="E389" s="38">
        <v>4</v>
      </c>
      <c r="F389" s="35" t="s">
        <v>344</v>
      </c>
      <c r="G389" s="38" t="s">
        <v>923</v>
      </c>
      <c r="H389" s="35" t="s">
        <v>923</v>
      </c>
    </row>
    <row r="390" spans="2:9" ht="15.75">
      <c r="B390" s="35" t="s">
        <v>1057</v>
      </c>
      <c r="C390" s="39"/>
      <c r="D390" s="35" t="s">
        <v>1057</v>
      </c>
      <c r="E390" s="37"/>
      <c r="F390" s="35" t="s">
        <v>1058</v>
      </c>
      <c r="G390" s="39"/>
      <c r="H390" s="35" t="s">
        <v>923</v>
      </c>
    </row>
    <row r="391" spans="2:9" ht="15.75">
      <c r="B391" s="35" t="s">
        <v>940</v>
      </c>
      <c r="C391" s="39"/>
      <c r="D391" s="35" t="s">
        <v>940</v>
      </c>
      <c r="E391" s="37"/>
      <c r="F391" s="35" t="s">
        <v>926</v>
      </c>
      <c r="G391" s="39"/>
      <c r="H391" s="35" t="s">
        <v>923</v>
      </c>
    </row>
    <row r="393" spans="2:9">
      <c r="B393" s="43" t="s">
        <v>100</v>
      </c>
      <c r="D393" s="44" t="s">
        <v>1059</v>
      </c>
    </row>
    <row r="394" spans="2:9">
      <c r="B394" s="45"/>
    </row>
    <row r="395" spans="2:9">
      <c r="B395" s="46" t="s">
        <v>101</v>
      </c>
      <c r="D395" s="47" t="s">
        <v>1060</v>
      </c>
    </row>
    <row r="396" spans="2:9">
      <c r="B396" s="50"/>
      <c r="C396" s="49"/>
      <c r="D396" s="49"/>
    </row>
    <row r="397" spans="2:9">
      <c r="B397" s="42" t="s">
        <v>271</v>
      </c>
    </row>
    <row r="399" spans="2:9" ht="15.75">
      <c r="B399" s="35" t="s">
        <v>5</v>
      </c>
      <c r="C399" s="54"/>
      <c r="D399" s="35" t="s">
        <v>17</v>
      </c>
      <c r="E399" s="33"/>
      <c r="F399" s="35" t="s">
        <v>18</v>
      </c>
      <c r="G399" s="39"/>
      <c r="H399" s="35" t="s">
        <v>19</v>
      </c>
      <c r="I399" s="39"/>
    </row>
    <row r="400" spans="2:9" ht="15.75">
      <c r="B400" s="35" t="s">
        <v>305</v>
      </c>
      <c r="C400" s="54"/>
      <c r="D400" s="35" t="s">
        <v>735</v>
      </c>
      <c r="E400" s="36"/>
      <c r="F400" s="35" t="s">
        <v>224</v>
      </c>
      <c r="G400" s="39"/>
      <c r="H400" s="35" t="s">
        <v>224</v>
      </c>
      <c r="I400" s="39"/>
    </row>
    <row r="401" spans="2:9" ht="15.75">
      <c r="B401" s="35" t="s">
        <v>315</v>
      </c>
      <c r="C401" s="40">
        <v>4</v>
      </c>
      <c r="D401" s="35" t="s">
        <v>775</v>
      </c>
      <c r="E401" s="40">
        <v>4</v>
      </c>
      <c r="F401" s="35" t="s">
        <v>225</v>
      </c>
      <c r="G401" s="38">
        <v>4</v>
      </c>
      <c r="H401" s="35" t="s">
        <v>225</v>
      </c>
      <c r="I401" s="38">
        <v>6</v>
      </c>
    </row>
    <row r="402" spans="2:9" ht="15.75">
      <c r="B402" s="35" t="s">
        <v>1061</v>
      </c>
      <c r="C402" s="54"/>
      <c r="D402" s="35" t="s">
        <v>1062</v>
      </c>
      <c r="E402" s="36"/>
      <c r="F402" s="35" t="s">
        <v>1062</v>
      </c>
      <c r="G402" s="39"/>
      <c r="H402" s="35" t="s">
        <v>1062</v>
      </c>
      <c r="I402" s="38"/>
    </row>
    <row r="403" spans="2:9" ht="15.75">
      <c r="B403" s="53" t="s">
        <v>927</v>
      </c>
      <c r="C403" s="54"/>
      <c r="D403" s="35" t="s">
        <v>940</v>
      </c>
      <c r="E403" s="36"/>
      <c r="F403" s="35" t="s">
        <v>940</v>
      </c>
      <c r="G403" s="39"/>
      <c r="H403" s="35" t="s">
        <v>940</v>
      </c>
      <c r="I403" s="39"/>
    </row>
    <row r="404" spans="2:9">
      <c r="B404" s="33"/>
      <c r="C404" s="34"/>
      <c r="D404" s="33"/>
      <c r="E404" s="33"/>
      <c r="F404" s="33"/>
      <c r="G404" s="33"/>
      <c r="H404" s="33"/>
      <c r="I404" s="33"/>
    </row>
    <row r="405" spans="2:9" ht="15.75">
      <c r="B405" s="38">
        <v>6</v>
      </c>
      <c r="C405" s="34"/>
      <c r="D405" s="38">
        <v>3</v>
      </c>
      <c r="E405" s="33"/>
      <c r="F405" s="38">
        <v>3</v>
      </c>
      <c r="G405" s="33"/>
      <c r="H405" s="38">
        <v>3</v>
      </c>
      <c r="I405" s="33"/>
    </row>
    <row r="406" spans="2:9" ht="15.75">
      <c r="B406" s="39"/>
      <c r="C406" s="33"/>
      <c r="D406" s="33"/>
      <c r="E406" s="33"/>
      <c r="F406" s="33"/>
      <c r="G406" s="33"/>
      <c r="H406" s="33"/>
      <c r="I406" s="33"/>
    </row>
    <row r="407" spans="2:9" ht="15.75">
      <c r="B407" s="35" t="s">
        <v>20</v>
      </c>
      <c r="C407" s="39"/>
      <c r="D407" s="35" t="s">
        <v>24</v>
      </c>
      <c r="E407" s="33"/>
      <c r="F407" s="35" t="s">
        <v>22</v>
      </c>
      <c r="G407" s="39"/>
      <c r="H407" s="35" t="s">
        <v>23</v>
      </c>
      <c r="I407" s="39"/>
    </row>
    <row r="408" spans="2:9" ht="15.75">
      <c r="B408" s="35" t="s">
        <v>224</v>
      </c>
      <c r="C408" s="39"/>
      <c r="D408" s="35" t="s">
        <v>224</v>
      </c>
      <c r="E408" s="37"/>
      <c r="F408" s="35" t="s">
        <v>224</v>
      </c>
      <c r="G408" s="39"/>
      <c r="H408" s="35" t="s">
        <v>224</v>
      </c>
      <c r="I408" s="39"/>
    </row>
    <row r="409" spans="2:9" ht="15.75">
      <c r="B409" s="35" t="s">
        <v>225</v>
      </c>
      <c r="C409" s="38">
        <v>4</v>
      </c>
      <c r="D409" s="35" t="s">
        <v>225</v>
      </c>
      <c r="E409" s="38">
        <v>4</v>
      </c>
      <c r="F409" s="35" t="s">
        <v>225</v>
      </c>
      <c r="G409" s="38">
        <v>4</v>
      </c>
      <c r="H409" s="35" t="s">
        <v>225</v>
      </c>
      <c r="I409" s="38">
        <v>6</v>
      </c>
    </row>
    <row r="410" spans="2:9" ht="15.75">
      <c r="B410" s="35" t="s">
        <v>1062</v>
      </c>
      <c r="C410" s="39"/>
      <c r="D410" s="35" t="s">
        <v>1062</v>
      </c>
      <c r="E410" s="37"/>
      <c r="F410" s="35" t="s">
        <v>1062</v>
      </c>
      <c r="G410" s="39"/>
      <c r="H410" s="35" t="s">
        <v>1062</v>
      </c>
      <c r="I410" s="39"/>
    </row>
    <row r="411" spans="2:9" ht="15.75">
      <c r="B411" s="35" t="s">
        <v>940</v>
      </c>
      <c r="C411" s="39"/>
      <c r="D411" s="35" t="s">
        <v>940</v>
      </c>
      <c r="E411" s="37"/>
      <c r="F411" s="35" t="s">
        <v>940</v>
      </c>
      <c r="G411" s="39"/>
      <c r="H411" s="35" t="s">
        <v>940</v>
      </c>
      <c r="I411" s="39"/>
    </row>
    <row r="412" spans="2:9">
      <c r="B412" s="33"/>
      <c r="C412" s="33"/>
      <c r="D412" s="33"/>
      <c r="E412" s="33"/>
      <c r="F412" s="33"/>
      <c r="G412" s="33"/>
      <c r="H412" s="33"/>
      <c r="I412" s="33"/>
    </row>
    <row r="413" spans="2:9" ht="15.75">
      <c r="B413" s="38">
        <v>6</v>
      </c>
      <c r="C413" s="33"/>
      <c r="D413" s="38">
        <v>3</v>
      </c>
      <c r="E413" s="33"/>
      <c r="F413" s="38">
        <v>3</v>
      </c>
      <c r="G413" s="33"/>
      <c r="H413" s="38">
        <v>3</v>
      </c>
      <c r="I413" s="33"/>
    </row>
    <row r="414" spans="2:9" ht="15.75">
      <c r="B414" s="39"/>
      <c r="C414" s="33"/>
      <c r="D414" s="33"/>
      <c r="E414" s="33"/>
      <c r="F414" s="33"/>
      <c r="G414" s="33"/>
      <c r="H414" s="33"/>
      <c r="I414" s="33"/>
    </row>
    <row r="415" spans="2:9" ht="15.75">
      <c r="B415" s="35" t="s">
        <v>24</v>
      </c>
      <c r="C415" s="39"/>
      <c r="D415" s="35" t="s">
        <v>25</v>
      </c>
      <c r="E415" s="33"/>
      <c r="F415" s="35" t="s">
        <v>26</v>
      </c>
      <c r="G415" s="39"/>
      <c r="H415" s="35" t="s">
        <v>6</v>
      </c>
    </row>
    <row r="416" spans="2:9" ht="15.75">
      <c r="B416" s="35" t="s">
        <v>520</v>
      </c>
      <c r="C416" s="39"/>
      <c r="D416" s="35" t="s">
        <v>224</v>
      </c>
      <c r="E416" s="37"/>
      <c r="F416" s="35" t="s">
        <v>402</v>
      </c>
      <c r="G416" s="39"/>
      <c r="H416" s="35" t="s">
        <v>335</v>
      </c>
    </row>
    <row r="417" spans="2:9" ht="15.75">
      <c r="B417" s="35" t="s">
        <v>225</v>
      </c>
      <c r="C417" s="38">
        <v>4</v>
      </c>
      <c r="D417" s="35" t="s">
        <v>225</v>
      </c>
      <c r="E417" s="38">
        <v>4</v>
      </c>
      <c r="F417" s="35" t="s">
        <v>225</v>
      </c>
      <c r="G417" s="38">
        <v>4</v>
      </c>
      <c r="H417" s="35" t="s">
        <v>345</v>
      </c>
    </row>
    <row r="418" spans="2:9" ht="15.75">
      <c r="B418" s="35" t="s">
        <v>1062</v>
      </c>
      <c r="C418" s="39"/>
      <c r="D418" s="35" t="s">
        <v>1062</v>
      </c>
      <c r="E418" s="37"/>
      <c r="F418" s="35" t="s">
        <v>1062</v>
      </c>
      <c r="G418" s="39"/>
      <c r="H418" s="35" t="s">
        <v>1063</v>
      </c>
    </row>
    <row r="419" spans="2:9" ht="15.75">
      <c r="B419" s="35" t="s">
        <v>940</v>
      </c>
      <c r="C419" s="39"/>
      <c r="D419" s="35" t="s">
        <v>940</v>
      </c>
      <c r="E419" s="37"/>
      <c r="F419" s="35" t="s">
        <v>940</v>
      </c>
      <c r="G419" s="39"/>
      <c r="H419" s="35" t="s">
        <v>926</v>
      </c>
    </row>
    <row r="421" spans="2:9">
      <c r="B421" s="43" t="s">
        <v>100</v>
      </c>
      <c r="D421" s="44" t="s">
        <v>1064</v>
      </c>
    </row>
    <row r="422" spans="2:9">
      <c r="B422" s="45"/>
    </row>
    <row r="423" spans="2:9">
      <c r="B423" s="46" t="s">
        <v>101</v>
      </c>
      <c r="D423" s="47" t="s">
        <v>1065</v>
      </c>
    </row>
    <row r="425" spans="2:9">
      <c r="B425" s="55" t="s">
        <v>413</v>
      </c>
    </row>
    <row r="427" spans="2:9">
      <c r="B427" s="42" t="s">
        <v>414</v>
      </c>
    </row>
    <row r="429" spans="2:9" ht="15.75">
      <c r="B429" s="35" t="s">
        <v>5</v>
      </c>
      <c r="C429" s="54"/>
      <c r="D429" s="35" t="s">
        <v>17</v>
      </c>
      <c r="E429" s="33"/>
      <c r="F429" s="35" t="s">
        <v>6</v>
      </c>
      <c r="G429" s="39"/>
      <c r="H429" s="35" t="s">
        <v>923</v>
      </c>
      <c r="I429" s="39"/>
    </row>
    <row r="430" spans="2:9" ht="15.75">
      <c r="B430" s="35" t="s">
        <v>424</v>
      </c>
      <c r="C430" s="54"/>
      <c r="D430" s="35" t="s">
        <v>736</v>
      </c>
      <c r="E430" s="36"/>
      <c r="F430" s="35" t="s">
        <v>474</v>
      </c>
      <c r="G430" s="39"/>
      <c r="H430" s="35" t="s">
        <v>923</v>
      </c>
      <c r="I430" s="39"/>
    </row>
    <row r="431" spans="2:9" ht="15.75">
      <c r="B431" s="35" t="s">
        <v>425</v>
      </c>
      <c r="C431" s="40">
        <v>4</v>
      </c>
      <c r="D431" s="35" t="s">
        <v>669</v>
      </c>
      <c r="E431" s="40">
        <v>4</v>
      </c>
      <c r="F431" s="35" t="s">
        <v>484</v>
      </c>
      <c r="G431" s="38" t="s">
        <v>923</v>
      </c>
      <c r="H431" s="35" t="s">
        <v>923</v>
      </c>
      <c r="I431" s="38" t="s">
        <v>923</v>
      </c>
    </row>
    <row r="432" spans="2:9" ht="15.75">
      <c r="B432" s="35" t="s">
        <v>1066</v>
      </c>
      <c r="C432" s="54"/>
      <c r="D432" s="35" t="s">
        <v>1067</v>
      </c>
      <c r="E432" s="36"/>
      <c r="F432" s="35" t="s">
        <v>1068</v>
      </c>
      <c r="G432" s="39"/>
      <c r="H432" s="35" t="s">
        <v>923</v>
      </c>
      <c r="I432" s="38"/>
    </row>
    <row r="433" spans="2:9" ht="15.75">
      <c r="B433" s="53" t="s">
        <v>927</v>
      </c>
      <c r="C433" s="54"/>
      <c r="D433" s="35" t="s">
        <v>940</v>
      </c>
      <c r="E433" s="36"/>
      <c r="F433" s="35" t="s">
        <v>926</v>
      </c>
      <c r="G433" s="39"/>
      <c r="H433" s="35" t="s">
        <v>923</v>
      </c>
      <c r="I433" s="39"/>
    </row>
    <row r="434" spans="2:9">
      <c r="B434" s="33"/>
      <c r="C434" s="34"/>
      <c r="D434" s="33"/>
      <c r="E434" s="33"/>
      <c r="F434" s="33"/>
      <c r="G434" s="33"/>
      <c r="H434" s="33"/>
      <c r="I434" s="33"/>
    </row>
    <row r="435" spans="2:9">
      <c r="B435" s="43" t="s">
        <v>100</v>
      </c>
      <c r="D435" s="44" t="s">
        <v>1069</v>
      </c>
    </row>
    <row r="436" spans="2:9">
      <c r="B436" s="45"/>
    </row>
    <row r="437" spans="2:9">
      <c r="B437" s="46" t="s">
        <v>101</v>
      </c>
      <c r="D437" s="47" t="s">
        <v>1070</v>
      </c>
    </row>
    <row r="439" spans="2:9">
      <c r="B439" s="42" t="s">
        <v>415</v>
      </c>
    </row>
    <row r="441" spans="2:9" ht="15.75">
      <c r="B441" s="35" t="s">
        <v>5</v>
      </c>
      <c r="C441" s="54"/>
      <c r="D441" s="35" t="s">
        <v>17</v>
      </c>
      <c r="E441" s="33"/>
      <c r="F441" s="35" t="s">
        <v>18</v>
      </c>
      <c r="G441" s="39"/>
      <c r="H441" s="35" t="s">
        <v>6</v>
      </c>
      <c r="I441" s="39"/>
    </row>
    <row r="442" spans="2:9" ht="15.75">
      <c r="B442" s="35" t="s">
        <v>446</v>
      </c>
      <c r="C442" s="54"/>
      <c r="D442" s="35" t="s">
        <v>737</v>
      </c>
      <c r="E442" s="36"/>
      <c r="F442" s="35" t="s">
        <v>698</v>
      </c>
      <c r="G442" s="39"/>
      <c r="H442" s="35" t="s">
        <v>475</v>
      </c>
      <c r="I442" s="39"/>
    </row>
    <row r="443" spans="2:9" ht="15.75">
      <c r="B443" s="35" t="s">
        <v>455</v>
      </c>
      <c r="C443" s="40">
        <v>4</v>
      </c>
      <c r="D443" s="35" t="s">
        <v>670</v>
      </c>
      <c r="E443" s="40">
        <v>4</v>
      </c>
      <c r="F443" s="35" t="s">
        <v>689</v>
      </c>
      <c r="G443" s="38">
        <v>4</v>
      </c>
      <c r="H443" s="35" t="s">
        <v>485</v>
      </c>
      <c r="I443" s="38" t="s">
        <v>923</v>
      </c>
    </row>
    <row r="444" spans="2:9" ht="15.75">
      <c r="B444" s="35" t="s">
        <v>1071</v>
      </c>
      <c r="C444" s="54"/>
      <c r="D444" s="35" t="s">
        <v>1072</v>
      </c>
      <c r="E444" s="36"/>
      <c r="F444" s="35" t="s">
        <v>1073</v>
      </c>
      <c r="G444" s="39"/>
      <c r="H444" s="35" t="s">
        <v>1074</v>
      </c>
      <c r="I444" s="38"/>
    </row>
    <row r="445" spans="2:9" ht="15.75">
      <c r="B445" s="53" t="s">
        <v>927</v>
      </c>
      <c r="C445" s="54"/>
      <c r="D445" s="35" t="s">
        <v>940</v>
      </c>
      <c r="E445" s="36"/>
      <c r="F445" s="35" t="s">
        <v>940</v>
      </c>
      <c r="G445" s="39"/>
      <c r="H445" s="35" t="s">
        <v>926</v>
      </c>
      <c r="I445" s="39"/>
    </row>
    <row r="446" spans="2:9">
      <c r="B446" s="33"/>
      <c r="C446" s="34"/>
      <c r="D446" s="33"/>
      <c r="E446" s="33"/>
      <c r="F446" s="33"/>
      <c r="G446" s="33"/>
      <c r="H446" s="33"/>
      <c r="I446" s="33"/>
    </row>
    <row r="447" spans="2:9">
      <c r="B447" s="43" t="s">
        <v>100</v>
      </c>
      <c r="D447" s="44" t="s">
        <v>1075</v>
      </c>
    </row>
    <row r="448" spans="2:9">
      <c r="B448" s="45"/>
    </row>
    <row r="449" spans="2:9">
      <c r="B449" s="46" t="s">
        <v>101</v>
      </c>
      <c r="D449" s="47" t="s">
        <v>1076</v>
      </c>
    </row>
    <row r="451" spans="2:9">
      <c r="B451" s="42" t="s">
        <v>416</v>
      </c>
    </row>
    <row r="453" spans="2:9" ht="15.75">
      <c r="B453" s="35" t="s">
        <v>5</v>
      </c>
      <c r="C453" s="54"/>
      <c r="D453" s="35" t="s">
        <v>17</v>
      </c>
      <c r="E453" s="33"/>
      <c r="F453" s="35" t="s">
        <v>18</v>
      </c>
      <c r="G453" s="39"/>
      <c r="H453" s="35" t="s">
        <v>19</v>
      </c>
      <c r="I453" s="39"/>
    </row>
    <row r="454" spans="2:9" ht="15.75">
      <c r="B454" s="35" t="s">
        <v>447</v>
      </c>
      <c r="C454" s="54"/>
      <c r="D454" s="35" t="s">
        <v>738</v>
      </c>
      <c r="E454" s="36"/>
      <c r="F454" s="35" t="s">
        <v>699</v>
      </c>
      <c r="G454" s="39"/>
      <c r="H454" s="35" t="s">
        <v>234</v>
      </c>
      <c r="I454" s="39"/>
    </row>
    <row r="455" spans="2:9" ht="15.75">
      <c r="B455" s="35" t="s">
        <v>456</v>
      </c>
      <c r="C455" s="40">
        <v>4</v>
      </c>
      <c r="D455" s="35" t="s">
        <v>671</v>
      </c>
      <c r="E455" s="40">
        <v>4</v>
      </c>
      <c r="F455" s="35" t="s">
        <v>690</v>
      </c>
      <c r="G455" s="38">
        <v>4</v>
      </c>
      <c r="H455" s="35" t="s">
        <v>242</v>
      </c>
      <c r="I455" s="38">
        <v>6</v>
      </c>
    </row>
    <row r="456" spans="2:9" ht="15.75">
      <c r="B456" s="35" t="s">
        <v>1077</v>
      </c>
      <c r="C456" s="54"/>
      <c r="D456" s="35" t="s">
        <v>1078</v>
      </c>
      <c r="E456" s="36"/>
      <c r="F456" s="35" t="s">
        <v>1079</v>
      </c>
      <c r="G456" s="39"/>
      <c r="H456" s="35" t="s">
        <v>1079</v>
      </c>
      <c r="I456" s="38"/>
    </row>
    <row r="457" spans="2:9" ht="15.75">
      <c r="B457" s="53" t="s">
        <v>927</v>
      </c>
      <c r="C457" s="54"/>
      <c r="D457" s="35" t="s">
        <v>940</v>
      </c>
      <c r="E457" s="36"/>
      <c r="F457" s="35" t="s">
        <v>940</v>
      </c>
      <c r="G457" s="39"/>
      <c r="H457" s="35" t="s">
        <v>940</v>
      </c>
      <c r="I457" s="39"/>
    </row>
    <row r="458" spans="2:9">
      <c r="B458" s="33"/>
      <c r="C458" s="34"/>
      <c r="D458" s="33"/>
      <c r="E458" s="33"/>
      <c r="F458" s="33"/>
      <c r="G458" s="33"/>
      <c r="H458" s="33"/>
      <c r="I458" s="33"/>
    </row>
    <row r="459" spans="2:9" ht="15.75">
      <c r="B459" s="38">
        <v>6</v>
      </c>
      <c r="C459" s="34"/>
      <c r="D459" s="38">
        <v>3</v>
      </c>
      <c r="E459" s="33"/>
      <c r="F459" s="38">
        <v>3</v>
      </c>
      <c r="G459" s="33"/>
      <c r="H459" s="38">
        <v>3</v>
      </c>
      <c r="I459" s="33"/>
    </row>
    <row r="460" spans="2:9" ht="15.75">
      <c r="B460" s="39"/>
      <c r="C460" s="33"/>
      <c r="D460" s="33"/>
      <c r="E460" s="33"/>
      <c r="F460" s="33"/>
      <c r="G460" s="33"/>
      <c r="H460" s="33"/>
      <c r="I460" s="33"/>
    </row>
    <row r="461" spans="2:9" ht="15.75">
      <c r="B461" s="35" t="s">
        <v>6</v>
      </c>
      <c r="C461" s="39"/>
      <c r="D461" s="35" t="s">
        <v>923</v>
      </c>
      <c r="E461" s="33"/>
      <c r="F461" s="35" t="s">
        <v>923</v>
      </c>
      <c r="G461" s="39"/>
      <c r="H461" s="35" t="s">
        <v>923</v>
      </c>
      <c r="I461" s="39"/>
    </row>
    <row r="462" spans="2:9" ht="15.75">
      <c r="B462" s="35" t="s">
        <v>476</v>
      </c>
      <c r="C462" s="39"/>
      <c r="D462" s="35" t="s">
        <v>923</v>
      </c>
      <c r="E462" s="37"/>
      <c r="F462" s="35" t="s">
        <v>923</v>
      </c>
      <c r="G462" s="39"/>
      <c r="H462" s="35" t="s">
        <v>923</v>
      </c>
      <c r="I462" s="39"/>
    </row>
    <row r="463" spans="2:9" ht="15.75">
      <c r="B463" s="35" t="s">
        <v>486</v>
      </c>
      <c r="C463" s="38" t="s">
        <v>923</v>
      </c>
      <c r="D463" s="35" t="s">
        <v>923</v>
      </c>
      <c r="E463" s="38" t="s">
        <v>923</v>
      </c>
      <c r="F463" s="35" t="s">
        <v>923</v>
      </c>
      <c r="G463" s="38" t="s">
        <v>923</v>
      </c>
      <c r="H463" s="35" t="s">
        <v>923</v>
      </c>
      <c r="I463" s="38" t="s">
        <v>923</v>
      </c>
    </row>
    <row r="464" spans="2:9" ht="15.75">
      <c r="B464" s="35" t="s">
        <v>1080</v>
      </c>
      <c r="C464" s="39"/>
      <c r="D464" s="35" t="s">
        <v>923</v>
      </c>
      <c r="E464" s="37"/>
      <c r="F464" s="35" t="s">
        <v>923</v>
      </c>
      <c r="G464" s="39"/>
      <c r="H464" s="35" t="s">
        <v>923</v>
      </c>
      <c r="I464" s="39"/>
    </row>
    <row r="465" spans="2:9" ht="15.75">
      <c r="B465" s="35" t="s">
        <v>926</v>
      </c>
      <c r="C465" s="39"/>
      <c r="D465" s="35" t="s">
        <v>923</v>
      </c>
      <c r="E465" s="37"/>
      <c r="F465" s="35" t="s">
        <v>923</v>
      </c>
      <c r="G465" s="39"/>
      <c r="H465" s="35" t="s">
        <v>923</v>
      </c>
      <c r="I465" s="39"/>
    </row>
    <row r="466" spans="2:9">
      <c r="B466" s="33"/>
      <c r="C466" s="33"/>
      <c r="D466" s="33"/>
      <c r="E466" s="33"/>
      <c r="F466" s="33"/>
      <c r="G466" s="33"/>
      <c r="H466" s="33"/>
      <c r="I466" s="33"/>
    </row>
    <row r="467" spans="2:9">
      <c r="B467" s="43" t="s">
        <v>100</v>
      </c>
      <c r="D467" s="44" t="s">
        <v>1081</v>
      </c>
    </row>
    <row r="468" spans="2:9">
      <c r="B468" s="45"/>
    </row>
    <row r="469" spans="2:9">
      <c r="B469" s="46" t="s">
        <v>101</v>
      </c>
      <c r="D469" s="47" t="s">
        <v>1082</v>
      </c>
    </row>
    <row r="471" spans="2:9">
      <c r="B471" s="42" t="s">
        <v>417</v>
      </c>
    </row>
    <row r="473" spans="2:9" ht="15.75">
      <c r="B473" s="35" t="s">
        <v>5</v>
      </c>
      <c r="C473" s="54"/>
      <c r="D473" s="35" t="s">
        <v>17</v>
      </c>
      <c r="E473" s="33"/>
      <c r="F473" s="35" t="s">
        <v>18</v>
      </c>
      <c r="G473" s="39"/>
      <c r="H473" s="35" t="s">
        <v>19</v>
      </c>
      <c r="I473" s="39"/>
    </row>
    <row r="474" spans="2:9" ht="15.75">
      <c r="B474" s="35" t="s">
        <v>448</v>
      </c>
      <c r="C474" s="54"/>
      <c r="D474" s="35" t="s">
        <v>739</v>
      </c>
      <c r="E474" s="36"/>
      <c r="F474" s="35" t="s">
        <v>700</v>
      </c>
      <c r="G474" s="39"/>
      <c r="H474" s="35" t="s">
        <v>235</v>
      </c>
      <c r="I474" s="39"/>
    </row>
    <row r="475" spans="2:9" ht="15.75">
      <c r="B475" s="35" t="s">
        <v>457</v>
      </c>
      <c r="C475" s="40">
        <v>4</v>
      </c>
      <c r="D475" s="35" t="s">
        <v>672</v>
      </c>
      <c r="E475" s="40">
        <v>4</v>
      </c>
      <c r="F475" s="35" t="s">
        <v>691</v>
      </c>
      <c r="G475" s="38">
        <v>4</v>
      </c>
      <c r="H475" s="35" t="s">
        <v>243</v>
      </c>
      <c r="I475" s="38">
        <v>6</v>
      </c>
    </row>
    <row r="476" spans="2:9" ht="15.75">
      <c r="B476" s="35" t="s">
        <v>1083</v>
      </c>
      <c r="C476" s="54"/>
      <c r="D476" s="35" t="s">
        <v>1084</v>
      </c>
      <c r="E476" s="36"/>
      <c r="F476" s="35" t="s">
        <v>1085</v>
      </c>
      <c r="G476" s="39"/>
      <c r="H476" s="35" t="s">
        <v>1085</v>
      </c>
      <c r="I476" s="38"/>
    </row>
    <row r="477" spans="2:9" ht="15.75">
      <c r="B477" s="53" t="s">
        <v>927</v>
      </c>
      <c r="C477" s="54"/>
      <c r="D477" s="35" t="s">
        <v>940</v>
      </c>
      <c r="E477" s="36"/>
      <c r="F477" s="35" t="s">
        <v>940</v>
      </c>
      <c r="G477" s="39"/>
      <c r="H477" s="35" t="s">
        <v>940</v>
      </c>
      <c r="I477" s="39"/>
    </row>
    <row r="478" spans="2:9">
      <c r="B478" s="33"/>
      <c r="C478" s="34"/>
      <c r="D478" s="33"/>
      <c r="E478" s="33"/>
      <c r="F478" s="33"/>
      <c r="G478" s="33"/>
      <c r="H478" s="33"/>
      <c r="I478" s="33"/>
    </row>
    <row r="479" spans="2:9" ht="15.75">
      <c r="B479" s="38">
        <v>6</v>
      </c>
      <c r="C479" s="34"/>
      <c r="D479" s="38">
        <v>3</v>
      </c>
      <c r="E479" s="33"/>
      <c r="F479" s="38">
        <v>3</v>
      </c>
      <c r="G479" s="33"/>
      <c r="H479" s="38">
        <v>3</v>
      </c>
      <c r="I479" s="33"/>
    </row>
    <row r="480" spans="2:9" ht="15.75">
      <c r="B480" s="39"/>
      <c r="C480" s="33"/>
      <c r="D480" s="33"/>
      <c r="E480" s="33"/>
      <c r="F480" s="33"/>
      <c r="G480" s="33"/>
      <c r="H480" s="33"/>
      <c r="I480" s="33"/>
    </row>
    <row r="481" spans="2:9" ht="15.75">
      <c r="B481" s="35" t="s">
        <v>20</v>
      </c>
      <c r="C481" s="39"/>
      <c r="D481" s="35" t="s">
        <v>6</v>
      </c>
      <c r="E481" s="33"/>
      <c r="F481" s="35" t="s">
        <v>923</v>
      </c>
      <c r="G481" s="39"/>
      <c r="H481" s="35" t="s">
        <v>923</v>
      </c>
      <c r="I481" s="39"/>
    </row>
    <row r="482" spans="2:9" ht="15.75">
      <c r="B482" s="35" t="s">
        <v>647</v>
      </c>
      <c r="C482" s="39"/>
      <c r="D482" s="35" t="s">
        <v>477</v>
      </c>
      <c r="E482" s="37"/>
      <c r="F482" s="35" t="s">
        <v>923</v>
      </c>
      <c r="G482" s="39"/>
      <c r="H482" s="35" t="s">
        <v>923</v>
      </c>
      <c r="I482" s="39"/>
    </row>
    <row r="483" spans="2:9" ht="15.75">
      <c r="B483" s="35" t="s">
        <v>646</v>
      </c>
      <c r="C483" s="38">
        <v>4</v>
      </c>
      <c r="D483" s="35" t="s">
        <v>487</v>
      </c>
      <c r="E483" s="38" t="s">
        <v>923</v>
      </c>
      <c r="F483" s="35" t="s">
        <v>923</v>
      </c>
      <c r="G483" s="38" t="s">
        <v>923</v>
      </c>
      <c r="H483" s="35" t="s">
        <v>923</v>
      </c>
      <c r="I483" s="38" t="s">
        <v>923</v>
      </c>
    </row>
    <row r="484" spans="2:9" ht="15.75">
      <c r="B484" s="35" t="s">
        <v>1086</v>
      </c>
      <c r="C484" s="39"/>
      <c r="D484" s="35" t="s">
        <v>1087</v>
      </c>
      <c r="E484" s="37"/>
      <c r="F484" s="35" t="s">
        <v>923</v>
      </c>
      <c r="G484" s="39"/>
      <c r="H484" s="35" t="s">
        <v>923</v>
      </c>
      <c r="I484" s="39"/>
    </row>
    <row r="485" spans="2:9" ht="15.75">
      <c r="B485" s="35" t="s">
        <v>940</v>
      </c>
      <c r="C485" s="39"/>
      <c r="D485" s="35" t="s">
        <v>926</v>
      </c>
      <c r="E485" s="37"/>
      <c r="F485" s="35" t="s">
        <v>923</v>
      </c>
      <c r="G485" s="39"/>
      <c r="H485" s="35" t="s">
        <v>923</v>
      </c>
      <c r="I485" s="39"/>
    </row>
    <row r="486" spans="2:9">
      <c r="B486" s="33"/>
      <c r="C486" s="33"/>
      <c r="D486" s="33"/>
      <c r="E486" s="33"/>
      <c r="F486" s="33"/>
      <c r="G486" s="33"/>
      <c r="H486" s="33"/>
      <c r="I486" s="33"/>
    </row>
    <row r="487" spans="2:9">
      <c r="B487" s="43" t="s">
        <v>100</v>
      </c>
      <c r="D487" s="44" t="s">
        <v>1088</v>
      </c>
    </row>
    <row r="488" spans="2:9">
      <c r="B488" s="45"/>
    </row>
    <row r="489" spans="2:9">
      <c r="B489" s="46" t="s">
        <v>101</v>
      </c>
      <c r="D489" s="47" t="s">
        <v>1089</v>
      </c>
    </row>
    <row r="491" spans="2:9">
      <c r="B491" s="42" t="s">
        <v>418</v>
      </c>
    </row>
    <row r="493" spans="2:9" ht="15.75">
      <c r="B493" s="35" t="s">
        <v>5</v>
      </c>
      <c r="C493" s="54"/>
      <c r="D493" s="35" t="s">
        <v>17</v>
      </c>
      <c r="E493" s="33"/>
      <c r="F493" s="35" t="s">
        <v>18</v>
      </c>
      <c r="G493" s="39"/>
      <c r="H493" s="35" t="s">
        <v>19</v>
      </c>
      <c r="I493" s="39"/>
    </row>
    <row r="494" spans="2:9" ht="15.75">
      <c r="B494" s="35" t="s">
        <v>449</v>
      </c>
      <c r="C494" s="54"/>
      <c r="D494" s="35" t="s">
        <v>740</v>
      </c>
      <c r="E494" s="36"/>
      <c r="F494" s="35" t="s">
        <v>701</v>
      </c>
      <c r="G494" s="39"/>
      <c r="H494" s="35" t="s">
        <v>236</v>
      </c>
      <c r="I494" s="39"/>
    </row>
    <row r="495" spans="2:9" ht="15.75">
      <c r="B495" s="35" t="s">
        <v>458</v>
      </c>
      <c r="C495" s="40">
        <v>4</v>
      </c>
      <c r="D495" s="35" t="s">
        <v>673</v>
      </c>
      <c r="E495" s="40">
        <v>4</v>
      </c>
      <c r="F495" s="35" t="s">
        <v>692</v>
      </c>
      <c r="G495" s="38">
        <v>4</v>
      </c>
      <c r="H495" s="35" t="s">
        <v>244</v>
      </c>
      <c r="I495" s="38">
        <v>6</v>
      </c>
    </row>
    <row r="496" spans="2:9" ht="15.75">
      <c r="B496" s="35" t="s">
        <v>1090</v>
      </c>
      <c r="C496" s="54"/>
      <c r="D496" s="35" t="s">
        <v>1091</v>
      </c>
      <c r="E496" s="36"/>
      <c r="F496" s="35" t="s">
        <v>1092</v>
      </c>
      <c r="G496" s="39"/>
      <c r="H496" s="35" t="s">
        <v>1092</v>
      </c>
      <c r="I496" s="38"/>
    </row>
    <row r="497" spans="2:9" ht="15.75">
      <c r="B497" s="53" t="s">
        <v>927</v>
      </c>
      <c r="C497" s="54"/>
      <c r="D497" s="35" t="s">
        <v>940</v>
      </c>
      <c r="E497" s="36"/>
      <c r="F497" s="35" t="s">
        <v>940</v>
      </c>
      <c r="G497" s="39"/>
      <c r="H497" s="35" t="s">
        <v>940</v>
      </c>
      <c r="I497" s="39"/>
    </row>
    <row r="498" spans="2:9">
      <c r="B498" s="33"/>
      <c r="C498" s="34"/>
      <c r="D498" s="33"/>
      <c r="E498" s="33"/>
      <c r="F498" s="33"/>
      <c r="G498" s="33"/>
      <c r="H498" s="33"/>
      <c r="I498" s="33"/>
    </row>
    <row r="499" spans="2:9" ht="15.75">
      <c r="B499" s="38">
        <v>6</v>
      </c>
      <c r="C499" s="34"/>
      <c r="D499" s="38">
        <v>3</v>
      </c>
      <c r="E499" s="33"/>
      <c r="F499" s="38">
        <v>3</v>
      </c>
      <c r="G499" s="33"/>
      <c r="H499" s="38">
        <v>3</v>
      </c>
      <c r="I499" s="33"/>
    </row>
    <row r="500" spans="2:9" ht="15.75">
      <c r="B500" s="39"/>
      <c r="C500" s="33"/>
      <c r="D500" s="33"/>
      <c r="E500" s="33"/>
      <c r="F500" s="33"/>
      <c r="G500" s="33"/>
      <c r="H500" s="33"/>
      <c r="I500" s="33"/>
    </row>
    <row r="501" spans="2:9" ht="15.75">
      <c r="B501" s="35" t="s">
        <v>20</v>
      </c>
      <c r="C501" s="39"/>
      <c r="D501" s="35" t="s">
        <v>21</v>
      </c>
      <c r="E501" s="33"/>
      <c r="F501" s="35" t="s">
        <v>6</v>
      </c>
      <c r="G501" s="39"/>
      <c r="H501" s="35" t="s">
        <v>923</v>
      </c>
      <c r="I501" s="39"/>
    </row>
    <row r="502" spans="2:9" ht="15.75">
      <c r="B502" s="35" t="s">
        <v>643</v>
      </c>
      <c r="C502" s="39"/>
      <c r="D502" s="35" t="s">
        <v>643</v>
      </c>
      <c r="E502" s="37"/>
      <c r="F502" s="35" t="s">
        <v>478</v>
      </c>
      <c r="G502" s="39"/>
      <c r="H502" s="35" t="s">
        <v>923</v>
      </c>
      <c r="I502" s="39"/>
    </row>
    <row r="503" spans="2:9" ht="15.75">
      <c r="B503" s="35" t="s">
        <v>642</v>
      </c>
      <c r="C503" s="38">
        <v>4</v>
      </c>
      <c r="D503" s="35" t="s">
        <v>642</v>
      </c>
      <c r="E503" s="38">
        <v>4</v>
      </c>
      <c r="F503" s="35" t="s">
        <v>488</v>
      </c>
      <c r="G503" s="38" t="s">
        <v>923</v>
      </c>
      <c r="H503" s="35" t="s">
        <v>923</v>
      </c>
      <c r="I503" s="38" t="s">
        <v>923</v>
      </c>
    </row>
    <row r="504" spans="2:9" ht="15.75">
      <c r="B504" s="35" t="s">
        <v>1093</v>
      </c>
      <c r="C504" s="39"/>
      <c r="D504" s="35" t="s">
        <v>1092</v>
      </c>
      <c r="E504" s="37"/>
      <c r="F504" s="35" t="s">
        <v>1094</v>
      </c>
      <c r="G504" s="39"/>
      <c r="H504" s="35" t="s">
        <v>923</v>
      </c>
      <c r="I504" s="39"/>
    </row>
    <row r="505" spans="2:9" ht="15.75">
      <c r="B505" s="35" t="s">
        <v>940</v>
      </c>
      <c r="C505" s="39"/>
      <c r="D505" s="35" t="s">
        <v>940</v>
      </c>
      <c r="E505" s="37"/>
      <c r="F505" s="35" t="s">
        <v>926</v>
      </c>
      <c r="G505" s="39"/>
      <c r="H505" s="35" t="s">
        <v>923</v>
      </c>
      <c r="I505" s="39"/>
    </row>
    <row r="506" spans="2:9">
      <c r="B506" s="33"/>
      <c r="C506" s="33"/>
      <c r="D506" s="33"/>
      <c r="E506" s="33"/>
      <c r="F506" s="33"/>
      <c r="G506" s="33"/>
      <c r="H506" s="33"/>
      <c r="I506" s="33"/>
    </row>
    <row r="507" spans="2:9">
      <c r="B507" s="43" t="s">
        <v>100</v>
      </c>
      <c r="D507" s="44" t="s">
        <v>1095</v>
      </c>
    </row>
    <row r="508" spans="2:9">
      <c r="B508" s="45"/>
    </row>
    <row r="509" spans="2:9">
      <c r="B509" s="46" t="s">
        <v>101</v>
      </c>
      <c r="D509" s="47" t="s">
        <v>1096</v>
      </c>
    </row>
    <row r="511" spans="2:9">
      <c r="B511" s="42" t="s">
        <v>419</v>
      </c>
    </row>
    <row r="513" spans="2:9" ht="15.75">
      <c r="B513" s="35" t="s">
        <v>5</v>
      </c>
      <c r="C513" s="54"/>
      <c r="D513" s="35" t="s">
        <v>17</v>
      </c>
      <c r="E513" s="33"/>
      <c r="F513" s="35" t="s">
        <v>18</v>
      </c>
      <c r="G513" s="39"/>
      <c r="H513" s="35" t="s">
        <v>19</v>
      </c>
      <c r="I513" s="39"/>
    </row>
    <row r="514" spans="2:9" ht="15.75">
      <c r="B514" s="35" t="s">
        <v>450</v>
      </c>
      <c r="C514" s="54"/>
      <c r="D514" s="35" t="s">
        <v>741</v>
      </c>
      <c r="E514" s="36"/>
      <c r="F514" s="35" t="s">
        <v>702</v>
      </c>
      <c r="G514" s="39"/>
      <c r="H514" s="35" t="s">
        <v>237</v>
      </c>
      <c r="I514" s="39"/>
    </row>
    <row r="515" spans="2:9" ht="15.75">
      <c r="B515" s="35" t="s">
        <v>459</v>
      </c>
      <c r="C515" s="40">
        <v>4</v>
      </c>
      <c r="D515" s="35" t="s">
        <v>674</v>
      </c>
      <c r="E515" s="40">
        <v>4</v>
      </c>
      <c r="F515" s="35" t="s">
        <v>693</v>
      </c>
      <c r="G515" s="38">
        <v>4</v>
      </c>
      <c r="H515" s="35" t="s">
        <v>245</v>
      </c>
      <c r="I515" s="38">
        <v>6</v>
      </c>
    </row>
    <row r="516" spans="2:9" ht="15.75">
      <c r="B516" s="35" t="s">
        <v>1097</v>
      </c>
      <c r="C516" s="54"/>
      <c r="D516" s="35" t="s">
        <v>1098</v>
      </c>
      <c r="E516" s="36"/>
      <c r="F516" s="35" t="s">
        <v>1099</v>
      </c>
      <c r="G516" s="39"/>
      <c r="H516" s="35" t="s">
        <v>1099</v>
      </c>
      <c r="I516" s="38"/>
    </row>
    <row r="517" spans="2:9" ht="15.75">
      <c r="B517" s="53" t="s">
        <v>927</v>
      </c>
      <c r="C517" s="54"/>
      <c r="D517" s="35" t="s">
        <v>940</v>
      </c>
      <c r="E517" s="36"/>
      <c r="F517" s="35" t="s">
        <v>940</v>
      </c>
      <c r="G517" s="39"/>
      <c r="H517" s="35" t="s">
        <v>940</v>
      </c>
      <c r="I517" s="39"/>
    </row>
    <row r="518" spans="2:9">
      <c r="B518" s="33"/>
      <c r="C518" s="34"/>
      <c r="D518" s="33"/>
      <c r="E518" s="33"/>
      <c r="F518" s="33"/>
      <c r="G518" s="33"/>
      <c r="H518" s="33"/>
      <c r="I518" s="33"/>
    </row>
    <row r="519" spans="2:9" ht="15.75">
      <c r="B519" s="38">
        <v>6</v>
      </c>
      <c r="C519" s="34"/>
      <c r="D519" s="38">
        <v>3</v>
      </c>
      <c r="E519" s="33"/>
      <c r="F519" s="38">
        <v>3</v>
      </c>
      <c r="G519" s="33"/>
      <c r="H519" s="38">
        <v>3</v>
      </c>
      <c r="I519" s="33"/>
    </row>
    <row r="520" spans="2:9" ht="15.75">
      <c r="B520" s="39"/>
      <c r="C520" s="33"/>
      <c r="D520" s="33"/>
      <c r="E520" s="33"/>
      <c r="F520" s="33"/>
      <c r="G520" s="33"/>
      <c r="H520" s="33"/>
      <c r="I520" s="33"/>
    </row>
    <row r="521" spans="2:9" ht="15.75">
      <c r="B521" s="35" t="s">
        <v>20</v>
      </c>
      <c r="C521" s="39"/>
      <c r="D521" s="35" t="s">
        <v>21</v>
      </c>
      <c r="E521" s="33"/>
      <c r="F521" s="35" t="s">
        <v>22</v>
      </c>
      <c r="G521" s="39"/>
      <c r="H521" s="35" t="s">
        <v>6</v>
      </c>
      <c r="I521" s="39"/>
    </row>
    <row r="522" spans="2:9" ht="15.75">
      <c r="B522" s="35" t="s">
        <v>505</v>
      </c>
      <c r="C522" s="39"/>
      <c r="D522" s="35" t="s">
        <v>505</v>
      </c>
      <c r="E522" s="37"/>
      <c r="F522" s="35" t="s">
        <v>505</v>
      </c>
      <c r="G522" s="39"/>
      <c r="H522" s="35" t="s">
        <v>479</v>
      </c>
      <c r="I522" s="39"/>
    </row>
    <row r="523" spans="2:9" ht="15.75">
      <c r="B523" s="35" t="s">
        <v>509</v>
      </c>
      <c r="C523" s="38">
        <v>4</v>
      </c>
      <c r="D523" s="35" t="s">
        <v>509</v>
      </c>
      <c r="E523" s="38">
        <v>4</v>
      </c>
      <c r="F523" s="35" t="s">
        <v>509</v>
      </c>
      <c r="G523" s="38">
        <v>4</v>
      </c>
      <c r="H523" s="35" t="s">
        <v>489</v>
      </c>
      <c r="I523" s="38" t="s">
        <v>923</v>
      </c>
    </row>
    <row r="524" spans="2:9" ht="15.75">
      <c r="B524" s="35" t="s">
        <v>1100</v>
      </c>
      <c r="C524" s="39"/>
      <c r="D524" s="35" t="s">
        <v>1099</v>
      </c>
      <c r="E524" s="37"/>
      <c r="F524" s="35" t="s">
        <v>1100</v>
      </c>
      <c r="G524" s="39"/>
      <c r="H524" s="35" t="s">
        <v>1101</v>
      </c>
      <c r="I524" s="39"/>
    </row>
    <row r="525" spans="2:9" ht="15.75">
      <c r="B525" s="35" t="s">
        <v>940</v>
      </c>
      <c r="C525" s="39"/>
      <c r="D525" s="35" t="s">
        <v>940</v>
      </c>
      <c r="E525" s="37"/>
      <c r="F525" s="35" t="s">
        <v>940</v>
      </c>
      <c r="G525" s="39"/>
      <c r="H525" s="35" t="s">
        <v>926</v>
      </c>
      <c r="I525" s="39"/>
    </row>
    <row r="526" spans="2:9">
      <c r="B526" s="33"/>
      <c r="C526" s="33"/>
      <c r="D526" s="33"/>
      <c r="E526" s="33"/>
      <c r="F526" s="33"/>
      <c r="G526" s="33"/>
      <c r="H526" s="33"/>
      <c r="I526" s="33"/>
    </row>
    <row r="527" spans="2:9">
      <c r="B527" s="43" t="s">
        <v>100</v>
      </c>
      <c r="D527" s="44" t="s">
        <v>1102</v>
      </c>
    </row>
    <row r="528" spans="2:9">
      <c r="B528" s="45"/>
    </row>
    <row r="529" spans="2:9">
      <c r="B529" s="46" t="s">
        <v>101</v>
      </c>
      <c r="D529" s="47" t="s">
        <v>1103</v>
      </c>
    </row>
    <row r="531" spans="2:9">
      <c r="B531" s="42" t="s">
        <v>420</v>
      </c>
    </row>
    <row r="533" spans="2:9" ht="15.75">
      <c r="B533" s="35" t="s">
        <v>5</v>
      </c>
      <c r="C533" s="54"/>
      <c r="D533" s="35" t="s">
        <v>17</v>
      </c>
      <c r="E533" s="33"/>
      <c r="F533" s="35" t="s">
        <v>18</v>
      </c>
      <c r="G533" s="39"/>
      <c r="H533" s="35" t="s">
        <v>19</v>
      </c>
      <c r="I533" s="39"/>
    </row>
    <row r="534" spans="2:9" ht="15.75">
      <c r="B534" s="35" t="s">
        <v>451</v>
      </c>
      <c r="C534" s="54"/>
      <c r="D534" s="35" t="s">
        <v>742</v>
      </c>
      <c r="E534" s="36"/>
      <c r="F534" s="35" t="s">
        <v>703</v>
      </c>
      <c r="G534" s="39"/>
      <c r="H534" s="35" t="s">
        <v>238</v>
      </c>
      <c r="I534" s="39"/>
    </row>
    <row r="535" spans="2:9" ht="15.75">
      <c r="B535" s="35" t="s">
        <v>460</v>
      </c>
      <c r="C535" s="40">
        <v>4</v>
      </c>
      <c r="D535" s="35" t="s">
        <v>675</v>
      </c>
      <c r="E535" s="40">
        <v>4</v>
      </c>
      <c r="F535" s="35" t="s">
        <v>694</v>
      </c>
      <c r="G535" s="38">
        <v>4</v>
      </c>
      <c r="H535" s="35" t="s">
        <v>246</v>
      </c>
      <c r="I535" s="38">
        <v>6</v>
      </c>
    </row>
    <row r="536" spans="2:9" ht="15.75">
      <c r="B536" s="35" t="s">
        <v>1104</v>
      </c>
      <c r="C536" s="54"/>
      <c r="D536" s="35" t="s">
        <v>1105</v>
      </c>
      <c r="E536" s="36"/>
      <c r="F536" s="35" t="s">
        <v>1106</v>
      </c>
      <c r="G536" s="39"/>
      <c r="H536" s="35" t="s">
        <v>1106</v>
      </c>
      <c r="I536" s="38"/>
    </row>
    <row r="537" spans="2:9" ht="15.75">
      <c r="B537" s="53" t="s">
        <v>927</v>
      </c>
      <c r="C537" s="54"/>
      <c r="D537" s="35" t="s">
        <v>940</v>
      </c>
      <c r="E537" s="36"/>
      <c r="F537" s="35" t="s">
        <v>940</v>
      </c>
      <c r="G537" s="39"/>
      <c r="H537" s="35" t="s">
        <v>940</v>
      </c>
      <c r="I537" s="39"/>
    </row>
    <row r="538" spans="2:9">
      <c r="B538" s="33"/>
      <c r="C538" s="34"/>
      <c r="D538" s="33"/>
      <c r="E538" s="33"/>
      <c r="F538" s="33"/>
      <c r="G538" s="33"/>
      <c r="H538" s="33"/>
      <c r="I538" s="33"/>
    </row>
    <row r="539" spans="2:9" ht="15.75">
      <c r="B539" s="38">
        <v>6</v>
      </c>
      <c r="C539" s="34"/>
      <c r="D539" s="38">
        <v>3</v>
      </c>
      <c r="E539" s="33"/>
      <c r="F539" s="38">
        <v>3</v>
      </c>
      <c r="G539" s="33"/>
      <c r="H539" s="38">
        <v>3</v>
      </c>
      <c r="I539" s="33"/>
    </row>
    <row r="540" spans="2:9" ht="15.75">
      <c r="B540" s="39"/>
      <c r="C540" s="33"/>
      <c r="D540" s="33"/>
      <c r="E540" s="33"/>
      <c r="F540" s="33"/>
      <c r="G540" s="33"/>
      <c r="H540" s="33"/>
      <c r="I540" s="33"/>
    </row>
    <row r="541" spans="2:9" ht="15.75">
      <c r="B541" s="35" t="s">
        <v>20</v>
      </c>
      <c r="C541" s="39"/>
      <c r="D541" s="35" t="s">
        <v>21</v>
      </c>
      <c r="E541" s="33"/>
      <c r="F541" s="35" t="s">
        <v>22</v>
      </c>
      <c r="G541" s="39"/>
      <c r="H541" s="35" t="s">
        <v>23</v>
      </c>
      <c r="I541" s="39"/>
    </row>
    <row r="542" spans="2:9" ht="15.75">
      <c r="B542" s="35" t="s">
        <v>506</v>
      </c>
      <c r="C542" s="39"/>
      <c r="D542" s="35" t="s">
        <v>506</v>
      </c>
      <c r="E542" s="37"/>
      <c r="F542" s="35" t="s">
        <v>506</v>
      </c>
      <c r="G542" s="39"/>
      <c r="H542" s="35" t="s">
        <v>506</v>
      </c>
      <c r="I542" s="39"/>
    </row>
    <row r="543" spans="2:9" ht="15.75">
      <c r="B543" s="35" t="s">
        <v>510</v>
      </c>
      <c r="C543" s="38">
        <v>4</v>
      </c>
      <c r="D543" s="35" t="s">
        <v>510</v>
      </c>
      <c r="E543" s="38">
        <v>4</v>
      </c>
      <c r="F543" s="35" t="s">
        <v>510</v>
      </c>
      <c r="G543" s="38">
        <v>4</v>
      </c>
      <c r="H543" s="35" t="s">
        <v>510</v>
      </c>
      <c r="I543" s="38">
        <v>6</v>
      </c>
    </row>
    <row r="544" spans="2:9" ht="15.75">
      <c r="B544" s="35" t="s">
        <v>1107</v>
      </c>
      <c r="C544" s="39"/>
      <c r="D544" s="35" t="s">
        <v>1106</v>
      </c>
      <c r="E544" s="37"/>
      <c r="F544" s="35" t="s">
        <v>1107</v>
      </c>
      <c r="G544" s="39"/>
      <c r="H544" s="35" t="s">
        <v>1107</v>
      </c>
      <c r="I544" s="39"/>
    </row>
    <row r="545" spans="2:9" ht="15.75">
      <c r="B545" s="35" t="s">
        <v>940</v>
      </c>
      <c r="C545" s="39"/>
      <c r="D545" s="35" t="s">
        <v>940</v>
      </c>
      <c r="E545" s="37"/>
      <c r="F545" s="35" t="s">
        <v>940</v>
      </c>
      <c r="G545" s="39"/>
      <c r="H545" s="35" t="s">
        <v>940</v>
      </c>
      <c r="I545" s="39"/>
    </row>
    <row r="546" spans="2:9">
      <c r="B546" s="33"/>
      <c r="C546" s="33"/>
      <c r="D546" s="33"/>
      <c r="E546" s="33"/>
      <c r="F546" s="33"/>
      <c r="G546" s="33"/>
      <c r="H546" s="33"/>
      <c r="I546" s="33"/>
    </row>
    <row r="547" spans="2:9" ht="15.75">
      <c r="B547" s="38">
        <v>6</v>
      </c>
      <c r="C547" s="33"/>
      <c r="D547" s="38">
        <v>3</v>
      </c>
      <c r="E547" s="33"/>
      <c r="F547" s="38">
        <v>3</v>
      </c>
      <c r="G547" s="33"/>
      <c r="H547" s="38">
        <v>3</v>
      </c>
      <c r="I547" s="33"/>
    </row>
    <row r="548" spans="2:9" ht="15.75">
      <c r="B548" s="39"/>
      <c r="C548" s="33"/>
      <c r="D548" s="33"/>
      <c r="E548" s="33"/>
      <c r="F548" s="33"/>
      <c r="G548" s="33"/>
      <c r="H548" s="33"/>
      <c r="I548" s="33"/>
    </row>
    <row r="549" spans="2:9" ht="15.75">
      <c r="B549" s="35" t="s">
        <v>6</v>
      </c>
      <c r="C549" s="39"/>
      <c r="D549" s="35" t="s">
        <v>923</v>
      </c>
      <c r="E549" s="33"/>
      <c r="F549" s="35" t="s">
        <v>923</v>
      </c>
      <c r="G549" s="39"/>
      <c r="H549" s="35" t="s">
        <v>923</v>
      </c>
    </row>
    <row r="550" spans="2:9" ht="15.75">
      <c r="B550" s="35" t="s">
        <v>480</v>
      </c>
      <c r="C550" s="39"/>
      <c r="D550" s="35" t="s">
        <v>923</v>
      </c>
      <c r="E550" s="37"/>
      <c r="F550" s="35" t="s">
        <v>923</v>
      </c>
      <c r="G550" s="39"/>
      <c r="H550" s="35" t="s">
        <v>923</v>
      </c>
    </row>
    <row r="551" spans="2:9" ht="15.75">
      <c r="B551" s="35" t="s">
        <v>490</v>
      </c>
      <c r="C551" s="38" t="s">
        <v>923</v>
      </c>
      <c r="D551" s="35" t="s">
        <v>923</v>
      </c>
      <c r="E551" s="38" t="s">
        <v>923</v>
      </c>
      <c r="F551" s="35" t="s">
        <v>923</v>
      </c>
      <c r="G551" s="38" t="s">
        <v>923</v>
      </c>
      <c r="H551" s="35" t="s">
        <v>923</v>
      </c>
    </row>
    <row r="552" spans="2:9" ht="15.75">
      <c r="B552" s="35" t="s">
        <v>1108</v>
      </c>
      <c r="C552" s="39"/>
      <c r="D552" s="35" t="s">
        <v>923</v>
      </c>
      <c r="E552" s="37"/>
      <c r="F552" s="35" t="s">
        <v>923</v>
      </c>
      <c r="G552" s="39"/>
      <c r="H552" s="35" t="s">
        <v>923</v>
      </c>
    </row>
    <row r="553" spans="2:9" ht="15.75">
      <c r="B553" s="35" t="s">
        <v>926</v>
      </c>
      <c r="C553" s="39"/>
      <c r="D553" s="35" t="s">
        <v>923</v>
      </c>
      <c r="E553" s="37"/>
      <c r="F553" s="35" t="s">
        <v>923</v>
      </c>
      <c r="G553" s="39"/>
      <c r="H553" s="35" t="s">
        <v>923</v>
      </c>
    </row>
    <row r="555" spans="2:9">
      <c r="B555" s="43" t="s">
        <v>100</v>
      </c>
      <c r="D555" s="44" t="s">
        <v>1109</v>
      </c>
    </row>
    <row r="556" spans="2:9">
      <c r="B556" s="45"/>
    </row>
    <row r="557" spans="2:9">
      <c r="B557" s="46" t="s">
        <v>101</v>
      </c>
      <c r="D557" s="47" t="s">
        <v>1110</v>
      </c>
    </row>
    <row r="559" spans="2:9">
      <c r="B559" s="42" t="s">
        <v>421</v>
      </c>
    </row>
    <row r="561" spans="2:9" ht="15.75">
      <c r="B561" s="35" t="s">
        <v>5</v>
      </c>
      <c r="C561" s="54"/>
      <c r="D561" s="35" t="s">
        <v>17</v>
      </c>
      <c r="E561" s="33"/>
      <c r="F561" s="35" t="s">
        <v>18</v>
      </c>
      <c r="G561" s="39"/>
      <c r="H561" s="35" t="s">
        <v>19</v>
      </c>
      <c r="I561" s="39"/>
    </row>
    <row r="562" spans="2:9" ht="15.75">
      <c r="B562" s="35" t="s">
        <v>452</v>
      </c>
      <c r="C562" s="54"/>
      <c r="D562" s="35" t="s">
        <v>743</v>
      </c>
      <c r="E562" s="36"/>
      <c r="F562" s="35" t="s">
        <v>704</v>
      </c>
      <c r="G562" s="39"/>
      <c r="H562" s="35" t="s">
        <v>239</v>
      </c>
      <c r="I562" s="39"/>
    </row>
    <row r="563" spans="2:9" ht="15.75">
      <c r="B563" s="35" t="s">
        <v>461</v>
      </c>
      <c r="C563" s="40">
        <v>4</v>
      </c>
      <c r="D563" s="35" t="s">
        <v>676</v>
      </c>
      <c r="E563" s="40">
        <v>4</v>
      </c>
      <c r="F563" s="35" t="s">
        <v>695</v>
      </c>
      <c r="G563" s="38">
        <v>4</v>
      </c>
      <c r="H563" s="35" t="s">
        <v>247</v>
      </c>
      <c r="I563" s="38">
        <v>6</v>
      </c>
    </row>
    <row r="564" spans="2:9" ht="15.75">
      <c r="B564" s="35" t="s">
        <v>1111</v>
      </c>
      <c r="C564" s="54"/>
      <c r="D564" s="35" t="s">
        <v>1112</v>
      </c>
      <c r="E564" s="36"/>
      <c r="F564" s="35" t="s">
        <v>1113</v>
      </c>
      <c r="G564" s="39"/>
      <c r="H564" s="35" t="s">
        <v>1113</v>
      </c>
      <c r="I564" s="38"/>
    </row>
    <row r="565" spans="2:9" ht="15.75">
      <c r="B565" s="53" t="s">
        <v>927</v>
      </c>
      <c r="C565" s="54"/>
      <c r="D565" s="35" t="s">
        <v>940</v>
      </c>
      <c r="E565" s="36"/>
      <c r="F565" s="35" t="s">
        <v>940</v>
      </c>
      <c r="G565" s="39"/>
      <c r="H565" s="35" t="s">
        <v>940</v>
      </c>
      <c r="I565" s="39"/>
    </row>
    <row r="566" spans="2:9">
      <c r="B566" s="33"/>
      <c r="C566" s="34"/>
      <c r="D566" s="33"/>
      <c r="E566" s="33"/>
      <c r="F566" s="33"/>
      <c r="G566" s="33"/>
      <c r="H566" s="33"/>
      <c r="I566" s="33"/>
    </row>
    <row r="567" spans="2:9" ht="15.75">
      <c r="B567" s="38">
        <v>6</v>
      </c>
      <c r="C567" s="34"/>
      <c r="D567" s="38">
        <v>3</v>
      </c>
      <c r="E567" s="33"/>
      <c r="F567" s="38">
        <v>3</v>
      </c>
      <c r="G567" s="33"/>
      <c r="H567" s="38">
        <v>3</v>
      </c>
      <c r="I567" s="33"/>
    </row>
    <row r="568" spans="2:9" ht="15.75">
      <c r="B568" s="39"/>
      <c r="C568" s="33"/>
      <c r="D568" s="33"/>
      <c r="E568" s="33"/>
      <c r="F568" s="33"/>
      <c r="G568" s="33"/>
      <c r="H568" s="33"/>
      <c r="I568" s="33"/>
    </row>
    <row r="569" spans="2:9" ht="15.75">
      <c r="B569" s="35" t="s">
        <v>20</v>
      </c>
      <c r="C569" s="39"/>
      <c r="D569" s="35" t="s">
        <v>22</v>
      </c>
      <c r="E569" s="33"/>
      <c r="F569" s="35" t="s">
        <v>22</v>
      </c>
      <c r="G569" s="39"/>
      <c r="H569" s="35" t="s">
        <v>23</v>
      </c>
      <c r="I569" s="39"/>
    </row>
    <row r="570" spans="2:9" ht="15.75">
      <c r="B570" s="35" t="s">
        <v>507</v>
      </c>
      <c r="C570" s="39"/>
      <c r="D570" s="35" t="s">
        <v>507</v>
      </c>
      <c r="E570" s="37"/>
      <c r="F570" s="35" t="s">
        <v>507</v>
      </c>
      <c r="G570" s="39"/>
      <c r="H570" s="35" t="s">
        <v>507</v>
      </c>
      <c r="I570" s="39"/>
    </row>
    <row r="571" spans="2:9" ht="15.75">
      <c r="B571" s="35" t="s">
        <v>511</v>
      </c>
      <c r="C571" s="38">
        <v>4</v>
      </c>
      <c r="D571" s="35" t="s">
        <v>511</v>
      </c>
      <c r="E571" s="38">
        <v>4</v>
      </c>
      <c r="F571" s="35" t="s">
        <v>511</v>
      </c>
      <c r="G571" s="38">
        <v>4</v>
      </c>
      <c r="H571" s="35" t="s">
        <v>511</v>
      </c>
      <c r="I571" s="38">
        <v>6</v>
      </c>
    </row>
    <row r="572" spans="2:9" ht="15.75">
      <c r="B572" s="35" t="s">
        <v>1114</v>
      </c>
      <c r="C572" s="39"/>
      <c r="D572" s="35" t="s">
        <v>1113</v>
      </c>
      <c r="E572" s="37"/>
      <c r="F572" s="35" t="s">
        <v>1114</v>
      </c>
      <c r="G572" s="39"/>
      <c r="H572" s="35" t="s">
        <v>1114</v>
      </c>
      <c r="I572" s="39"/>
    </row>
    <row r="573" spans="2:9" ht="15.75">
      <c r="B573" s="35" t="s">
        <v>940</v>
      </c>
      <c r="C573" s="39"/>
      <c r="D573" s="35" t="s">
        <v>940</v>
      </c>
      <c r="E573" s="37"/>
      <c r="F573" s="35" t="s">
        <v>940</v>
      </c>
      <c r="G573" s="39"/>
      <c r="H573" s="35" t="s">
        <v>940</v>
      </c>
      <c r="I573" s="39"/>
    </row>
    <row r="574" spans="2:9">
      <c r="B574" s="33"/>
      <c r="C574" s="33"/>
      <c r="D574" s="33"/>
      <c r="E574" s="33"/>
      <c r="F574" s="33"/>
      <c r="G574" s="33"/>
      <c r="H574" s="33"/>
      <c r="I574" s="33"/>
    </row>
    <row r="575" spans="2:9" ht="15.75">
      <c r="B575" s="38">
        <v>6</v>
      </c>
      <c r="C575" s="33"/>
      <c r="D575" s="38">
        <v>3</v>
      </c>
      <c r="E575" s="33"/>
      <c r="F575" s="38">
        <v>3</v>
      </c>
      <c r="G575" s="33"/>
      <c r="H575" s="38">
        <v>3</v>
      </c>
      <c r="I575" s="33"/>
    </row>
    <row r="576" spans="2:9" ht="15.75">
      <c r="B576" s="39"/>
      <c r="C576" s="33"/>
      <c r="D576" s="33"/>
      <c r="E576" s="33"/>
      <c r="F576" s="33"/>
      <c r="G576" s="33"/>
      <c r="H576" s="33"/>
      <c r="I576" s="33"/>
    </row>
    <row r="577" spans="2:9" ht="15.75">
      <c r="B577" s="35" t="s">
        <v>24</v>
      </c>
      <c r="C577" s="39"/>
      <c r="D577" s="35" t="s">
        <v>6</v>
      </c>
      <c r="E577" s="33"/>
      <c r="F577" s="35" t="s">
        <v>923</v>
      </c>
      <c r="G577" s="39"/>
      <c r="H577" s="35" t="s">
        <v>923</v>
      </c>
    </row>
    <row r="578" spans="2:9" ht="15.75">
      <c r="B578" s="35" t="s">
        <v>521</v>
      </c>
      <c r="C578" s="39"/>
      <c r="D578" s="35" t="s">
        <v>481</v>
      </c>
      <c r="E578" s="37"/>
      <c r="F578" s="35" t="s">
        <v>923</v>
      </c>
      <c r="G578" s="39"/>
      <c r="H578" s="35" t="s">
        <v>923</v>
      </c>
    </row>
    <row r="579" spans="2:9" ht="15.75">
      <c r="B579" s="35" t="s">
        <v>511</v>
      </c>
      <c r="C579" s="38">
        <v>4</v>
      </c>
      <c r="D579" s="35" t="s">
        <v>491</v>
      </c>
      <c r="E579" s="38" t="s">
        <v>923</v>
      </c>
      <c r="F579" s="35" t="s">
        <v>923</v>
      </c>
      <c r="G579" s="38" t="s">
        <v>923</v>
      </c>
      <c r="H579" s="35" t="s">
        <v>923</v>
      </c>
    </row>
    <row r="580" spans="2:9" ht="15.75">
      <c r="B580" s="35" t="s">
        <v>1114</v>
      </c>
      <c r="C580" s="39"/>
      <c r="D580" s="35" t="s">
        <v>1115</v>
      </c>
      <c r="E580" s="37"/>
      <c r="F580" s="35" t="s">
        <v>923</v>
      </c>
      <c r="G580" s="39"/>
      <c r="H580" s="35" t="s">
        <v>923</v>
      </c>
    </row>
    <row r="581" spans="2:9" ht="15.75">
      <c r="B581" s="35" t="s">
        <v>940</v>
      </c>
      <c r="C581" s="39"/>
      <c r="D581" s="35" t="s">
        <v>926</v>
      </c>
      <c r="E581" s="37"/>
      <c r="F581" s="35" t="s">
        <v>923</v>
      </c>
      <c r="G581" s="39"/>
      <c r="H581" s="35" t="s">
        <v>923</v>
      </c>
    </row>
    <row r="583" spans="2:9">
      <c r="B583" s="43" t="s">
        <v>100</v>
      </c>
      <c r="D583" s="44" t="s">
        <v>1116</v>
      </c>
    </row>
    <row r="584" spans="2:9">
      <c r="B584" s="45"/>
    </row>
    <row r="585" spans="2:9">
      <c r="B585" s="46" t="s">
        <v>101</v>
      </c>
      <c r="D585" s="47" t="s">
        <v>1117</v>
      </c>
    </row>
    <row r="586" spans="2:9">
      <c r="B586" s="50"/>
      <c r="C586" s="49"/>
      <c r="D586" s="49"/>
    </row>
    <row r="587" spans="2:9">
      <c r="B587" s="42" t="s">
        <v>422</v>
      </c>
    </row>
    <row r="589" spans="2:9" ht="15.75">
      <c r="B589" s="35" t="s">
        <v>5</v>
      </c>
      <c r="C589" s="54"/>
      <c r="D589" s="35" t="s">
        <v>17</v>
      </c>
      <c r="E589" s="33"/>
      <c r="F589" s="35" t="s">
        <v>18</v>
      </c>
      <c r="G589" s="39"/>
      <c r="H589" s="35" t="s">
        <v>19</v>
      </c>
      <c r="I589" s="39"/>
    </row>
    <row r="590" spans="2:9" ht="15.75">
      <c r="B590" s="35" t="s">
        <v>453</v>
      </c>
      <c r="C590" s="54"/>
      <c r="D590" s="35" t="s">
        <v>744</v>
      </c>
      <c r="E590" s="36"/>
      <c r="F590" s="35" t="s">
        <v>705</v>
      </c>
      <c r="G590" s="39"/>
      <c r="H590" s="35" t="s">
        <v>240</v>
      </c>
      <c r="I590" s="39"/>
    </row>
    <row r="591" spans="2:9" ht="15.75">
      <c r="B591" s="35" t="s">
        <v>462</v>
      </c>
      <c r="C591" s="40">
        <v>4</v>
      </c>
      <c r="D591" s="35" t="s">
        <v>677</v>
      </c>
      <c r="E591" s="40">
        <v>4</v>
      </c>
      <c r="F591" s="35" t="s">
        <v>696</v>
      </c>
      <c r="G591" s="38">
        <v>4</v>
      </c>
      <c r="H591" s="35" t="s">
        <v>248</v>
      </c>
      <c r="I591" s="38">
        <v>6</v>
      </c>
    </row>
    <row r="592" spans="2:9" ht="15.75">
      <c r="B592" s="35" t="s">
        <v>1118</v>
      </c>
      <c r="C592" s="54"/>
      <c r="D592" s="35" t="s">
        <v>1119</v>
      </c>
      <c r="E592" s="36"/>
      <c r="F592" s="35" t="s">
        <v>1120</v>
      </c>
      <c r="G592" s="39"/>
      <c r="H592" s="35" t="s">
        <v>1120</v>
      </c>
      <c r="I592" s="38"/>
    </row>
    <row r="593" spans="2:9" ht="15.75">
      <c r="B593" s="53" t="s">
        <v>927</v>
      </c>
      <c r="C593" s="54"/>
      <c r="D593" s="35" t="s">
        <v>940</v>
      </c>
      <c r="E593" s="36"/>
      <c r="F593" s="35" t="s">
        <v>940</v>
      </c>
      <c r="G593" s="39"/>
      <c r="H593" s="35" t="s">
        <v>940</v>
      </c>
      <c r="I593" s="39"/>
    </row>
    <row r="594" spans="2:9">
      <c r="B594" s="33"/>
      <c r="C594" s="34"/>
      <c r="D594" s="33"/>
      <c r="E594" s="33"/>
      <c r="F594" s="33"/>
      <c r="G594" s="33"/>
      <c r="H594" s="33"/>
      <c r="I594" s="33"/>
    </row>
    <row r="595" spans="2:9" ht="15.75">
      <c r="B595" s="38">
        <v>6</v>
      </c>
      <c r="C595" s="34"/>
      <c r="D595" s="38">
        <v>3</v>
      </c>
      <c r="E595" s="33"/>
      <c r="F595" s="38">
        <v>3</v>
      </c>
      <c r="G595" s="33"/>
      <c r="H595" s="38">
        <v>3</v>
      </c>
      <c r="I595" s="33"/>
    </row>
    <row r="596" spans="2:9" ht="15.75">
      <c r="B596" s="39"/>
      <c r="C596" s="33"/>
      <c r="D596" s="33"/>
      <c r="E596" s="33"/>
      <c r="F596" s="33"/>
      <c r="G596" s="33"/>
      <c r="H596" s="33"/>
      <c r="I596" s="33"/>
    </row>
    <row r="597" spans="2:9" ht="15.75">
      <c r="B597" s="35" t="s">
        <v>20</v>
      </c>
      <c r="C597" s="39"/>
      <c r="D597" s="35" t="s">
        <v>23</v>
      </c>
      <c r="E597" s="33"/>
      <c r="F597" s="35" t="s">
        <v>22</v>
      </c>
      <c r="G597" s="39"/>
      <c r="H597" s="35" t="s">
        <v>23</v>
      </c>
      <c r="I597" s="39"/>
    </row>
    <row r="598" spans="2:9" ht="15.75">
      <c r="B598" s="35" t="s">
        <v>508</v>
      </c>
      <c r="C598" s="39"/>
      <c r="D598" s="35" t="s">
        <v>508</v>
      </c>
      <c r="E598" s="37"/>
      <c r="F598" s="35" t="s">
        <v>508</v>
      </c>
      <c r="G598" s="39"/>
      <c r="H598" s="35" t="s">
        <v>508</v>
      </c>
      <c r="I598" s="39"/>
    </row>
    <row r="599" spans="2:9" ht="15.75">
      <c r="B599" s="35" t="s">
        <v>512</v>
      </c>
      <c r="C599" s="38">
        <v>4</v>
      </c>
      <c r="D599" s="35" t="s">
        <v>512</v>
      </c>
      <c r="E599" s="38">
        <v>4</v>
      </c>
      <c r="F599" s="35" t="s">
        <v>512</v>
      </c>
      <c r="G599" s="38">
        <v>4</v>
      </c>
      <c r="H599" s="35" t="s">
        <v>512</v>
      </c>
      <c r="I599" s="38">
        <v>6</v>
      </c>
    </row>
    <row r="600" spans="2:9" ht="15.75">
      <c r="B600" s="35" t="s">
        <v>1121</v>
      </c>
      <c r="C600" s="39"/>
      <c r="D600" s="35" t="s">
        <v>1120</v>
      </c>
      <c r="E600" s="37"/>
      <c r="F600" s="35" t="s">
        <v>1121</v>
      </c>
      <c r="G600" s="39"/>
      <c r="H600" s="35" t="s">
        <v>1121</v>
      </c>
      <c r="I600" s="39"/>
    </row>
    <row r="601" spans="2:9" ht="15.75">
      <c r="B601" s="35" t="s">
        <v>940</v>
      </c>
      <c r="C601" s="39"/>
      <c r="D601" s="35" t="s">
        <v>940</v>
      </c>
      <c r="E601" s="37"/>
      <c r="F601" s="35" t="s">
        <v>940</v>
      </c>
      <c r="G601" s="39"/>
      <c r="H601" s="35" t="s">
        <v>940</v>
      </c>
      <c r="I601" s="39"/>
    </row>
    <row r="602" spans="2:9">
      <c r="B602" s="33"/>
      <c r="C602" s="33"/>
      <c r="D602" s="33"/>
      <c r="E602" s="33"/>
      <c r="F602" s="33"/>
      <c r="G602" s="33"/>
      <c r="H602" s="33"/>
      <c r="I602" s="33"/>
    </row>
    <row r="603" spans="2:9" ht="15.75">
      <c r="B603" s="38">
        <v>6</v>
      </c>
      <c r="C603" s="33"/>
      <c r="D603" s="38">
        <v>3</v>
      </c>
      <c r="E603" s="33"/>
      <c r="F603" s="38">
        <v>3</v>
      </c>
      <c r="G603" s="33"/>
      <c r="H603" s="38">
        <v>3</v>
      </c>
      <c r="I603" s="33"/>
    </row>
    <row r="604" spans="2:9" ht="15.75">
      <c r="B604" s="39"/>
      <c r="C604" s="33"/>
      <c r="D604" s="33"/>
      <c r="E604" s="33"/>
      <c r="F604" s="33"/>
      <c r="G604" s="33"/>
      <c r="H604" s="33"/>
      <c r="I604" s="33"/>
    </row>
    <row r="605" spans="2:9" ht="15.75">
      <c r="B605" s="35" t="s">
        <v>24</v>
      </c>
      <c r="C605" s="39"/>
      <c r="D605" s="35" t="s">
        <v>25</v>
      </c>
      <c r="E605" s="33"/>
      <c r="F605" s="35" t="s">
        <v>6</v>
      </c>
      <c r="G605" s="39"/>
      <c r="H605" s="35" t="s">
        <v>923</v>
      </c>
    </row>
    <row r="606" spans="2:9" ht="15.75">
      <c r="B606" s="35" t="s">
        <v>522</v>
      </c>
      <c r="C606" s="39"/>
      <c r="D606" s="35" t="s">
        <v>508</v>
      </c>
      <c r="E606" s="37"/>
      <c r="F606" s="35" t="s">
        <v>482</v>
      </c>
      <c r="G606" s="39"/>
      <c r="H606" s="35" t="s">
        <v>923</v>
      </c>
    </row>
    <row r="607" spans="2:9" ht="15.75">
      <c r="B607" s="35" t="s">
        <v>512</v>
      </c>
      <c r="C607" s="38">
        <v>4</v>
      </c>
      <c r="D607" s="35" t="s">
        <v>512</v>
      </c>
      <c r="E607" s="38">
        <v>4</v>
      </c>
      <c r="F607" s="35" t="s">
        <v>492</v>
      </c>
      <c r="G607" s="38" t="s">
        <v>923</v>
      </c>
      <c r="H607" s="35" t="s">
        <v>923</v>
      </c>
    </row>
    <row r="608" spans="2:9" ht="15.75">
      <c r="B608" s="35" t="s">
        <v>1121</v>
      </c>
      <c r="C608" s="39"/>
      <c r="D608" s="35" t="s">
        <v>1121</v>
      </c>
      <c r="E608" s="37"/>
      <c r="F608" s="35" t="s">
        <v>1122</v>
      </c>
      <c r="G608" s="39"/>
      <c r="H608" s="35" t="s">
        <v>923</v>
      </c>
    </row>
    <row r="609" spans="2:9" ht="15.75">
      <c r="B609" s="35" t="s">
        <v>940</v>
      </c>
      <c r="C609" s="39"/>
      <c r="D609" s="35" t="s">
        <v>940</v>
      </c>
      <c r="E609" s="37"/>
      <c r="F609" s="35" t="s">
        <v>926</v>
      </c>
      <c r="G609" s="39"/>
      <c r="H609" s="35" t="s">
        <v>923</v>
      </c>
    </row>
    <row r="611" spans="2:9">
      <c r="B611" s="43" t="s">
        <v>100</v>
      </c>
      <c r="D611" s="44" t="s">
        <v>1123</v>
      </c>
    </row>
    <row r="612" spans="2:9">
      <c r="B612" s="45"/>
    </row>
    <row r="613" spans="2:9">
      <c r="B613" s="46" t="s">
        <v>101</v>
      </c>
      <c r="D613" s="47" t="s">
        <v>1124</v>
      </c>
    </row>
    <row r="614" spans="2:9">
      <c r="B614" s="50"/>
      <c r="C614" s="49"/>
      <c r="D614" s="49"/>
    </row>
    <row r="615" spans="2:9">
      <c r="B615" s="42" t="s">
        <v>423</v>
      </c>
    </row>
    <row r="617" spans="2:9" ht="15.75">
      <c r="B617" s="35" t="s">
        <v>5</v>
      </c>
      <c r="C617" s="54"/>
      <c r="D617" s="35" t="s">
        <v>17</v>
      </c>
      <c r="E617" s="33"/>
      <c r="F617" s="35" t="s">
        <v>18</v>
      </c>
      <c r="G617" s="39"/>
      <c r="H617" s="35" t="s">
        <v>19</v>
      </c>
      <c r="I617" s="39"/>
    </row>
    <row r="618" spans="2:9" ht="15.75">
      <c r="B618" s="35" t="s">
        <v>454</v>
      </c>
      <c r="C618" s="54"/>
      <c r="D618" s="35" t="s">
        <v>745</v>
      </c>
      <c r="E618" s="36"/>
      <c r="F618" s="35" t="s">
        <v>706</v>
      </c>
      <c r="G618" s="39"/>
      <c r="H618" s="35" t="s">
        <v>241</v>
      </c>
      <c r="I618" s="39"/>
    </row>
    <row r="619" spans="2:9" ht="15.75">
      <c r="B619" s="35" t="s">
        <v>463</v>
      </c>
      <c r="C619" s="40">
        <v>4</v>
      </c>
      <c r="D619" s="35" t="s">
        <v>678</v>
      </c>
      <c r="E619" s="40">
        <v>4</v>
      </c>
      <c r="F619" s="35" t="s">
        <v>697</v>
      </c>
      <c r="G619" s="38">
        <v>4</v>
      </c>
      <c r="H619" s="35" t="s">
        <v>249</v>
      </c>
      <c r="I619" s="38">
        <v>6</v>
      </c>
    </row>
    <row r="620" spans="2:9" ht="15.75">
      <c r="B620" s="35" t="s">
        <v>1125</v>
      </c>
      <c r="C620" s="54"/>
      <c r="D620" s="35" t="s">
        <v>1126</v>
      </c>
      <c r="E620" s="36"/>
      <c r="F620" s="35" t="s">
        <v>1127</v>
      </c>
      <c r="G620" s="39"/>
      <c r="H620" s="35" t="s">
        <v>1127</v>
      </c>
      <c r="I620" s="38"/>
    </row>
    <row r="621" spans="2:9" ht="15.75">
      <c r="B621" s="53" t="s">
        <v>927</v>
      </c>
      <c r="C621" s="54"/>
      <c r="D621" s="35" t="s">
        <v>940</v>
      </c>
      <c r="E621" s="36"/>
      <c r="F621" s="35" t="s">
        <v>940</v>
      </c>
      <c r="G621" s="39"/>
      <c r="H621" s="35" t="s">
        <v>940</v>
      </c>
      <c r="I621" s="39"/>
    </row>
    <row r="622" spans="2:9">
      <c r="B622" s="33"/>
      <c r="C622" s="34"/>
      <c r="D622" s="33"/>
      <c r="E622" s="33"/>
      <c r="F622" s="33"/>
      <c r="G622" s="33"/>
      <c r="H622" s="33"/>
      <c r="I622" s="33"/>
    </row>
    <row r="623" spans="2:9" ht="15.75">
      <c r="B623" s="38">
        <v>6</v>
      </c>
      <c r="C623" s="34"/>
      <c r="D623" s="38">
        <v>3</v>
      </c>
      <c r="E623" s="33"/>
      <c r="F623" s="38">
        <v>3</v>
      </c>
      <c r="G623" s="33"/>
      <c r="H623" s="38">
        <v>3</v>
      </c>
      <c r="I623" s="33"/>
    </row>
    <row r="624" spans="2:9" ht="15.75">
      <c r="B624" s="39"/>
      <c r="C624" s="33"/>
      <c r="D624" s="33"/>
      <c r="E624" s="33"/>
      <c r="F624" s="33"/>
      <c r="G624" s="33"/>
      <c r="H624" s="33"/>
      <c r="I624" s="33"/>
    </row>
    <row r="625" spans="2:9" ht="15.75">
      <c r="B625" s="35" t="s">
        <v>20</v>
      </c>
      <c r="C625" s="39"/>
      <c r="D625" s="35" t="s">
        <v>24</v>
      </c>
      <c r="E625" s="33"/>
      <c r="F625" s="35" t="s">
        <v>22</v>
      </c>
      <c r="G625" s="39"/>
      <c r="H625" s="35" t="s">
        <v>23</v>
      </c>
      <c r="I625" s="39"/>
    </row>
    <row r="626" spans="2:9" ht="15.75">
      <c r="B626" s="35" t="s">
        <v>241</v>
      </c>
      <c r="C626" s="39"/>
      <c r="D626" s="35" t="s">
        <v>241</v>
      </c>
      <c r="E626" s="37"/>
      <c r="F626" s="35" t="s">
        <v>241</v>
      </c>
      <c r="G626" s="39"/>
      <c r="H626" s="35" t="s">
        <v>241</v>
      </c>
      <c r="I626" s="39"/>
    </row>
    <row r="627" spans="2:9" ht="15.75">
      <c r="B627" s="35" t="s">
        <v>249</v>
      </c>
      <c r="C627" s="38">
        <v>4</v>
      </c>
      <c r="D627" s="35" t="s">
        <v>249</v>
      </c>
      <c r="E627" s="38">
        <v>4</v>
      </c>
      <c r="F627" s="35" t="s">
        <v>249</v>
      </c>
      <c r="G627" s="38">
        <v>4</v>
      </c>
      <c r="H627" s="35" t="s">
        <v>249</v>
      </c>
      <c r="I627" s="38">
        <v>6</v>
      </c>
    </row>
    <row r="628" spans="2:9" ht="15.75">
      <c r="B628" s="35" t="s">
        <v>1127</v>
      </c>
      <c r="C628" s="39"/>
      <c r="D628" s="35" t="s">
        <v>1127</v>
      </c>
      <c r="E628" s="37"/>
      <c r="F628" s="35" t="s">
        <v>1127</v>
      </c>
      <c r="G628" s="39"/>
      <c r="H628" s="35" t="s">
        <v>1127</v>
      </c>
      <c r="I628" s="39"/>
    </row>
    <row r="629" spans="2:9" ht="15.75">
      <c r="B629" s="35" t="s">
        <v>940</v>
      </c>
      <c r="C629" s="39"/>
      <c r="D629" s="35" t="s">
        <v>940</v>
      </c>
      <c r="E629" s="37"/>
      <c r="F629" s="35" t="s">
        <v>940</v>
      </c>
      <c r="G629" s="39"/>
      <c r="H629" s="35" t="s">
        <v>940</v>
      </c>
      <c r="I629" s="39"/>
    </row>
    <row r="630" spans="2:9">
      <c r="B630" s="33"/>
      <c r="C630" s="33"/>
      <c r="D630" s="33"/>
      <c r="E630" s="33"/>
      <c r="F630" s="33"/>
      <c r="G630" s="33"/>
      <c r="H630" s="33"/>
      <c r="I630" s="33"/>
    </row>
    <row r="631" spans="2:9" ht="15.75">
      <c r="B631" s="38">
        <v>6</v>
      </c>
      <c r="C631" s="33"/>
      <c r="D631" s="38">
        <v>3</v>
      </c>
      <c r="E631" s="33"/>
      <c r="F631" s="38">
        <v>3</v>
      </c>
      <c r="G631" s="33"/>
      <c r="H631" s="38">
        <v>3</v>
      </c>
      <c r="I631" s="33"/>
    </row>
    <row r="632" spans="2:9" ht="15.75">
      <c r="B632" s="39"/>
      <c r="C632" s="33"/>
      <c r="D632" s="33"/>
      <c r="E632" s="33"/>
      <c r="F632" s="33"/>
      <c r="G632" s="33"/>
      <c r="H632" s="33"/>
      <c r="I632" s="33"/>
    </row>
    <row r="633" spans="2:9" ht="15.75">
      <c r="B633" s="35" t="s">
        <v>24</v>
      </c>
      <c r="C633" s="39"/>
      <c r="D633" s="35" t="s">
        <v>25</v>
      </c>
      <c r="E633" s="33"/>
      <c r="F633" s="35" t="s">
        <v>26</v>
      </c>
      <c r="G633" s="39"/>
      <c r="H633" s="35" t="s">
        <v>6</v>
      </c>
    </row>
    <row r="634" spans="2:9" ht="15.75">
      <c r="B634" s="35" t="s">
        <v>523</v>
      </c>
      <c r="C634" s="39"/>
      <c r="D634" s="35" t="s">
        <v>241</v>
      </c>
      <c r="E634" s="37"/>
      <c r="F634" s="35" t="s">
        <v>517</v>
      </c>
      <c r="G634" s="39"/>
      <c r="H634" s="35" t="s">
        <v>483</v>
      </c>
    </row>
    <row r="635" spans="2:9" ht="15.75">
      <c r="B635" s="35" t="s">
        <v>249</v>
      </c>
      <c r="C635" s="38">
        <v>4</v>
      </c>
      <c r="D635" s="35" t="s">
        <v>249</v>
      </c>
      <c r="E635" s="38">
        <v>4</v>
      </c>
      <c r="F635" s="35" t="s">
        <v>249</v>
      </c>
      <c r="G635" s="38">
        <v>4</v>
      </c>
      <c r="H635" s="35" t="s">
        <v>493</v>
      </c>
    </row>
    <row r="636" spans="2:9" ht="15.75">
      <c r="B636" s="35" t="s">
        <v>1127</v>
      </c>
      <c r="C636" s="39"/>
      <c r="D636" s="35" t="s">
        <v>1127</v>
      </c>
      <c r="E636" s="37"/>
      <c r="F636" s="35" t="s">
        <v>1127</v>
      </c>
      <c r="G636" s="39"/>
      <c r="H636" s="35" t="s">
        <v>1128</v>
      </c>
    </row>
    <row r="637" spans="2:9" ht="15.75">
      <c r="B637" s="35" t="s">
        <v>940</v>
      </c>
      <c r="C637" s="39"/>
      <c r="D637" s="35" t="s">
        <v>940</v>
      </c>
      <c r="E637" s="37"/>
      <c r="F637" s="35" t="s">
        <v>940</v>
      </c>
      <c r="G637" s="39"/>
      <c r="H637" s="35" t="s">
        <v>926</v>
      </c>
    </row>
    <row r="639" spans="2:9">
      <c r="B639" s="43" t="s">
        <v>100</v>
      </c>
      <c r="D639" s="44" t="s">
        <v>1129</v>
      </c>
    </row>
    <row r="640" spans="2:9">
      <c r="B640" s="45"/>
    </row>
    <row r="641" spans="2:9">
      <c r="B641" s="46" t="s">
        <v>101</v>
      </c>
      <c r="D641" s="47" t="s">
        <v>1130</v>
      </c>
    </row>
    <row r="643" spans="2:9">
      <c r="B643" s="55" t="s">
        <v>537</v>
      </c>
    </row>
    <row r="645" spans="2:9">
      <c r="B645" s="42" t="s">
        <v>538</v>
      </c>
    </row>
    <row r="647" spans="2:9" ht="15.75">
      <c r="B647" s="35" t="s">
        <v>5</v>
      </c>
      <c r="C647" s="54"/>
      <c r="D647" s="35" t="s">
        <v>17</v>
      </c>
      <c r="E647" s="33"/>
      <c r="F647" s="35" t="s">
        <v>6</v>
      </c>
      <c r="G647" s="39"/>
      <c r="H647" s="35" t="s">
        <v>923</v>
      </c>
      <c r="I647" s="39"/>
    </row>
    <row r="648" spans="2:9" ht="15.75">
      <c r="B648" s="35" t="s">
        <v>424</v>
      </c>
      <c r="C648" s="54"/>
      <c r="D648" s="35" t="s">
        <v>746</v>
      </c>
      <c r="E648" s="36"/>
      <c r="F648" s="35" t="s">
        <v>588</v>
      </c>
      <c r="G648" s="39"/>
      <c r="H648" s="35" t="s">
        <v>923</v>
      </c>
      <c r="I648" s="39"/>
    </row>
    <row r="649" spans="2:9" ht="15.75">
      <c r="B649" s="35" t="s">
        <v>568</v>
      </c>
      <c r="C649" s="40">
        <v>4</v>
      </c>
      <c r="D649" s="35" t="s">
        <v>650</v>
      </c>
      <c r="E649" s="40">
        <v>4</v>
      </c>
      <c r="F649" s="35" t="s">
        <v>598</v>
      </c>
      <c r="G649" s="38" t="s">
        <v>923</v>
      </c>
      <c r="H649" s="35" t="s">
        <v>923</v>
      </c>
      <c r="I649" s="38" t="s">
        <v>923</v>
      </c>
    </row>
    <row r="650" spans="2:9" ht="15.75">
      <c r="B650" s="35" t="s">
        <v>1131</v>
      </c>
      <c r="C650" s="54"/>
      <c r="D650" s="35" t="s">
        <v>1132</v>
      </c>
      <c r="E650" s="36"/>
      <c r="F650" s="35" t="s">
        <v>1133</v>
      </c>
      <c r="G650" s="39"/>
      <c r="H650" s="35" t="s">
        <v>923</v>
      </c>
      <c r="I650" s="38"/>
    </row>
    <row r="651" spans="2:9" ht="15.75">
      <c r="B651" s="53" t="s">
        <v>927</v>
      </c>
      <c r="C651" s="54"/>
      <c r="D651" s="35" t="s">
        <v>940</v>
      </c>
      <c r="E651" s="36"/>
      <c r="F651" s="35" t="s">
        <v>926</v>
      </c>
      <c r="G651" s="39"/>
      <c r="H651" s="35" t="s">
        <v>923</v>
      </c>
      <c r="I651" s="39"/>
    </row>
    <row r="652" spans="2:9">
      <c r="B652" s="33"/>
      <c r="C652" s="34"/>
      <c r="D652" s="33"/>
      <c r="E652" s="33"/>
      <c r="F652" s="33"/>
      <c r="G652" s="33"/>
      <c r="H652" s="33"/>
      <c r="I652" s="33"/>
    </row>
    <row r="653" spans="2:9">
      <c r="B653" s="43" t="s">
        <v>100</v>
      </c>
      <c r="D653" s="44" t="s">
        <v>1134</v>
      </c>
    </row>
    <row r="654" spans="2:9">
      <c r="B654" s="45"/>
    </row>
    <row r="655" spans="2:9">
      <c r="B655" s="46" t="s">
        <v>101</v>
      </c>
      <c r="D655" s="47" t="s">
        <v>1135</v>
      </c>
    </row>
    <row r="657" spans="2:9">
      <c r="B657" s="42" t="s">
        <v>539</v>
      </c>
    </row>
    <row r="659" spans="2:9" ht="15.75">
      <c r="B659" s="35" t="s">
        <v>5</v>
      </c>
      <c r="C659" s="54"/>
      <c r="D659" s="35" t="s">
        <v>17</v>
      </c>
      <c r="E659" s="33"/>
      <c r="F659" s="35" t="s">
        <v>18</v>
      </c>
      <c r="G659" s="39"/>
      <c r="H659" s="35" t="s">
        <v>6</v>
      </c>
      <c r="I659" s="39"/>
    </row>
    <row r="660" spans="2:9" ht="15.75">
      <c r="B660" s="35" t="s">
        <v>446</v>
      </c>
      <c r="C660" s="54"/>
      <c r="D660" s="35" t="s">
        <v>747</v>
      </c>
      <c r="E660" s="36"/>
      <c r="F660" s="35" t="s">
        <v>707</v>
      </c>
      <c r="G660" s="39"/>
      <c r="H660" s="35" t="s">
        <v>589</v>
      </c>
      <c r="I660" s="39"/>
    </row>
    <row r="661" spans="2:9" ht="15.75">
      <c r="B661" s="35" t="s">
        <v>569</v>
      </c>
      <c r="C661" s="40">
        <v>4</v>
      </c>
      <c r="D661" s="35" t="s">
        <v>651</v>
      </c>
      <c r="E661" s="40">
        <v>4</v>
      </c>
      <c r="F661" s="35" t="s">
        <v>626</v>
      </c>
      <c r="G661" s="38">
        <v>4</v>
      </c>
      <c r="H661" s="35" t="s">
        <v>599</v>
      </c>
      <c r="I661" s="38" t="s">
        <v>923</v>
      </c>
    </row>
    <row r="662" spans="2:9" ht="15.75">
      <c r="B662" s="35" t="s">
        <v>1136</v>
      </c>
      <c r="C662" s="54"/>
      <c r="D662" s="35" t="s">
        <v>1137</v>
      </c>
      <c r="E662" s="36"/>
      <c r="F662" s="35" t="s">
        <v>1138</v>
      </c>
      <c r="G662" s="39"/>
      <c r="H662" s="35" t="s">
        <v>1139</v>
      </c>
      <c r="I662" s="38"/>
    </row>
    <row r="663" spans="2:9" ht="15.75">
      <c r="B663" s="53" t="s">
        <v>927</v>
      </c>
      <c r="C663" s="54"/>
      <c r="D663" s="35" t="s">
        <v>940</v>
      </c>
      <c r="E663" s="36"/>
      <c r="F663" s="35" t="s">
        <v>940</v>
      </c>
      <c r="G663" s="39"/>
      <c r="H663" s="35" t="s">
        <v>926</v>
      </c>
      <c r="I663" s="39"/>
    </row>
    <row r="664" spans="2:9">
      <c r="B664" s="33"/>
      <c r="C664" s="34"/>
      <c r="D664" s="33"/>
      <c r="E664" s="33"/>
      <c r="F664" s="33"/>
      <c r="G664" s="33"/>
      <c r="H664" s="33"/>
      <c r="I664" s="33"/>
    </row>
    <row r="665" spans="2:9">
      <c r="B665" s="43" t="s">
        <v>100</v>
      </c>
      <c r="D665" s="44" t="s">
        <v>1140</v>
      </c>
    </row>
    <row r="666" spans="2:9">
      <c r="B666" s="45"/>
    </row>
    <row r="667" spans="2:9">
      <c r="B667" s="46" t="s">
        <v>101</v>
      </c>
      <c r="D667" s="47" t="s">
        <v>1141</v>
      </c>
    </row>
    <row r="669" spans="2:9">
      <c r="B669" s="42" t="s">
        <v>540</v>
      </c>
    </row>
    <row r="671" spans="2:9" ht="15.75">
      <c r="B671" s="35" t="s">
        <v>5</v>
      </c>
      <c r="C671" s="54"/>
      <c r="D671" s="35" t="s">
        <v>17</v>
      </c>
      <c r="E671" s="33"/>
      <c r="F671" s="35" t="s">
        <v>18</v>
      </c>
      <c r="G671" s="39"/>
      <c r="H671" s="35" t="s">
        <v>19</v>
      </c>
      <c r="I671" s="39"/>
    </row>
    <row r="672" spans="2:9" ht="15.75">
      <c r="B672" s="35" t="s">
        <v>447</v>
      </c>
      <c r="C672" s="54"/>
      <c r="D672" s="35" t="s">
        <v>748</v>
      </c>
      <c r="E672" s="36"/>
      <c r="F672" s="35" t="s">
        <v>708</v>
      </c>
      <c r="G672" s="39"/>
      <c r="H672" s="35" t="s">
        <v>618</v>
      </c>
      <c r="I672" s="39"/>
    </row>
    <row r="673" spans="2:9" ht="15.75">
      <c r="B673" s="35" t="s">
        <v>570</v>
      </c>
      <c r="C673" s="40">
        <v>4</v>
      </c>
      <c r="D673" s="35" t="s">
        <v>652</v>
      </c>
      <c r="E673" s="40">
        <v>4</v>
      </c>
      <c r="F673" s="35" t="s">
        <v>627</v>
      </c>
      <c r="G673" s="38">
        <v>4</v>
      </c>
      <c r="H673" s="35" t="s">
        <v>627</v>
      </c>
      <c r="I673" s="38">
        <v>6</v>
      </c>
    </row>
    <row r="674" spans="2:9" ht="15.75">
      <c r="B674" s="35" t="s">
        <v>1142</v>
      </c>
      <c r="C674" s="54"/>
      <c r="D674" s="35" t="s">
        <v>1143</v>
      </c>
      <c r="E674" s="36"/>
      <c r="F674" s="35" t="s">
        <v>1144</v>
      </c>
      <c r="G674" s="39"/>
      <c r="H674" s="35" t="s">
        <v>1144</v>
      </c>
      <c r="I674" s="38"/>
    </row>
    <row r="675" spans="2:9" ht="15.75">
      <c r="B675" s="53" t="s">
        <v>927</v>
      </c>
      <c r="C675" s="54"/>
      <c r="D675" s="35" t="s">
        <v>940</v>
      </c>
      <c r="E675" s="36"/>
      <c r="F675" s="35" t="s">
        <v>940</v>
      </c>
      <c r="G675" s="39"/>
      <c r="H675" s="35" t="s">
        <v>940</v>
      </c>
      <c r="I675" s="39"/>
    </row>
    <row r="676" spans="2:9">
      <c r="B676" s="33"/>
      <c r="C676" s="34"/>
      <c r="D676" s="33"/>
      <c r="E676" s="33"/>
      <c r="F676" s="33"/>
      <c r="G676" s="33"/>
      <c r="H676" s="33"/>
      <c r="I676" s="33"/>
    </row>
    <row r="677" spans="2:9" ht="15.75">
      <c r="B677" s="38">
        <v>6</v>
      </c>
      <c r="C677" s="34"/>
      <c r="D677" s="38">
        <v>3</v>
      </c>
      <c r="E677" s="33"/>
      <c r="F677" s="38">
        <v>3</v>
      </c>
      <c r="G677" s="33"/>
      <c r="H677" s="38">
        <v>3</v>
      </c>
      <c r="I677" s="33"/>
    </row>
    <row r="678" spans="2:9" ht="15.75">
      <c r="B678" s="39"/>
      <c r="C678" s="33"/>
      <c r="D678" s="33"/>
      <c r="E678" s="33"/>
      <c r="F678" s="33"/>
      <c r="G678" s="33"/>
      <c r="H678" s="33"/>
      <c r="I678" s="33"/>
    </row>
    <row r="679" spans="2:9" ht="15.75">
      <c r="B679" s="35" t="s">
        <v>6</v>
      </c>
      <c r="C679" s="39"/>
      <c r="D679" s="35" t="s">
        <v>923</v>
      </c>
      <c r="E679" s="33"/>
      <c r="F679" s="35" t="s">
        <v>923</v>
      </c>
      <c r="G679" s="39"/>
      <c r="H679" s="35" t="s">
        <v>923</v>
      </c>
      <c r="I679" s="39"/>
    </row>
    <row r="680" spans="2:9" ht="15.75">
      <c r="B680" s="35" t="s">
        <v>590</v>
      </c>
      <c r="C680" s="39"/>
      <c r="D680" s="35" t="s">
        <v>923</v>
      </c>
      <c r="E680" s="37"/>
      <c r="F680" s="35" t="s">
        <v>923</v>
      </c>
      <c r="G680" s="39"/>
      <c r="H680" s="35" t="s">
        <v>923</v>
      </c>
      <c r="I680" s="39"/>
    </row>
    <row r="681" spans="2:9" ht="15.75">
      <c r="B681" s="35" t="s">
        <v>600</v>
      </c>
      <c r="C681" s="38" t="s">
        <v>923</v>
      </c>
      <c r="D681" s="35" t="s">
        <v>923</v>
      </c>
      <c r="E681" s="38" t="s">
        <v>923</v>
      </c>
      <c r="F681" s="35" t="s">
        <v>923</v>
      </c>
      <c r="G681" s="38" t="s">
        <v>923</v>
      </c>
      <c r="H681" s="35" t="s">
        <v>923</v>
      </c>
      <c r="I681" s="38" t="s">
        <v>923</v>
      </c>
    </row>
    <row r="682" spans="2:9" ht="15.75">
      <c r="B682" s="35" t="s">
        <v>1145</v>
      </c>
      <c r="C682" s="39"/>
      <c r="D682" s="35" t="s">
        <v>923</v>
      </c>
      <c r="E682" s="37"/>
      <c r="F682" s="35" t="s">
        <v>923</v>
      </c>
      <c r="G682" s="39"/>
      <c r="H682" s="35" t="s">
        <v>923</v>
      </c>
      <c r="I682" s="39"/>
    </row>
    <row r="683" spans="2:9" ht="15.75">
      <c r="B683" s="35" t="s">
        <v>926</v>
      </c>
      <c r="C683" s="39"/>
      <c r="D683" s="35" t="s">
        <v>923</v>
      </c>
      <c r="E683" s="37"/>
      <c r="F683" s="35" t="s">
        <v>923</v>
      </c>
      <c r="G683" s="39"/>
      <c r="H683" s="35" t="s">
        <v>923</v>
      </c>
      <c r="I683" s="39"/>
    </row>
    <row r="684" spans="2:9">
      <c r="B684" s="33"/>
      <c r="C684" s="33"/>
      <c r="D684" s="33"/>
      <c r="E684" s="33"/>
      <c r="F684" s="33"/>
      <c r="G684" s="33"/>
      <c r="H684" s="33"/>
      <c r="I684" s="33"/>
    </row>
    <row r="685" spans="2:9">
      <c r="B685" s="43" t="s">
        <v>100</v>
      </c>
      <c r="D685" s="44" t="s">
        <v>1146</v>
      </c>
    </row>
    <row r="686" spans="2:9">
      <c r="B686" s="45"/>
    </row>
    <row r="687" spans="2:9">
      <c r="B687" s="46" t="s">
        <v>101</v>
      </c>
      <c r="D687" s="47" t="s">
        <v>1147</v>
      </c>
    </row>
    <row r="689" spans="2:9">
      <c r="B689" s="42" t="s">
        <v>541</v>
      </c>
    </row>
    <row r="691" spans="2:9" ht="15.75">
      <c r="B691" s="35" t="s">
        <v>5</v>
      </c>
      <c r="C691" s="54"/>
      <c r="D691" s="35" t="s">
        <v>17</v>
      </c>
      <c r="E691" s="33"/>
      <c r="F691" s="35" t="s">
        <v>18</v>
      </c>
      <c r="G691" s="39"/>
      <c r="H691" s="35" t="s">
        <v>19</v>
      </c>
      <c r="I691" s="39"/>
    </row>
    <row r="692" spans="2:9" ht="15.75">
      <c r="B692" s="35" t="s">
        <v>448</v>
      </c>
      <c r="C692" s="54"/>
      <c r="D692" s="35" t="s">
        <v>749</v>
      </c>
      <c r="E692" s="36"/>
      <c r="F692" s="35" t="s">
        <v>709</v>
      </c>
      <c r="G692" s="39"/>
      <c r="H692" s="35" t="s">
        <v>619</v>
      </c>
      <c r="I692" s="39"/>
    </row>
    <row r="693" spans="2:9" ht="15.75">
      <c r="B693" s="35" t="s">
        <v>571</v>
      </c>
      <c r="C693" s="40">
        <v>4</v>
      </c>
      <c r="D693" s="35" t="s">
        <v>653</v>
      </c>
      <c r="E693" s="40">
        <v>4</v>
      </c>
      <c r="F693" s="35" t="s">
        <v>628</v>
      </c>
      <c r="G693" s="38">
        <v>4</v>
      </c>
      <c r="H693" s="35" t="s">
        <v>628</v>
      </c>
      <c r="I693" s="38">
        <v>6</v>
      </c>
    </row>
    <row r="694" spans="2:9" ht="15.75">
      <c r="B694" s="35" t="s">
        <v>1148</v>
      </c>
      <c r="C694" s="54"/>
      <c r="D694" s="35" t="s">
        <v>1149</v>
      </c>
      <c r="E694" s="36"/>
      <c r="F694" s="35" t="s">
        <v>1150</v>
      </c>
      <c r="G694" s="39"/>
      <c r="H694" s="35" t="s">
        <v>1150</v>
      </c>
      <c r="I694" s="38"/>
    </row>
    <row r="695" spans="2:9" ht="15.75">
      <c r="B695" s="53" t="s">
        <v>927</v>
      </c>
      <c r="C695" s="54"/>
      <c r="D695" s="35" t="s">
        <v>940</v>
      </c>
      <c r="E695" s="36"/>
      <c r="F695" s="35" t="s">
        <v>940</v>
      </c>
      <c r="G695" s="39"/>
      <c r="H695" s="35" t="s">
        <v>940</v>
      </c>
      <c r="I695" s="39"/>
    </row>
    <row r="696" spans="2:9">
      <c r="B696" s="33"/>
      <c r="C696" s="34"/>
      <c r="D696" s="33"/>
      <c r="E696" s="33"/>
      <c r="F696" s="33"/>
      <c r="G696" s="33"/>
      <c r="H696" s="33"/>
      <c r="I696" s="33"/>
    </row>
    <row r="697" spans="2:9" ht="15.75">
      <c r="B697" s="38">
        <v>6</v>
      </c>
      <c r="C697" s="34"/>
      <c r="D697" s="38">
        <v>3</v>
      </c>
      <c r="E697" s="33"/>
      <c r="F697" s="38">
        <v>3</v>
      </c>
      <c r="G697" s="33"/>
      <c r="H697" s="38">
        <v>3</v>
      </c>
      <c r="I697" s="33"/>
    </row>
    <row r="698" spans="2:9" ht="15.75">
      <c r="B698" s="39"/>
      <c r="C698" s="33"/>
      <c r="D698" s="33"/>
      <c r="E698" s="33"/>
      <c r="F698" s="33"/>
      <c r="G698" s="33"/>
      <c r="H698" s="33"/>
      <c r="I698" s="33"/>
    </row>
    <row r="699" spans="2:9" ht="15.75">
      <c r="B699" s="35" t="s">
        <v>20</v>
      </c>
      <c r="C699" s="39"/>
      <c r="D699" s="35" t="s">
        <v>6</v>
      </c>
      <c r="E699" s="33"/>
      <c r="F699" s="35" t="s">
        <v>923</v>
      </c>
      <c r="G699" s="39"/>
      <c r="H699" s="35" t="s">
        <v>923</v>
      </c>
      <c r="I699" s="39"/>
    </row>
    <row r="700" spans="2:9" ht="15.75">
      <c r="B700" s="35" t="s">
        <v>619</v>
      </c>
      <c r="C700" s="39"/>
      <c r="D700" s="35" t="s">
        <v>591</v>
      </c>
      <c r="E700" s="37"/>
      <c r="F700" s="35" t="s">
        <v>923</v>
      </c>
      <c r="G700" s="39"/>
      <c r="H700" s="35" t="s">
        <v>923</v>
      </c>
      <c r="I700" s="39"/>
    </row>
    <row r="701" spans="2:9" ht="15.75">
      <c r="B701" s="35" t="s">
        <v>628</v>
      </c>
      <c r="C701" s="38">
        <v>4</v>
      </c>
      <c r="D701" s="35" t="s">
        <v>601</v>
      </c>
      <c r="E701" s="38" t="s">
        <v>923</v>
      </c>
      <c r="F701" s="35" t="s">
        <v>923</v>
      </c>
      <c r="G701" s="38" t="s">
        <v>923</v>
      </c>
      <c r="H701" s="35" t="s">
        <v>923</v>
      </c>
      <c r="I701" s="38" t="s">
        <v>923</v>
      </c>
    </row>
    <row r="702" spans="2:9" ht="15.75">
      <c r="B702" s="35" t="s">
        <v>1150</v>
      </c>
      <c r="C702" s="39"/>
      <c r="D702" s="35" t="s">
        <v>1151</v>
      </c>
      <c r="E702" s="37"/>
      <c r="F702" s="35" t="s">
        <v>923</v>
      </c>
      <c r="G702" s="39"/>
      <c r="H702" s="35" t="s">
        <v>923</v>
      </c>
      <c r="I702" s="39"/>
    </row>
    <row r="703" spans="2:9" ht="15.75">
      <c r="B703" s="35" t="s">
        <v>940</v>
      </c>
      <c r="C703" s="39"/>
      <c r="D703" s="35" t="s">
        <v>926</v>
      </c>
      <c r="E703" s="37"/>
      <c r="F703" s="35" t="s">
        <v>923</v>
      </c>
      <c r="G703" s="39"/>
      <c r="H703" s="35" t="s">
        <v>923</v>
      </c>
      <c r="I703" s="39"/>
    </row>
    <row r="704" spans="2:9">
      <c r="B704" s="33"/>
      <c r="C704" s="33"/>
      <c r="D704" s="33"/>
      <c r="E704" s="33"/>
      <c r="F704" s="33"/>
      <c r="G704" s="33"/>
      <c r="H704" s="33"/>
      <c r="I704" s="33"/>
    </row>
    <row r="705" spans="2:9">
      <c r="B705" s="43" t="s">
        <v>100</v>
      </c>
      <c r="D705" s="44" t="s">
        <v>1152</v>
      </c>
    </row>
    <row r="706" spans="2:9">
      <c r="B706" s="45"/>
    </row>
    <row r="707" spans="2:9">
      <c r="B707" s="46" t="s">
        <v>101</v>
      </c>
      <c r="D707" s="47" t="s">
        <v>1153</v>
      </c>
    </row>
    <row r="709" spans="2:9">
      <c r="B709" s="42" t="s">
        <v>542</v>
      </c>
    </row>
    <row r="711" spans="2:9" ht="15.75">
      <c r="B711" s="35" t="s">
        <v>5</v>
      </c>
      <c r="C711" s="54"/>
      <c r="D711" s="35" t="s">
        <v>17</v>
      </c>
      <c r="E711" s="33"/>
      <c r="F711" s="35" t="s">
        <v>18</v>
      </c>
      <c r="G711" s="39"/>
      <c r="H711" s="35" t="s">
        <v>19</v>
      </c>
      <c r="I711" s="39"/>
    </row>
    <row r="712" spans="2:9" ht="15.75">
      <c r="B712" s="35" t="s">
        <v>449</v>
      </c>
      <c r="C712" s="54"/>
      <c r="D712" s="35" t="s">
        <v>750</v>
      </c>
      <c r="E712" s="36"/>
      <c r="F712" s="35" t="s">
        <v>710</v>
      </c>
      <c r="G712" s="39"/>
      <c r="H712" s="35" t="s">
        <v>620</v>
      </c>
      <c r="I712" s="39"/>
    </row>
    <row r="713" spans="2:9" ht="15.75">
      <c r="B713" s="35" t="s">
        <v>572</v>
      </c>
      <c r="C713" s="40">
        <v>4</v>
      </c>
      <c r="D713" s="35" t="s">
        <v>654</v>
      </c>
      <c r="E713" s="40">
        <v>4</v>
      </c>
      <c r="F713" s="35" t="s">
        <v>629</v>
      </c>
      <c r="G713" s="38">
        <v>4</v>
      </c>
      <c r="H713" s="35" t="s">
        <v>629</v>
      </c>
      <c r="I713" s="38">
        <v>6</v>
      </c>
    </row>
    <row r="714" spans="2:9" ht="15.75">
      <c r="B714" s="35" t="s">
        <v>1154</v>
      </c>
      <c r="C714" s="54"/>
      <c r="D714" s="35" t="s">
        <v>1155</v>
      </c>
      <c r="E714" s="36"/>
      <c r="F714" s="35" t="s">
        <v>1156</v>
      </c>
      <c r="G714" s="39"/>
      <c r="H714" s="35" t="s">
        <v>1156</v>
      </c>
      <c r="I714" s="38"/>
    </row>
    <row r="715" spans="2:9" ht="15.75">
      <c r="B715" s="53" t="s">
        <v>927</v>
      </c>
      <c r="C715" s="54"/>
      <c r="D715" s="35" t="s">
        <v>940</v>
      </c>
      <c r="E715" s="36"/>
      <c r="F715" s="35" t="s">
        <v>940</v>
      </c>
      <c r="G715" s="39"/>
      <c r="H715" s="35" t="s">
        <v>940</v>
      </c>
      <c r="I715" s="39"/>
    </row>
    <row r="716" spans="2:9">
      <c r="B716" s="33"/>
      <c r="C716" s="34"/>
      <c r="D716" s="33"/>
      <c r="E716" s="33"/>
      <c r="F716" s="33"/>
      <c r="G716" s="33"/>
      <c r="H716" s="33"/>
      <c r="I716" s="33"/>
    </row>
    <row r="717" spans="2:9" ht="15.75">
      <c r="B717" s="38">
        <v>6</v>
      </c>
      <c r="C717" s="34"/>
      <c r="D717" s="38">
        <v>3</v>
      </c>
      <c r="E717" s="33"/>
      <c r="F717" s="38">
        <v>3</v>
      </c>
      <c r="G717" s="33"/>
      <c r="H717" s="38">
        <v>3</v>
      </c>
      <c r="I717" s="33"/>
    </row>
    <row r="718" spans="2:9" ht="15.75">
      <c r="B718" s="39"/>
      <c r="C718" s="33"/>
      <c r="D718" s="33"/>
      <c r="E718" s="33"/>
      <c r="F718" s="33"/>
      <c r="G718" s="33"/>
      <c r="H718" s="33"/>
      <c r="I718" s="33"/>
    </row>
    <row r="719" spans="2:9" ht="15.75">
      <c r="B719" s="35" t="s">
        <v>20</v>
      </c>
      <c r="C719" s="39"/>
      <c r="D719" s="35" t="s">
        <v>21</v>
      </c>
      <c r="E719" s="33"/>
      <c r="F719" s="35" t="s">
        <v>6</v>
      </c>
      <c r="G719" s="39"/>
      <c r="H719" s="35" t="s">
        <v>923</v>
      </c>
      <c r="I719" s="39"/>
    </row>
    <row r="720" spans="2:9" ht="15.75">
      <c r="B720" s="35" t="s">
        <v>620</v>
      </c>
      <c r="C720" s="39"/>
      <c r="D720" s="35" t="s">
        <v>620</v>
      </c>
      <c r="E720" s="37"/>
      <c r="F720" s="35" t="s">
        <v>592</v>
      </c>
      <c r="G720" s="39"/>
      <c r="H720" s="35" t="s">
        <v>923</v>
      </c>
      <c r="I720" s="39"/>
    </row>
    <row r="721" spans="2:9" ht="15.75">
      <c r="B721" s="35" t="s">
        <v>629</v>
      </c>
      <c r="C721" s="38">
        <v>4</v>
      </c>
      <c r="D721" s="35" t="s">
        <v>648</v>
      </c>
      <c r="E721" s="38">
        <v>4</v>
      </c>
      <c r="F721" s="35" t="s">
        <v>602</v>
      </c>
      <c r="G721" s="38" t="s">
        <v>923</v>
      </c>
      <c r="H721" s="35" t="s">
        <v>923</v>
      </c>
      <c r="I721" s="38" t="s">
        <v>923</v>
      </c>
    </row>
    <row r="722" spans="2:9" ht="15.75">
      <c r="B722" s="35" t="s">
        <v>1156</v>
      </c>
      <c r="C722" s="39"/>
      <c r="D722" s="35" t="s">
        <v>1092</v>
      </c>
      <c r="E722" s="37"/>
      <c r="F722" s="35" t="s">
        <v>1157</v>
      </c>
      <c r="G722" s="39"/>
      <c r="H722" s="35" t="s">
        <v>923</v>
      </c>
      <c r="I722" s="39"/>
    </row>
    <row r="723" spans="2:9" ht="15.75">
      <c r="B723" s="35" t="s">
        <v>940</v>
      </c>
      <c r="C723" s="39"/>
      <c r="D723" s="35" t="s">
        <v>940</v>
      </c>
      <c r="E723" s="37"/>
      <c r="F723" s="35" t="s">
        <v>926</v>
      </c>
      <c r="G723" s="39"/>
      <c r="H723" s="35" t="s">
        <v>923</v>
      </c>
      <c r="I723" s="39"/>
    </row>
    <row r="724" spans="2:9">
      <c r="B724" s="33"/>
      <c r="C724" s="33"/>
      <c r="D724" s="33"/>
      <c r="E724" s="33"/>
      <c r="F724" s="33"/>
      <c r="G724" s="33"/>
      <c r="H724" s="33"/>
      <c r="I724" s="33"/>
    </row>
    <row r="725" spans="2:9">
      <c r="B725" s="43" t="s">
        <v>100</v>
      </c>
      <c r="D725" s="44" t="s">
        <v>1158</v>
      </c>
    </row>
    <row r="726" spans="2:9">
      <c r="B726" s="45"/>
    </row>
    <row r="727" spans="2:9">
      <c r="B727" s="46" t="s">
        <v>101</v>
      </c>
      <c r="D727" s="47" t="s">
        <v>1159</v>
      </c>
    </row>
    <row r="729" spans="2:9">
      <c r="B729" s="42" t="s">
        <v>543</v>
      </c>
    </row>
    <row r="731" spans="2:9" ht="15.75">
      <c r="B731" s="35" t="s">
        <v>5</v>
      </c>
      <c r="C731" s="54"/>
      <c r="D731" s="35" t="s">
        <v>17</v>
      </c>
      <c r="E731" s="33"/>
      <c r="F731" s="35" t="s">
        <v>18</v>
      </c>
      <c r="G731" s="39"/>
      <c r="H731" s="35" t="s">
        <v>19</v>
      </c>
      <c r="I731" s="39"/>
    </row>
    <row r="732" spans="2:9" ht="15.75">
      <c r="B732" s="35" t="s">
        <v>450</v>
      </c>
      <c r="C732" s="54"/>
      <c r="D732" s="35" t="s">
        <v>751</v>
      </c>
      <c r="E732" s="36"/>
      <c r="F732" s="35" t="s">
        <v>711</v>
      </c>
      <c r="G732" s="39"/>
      <c r="H732" s="35" t="s">
        <v>621</v>
      </c>
      <c r="I732" s="39"/>
    </row>
    <row r="733" spans="2:9" ht="15.75">
      <c r="B733" s="35" t="s">
        <v>573</v>
      </c>
      <c r="C733" s="40">
        <v>4</v>
      </c>
      <c r="D733" s="35" t="s">
        <v>655</v>
      </c>
      <c r="E733" s="40">
        <v>4</v>
      </c>
      <c r="F733" s="35" t="s">
        <v>630</v>
      </c>
      <c r="G733" s="38">
        <v>4</v>
      </c>
      <c r="H733" s="35" t="s">
        <v>630</v>
      </c>
      <c r="I733" s="38">
        <v>6</v>
      </c>
    </row>
    <row r="734" spans="2:9" ht="15.75">
      <c r="B734" s="35" t="s">
        <v>1160</v>
      </c>
      <c r="C734" s="54"/>
      <c r="D734" s="35" t="s">
        <v>1161</v>
      </c>
      <c r="E734" s="36"/>
      <c r="F734" s="35" t="s">
        <v>1162</v>
      </c>
      <c r="G734" s="39"/>
      <c r="H734" s="35" t="s">
        <v>1162</v>
      </c>
      <c r="I734" s="38"/>
    </row>
    <row r="735" spans="2:9" ht="15.75">
      <c r="B735" s="53" t="s">
        <v>927</v>
      </c>
      <c r="C735" s="54"/>
      <c r="D735" s="35" t="s">
        <v>940</v>
      </c>
      <c r="E735" s="36"/>
      <c r="F735" s="35" t="s">
        <v>940</v>
      </c>
      <c r="G735" s="39"/>
      <c r="H735" s="35" t="s">
        <v>940</v>
      </c>
      <c r="I735" s="39"/>
    </row>
    <row r="736" spans="2:9">
      <c r="B736" s="33"/>
      <c r="C736" s="34"/>
      <c r="D736" s="33"/>
      <c r="E736" s="33"/>
      <c r="F736" s="33"/>
      <c r="G736" s="33"/>
      <c r="H736" s="33"/>
      <c r="I736" s="33"/>
    </row>
    <row r="737" spans="2:9" ht="15.75">
      <c r="B737" s="38">
        <v>6</v>
      </c>
      <c r="C737" s="34"/>
      <c r="D737" s="38">
        <v>3</v>
      </c>
      <c r="E737" s="33"/>
      <c r="F737" s="38">
        <v>3</v>
      </c>
      <c r="G737" s="33"/>
      <c r="H737" s="38">
        <v>3</v>
      </c>
      <c r="I737" s="33"/>
    </row>
    <row r="738" spans="2:9" ht="15.75">
      <c r="B738" s="39"/>
      <c r="C738" s="33"/>
      <c r="D738" s="33"/>
      <c r="E738" s="33"/>
      <c r="F738" s="33"/>
      <c r="G738" s="33"/>
      <c r="H738" s="33"/>
      <c r="I738" s="33"/>
    </row>
    <row r="739" spans="2:9" ht="15.75">
      <c r="B739" s="35" t="s">
        <v>20</v>
      </c>
      <c r="C739" s="39"/>
      <c r="D739" s="35" t="s">
        <v>21</v>
      </c>
      <c r="E739" s="33"/>
      <c r="F739" s="35" t="s">
        <v>22</v>
      </c>
      <c r="G739" s="39"/>
      <c r="H739" s="35" t="s">
        <v>6</v>
      </c>
      <c r="I739" s="39"/>
    </row>
    <row r="740" spans="2:9" ht="15.75">
      <c r="B740" s="35" t="s">
        <v>621</v>
      </c>
      <c r="C740" s="39"/>
      <c r="D740" s="35" t="s">
        <v>621</v>
      </c>
      <c r="E740" s="37"/>
      <c r="F740" s="35" t="s">
        <v>505</v>
      </c>
      <c r="G740" s="39"/>
      <c r="H740" s="35" t="s">
        <v>593</v>
      </c>
      <c r="I740" s="39"/>
    </row>
    <row r="741" spans="2:9" ht="15.75">
      <c r="B741" s="35" t="s">
        <v>630</v>
      </c>
      <c r="C741" s="38">
        <v>4</v>
      </c>
      <c r="D741" s="35" t="s">
        <v>509</v>
      </c>
      <c r="E741" s="38">
        <v>4</v>
      </c>
      <c r="F741" s="35" t="s">
        <v>509</v>
      </c>
      <c r="G741" s="38">
        <v>4</v>
      </c>
      <c r="H741" s="35" t="s">
        <v>603</v>
      </c>
      <c r="I741" s="38" t="s">
        <v>923</v>
      </c>
    </row>
    <row r="742" spans="2:9" ht="15.75">
      <c r="B742" s="35" t="s">
        <v>1162</v>
      </c>
      <c r="C742" s="39"/>
      <c r="D742" s="35" t="s">
        <v>1099</v>
      </c>
      <c r="E742" s="37"/>
      <c r="F742" s="35" t="s">
        <v>1100</v>
      </c>
      <c r="G742" s="39"/>
      <c r="H742" s="35" t="s">
        <v>1163</v>
      </c>
      <c r="I742" s="39"/>
    </row>
    <row r="743" spans="2:9" ht="15.75">
      <c r="B743" s="35" t="s">
        <v>940</v>
      </c>
      <c r="C743" s="39"/>
      <c r="D743" s="35" t="s">
        <v>940</v>
      </c>
      <c r="E743" s="37"/>
      <c r="F743" s="35" t="s">
        <v>940</v>
      </c>
      <c r="G743" s="39"/>
      <c r="H743" s="35" t="s">
        <v>926</v>
      </c>
      <c r="I743" s="39"/>
    </row>
    <row r="744" spans="2:9">
      <c r="B744" s="33"/>
      <c r="C744" s="33"/>
      <c r="D744" s="33"/>
      <c r="E744" s="33"/>
      <c r="F744" s="33"/>
      <c r="G744" s="33"/>
      <c r="H744" s="33"/>
      <c r="I744" s="33"/>
    </row>
    <row r="745" spans="2:9">
      <c r="B745" s="43" t="s">
        <v>100</v>
      </c>
      <c r="D745" s="44" t="s">
        <v>1164</v>
      </c>
    </row>
    <row r="746" spans="2:9">
      <c r="B746" s="45"/>
    </row>
    <row r="747" spans="2:9">
      <c r="B747" s="46" t="s">
        <v>101</v>
      </c>
      <c r="D747" s="47" t="s">
        <v>1165</v>
      </c>
    </row>
    <row r="749" spans="2:9">
      <c r="B749" s="42" t="s">
        <v>544</v>
      </c>
    </row>
    <row r="751" spans="2:9" ht="15.75">
      <c r="B751" s="35" t="s">
        <v>5</v>
      </c>
      <c r="C751" s="54"/>
      <c r="D751" s="35" t="s">
        <v>17</v>
      </c>
      <c r="E751" s="33"/>
      <c r="F751" s="35" t="s">
        <v>18</v>
      </c>
      <c r="G751" s="39"/>
      <c r="H751" s="35" t="s">
        <v>19</v>
      </c>
      <c r="I751" s="39"/>
    </row>
    <row r="752" spans="2:9" ht="15.75">
      <c r="B752" s="35" t="s">
        <v>451</v>
      </c>
      <c r="C752" s="54"/>
      <c r="D752" s="35" t="s">
        <v>752</v>
      </c>
      <c r="E752" s="36"/>
      <c r="F752" s="35" t="s">
        <v>712</v>
      </c>
      <c r="G752" s="39"/>
      <c r="H752" s="35" t="s">
        <v>622</v>
      </c>
      <c r="I752" s="39"/>
    </row>
    <row r="753" spans="2:9" ht="15.75">
      <c r="B753" s="35" t="s">
        <v>574</v>
      </c>
      <c r="C753" s="40">
        <v>4</v>
      </c>
      <c r="D753" s="35" t="s">
        <v>656</v>
      </c>
      <c r="E753" s="40">
        <v>4</v>
      </c>
      <c r="F753" s="35" t="s">
        <v>631</v>
      </c>
      <c r="G753" s="38">
        <v>4</v>
      </c>
      <c r="H753" s="35" t="s">
        <v>631</v>
      </c>
      <c r="I753" s="38">
        <v>6</v>
      </c>
    </row>
    <row r="754" spans="2:9" ht="15.75">
      <c r="B754" s="35" t="s">
        <v>1166</v>
      </c>
      <c r="C754" s="54"/>
      <c r="D754" s="35" t="s">
        <v>1167</v>
      </c>
      <c r="E754" s="36"/>
      <c r="F754" s="35" t="s">
        <v>1168</v>
      </c>
      <c r="G754" s="39"/>
      <c r="H754" s="35" t="s">
        <v>1168</v>
      </c>
      <c r="I754" s="38"/>
    </row>
    <row r="755" spans="2:9" ht="15.75">
      <c r="B755" s="53" t="s">
        <v>927</v>
      </c>
      <c r="C755" s="54"/>
      <c r="D755" s="35" t="s">
        <v>940</v>
      </c>
      <c r="E755" s="36"/>
      <c r="F755" s="35" t="s">
        <v>940</v>
      </c>
      <c r="G755" s="39"/>
      <c r="H755" s="35" t="s">
        <v>940</v>
      </c>
      <c r="I755" s="39"/>
    </row>
    <row r="756" spans="2:9">
      <c r="B756" s="33"/>
      <c r="C756" s="34"/>
      <c r="D756" s="33"/>
      <c r="E756" s="33"/>
      <c r="F756" s="33"/>
      <c r="G756" s="33"/>
      <c r="H756" s="33"/>
      <c r="I756" s="33"/>
    </row>
    <row r="757" spans="2:9" ht="15.75">
      <c r="B757" s="38">
        <v>6</v>
      </c>
      <c r="C757" s="34"/>
      <c r="D757" s="38">
        <v>3</v>
      </c>
      <c r="E757" s="33"/>
      <c r="F757" s="38">
        <v>3</v>
      </c>
      <c r="G757" s="33"/>
      <c r="H757" s="38">
        <v>3</v>
      </c>
      <c r="I757" s="33"/>
    </row>
    <row r="758" spans="2:9" ht="15.75">
      <c r="B758" s="39"/>
      <c r="C758" s="33"/>
      <c r="D758" s="33"/>
      <c r="E758" s="33"/>
      <c r="F758" s="33"/>
      <c r="G758" s="33"/>
      <c r="H758" s="33"/>
      <c r="I758" s="33"/>
    </row>
    <row r="759" spans="2:9" ht="15.75">
      <c r="B759" s="35" t="s">
        <v>20</v>
      </c>
      <c r="C759" s="39"/>
      <c r="D759" s="35" t="s">
        <v>21</v>
      </c>
      <c r="E759" s="33"/>
      <c r="F759" s="35" t="s">
        <v>22</v>
      </c>
      <c r="G759" s="39"/>
      <c r="H759" s="35" t="s">
        <v>23</v>
      </c>
      <c r="I759" s="39"/>
    </row>
    <row r="760" spans="2:9" ht="15.75">
      <c r="B760" s="35" t="s">
        <v>622</v>
      </c>
      <c r="C760" s="39"/>
      <c r="D760" s="35" t="s">
        <v>622</v>
      </c>
      <c r="E760" s="37"/>
      <c r="F760" s="35" t="s">
        <v>506</v>
      </c>
      <c r="G760" s="39"/>
      <c r="H760" s="35" t="s">
        <v>506</v>
      </c>
      <c r="I760" s="39"/>
    </row>
    <row r="761" spans="2:9" ht="15.75">
      <c r="B761" s="35" t="s">
        <v>631</v>
      </c>
      <c r="C761" s="38">
        <v>4</v>
      </c>
      <c r="D761" s="35" t="s">
        <v>510</v>
      </c>
      <c r="E761" s="38">
        <v>4</v>
      </c>
      <c r="F761" s="35" t="s">
        <v>510</v>
      </c>
      <c r="G761" s="38">
        <v>4</v>
      </c>
      <c r="H761" s="35" t="s">
        <v>510</v>
      </c>
      <c r="I761" s="38">
        <v>6</v>
      </c>
    </row>
    <row r="762" spans="2:9" ht="15.75">
      <c r="B762" s="35" t="s">
        <v>1168</v>
      </c>
      <c r="C762" s="39"/>
      <c r="D762" s="35" t="s">
        <v>1106</v>
      </c>
      <c r="E762" s="37"/>
      <c r="F762" s="35" t="s">
        <v>1107</v>
      </c>
      <c r="G762" s="39"/>
      <c r="H762" s="35" t="s">
        <v>1107</v>
      </c>
      <c r="I762" s="39"/>
    </row>
    <row r="763" spans="2:9" ht="15.75">
      <c r="B763" s="35" t="s">
        <v>940</v>
      </c>
      <c r="C763" s="39"/>
      <c r="D763" s="35" t="s">
        <v>940</v>
      </c>
      <c r="E763" s="37"/>
      <c r="F763" s="35" t="s">
        <v>940</v>
      </c>
      <c r="G763" s="39"/>
      <c r="H763" s="35" t="s">
        <v>940</v>
      </c>
      <c r="I763" s="39"/>
    </row>
    <row r="764" spans="2:9">
      <c r="B764" s="33"/>
      <c r="C764" s="33"/>
      <c r="D764" s="33"/>
      <c r="E764" s="33"/>
      <c r="F764" s="33"/>
      <c r="G764" s="33"/>
      <c r="H764" s="33"/>
      <c r="I764" s="33"/>
    </row>
    <row r="765" spans="2:9" ht="15.75">
      <c r="B765" s="38">
        <v>6</v>
      </c>
      <c r="C765" s="33"/>
      <c r="D765" s="38">
        <v>3</v>
      </c>
      <c r="E765" s="33"/>
      <c r="F765" s="38">
        <v>3</v>
      </c>
      <c r="G765" s="33"/>
      <c r="H765" s="38">
        <v>3</v>
      </c>
      <c r="I765" s="33"/>
    </row>
    <row r="766" spans="2:9" ht="15.75">
      <c r="B766" s="39"/>
      <c r="C766" s="33"/>
      <c r="D766" s="33"/>
      <c r="E766" s="33"/>
      <c r="F766" s="33"/>
      <c r="G766" s="33"/>
      <c r="H766" s="33"/>
      <c r="I766" s="33"/>
    </row>
    <row r="767" spans="2:9" ht="15.75">
      <c r="B767" s="35" t="s">
        <v>6</v>
      </c>
      <c r="C767" s="39"/>
      <c r="D767" s="35" t="s">
        <v>923</v>
      </c>
      <c r="E767" s="33"/>
      <c r="F767" s="35" t="s">
        <v>923</v>
      </c>
      <c r="G767" s="39"/>
      <c r="H767" s="35" t="s">
        <v>923</v>
      </c>
    </row>
    <row r="768" spans="2:9" ht="15.75">
      <c r="B768" s="35" t="s">
        <v>594</v>
      </c>
      <c r="C768" s="39"/>
      <c r="D768" s="35" t="s">
        <v>923</v>
      </c>
      <c r="E768" s="37"/>
      <c r="F768" s="35" t="s">
        <v>923</v>
      </c>
      <c r="G768" s="39"/>
      <c r="H768" s="35" t="s">
        <v>923</v>
      </c>
    </row>
    <row r="769" spans="2:9" ht="15.75">
      <c r="B769" s="35" t="s">
        <v>604</v>
      </c>
      <c r="C769" s="38" t="s">
        <v>923</v>
      </c>
      <c r="D769" s="35" t="s">
        <v>923</v>
      </c>
      <c r="E769" s="38" t="s">
        <v>923</v>
      </c>
      <c r="F769" s="35" t="s">
        <v>923</v>
      </c>
      <c r="G769" s="38" t="s">
        <v>923</v>
      </c>
      <c r="H769" s="35" t="s">
        <v>923</v>
      </c>
    </row>
    <row r="770" spans="2:9" ht="15.75">
      <c r="B770" s="35" t="s">
        <v>1169</v>
      </c>
      <c r="C770" s="39"/>
      <c r="D770" s="35" t="s">
        <v>923</v>
      </c>
      <c r="E770" s="37"/>
      <c r="F770" s="35" t="s">
        <v>923</v>
      </c>
      <c r="G770" s="39"/>
      <c r="H770" s="35" t="s">
        <v>923</v>
      </c>
    </row>
    <row r="771" spans="2:9" ht="15.75">
      <c r="B771" s="35" t="s">
        <v>926</v>
      </c>
      <c r="C771" s="39"/>
      <c r="D771" s="35" t="s">
        <v>923</v>
      </c>
      <c r="E771" s="37"/>
      <c r="F771" s="35" t="s">
        <v>923</v>
      </c>
      <c r="G771" s="39"/>
      <c r="H771" s="35" t="s">
        <v>923</v>
      </c>
    </row>
    <row r="773" spans="2:9">
      <c r="B773" s="43" t="s">
        <v>100</v>
      </c>
      <c r="D773" s="44" t="s">
        <v>1170</v>
      </c>
    </row>
    <row r="774" spans="2:9">
      <c r="B774" s="45"/>
    </row>
    <row r="775" spans="2:9">
      <c r="B775" s="46" t="s">
        <v>101</v>
      </c>
      <c r="D775" s="47" t="s">
        <v>1171</v>
      </c>
    </row>
    <row r="777" spans="2:9">
      <c r="B777" s="42" t="s">
        <v>545</v>
      </c>
    </row>
    <row r="779" spans="2:9" ht="15.75">
      <c r="B779" s="35" t="s">
        <v>5</v>
      </c>
      <c r="C779" s="54"/>
      <c r="D779" s="35" t="s">
        <v>17</v>
      </c>
      <c r="E779" s="33"/>
      <c r="F779" s="35" t="s">
        <v>18</v>
      </c>
      <c r="G779" s="39"/>
      <c r="H779" s="35" t="s">
        <v>19</v>
      </c>
      <c r="I779" s="39"/>
    </row>
    <row r="780" spans="2:9" ht="15.75">
      <c r="B780" s="35" t="s">
        <v>452</v>
      </c>
      <c r="C780" s="54"/>
      <c r="D780" s="35" t="s">
        <v>753</v>
      </c>
      <c r="E780" s="36"/>
      <c r="F780" s="35" t="s">
        <v>713</v>
      </c>
      <c r="G780" s="39"/>
      <c r="H780" s="35" t="s">
        <v>623</v>
      </c>
      <c r="I780" s="39"/>
    </row>
    <row r="781" spans="2:9" ht="15.75">
      <c r="B781" s="35" t="s">
        <v>575</v>
      </c>
      <c r="C781" s="40">
        <v>4</v>
      </c>
      <c r="D781" s="35" t="s">
        <v>657</v>
      </c>
      <c r="E781" s="40">
        <v>4</v>
      </c>
      <c r="F781" s="35" t="s">
        <v>632</v>
      </c>
      <c r="G781" s="38">
        <v>4</v>
      </c>
      <c r="H781" s="35" t="s">
        <v>632</v>
      </c>
      <c r="I781" s="38">
        <v>6</v>
      </c>
    </row>
    <row r="782" spans="2:9" ht="15.75">
      <c r="B782" s="35" t="s">
        <v>1172</v>
      </c>
      <c r="C782" s="54"/>
      <c r="D782" s="35" t="s">
        <v>1173</v>
      </c>
      <c r="E782" s="36"/>
      <c r="F782" s="35" t="s">
        <v>1174</v>
      </c>
      <c r="G782" s="39"/>
      <c r="H782" s="35" t="s">
        <v>1174</v>
      </c>
      <c r="I782" s="38"/>
    </row>
    <row r="783" spans="2:9" ht="15.75">
      <c r="B783" s="53" t="s">
        <v>927</v>
      </c>
      <c r="C783" s="54"/>
      <c r="D783" s="35" t="s">
        <v>940</v>
      </c>
      <c r="E783" s="36"/>
      <c r="F783" s="35" t="s">
        <v>940</v>
      </c>
      <c r="G783" s="39"/>
      <c r="H783" s="35" t="s">
        <v>940</v>
      </c>
      <c r="I783" s="39"/>
    </row>
    <row r="784" spans="2:9">
      <c r="B784" s="33"/>
      <c r="C784" s="34"/>
      <c r="D784" s="33"/>
      <c r="E784" s="33"/>
      <c r="F784" s="33"/>
      <c r="G784" s="33"/>
      <c r="H784" s="33"/>
      <c r="I784" s="33"/>
    </row>
    <row r="785" spans="2:9" ht="15.75">
      <c r="B785" s="38">
        <v>6</v>
      </c>
      <c r="C785" s="34"/>
      <c r="D785" s="38">
        <v>3</v>
      </c>
      <c r="E785" s="33"/>
      <c r="F785" s="38">
        <v>3</v>
      </c>
      <c r="G785" s="33"/>
      <c r="H785" s="38">
        <v>3</v>
      </c>
      <c r="I785" s="33"/>
    </row>
    <row r="786" spans="2:9" ht="15.75">
      <c r="B786" s="39"/>
      <c r="C786" s="33"/>
      <c r="D786" s="33"/>
      <c r="E786" s="33"/>
      <c r="F786" s="33"/>
      <c r="G786" s="33"/>
      <c r="H786" s="33"/>
      <c r="I786" s="33"/>
    </row>
    <row r="787" spans="2:9" ht="15.75">
      <c r="B787" s="35" t="s">
        <v>20</v>
      </c>
      <c r="C787" s="39"/>
      <c r="D787" s="35" t="s">
        <v>22</v>
      </c>
      <c r="E787" s="33"/>
      <c r="F787" s="35" t="s">
        <v>22</v>
      </c>
      <c r="G787" s="39"/>
      <c r="H787" s="35" t="s">
        <v>23</v>
      </c>
      <c r="I787" s="39"/>
    </row>
    <row r="788" spans="2:9" ht="15.75">
      <c r="B788" s="35" t="s">
        <v>623</v>
      </c>
      <c r="C788" s="39"/>
      <c r="D788" s="35" t="s">
        <v>623</v>
      </c>
      <c r="E788" s="37"/>
      <c r="F788" s="35" t="s">
        <v>507</v>
      </c>
      <c r="G788" s="39"/>
      <c r="H788" s="35" t="s">
        <v>507</v>
      </c>
      <c r="I788" s="39"/>
    </row>
    <row r="789" spans="2:9" ht="15.75">
      <c r="B789" s="35" t="s">
        <v>632</v>
      </c>
      <c r="C789" s="38">
        <v>4</v>
      </c>
      <c r="D789" s="35" t="s">
        <v>511</v>
      </c>
      <c r="E789" s="38">
        <v>4</v>
      </c>
      <c r="F789" s="35" t="s">
        <v>511</v>
      </c>
      <c r="G789" s="38">
        <v>4</v>
      </c>
      <c r="H789" s="35" t="s">
        <v>511</v>
      </c>
      <c r="I789" s="38">
        <v>6</v>
      </c>
    </row>
    <row r="790" spans="2:9" ht="15.75">
      <c r="B790" s="35" t="s">
        <v>1174</v>
      </c>
      <c r="C790" s="39"/>
      <c r="D790" s="35" t="s">
        <v>1113</v>
      </c>
      <c r="E790" s="37"/>
      <c r="F790" s="35" t="s">
        <v>1114</v>
      </c>
      <c r="G790" s="39"/>
      <c r="H790" s="35" t="s">
        <v>1114</v>
      </c>
      <c r="I790" s="39"/>
    </row>
    <row r="791" spans="2:9" ht="15.75">
      <c r="B791" s="35" t="s">
        <v>940</v>
      </c>
      <c r="C791" s="39"/>
      <c r="D791" s="35" t="s">
        <v>940</v>
      </c>
      <c r="E791" s="37"/>
      <c r="F791" s="35" t="s">
        <v>940</v>
      </c>
      <c r="G791" s="39"/>
      <c r="H791" s="35" t="s">
        <v>940</v>
      </c>
      <c r="I791" s="39"/>
    </row>
    <row r="792" spans="2:9">
      <c r="B792" s="33"/>
      <c r="C792" s="33"/>
      <c r="D792" s="33"/>
      <c r="E792" s="33"/>
      <c r="F792" s="33"/>
      <c r="G792" s="33"/>
      <c r="H792" s="33"/>
      <c r="I792" s="33"/>
    </row>
    <row r="793" spans="2:9" ht="15.75">
      <c r="B793" s="38">
        <v>6</v>
      </c>
      <c r="C793" s="33"/>
      <c r="D793" s="38">
        <v>3</v>
      </c>
      <c r="E793" s="33"/>
      <c r="F793" s="38">
        <v>3</v>
      </c>
      <c r="G793" s="33"/>
      <c r="H793" s="38">
        <v>3</v>
      </c>
      <c r="I793" s="33"/>
    </row>
    <row r="794" spans="2:9" ht="15.75">
      <c r="B794" s="39"/>
      <c r="C794" s="33"/>
      <c r="D794" s="33"/>
      <c r="E794" s="33"/>
      <c r="F794" s="33"/>
      <c r="G794" s="33"/>
      <c r="H794" s="33"/>
      <c r="I794" s="33"/>
    </row>
    <row r="795" spans="2:9" ht="15.75">
      <c r="B795" s="35" t="s">
        <v>24</v>
      </c>
      <c r="C795" s="39"/>
      <c r="D795" s="35" t="s">
        <v>6</v>
      </c>
      <c r="E795" s="33"/>
      <c r="F795" s="35" t="s">
        <v>923</v>
      </c>
      <c r="G795" s="39"/>
      <c r="H795" s="35" t="s">
        <v>923</v>
      </c>
    </row>
    <row r="796" spans="2:9" ht="15.75">
      <c r="B796" s="35" t="s">
        <v>521</v>
      </c>
      <c r="C796" s="39"/>
      <c r="D796" s="35" t="s">
        <v>595</v>
      </c>
      <c r="E796" s="37"/>
      <c r="F796" s="35" t="s">
        <v>923</v>
      </c>
      <c r="G796" s="39"/>
      <c r="H796" s="35" t="s">
        <v>923</v>
      </c>
    </row>
    <row r="797" spans="2:9" ht="15.75">
      <c r="B797" s="35" t="s">
        <v>511</v>
      </c>
      <c r="C797" s="38">
        <v>4</v>
      </c>
      <c r="D797" s="35" t="s">
        <v>605</v>
      </c>
      <c r="E797" s="38" t="s">
        <v>923</v>
      </c>
      <c r="F797" s="35" t="s">
        <v>923</v>
      </c>
      <c r="G797" s="38" t="s">
        <v>923</v>
      </c>
      <c r="H797" s="35" t="s">
        <v>923</v>
      </c>
    </row>
    <row r="798" spans="2:9" ht="15.75">
      <c r="B798" s="35" t="s">
        <v>1114</v>
      </c>
      <c r="C798" s="39"/>
      <c r="D798" s="35" t="s">
        <v>1175</v>
      </c>
      <c r="E798" s="37"/>
      <c r="F798" s="35" t="s">
        <v>923</v>
      </c>
      <c r="G798" s="39"/>
      <c r="H798" s="35" t="s">
        <v>923</v>
      </c>
    </row>
    <row r="799" spans="2:9" ht="15.75">
      <c r="B799" s="35" t="s">
        <v>940</v>
      </c>
      <c r="C799" s="39"/>
      <c r="D799" s="35" t="s">
        <v>926</v>
      </c>
      <c r="E799" s="37"/>
      <c r="F799" s="35" t="s">
        <v>923</v>
      </c>
      <c r="G799" s="39"/>
      <c r="H799" s="35" t="s">
        <v>923</v>
      </c>
    </row>
    <row r="801" spans="2:9">
      <c r="B801" s="43" t="s">
        <v>100</v>
      </c>
      <c r="D801" s="44" t="s">
        <v>1176</v>
      </c>
    </row>
    <row r="802" spans="2:9">
      <c r="B802" s="45"/>
    </row>
    <row r="803" spans="2:9">
      <c r="B803" s="46" t="s">
        <v>101</v>
      </c>
      <c r="D803" s="47" t="s">
        <v>1177</v>
      </c>
    </row>
    <row r="804" spans="2:9">
      <c r="B804" s="50"/>
      <c r="C804" s="49"/>
      <c r="D804" s="49"/>
    </row>
    <row r="805" spans="2:9">
      <c r="B805" s="42" t="s">
        <v>546</v>
      </c>
    </row>
    <row r="807" spans="2:9" ht="15.75">
      <c r="B807" s="35" t="s">
        <v>5</v>
      </c>
      <c r="C807" s="54"/>
      <c r="D807" s="35" t="s">
        <v>17</v>
      </c>
      <c r="E807" s="33"/>
      <c r="F807" s="35" t="s">
        <v>18</v>
      </c>
      <c r="G807" s="39"/>
      <c r="H807" s="35" t="s">
        <v>19</v>
      </c>
      <c r="I807" s="39"/>
    </row>
    <row r="808" spans="2:9" ht="15.75">
      <c r="B808" s="35" t="s">
        <v>453</v>
      </c>
      <c r="C808" s="54"/>
      <c r="D808" s="35" t="s">
        <v>754</v>
      </c>
      <c r="E808" s="36"/>
      <c r="F808" s="35" t="s">
        <v>714</v>
      </c>
      <c r="G808" s="39"/>
      <c r="H808" s="35" t="s">
        <v>624</v>
      </c>
      <c r="I808" s="39"/>
    </row>
    <row r="809" spans="2:9" ht="15.75">
      <c r="B809" s="35" t="s">
        <v>576</v>
      </c>
      <c r="C809" s="40">
        <v>4</v>
      </c>
      <c r="D809" s="35" t="s">
        <v>658</v>
      </c>
      <c r="E809" s="40">
        <v>4</v>
      </c>
      <c r="F809" s="35" t="s">
        <v>633</v>
      </c>
      <c r="G809" s="38">
        <v>4</v>
      </c>
      <c r="H809" s="35" t="s">
        <v>633</v>
      </c>
      <c r="I809" s="38">
        <v>6</v>
      </c>
    </row>
    <row r="810" spans="2:9" ht="15.75">
      <c r="B810" s="35" t="s">
        <v>1178</v>
      </c>
      <c r="C810" s="54"/>
      <c r="D810" s="35" t="s">
        <v>1179</v>
      </c>
      <c r="E810" s="36"/>
      <c r="F810" s="35" t="s">
        <v>1180</v>
      </c>
      <c r="G810" s="39"/>
      <c r="H810" s="35" t="s">
        <v>1180</v>
      </c>
      <c r="I810" s="38"/>
    </row>
    <row r="811" spans="2:9" ht="15.75">
      <c r="B811" s="53" t="s">
        <v>927</v>
      </c>
      <c r="C811" s="54"/>
      <c r="D811" s="35" t="s">
        <v>940</v>
      </c>
      <c r="E811" s="36"/>
      <c r="F811" s="35" t="s">
        <v>940</v>
      </c>
      <c r="G811" s="39"/>
      <c r="H811" s="35" t="s">
        <v>940</v>
      </c>
      <c r="I811" s="39"/>
    </row>
    <row r="812" spans="2:9">
      <c r="B812" s="33"/>
      <c r="C812" s="34"/>
      <c r="D812" s="33"/>
      <c r="E812" s="33"/>
      <c r="F812" s="33"/>
      <c r="G812" s="33"/>
      <c r="H812" s="33"/>
      <c r="I812" s="33"/>
    </row>
    <row r="813" spans="2:9" ht="15.75">
      <c r="B813" s="38">
        <v>6</v>
      </c>
      <c r="C813" s="34"/>
      <c r="D813" s="38">
        <v>3</v>
      </c>
      <c r="E813" s="33"/>
      <c r="F813" s="38">
        <v>3</v>
      </c>
      <c r="G813" s="33"/>
      <c r="H813" s="38">
        <v>3</v>
      </c>
      <c r="I813" s="33"/>
    </row>
    <row r="814" spans="2:9" ht="15.75">
      <c r="B814" s="39"/>
      <c r="C814" s="33"/>
      <c r="D814" s="33"/>
      <c r="E814" s="33"/>
      <c r="F814" s="33"/>
      <c r="G814" s="33"/>
      <c r="H814" s="33"/>
      <c r="I814" s="33"/>
    </row>
    <row r="815" spans="2:9" ht="15.75">
      <c r="B815" s="35" t="s">
        <v>20</v>
      </c>
      <c r="C815" s="39"/>
      <c r="D815" s="35" t="s">
        <v>23</v>
      </c>
      <c r="E815" s="33"/>
      <c r="F815" s="35" t="s">
        <v>22</v>
      </c>
      <c r="G815" s="39"/>
      <c r="H815" s="35" t="s">
        <v>23</v>
      </c>
      <c r="I815" s="39"/>
    </row>
    <row r="816" spans="2:9" ht="15.75">
      <c r="B816" s="35" t="s">
        <v>624</v>
      </c>
      <c r="C816" s="39"/>
      <c r="D816" s="35" t="s">
        <v>624</v>
      </c>
      <c r="E816" s="37"/>
      <c r="F816" s="35" t="s">
        <v>508</v>
      </c>
      <c r="G816" s="39"/>
      <c r="H816" s="35" t="s">
        <v>508</v>
      </c>
      <c r="I816" s="39"/>
    </row>
    <row r="817" spans="2:9" ht="15.75">
      <c r="B817" s="35" t="s">
        <v>633</v>
      </c>
      <c r="C817" s="38">
        <v>4</v>
      </c>
      <c r="D817" s="35" t="s">
        <v>512</v>
      </c>
      <c r="E817" s="38">
        <v>4</v>
      </c>
      <c r="F817" s="35" t="s">
        <v>512</v>
      </c>
      <c r="G817" s="38">
        <v>4</v>
      </c>
      <c r="H817" s="35" t="s">
        <v>512</v>
      </c>
      <c r="I817" s="38">
        <v>6</v>
      </c>
    </row>
    <row r="818" spans="2:9" ht="15.75">
      <c r="B818" s="35" t="s">
        <v>1180</v>
      </c>
      <c r="C818" s="39"/>
      <c r="D818" s="35" t="s">
        <v>1120</v>
      </c>
      <c r="E818" s="37"/>
      <c r="F818" s="35" t="s">
        <v>1121</v>
      </c>
      <c r="G818" s="39"/>
      <c r="H818" s="35" t="s">
        <v>1121</v>
      </c>
      <c r="I818" s="39"/>
    </row>
    <row r="819" spans="2:9" ht="15.75">
      <c r="B819" s="35" t="s">
        <v>940</v>
      </c>
      <c r="C819" s="39"/>
      <c r="D819" s="35" t="s">
        <v>940</v>
      </c>
      <c r="E819" s="37"/>
      <c r="F819" s="35" t="s">
        <v>940</v>
      </c>
      <c r="G819" s="39"/>
      <c r="H819" s="35" t="s">
        <v>940</v>
      </c>
      <c r="I819" s="39"/>
    </row>
    <row r="820" spans="2:9">
      <c r="B820" s="33"/>
      <c r="C820" s="33"/>
      <c r="D820" s="33"/>
      <c r="E820" s="33"/>
      <c r="F820" s="33"/>
      <c r="G820" s="33"/>
      <c r="H820" s="33"/>
      <c r="I820" s="33"/>
    </row>
    <row r="821" spans="2:9" ht="15.75">
      <c r="B821" s="38">
        <v>6</v>
      </c>
      <c r="C821" s="33"/>
      <c r="D821" s="38">
        <v>3</v>
      </c>
      <c r="E821" s="33"/>
      <c r="F821" s="38">
        <v>3</v>
      </c>
      <c r="G821" s="33"/>
      <c r="H821" s="38">
        <v>3</v>
      </c>
      <c r="I821" s="33"/>
    </row>
    <row r="822" spans="2:9" ht="15.75">
      <c r="B822" s="39"/>
      <c r="C822" s="33"/>
      <c r="D822" s="33"/>
      <c r="E822" s="33"/>
      <c r="F822" s="33"/>
      <c r="G822" s="33"/>
      <c r="H822" s="33"/>
      <c r="I822" s="33"/>
    </row>
    <row r="823" spans="2:9" ht="15.75">
      <c r="B823" s="35" t="s">
        <v>24</v>
      </c>
      <c r="C823" s="39"/>
      <c r="D823" s="35" t="s">
        <v>25</v>
      </c>
      <c r="E823" s="33"/>
      <c r="F823" s="35" t="s">
        <v>6</v>
      </c>
      <c r="G823" s="39"/>
      <c r="H823" s="35" t="s">
        <v>923</v>
      </c>
    </row>
    <row r="824" spans="2:9" ht="15.75">
      <c r="B824" s="35" t="s">
        <v>522</v>
      </c>
      <c r="C824" s="39"/>
      <c r="D824" s="35" t="s">
        <v>508</v>
      </c>
      <c r="E824" s="37"/>
      <c r="F824" s="35" t="s">
        <v>596</v>
      </c>
      <c r="G824" s="39"/>
      <c r="H824" s="35" t="s">
        <v>923</v>
      </c>
    </row>
    <row r="825" spans="2:9" ht="15.75">
      <c r="B825" s="35" t="s">
        <v>512</v>
      </c>
      <c r="C825" s="38">
        <v>4</v>
      </c>
      <c r="D825" s="35" t="s">
        <v>512</v>
      </c>
      <c r="E825" s="38">
        <v>4</v>
      </c>
      <c r="F825" s="35" t="s">
        <v>606</v>
      </c>
      <c r="G825" s="38" t="s">
        <v>923</v>
      </c>
      <c r="H825" s="35" t="s">
        <v>923</v>
      </c>
    </row>
    <row r="826" spans="2:9" ht="15.75">
      <c r="B826" s="35" t="s">
        <v>1121</v>
      </c>
      <c r="C826" s="39"/>
      <c r="D826" s="35" t="s">
        <v>1121</v>
      </c>
      <c r="E826" s="37"/>
      <c r="F826" s="35" t="s">
        <v>1181</v>
      </c>
      <c r="G826" s="39"/>
      <c r="H826" s="35" t="s">
        <v>923</v>
      </c>
    </row>
    <row r="827" spans="2:9" ht="15.75">
      <c r="B827" s="35" t="s">
        <v>940</v>
      </c>
      <c r="C827" s="39"/>
      <c r="D827" s="35" t="s">
        <v>940</v>
      </c>
      <c r="E827" s="37"/>
      <c r="F827" s="35" t="s">
        <v>926</v>
      </c>
      <c r="G827" s="39"/>
      <c r="H827" s="35" t="s">
        <v>923</v>
      </c>
    </row>
    <row r="829" spans="2:9">
      <c r="B829" s="43" t="s">
        <v>100</v>
      </c>
      <c r="D829" s="44" t="s">
        <v>1182</v>
      </c>
    </row>
    <row r="830" spans="2:9">
      <c r="B830" s="45"/>
    </row>
    <row r="831" spans="2:9">
      <c r="B831" s="46" t="s">
        <v>101</v>
      </c>
      <c r="D831" s="47" t="s">
        <v>1183</v>
      </c>
    </row>
    <row r="832" spans="2:9">
      <c r="B832" s="50"/>
      <c r="C832" s="49"/>
      <c r="D832" s="49"/>
    </row>
    <row r="833" spans="2:9">
      <c r="B833" s="42" t="s">
        <v>547</v>
      </c>
    </row>
    <row r="835" spans="2:9" ht="15.75">
      <c r="B835" s="35" t="s">
        <v>5</v>
      </c>
      <c r="C835" s="54"/>
      <c r="D835" s="35" t="s">
        <v>17</v>
      </c>
      <c r="E835" s="33"/>
      <c r="F835" s="35" t="s">
        <v>18</v>
      </c>
      <c r="G835" s="39"/>
      <c r="H835" s="35" t="s">
        <v>19</v>
      </c>
      <c r="I835" s="39"/>
    </row>
    <row r="836" spans="2:9" ht="15.75">
      <c r="B836" s="35" t="s">
        <v>454</v>
      </c>
      <c r="C836" s="54"/>
      <c r="D836" s="35" t="s">
        <v>755</v>
      </c>
      <c r="E836" s="36"/>
      <c r="F836" s="35" t="s">
        <v>715</v>
      </c>
      <c r="G836" s="39"/>
      <c r="H836" s="35" t="s">
        <v>625</v>
      </c>
      <c r="I836" s="39"/>
    </row>
    <row r="837" spans="2:9" ht="15.75">
      <c r="B837" s="35" t="s">
        <v>577</v>
      </c>
      <c r="C837" s="40">
        <v>4</v>
      </c>
      <c r="D837" s="35" t="s">
        <v>649</v>
      </c>
      <c r="E837" s="40">
        <v>4</v>
      </c>
      <c r="F837" s="35" t="s">
        <v>259</v>
      </c>
      <c r="G837" s="38">
        <v>4</v>
      </c>
      <c r="H837" s="35" t="s">
        <v>259</v>
      </c>
      <c r="I837" s="38">
        <v>6</v>
      </c>
    </row>
    <row r="838" spans="2:9" ht="15.75">
      <c r="B838" s="35" t="s">
        <v>1184</v>
      </c>
      <c r="C838" s="54"/>
      <c r="D838" s="35" t="s">
        <v>1185</v>
      </c>
      <c r="E838" s="36"/>
      <c r="F838" s="35" t="s">
        <v>1186</v>
      </c>
      <c r="G838" s="39"/>
      <c r="H838" s="35" t="s">
        <v>1186</v>
      </c>
      <c r="I838" s="38"/>
    </row>
    <row r="839" spans="2:9" ht="15.75">
      <c r="B839" s="53" t="s">
        <v>927</v>
      </c>
      <c r="C839" s="54"/>
      <c r="D839" s="35" t="s">
        <v>940</v>
      </c>
      <c r="E839" s="36"/>
      <c r="F839" s="35" t="s">
        <v>940</v>
      </c>
      <c r="G839" s="39"/>
      <c r="H839" s="35" t="s">
        <v>940</v>
      </c>
      <c r="I839" s="39"/>
    </row>
    <row r="840" spans="2:9">
      <c r="B840" s="33"/>
      <c r="C840" s="34"/>
      <c r="D840" s="33"/>
      <c r="E840" s="33"/>
      <c r="F840" s="33"/>
      <c r="G840" s="33"/>
      <c r="H840" s="33"/>
      <c r="I840" s="33"/>
    </row>
    <row r="841" spans="2:9" ht="15.75">
      <c r="B841" s="38">
        <v>6</v>
      </c>
      <c r="C841" s="34"/>
      <c r="D841" s="38">
        <v>3</v>
      </c>
      <c r="E841" s="33"/>
      <c r="F841" s="38">
        <v>3</v>
      </c>
      <c r="G841" s="33"/>
      <c r="H841" s="38">
        <v>3</v>
      </c>
      <c r="I841" s="33"/>
    </row>
    <row r="842" spans="2:9" ht="15.75">
      <c r="B842" s="39"/>
      <c r="C842" s="33"/>
      <c r="D842" s="33"/>
      <c r="E842" s="33"/>
      <c r="F842" s="33"/>
      <c r="G842" s="33"/>
      <c r="H842" s="33"/>
      <c r="I842" s="33"/>
    </row>
    <row r="843" spans="2:9" ht="15.75">
      <c r="B843" s="35" t="s">
        <v>20</v>
      </c>
      <c r="C843" s="39"/>
      <c r="D843" s="35" t="s">
        <v>24</v>
      </c>
      <c r="E843" s="33"/>
      <c r="F843" s="35" t="s">
        <v>22</v>
      </c>
      <c r="G843" s="39"/>
      <c r="H843" s="35" t="s">
        <v>23</v>
      </c>
      <c r="I843" s="39"/>
    </row>
    <row r="844" spans="2:9" ht="15.75">
      <c r="B844" s="35" t="s">
        <v>625</v>
      </c>
      <c r="C844" s="39"/>
      <c r="D844" s="35" t="s">
        <v>625</v>
      </c>
      <c r="E844" s="37"/>
      <c r="F844" s="35" t="s">
        <v>241</v>
      </c>
      <c r="G844" s="39"/>
      <c r="H844" s="35" t="s">
        <v>241</v>
      </c>
      <c r="I844" s="39"/>
    </row>
    <row r="845" spans="2:9" ht="15.75">
      <c r="B845" s="35" t="s">
        <v>259</v>
      </c>
      <c r="C845" s="38">
        <v>4</v>
      </c>
      <c r="D845" s="35" t="s">
        <v>249</v>
      </c>
      <c r="E845" s="38">
        <v>4</v>
      </c>
      <c r="F845" s="35" t="s">
        <v>249</v>
      </c>
      <c r="G845" s="38">
        <v>4</v>
      </c>
      <c r="H845" s="35" t="s">
        <v>249</v>
      </c>
      <c r="I845" s="38">
        <v>6</v>
      </c>
    </row>
    <row r="846" spans="2:9" ht="15.75">
      <c r="B846" s="35" t="s">
        <v>1186</v>
      </c>
      <c r="C846" s="39"/>
      <c r="D846" s="35" t="s">
        <v>1127</v>
      </c>
      <c r="E846" s="37"/>
      <c r="F846" s="35" t="s">
        <v>1127</v>
      </c>
      <c r="G846" s="39"/>
      <c r="H846" s="35" t="s">
        <v>1127</v>
      </c>
      <c r="I846" s="39"/>
    </row>
    <row r="847" spans="2:9" ht="15.75">
      <c r="B847" s="35" t="s">
        <v>940</v>
      </c>
      <c r="C847" s="39"/>
      <c r="D847" s="35" t="s">
        <v>940</v>
      </c>
      <c r="E847" s="37"/>
      <c r="F847" s="35" t="s">
        <v>940</v>
      </c>
      <c r="G847" s="39"/>
      <c r="H847" s="35" t="s">
        <v>940</v>
      </c>
      <c r="I847" s="39"/>
    </row>
    <row r="848" spans="2:9">
      <c r="B848" s="33"/>
      <c r="C848" s="33"/>
      <c r="D848" s="33"/>
      <c r="E848" s="33"/>
      <c r="F848" s="33"/>
      <c r="G848" s="33"/>
      <c r="H848" s="33"/>
      <c r="I848" s="33"/>
    </row>
    <row r="849" spans="2:9" ht="15.75">
      <c r="B849" s="38">
        <v>6</v>
      </c>
      <c r="C849" s="33"/>
      <c r="D849" s="38">
        <v>3</v>
      </c>
      <c r="E849" s="33"/>
      <c r="F849" s="38">
        <v>3</v>
      </c>
      <c r="G849" s="33"/>
      <c r="H849" s="38">
        <v>3</v>
      </c>
      <c r="I849" s="33"/>
    </row>
    <row r="850" spans="2:9" ht="15.75">
      <c r="B850" s="39"/>
      <c r="C850" s="33"/>
      <c r="D850" s="33"/>
      <c r="E850" s="33"/>
      <c r="F850" s="33"/>
      <c r="G850" s="33"/>
      <c r="H850" s="33"/>
      <c r="I850" s="33"/>
    </row>
    <row r="851" spans="2:9" ht="15.75">
      <c r="B851" s="35" t="s">
        <v>24</v>
      </c>
      <c r="C851" s="39"/>
      <c r="D851" s="35" t="s">
        <v>25</v>
      </c>
      <c r="E851" s="33"/>
      <c r="F851" s="35" t="s">
        <v>26</v>
      </c>
      <c r="G851" s="39"/>
      <c r="H851" s="35" t="s">
        <v>6</v>
      </c>
    </row>
    <row r="852" spans="2:9" ht="15.75">
      <c r="B852" s="35" t="s">
        <v>523</v>
      </c>
      <c r="C852" s="39"/>
      <c r="D852" s="35" t="s">
        <v>241</v>
      </c>
      <c r="E852" s="37"/>
      <c r="F852" s="35" t="s">
        <v>517</v>
      </c>
      <c r="G852" s="39"/>
      <c r="H852" s="35" t="s">
        <v>597</v>
      </c>
    </row>
    <row r="853" spans="2:9" ht="15.75">
      <c r="B853" s="35" t="s">
        <v>249</v>
      </c>
      <c r="C853" s="38">
        <v>4</v>
      </c>
      <c r="D853" s="35" t="s">
        <v>249</v>
      </c>
      <c r="E853" s="38">
        <v>4</v>
      </c>
      <c r="F853" s="35" t="s">
        <v>249</v>
      </c>
      <c r="G853" s="38">
        <v>4</v>
      </c>
      <c r="H853" s="35" t="s">
        <v>607</v>
      </c>
    </row>
    <row r="854" spans="2:9" ht="15.75">
      <c r="B854" s="35" t="s">
        <v>1127</v>
      </c>
      <c r="C854" s="39"/>
      <c r="D854" s="35" t="s">
        <v>1127</v>
      </c>
      <c r="E854" s="37"/>
      <c r="F854" s="35" t="s">
        <v>1127</v>
      </c>
      <c r="G854" s="39"/>
      <c r="H854" s="35" t="s">
        <v>1187</v>
      </c>
    </row>
    <row r="855" spans="2:9" ht="15.75">
      <c r="B855" s="35" t="s">
        <v>940</v>
      </c>
      <c r="C855" s="39"/>
      <c r="D855" s="35" t="s">
        <v>940</v>
      </c>
      <c r="E855" s="37"/>
      <c r="F855" s="35" t="s">
        <v>940</v>
      </c>
      <c r="G855" s="39"/>
      <c r="H855" s="35" t="s">
        <v>926</v>
      </c>
    </row>
    <row r="857" spans="2:9">
      <c r="B857" s="43" t="s">
        <v>100</v>
      </c>
      <c r="D857" s="44" t="s">
        <v>1188</v>
      </c>
    </row>
    <row r="858" spans="2:9">
      <c r="B858" s="45"/>
    </row>
    <row r="859" spans="2:9">
      <c r="B859" s="46" t="s">
        <v>101</v>
      </c>
      <c r="D859" s="47" t="s">
        <v>1189</v>
      </c>
    </row>
    <row r="861" spans="2:9">
      <c r="B861" s="55" t="s">
        <v>788</v>
      </c>
    </row>
    <row r="863" spans="2:9">
      <c r="B863" s="42" t="s">
        <v>789</v>
      </c>
    </row>
    <row r="865" spans="2:9" ht="15.75">
      <c r="B865" s="35" t="s">
        <v>5</v>
      </c>
      <c r="C865" s="54"/>
      <c r="D865" s="35" t="s">
        <v>17</v>
      </c>
      <c r="E865" s="33"/>
      <c r="F865" s="35" t="s">
        <v>6</v>
      </c>
      <c r="G865" s="39"/>
      <c r="H865" s="35" t="s">
        <v>923</v>
      </c>
      <c r="I865" s="39"/>
    </row>
    <row r="866" spans="2:9" ht="15.75">
      <c r="B866" s="35" t="s">
        <v>424</v>
      </c>
      <c r="C866" s="54"/>
      <c r="D866" s="35" t="s">
        <v>746</v>
      </c>
      <c r="E866" s="36"/>
      <c r="F866" s="35" t="s">
        <v>588</v>
      </c>
      <c r="G866" s="39"/>
      <c r="H866" s="35" t="s">
        <v>923</v>
      </c>
      <c r="I866" s="39"/>
    </row>
    <row r="867" spans="2:9" ht="15.75">
      <c r="B867" s="35" t="s">
        <v>568</v>
      </c>
      <c r="C867" s="40">
        <v>4</v>
      </c>
      <c r="D867" s="35" t="s">
        <v>650</v>
      </c>
      <c r="E867" s="40">
        <v>4</v>
      </c>
      <c r="F867" s="35" t="s">
        <v>598</v>
      </c>
      <c r="G867" s="38" t="s">
        <v>923</v>
      </c>
      <c r="H867" s="35" t="s">
        <v>923</v>
      </c>
      <c r="I867" s="38" t="s">
        <v>923</v>
      </c>
    </row>
    <row r="868" spans="2:9" ht="15.75">
      <c r="B868" s="35" t="s">
        <v>1131</v>
      </c>
      <c r="C868" s="54"/>
      <c r="D868" s="35" t="s">
        <v>1132</v>
      </c>
      <c r="E868" s="36"/>
      <c r="F868" s="35" t="s">
        <v>1133</v>
      </c>
      <c r="G868" s="39"/>
      <c r="H868" s="35" t="s">
        <v>923</v>
      </c>
      <c r="I868" s="38"/>
    </row>
    <row r="869" spans="2:9" ht="15.75">
      <c r="B869" s="53" t="s">
        <v>927</v>
      </c>
      <c r="C869" s="54"/>
      <c r="D869" s="35" t="s">
        <v>940</v>
      </c>
      <c r="E869" s="36"/>
      <c r="F869" s="35" t="s">
        <v>926</v>
      </c>
      <c r="G869" s="39"/>
      <c r="H869" s="35" t="s">
        <v>923</v>
      </c>
      <c r="I869" s="39"/>
    </row>
    <row r="870" spans="2:9">
      <c r="B870" s="33"/>
      <c r="C870" s="34"/>
      <c r="D870" s="33"/>
      <c r="E870" s="33"/>
      <c r="F870" s="33"/>
      <c r="G870" s="33"/>
      <c r="H870" s="33"/>
      <c r="I870" s="33"/>
    </row>
    <row r="871" spans="2:9">
      <c r="B871" s="43" t="s">
        <v>100</v>
      </c>
      <c r="D871" s="44" t="s">
        <v>1134</v>
      </c>
    </row>
    <row r="872" spans="2:9">
      <c r="B872" s="45"/>
    </row>
    <row r="873" spans="2:9">
      <c r="B873" s="46" t="s">
        <v>101</v>
      </c>
      <c r="D873" s="47" t="s">
        <v>1135</v>
      </c>
    </row>
    <row r="875" spans="2:9">
      <c r="B875" s="42" t="s">
        <v>790</v>
      </c>
    </row>
    <row r="877" spans="2:9" ht="15.75">
      <c r="B877" s="35" t="s">
        <v>5</v>
      </c>
      <c r="C877" s="54"/>
      <c r="D877" s="35" t="s">
        <v>17</v>
      </c>
      <c r="E877" s="33"/>
      <c r="F877" s="35" t="s">
        <v>18</v>
      </c>
      <c r="G877" s="39"/>
      <c r="H877" s="35" t="s">
        <v>6</v>
      </c>
      <c r="I877" s="39"/>
    </row>
    <row r="878" spans="2:9" ht="15.75">
      <c r="B878" s="35" t="s">
        <v>446</v>
      </c>
      <c r="C878" s="54"/>
      <c r="D878" s="35" t="s">
        <v>747</v>
      </c>
      <c r="E878" s="36"/>
      <c r="F878" s="35" t="s">
        <v>707</v>
      </c>
      <c r="G878" s="39"/>
      <c r="H878" s="35" t="s">
        <v>589</v>
      </c>
      <c r="I878" s="39"/>
    </row>
    <row r="879" spans="2:9" ht="15.75">
      <c r="B879" s="35" t="s">
        <v>569</v>
      </c>
      <c r="C879" s="40">
        <v>4</v>
      </c>
      <c r="D879" s="35" t="s">
        <v>651</v>
      </c>
      <c r="E879" s="40">
        <v>4</v>
      </c>
      <c r="F879" s="35" t="s">
        <v>626</v>
      </c>
      <c r="G879" s="38">
        <v>4</v>
      </c>
      <c r="H879" s="35" t="s">
        <v>599</v>
      </c>
      <c r="I879" s="38" t="s">
        <v>923</v>
      </c>
    </row>
    <row r="880" spans="2:9" ht="15.75">
      <c r="B880" s="35" t="s">
        <v>1136</v>
      </c>
      <c r="C880" s="54"/>
      <c r="D880" s="35" t="s">
        <v>1137</v>
      </c>
      <c r="E880" s="36"/>
      <c r="F880" s="35" t="s">
        <v>1138</v>
      </c>
      <c r="G880" s="39"/>
      <c r="H880" s="35" t="s">
        <v>1139</v>
      </c>
      <c r="I880" s="38"/>
    </row>
    <row r="881" spans="2:9" ht="15.75">
      <c r="B881" s="53" t="s">
        <v>927</v>
      </c>
      <c r="C881" s="54"/>
      <c r="D881" s="35" t="s">
        <v>940</v>
      </c>
      <c r="E881" s="36"/>
      <c r="F881" s="35" t="s">
        <v>940</v>
      </c>
      <c r="G881" s="39"/>
      <c r="H881" s="35" t="s">
        <v>926</v>
      </c>
      <c r="I881" s="39"/>
    </row>
    <row r="882" spans="2:9">
      <c r="B882" s="33"/>
      <c r="C882" s="34"/>
      <c r="D882" s="33"/>
      <c r="E882" s="33"/>
      <c r="F882" s="33"/>
      <c r="G882" s="33"/>
      <c r="H882" s="33"/>
      <c r="I882" s="33"/>
    </row>
    <row r="883" spans="2:9">
      <c r="B883" s="43" t="s">
        <v>100</v>
      </c>
      <c r="D883" s="44" t="s">
        <v>1140</v>
      </c>
    </row>
    <row r="884" spans="2:9">
      <c r="B884" s="45"/>
    </row>
    <row r="885" spans="2:9">
      <c r="B885" s="46" t="s">
        <v>101</v>
      </c>
      <c r="D885" s="47" t="s">
        <v>1141</v>
      </c>
    </row>
    <row r="887" spans="2:9">
      <c r="B887" s="42" t="s">
        <v>791</v>
      </c>
    </row>
    <row r="889" spans="2:9" ht="15.75">
      <c r="B889" s="35" t="s">
        <v>5</v>
      </c>
      <c r="C889" s="54"/>
      <c r="D889" s="35" t="s">
        <v>17</v>
      </c>
      <c r="E889" s="33"/>
      <c r="F889" s="35" t="s">
        <v>18</v>
      </c>
      <c r="G889" s="39"/>
      <c r="H889" s="35" t="s">
        <v>19</v>
      </c>
      <c r="I889" s="39"/>
    </row>
    <row r="890" spans="2:9" ht="15.75">
      <c r="B890" s="35" t="s">
        <v>447</v>
      </c>
      <c r="C890" s="54"/>
      <c r="D890" s="35" t="s">
        <v>748</v>
      </c>
      <c r="E890" s="36"/>
      <c r="F890" s="35" t="s">
        <v>708</v>
      </c>
      <c r="G890" s="39"/>
      <c r="H890" s="35" t="s">
        <v>618</v>
      </c>
      <c r="I890" s="39"/>
    </row>
    <row r="891" spans="2:9" ht="15.75">
      <c r="B891" s="35" t="s">
        <v>570</v>
      </c>
      <c r="C891" s="40">
        <v>4</v>
      </c>
      <c r="D891" s="35" t="s">
        <v>652</v>
      </c>
      <c r="E891" s="40">
        <v>4</v>
      </c>
      <c r="F891" s="35" t="s">
        <v>627</v>
      </c>
      <c r="G891" s="38">
        <v>4</v>
      </c>
      <c r="H891" s="35" t="s">
        <v>627</v>
      </c>
      <c r="I891" s="38">
        <v>6</v>
      </c>
    </row>
    <row r="892" spans="2:9" ht="15.75">
      <c r="B892" s="35" t="s">
        <v>1142</v>
      </c>
      <c r="C892" s="54"/>
      <c r="D892" s="35" t="s">
        <v>1143</v>
      </c>
      <c r="E892" s="36"/>
      <c r="F892" s="35" t="s">
        <v>1144</v>
      </c>
      <c r="G892" s="39"/>
      <c r="H892" s="35" t="s">
        <v>1144</v>
      </c>
      <c r="I892" s="38"/>
    </row>
    <row r="893" spans="2:9" ht="15.75">
      <c r="B893" s="53" t="s">
        <v>927</v>
      </c>
      <c r="C893" s="54"/>
      <c r="D893" s="35" t="s">
        <v>940</v>
      </c>
      <c r="E893" s="36"/>
      <c r="F893" s="35" t="s">
        <v>940</v>
      </c>
      <c r="G893" s="39"/>
      <c r="H893" s="35" t="s">
        <v>940</v>
      </c>
      <c r="I893" s="39"/>
    </row>
    <row r="894" spans="2:9">
      <c r="B894" s="33"/>
      <c r="C894" s="34"/>
      <c r="D894" s="33"/>
      <c r="E894" s="33"/>
      <c r="F894" s="33"/>
      <c r="G894" s="33"/>
      <c r="H894" s="33"/>
      <c r="I894" s="33"/>
    </row>
    <row r="895" spans="2:9" ht="15.75">
      <c r="B895" s="38">
        <v>6</v>
      </c>
      <c r="C895" s="34"/>
      <c r="D895" s="38">
        <v>3</v>
      </c>
      <c r="E895" s="33"/>
      <c r="F895" s="38">
        <v>3</v>
      </c>
      <c r="G895" s="33"/>
      <c r="H895" s="38">
        <v>3</v>
      </c>
      <c r="I895" s="33"/>
    </row>
    <row r="896" spans="2:9" ht="15.75">
      <c r="B896" s="39"/>
      <c r="C896" s="33"/>
      <c r="D896" s="33"/>
      <c r="E896" s="33"/>
      <c r="F896" s="33"/>
      <c r="G896" s="33"/>
      <c r="H896" s="33"/>
      <c r="I896" s="33"/>
    </row>
    <row r="897" spans="2:9" ht="15.75">
      <c r="B897" s="35" t="s">
        <v>6</v>
      </c>
      <c r="C897" s="39"/>
      <c r="D897" s="35" t="s">
        <v>923</v>
      </c>
      <c r="E897" s="33"/>
      <c r="F897" s="35" t="s">
        <v>923</v>
      </c>
      <c r="G897" s="39"/>
      <c r="H897" s="35" t="s">
        <v>923</v>
      </c>
      <c r="I897" s="39"/>
    </row>
    <row r="898" spans="2:9" ht="15.75">
      <c r="B898" s="35" t="s">
        <v>590</v>
      </c>
      <c r="C898" s="39"/>
      <c r="D898" s="35" t="s">
        <v>923</v>
      </c>
      <c r="E898" s="37"/>
      <c r="F898" s="35" t="s">
        <v>923</v>
      </c>
      <c r="G898" s="39"/>
      <c r="H898" s="35" t="s">
        <v>923</v>
      </c>
      <c r="I898" s="39"/>
    </row>
    <row r="899" spans="2:9" ht="15.75">
      <c r="B899" s="35" t="s">
        <v>600</v>
      </c>
      <c r="C899" s="38" t="s">
        <v>923</v>
      </c>
      <c r="D899" s="35" t="s">
        <v>923</v>
      </c>
      <c r="E899" s="38" t="s">
        <v>923</v>
      </c>
      <c r="F899" s="35" t="s">
        <v>923</v>
      </c>
      <c r="G899" s="38" t="s">
        <v>923</v>
      </c>
      <c r="H899" s="35" t="s">
        <v>923</v>
      </c>
      <c r="I899" s="38" t="s">
        <v>923</v>
      </c>
    </row>
    <row r="900" spans="2:9" ht="15.75">
      <c r="B900" s="35" t="s">
        <v>1145</v>
      </c>
      <c r="C900" s="39"/>
      <c r="D900" s="35" t="s">
        <v>923</v>
      </c>
      <c r="E900" s="37"/>
      <c r="F900" s="35" t="s">
        <v>923</v>
      </c>
      <c r="G900" s="39"/>
      <c r="H900" s="35" t="s">
        <v>923</v>
      </c>
      <c r="I900" s="39"/>
    </row>
    <row r="901" spans="2:9" ht="15.75">
      <c r="B901" s="35" t="s">
        <v>926</v>
      </c>
      <c r="C901" s="39"/>
      <c r="D901" s="35" t="s">
        <v>923</v>
      </c>
      <c r="E901" s="37"/>
      <c r="F901" s="35" t="s">
        <v>923</v>
      </c>
      <c r="G901" s="39"/>
      <c r="H901" s="35" t="s">
        <v>923</v>
      </c>
      <c r="I901" s="39"/>
    </row>
    <row r="902" spans="2:9">
      <c r="B902" s="33"/>
      <c r="C902" s="33"/>
      <c r="D902" s="33"/>
      <c r="E902" s="33"/>
      <c r="F902" s="33"/>
      <c r="G902" s="33"/>
      <c r="H902" s="33"/>
      <c r="I902" s="33"/>
    </row>
    <row r="903" spans="2:9">
      <c r="B903" s="43" t="s">
        <v>100</v>
      </c>
      <c r="D903" s="44" t="s">
        <v>1146</v>
      </c>
    </row>
    <row r="904" spans="2:9">
      <c r="B904" s="45"/>
    </row>
    <row r="905" spans="2:9">
      <c r="B905" s="46" t="s">
        <v>101</v>
      </c>
      <c r="D905" s="47" t="s">
        <v>1147</v>
      </c>
    </row>
    <row r="907" spans="2:9">
      <c r="B907" s="42" t="s">
        <v>792</v>
      </c>
    </row>
    <row r="909" spans="2:9" ht="15.75">
      <c r="B909" s="35" t="s">
        <v>5</v>
      </c>
      <c r="C909" s="54"/>
      <c r="D909" s="35" t="s">
        <v>17</v>
      </c>
      <c r="E909" s="33"/>
      <c r="F909" s="35" t="s">
        <v>18</v>
      </c>
      <c r="G909" s="39"/>
      <c r="H909" s="35" t="s">
        <v>19</v>
      </c>
      <c r="I909" s="39"/>
    </row>
    <row r="910" spans="2:9" ht="15.75">
      <c r="B910" s="35" t="s">
        <v>448</v>
      </c>
      <c r="C910" s="54"/>
      <c r="D910" s="35" t="s">
        <v>749</v>
      </c>
      <c r="E910" s="36"/>
      <c r="F910" s="35" t="s">
        <v>709</v>
      </c>
      <c r="G910" s="39"/>
      <c r="H910" s="35" t="s">
        <v>619</v>
      </c>
      <c r="I910" s="39"/>
    </row>
    <row r="911" spans="2:9" ht="15.75">
      <c r="B911" s="35" t="s">
        <v>571</v>
      </c>
      <c r="C911" s="40">
        <v>4</v>
      </c>
      <c r="D911" s="35" t="s">
        <v>653</v>
      </c>
      <c r="E911" s="40">
        <v>4</v>
      </c>
      <c r="F911" s="35" t="s">
        <v>628</v>
      </c>
      <c r="G911" s="38">
        <v>4</v>
      </c>
      <c r="H911" s="35" t="s">
        <v>628</v>
      </c>
      <c r="I911" s="38">
        <v>6</v>
      </c>
    </row>
    <row r="912" spans="2:9" ht="15.75">
      <c r="B912" s="35" t="s">
        <v>1148</v>
      </c>
      <c r="C912" s="54"/>
      <c r="D912" s="35" t="s">
        <v>1149</v>
      </c>
      <c r="E912" s="36"/>
      <c r="F912" s="35" t="s">
        <v>1150</v>
      </c>
      <c r="G912" s="39"/>
      <c r="H912" s="35" t="s">
        <v>1150</v>
      </c>
      <c r="I912" s="38"/>
    </row>
    <row r="913" spans="2:9" ht="15.75">
      <c r="B913" s="53" t="s">
        <v>927</v>
      </c>
      <c r="C913" s="54"/>
      <c r="D913" s="35" t="s">
        <v>940</v>
      </c>
      <c r="E913" s="36"/>
      <c r="F913" s="35" t="s">
        <v>940</v>
      </c>
      <c r="G913" s="39"/>
      <c r="H913" s="35" t="s">
        <v>940</v>
      </c>
      <c r="I913" s="39"/>
    </row>
    <row r="914" spans="2:9">
      <c r="B914" s="33"/>
      <c r="C914" s="34"/>
      <c r="D914" s="33"/>
      <c r="E914" s="33"/>
      <c r="F914" s="33"/>
      <c r="G914" s="33"/>
      <c r="H914" s="33"/>
      <c r="I914" s="33"/>
    </row>
    <row r="915" spans="2:9" ht="15.75">
      <c r="B915" s="38">
        <v>6</v>
      </c>
      <c r="C915" s="34"/>
      <c r="D915" s="38">
        <v>3</v>
      </c>
      <c r="E915" s="33"/>
      <c r="F915" s="38">
        <v>3</v>
      </c>
      <c r="G915" s="33"/>
      <c r="H915" s="38">
        <v>3</v>
      </c>
      <c r="I915" s="33"/>
    </row>
    <row r="916" spans="2:9" ht="15.75">
      <c r="B916" s="39"/>
      <c r="C916" s="33"/>
      <c r="D916" s="33"/>
      <c r="E916" s="33"/>
      <c r="F916" s="33"/>
      <c r="G916" s="33"/>
      <c r="H916" s="33"/>
      <c r="I916" s="33"/>
    </row>
    <row r="917" spans="2:9" ht="15.75">
      <c r="B917" s="35" t="s">
        <v>20</v>
      </c>
      <c r="C917" s="39"/>
      <c r="D917" s="35" t="s">
        <v>6</v>
      </c>
      <c r="E917" s="33"/>
      <c r="F917" s="35" t="s">
        <v>923</v>
      </c>
      <c r="G917" s="39"/>
      <c r="H917" s="35" t="s">
        <v>923</v>
      </c>
      <c r="I917" s="39"/>
    </row>
    <row r="918" spans="2:9" ht="15.75">
      <c r="B918" s="35" t="s">
        <v>619</v>
      </c>
      <c r="C918" s="39"/>
      <c r="D918" s="35" t="s">
        <v>591</v>
      </c>
      <c r="E918" s="37"/>
      <c r="F918" s="35" t="s">
        <v>923</v>
      </c>
      <c r="G918" s="39"/>
      <c r="H918" s="35" t="s">
        <v>923</v>
      </c>
      <c r="I918" s="39"/>
    </row>
    <row r="919" spans="2:9" ht="15.75">
      <c r="B919" s="35" t="s">
        <v>628</v>
      </c>
      <c r="C919" s="38">
        <v>4</v>
      </c>
      <c r="D919" s="35" t="s">
        <v>601</v>
      </c>
      <c r="E919" s="38" t="s">
        <v>923</v>
      </c>
      <c r="F919" s="35" t="s">
        <v>923</v>
      </c>
      <c r="G919" s="38" t="s">
        <v>923</v>
      </c>
      <c r="H919" s="35" t="s">
        <v>923</v>
      </c>
      <c r="I919" s="38" t="s">
        <v>923</v>
      </c>
    </row>
    <row r="920" spans="2:9" ht="15.75">
      <c r="B920" s="35" t="s">
        <v>1150</v>
      </c>
      <c r="C920" s="39"/>
      <c r="D920" s="35" t="s">
        <v>1151</v>
      </c>
      <c r="E920" s="37"/>
      <c r="F920" s="35" t="s">
        <v>923</v>
      </c>
      <c r="G920" s="39"/>
      <c r="H920" s="35" t="s">
        <v>923</v>
      </c>
      <c r="I920" s="39"/>
    </row>
    <row r="921" spans="2:9" ht="15.75">
      <c r="B921" s="35" t="s">
        <v>940</v>
      </c>
      <c r="C921" s="39"/>
      <c r="D921" s="35" t="s">
        <v>926</v>
      </c>
      <c r="E921" s="37"/>
      <c r="F921" s="35" t="s">
        <v>923</v>
      </c>
      <c r="G921" s="39"/>
      <c r="H921" s="35" t="s">
        <v>923</v>
      </c>
      <c r="I921" s="39"/>
    </row>
    <row r="922" spans="2:9">
      <c r="B922" s="33"/>
      <c r="C922" s="33"/>
      <c r="D922" s="33"/>
      <c r="E922" s="33"/>
      <c r="F922" s="33"/>
      <c r="G922" s="33"/>
      <c r="H922" s="33"/>
      <c r="I922" s="33"/>
    </row>
    <row r="923" spans="2:9">
      <c r="B923" s="43" t="s">
        <v>100</v>
      </c>
      <c r="D923" s="44" t="s">
        <v>1152</v>
      </c>
    </row>
    <row r="924" spans="2:9">
      <c r="B924" s="45"/>
    </row>
    <row r="925" spans="2:9">
      <c r="B925" s="46" t="s">
        <v>101</v>
      </c>
      <c r="D925" s="47" t="s">
        <v>1153</v>
      </c>
    </row>
    <row r="927" spans="2:9">
      <c r="B927" s="42" t="s">
        <v>793</v>
      </c>
    </row>
    <row r="929" spans="2:9" ht="15.75">
      <c r="B929" s="35" t="s">
        <v>5</v>
      </c>
      <c r="C929" s="54"/>
      <c r="D929" s="35" t="s">
        <v>17</v>
      </c>
      <c r="E929" s="33"/>
      <c r="F929" s="35" t="s">
        <v>18</v>
      </c>
      <c r="G929" s="39"/>
      <c r="H929" s="35" t="s">
        <v>19</v>
      </c>
      <c r="I929" s="39"/>
    </row>
    <row r="930" spans="2:9" ht="15.75">
      <c r="B930" s="35" t="s">
        <v>449</v>
      </c>
      <c r="C930" s="54"/>
      <c r="D930" s="35" t="s">
        <v>750</v>
      </c>
      <c r="E930" s="36"/>
      <c r="F930" s="35" t="s">
        <v>710</v>
      </c>
      <c r="G930" s="39"/>
      <c r="H930" s="35" t="s">
        <v>620</v>
      </c>
      <c r="I930" s="39"/>
    </row>
    <row r="931" spans="2:9" ht="15.75">
      <c r="B931" s="35" t="s">
        <v>572</v>
      </c>
      <c r="C931" s="40">
        <v>4</v>
      </c>
      <c r="D931" s="35" t="s">
        <v>654</v>
      </c>
      <c r="E931" s="40">
        <v>4</v>
      </c>
      <c r="F931" s="35" t="s">
        <v>629</v>
      </c>
      <c r="G931" s="38">
        <v>4</v>
      </c>
      <c r="H931" s="35" t="s">
        <v>629</v>
      </c>
      <c r="I931" s="38">
        <v>6</v>
      </c>
    </row>
    <row r="932" spans="2:9" ht="15.75">
      <c r="B932" s="35" t="s">
        <v>1154</v>
      </c>
      <c r="C932" s="54"/>
      <c r="D932" s="35" t="s">
        <v>1155</v>
      </c>
      <c r="E932" s="36"/>
      <c r="F932" s="35" t="s">
        <v>1156</v>
      </c>
      <c r="G932" s="39"/>
      <c r="H932" s="35" t="s">
        <v>1156</v>
      </c>
      <c r="I932" s="38"/>
    </row>
    <row r="933" spans="2:9" ht="15.75">
      <c r="B933" s="53" t="s">
        <v>927</v>
      </c>
      <c r="C933" s="54"/>
      <c r="D933" s="35" t="s">
        <v>940</v>
      </c>
      <c r="E933" s="36"/>
      <c r="F933" s="35" t="s">
        <v>940</v>
      </c>
      <c r="G933" s="39"/>
      <c r="H933" s="35" t="s">
        <v>940</v>
      </c>
      <c r="I933" s="39"/>
    </row>
    <row r="934" spans="2:9">
      <c r="B934" s="33"/>
      <c r="C934" s="34"/>
      <c r="D934" s="33"/>
      <c r="E934" s="33"/>
      <c r="F934" s="33"/>
      <c r="G934" s="33"/>
      <c r="H934" s="33"/>
      <c r="I934" s="33"/>
    </row>
    <row r="935" spans="2:9" ht="15.75">
      <c r="B935" s="38">
        <v>6</v>
      </c>
      <c r="C935" s="34"/>
      <c r="D935" s="38">
        <v>3</v>
      </c>
      <c r="E935" s="33"/>
      <c r="F935" s="38">
        <v>3</v>
      </c>
      <c r="G935" s="33"/>
      <c r="H935" s="38">
        <v>3</v>
      </c>
      <c r="I935" s="33"/>
    </row>
    <row r="936" spans="2:9" ht="15.75">
      <c r="B936" s="39"/>
      <c r="C936" s="33"/>
      <c r="D936" s="33"/>
      <c r="E936" s="33"/>
      <c r="F936" s="33"/>
      <c r="G936" s="33"/>
      <c r="H936" s="33"/>
      <c r="I936" s="33"/>
    </row>
    <row r="937" spans="2:9" ht="15.75">
      <c r="B937" s="35" t="s">
        <v>20</v>
      </c>
      <c r="C937" s="39"/>
      <c r="D937" s="35" t="s">
        <v>21</v>
      </c>
      <c r="E937" s="33"/>
      <c r="F937" s="35" t="s">
        <v>6</v>
      </c>
      <c r="G937" s="39"/>
      <c r="H937" s="35" t="s">
        <v>923</v>
      </c>
      <c r="I937" s="39"/>
    </row>
    <row r="938" spans="2:9" ht="15.75">
      <c r="B938" s="35" t="s">
        <v>620</v>
      </c>
      <c r="C938" s="39"/>
      <c r="D938" s="35" t="s">
        <v>620</v>
      </c>
      <c r="E938" s="37"/>
      <c r="F938" s="35" t="s">
        <v>592</v>
      </c>
      <c r="G938" s="39"/>
      <c r="H938" s="35" t="s">
        <v>923</v>
      </c>
      <c r="I938" s="39"/>
    </row>
    <row r="939" spans="2:9" ht="15.75">
      <c r="B939" s="35" t="s">
        <v>629</v>
      </c>
      <c r="C939" s="38">
        <v>4</v>
      </c>
      <c r="D939" s="35" t="s">
        <v>648</v>
      </c>
      <c r="E939" s="38">
        <v>4</v>
      </c>
      <c r="F939" s="35" t="s">
        <v>602</v>
      </c>
      <c r="G939" s="38" t="s">
        <v>923</v>
      </c>
      <c r="H939" s="35" t="s">
        <v>923</v>
      </c>
      <c r="I939" s="38" t="s">
        <v>923</v>
      </c>
    </row>
    <row r="940" spans="2:9" ht="15.75">
      <c r="B940" s="35" t="s">
        <v>1156</v>
      </c>
      <c r="C940" s="39"/>
      <c r="D940" s="35" t="s">
        <v>1092</v>
      </c>
      <c r="E940" s="37"/>
      <c r="F940" s="35" t="s">
        <v>1157</v>
      </c>
      <c r="G940" s="39"/>
      <c r="H940" s="35" t="s">
        <v>923</v>
      </c>
      <c r="I940" s="39"/>
    </row>
    <row r="941" spans="2:9" ht="15.75">
      <c r="B941" s="35" t="s">
        <v>940</v>
      </c>
      <c r="C941" s="39"/>
      <c r="D941" s="35" t="s">
        <v>940</v>
      </c>
      <c r="E941" s="37"/>
      <c r="F941" s="35" t="s">
        <v>926</v>
      </c>
      <c r="G941" s="39"/>
      <c r="H941" s="35" t="s">
        <v>923</v>
      </c>
      <c r="I941" s="39"/>
    </row>
    <row r="942" spans="2:9">
      <c r="B942" s="33"/>
      <c r="C942" s="33"/>
      <c r="D942" s="33"/>
      <c r="E942" s="33"/>
      <c r="F942" s="33"/>
      <c r="G942" s="33"/>
      <c r="H942" s="33"/>
      <c r="I942" s="33"/>
    </row>
    <row r="943" spans="2:9">
      <c r="B943" s="43" t="s">
        <v>100</v>
      </c>
      <c r="D943" s="44" t="s">
        <v>1158</v>
      </c>
    </row>
    <row r="944" spans="2:9">
      <c r="B944" s="45"/>
    </row>
    <row r="945" spans="2:9">
      <c r="B945" s="46" t="s">
        <v>101</v>
      </c>
      <c r="D945" s="47" t="s">
        <v>1159</v>
      </c>
    </row>
    <row r="947" spans="2:9">
      <c r="B947" s="42" t="s">
        <v>794</v>
      </c>
    </row>
    <row r="949" spans="2:9" ht="15.75">
      <c r="B949" s="35" t="s">
        <v>5</v>
      </c>
      <c r="C949" s="54"/>
      <c r="D949" s="35" t="s">
        <v>17</v>
      </c>
      <c r="E949" s="33"/>
      <c r="F949" s="35" t="s">
        <v>18</v>
      </c>
      <c r="G949" s="39"/>
      <c r="H949" s="35" t="s">
        <v>19</v>
      </c>
      <c r="I949" s="39"/>
    </row>
    <row r="950" spans="2:9" ht="15.75">
      <c r="B950" s="35" t="s">
        <v>450</v>
      </c>
      <c r="C950" s="54"/>
      <c r="D950" s="35" t="s">
        <v>751</v>
      </c>
      <c r="E950" s="36"/>
      <c r="F950" s="35" t="s">
        <v>711</v>
      </c>
      <c r="G950" s="39"/>
      <c r="H950" s="35" t="s">
        <v>621</v>
      </c>
      <c r="I950" s="39"/>
    </row>
    <row r="951" spans="2:9" ht="15.75">
      <c r="B951" s="35" t="s">
        <v>573</v>
      </c>
      <c r="C951" s="40">
        <v>4</v>
      </c>
      <c r="D951" s="35" t="s">
        <v>655</v>
      </c>
      <c r="E951" s="40">
        <v>4</v>
      </c>
      <c r="F951" s="35" t="s">
        <v>630</v>
      </c>
      <c r="G951" s="38">
        <v>4</v>
      </c>
      <c r="H951" s="35" t="s">
        <v>630</v>
      </c>
      <c r="I951" s="38">
        <v>6</v>
      </c>
    </row>
    <row r="952" spans="2:9" ht="15.75">
      <c r="B952" s="35" t="s">
        <v>1160</v>
      </c>
      <c r="C952" s="54"/>
      <c r="D952" s="35" t="s">
        <v>1161</v>
      </c>
      <c r="E952" s="36"/>
      <c r="F952" s="35" t="s">
        <v>1162</v>
      </c>
      <c r="G952" s="39"/>
      <c r="H952" s="35" t="s">
        <v>1162</v>
      </c>
      <c r="I952" s="38"/>
    </row>
    <row r="953" spans="2:9" ht="15.75">
      <c r="B953" s="53" t="s">
        <v>927</v>
      </c>
      <c r="C953" s="54"/>
      <c r="D953" s="35" t="s">
        <v>940</v>
      </c>
      <c r="E953" s="36"/>
      <c r="F953" s="35" t="s">
        <v>940</v>
      </c>
      <c r="G953" s="39"/>
      <c r="H953" s="35" t="s">
        <v>940</v>
      </c>
      <c r="I953" s="39"/>
    </row>
    <row r="954" spans="2:9">
      <c r="B954" s="33"/>
      <c r="C954" s="34"/>
      <c r="D954" s="33"/>
      <c r="E954" s="33"/>
      <c r="F954" s="33"/>
      <c r="G954" s="33"/>
      <c r="H954" s="33"/>
      <c r="I954" s="33"/>
    </row>
    <row r="955" spans="2:9" ht="15.75">
      <c r="B955" s="38">
        <v>6</v>
      </c>
      <c r="C955" s="34"/>
      <c r="D955" s="38">
        <v>3</v>
      </c>
      <c r="E955" s="33"/>
      <c r="F955" s="38">
        <v>3</v>
      </c>
      <c r="G955" s="33"/>
      <c r="H955" s="38">
        <v>3</v>
      </c>
      <c r="I955" s="33"/>
    </row>
    <row r="956" spans="2:9" ht="15.75">
      <c r="B956" s="39"/>
      <c r="C956" s="33"/>
      <c r="D956" s="33"/>
      <c r="E956" s="33"/>
      <c r="F956" s="33"/>
      <c r="G956" s="33"/>
      <c r="H956" s="33"/>
      <c r="I956" s="33"/>
    </row>
    <row r="957" spans="2:9" ht="15.75">
      <c r="B957" s="35" t="s">
        <v>20</v>
      </c>
      <c r="C957" s="39"/>
      <c r="D957" s="35" t="s">
        <v>21</v>
      </c>
      <c r="E957" s="33"/>
      <c r="F957" s="35" t="s">
        <v>22</v>
      </c>
      <c r="G957" s="39"/>
      <c r="H957" s="35" t="s">
        <v>6</v>
      </c>
      <c r="I957" s="39"/>
    </row>
    <row r="958" spans="2:9" ht="15.75">
      <c r="B958" s="35" t="s">
        <v>621</v>
      </c>
      <c r="C958" s="39"/>
      <c r="D958" s="35" t="s">
        <v>621</v>
      </c>
      <c r="E958" s="37"/>
      <c r="F958" s="35" t="s">
        <v>505</v>
      </c>
      <c r="G958" s="39"/>
      <c r="H958" s="35" t="s">
        <v>593</v>
      </c>
      <c r="I958" s="39"/>
    </row>
    <row r="959" spans="2:9" ht="15.75">
      <c r="B959" s="35" t="s">
        <v>630</v>
      </c>
      <c r="C959" s="38">
        <v>4</v>
      </c>
      <c r="D959" s="35" t="s">
        <v>509</v>
      </c>
      <c r="E959" s="38">
        <v>4</v>
      </c>
      <c r="F959" s="35" t="s">
        <v>509</v>
      </c>
      <c r="G959" s="38">
        <v>4</v>
      </c>
      <c r="H959" s="35" t="s">
        <v>603</v>
      </c>
      <c r="I959" s="38" t="s">
        <v>923</v>
      </c>
    </row>
    <row r="960" spans="2:9" ht="15.75">
      <c r="B960" s="35" t="s">
        <v>1162</v>
      </c>
      <c r="C960" s="39"/>
      <c r="D960" s="35" t="s">
        <v>1099</v>
      </c>
      <c r="E960" s="37"/>
      <c r="F960" s="35" t="s">
        <v>1100</v>
      </c>
      <c r="G960" s="39"/>
      <c r="H960" s="35" t="s">
        <v>1163</v>
      </c>
      <c r="I960" s="39"/>
    </row>
    <row r="961" spans="2:9" ht="15.75">
      <c r="B961" s="35" t="s">
        <v>940</v>
      </c>
      <c r="C961" s="39"/>
      <c r="D961" s="35" t="s">
        <v>940</v>
      </c>
      <c r="E961" s="37"/>
      <c r="F961" s="35" t="s">
        <v>940</v>
      </c>
      <c r="G961" s="39"/>
      <c r="H961" s="35" t="s">
        <v>926</v>
      </c>
      <c r="I961" s="39"/>
    </row>
    <row r="962" spans="2:9">
      <c r="B962" s="33"/>
      <c r="C962" s="33"/>
      <c r="D962" s="33"/>
      <c r="E962" s="33"/>
      <c r="F962" s="33"/>
      <c r="G962" s="33"/>
      <c r="H962" s="33"/>
      <c r="I962" s="33"/>
    </row>
    <row r="963" spans="2:9">
      <c r="B963" s="43" t="s">
        <v>100</v>
      </c>
      <c r="D963" s="44" t="s">
        <v>1164</v>
      </c>
    </row>
    <row r="964" spans="2:9">
      <c r="B964" s="45"/>
    </row>
    <row r="965" spans="2:9">
      <c r="B965" s="46" t="s">
        <v>101</v>
      </c>
      <c r="D965" s="47" t="s">
        <v>1165</v>
      </c>
    </row>
    <row r="967" spans="2:9">
      <c r="B967" s="42" t="s">
        <v>795</v>
      </c>
    </row>
    <row r="969" spans="2:9" ht="15.75">
      <c r="B969" s="35" t="s">
        <v>5</v>
      </c>
      <c r="C969" s="54"/>
      <c r="D969" s="35" t="s">
        <v>17</v>
      </c>
      <c r="E969" s="33"/>
      <c r="F969" s="35" t="s">
        <v>18</v>
      </c>
      <c r="G969" s="39"/>
      <c r="H969" s="35" t="s">
        <v>19</v>
      </c>
      <c r="I969" s="39"/>
    </row>
    <row r="970" spans="2:9" ht="15.75">
      <c r="B970" s="35" t="s">
        <v>451</v>
      </c>
      <c r="C970" s="54"/>
      <c r="D970" s="35" t="s">
        <v>752</v>
      </c>
      <c r="E970" s="36"/>
      <c r="F970" s="35" t="s">
        <v>712</v>
      </c>
      <c r="G970" s="39"/>
      <c r="H970" s="35" t="s">
        <v>622</v>
      </c>
      <c r="I970" s="39"/>
    </row>
    <row r="971" spans="2:9" ht="15.75">
      <c r="B971" s="35" t="s">
        <v>574</v>
      </c>
      <c r="C971" s="40">
        <v>4</v>
      </c>
      <c r="D971" s="35" t="s">
        <v>656</v>
      </c>
      <c r="E971" s="40">
        <v>4</v>
      </c>
      <c r="F971" s="35" t="s">
        <v>631</v>
      </c>
      <c r="G971" s="38">
        <v>4</v>
      </c>
      <c r="H971" s="35" t="s">
        <v>631</v>
      </c>
      <c r="I971" s="38">
        <v>6</v>
      </c>
    </row>
    <row r="972" spans="2:9" ht="15.75">
      <c r="B972" s="35" t="s">
        <v>1166</v>
      </c>
      <c r="C972" s="54"/>
      <c r="D972" s="35" t="s">
        <v>1167</v>
      </c>
      <c r="E972" s="36"/>
      <c r="F972" s="35" t="s">
        <v>1168</v>
      </c>
      <c r="G972" s="39"/>
      <c r="H972" s="35" t="s">
        <v>1168</v>
      </c>
      <c r="I972" s="38"/>
    </row>
    <row r="973" spans="2:9" ht="15.75">
      <c r="B973" s="53" t="s">
        <v>927</v>
      </c>
      <c r="C973" s="54"/>
      <c r="D973" s="35" t="s">
        <v>940</v>
      </c>
      <c r="E973" s="36"/>
      <c r="F973" s="35" t="s">
        <v>940</v>
      </c>
      <c r="G973" s="39"/>
      <c r="H973" s="35" t="s">
        <v>940</v>
      </c>
      <c r="I973" s="39"/>
    </row>
    <row r="974" spans="2:9">
      <c r="B974" s="33"/>
      <c r="C974" s="34"/>
      <c r="D974" s="33"/>
      <c r="E974" s="33"/>
      <c r="F974" s="33"/>
      <c r="G974" s="33"/>
      <c r="H974" s="33"/>
      <c r="I974" s="33"/>
    </row>
    <row r="975" spans="2:9" ht="15.75">
      <c r="B975" s="38">
        <v>6</v>
      </c>
      <c r="C975" s="34"/>
      <c r="D975" s="38">
        <v>3</v>
      </c>
      <c r="E975" s="33"/>
      <c r="F975" s="38">
        <v>3</v>
      </c>
      <c r="G975" s="33"/>
      <c r="H975" s="38">
        <v>3</v>
      </c>
      <c r="I975" s="33"/>
    </row>
    <row r="976" spans="2:9" ht="15.75">
      <c r="B976" s="39"/>
      <c r="C976" s="33"/>
      <c r="D976" s="33"/>
      <c r="E976" s="33"/>
      <c r="F976" s="33"/>
      <c r="G976" s="33"/>
      <c r="H976" s="33"/>
      <c r="I976" s="33"/>
    </row>
    <row r="977" spans="2:9" ht="15.75">
      <c r="B977" s="35" t="s">
        <v>20</v>
      </c>
      <c r="C977" s="39"/>
      <c r="D977" s="35" t="s">
        <v>21</v>
      </c>
      <c r="E977" s="33"/>
      <c r="F977" s="35" t="s">
        <v>22</v>
      </c>
      <c r="G977" s="39"/>
      <c r="H977" s="35" t="s">
        <v>23</v>
      </c>
      <c r="I977" s="39"/>
    </row>
    <row r="978" spans="2:9" ht="15.75">
      <c r="B978" s="35" t="s">
        <v>622</v>
      </c>
      <c r="C978" s="39"/>
      <c r="D978" s="35" t="s">
        <v>622</v>
      </c>
      <c r="E978" s="37"/>
      <c r="F978" s="35" t="s">
        <v>506</v>
      </c>
      <c r="G978" s="39"/>
      <c r="H978" s="35" t="s">
        <v>506</v>
      </c>
      <c r="I978" s="39"/>
    </row>
    <row r="979" spans="2:9" ht="15.75">
      <c r="B979" s="35" t="s">
        <v>631</v>
      </c>
      <c r="C979" s="38">
        <v>4</v>
      </c>
      <c r="D979" s="35" t="s">
        <v>510</v>
      </c>
      <c r="E979" s="38">
        <v>4</v>
      </c>
      <c r="F979" s="35" t="s">
        <v>510</v>
      </c>
      <c r="G979" s="38">
        <v>4</v>
      </c>
      <c r="H979" s="35" t="s">
        <v>510</v>
      </c>
      <c r="I979" s="38">
        <v>6</v>
      </c>
    </row>
    <row r="980" spans="2:9" ht="15.75">
      <c r="B980" s="35" t="s">
        <v>1168</v>
      </c>
      <c r="C980" s="39"/>
      <c r="D980" s="35" t="s">
        <v>1106</v>
      </c>
      <c r="E980" s="37"/>
      <c r="F980" s="35" t="s">
        <v>1107</v>
      </c>
      <c r="G980" s="39"/>
      <c r="H980" s="35" t="s">
        <v>1107</v>
      </c>
      <c r="I980" s="39"/>
    </row>
    <row r="981" spans="2:9" ht="15.75">
      <c r="B981" s="35" t="s">
        <v>940</v>
      </c>
      <c r="C981" s="39"/>
      <c r="D981" s="35" t="s">
        <v>940</v>
      </c>
      <c r="E981" s="37"/>
      <c r="F981" s="35" t="s">
        <v>940</v>
      </c>
      <c r="G981" s="39"/>
      <c r="H981" s="35" t="s">
        <v>940</v>
      </c>
      <c r="I981" s="39"/>
    </row>
    <row r="982" spans="2:9">
      <c r="B982" s="33"/>
      <c r="C982" s="33"/>
      <c r="D982" s="33"/>
      <c r="E982" s="33"/>
      <c r="F982" s="33"/>
      <c r="G982" s="33"/>
      <c r="H982" s="33"/>
      <c r="I982" s="33"/>
    </row>
    <row r="983" spans="2:9" ht="15.75">
      <c r="B983" s="38">
        <v>6</v>
      </c>
      <c r="C983" s="33"/>
      <c r="D983" s="38">
        <v>3</v>
      </c>
      <c r="E983" s="33"/>
      <c r="F983" s="38">
        <v>3</v>
      </c>
      <c r="G983" s="33"/>
      <c r="H983" s="38">
        <v>3</v>
      </c>
      <c r="I983" s="33"/>
    </row>
    <row r="984" spans="2:9" ht="15.75">
      <c r="B984" s="39"/>
      <c r="C984" s="33"/>
      <c r="D984" s="33"/>
      <c r="E984" s="33"/>
      <c r="F984" s="33"/>
      <c r="G984" s="33"/>
      <c r="H984" s="33"/>
      <c r="I984" s="33"/>
    </row>
    <row r="985" spans="2:9" ht="15.75">
      <c r="B985" s="35" t="s">
        <v>6</v>
      </c>
      <c r="C985" s="39"/>
      <c r="D985" s="35" t="s">
        <v>923</v>
      </c>
      <c r="E985" s="33"/>
      <c r="F985" s="35" t="s">
        <v>923</v>
      </c>
      <c r="G985" s="39"/>
      <c r="H985" s="35" t="s">
        <v>923</v>
      </c>
    </row>
    <row r="986" spans="2:9" ht="15.75">
      <c r="B986" s="35" t="s">
        <v>594</v>
      </c>
      <c r="C986" s="39"/>
      <c r="D986" s="35" t="s">
        <v>923</v>
      </c>
      <c r="E986" s="37"/>
      <c r="F986" s="35" t="s">
        <v>923</v>
      </c>
      <c r="G986" s="39"/>
      <c r="H986" s="35" t="s">
        <v>923</v>
      </c>
    </row>
    <row r="987" spans="2:9" ht="15.75">
      <c r="B987" s="35" t="s">
        <v>604</v>
      </c>
      <c r="C987" s="38" t="s">
        <v>923</v>
      </c>
      <c r="D987" s="35" t="s">
        <v>923</v>
      </c>
      <c r="E987" s="38" t="s">
        <v>923</v>
      </c>
      <c r="F987" s="35" t="s">
        <v>923</v>
      </c>
      <c r="G987" s="38" t="s">
        <v>923</v>
      </c>
      <c r="H987" s="35" t="s">
        <v>923</v>
      </c>
    </row>
    <row r="988" spans="2:9" ht="15.75">
      <c r="B988" s="35" t="s">
        <v>1169</v>
      </c>
      <c r="C988" s="39"/>
      <c r="D988" s="35" t="s">
        <v>923</v>
      </c>
      <c r="E988" s="37"/>
      <c r="F988" s="35" t="s">
        <v>923</v>
      </c>
      <c r="G988" s="39"/>
      <c r="H988" s="35" t="s">
        <v>923</v>
      </c>
    </row>
    <row r="989" spans="2:9" ht="15.75">
      <c r="B989" s="35" t="s">
        <v>926</v>
      </c>
      <c r="C989" s="39"/>
      <c r="D989" s="35" t="s">
        <v>923</v>
      </c>
      <c r="E989" s="37"/>
      <c r="F989" s="35" t="s">
        <v>923</v>
      </c>
      <c r="G989" s="39"/>
      <c r="H989" s="35" t="s">
        <v>923</v>
      </c>
    </row>
    <row r="991" spans="2:9">
      <c r="B991" s="43" t="s">
        <v>100</v>
      </c>
      <c r="D991" s="44" t="s">
        <v>1170</v>
      </c>
    </row>
    <row r="992" spans="2:9">
      <c r="B992" s="45"/>
    </row>
    <row r="993" spans="2:9">
      <c r="B993" s="46" t="s">
        <v>101</v>
      </c>
      <c r="D993" s="47" t="s">
        <v>1171</v>
      </c>
    </row>
    <row r="995" spans="2:9">
      <c r="B995" s="42" t="s">
        <v>796</v>
      </c>
    </row>
    <row r="997" spans="2:9" ht="15.75">
      <c r="B997" s="35" t="s">
        <v>5</v>
      </c>
      <c r="C997" s="54"/>
      <c r="D997" s="35" t="s">
        <v>17</v>
      </c>
      <c r="E997" s="33"/>
      <c r="F997" s="35" t="s">
        <v>18</v>
      </c>
      <c r="G997" s="39"/>
      <c r="H997" s="35" t="s">
        <v>19</v>
      </c>
      <c r="I997" s="39"/>
    </row>
    <row r="998" spans="2:9" ht="15.75">
      <c r="B998" s="35" t="s">
        <v>452</v>
      </c>
      <c r="C998" s="54"/>
      <c r="D998" s="35" t="s">
        <v>753</v>
      </c>
      <c r="E998" s="36"/>
      <c r="F998" s="35" t="s">
        <v>713</v>
      </c>
      <c r="G998" s="39"/>
      <c r="H998" s="35" t="s">
        <v>623</v>
      </c>
      <c r="I998" s="39"/>
    </row>
    <row r="999" spans="2:9" ht="15.75">
      <c r="B999" s="35" t="s">
        <v>575</v>
      </c>
      <c r="C999" s="40">
        <v>4</v>
      </c>
      <c r="D999" s="35" t="s">
        <v>657</v>
      </c>
      <c r="E999" s="40">
        <v>4</v>
      </c>
      <c r="F999" s="35" t="s">
        <v>632</v>
      </c>
      <c r="G999" s="38">
        <v>4</v>
      </c>
      <c r="H999" s="35" t="s">
        <v>632</v>
      </c>
      <c r="I999" s="38">
        <v>6</v>
      </c>
    </row>
    <row r="1000" spans="2:9" ht="15.75">
      <c r="B1000" s="35" t="s">
        <v>1172</v>
      </c>
      <c r="C1000" s="54"/>
      <c r="D1000" s="35" t="s">
        <v>1173</v>
      </c>
      <c r="E1000" s="36"/>
      <c r="F1000" s="35" t="s">
        <v>1174</v>
      </c>
      <c r="G1000" s="39"/>
      <c r="H1000" s="35" t="s">
        <v>1174</v>
      </c>
      <c r="I1000" s="38"/>
    </row>
    <row r="1001" spans="2:9" ht="15.75">
      <c r="B1001" s="53" t="s">
        <v>927</v>
      </c>
      <c r="C1001" s="54"/>
      <c r="D1001" s="35" t="s">
        <v>940</v>
      </c>
      <c r="E1001" s="36"/>
      <c r="F1001" s="35" t="s">
        <v>940</v>
      </c>
      <c r="G1001" s="39"/>
      <c r="H1001" s="35" t="s">
        <v>940</v>
      </c>
      <c r="I1001" s="39"/>
    </row>
    <row r="1002" spans="2:9">
      <c r="B1002" s="33"/>
      <c r="C1002" s="34"/>
      <c r="D1002" s="33"/>
      <c r="E1002" s="33"/>
      <c r="F1002" s="33"/>
      <c r="G1002" s="33"/>
      <c r="H1002" s="33"/>
      <c r="I1002" s="33"/>
    </row>
    <row r="1003" spans="2:9" ht="15.75">
      <c r="B1003" s="38">
        <v>6</v>
      </c>
      <c r="C1003" s="34"/>
      <c r="D1003" s="38">
        <v>3</v>
      </c>
      <c r="E1003" s="33"/>
      <c r="F1003" s="38">
        <v>3</v>
      </c>
      <c r="G1003" s="33"/>
      <c r="H1003" s="38">
        <v>3</v>
      </c>
      <c r="I1003" s="33"/>
    </row>
    <row r="1004" spans="2:9" ht="15.75">
      <c r="B1004" s="39"/>
      <c r="C1004" s="33"/>
      <c r="D1004" s="33"/>
      <c r="E1004" s="33"/>
      <c r="F1004" s="33"/>
      <c r="G1004" s="33"/>
      <c r="H1004" s="33"/>
      <c r="I1004" s="33"/>
    </row>
    <row r="1005" spans="2:9" ht="15.75">
      <c r="B1005" s="35" t="s">
        <v>20</v>
      </c>
      <c r="C1005" s="39"/>
      <c r="D1005" s="35" t="s">
        <v>22</v>
      </c>
      <c r="E1005" s="33"/>
      <c r="F1005" s="35" t="s">
        <v>22</v>
      </c>
      <c r="G1005" s="39"/>
      <c r="H1005" s="35" t="s">
        <v>23</v>
      </c>
      <c r="I1005" s="39"/>
    </row>
    <row r="1006" spans="2:9" ht="15.75">
      <c r="B1006" s="35" t="s">
        <v>623</v>
      </c>
      <c r="C1006" s="39"/>
      <c r="D1006" s="35" t="s">
        <v>623</v>
      </c>
      <c r="E1006" s="37"/>
      <c r="F1006" s="35" t="s">
        <v>507</v>
      </c>
      <c r="G1006" s="39"/>
      <c r="H1006" s="35" t="s">
        <v>507</v>
      </c>
      <c r="I1006" s="39"/>
    </row>
    <row r="1007" spans="2:9" ht="15.75">
      <c r="B1007" s="35" t="s">
        <v>632</v>
      </c>
      <c r="C1007" s="38">
        <v>4</v>
      </c>
      <c r="D1007" s="35" t="s">
        <v>511</v>
      </c>
      <c r="E1007" s="38">
        <v>4</v>
      </c>
      <c r="F1007" s="35" t="s">
        <v>511</v>
      </c>
      <c r="G1007" s="38">
        <v>4</v>
      </c>
      <c r="H1007" s="35" t="s">
        <v>511</v>
      </c>
      <c r="I1007" s="38">
        <v>6</v>
      </c>
    </row>
    <row r="1008" spans="2:9" ht="15.75">
      <c r="B1008" s="35" t="s">
        <v>1174</v>
      </c>
      <c r="C1008" s="39"/>
      <c r="D1008" s="35" t="s">
        <v>1113</v>
      </c>
      <c r="E1008" s="37"/>
      <c r="F1008" s="35" t="s">
        <v>1114</v>
      </c>
      <c r="G1008" s="39"/>
      <c r="H1008" s="35" t="s">
        <v>1114</v>
      </c>
      <c r="I1008" s="39"/>
    </row>
    <row r="1009" spans="2:9" ht="15.75">
      <c r="B1009" s="35" t="s">
        <v>940</v>
      </c>
      <c r="C1009" s="39"/>
      <c r="D1009" s="35" t="s">
        <v>940</v>
      </c>
      <c r="E1009" s="37"/>
      <c r="F1009" s="35" t="s">
        <v>940</v>
      </c>
      <c r="G1009" s="39"/>
      <c r="H1009" s="35" t="s">
        <v>940</v>
      </c>
      <c r="I1009" s="39"/>
    </row>
    <row r="1010" spans="2:9">
      <c r="B1010" s="33"/>
      <c r="C1010" s="33"/>
      <c r="D1010" s="33"/>
      <c r="E1010" s="33"/>
      <c r="F1010" s="33"/>
      <c r="G1010" s="33"/>
      <c r="H1010" s="33"/>
      <c r="I1010" s="33"/>
    </row>
    <row r="1011" spans="2:9" ht="15.75">
      <c r="B1011" s="38">
        <v>6</v>
      </c>
      <c r="C1011" s="33"/>
      <c r="D1011" s="38">
        <v>3</v>
      </c>
      <c r="E1011" s="33"/>
      <c r="F1011" s="38">
        <v>3</v>
      </c>
      <c r="G1011" s="33"/>
      <c r="H1011" s="38">
        <v>3</v>
      </c>
      <c r="I1011" s="33"/>
    </row>
    <row r="1012" spans="2:9" ht="15.75">
      <c r="B1012" s="39"/>
      <c r="C1012" s="33"/>
      <c r="D1012" s="33"/>
      <c r="E1012" s="33"/>
      <c r="F1012" s="33"/>
      <c r="G1012" s="33"/>
      <c r="H1012" s="33"/>
      <c r="I1012" s="33"/>
    </row>
    <row r="1013" spans="2:9" ht="15.75">
      <c r="B1013" s="35" t="s">
        <v>24</v>
      </c>
      <c r="C1013" s="39"/>
      <c r="D1013" s="35" t="s">
        <v>6</v>
      </c>
      <c r="E1013" s="33"/>
      <c r="F1013" s="35" t="s">
        <v>923</v>
      </c>
      <c r="G1013" s="39"/>
      <c r="H1013" s="35" t="s">
        <v>923</v>
      </c>
    </row>
    <row r="1014" spans="2:9" ht="15.75">
      <c r="B1014" s="35" t="s">
        <v>521</v>
      </c>
      <c r="C1014" s="39"/>
      <c r="D1014" s="35" t="s">
        <v>595</v>
      </c>
      <c r="E1014" s="37"/>
      <c r="F1014" s="35" t="s">
        <v>923</v>
      </c>
      <c r="G1014" s="39"/>
      <c r="H1014" s="35" t="s">
        <v>923</v>
      </c>
    </row>
    <row r="1015" spans="2:9" ht="15.75">
      <c r="B1015" s="35" t="s">
        <v>511</v>
      </c>
      <c r="C1015" s="38">
        <v>4</v>
      </c>
      <c r="D1015" s="35" t="s">
        <v>605</v>
      </c>
      <c r="E1015" s="38" t="s">
        <v>923</v>
      </c>
      <c r="F1015" s="35" t="s">
        <v>923</v>
      </c>
      <c r="G1015" s="38" t="s">
        <v>923</v>
      </c>
      <c r="H1015" s="35" t="s">
        <v>923</v>
      </c>
    </row>
    <row r="1016" spans="2:9" ht="15.75">
      <c r="B1016" s="35" t="s">
        <v>1114</v>
      </c>
      <c r="C1016" s="39"/>
      <c r="D1016" s="35" t="s">
        <v>1175</v>
      </c>
      <c r="E1016" s="37"/>
      <c r="F1016" s="35" t="s">
        <v>923</v>
      </c>
      <c r="G1016" s="39"/>
      <c r="H1016" s="35" t="s">
        <v>923</v>
      </c>
    </row>
    <row r="1017" spans="2:9" ht="15.75">
      <c r="B1017" s="35" t="s">
        <v>940</v>
      </c>
      <c r="C1017" s="39"/>
      <c r="D1017" s="35" t="s">
        <v>926</v>
      </c>
      <c r="E1017" s="37"/>
      <c r="F1017" s="35" t="s">
        <v>923</v>
      </c>
      <c r="G1017" s="39"/>
      <c r="H1017" s="35" t="s">
        <v>923</v>
      </c>
    </row>
    <row r="1019" spans="2:9">
      <c r="B1019" s="43" t="s">
        <v>100</v>
      </c>
      <c r="D1019" s="44" t="s">
        <v>1176</v>
      </c>
    </row>
    <row r="1020" spans="2:9">
      <c r="B1020" s="45"/>
    </row>
    <row r="1021" spans="2:9">
      <c r="B1021" s="46" t="s">
        <v>101</v>
      </c>
      <c r="D1021" s="47" t="s">
        <v>1177</v>
      </c>
    </row>
    <row r="1022" spans="2:9">
      <c r="B1022" s="50"/>
      <c r="C1022" s="49"/>
      <c r="D1022" s="49"/>
    </row>
    <row r="1023" spans="2:9">
      <c r="B1023" s="42" t="s">
        <v>797</v>
      </c>
    </row>
    <row r="1025" spans="2:9" ht="15.75">
      <c r="B1025" s="35" t="s">
        <v>5</v>
      </c>
      <c r="C1025" s="54"/>
      <c r="D1025" s="35" t="s">
        <v>17</v>
      </c>
      <c r="E1025" s="33"/>
      <c r="F1025" s="35" t="s">
        <v>18</v>
      </c>
      <c r="G1025" s="39"/>
      <c r="H1025" s="35" t="s">
        <v>19</v>
      </c>
      <c r="I1025" s="39"/>
    </row>
    <row r="1026" spans="2:9" ht="15.75">
      <c r="B1026" s="35" t="s">
        <v>453</v>
      </c>
      <c r="C1026" s="54"/>
      <c r="D1026" s="35" t="s">
        <v>754</v>
      </c>
      <c r="E1026" s="36"/>
      <c r="F1026" s="35" t="s">
        <v>714</v>
      </c>
      <c r="G1026" s="39"/>
      <c r="H1026" s="35" t="s">
        <v>624</v>
      </c>
      <c r="I1026" s="39"/>
    </row>
    <row r="1027" spans="2:9" ht="15.75">
      <c r="B1027" s="35" t="s">
        <v>576</v>
      </c>
      <c r="C1027" s="40">
        <v>4</v>
      </c>
      <c r="D1027" s="35" t="s">
        <v>658</v>
      </c>
      <c r="E1027" s="40">
        <v>4</v>
      </c>
      <c r="F1027" s="35" t="s">
        <v>633</v>
      </c>
      <c r="G1027" s="38">
        <v>4</v>
      </c>
      <c r="H1027" s="35" t="s">
        <v>633</v>
      </c>
      <c r="I1027" s="38">
        <v>6</v>
      </c>
    </row>
    <row r="1028" spans="2:9" ht="15.75">
      <c r="B1028" s="35" t="s">
        <v>1178</v>
      </c>
      <c r="C1028" s="54"/>
      <c r="D1028" s="35" t="s">
        <v>1179</v>
      </c>
      <c r="E1028" s="36"/>
      <c r="F1028" s="35" t="s">
        <v>1180</v>
      </c>
      <c r="G1028" s="39"/>
      <c r="H1028" s="35" t="s">
        <v>1180</v>
      </c>
      <c r="I1028" s="38"/>
    </row>
    <row r="1029" spans="2:9" ht="15.75">
      <c r="B1029" s="53" t="s">
        <v>927</v>
      </c>
      <c r="C1029" s="54"/>
      <c r="D1029" s="35" t="s">
        <v>940</v>
      </c>
      <c r="E1029" s="36"/>
      <c r="F1029" s="35" t="s">
        <v>940</v>
      </c>
      <c r="G1029" s="39"/>
      <c r="H1029" s="35" t="s">
        <v>940</v>
      </c>
      <c r="I1029" s="39"/>
    </row>
    <row r="1030" spans="2:9">
      <c r="B1030" s="33"/>
      <c r="C1030" s="34"/>
      <c r="D1030" s="33"/>
      <c r="E1030" s="33"/>
      <c r="F1030" s="33"/>
      <c r="G1030" s="33"/>
      <c r="H1030" s="33"/>
      <c r="I1030" s="33"/>
    </row>
    <row r="1031" spans="2:9" ht="15.75">
      <c r="B1031" s="38">
        <v>6</v>
      </c>
      <c r="C1031" s="34"/>
      <c r="D1031" s="38">
        <v>3</v>
      </c>
      <c r="E1031" s="33"/>
      <c r="F1031" s="38">
        <v>3</v>
      </c>
      <c r="G1031" s="33"/>
      <c r="H1031" s="38">
        <v>3</v>
      </c>
      <c r="I1031" s="33"/>
    </row>
    <row r="1032" spans="2:9" ht="15.75">
      <c r="B1032" s="39"/>
      <c r="C1032" s="33"/>
      <c r="D1032" s="33"/>
      <c r="E1032" s="33"/>
      <c r="F1032" s="33"/>
      <c r="G1032" s="33"/>
      <c r="H1032" s="33"/>
      <c r="I1032" s="33"/>
    </row>
    <row r="1033" spans="2:9" ht="15.75">
      <c r="B1033" s="35" t="s">
        <v>20</v>
      </c>
      <c r="C1033" s="39"/>
      <c r="D1033" s="35" t="s">
        <v>23</v>
      </c>
      <c r="E1033" s="33"/>
      <c r="F1033" s="35" t="s">
        <v>22</v>
      </c>
      <c r="G1033" s="39"/>
      <c r="H1033" s="35" t="s">
        <v>23</v>
      </c>
      <c r="I1033" s="39"/>
    </row>
    <row r="1034" spans="2:9" ht="15.75">
      <c r="B1034" s="35" t="s">
        <v>624</v>
      </c>
      <c r="C1034" s="39"/>
      <c r="D1034" s="35" t="s">
        <v>624</v>
      </c>
      <c r="E1034" s="37"/>
      <c r="F1034" s="35" t="s">
        <v>508</v>
      </c>
      <c r="G1034" s="39"/>
      <c r="H1034" s="35" t="s">
        <v>508</v>
      </c>
      <c r="I1034" s="39"/>
    </row>
    <row r="1035" spans="2:9" ht="15.75">
      <c r="B1035" s="35" t="s">
        <v>633</v>
      </c>
      <c r="C1035" s="38">
        <v>4</v>
      </c>
      <c r="D1035" s="35" t="s">
        <v>512</v>
      </c>
      <c r="E1035" s="38">
        <v>4</v>
      </c>
      <c r="F1035" s="35" t="s">
        <v>512</v>
      </c>
      <c r="G1035" s="38">
        <v>4</v>
      </c>
      <c r="H1035" s="35" t="s">
        <v>512</v>
      </c>
      <c r="I1035" s="38">
        <v>6</v>
      </c>
    </row>
    <row r="1036" spans="2:9" ht="15.75">
      <c r="B1036" s="35" t="s">
        <v>1180</v>
      </c>
      <c r="C1036" s="39"/>
      <c r="D1036" s="35" t="s">
        <v>1120</v>
      </c>
      <c r="E1036" s="37"/>
      <c r="F1036" s="35" t="s">
        <v>1121</v>
      </c>
      <c r="G1036" s="39"/>
      <c r="H1036" s="35" t="s">
        <v>1121</v>
      </c>
      <c r="I1036" s="39"/>
    </row>
    <row r="1037" spans="2:9" ht="15.75">
      <c r="B1037" s="35" t="s">
        <v>940</v>
      </c>
      <c r="C1037" s="39"/>
      <c r="D1037" s="35" t="s">
        <v>940</v>
      </c>
      <c r="E1037" s="37"/>
      <c r="F1037" s="35" t="s">
        <v>940</v>
      </c>
      <c r="G1037" s="39"/>
      <c r="H1037" s="35" t="s">
        <v>940</v>
      </c>
      <c r="I1037" s="39"/>
    </row>
    <row r="1038" spans="2:9">
      <c r="B1038" s="33"/>
      <c r="C1038" s="33"/>
      <c r="D1038" s="33"/>
      <c r="E1038" s="33"/>
      <c r="F1038" s="33"/>
      <c r="G1038" s="33"/>
      <c r="H1038" s="33"/>
      <c r="I1038" s="33"/>
    </row>
    <row r="1039" spans="2:9" ht="15.75">
      <c r="B1039" s="38">
        <v>6</v>
      </c>
      <c r="C1039" s="33"/>
      <c r="D1039" s="38">
        <v>3</v>
      </c>
      <c r="E1039" s="33"/>
      <c r="F1039" s="38">
        <v>3</v>
      </c>
      <c r="G1039" s="33"/>
      <c r="H1039" s="38">
        <v>3</v>
      </c>
      <c r="I1039" s="33"/>
    </row>
    <row r="1040" spans="2:9" ht="15.75">
      <c r="B1040" s="39"/>
      <c r="C1040" s="33"/>
      <c r="D1040" s="33"/>
      <c r="E1040" s="33"/>
      <c r="F1040" s="33"/>
      <c r="G1040" s="33"/>
      <c r="H1040" s="33"/>
      <c r="I1040" s="33"/>
    </row>
    <row r="1041" spans="2:9" ht="15.75">
      <c r="B1041" s="35" t="s">
        <v>24</v>
      </c>
      <c r="C1041" s="39"/>
      <c r="D1041" s="35" t="s">
        <v>25</v>
      </c>
      <c r="E1041" s="33"/>
      <c r="F1041" s="35" t="s">
        <v>6</v>
      </c>
      <c r="G1041" s="39"/>
      <c r="H1041" s="35" t="s">
        <v>923</v>
      </c>
    </row>
    <row r="1042" spans="2:9" ht="15.75">
      <c r="B1042" s="35" t="s">
        <v>522</v>
      </c>
      <c r="C1042" s="39"/>
      <c r="D1042" s="35" t="s">
        <v>508</v>
      </c>
      <c r="E1042" s="37"/>
      <c r="F1042" s="35" t="s">
        <v>596</v>
      </c>
      <c r="G1042" s="39"/>
      <c r="H1042" s="35" t="s">
        <v>923</v>
      </c>
    </row>
    <row r="1043" spans="2:9" ht="15.75">
      <c r="B1043" s="35" t="s">
        <v>512</v>
      </c>
      <c r="C1043" s="38">
        <v>4</v>
      </c>
      <c r="D1043" s="35" t="s">
        <v>512</v>
      </c>
      <c r="E1043" s="38">
        <v>4</v>
      </c>
      <c r="F1043" s="35" t="s">
        <v>606</v>
      </c>
      <c r="G1043" s="38" t="s">
        <v>923</v>
      </c>
      <c r="H1043" s="35" t="s">
        <v>923</v>
      </c>
    </row>
    <row r="1044" spans="2:9" ht="15.75">
      <c r="B1044" s="35" t="s">
        <v>1121</v>
      </c>
      <c r="C1044" s="39"/>
      <c r="D1044" s="35" t="s">
        <v>1121</v>
      </c>
      <c r="E1044" s="37"/>
      <c r="F1044" s="35" t="s">
        <v>1181</v>
      </c>
      <c r="G1044" s="39"/>
      <c r="H1044" s="35" t="s">
        <v>923</v>
      </c>
    </row>
    <row r="1045" spans="2:9" ht="15.75">
      <c r="B1045" s="35" t="s">
        <v>940</v>
      </c>
      <c r="C1045" s="39"/>
      <c r="D1045" s="35" t="s">
        <v>940</v>
      </c>
      <c r="E1045" s="37"/>
      <c r="F1045" s="35" t="s">
        <v>926</v>
      </c>
      <c r="G1045" s="39"/>
      <c r="H1045" s="35" t="s">
        <v>923</v>
      </c>
    </row>
    <row r="1047" spans="2:9">
      <c r="B1047" s="43" t="s">
        <v>100</v>
      </c>
      <c r="D1047" s="44" t="s">
        <v>1182</v>
      </c>
    </row>
    <row r="1048" spans="2:9">
      <c r="B1048" s="45"/>
    </row>
    <row r="1049" spans="2:9">
      <c r="B1049" s="46" t="s">
        <v>101</v>
      </c>
      <c r="D1049" s="47" t="s">
        <v>1183</v>
      </c>
    </row>
    <row r="1050" spans="2:9">
      <c r="B1050" s="50"/>
      <c r="C1050" s="49"/>
      <c r="D1050" s="49"/>
    </row>
    <row r="1051" spans="2:9">
      <c r="B1051" s="42" t="s">
        <v>798</v>
      </c>
    </row>
    <row r="1053" spans="2:9" ht="15.75">
      <c r="B1053" s="35" t="s">
        <v>5</v>
      </c>
      <c r="C1053" s="54"/>
      <c r="D1053" s="35" t="s">
        <v>17</v>
      </c>
      <c r="E1053" s="33"/>
      <c r="F1053" s="35" t="s">
        <v>18</v>
      </c>
      <c r="G1053" s="39"/>
      <c r="H1053" s="35" t="s">
        <v>19</v>
      </c>
      <c r="I1053" s="39"/>
    </row>
    <row r="1054" spans="2:9" ht="15.75">
      <c r="B1054" s="35" t="s">
        <v>454</v>
      </c>
      <c r="C1054" s="54"/>
      <c r="D1054" s="35" t="s">
        <v>755</v>
      </c>
      <c r="E1054" s="36"/>
      <c r="F1054" s="35" t="s">
        <v>715</v>
      </c>
      <c r="G1054" s="39"/>
      <c r="H1054" s="35" t="s">
        <v>625</v>
      </c>
      <c r="I1054" s="39"/>
    </row>
    <row r="1055" spans="2:9" ht="15.75">
      <c r="B1055" s="35" t="s">
        <v>577</v>
      </c>
      <c r="C1055" s="40">
        <v>4</v>
      </c>
      <c r="D1055" s="35" t="s">
        <v>649</v>
      </c>
      <c r="E1055" s="40">
        <v>4</v>
      </c>
      <c r="F1055" s="35" t="s">
        <v>259</v>
      </c>
      <c r="G1055" s="38">
        <v>4</v>
      </c>
      <c r="H1055" s="35" t="s">
        <v>259</v>
      </c>
      <c r="I1055" s="38">
        <v>6</v>
      </c>
    </row>
    <row r="1056" spans="2:9" ht="15.75">
      <c r="B1056" s="35" t="s">
        <v>1184</v>
      </c>
      <c r="C1056" s="54"/>
      <c r="D1056" s="35" t="s">
        <v>1185</v>
      </c>
      <c r="E1056" s="36"/>
      <c r="F1056" s="35" t="s">
        <v>1186</v>
      </c>
      <c r="G1056" s="39"/>
      <c r="H1056" s="35" t="s">
        <v>1186</v>
      </c>
      <c r="I1056" s="38"/>
    </row>
    <row r="1057" spans="2:9" ht="15.75">
      <c r="B1057" s="53" t="s">
        <v>927</v>
      </c>
      <c r="C1057" s="54"/>
      <c r="D1057" s="35" t="s">
        <v>940</v>
      </c>
      <c r="E1057" s="36"/>
      <c r="F1057" s="35" t="s">
        <v>940</v>
      </c>
      <c r="G1057" s="39"/>
      <c r="H1057" s="35" t="s">
        <v>940</v>
      </c>
      <c r="I1057" s="39"/>
    </row>
    <row r="1058" spans="2:9">
      <c r="B1058" s="33"/>
      <c r="C1058" s="34"/>
      <c r="D1058" s="33"/>
      <c r="E1058" s="33"/>
      <c r="F1058" s="33"/>
      <c r="G1058" s="33"/>
      <c r="H1058" s="33"/>
      <c r="I1058" s="33"/>
    </row>
    <row r="1059" spans="2:9" ht="15.75">
      <c r="B1059" s="38">
        <v>6</v>
      </c>
      <c r="C1059" s="34"/>
      <c r="D1059" s="38">
        <v>3</v>
      </c>
      <c r="E1059" s="33"/>
      <c r="F1059" s="38">
        <v>3</v>
      </c>
      <c r="G1059" s="33"/>
      <c r="H1059" s="38">
        <v>3</v>
      </c>
      <c r="I1059" s="33"/>
    </row>
    <row r="1060" spans="2:9" ht="15.75">
      <c r="B1060" s="39"/>
      <c r="C1060" s="33"/>
      <c r="D1060" s="33"/>
      <c r="E1060" s="33"/>
      <c r="F1060" s="33"/>
      <c r="G1060" s="33"/>
      <c r="H1060" s="33"/>
      <c r="I1060" s="33"/>
    </row>
    <row r="1061" spans="2:9" ht="15.75">
      <c r="B1061" s="35" t="s">
        <v>20</v>
      </c>
      <c r="C1061" s="39"/>
      <c r="D1061" s="35" t="s">
        <v>24</v>
      </c>
      <c r="E1061" s="33"/>
      <c r="F1061" s="35" t="s">
        <v>22</v>
      </c>
      <c r="G1061" s="39"/>
      <c r="H1061" s="35" t="s">
        <v>23</v>
      </c>
      <c r="I1061" s="39"/>
    </row>
    <row r="1062" spans="2:9" ht="15.75">
      <c r="B1062" s="35" t="s">
        <v>625</v>
      </c>
      <c r="C1062" s="39"/>
      <c r="D1062" s="35" t="s">
        <v>625</v>
      </c>
      <c r="E1062" s="37"/>
      <c r="F1062" s="35" t="s">
        <v>241</v>
      </c>
      <c r="G1062" s="39"/>
      <c r="H1062" s="35" t="s">
        <v>241</v>
      </c>
      <c r="I1062" s="39"/>
    </row>
    <row r="1063" spans="2:9" ht="15.75">
      <c r="B1063" s="35" t="s">
        <v>259</v>
      </c>
      <c r="C1063" s="38">
        <v>4</v>
      </c>
      <c r="D1063" s="35" t="s">
        <v>249</v>
      </c>
      <c r="E1063" s="38">
        <v>4</v>
      </c>
      <c r="F1063" s="35" t="s">
        <v>249</v>
      </c>
      <c r="G1063" s="38">
        <v>4</v>
      </c>
      <c r="H1063" s="35" t="s">
        <v>249</v>
      </c>
      <c r="I1063" s="38">
        <v>6</v>
      </c>
    </row>
    <row r="1064" spans="2:9" ht="15.75">
      <c r="B1064" s="35" t="s">
        <v>1186</v>
      </c>
      <c r="C1064" s="39"/>
      <c r="D1064" s="35" t="s">
        <v>1127</v>
      </c>
      <c r="E1064" s="37"/>
      <c r="F1064" s="35" t="s">
        <v>1127</v>
      </c>
      <c r="G1064" s="39"/>
      <c r="H1064" s="35" t="s">
        <v>1127</v>
      </c>
      <c r="I1064" s="39"/>
    </row>
    <row r="1065" spans="2:9" ht="15.75">
      <c r="B1065" s="35" t="s">
        <v>940</v>
      </c>
      <c r="C1065" s="39"/>
      <c r="D1065" s="35" t="s">
        <v>940</v>
      </c>
      <c r="E1065" s="37"/>
      <c r="F1065" s="35" t="s">
        <v>940</v>
      </c>
      <c r="G1065" s="39"/>
      <c r="H1065" s="35" t="s">
        <v>940</v>
      </c>
      <c r="I1065" s="39"/>
    </row>
    <row r="1066" spans="2:9">
      <c r="B1066" s="33"/>
      <c r="C1066" s="33"/>
      <c r="D1066" s="33"/>
      <c r="E1066" s="33"/>
      <c r="F1066" s="33"/>
      <c r="G1066" s="33"/>
      <c r="H1066" s="33"/>
      <c r="I1066" s="33"/>
    </row>
    <row r="1067" spans="2:9" ht="15.75">
      <c r="B1067" s="38">
        <v>6</v>
      </c>
      <c r="C1067" s="33"/>
      <c r="D1067" s="38">
        <v>3</v>
      </c>
      <c r="E1067" s="33"/>
      <c r="F1067" s="38">
        <v>3</v>
      </c>
      <c r="G1067" s="33"/>
      <c r="H1067" s="38">
        <v>3</v>
      </c>
      <c r="I1067" s="33"/>
    </row>
    <row r="1068" spans="2:9" ht="15.75">
      <c r="B1068" s="39"/>
      <c r="C1068" s="33"/>
      <c r="D1068" s="33"/>
      <c r="E1068" s="33"/>
      <c r="F1068" s="33"/>
      <c r="G1068" s="33"/>
      <c r="H1068" s="33"/>
      <c r="I1068" s="33"/>
    </row>
    <row r="1069" spans="2:9" ht="15.75">
      <c r="B1069" s="35" t="s">
        <v>24</v>
      </c>
      <c r="C1069" s="39"/>
      <c r="D1069" s="35" t="s">
        <v>25</v>
      </c>
      <c r="E1069" s="33"/>
      <c r="F1069" s="35" t="s">
        <v>26</v>
      </c>
      <c r="G1069" s="39"/>
      <c r="H1069" s="35" t="s">
        <v>6</v>
      </c>
    </row>
    <row r="1070" spans="2:9" ht="15.75">
      <c r="B1070" s="35" t="s">
        <v>523</v>
      </c>
      <c r="C1070" s="39"/>
      <c r="D1070" s="35" t="s">
        <v>241</v>
      </c>
      <c r="E1070" s="37"/>
      <c r="F1070" s="35" t="s">
        <v>517</v>
      </c>
      <c r="G1070" s="39"/>
      <c r="H1070" s="35" t="s">
        <v>597</v>
      </c>
    </row>
    <row r="1071" spans="2:9" ht="15.75">
      <c r="B1071" s="35" t="s">
        <v>249</v>
      </c>
      <c r="C1071" s="38">
        <v>4</v>
      </c>
      <c r="D1071" s="35" t="s">
        <v>249</v>
      </c>
      <c r="E1071" s="38">
        <v>4</v>
      </c>
      <c r="F1071" s="35" t="s">
        <v>249</v>
      </c>
      <c r="G1071" s="38">
        <v>4</v>
      </c>
      <c r="H1071" s="35" t="s">
        <v>607</v>
      </c>
    </row>
    <row r="1072" spans="2:9" ht="15.75">
      <c r="B1072" s="35" t="s">
        <v>1127</v>
      </c>
      <c r="C1072" s="39"/>
      <c r="D1072" s="35" t="s">
        <v>1127</v>
      </c>
      <c r="E1072" s="37"/>
      <c r="F1072" s="35" t="s">
        <v>1127</v>
      </c>
      <c r="G1072" s="39"/>
      <c r="H1072" s="35" t="s">
        <v>1187</v>
      </c>
    </row>
    <row r="1073" spans="2:9" ht="15.75">
      <c r="B1073" s="35" t="s">
        <v>940</v>
      </c>
      <c r="C1073" s="39"/>
      <c r="D1073" s="35" t="s">
        <v>940</v>
      </c>
      <c r="E1073" s="37"/>
      <c r="F1073" s="35" t="s">
        <v>940</v>
      </c>
      <c r="G1073" s="39"/>
      <c r="H1073" s="35" t="s">
        <v>926</v>
      </c>
    </row>
    <row r="1075" spans="2:9">
      <c r="B1075" s="43" t="s">
        <v>100</v>
      </c>
      <c r="D1075" s="44" t="s">
        <v>1188</v>
      </c>
    </row>
    <row r="1076" spans="2:9">
      <c r="B1076" s="45"/>
    </row>
    <row r="1077" spans="2:9">
      <c r="B1077" s="46" t="s">
        <v>101</v>
      </c>
      <c r="D1077" s="47" t="s">
        <v>1189</v>
      </c>
    </row>
    <row r="1079" spans="2:9">
      <c r="B1079" s="55" t="s">
        <v>799</v>
      </c>
    </row>
    <row r="1081" spans="2:9">
      <c r="B1081" s="42" t="s">
        <v>800</v>
      </c>
    </row>
    <row r="1083" spans="2:9" ht="15.75">
      <c r="B1083" s="35" t="s">
        <v>5</v>
      </c>
      <c r="C1083" s="54"/>
      <c r="D1083" s="35" t="s">
        <v>17</v>
      </c>
      <c r="E1083" s="33"/>
      <c r="F1083" s="35" t="s">
        <v>6</v>
      </c>
      <c r="G1083" s="39"/>
      <c r="H1083" s="35" t="s">
        <v>923</v>
      </c>
      <c r="I1083" s="39"/>
    </row>
    <row r="1084" spans="2:9" ht="15.75">
      <c r="B1084" s="35" t="s">
        <v>424</v>
      </c>
      <c r="C1084" s="54"/>
      <c r="D1084" s="35" t="s">
        <v>746</v>
      </c>
      <c r="E1084" s="36"/>
      <c r="F1084" s="35" t="s">
        <v>588</v>
      </c>
      <c r="G1084" s="39"/>
      <c r="H1084" s="35" t="s">
        <v>923</v>
      </c>
      <c r="I1084" s="39"/>
    </row>
    <row r="1085" spans="2:9" ht="15.75">
      <c r="B1085" s="35" t="s">
        <v>568</v>
      </c>
      <c r="C1085" s="40">
        <v>4</v>
      </c>
      <c r="D1085" s="35" t="s">
        <v>650</v>
      </c>
      <c r="E1085" s="40">
        <v>4</v>
      </c>
      <c r="F1085" s="35" t="s">
        <v>598</v>
      </c>
      <c r="G1085" s="38" t="s">
        <v>923</v>
      </c>
      <c r="H1085" s="35" t="s">
        <v>923</v>
      </c>
      <c r="I1085" s="38" t="s">
        <v>923</v>
      </c>
    </row>
    <row r="1086" spans="2:9" ht="15.75">
      <c r="B1086" s="35" t="s">
        <v>1131</v>
      </c>
      <c r="C1086" s="54"/>
      <c r="D1086" s="35" t="s">
        <v>1132</v>
      </c>
      <c r="E1086" s="36"/>
      <c r="F1086" s="35" t="s">
        <v>1133</v>
      </c>
      <c r="G1086" s="39"/>
      <c r="H1086" s="35" t="s">
        <v>923</v>
      </c>
      <c r="I1086" s="38"/>
    </row>
    <row r="1087" spans="2:9" ht="15.75">
      <c r="B1087" s="53" t="s">
        <v>927</v>
      </c>
      <c r="C1087" s="54"/>
      <c r="D1087" s="35" t="s">
        <v>940</v>
      </c>
      <c r="E1087" s="36"/>
      <c r="F1087" s="35" t="s">
        <v>926</v>
      </c>
      <c r="G1087" s="39"/>
      <c r="H1087" s="35" t="s">
        <v>923</v>
      </c>
      <c r="I1087" s="39"/>
    </row>
    <row r="1088" spans="2:9">
      <c r="B1088" s="33"/>
      <c r="C1088" s="34"/>
      <c r="D1088" s="33"/>
      <c r="E1088" s="33"/>
      <c r="F1088" s="33"/>
      <c r="G1088" s="33"/>
      <c r="H1088" s="33"/>
      <c r="I1088" s="33"/>
    </row>
    <row r="1089" spans="2:9">
      <c r="B1089" s="43" t="s">
        <v>100</v>
      </c>
      <c r="D1089" s="44" t="s">
        <v>1134</v>
      </c>
    </row>
    <row r="1090" spans="2:9">
      <c r="B1090" s="45"/>
    </row>
    <row r="1091" spans="2:9">
      <c r="B1091" s="46" t="s">
        <v>101</v>
      </c>
      <c r="D1091" s="47" t="s">
        <v>1135</v>
      </c>
    </row>
    <row r="1093" spans="2:9">
      <c r="B1093" s="42" t="s">
        <v>801</v>
      </c>
    </row>
    <row r="1095" spans="2:9" ht="15.75">
      <c r="B1095" s="35" t="s">
        <v>5</v>
      </c>
      <c r="C1095" s="54"/>
      <c r="D1095" s="35" t="s">
        <v>17</v>
      </c>
      <c r="E1095" s="33"/>
      <c r="F1095" s="35" t="s">
        <v>18</v>
      </c>
      <c r="G1095" s="39"/>
      <c r="H1095" s="35" t="s">
        <v>6</v>
      </c>
      <c r="I1095" s="39"/>
    </row>
    <row r="1096" spans="2:9" ht="15.75">
      <c r="B1096" s="35" t="s">
        <v>446</v>
      </c>
      <c r="C1096" s="54"/>
      <c r="D1096" s="35" t="s">
        <v>747</v>
      </c>
      <c r="E1096" s="36"/>
      <c r="F1096" s="35" t="s">
        <v>707</v>
      </c>
      <c r="G1096" s="39"/>
      <c r="H1096" s="35" t="s">
        <v>589</v>
      </c>
      <c r="I1096" s="39"/>
    </row>
    <row r="1097" spans="2:9" ht="15.75">
      <c r="B1097" s="35" t="s">
        <v>569</v>
      </c>
      <c r="C1097" s="40">
        <v>4</v>
      </c>
      <c r="D1097" s="35" t="s">
        <v>651</v>
      </c>
      <c r="E1097" s="40">
        <v>4</v>
      </c>
      <c r="F1097" s="35" t="s">
        <v>626</v>
      </c>
      <c r="G1097" s="38">
        <v>4</v>
      </c>
      <c r="H1097" s="35" t="s">
        <v>599</v>
      </c>
      <c r="I1097" s="38" t="s">
        <v>923</v>
      </c>
    </row>
    <row r="1098" spans="2:9" ht="15.75">
      <c r="B1098" s="35" t="s">
        <v>1136</v>
      </c>
      <c r="C1098" s="54"/>
      <c r="D1098" s="35" t="s">
        <v>1137</v>
      </c>
      <c r="E1098" s="36"/>
      <c r="F1098" s="35" t="s">
        <v>1138</v>
      </c>
      <c r="G1098" s="39"/>
      <c r="H1098" s="35" t="s">
        <v>1139</v>
      </c>
      <c r="I1098" s="38"/>
    </row>
    <row r="1099" spans="2:9" ht="15.75">
      <c r="B1099" s="53" t="s">
        <v>927</v>
      </c>
      <c r="C1099" s="54"/>
      <c r="D1099" s="35" t="s">
        <v>940</v>
      </c>
      <c r="E1099" s="36"/>
      <c r="F1099" s="35" t="s">
        <v>940</v>
      </c>
      <c r="G1099" s="39"/>
      <c r="H1099" s="35" t="s">
        <v>926</v>
      </c>
      <c r="I1099" s="39"/>
    </row>
    <row r="1100" spans="2:9">
      <c r="B1100" s="33"/>
      <c r="C1100" s="34"/>
      <c r="D1100" s="33"/>
      <c r="E1100" s="33"/>
      <c r="F1100" s="33"/>
      <c r="G1100" s="33"/>
      <c r="H1100" s="33"/>
      <c r="I1100" s="33"/>
    </row>
    <row r="1101" spans="2:9">
      <c r="B1101" s="43" t="s">
        <v>100</v>
      </c>
      <c r="D1101" s="44" t="s">
        <v>1140</v>
      </c>
    </row>
    <row r="1102" spans="2:9">
      <c r="B1102" s="45"/>
    </row>
    <row r="1103" spans="2:9">
      <c r="B1103" s="46" t="s">
        <v>101</v>
      </c>
      <c r="D1103" s="47" t="s">
        <v>1141</v>
      </c>
    </row>
    <row r="1105" spans="2:9">
      <c r="B1105" s="42" t="s">
        <v>802</v>
      </c>
    </row>
    <row r="1107" spans="2:9" ht="15.75">
      <c r="B1107" s="35" t="s">
        <v>5</v>
      </c>
      <c r="C1107" s="54"/>
      <c r="D1107" s="35" t="s">
        <v>17</v>
      </c>
      <c r="E1107" s="33"/>
      <c r="F1107" s="35" t="s">
        <v>18</v>
      </c>
      <c r="G1107" s="39"/>
      <c r="H1107" s="35" t="s">
        <v>19</v>
      </c>
      <c r="I1107" s="39"/>
    </row>
    <row r="1108" spans="2:9" ht="15.75">
      <c r="B1108" s="35" t="s">
        <v>447</v>
      </c>
      <c r="C1108" s="54"/>
      <c r="D1108" s="35" t="s">
        <v>748</v>
      </c>
      <c r="E1108" s="36"/>
      <c r="F1108" s="35" t="s">
        <v>708</v>
      </c>
      <c r="G1108" s="39"/>
      <c r="H1108" s="35" t="s">
        <v>618</v>
      </c>
      <c r="I1108" s="39"/>
    </row>
    <row r="1109" spans="2:9" ht="15.75">
      <c r="B1109" s="35" t="s">
        <v>570</v>
      </c>
      <c r="C1109" s="40">
        <v>4</v>
      </c>
      <c r="D1109" s="35" t="s">
        <v>652</v>
      </c>
      <c r="E1109" s="40">
        <v>4</v>
      </c>
      <c r="F1109" s="35" t="s">
        <v>627</v>
      </c>
      <c r="G1109" s="38">
        <v>4</v>
      </c>
      <c r="H1109" s="35" t="s">
        <v>627</v>
      </c>
      <c r="I1109" s="38">
        <v>6</v>
      </c>
    </row>
    <row r="1110" spans="2:9" ht="15.75">
      <c r="B1110" s="35" t="s">
        <v>1142</v>
      </c>
      <c r="C1110" s="54"/>
      <c r="D1110" s="35" t="s">
        <v>1143</v>
      </c>
      <c r="E1110" s="36"/>
      <c r="F1110" s="35" t="s">
        <v>1144</v>
      </c>
      <c r="G1110" s="39"/>
      <c r="H1110" s="35" t="s">
        <v>1144</v>
      </c>
      <c r="I1110" s="38"/>
    </row>
    <row r="1111" spans="2:9" ht="15.75">
      <c r="B1111" s="53" t="s">
        <v>927</v>
      </c>
      <c r="C1111" s="54"/>
      <c r="D1111" s="35" t="s">
        <v>940</v>
      </c>
      <c r="E1111" s="36"/>
      <c r="F1111" s="35" t="s">
        <v>940</v>
      </c>
      <c r="G1111" s="39"/>
      <c r="H1111" s="35" t="s">
        <v>940</v>
      </c>
      <c r="I1111" s="39"/>
    </row>
    <row r="1112" spans="2:9">
      <c r="B1112" s="33"/>
      <c r="C1112" s="34"/>
      <c r="D1112" s="33"/>
      <c r="E1112" s="33"/>
      <c r="F1112" s="33"/>
      <c r="G1112" s="33"/>
      <c r="H1112" s="33"/>
      <c r="I1112" s="33"/>
    </row>
    <row r="1113" spans="2:9" ht="15.75">
      <c r="B1113" s="38">
        <v>6</v>
      </c>
      <c r="C1113" s="34"/>
      <c r="D1113" s="38">
        <v>3</v>
      </c>
      <c r="E1113" s="33"/>
      <c r="F1113" s="38">
        <v>3</v>
      </c>
      <c r="G1113" s="33"/>
      <c r="H1113" s="38">
        <v>3</v>
      </c>
      <c r="I1113" s="33"/>
    </row>
    <row r="1114" spans="2:9" ht="15.75">
      <c r="B1114" s="39"/>
      <c r="C1114" s="33"/>
      <c r="D1114" s="33"/>
      <c r="E1114" s="33"/>
      <c r="F1114" s="33"/>
      <c r="G1114" s="33"/>
      <c r="H1114" s="33"/>
      <c r="I1114" s="33"/>
    </row>
    <row r="1115" spans="2:9" ht="15.75">
      <c r="B1115" s="35" t="s">
        <v>6</v>
      </c>
      <c r="C1115" s="39"/>
      <c r="D1115" s="35" t="s">
        <v>923</v>
      </c>
      <c r="E1115" s="33"/>
      <c r="F1115" s="35" t="s">
        <v>923</v>
      </c>
      <c r="G1115" s="39"/>
      <c r="H1115" s="35" t="s">
        <v>923</v>
      </c>
      <c r="I1115" s="39"/>
    </row>
    <row r="1116" spans="2:9" ht="15.75">
      <c r="B1116" s="35" t="s">
        <v>590</v>
      </c>
      <c r="C1116" s="39"/>
      <c r="D1116" s="35" t="s">
        <v>923</v>
      </c>
      <c r="E1116" s="37"/>
      <c r="F1116" s="35" t="s">
        <v>923</v>
      </c>
      <c r="G1116" s="39"/>
      <c r="H1116" s="35" t="s">
        <v>923</v>
      </c>
      <c r="I1116" s="39"/>
    </row>
    <row r="1117" spans="2:9" ht="15.75">
      <c r="B1117" s="35" t="s">
        <v>600</v>
      </c>
      <c r="C1117" s="38" t="s">
        <v>923</v>
      </c>
      <c r="D1117" s="35" t="s">
        <v>923</v>
      </c>
      <c r="E1117" s="38" t="s">
        <v>923</v>
      </c>
      <c r="F1117" s="35" t="s">
        <v>923</v>
      </c>
      <c r="G1117" s="38" t="s">
        <v>923</v>
      </c>
      <c r="H1117" s="35" t="s">
        <v>923</v>
      </c>
      <c r="I1117" s="38" t="s">
        <v>923</v>
      </c>
    </row>
    <row r="1118" spans="2:9" ht="15.75">
      <c r="B1118" s="35" t="s">
        <v>1145</v>
      </c>
      <c r="C1118" s="39"/>
      <c r="D1118" s="35" t="s">
        <v>923</v>
      </c>
      <c r="E1118" s="37"/>
      <c r="F1118" s="35" t="s">
        <v>923</v>
      </c>
      <c r="G1118" s="39"/>
      <c r="H1118" s="35" t="s">
        <v>923</v>
      </c>
      <c r="I1118" s="39"/>
    </row>
    <row r="1119" spans="2:9" ht="15.75">
      <c r="B1119" s="35" t="s">
        <v>926</v>
      </c>
      <c r="C1119" s="39"/>
      <c r="D1119" s="35" t="s">
        <v>923</v>
      </c>
      <c r="E1119" s="37"/>
      <c r="F1119" s="35" t="s">
        <v>923</v>
      </c>
      <c r="G1119" s="39"/>
      <c r="H1119" s="35" t="s">
        <v>923</v>
      </c>
      <c r="I1119" s="39"/>
    </row>
    <row r="1120" spans="2:9">
      <c r="B1120" s="33"/>
      <c r="C1120" s="33"/>
      <c r="D1120" s="33"/>
      <c r="E1120" s="33"/>
      <c r="F1120" s="33"/>
      <c r="G1120" s="33"/>
      <c r="H1120" s="33"/>
      <c r="I1120" s="33"/>
    </row>
    <row r="1121" spans="2:9">
      <c r="B1121" s="43" t="s">
        <v>100</v>
      </c>
      <c r="D1121" s="44" t="s">
        <v>1146</v>
      </c>
    </row>
    <row r="1122" spans="2:9">
      <c r="B1122" s="45"/>
    </row>
    <row r="1123" spans="2:9">
      <c r="B1123" s="46" t="s">
        <v>101</v>
      </c>
      <c r="D1123" s="47" t="s">
        <v>1147</v>
      </c>
    </row>
    <row r="1125" spans="2:9">
      <c r="B1125" s="42" t="s">
        <v>803</v>
      </c>
    </row>
    <row r="1127" spans="2:9" ht="15.75">
      <c r="B1127" s="35" t="s">
        <v>5</v>
      </c>
      <c r="C1127" s="54"/>
      <c r="D1127" s="35" t="s">
        <v>17</v>
      </c>
      <c r="E1127" s="33"/>
      <c r="F1127" s="35" t="s">
        <v>18</v>
      </c>
      <c r="G1127" s="39"/>
      <c r="H1127" s="35" t="s">
        <v>19</v>
      </c>
      <c r="I1127" s="39"/>
    </row>
    <row r="1128" spans="2:9" ht="15.75">
      <c r="B1128" s="35" t="s">
        <v>448</v>
      </c>
      <c r="C1128" s="54"/>
      <c r="D1128" s="35" t="s">
        <v>749</v>
      </c>
      <c r="E1128" s="36"/>
      <c r="F1128" s="35" t="s">
        <v>709</v>
      </c>
      <c r="G1128" s="39"/>
      <c r="H1128" s="35" t="s">
        <v>619</v>
      </c>
      <c r="I1128" s="39"/>
    </row>
    <row r="1129" spans="2:9" ht="15.75">
      <c r="B1129" s="35" t="s">
        <v>571</v>
      </c>
      <c r="C1129" s="40">
        <v>4</v>
      </c>
      <c r="D1129" s="35" t="s">
        <v>653</v>
      </c>
      <c r="E1129" s="40">
        <v>4</v>
      </c>
      <c r="F1129" s="35" t="s">
        <v>628</v>
      </c>
      <c r="G1129" s="38">
        <v>4</v>
      </c>
      <c r="H1129" s="35" t="s">
        <v>628</v>
      </c>
      <c r="I1129" s="38">
        <v>6</v>
      </c>
    </row>
    <row r="1130" spans="2:9" ht="15.75">
      <c r="B1130" s="35" t="s">
        <v>1148</v>
      </c>
      <c r="C1130" s="54"/>
      <c r="D1130" s="35" t="s">
        <v>1149</v>
      </c>
      <c r="E1130" s="36"/>
      <c r="F1130" s="35" t="s">
        <v>1150</v>
      </c>
      <c r="G1130" s="39"/>
      <c r="H1130" s="35" t="s">
        <v>1150</v>
      </c>
      <c r="I1130" s="38"/>
    </row>
    <row r="1131" spans="2:9" ht="15.75">
      <c r="B1131" s="53" t="s">
        <v>927</v>
      </c>
      <c r="C1131" s="54"/>
      <c r="D1131" s="35" t="s">
        <v>940</v>
      </c>
      <c r="E1131" s="36"/>
      <c r="F1131" s="35" t="s">
        <v>940</v>
      </c>
      <c r="G1131" s="39"/>
      <c r="H1131" s="35" t="s">
        <v>940</v>
      </c>
      <c r="I1131" s="39"/>
    </row>
    <row r="1132" spans="2:9">
      <c r="B1132" s="33"/>
      <c r="C1132" s="34"/>
      <c r="D1132" s="33"/>
      <c r="E1132" s="33"/>
      <c r="F1132" s="33"/>
      <c r="G1132" s="33"/>
      <c r="H1132" s="33"/>
      <c r="I1132" s="33"/>
    </row>
    <row r="1133" spans="2:9" ht="15.75">
      <c r="B1133" s="38">
        <v>6</v>
      </c>
      <c r="C1133" s="34"/>
      <c r="D1133" s="38">
        <v>3</v>
      </c>
      <c r="E1133" s="33"/>
      <c r="F1133" s="38">
        <v>3</v>
      </c>
      <c r="G1133" s="33"/>
      <c r="H1133" s="38">
        <v>3</v>
      </c>
      <c r="I1133" s="33"/>
    </row>
    <row r="1134" spans="2:9" ht="15.75">
      <c r="B1134" s="39"/>
      <c r="C1134" s="33"/>
      <c r="D1134" s="33"/>
      <c r="E1134" s="33"/>
      <c r="F1134" s="33"/>
      <c r="G1134" s="33"/>
      <c r="H1134" s="33"/>
      <c r="I1134" s="33"/>
    </row>
    <row r="1135" spans="2:9" ht="15.75">
      <c r="B1135" s="35" t="s">
        <v>20</v>
      </c>
      <c r="C1135" s="39"/>
      <c r="D1135" s="35" t="s">
        <v>6</v>
      </c>
      <c r="E1135" s="33"/>
      <c r="F1135" s="35" t="s">
        <v>923</v>
      </c>
      <c r="G1135" s="39"/>
      <c r="H1135" s="35" t="s">
        <v>923</v>
      </c>
      <c r="I1135" s="39"/>
    </row>
    <row r="1136" spans="2:9" ht="15.75">
      <c r="B1136" s="35" t="s">
        <v>619</v>
      </c>
      <c r="C1136" s="39"/>
      <c r="D1136" s="35" t="s">
        <v>591</v>
      </c>
      <c r="E1136" s="37"/>
      <c r="F1136" s="35" t="s">
        <v>923</v>
      </c>
      <c r="G1136" s="39"/>
      <c r="H1136" s="35" t="s">
        <v>923</v>
      </c>
      <c r="I1136" s="39"/>
    </row>
    <row r="1137" spans="2:9" ht="15.75">
      <c r="B1137" s="35" t="s">
        <v>628</v>
      </c>
      <c r="C1137" s="38">
        <v>4</v>
      </c>
      <c r="D1137" s="35" t="s">
        <v>601</v>
      </c>
      <c r="E1137" s="38" t="s">
        <v>923</v>
      </c>
      <c r="F1137" s="35" t="s">
        <v>923</v>
      </c>
      <c r="G1137" s="38" t="s">
        <v>923</v>
      </c>
      <c r="H1137" s="35" t="s">
        <v>923</v>
      </c>
      <c r="I1137" s="38" t="s">
        <v>923</v>
      </c>
    </row>
    <row r="1138" spans="2:9" ht="15.75">
      <c r="B1138" s="35" t="s">
        <v>1150</v>
      </c>
      <c r="C1138" s="39"/>
      <c r="D1138" s="35" t="s">
        <v>1151</v>
      </c>
      <c r="E1138" s="37"/>
      <c r="F1138" s="35" t="s">
        <v>923</v>
      </c>
      <c r="G1138" s="39"/>
      <c r="H1138" s="35" t="s">
        <v>923</v>
      </c>
      <c r="I1138" s="39"/>
    </row>
    <row r="1139" spans="2:9" ht="15.75">
      <c r="B1139" s="35" t="s">
        <v>940</v>
      </c>
      <c r="C1139" s="39"/>
      <c r="D1139" s="35" t="s">
        <v>926</v>
      </c>
      <c r="E1139" s="37"/>
      <c r="F1139" s="35" t="s">
        <v>923</v>
      </c>
      <c r="G1139" s="39"/>
      <c r="H1139" s="35" t="s">
        <v>923</v>
      </c>
      <c r="I1139" s="39"/>
    </row>
    <row r="1140" spans="2:9">
      <c r="B1140" s="33"/>
      <c r="C1140" s="33"/>
      <c r="D1140" s="33"/>
      <c r="E1140" s="33"/>
      <c r="F1140" s="33"/>
      <c r="G1140" s="33"/>
      <c r="H1140" s="33"/>
      <c r="I1140" s="33"/>
    </row>
    <row r="1141" spans="2:9">
      <c r="B1141" s="43" t="s">
        <v>100</v>
      </c>
      <c r="D1141" s="44" t="s">
        <v>1152</v>
      </c>
    </row>
    <row r="1142" spans="2:9">
      <c r="B1142" s="45"/>
    </row>
    <row r="1143" spans="2:9">
      <c r="B1143" s="46" t="s">
        <v>101</v>
      </c>
      <c r="D1143" s="47" t="s">
        <v>1153</v>
      </c>
    </row>
    <row r="1145" spans="2:9">
      <c r="B1145" s="42" t="s">
        <v>804</v>
      </c>
    </row>
    <row r="1147" spans="2:9" ht="15.75">
      <c r="B1147" s="35" t="s">
        <v>5</v>
      </c>
      <c r="C1147" s="54"/>
      <c r="D1147" s="35" t="s">
        <v>17</v>
      </c>
      <c r="E1147" s="33"/>
      <c r="F1147" s="35" t="s">
        <v>18</v>
      </c>
      <c r="G1147" s="39"/>
      <c r="H1147" s="35" t="s">
        <v>19</v>
      </c>
      <c r="I1147" s="39"/>
    </row>
    <row r="1148" spans="2:9" ht="15.75">
      <c r="B1148" s="35" t="s">
        <v>449</v>
      </c>
      <c r="C1148" s="54"/>
      <c r="D1148" s="35" t="s">
        <v>750</v>
      </c>
      <c r="E1148" s="36"/>
      <c r="F1148" s="35" t="s">
        <v>710</v>
      </c>
      <c r="G1148" s="39"/>
      <c r="H1148" s="35" t="s">
        <v>620</v>
      </c>
      <c r="I1148" s="39"/>
    </row>
    <row r="1149" spans="2:9" ht="15.75">
      <c r="B1149" s="35" t="s">
        <v>572</v>
      </c>
      <c r="C1149" s="40">
        <v>4</v>
      </c>
      <c r="D1149" s="35" t="s">
        <v>654</v>
      </c>
      <c r="E1149" s="40">
        <v>4</v>
      </c>
      <c r="F1149" s="35" t="s">
        <v>629</v>
      </c>
      <c r="G1149" s="38">
        <v>4</v>
      </c>
      <c r="H1149" s="35" t="s">
        <v>629</v>
      </c>
      <c r="I1149" s="38">
        <v>6</v>
      </c>
    </row>
    <row r="1150" spans="2:9" ht="15.75">
      <c r="B1150" s="35" t="s">
        <v>1154</v>
      </c>
      <c r="C1150" s="54"/>
      <c r="D1150" s="35" t="s">
        <v>1155</v>
      </c>
      <c r="E1150" s="36"/>
      <c r="F1150" s="35" t="s">
        <v>1156</v>
      </c>
      <c r="G1150" s="39"/>
      <c r="H1150" s="35" t="s">
        <v>1156</v>
      </c>
      <c r="I1150" s="38"/>
    </row>
    <row r="1151" spans="2:9" ht="15.75">
      <c r="B1151" s="53" t="s">
        <v>927</v>
      </c>
      <c r="C1151" s="54"/>
      <c r="D1151" s="35" t="s">
        <v>940</v>
      </c>
      <c r="E1151" s="36"/>
      <c r="F1151" s="35" t="s">
        <v>940</v>
      </c>
      <c r="G1151" s="39"/>
      <c r="H1151" s="35" t="s">
        <v>940</v>
      </c>
      <c r="I1151" s="39"/>
    </row>
    <row r="1152" spans="2:9">
      <c r="B1152" s="33"/>
      <c r="C1152" s="34"/>
      <c r="D1152" s="33"/>
      <c r="E1152" s="33"/>
      <c r="F1152" s="33"/>
      <c r="G1152" s="33"/>
      <c r="H1152" s="33"/>
      <c r="I1152" s="33"/>
    </row>
    <row r="1153" spans="2:9" ht="15.75">
      <c r="B1153" s="38">
        <v>6</v>
      </c>
      <c r="C1153" s="34"/>
      <c r="D1153" s="38">
        <v>3</v>
      </c>
      <c r="E1153" s="33"/>
      <c r="F1153" s="38">
        <v>3</v>
      </c>
      <c r="G1153" s="33"/>
      <c r="H1153" s="38">
        <v>3</v>
      </c>
      <c r="I1153" s="33"/>
    </row>
    <row r="1154" spans="2:9" ht="15.75">
      <c r="B1154" s="39"/>
      <c r="C1154" s="33"/>
      <c r="D1154" s="33"/>
      <c r="E1154" s="33"/>
      <c r="F1154" s="33"/>
      <c r="G1154" s="33"/>
      <c r="H1154" s="33"/>
      <c r="I1154" s="33"/>
    </row>
    <row r="1155" spans="2:9" ht="15.75">
      <c r="B1155" s="35" t="s">
        <v>20</v>
      </c>
      <c r="C1155" s="39"/>
      <c r="D1155" s="35" t="s">
        <v>21</v>
      </c>
      <c r="E1155" s="33"/>
      <c r="F1155" s="35" t="s">
        <v>6</v>
      </c>
      <c r="G1155" s="39"/>
      <c r="H1155" s="35" t="s">
        <v>923</v>
      </c>
      <c r="I1155" s="39"/>
    </row>
    <row r="1156" spans="2:9" ht="15.75">
      <c r="B1156" s="35" t="s">
        <v>620</v>
      </c>
      <c r="C1156" s="39"/>
      <c r="D1156" s="35" t="s">
        <v>620</v>
      </c>
      <c r="E1156" s="37"/>
      <c r="F1156" s="35" t="s">
        <v>592</v>
      </c>
      <c r="G1156" s="39"/>
      <c r="H1156" s="35" t="s">
        <v>923</v>
      </c>
      <c r="I1156" s="39"/>
    </row>
    <row r="1157" spans="2:9" ht="15.75">
      <c r="B1157" s="35" t="s">
        <v>629</v>
      </c>
      <c r="C1157" s="38">
        <v>4</v>
      </c>
      <c r="D1157" s="35" t="s">
        <v>648</v>
      </c>
      <c r="E1157" s="38">
        <v>4</v>
      </c>
      <c r="F1157" s="35" t="s">
        <v>602</v>
      </c>
      <c r="G1157" s="38" t="s">
        <v>923</v>
      </c>
      <c r="H1157" s="35" t="s">
        <v>923</v>
      </c>
      <c r="I1157" s="38" t="s">
        <v>923</v>
      </c>
    </row>
    <row r="1158" spans="2:9" ht="15.75">
      <c r="B1158" s="35" t="s">
        <v>1156</v>
      </c>
      <c r="C1158" s="39"/>
      <c r="D1158" s="35" t="s">
        <v>1092</v>
      </c>
      <c r="E1158" s="37"/>
      <c r="F1158" s="35" t="s">
        <v>1157</v>
      </c>
      <c r="G1158" s="39"/>
      <c r="H1158" s="35" t="s">
        <v>923</v>
      </c>
      <c r="I1158" s="39"/>
    </row>
    <row r="1159" spans="2:9" ht="15.75">
      <c r="B1159" s="35" t="s">
        <v>940</v>
      </c>
      <c r="C1159" s="39"/>
      <c r="D1159" s="35" t="s">
        <v>940</v>
      </c>
      <c r="E1159" s="37"/>
      <c r="F1159" s="35" t="s">
        <v>926</v>
      </c>
      <c r="G1159" s="39"/>
      <c r="H1159" s="35" t="s">
        <v>923</v>
      </c>
      <c r="I1159" s="39"/>
    </row>
    <row r="1160" spans="2:9">
      <c r="B1160" s="33"/>
      <c r="C1160" s="33"/>
      <c r="D1160" s="33"/>
      <c r="E1160" s="33"/>
      <c r="F1160" s="33"/>
      <c r="G1160" s="33"/>
      <c r="H1160" s="33"/>
      <c r="I1160" s="33"/>
    </row>
    <row r="1161" spans="2:9">
      <c r="B1161" s="43" t="s">
        <v>100</v>
      </c>
      <c r="D1161" s="44" t="s">
        <v>1158</v>
      </c>
    </row>
    <row r="1162" spans="2:9">
      <c r="B1162" s="45"/>
    </row>
    <row r="1163" spans="2:9">
      <c r="B1163" s="46" t="s">
        <v>101</v>
      </c>
      <c r="D1163" s="47" t="s">
        <v>1159</v>
      </c>
    </row>
    <row r="1165" spans="2:9">
      <c r="B1165" s="42" t="s">
        <v>805</v>
      </c>
    </row>
    <row r="1167" spans="2:9" ht="15.75">
      <c r="B1167" s="35" t="s">
        <v>5</v>
      </c>
      <c r="C1167" s="54"/>
      <c r="D1167" s="35" t="s">
        <v>17</v>
      </c>
      <c r="E1167" s="33"/>
      <c r="F1167" s="35" t="s">
        <v>18</v>
      </c>
      <c r="G1167" s="39"/>
      <c r="H1167" s="35" t="s">
        <v>19</v>
      </c>
      <c r="I1167" s="39"/>
    </row>
    <row r="1168" spans="2:9" ht="15.75">
      <c r="B1168" s="35" t="s">
        <v>450</v>
      </c>
      <c r="C1168" s="54"/>
      <c r="D1168" s="35" t="s">
        <v>751</v>
      </c>
      <c r="E1168" s="36"/>
      <c r="F1168" s="35" t="s">
        <v>711</v>
      </c>
      <c r="G1168" s="39"/>
      <c r="H1168" s="35" t="s">
        <v>621</v>
      </c>
      <c r="I1168" s="39"/>
    </row>
    <row r="1169" spans="2:9" ht="15.75">
      <c r="B1169" s="35" t="s">
        <v>573</v>
      </c>
      <c r="C1169" s="40">
        <v>4</v>
      </c>
      <c r="D1169" s="35" t="s">
        <v>655</v>
      </c>
      <c r="E1169" s="40">
        <v>4</v>
      </c>
      <c r="F1169" s="35" t="s">
        <v>630</v>
      </c>
      <c r="G1169" s="38">
        <v>4</v>
      </c>
      <c r="H1169" s="35" t="s">
        <v>630</v>
      </c>
      <c r="I1169" s="38">
        <v>6</v>
      </c>
    </row>
    <row r="1170" spans="2:9" ht="15.75">
      <c r="B1170" s="35" t="s">
        <v>1160</v>
      </c>
      <c r="C1170" s="54"/>
      <c r="D1170" s="35" t="s">
        <v>1161</v>
      </c>
      <c r="E1170" s="36"/>
      <c r="F1170" s="35" t="s">
        <v>1162</v>
      </c>
      <c r="G1170" s="39"/>
      <c r="H1170" s="35" t="s">
        <v>1162</v>
      </c>
      <c r="I1170" s="38"/>
    </row>
    <row r="1171" spans="2:9" ht="15.75">
      <c r="B1171" s="53" t="s">
        <v>927</v>
      </c>
      <c r="C1171" s="54"/>
      <c r="D1171" s="35" t="s">
        <v>940</v>
      </c>
      <c r="E1171" s="36"/>
      <c r="F1171" s="35" t="s">
        <v>940</v>
      </c>
      <c r="G1171" s="39"/>
      <c r="H1171" s="35" t="s">
        <v>940</v>
      </c>
      <c r="I1171" s="39"/>
    </row>
    <row r="1172" spans="2:9">
      <c r="B1172" s="33"/>
      <c r="C1172" s="34"/>
      <c r="D1172" s="33"/>
      <c r="E1172" s="33"/>
      <c r="F1172" s="33"/>
      <c r="G1172" s="33"/>
      <c r="H1172" s="33"/>
      <c r="I1172" s="33"/>
    </row>
    <row r="1173" spans="2:9" ht="15.75">
      <c r="B1173" s="38">
        <v>6</v>
      </c>
      <c r="C1173" s="34"/>
      <c r="D1173" s="38">
        <v>3</v>
      </c>
      <c r="E1173" s="33"/>
      <c r="F1173" s="38">
        <v>3</v>
      </c>
      <c r="G1173" s="33"/>
      <c r="H1173" s="38">
        <v>3</v>
      </c>
      <c r="I1173" s="33"/>
    </row>
    <row r="1174" spans="2:9" ht="15.75">
      <c r="B1174" s="39"/>
      <c r="C1174" s="33"/>
      <c r="D1174" s="33"/>
      <c r="E1174" s="33"/>
      <c r="F1174" s="33"/>
      <c r="G1174" s="33"/>
      <c r="H1174" s="33"/>
      <c r="I1174" s="33"/>
    </row>
    <row r="1175" spans="2:9" ht="15.75">
      <c r="B1175" s="35" t="s">
        <v>20</v>
      </c>
      <c r="C1175" s="39"/>
      <c r="D1175" s="35" t="s">
        <v>21</v>
      </c>
      <c r="E1175" s="33"/>
      <c r="F1175" s="35" t="s">
        <v>22</v>
      </c>
      <c r="G1175" s="39"/>
      <c r="H1175" s="35" t="s">
        <v>6</v>
      </c>
      <c r="I1175" s="39"/>
    </row>
    <row r="1176" spans="2:9" ht="15.75">
      <c r="B1176" s="35" t="s">
        <v>621</v>
      </c>
      <c r="C1176" s="39"/>
      <c r="D1176" s="35" t="s">
        <v>621</v>
      </c>
      <c r="E1176" s="37"/>
      <c r="F1176" s="35" t="s">
        <v>505</v>
      </c>
      <c r="G1176" s="39"/>
      <c r="H1176" s="35" t="s">
        <v>593</v>
      </c>
      <c r="I1176" s="39"/>
    </row>
    <row r="1177" spans="2:9" ht="15.75">
      <c r="B1177" s="35" t="s">
        <v>630</v>
      </c>
      <c r="C1177" s="38">
        <v>4</v>
      </c>
      <c r="D1177" s="35" t="s">
        <v>509</v>
      </c>
      <c r="E1177" s="38">
        <v>4</v>
      </c>
      <c r="F1177" s="35" t="s">
        <v>509</v>
      </c>
      <c r="G1177" s="38">
        <v>4</v>
      </c>
      <c r="H1177" s="35" t="s">
        <v>603</v>
      </c>
      <c r="I1177" s="38" t="s">
        <v>923</v>
      </c>
    </row>
    <row r="1178" spans="2:9" ht="15.75">
      <c r="B1178" s="35" t="s">
        <v>1162</v>
      </c>
      <c r="C1178" s="39"/>
      <c r="D1178" s="35" t="s">
        <v>1099</v>
      </c>
      <c r="E1178" s="37"/>
      <c r="F1178" s="35" t="s">
        <v>1100</v>
      </c>
      <c r="G1178" s="39"/>
      <c r="H1178" s="35" t="s">
        <v>1163</v>
      </c>
      <c r="I1178" s="39"/>
    </row>
    <row r="1179" spans="2:9" ht="15.75">
      <c r="B1179" s="35" t="s">
        <v>940</v>
      </c>
      <c r="C1179" s="39"/>
      <c r="D1179" s="35" t="s">
        <v>940</v>
      </c>
      <c r="E1179" s="37"/>
      <c r="F1179" s="35" t="s">
        <v>940</v>
      </c>
      <c r="G1179" s="39"/>
      <c r="H1179" s="35" t="s">
        <v>926</v>
      </c>
      <c r="I1179" s="39"/>
    </row>
    <row r="1180" spans="2:9">
      <c r="B1180" s="33"/>
      <c r="C1180" s="33"/>
      <c r="D1180" s="33"/>
      <c r="E1180" s="33"/>
      <c r="F1180" s="33"/>
      <c r="G1180" s="33"/>
      <c r="H1180" s="33"/>
      <c r="I1180" s="33"/>
    </row>
    <row r="1181" spans="2:9">
      <c r="B1181" s="43" t="s">
        <v>100</v>
      </c>
      <c r="D1181" s="44" t="s">
        <v>1164</v>
      </c>
    </row>
    <row r="1182" spans="2:9">
      <c r="B1182" s="45"/>
    </row>
    <row r="1183" spans="2:9">
      <c r="B1183" s="46" t="s">
        <v>101</v>
      </c>
      <c r="D1183" s="47" t="s">
        <v>1165</v>
      </c>
    </row>
    <row r="1185" spans="2:9">
      <c r="B1185" s="42" t="s">
        <v>806</v>
      </c>
    </row>
    <row r="1187" spans="2:9" ht="15.75">
      <c r="B1187" s="35" t="s">
        <v>5</v>
      </c>
      <c r="C1187" s="54"/>
      <c r="D1187" s="35" t="s">
        <v>17</v>
      </c>
      <c r="E1187" s="33"/>
      <c r="F1187" s="35" t="s">
        <v>18</v>
      </c>
      <c r="G1187" s="39"/>
      <c r="H1187" s="35" t="s">
        <v>19</v>
      </c>
      <c r="I1187" s="39"/>
    </row>
    <row r="1188" spans="2:9" ht="15.75">
      <c r="B1188" s="35" t="s">
        <v>451</v>
      </c>
      <c r="C1188" s="54"/>
      <c r="D1188" s="35" t="s">
        <v>752</v>
      </c>
      <c r="E1188" s="36"/>
      <c r="F1188" s="35" t="s">
        <v>712</v>
      </c>
      <c r="G1188" s="39"/>
      <c r="H1188" s="35" t="s">
        <v>622</v>
      </c>
      <c r="I1188" s="39"/>
    </row>
    <row r="1189" spans="2:9" ht="15.75">
      <c r="B1189" s="35" t="s">
        <v>574</v>
      </c>
      <c r="C1189" s="40">
        <v>4</v>
      </c>
      <c r="D1189" s="35" t="s">
        <v>656</v>
      </c>
      <c r="E1189" s="40">
        <v>4</v>
      </c>
      <c r="F1189" s="35" t="s">
        <v>631</v>
      </c>
      <c r="G1189" s="38">
        <v>4</v>
      </c>
      <c r="H1189" s="35" t="s">
        <v>631</v>
      </c>
      <c r="I1189" s="38">
        <v>6</v>
      </c>
    </row>
    <row r="1190" spans="2:9" ht="15.75">
      <c r="B1190" s="35" t="s">
        <v>1166</v>
      </c>
      <c r="C1190" s="54"/>
      <c r="D1190" s="35" t="s">
        <v>1167</v>
      </c>
      <c r="E1190" s="36"/>
      <c r="F1190" s="35" t="s">
        <v>1168</v>
      </c>
      <c r="G1190" s="39"/>
      <c r="H1190" s="35" t="s">
        <v>1168</v>
      </c>
      <c r="I1190" s="38"/>
    </row>
    <row r="1191" spans="2:9" ht="15.75">
      <c r="B1191" s="53" t="s">
        <v>927</v>
      </c>
      <c r="C1191" s="54"/>
      <c r="D1191" s="35" t="s">
        <v>940</v>
      </c>
      <c r="E1191" s="36"/>
      <c r="F1191" s="35" t="s">
        <v>940</v>
      </c>
      <c r="G1191" s="39"/>
      <c r="H1191" s="35" t="s">
        <v>940</v>
      </c>
      <c r="I1191" s="39"/>
    </row>
    <row r="1192" spans="2:9">
      <c r="B1192" s="33"/>
      <c r="C1192" s="34"/>
      <c r="D1192" s="33"/>
      <c r="E1192" s="33"/>
      <c r="F1192" s="33"/>
      <c r="G1192" s="33"/>
      <c r="H1192" s="33"/>
      <c r="I1192" s="33"/>
    </row>
    <row r="1193" spans="2:9" ht="15.75">
      <c r="B1193" s="38">
        <v>6</v>
      </c>
      <c r="C1193" s="34"/>
      <c r="D1193" s="38">
        <v>3</v>
      </c>
      <c r="E1193" s="33"/>
      <c r="F1193" s="38">
        <v>3</v>
      </c>
      <c r="G1193" s="33"/>
      <c r="H1193" s="38">
        <v>3</v>
      </c>
      <c r="I1193" s="33"/>
    </row>
    <row r="1194" spans="2:9" ht="15.75">
      <c r="B1194" s="39"/>
      <c r="C1194" s="33"/>
      <c r="D1194" s="33"/>
      <c r="E1194" s="33"/>
      <c r="F1194" s="33"/>
      <c r="G1194" s="33"/>
      <c r="H1194" s="33"/>
      <c r="I1194" s="33"/>
    </row>
    <row r="1195" spans="2:9" ht="15.75">
      <c r="B1195" s="35" t="s">
        <v>20</v>
      </c>
      <c r="C1195" s="39"/>
      <c r="D1195" s="35" t="s">
        <v>21</v>
      </c>
      <c r="E1195" s="33"/>
      <c r="F1195" s="35" t="s">
        <v>22</v>
      </c>
      <c r="G1195" s="39"/>
      <c r="H1195" s="35" t="s">
        <v>23</v>
      </c>
      <c r="I1195" s="39"/>
    </row>
    <row r="1196" spans="2:9" ht="15.75">
      <c r="B1196" s="35" t="s">
        <v>622</v>
      </c>
      <c r="C1196" s="39"/>
      <c r="D1196" s="35" t="s">
        <v>622</v>
      </c>
      <c r="E1196" s="37"/>
      <c r="F1196" s="35" t="s">
        <v>506</v>
      </c>
      <c r="G1196" s="39"/>
      <c r="H1196" s="35" t="s">
        <v>506</v>
      </c>
      <c r="I1196" s="39"/>
    </row>
    <row r="1197" spans="2:9" ht="15.75">
      <c r="B1197" s="35" t="s">
        <v>631</v>
      </c>
      <c r="C1197" s="38">
        <v>4</v>
      </c>
      <c r="D1197" s="35" t="s">
        <v>510</v>
      </c>
      <c r="E1197" s="38">
        <v>4</v>
      </c>
      <c r="F1197" s="35" t="s">
        <v>510</v>
      </c>
      <c r="G1197" s="38">
        <v>4</v>
      </c>
      <c r="H1197" s="35" t="s">
        <v>510</v>
      </c>
      <c r="I1197" s="38">
        <v>6</v>
      </c>
    </row>
    <row r="1198" spans="2:9" ht="15.75">
      <c r="B1198" s="35" t="s">
        <v>1168</v>
      </c>
      <c r="C1198" s="39"/>
      <c r="D1198" s="35" t="s">
        <v>1106</v>
      </c>
      <c r="E1198" s="37"/>
      <c r="F1198" s="35" t="s">
        <v>1107</v>
      </c>
      <c r="G1198" s="39"/>
      <c r="H1198" s="35" t="s">
        <v>1107</v>
      </c>
      <c r="I1198" s="39"/>
    </row>
    <row r="1199" spans="2:9" ht="15.75">
      <c r="B1199" s="35" t="s">
        <v>940</v>
      </c>
      <c r="C1199" s="39"/>
      <c r="D1199" s="35" t="s">
        <v>940</v>
      </c>
      <c r="E1199" s="37"/>
      <c r="F1199" s="35" t="s">
        <v>940</v>
      </c>
      <c r="G1199" s="39"/>
      <c r="H1199" s="35" t="s">
        <v>940</v>
      </c>
      <c r="I1199" s="39"/>
    </row>
    <row r="1200" spans="2:9">
      <c r="B1200" s="33"/>
      <c r="C1200" s="33"/>
      <c r="D1200" s="33"/>
      <c r="E1200" s="33"/>
      <c r="F1200" s="33"/>
      <c r="G1200" s="33"/>
      <c r="H1200" s="33"/>
      <c r="I1200" s="33"/>
    </row>
    <row r="1201" spans="2:9" ht="15.75">
      <c r="B1201" s="38">
        <v>6</v>
      </c>
      <c r="C1201" s="33"/>
      <c r="D1201" s="38">
        <v>3</v>
      </c>
      <c r="E1201" s="33"/>
      <c r="F1201" s="38">
        <v>3</v>
      </c>
      <c r="G1201" s="33"/>
      <c r="H1201" s="38">
        <v>3</v>
      </c>
      <c r="I1201" s="33"/>
    </row>
    <row r="1202" spans="2:9" ht="15.75">
      <c r="B1202" s="39"/>
      <c r="C1202" s="33"/>
      <c r="D1202" s="33"/>
      <c r="E1202" s="33"/>
      <c r="F1202" s="33"/>
      <c r="G1202" s="33"/>
      <c r="H1202" s="33"/>
      <c r="I1202" s="33"/>
    </row>
    <row r="1203" spans="2:9" ht="15.75">
      <c r="B1203" s="35" t="s">
        <v>6</v>
      </c>
      <c r="C1203" s="39"/>
      <c r="D1203" s="35" t="s">
        <v>923</v>
      </c>
      <c r="E1203" s="33"/>
      <c r="F1203" s="35" t="s">
        <v>923</v>
      </c>
      <c r="G1203" s="39"/>
      <c r="H1203" s="35" t="s">
        <v>923</v>
      </c>
    </row>
    <row r="1204" spans="2:9" ht="15.75">
      <c r="B1204" s="35" t="s">
        <v>594</v>
      </c>
      <c r="C1204" s="39"/>
      <c r="D1204" s="35" t="s">
        <v>923</v>
      </c>
      <c r="E1204" s="37"/>
      <c r="F1204" s="35" t="s">
        <v>923</v>
      </c>
      <c r="G1204" s="39"/>
      <c r="H1204" s="35" t="s">
        <v>923</v>
      </c>
    </row>
    <row r="1205" spans="2:9" ht="15.75">
      <c r="B1205" s="35" t="s">
        <v>604</v>
      </c>
      <c r="C1205" s="38" t="s">
        <v>923</v>
      </c>
      <c r="D1205" s="35" t="s">
        <v>923</v>
      </c>
      <c r="E1205" s="38" t="s">
        <v>923</v>
      </c>
      <c r="F1205" s="35" t="s">
        <v>923</v>
      </c>
      <c r="G1205" s="38" t="s">
        <v>923</v>
      </c>
      <c r="H1205" s="35" t="s">
        <v>923</v>
      </c>
    </row>
    <row r="1206" spans="2:9" ht="15.75">
      <c r="B1206" s="35" t="s">
        <v>1169</v>
      </c>
      <c r="C1206" s="39"/>
      <c r="D1206" s="35" t="s">
        <v>923</v>
      </c>
      <c r="E1206" s="37"/>
      <c r="F1206" s="35" t="s">
        <v>923</v>
      </c>
      <c r="G1206" s="39"/>
      <c r="H1206" s="35" t="s">
        <v>923</v>
      </c>
    </row>
    <row r="1207" spans="2:9" ht="15.75">
      <c r="B1207" s="35" t="s">
        <v>926</v>
      </c>
      <c r="C1207" s="39"/>
      <c r="D1207" s="35" t="s">
        <v>923</v>
      </c>
      <c r="E1207" s="37"/>
      <c r="F1207" s="35" t="s">
        <v>923</v>
      </c>
      <c r="G1207" s="39"/>
      <c r="H1207" s="35" t="s">
        <v>923</v>
      </c>
    </row>
    <row r="1209" spans="2:9">
      <c r="B1209" s="43" t="s">
        <v>100</v>
      </c>
      <c r="D1209" s="44" t="s">
        <v>1170</v>
      </c>
    </row>
    <row r="1210" spans="2:9">
      <c r="B1210" s="45"/>
    </row>
    <row r="1211" spans="2:9">
      <c r="B1211" s="46" t="s">
        <v>101</v>
      </c>
      <c r="D1211" s="47" t="s">
        <v>1171</v>
      </c>
    </row>
    <row r="1213" spans="2:9">
      <c r="B1213" s="42" t="s">
        <v>807</v>
      </c>
    </row>
    <row r="1215" spans="2:9" ht="15.75">
      <c r="B1215" s="35" t="s">
        <v>5</v>
      </c>
      <c r="C1215" s="54"/>
      <c r="D1215" s="35" t="s">
        <v>17</v>
      </c>
      <c r="E1215" s="33"/>
      <c r="F1215" s="35" t="s">
        <v>18</v>
      </c>
      <c r="G1215" s="39"/>
      <c r="H1215" s="35" t="s">
        <v>19</v>
      </c>
      <c r="I1215" s="39"/>
    </row>
    <row r="1216" spans="2:9" ht="15.75">
      <c r="B1216" s="35" t="s">
        <v>452</v>
      </c>
      <c r="C1216" s="54"/>
      <c r="D1216" s="35" t="s">
        <v>753</v>
      </c>
      <c r="E1216" s="36"/>
      <c r="F1216" s="35" t="s">
        <v>713</v>
      </c>
      <c r="G1216" s="39"/>
      <c r="H1216" s="35" t="s">
        <v>623</v>
      </c>
      <c r="I1216" s="39"/>
    </row>
    <row r="1217" spans="2:9" ht="15.75">
      <c r="B1217" s="35" t="s">
        <v>575</v>
      </c>
      <c r="C1217" s="40">
        <v>4</v>
      </c>
      <c r="D1217" s="35" t="s">
        <v>657</v>
      </c>
      <c r="E1217" s="40">
        <v>4</v>
      </c>
      <c r="F1217" s="35" t="s">
        <v>632</v>
      </c>
      <c r="G1217" s="38">
        <v>4</v>
      </c>
      <c r="H1217" s="35" t="s">
        <v>632</v>
      </c>
      <c r="I1217" s="38">
        <v>6</v>
      </c>
    </row>
    <row r="1218" spans="2:9" ht="15.75">
      <c r="B1218" s="35" t="s">
        <v>1172</v>
      </c>
      <c r="C1218" s="54"/>
      <c r="D1218" s="35" t="s">
        <v>1173</v>
      </c>
      <c r="E1218" s="36"/>
      <c r="F1218" s="35" t="s">
        <v>1174</v>
      </c>
      <c r="G1218" s="39"/>
      <c r="H1218" s="35" t="s">
        <v>1174</v>
      </c>
      <c r="I1218" s="38"/>
    </row>
    <row r="1219" spans="2:9" ht="15.75">
      <c r="B1219" s="53" t="s">
        <v>927</v>
      </c>
      <c r="C1219" s="54"/>
      <c r="D1219" s="35" t="s">
        <v>940</v>
      </c>
      <c r="E1219" s="36"/>
      <c r="F1219" s="35" t="s">
        <v>940</v>
      </c>
      <c r="G1219" s="39"/>
      <c r="H1219" s="35" t="s">
        <v>940</v>
      </c>
      <c r="I1219" s="39"/>
    </row>
    <row r="1220" spans="2:9">
      <c r="B1220" s="33"/>
      <c r="C1220" s="34"/>
      <c r="D1220" s="33"/>
      <c r="E1220" s="33"/>
      <c r="F1220" s="33"/>
      <c r="G1220" s="33"/>
      <c r="H1220" s="33"/>
      <c r="I1220" s="33"/>
    </row>
    <row r="1221" spans="2:9" ht="15.75">
      <c r="B1221" s="38">
        <v>6</v>
      </c>
      <c r="C1221" s="34"/>
      <c r="D1221" s="38">
        <v>3</v>
      </c>
      <c r="E1221" s="33"/>
      <c r="F1221" s="38">
        <v>3</v>
      </c>
      <c r="G1221" s="33"/>
      <c r="H1221" s="38">
        <v>3</v>
      </c>
      <c r="I1221" s="33"/>
    </row>
    <row r="1222" spans="2:9" ht="15.75">
      <c r="B1222" s="39"/>
      <c r="C1222" s="33"/>
      <c r="D1222" s="33"/>
      <c r="E1222" s="33"/>
      <c r="F1222" s="33"/>
      <c r="G1222" s="33"/>
      <c r="H1222" s="33"/>
      <c r="I1222" s="33"/>
    </row>
    <row r="1223" spans="2:9" ht="15.75">
      <c r="B1223" s="35" t="s">
        <v>20</v>
      </c>
      <c r="C1223" s="39"/>
      <c r="D1223" s="35" t="s">
        <v>22</v>
      </c>
      <c r="E1223" s="33"/>
      <c r="F1223" s="35" t="s">
        <v>22</v>
      </c>
      <c r="G1223" s="39"/>
      <c r="H1223" s="35" t="s">
        <v>23</v>
      </c>
      <c r="I1223" s="39"/>
    </row>
    <row r="1224" spans="2:9" ht="15.75">
      <c r="B1224" s="35" t="s">
        <v>623</v>
      </c>
      <c r="C1224" s="39"/>
      <c r="D1224" s="35" t="s">
        <v>623</v>
      </c>
      <c r="E1224" s="37"/>
      <c r="F1224" s="35" t="s">
        <v>507</v>
      </c>
      <c r="G1224" s="39"/>
      <c r="H1224" s="35" t="s">
        <v>507</v>
      </c>
      <c r="I1224" s="39"/>
    </row>
    <row r="1225" spans="2:9" ht="15.75">
      <c r="B1225" s="35" t="s">
        <v>632</v>
      </c>
      <c r="C1225" s="38">
        <v>4</v>
      </c>
      <c r="D1225" s="35" t="s">
        <v>511</v>
      </c>
      <c r="E1225" s="38">
        <v>4</v>
      </c>
      <c r="F1225" s="35" t="s">
        <v>511</v>
      </c>
      <c r="G1225" s="38">
        <v>4</v>
      </c>
      <c r="H1225" s="35" t="s">
        <v>511</v>
      </c>
      <c r="I1225" s="38">
        <v>6</v>
      </c>
    </row>
    <row r="1226" spans="2:9" ht="15.75">
      <c r="B1226" s="35" t="s">
        <v>1174</v>
      </c>
      <c r="C1226" s="39"/>
      <c r="D1226" s="35" t="s">
        <v>1113</v>
      </c>
      <c r="E1226" s="37"/>
      <c r="F1226" s="35" t="s">
        <v>1114</v>
      </c>
      <c r="G1226" s="39"/>
      <c r="H1226" s="35" t="s">
        <v>1114</v>
      </c>
      <c r="I1226" s="39"/>
    </row>
    <row r="1227" spans="2:9" ht="15.75">
      <c r="B1227" s="35" t="s">
        <v>940</v>
      </c>
      <c r="C1227" s="39"/>
      <c r="D1227" s="35" t="s">
        <v>940</v>
      </c>
      <c r="E1227" s="37"/>
      <c r="F1227" s="35" t="s">
        <v>940</v>
      </c>
      <c r="G1227" s="39"/>
      <c r="H1227" s="35" t="s">
        <v>940</v>
      </c>
      <c r="I1227" s="39"/>
    </row>
    <row r="1228" spans="2:9">
      <c r="B1228" s="33"/>
      <c r="C1228" s="33"/>
      <c r="D1228" s="33"/>
      <c r="E1228" s="33"/>
      <c r="F1228" s="33"/>
      <c r="G1228" s="33"/>
      <c r="H1228" s="33"/>
      <c r="I1228" s="33"/>
    </row>
    <row r="1229" spans="2:9" ht="15.75">
      <c r="B1229" s="38">
        <v>6</v>
      </c>
      <c r="C1229" s="33"/>
      <c r="D1229" s="38">
        <v>3</v>
      </c>
      <c r="E1229" s="33"/>
      <c r="F1229" s="38">
        <v>3</v>
      </c>
      <c r="G1229" s="33"/>
      <c r="H1229" s="38">
        <v>3</v>
      </c>
      <c r="I1229" s="33"/>
    </row>
    <row r="1230" spans="2:9" ht="15.75">
      <c r="B1230" s="39"/>
      <c r="C1230" s="33"/>
      <c r="D1230" s="33"/>
      <c r="E1230" s="33"/>
      <c r="F1230" s="33"/>
      <c r="G1230" s="33"/>
      <c r="H1230" s="33"/>
      <c r="I1230" s="33"/>
    </row>
    <row r="1231" spans="2:9" ht="15.75">
      <c r="B1231" s="35" t="s">
        <v>24</v>
      </c>
      <c r="C1231" s="39"/>
      <c r="D1231" s="35" t="s">
        <v>6</v>
      </c>
      <c r="E1231" s="33"/>
      <c r="F1231" s="35" t="s">
        <v>923</v>
      </c>
      <c r="G1231" s="39"/>
      <c r="H1231" s="35" t="s">
        <v>923</v>
      </c>
    </row>
    <row r="1232" spans="2:9" ht="15.75">
      <c r="B1232" s="35" t="s">
        <v>521</v>
      </c>
      <c r="C1232" s="39"/>
      <c r="D1232" s="35" t="s">
        <v>595</v>
      </c>
      <c r="E1232" s="37"/>
      <c r="F1232" s="35" t="s">
        <v>923</v>
      </c>
      <c r="G1232" s="39"/>
      <c r="H1232" s="35" t="s">
        <v>923</v>
      </c>
    </row>
    <row r="1233" spans="2:9" ht="15.75">
      <c r="B1233" s="35" t="s">
        <v>511</v>
      </c>
      <c r="C1233" s="38">
        <v>4</v>
      </c>
      <c r="D1233" s="35" t="s">
        <v>605</v>
      </c>
      <c r="E1233" s="38" t="s">
        <v>923</v>
      </c>
      <c r="F1233" s="35" t="s">
        <v>923</v>
      </c>
      <c r="G1233" s="38" t="s">
        <v>923</v>
      </c>
      <c r="H1233" s="35" t="s">
        <v>923</v>
      </c>
    </row>
    <row r="1234" spans="2:9" ht="15.75">
      <c r="B1234" s="35" t="s">
        <v>1114</v>
      </c>
      <c r="C1234" s="39"/>
      <c r="D1234" s="35" t="s">
        <v>1175</v>
      </c>
      <c r="E1234" s="37"/>
      <c r="F1234" s="35" t="s">
        <v>923</v>
      </c>
      <c r="G1234" s="39"/>
      <c r="H1234" s="35" t="s">
        <v>923</v>
      </c>
    </row>
    <row r="1235" spans="2:9" ht="15.75">
      <c r="B1235" s="35" t="s">
        <v>940</v>
      </c>
      <c r="C1235" s="39"/>
      <c r="D1235" s="35" t="s">
        <v>926</v>
      </c>
      <c r="E1235" s="37"/>
      <c r="F1235" s="35" t="s">
        <v>923</v>
      </c>
      <c r="G1235" s="39"/>
      <c r="H1235" s="35" t="s">
        <v>923</v>
      </c>
    </row>
    <row r="1237" spans="2:9">
      <c r="B1237" s="43" t="s">
        <v>100</v>
      </c>
      <c r="D1237" s="44" t="s">
        <v>1176</v>
      </c>
    </row>
    <row r="1238" spans="2:9">
      <c r="B1238" s="45"/>
    </row>
    <row r="1239" spans="2:9">
      <c r="B1239" s="46" t="s">
        <v>101</v>
      </c>
      <c r="D1239" s="47" t="s">
        <v>1177</v>
      </c>
    </row>
    <row r="1240" spans="2:9">
      <c r="B1240" s="50"/>
      <c r="C1240" s="49"/>
      <c r="D1240" s="49"/>
    </row>
    <row r="1241" spans="2:9">
      <c r="B1241" s="42" t="s">
        <v>808</v>
      </c>
    </row>
    <row r="1243" spans="2:9" ht="15.75">
      <c r="B1243" s="35" t="s">
        <v>5</v>
      </c>
      <c r="C1243" s="54"/>
      <c r="D1243" s="35" t="s">
        <v>17</v>
      </c>
      <c r="E1243" s="33"/>
      <c r="F1243" s="35" t="s">
        <v>18</v>
      </c>
      <c r="G1243" s="39"/>
      <c r="H1243" s="35" t="s">
        <v>19</v>
      </c>
      <c r="I1243" s="39"/>
    </row>
    <row r="1244" spans="2:9" ht="15.75">
      <c r="B1244" s="35" t="s">
        <v>453</v>
      </c>
      <c r="C1244" s="54"/>
      <c r="D1244" s="35" t="s">
        <v>754</v>
      </c>
      <c r="E1244" s="36"/>
      <c r="F1244" s="35" t="s">
        <v>714</v>
      </c>
      <c r="G1244" s="39"/>
      <c r="H1244" s="35" t="s">
        <v>624</v>
      </c>
      <c r="I1244" s="39"/>
    </row>
    <row r="1245" spans="2:9" ht="15.75">
      <c r="B1245" s="35" t="s">
        <v>576</v>
      </c>
      <c r="C1245" s="40">
        <v>4</v>
      </c>
      <c r="D1245" s="35" t="s">
        <v>658</v>
      </c>
      <c r="E1245" s="40">
        <v>4</v>
      </c>
      <c r="F1245" s="35" t="s">
        <v>633</v>
      </c>
      <c r="G1245" s="38">
        <v>4</v>
      </c>
      <c r="H1245" s="35" t="s">
        <v>633</v>
      </c>
      <c r="I1245" s="38">
        <v>6</v>
      </c>
    </row>
    <row r="1246" spans="2:9" ht="15.75">
      <c r="B1246" s="35" t="s">
        <v>1178</v>
      </c>
      <c r="C1246" s="54"/>
      <c r="D1246" s="35" t="s">
        <v>1179</v>
      </c>
      <c r="E1246" s="36"/>
      <c r="F1246" s="35" t="s">
        <v>1180</v>
      </c>
      <c r="G1246" s="39"/>
      <c r="H1246" s="35" t="s">
        <v>1180</v>
      </c>
      <c r="I1246" s="38"/>
    </row>
    <row r="1247" spans="2:9" ht="15.75">
      <c r="B1247" s="53" t="s">
        <v>927</v>
      </c>
      <c r="C1247" s="54"/>
      <c r="D1247" s="35" t="s">
        <v>940</v>
      </c>
      <c r="E1247" s="36"/>
      <c r="F1247" s="35" t="s">
        <v>940</v>
      </c>
      <c r="G1247" s="39"/>
      <c r="H1247" s="35" t="s">
        <v>940</v>
      </c>
      <c r="I1247" s="39"/>
    </row>
    <row r="1248" spans="2:9">
      <c r="B1248" s="33"/>
      <c r="C1248" s="34"/>
      <c r="D1248" s="33"/>
      <c r="E1248" s="33"/>
      <c r="F1248" s="33"/>
      <c r="G1248" s="33"/>
      <c r="H1248" s="33"/>
      <c r="I1248" s="33"/>
    </row>
    <row r="1249" spans="2:9" ht="15.75">
      <c r="B1249" s="38">
        <v>6</v>
      </c>
      <c r="C1249" s="34"/>
      <c r="D1249" s="38">
        <v>3</v>
      </c>
      <c r="E1249" s="33"/>
      <c r="F1249" s="38">
        <v>3</v>
      </c>
      <c r="G1249" s="33"/>
      <c r="H1249" s="38">
        <v>3</v>
      </c>
      <c r="I1249" s="33"/>
    </row>
    <row r="1250" spans="2:9" ht="15.75">
      <c r="B1250" s="39"/>
      <c r="C1250" s="33"/>
      <c r="D1250" s="33"/>
      <c r="E1250" s="33"/>
      <c r="F1250" s="33"/>
      <c r="G1250" s="33"/>
      <c r="H1250" s="33"/>
      <c r="I1250" s="33"/>
    </row>
    <row r="1251" spans="2:9" ht="15.75">
      <c r="B1251" s="35" t="s">
        <v>20</v>
      </c>
      <c r="C1251" s="39"/>
      <c r="D1251" s="35" t="s">
        <v>23</v>
      </c>
      <c r="E1251" s="33"/>
      <c r="F1251" s="35" t="s">
        <v>22</v>
      </c>
      <c r="G1251" s="39"/>
      <c r="H1251" s="35" t="s">
        <v>23</v>
      </c>
      <c r="I1251" s="39"/>
    </row>
    <row r="1252" spans="2:9" ht="15.75">
      <c r="B1252" s="35" t="s">
        <v>624</v>
      </c>
      <c r="C1252" s="39"/>
      <c r="D1252" s="35" t="s">
        <v>624</v>
      </c>
      <c r="E1252" s="37"/>
      <c r="F1252" s="35" t="s">
        <v>508</v>
      </c>
      <c r="G1252" s="39"/>
      <c r="H1252" s="35" t="s">
        <v>508</v>
      </c>
      <c r="I1252" s="39"/>
    </row>
    <row r="1253" spans="2:9" ht="15.75">
      <c r="B1253" s="35" t="s">
        <v>633</v>
      </c>
      <c r="C1253" s="38">
        <v>4</v>
      </c>
      <c r="D1253" s="35" t="s">
        <v>512</v>
      </c>
      <c r="E1253" s="38">
        <v>4</v>
      </c>
      <c r="F1253" s="35" t="s">
        <v>512</v>
      </c>
      <c r="G1253" s="38">
        <v>4</v>
      </c>
      <c r="H1253" s="35" t="s">
        <v>512</v>
      </c>
      <c r="I1253" s="38">
        <v>6</v>
      </c>
    </row>
    <row r="1254" spans="2:9" ht="15.75">
      <c r="B1254" s="35" t="s">
        <v>1180</v>
      </c>
      <c r="C1254" s="39"/>
      <c r="D1254" s="35" t="s">
        <v>1120</v>
      </c>
      <c r="E1254" s="37"/>
      <c r="F1254" s="35" t="s">
        <v>1121</v>
      </c>
      <c r="G1254" s="39"/>
      <c r="H1254" s="35" t="s">
        <v>1121</v>
      </c>
      <c r="I1254" s="39"/>
    </row>
    <row r="1255" spans="2:9" ht="15.75">
      <c r="B1255" s="35" t="s">
        <v>940</v>
      </c>
      <c r="C1255" s="39"/>
      <c r="D1255" s="35" t="s">
        <v>940</v>
      </c>
      <c r="E1255" s="37"/>
      <c r="F1255" s="35" t="s">
        <v>940</v>
      </c>
      <c r="G1255" s="39"/>
      <c r="H1255" s="35" t="s">
        <v>940</v>
      </c>
      <c r="I1255" s="39"/>
    </row>
    <row r="1256" spans="2:9">
      <c r="B1256" s="33"/>
      <c r="C1256" s="33"/>
      <c r="D1256" s="33"/>
      <c r="E1256" s="33"/>
      <c r="F1256" s="33"/>
      <c r="G1256" s="33"/>
      <c r="H1256" s="33"/>
      <c r="I1256" s="33"/>
    </row>
    <row r="1257" spans="2:9" ht="15.75">
      <c r="B1257" s="38">
        <v>6</v>
      </c>
      <c r="C1257" s="33"/>
      <c r="D1257" s="38">
        <v>3</v>
      </c>
      <c r="E1257" s="33"/>
      <c r="F1257" s="38">
        <v>3</v>
      </c>
      <c r="G1257" s="33"/>
      <c r="H1257" s="38">
        <v>3</v>
      </c>
      <c r="I1257" s="33"/>
    </row>
    <row r="1258" spans="2:9" ht="15.75">
      <c r="B1258" s="39"/>
      <c r="C1258" s="33"/>
      <c r="D1258" s="33"/>
      <c r="E1258" s="33"/>
      <c r="F1258" s="33"/>
      <c r="G1258" s="33"/>
      <c r="H1258" s="33"/>
      <c r="I1258" s="33"/>
    </row>
    <row r="1259" spans="2:9" ht="15.75">
      <c r="B1259" s="35" t="s">
        <v>24</v>
      </c>
      <c r="C1259" s="39"/>
      <c r="D1259" s="35" t="s">
        <v>25</v>
      </c>
      <c r="E1259" s="33"/>
      <c r="F1259" s="35" t="s">
        <v>6</v>
      </c>
      <c r="G1259" s="39"/>
      <c r="H1259" s="35" t="s">
        <v>923</v>
      </c>
    </row>
    <row r="1260" spans="2:9" ht="15.75">
      <c r="B1260" s="35" t="s">
        <v>522</v>
      </c>
      <c r="C1260" s="39"/>
      <c r="D1260" s="35" t="s">
        <v>508</v>
      </c>
      <c r="E1260" s="37"/>
      <c r="F1260" s="35" t="s">
        <v>596</v>
      </c>
      <c r="G1260" s="39"/>
      <c r="H1260" s="35" t="s">
        <v>923</v>
      </c>
    </row>
    <row r="1261" spans="2:9" ht="15.75">
      <c r="B1261" s="35" t="s">
        <v>512</v>
      </c>
      <c r="C1261" s="38">
        <v>4</v>
      </c>
      <c r="D1261" s="35" t="s">
        <v>512</v>
      </c>
      <c r="E1261" s="38">
        <v>4</v>
      </c>
      <c r="F1261" s="35" t="s">
        <v>606</v>
      </c>
      <c r="G1261" s="38" t="s">
        <v>923</v>
      </c>
      <c r="H1261" s="35" t="s">
        <v>923</v>
      </c>
    </row>
    <row r="1262" spans="2:9" ht="15.75">
      <c r="B1262" s="35" t="s">
        <v>1121</v>
      </c>
      <c r="C1262" s="39"/>
      <c r="D1262" s="35" t="s">
        <v>1121</v>
      </c>
      <c r="E1262" s="37"/>
      <c r="F1262" s="35" t="s">
        <v>1181</v>
      </c>
      <c r="G1262" s="39"/>
      <c r="H1262" s="35" t="s">
        <v>923</v>
      </c>
    </row>
    <row r="1263" spans="2:9" ht="15.75">
      <c r="B1263" s="35" t="s">
        <v>940</v>
      </c>
      <c r="C1263" s="39"/>
      <c r="D1263" s="35" t="s">
        <v>940</v>
      </c>
      <c r="E1263" s="37"/>
      <c r="F1263" s="35" t="s">
        <v>926</v>
      </c>
      <c r="G1263" s="39"/>
      <c r="H1263" s="35" t="s">
        <v>923</v>
      </c>
    </row>
    <row r="1265" spans="2:9">
      <c r="B1265" s="43" t="s">
        <v>100</v>
      </c>
      <c r="D1265" s="44" t="s">
        <v>1182</v>
      </c>
    </row>
    <row r="1266" spans="2:9">
      <c r="B1266" s="45"/>
    </row>
    <row r="1267" spans="2:9">
      <c r="B1267" s="46" t="s">
        <v>101</v>
      </c>
      <c r="D1267" s="47" t="s">
        <v>1183</v>
      </c>
    </row>
    <row r="1268" spans="2:9">
      <c r="B1268" s="50"/>
      <c r="C1268" s="49"/>
      <c r="D1268" s="49"/>
    </row>
    <row r="1269" spans="2:9">
      <c r="B1269" s="42" t="s">
        <v>809</v>
      </c>
    </row>
    <row r="1271" spans="2:9" ht="15.75">
      <c r="B1271" s="35" t="s">
        <v>5</v>
      </c>
      <c r="C1271" s="54"/>
      <c r="D1271" s="35" t="s">
        <v>17</v>
      </c>
      <c r="E1271" s="33"/>
      <c r="F1271" s="35" t="s">
        <v>18</v>
      </c>
      <c r="G1271" s="39"/>
      <c r="H1271" s="35" t="s">
        <v>19</v>
      </c>
      <c r="I1271" s="39"/>
    </row>
    <row r="1272" spans="2:9" ht="15.75">
      <c r="B1272" s="35" t="s">
        <v>454</v>
      </c>
      <c r="C1272" s="54"/>
      <c r="D1272" s="35" t="s">
        <v>755</v>
      </c>
      <c r="E1272" s="36"/>
      <c r="F1272" s="35" t="s">
        <v>715</v>
      </c>
      <c r="G1272" s="39"/>
      <c r="H1272" s="35" t="s">
        <v>625</v>
      </c>
      <c r="I1272" s="39"/>
    </row>
    <row r="1273" spans="2:9" ht="15.75">
      <c r="B1273" s="35" t="s">
        <v>577</v>
      </c>
      <c r="C1273" s="40">
        <v>4</v>
      </c>
      <c r="D1273" s="35" t="s">
        <v>649</v>
      </c>
      <c r="E1273" s="40">
        <v>4</v>
      </c>
      <c r="F1273" s="35" t="s">
        <v>259</v>
      </c>
      <c r="G1273" s="38">
        <v>4</v>
      </c>
      <c r="H1273" s="35" t="s">
        <v>259</v>
      </c>
      <c r="I1273" s="38">
        <v>6</v>
      </c>
    </row>
    <row r="1274" spans="2:9" ht="15.75">
      <c r="B1274" s="35" t="s">
        <v>1184</v>
      </c>
      <c r="C1274" s="54"/>
      <c r="D1274" s="35" t="s">
        <v>1185</v>
      </c>
      <c r="E1274" s="36"/>
      <c r="F1274" s="35" t="s">
        <v>1186</v>
      </c>
      <c r="G1274" s="39"/>
      <c r="H1274" s="35" t="s">
        <v>1186</v>
      </c>
      <c r="I1274" s="38"/>
    </row>
    <row r="1275" spans="2:9" ht="15.75">
      <c r="B1275" s="53" t="s">
        <v>927</v>
      </c>
      <c r="C1275" s="54"/>
      <c r="D1275" s="35" t="s">
        <v>940</v>
      </c>
      <c r="E1275" s="36"/>
      <c r="F1275" s="35" t="s">
        <v>940</v>
      </c>
      <c r="G1275" s="39"/>
      <c r="H1275" s="35" t="s">
        <v>940</v>
      </c>
      <c r="I1275" s="39"/>
    </row>
    <row r="1276" spans="2:9">
      <c r="B1276" s="33"/>
      <c r="C1276" s="34"/>
      <c r="D1276" s="33"/>
      <c r="E1276" s="33"/>
      <c r="F1276" s="33"/>
      <c r="G1276" s="33"/>
      <c r="H1276" s="33"/>
      <c r="I1276" s="33"/>
    </row>
    <row r="1277" spans="2:9" ht="15.75">
      <c r="B1277" s="38">
        <v>6</v>
      </c>
      <c r="C1277" s="34"/>
      <c r="D1277" s="38">
        <v>3</v>
      </c>
      <c r="E1277" s="33"/>
      <c r="F1277" s="38">
        <v>3</v>
      </c>
      <c r="G1277" s="33"/>
      <c r="H1277" s="38">
        <v>3</v>
      </c>
      <c r="I1277" s="33"/>
    </row>
    <row r="1278" spans="2:9" ht="15.75">
      <c r="B1278" s="39"/>
      <c r="C1278" s="33"/>
      <c r="D1278" s="33"/>
      <c r="E1278" s="33"/>
      <c r="F1278" s="33"/>
      <c r="G1278" s="33"/>
      <c r="H1278" s="33"/>
      <c r="I1278" s="33"/>
    </row>
    <row r="1279" spans="2:9" ht="15.75">
      <c r="B1279" s="35" t="s">
        <v>20</v>
      </c>
      <c r="C1279" s="39"/>
      <c r="D1279" s="35" t="s">
        <v>24</v>
      </c>
      <c r="E1279" s="33"/>
      <c r="F1279" s="35" t="s">
        <v>22</v>
      </c>
      <c r="G1279" s="39"/>
      <c r="H1279" s="35" t="s">
        <v>23</v>
      </c>
      <c r="I1279" s="39"/>
    </row>
    <row r="1280" spans="2:9" ht="15.75">
      <c r="B1280" s="35" t="s">
        <v>625</v>
      </c>
      <c r="C1280" s="39"/>
      <c r="D1280" s="35" t="s">
        <v>625</v>
      </c>
      <c r="E1280" s="37"/>
      <c r="F1280" s="35" t="s">
        <v>241</v>
      </c>
      <c r="G1280" s="39"/>
      <c r="H1280" s="35" t="s">
        <v>241</v>
      </c>
      <c r="I1280" s="39"/>
    </row>
    <row r="1281" spans="2:9" ht="15.75">
      <c r="B1281" s="35" t="s">
        <v>259</v>
      </c>
      <c r="C1281" s="38">
        <v>4</v>
      </c>
      <c r="D1281" s="35" t="s">
        <v>249</v>
      </c>
      <c r="E1281" s="38">
        <v>4</v>
      </c>
      <c r="F1281" s="35" t="s">
        <v>249</v>
      </c>
      <c r="G1281" s="38">
        <v>4</v>
      </c>
      <c r="H1281" s="35" t="s">
        <v>249</v>
      </c>
      <c r="I1281" s="38">
        <v>6</v>
      </c>
    </row>
    <row r="1282" spans="2:9" ht="15.75">
      <c r="B1282" s="35" t="s">
        <v>1186</v>
      </c>
      <c r="C1282" s="39"/>
      <c r="D1282" s="35" t="s">
        <v>1127</v>
      </c>
      <c r="E1282" s="37"/>
      <c r="F1282" s="35" t="s">
        <v>1127</v>
      </c>
      <c r="G1282" s="39"/>
      <c r="H1282" s="35" t="s">
        <v>1127</v>
      </c>
      <c r="I1282" s="39"/>
    </row>
    <row r="1283" spans="2:9" ht="15.75">
      <c r="B1283" s="35" t="s">
        <v>940</v>
      </c>
      <c r="C1283" s="39"/>
      <c r="D1283" s="35" t="s">
        <v>940</v>
      </c>
      <c r="E1283" s="37"/>
      <c r="F1283" s="35" t="s">
        <v>940</v>
      </c>
      <c r="G1283" s="39"/>
      <c r="H1283" s="35" t="s">
        <v>940</v>
      </c>
      <c r="I1283" s="39"/>
    </row>
    <row r="1284" spans="2:9">
      <c r="B1284" s="33"/>
      <c r="C1284" s="33"/>
      <c r="D1284" s="33"/>
      <c r="E1284" s="33"/>
      <c r="F1284" s="33"/>
      <c r="G1284" s="33"/>
      <c r="H1284" s="33"/>
      <c r="I1284" s="33"/>
    </row>
    <row r="1285" spans="2:9" ht="15.75">
      <c r="B1285" s="38">
        <v>6</v>
      </c>
      <c r="C1285" s="33"/>
      <c r="D1285" s="38">
        <v>3</v>
      </c>
      <c r="E1285" s="33"/>
      <c r="F1285" s="38">
        <v>3</v>
      </c>
      <c r="G1285" s="33"/>
      <c r="H1285" s="38">
        <v>3</v>
      </c>
      <c r="I1285" s="33"/>
    </row>
    <row r="1286" spans="2:9" ht="15.75">
      <c r="B1286" s="39"/>
      <c r="C1286" s="33"/>
      <c r="D1286" s="33"/>
      <c r="E1286" s="33"/>
      <c r="F1286" s="33"/>
      <c r="G1286" s="33"/>
      <c r="H1286" s="33"/>
      <c r="I1286" s="33"/>
    </row>
    <row r="1287" spans="2:9" ht="15.75">
      <c r="B1287" s="35" t="s">
        <v>24</v>
      </c>
      <c r="C1287" s="39"/>
      <c r="D1287" s="35" t="s">
        <v>25</v>
      </c>
      <c r="E1287" s="33"/>
      <c r="F1287" s="35" t="s">
        <v>26</v>
      </c>
      <c r="G1287" s="39"/>
      <c r="H1287" s="35" t="s">
        <v>6</v>
      </c>
    </row>
    <row r="1288" spans="2:9" ht="15.75">
      <c r="B1288" s="35" t="s">
        <v>523</v>
      </c>
      <c r="C1288" s="39"/>
      <c r="D1288" s="35" t="s">
        <v>241</v>
      </c>
      <c r="E1288" s="37"/>
      <c r="F1288" s="35" t="s">
        <v>517</v>
      </c>
      <c r="G1288" s="39"/>
      <c r="H1288" s="35" t="s">
        <v>597</v>
      </c>
    </row>
    <row r="1289" spans="2:9" ht="15.75">
      <c r="B1289" s="35" t="s">
        <v>249</v>
      </c>
      <c r="C1289" s="38">
        <v>4</v>
      </c>
      <c r="D1289" s="35" t="s">
        <v>249</v>
      </c>
      <c r="E1289" s="38">
        <v>4</v>
      </c>
      <c r="F1289" s="35" t="s">
        <v>249</v>
      </c>
      <c r="G1289" s="38">
        <v>4</v>
      </c>
      <c r="H1289" s="35" t="s">
        <v>607</v>
      </c>
    </row>
    <row r="1290" spans="2:9" ht="15.75">
      <c r="B1290" s="35" t="s">
        <v>1127</v>
      </c>
      <c r="C1290" s="39"/>
      <c r="D1290" s="35" t="s">
        <v>1127</v>
      </c>
      <c r="E1290" s="37"/>
      <c r="F1290" s="35" t="s">
        <v>1127</v>
      </c>
      <c r="G1290" s="39"/>
      <c r="H1290" s="35" t="s">
        <v>1187</v>
      </c>
    </row>
    <row r="1291" spans="2:9" ht="15.75">
      <c r="B1291" s="35" t="s">
        <v>940</v>
      </c>
      <c r="C1291" s="39"/>
      <c r="D1291" s="35" t="s">
        <v>940</v>
      </c>
      <c r="E1291" s="37"/>
      <c r="F1291" s="35" t="s">
        <v>940</v>
      </c>
      <c r="G1291" s="39"/>
      <c r="H1291" s="35" t="s">
        <v>926</v>
      </c>
    </row>
    <row r="1293" spans="2:9">
      <c r="B1293" s="43" t="s">
        <v>100</v>
      </c>
      <c r="D1293" s="44" t="s">
        <v>1188</v>
      </c>
    </row>
    <row r="1294" spans="2:9">
      <c r="B1294" s="45"/>
    </row>
    <row r="1295" spans="2:9">
      <c r="B1295" s="46" t="s">
        <v>101</v>
      </c>
      <c r="D1295" s="47" t="s">
        <v>1189</v>
      </c>
    </row>
    <row r="1297" spans="2:9">
      <c r="B1297" s="55" t="s">
        <v>810</v>
      </c>
    </row>
    <row r="1299" spans="2:9">
      <c r="B1299" s="42" t="s">
        <v>811</v>
      </c>
    </row>
    <row r="1301" spans="2:9" ht="15.75">
      <c r="B1301" s="35" t="s">
        <v>5</v>
      </c>
      <c r="C1301" s="54"/>
      <c r="D1301" s="35" t="s">
        <v>17</v>
      </c>
      <c r="E1301" s="33"/>
      <c r="F1301" s="35" t="s">
        <v>6</v>
      </c>
      <c r="G1301" s="39"/>
      <c r="H1301" s="35" t="s">
        <v>923</v>
      </c>
      <c r="I1301" s="39"/>
    </row>
    <row r="1302" spans="2:9" ht="15.75">
      <c r="B1302" s="35" t="s">
        <v>424</v>
      </c>
      <c r="C1302" s="54"/>
      <c r="D1302" s="35" t="s">
        <v>746</v>
      </c>
      <c r="E1302" s="36"/>
      <c r="F1302" s="35" t="s">
        <v>588</v>
      </c>
      <c r="G1302" s="39"/>
      <c r="H1302" s="35" t="s">
        <v>923</v>
      </c>
      <c r="I1302" s="39"/>
    </row>
    <row r="1303" spans="2:9" ht="15.75">
      <c r="B1303" s="35" t="s">
        <v>568</v>
      </c>
      <c r="C1303" s="40">
        <v>4</v>
      </c>
      <c r="D1303" s="35" t="s">
        <v>650</v>
      </c>
      <c r="E1303" s="40">
        <v>4</v>
      </c>
      <c r="F1303" s="35" t="s">
        <v>598</v>
      </c>
      <c r="G1303" s="38" t="s">
        <v>923</v>
      </c>
      <c r="H1303" s="35" t="s">
        <v>923</v>
      </c>
      <c r="I1303" s="38" t="s">
        <v>923</v>
      </c>
    </row>
    <row r="1304" spans="2:9" ht="15.75">
      <c r="B1304" s="35" t="s">
        <v>1131</v>
      </c>
      <c r="C1304" s="54"/>
      <c r="D1304" s="35" t="s">
        <v>1132</v>
      </c>
      <c r="E1304" s="36"/>
      <c r="F1304" s="35" t="s">
        <v>1133</v>
      </c>
      <c r="G1304" s="39"/>
      <c r="H1304" s="35" t="s">
        <v>923</v>
      </c>
      <c r="I1304" s="38"/>
    </row>
    <row r="1305" spans="2:9" ht="15.75">
      <c r="B1305" s="53" t="s">
        <v>927</v>
      </c>
      <c r="C1305" s="54"/>
      <c r="D1305" s="35" t="s">
        <v>940</v>
      </c>
      <c r="E1305" s="36"/>
      <c r="F1305" s="35" t="s">
        <v>926</v>
      </c>
      <c r="G1305" s="39"/>
      <c r="H1305" s="35" t="s">
        <v>923</v>
      </c>
      <c r="I1305" s="39"/>
    </row>
    <row r="1306" spans="2:9">
      <c r="B1306" s="33"/>
      <c r="C1306" s="34"/>
      <c r="D1306" s="33"/>
      <c r="E1306" s="33"/>
      <c r="F1306" s="33"/>
      <c r="G1306" s="33"/>
      <c r="H1306" s="33"/>
      <c r="I1306" s="33"/>
    </row>
    <row r="1307" spans="2:9">
      <c r="B1307" s="43" t="s">
        <v>100</v>
      </c>
      <c r="D1307" s="44" t="s">
        <v>1134</v>
      </c>
    </row>
    <row r="1308" spans="2:9">
      <c r="B1308" s="45"/>
    </row>
    <row r="1309" spans="2:9">
      <c r="B1309" s="46" t="s">
        <v>101</v>
      </c>
      <c r="D1309" s="47" t="s">
        <v>1135</v>
      </c>
    </row>
    <row r="1311" spans="2:9">
      <c r="B1311" s="42" t="s">
        <v>812</v>
      </c>
    </row>
    <row r="1313" spans="2:9" ht="15.75">
      <c r="B1313" s="35" t="s">
        <v>5</v>
      </c>
      <c r="C1313" s="54"/>
      <c r="D1313" s="35" t="s">
        <v>17</v>
      </c>
      <c r="E1313" s="33"/>
      <c r="F1313" s="35" t="s">
        <v>18</v>
      </c>
      <c r="G1313" s="39"/>
      <c r="H1313" s="35" t="s">
        <v>6</v>
      </c>
      <c r="I1313" s="39"/>
    </row>
    <row r="1314" spans="2:9" ht="15.75">
      <c r="B1314" s="35" t="s">
        <v>446</v>
      </c>
      <c r="C1314" s="54"/>
      <c r="D1314" s="35" t="s">
        <v>747</v>
      </c>
      <c r="E1314" s="36"/>
      <c r="F1314" s="35" t="s">
        <v>707</v>
      </c>
      <c r="G1314" s="39"/>
      <c r="H1314" s="35" t="s">
        <v>589</v>
      </c>
      <c r="I1314" s="39"/>
    </row>
    <row r="1315" spans="2:9" ht="15.75">
      <c r="B1315" s="35" t="s">
        <v>569</v>
      </c>
      <c r="C1315" s="40">
        <v>4</v>
      </c>
      <c r="D1315" s="35" t="s">
        <v>651</v>
      </c>
      <c r="E1315" s="40">
        <v>4</v>
      </c>
      <c r="F1315" s="35" t="s">
        <v>626</v>
      </c>
      <c r="G1315" s="38">
        <v>4</v>
      </c>
      <c r="H1315" s="35" t="s">
        <v>599</v>
      </c>
      <c r="I1315" s="38" t="s">
        <v>923</v>
      </c>
    </row>
    <row r="1316" spans="2:9" ht="15.75">
      <c r="B1316" s="35" t="s">
        <v>1136</v>
      </c>
      <c r="C1316" s="54"/>
      <c r="D1316" s="35" t="s">
        <v>1137</v>
      </c>
      <c r="E1316" s="36"/>
      <c r="F1316" s="35" t="s">
        <v>1138</v>
      </c>
      <c r="G1316" s="39"/>
      <c r="H1316" s="35" t="s">
        <v>1139</v>
      </c>
      <c r="I1316" s="38"/>
    </row>
    <row r="1317" spans="2:9" ht="15.75">
      <c r="B1317" s="53" t="s">
        <v>927</v>
      </c>
      <c r="C1317" s="54"/>
      <c r="D1317" s="35" t="s">
        <v>940</v>
      </c>
      <c r="E1317" s="36"/>
      <c r="F1317" s="35" t="s">
        <v>940</v>
      </c>
      <c r="G1317" s="39"/>
      <c r="H1317" s="35" t="s">
        <v>926</v>
      </c>
      <c r="I1317" s="39"/>
    </row>
    <row r="1318" spans="2:9">
      <c r="B1318" s="33"/>
      <c r="C1318" s="34"/>
      <c r="D1318" s="33"/>
      <c r="E1318" s="33"/>
      <c r="F1318" s="33"/>
      <c r="G1318" s="33"/>
      <c r="H1318" s="33"/>
      <c r="I1318" s="33"/>
    </row>
    <row r="1319" spans="2:9">
      <c r="B1319" s="43" t="s">
        <v>100</v>
      </c>
      <c r="D1319" s="44" t="s">
        <v>1140</v>
      </c>
    </row>
    <row r="1320" spans="2:9">
      <c r="B1320" s="45"/>
    </row>
    <row r="1321" spans="2:9">
      <c r="B1321" s="46" t="s">
        <v>101</v>
      </c>
      <c r="D1321" s="47" t="s">
        <v>1141</v>
      </c>
    </row>
    <row r="1323" spans="2:9">
      <c r="B1323" s="42" t="s">
        <v>813</v>
      </c>
    </row>
    <row r="1325" spans="2:9" ht="15.75">
      <c r="B1325" s="35" t="s">
        <v>5</v>
      </c>
      <c r="C1325" s="54"/>
      <c r="D1325" s="35" t="s">
        <v>17</v>
      </c>
      <c r="E1325" s="33"/>
      <c r="F1325" s="35" t="s">
        <v>18</v>
      </c>
      <c r="G1325" s="39"/>
      <c r="H1325" s="35" t="s">
        <v>19</v>
      </c>
      <c r="I1325" s="39"/>
    </row>
    <row r="1326" spans="2:9" ht="15.75">
      <c r="B1326" s="35" t="s">
        <v>447</v>
      </c>
      <c r="C1326" s="54"/>
      <c r="D1326" s="35" t="s">
        <v>748</v>
      </c>
      <c r="E1326" s="36"/>
      <c r="F1326" s="35" t="s">
        <v>708</v>
      </c>
      <c r="G1326" s="39"/>
      <c r="H1326" s="35" t="s">
        <v>618</v>
      </c>
      <c r="I1326" s="39"/>
    </row>
    <row r="1327" spans="2:9" ht="15.75">
      <c r="B1327" s="35" t="s">
        <v>570</v>
      </c>
      <c r="C1327" s="40">
        <v>4</v>
      </c>
      <c r="D1327" s="35" t="s">
        <v>652</v>
      </c>
      <c r="E1327" s="40">
        <v>4</v>
      </c>
      <c r="F1327" s="35" t="s">
        <v>627</v>
      </c>
      <c r="G1327" s="38">
        <v>4</v>
      </c>
      <c r="H1327" s="35" t="s">
        <v>627</v>
      </c>
      <c r="I1327" s="38">
        <v>6</v>
      </c>
    </row>
    <row r="1328" spans="2:9" ht="15.75">
      <c r="B1328" s="35" t="s">
        <v>1142</v>
      </c>
      <c r="C1328" s="54"/>
      <c r="D1328" s="35" t="s">
        <v>1143</v>
      </c>
      <c r="E1328" s="36"/>
      <c r="F1328" s="35" t="s">
        <v>1144</v>
      </c>
      <c r="G1328" s="39"/>
      <c r="H1328" s="35" t="s">
        <v>1144</v>
      </c>
      <c r="I1328" s="38"/>
    </row>
    <row r="1329" spans="2:9" ht="15.75">
      <c r="B1329" s="53" t="s">
        <v>927</v>
      </c>
      <c r="C1329" s="54"/>
      <c r="D1329" s="35" t="s">
        <v>940</v>
      </c>
      <c r="E1329" s="36"/>
      <c r="F1329" s="35" t="s">
        <v>940</v>
      </c>
      <c r="G1329" s="39"/>
      <c r="H1329" s="35" t="s">
        <v>940</v>
      </c>
      <c r="I1329" s="39"/>
    </row>
    <row r="1330" spans="2:9">
      <c r="B1330" s="33"/>
      <c r="C1330" s="34"/>
      <c r="D1330" s="33"/>
      <c r="E1330" s="33"/>
      <c r="F1330" s="33"/>
      <c r="G1330" s="33"/>
      <c r="H1330" s="33"/>
      <c r="I1330" s="33"/>
    </row>
    <row r="1331" spans="2:9" ht="15.75">
      <c r="B1331" s="38">
        <v>6</v>
      </c>
      <c r="C1331" s="34"/>
      <c r="D1331" s="38">
        <v>3</v>
      </c>
      <c r="E1331" s="33"/>
      <c r="F1331" s="38">
        <v>3</v>
      </c>
      <c r="G1331" s="33"/>
      <c r="H1331" s="38">
        <v>3</v>
      </c>
      <c r="I1331" s="33"/>
    </row>
    <row r="1332" spans="2:9" ht="15.75">
      <c r="B1332" s="39"/>
      <c r="C1332" s="33"/>
      <c r="D1332" s="33"/>
      <c r="E1332" s="33"/>
      <c r="F1332" s="33"/>
      <c r="G1332" s="33"/>
      <c r="H1332" s="33"/>
      <c r="I1332" s="33"/>
    </row>
    <row r="1333" spans="2:9" ht="15.75">
      <c r="B1333" s="35" t="s">
        <v>6</v>
      </c>
      <c r="C1333" s="39"/>
      <c r="D1333" s="35" t="s">
        <v>923</v>
      </c>
      <c r="E1333" s="33"/>
      <c r="F1333" s="35" t="s">
        <v>923</v>
      </c>
      <c r="G1333" s="39"/>
      <c r="H1333" s="35" t="s">
        <v>923</v>
      </c>
      <c r="I1333" s="39"/>
    </row>
    <row r="1334" spans="2:9" ht="15.75">
      <c r="B1334" s="35" t="s">
        <v>590</v>
      </c>
      <c r="C1334" s="39"/>
      <c r="D1334" s="35" t="s">
        <v>923</v>
      </c>
      <c r="E1334" s="37"/>
      <c r="F1334" s="35" t="s">
        <v>923</v>
      </c>
      <c r="G1334" s="39"/>
      <c r="H1334" s="35" t="s">
        <v>923</v>
      </c>
      <c r="I1334" s="39"/>
    </row>
    <row r="1335" spans="2:9" ht="15.75">
      <c r="B1335" s="35" t="s">
        <v>600</v>
      </c>
      <c r="C1335" s="38" t="s">
        <v>923</v>
      </c>
      <c r="D1335" s="35" t="s">
        <v>923</v>
      </c>
      <c r="E1335" s="38" t="s">
        <v>923</v>
      </c>
      <c r="F1335" s="35" t="s">
        <v>923</v>
      </c>
      <c r="G1335" s="38" t="s">
        <v>923</v>
      </c>
      <c r="H1335" s="35" t="s">
        <v>923</v>
      </c>
      <c r="I1335" s="38" t="s">
        <v>923</v>
      </c>
    </row>
    <row r="1336" spans="2:9" ht="15.75">
      <c r="B1336" s="35" t="s">
        <v>1145</v>
      </c>
      <c r="C1336" s="39"/>
      <c r="D1336" s="35" t="s">
        <v>923</v>
      </c>
      <c r="E1336" s="37"/>
      <c r="F1336" s="35" t="s">
        <v>923</v>
      </c>
      <c r="G1336" s="39"/>
      <c r="H1336" s="35" t="s">
        <v>923</v>
      </c>
      <c r="I1336" s="39"/>
    </row>
    <row r="1337" spans="2:9" ht="15.75">
      <c r="B1337" s="35" t="s">
        <v>926</v>
      </c>
      <c r="C1337" s="39"/>
      <c r="D1337" s="35" t="s">
        <v>923</v>
      </c>
      <c r="E1337" s="37"/>
      <c r="F1337" s="35" t="s">
        <v>923</v>
      </c>
      <c r="G1337" s="39"/>
      <c r="H1337" s="35" t="s">
        <v>923</v>
      </c>
      <c r="I1337" s="39"/>
    </row>
    <row r="1338" spans="2:9">
      <c r="B1338" s="33"/>
      <c r="C1338" s="33"/>
      <c r="D1338" s="33"/>
      <c r="E1338" s="33"/>
      <c r="F1338" s="33"/>
      <c r="G1338" s="33"/>
      <c r="H1338" s="33"/>
      <c r="I1338" s="33"/>
    </row>
    <row r="1339" spans="2:9">
      <c r="B1339" s="43" t="s">
        <v>100</v>
      </c>
      <c r="D1339" s="44" t="s">
        <v>1146</v>
      </c>
    </row>
    <row r="1340" spans="2:9">
      <c r="B1340" s="45"/>
    </row>
    <row r="1341" spans="2:9">
      <c r="B1341" s="46" t="s">
        <v>101</v>
      </c>
      <c r="D1341" s="47" t="s">
        <v>1147</v>
      </c>
    </row>
    <row r="1343" spans="2:9">
      <c r="B1343" s="42" t="s">
        <v>814</v>
      </c>
    </row>
    <row r="1345" spans="2:9" ht="15.75">
      <c r="B1345" s="35" t="s">
        <v>5</v>
      </c>
      <c r="C1345" s="54"/>
      <c r="D1345" s="35" t="s">
        <v>17</v>
      </c>
      <c r="E1345" s="33"/>
      <c r="F1345" s="35" t="s">
        <v>18</v>
      </c>
      <c r="G1345" s="39"/>
      <c r="H1345" s="35" t="s">
        <v>19</v>
      </c>
      <c r="I1345" s="39"/>
    </row>
    <row r="1346" spans="2:9" ht="15.75">
      <c r="B1346" s="35" t="s">
        <v>448</v>
      </c>
      <c r="C1346" s="54"/>
      <c r="D1346" s="35" t="s">
        <v>749</v>
      </c>
      <c r="E1346" s="36"/>
      <c r="F1346" s="35" t="s">
        <v>709</v>
      </c>
      <c r="G1346" s="39"/>
      <c r="H1346" s="35" t="s">
        <v>619</v>
      </c>
      <c r="I1346" s="39"/>
    </row>
    <row r="1347" spans="2:9" ht="15.75">
      <c r="B1347" s="35" t="s">
        <v>571</v>
      </c>
      <c r="C1347" s="40">
        <v>4</v>
      </c>
      <c r="D1347" s="35" t="s">
        <v>653</v>
      </c>
      <c r="E1347" s="40">
        <v>4</v>
      </c>
      <c r="F1347" s="35" t="s">
        <v>628</v>
      </c>
      <c r="G1347" s="38">
        <v>4</v>
      </c>
      <c r="H1347" s="35" t="s">
        <v>628</v>
      </c>
      <c r="I1347" s="38">
        <v>6</v>
      </c>
    </row>
    <row r="1348" spans="2:9" ht="15.75">
      <c r="B1348" s="35" t="s">
        <v>1148</v>
      </c>
      <c r="C1348" s="54"/>
      <c r="D1348" s="35" t="s">
        <v>1149</v>
      </c>
      <c r="E1348" s="36"/>
      <c r="F1348" s="35" t="s">
        <v>1150</v>
      </c>
      <c r="G1348" s="39"/>
      <c r="H1348" s="35" t="s">
        <v>1150</v>
      </c>
      <c r="I1348" s="38"/>
    </row>
    <row r="1349" spans="2:9" ht="15.75">
      <c r="B1349" s="53" t="s">
        <v>927</v>
      </c>
      <c r="C1349" s="54"/>
      <c r="D1349" s="35" t="s">
        <v>940</v>
      </c>
      <c r="E1349" s="36"/>
      <c r="F1349" s="35" t="s">
        <v>940</v>
      </c>
      <c r="G1349" s="39"/>
      <c r="H1349" s="35" t="s">
        <v>940</v>
      </c>
      <c r="I1349" s="39"/>
    </row>
    <row r="1350" spans="2:9">
      <c r="B1350" s="33"/>
      <c r="C1350" s="34"/>
      <c r="D1350" s="33"/>
      <c r="E1350" s="33"/>
      <c r="F1350" s="33"/>
      <c r="G1350" s="33"/>
      <c r="H1350" s="33"/>
      <c r="I1350" s="33"/>
    </row>
    <row r="1351" spans="2:9" ht="15.75">
      <c r="B1351" s="38">
        <v>6</v>
      </c>
      <c r="C1351" s="34"/>
      <c r="D1351" s="38">
        <v>3</v>
      </c>
      <c r="E1351" s="33"/>
      <c r="F1351" s="38">
        <v>3</v>
      </c>
      <c r="G1351" s="33"/>
      <c r="H1351" s="38">
        <v>3</v>
      </c>
      <c r="I1351" s="33"/>
    </row>
    <row r="1352" spans="2:9" ht="15.75">
      <c r="B1352" s="39"/>
      <c r="C1352" s="33"/>
      <c r="D1352" s="33"/>
      <c r="E1352" s="33"/>
      <c r="F1352" s="33"/>
      <c r="G1352" s="33"/>
      <c r="H1352" s="33"/>
      <c r="I1352" s="33"/>
    </row>
    <row r="1353" spans="2:9" ht="15.75">
      <c r="B1353" s="35" t="s">
        <v>20</v>
      </c>
      <c r="C1353" s="39"/>
      <c r="D1353" s="35" t="s">
        <v>6</v>
      </c>
      <c r="E1353" s="33"/>
      <c r="F1353" s="35" t="s">
        <v>923</v>
      </c>
      <c r="G1353" s="39"/>
      <c r="H1353" s="35" t="s">
        <v>923</v>
      </c>
      <c r="I1353" s="39"/>
    </row>
    <row r="1354" spans="2:9" ht="15.75">
      <c r="B1354" s="35" t="s">
        <v>619</v>
      </c>
      <c r="C1354" s="39"/>
      <c r="D1354" s="35" t="s">
        <v>591</v>
      </c>
      <c r="E1354" s="37"/>
      <c r="F1354" s="35" t="s">
        <v>923</v>
      </c>
      <c r="G1354" s="39"/>
      <c r="H1354" s="35" t="s">
        <v>923</v>
      </c>
      <c r="I1354" s="39"/>
    </row>
    <row r="1355" spans="2:9" ht="15.75">
      <c r="B1355" s="35" t="s">
        <v>628</v>
      </c>
      <c r="C1355" s="38">
        <v>4</v>
      </c>
      <c r="D1355" s="35" t="s">
        <v>601</v>
      </c>
      <c r="E1355" s="38" t="s">
        <v>923</v>
      </c>
      <c r="F1355" s="35" t="s">
        <v>923</v>
      </c>
      <c r="G1355" s="38" t="s">
        <v>923</v>
      </c>
      <c r="H1355" s="35" t="s">
        <v>923</v>
      </c>
      <c r="I1355" s="38" t="s">
        <v>923</v>
      </c>
    </row>
    <row r="1356" spans="2:9" ht="15.75">
      <c r="B1356" s="35" t="s">
        <v>1150</v>
      </c>
      <c r="C1356" s="39"/>
      <c r="D1356" s="35" t="s">
        <v>1151</v>
      </c>
      <c r="E1356" s="37"/>
      <c r="F1356" s="35" t="s">
        <v>923</v>
      </c>
      <c r="G1356" s="39"/>
      <c r="H1356" s="35" t="s">
        <v>923</v>
      </c>
      <c r="I1356" s="39"/>
    </row>
    <row r="1357" spans="2:9" ht="15.75">
      <c r="B1357" s="35" t="s">
        <v>940</v>
      </c>
      <c r="C1357" s="39"/>
      <c r="D1357" s="35" t="s">
        <v>926</v>
      </c>
      <c r="E1357" s="37"/>
      <c r="F1357" s="35" t="s">
        <v>923</v>
      </c>
      <c r="G1357" s="39"/>
      <c r="H1357" s="35" t="s">
        <v>923</v>
      </c>
      <c r="I1357" s="39"/>
    </row>
    <row r="1358" spans="2:9">
      <c r="B1358" s="33"/>
      <c r="C1358" s="33"/>
      <c r="D1358" s="33"/>
      <c r="E1358" s="33"/>
      <c r="F1358" s="33"/>
      <c r="G1358" s="33"/>
      <c r="H1358" s="33"/>
      <c r="I1358" s="33"/>
    </row>
    <row r="1359" spans="2:9">
      <c r="B1359" s="43" t="s">
        <v>100</v>
      </c>
      <c r="D1359" s="44" t="s">
        <v>1152</v>
      </c>
    </row>
    <row r="1360" spans="2:9">
      <c r="B1360" s="45"/>
    </row>
    <row r="1361" spans="2:9">
      <c r="B1361" s="46" t="s">
        <v>101</v>
      </c>
      <c r="D1361" s="47" t="s">
        <v>1153</v>
      </c>
    </row>
    <row r="1363" spans="2:9">
      <c r="B1363" s="42" t="s">
        <v>815</v>
      </c>
    </row>
    <row r="1365" spans="2:9" ht="15.75">
      <c r="B1365" s="35" t="s">
        <v>5</v>
      </c>
      <c r="C1365" s="54"/>
      <c r="D1365" s="35" t="s">
        <v>17</v>
      </c>
      <c r="E1365" s="33"/>
      <c r="F1365" s="35" t="s">
        <v>18</v>
      </c>
      <c r="G1365" s="39"/>
      <c r="H1365" s="35" t="s">
        <v>19</v>
      </c>
      <c r="I1365" s="39"/>
    </row>
    <row r="1366" spans="2:9" ht="15.75">
      <c r="B1366" s="35" t="s">
        <v>449</v>
      </c>
      <c r="C1366" s="54"/>
      <c r="D1366" s="35" t="s">
        <v>750</v>
      </c>
      <c r="E1366" s="36"/>
      <c r="F1366" s="35" t="s">
        <v>710</v>
      </c>
      <c r="G1366" s="39"/>
      <c r="H1366" s="35" t="s">
        <v>620</v>
      </c>
      <c r="I1366" s="39"/>
    </row>
    <row r="1367" spans="2:9" ht="15.75">
      <c r="B1367" s="35" t="s">
        <v>572</v>
      </c>
      <c r="C1367" s="40">
        <v>4</v>
      </c>
      <c r="D1367" s="35" t="s">
        <v>654</v>
      </c>
      <c r="E1367" s="40">
        <v>4</v>
      </c>
      <c r="F1367" s="35" t="s">
        <v>629</v>
      </c>
      <c r="G1367" s="38">
        <v>4</v>
      </c>
      <c r="H1367" s="35" t="s">
        <v>629</v>
      </c>
      <c r="I1367" s="38">
        <v>6</v>
      </c>
    </row>
    <row r="1368" spans="2:9" ht="15.75">
      <c r="B1368" s="35" t="s">
        <v>1154</v>
      </c>
      <c r="C1368" s="54"/>
      <c r="D1368" s="35" t="s">
        <v>1155</v>
      </c>
      <c r="E1368" s="36"/>
      <c r="F1368" s="35" t="s">
        <v>1156</v>
      </c>
      <c r="G1368" s="39"/>
      <c r="H1368" s="35" t="s">
        <v>1156</v>
      </c>
      <c r="I1368" s="38"/>
    </row>
    <row r="1369" spans="2:9" ht="15.75">
      <c r="B1369" s="53" t="s">
        <v>927</v>
      </c>
      <c r="C1369" s="54"/>
      <c r="D1369" s="35" t="s">
        <v>940</v>
      </c>
      <c r="E1369" s="36"/>
      <c r="F1369" s="35" t="s">
        <v>940</v>
      </c>
      <c r="G1369" s="39"/>
      <c r="H1369" s="35" t="s">
        <v>940</v>
      </c>
      <c r="I1369" s="39"/>
    </row>
    <row r="1370" spans="2:9">
      <c r="B1370" s="33"/>
      <c r="C1370" s="34"/>
      <c r="D1370" s="33"/>
      <c r="E1370" s="33"/>
      <c r="F1370" s="33"/>
      <c r="G1370" s="33"/>
      <c r="H1370" s="33"/>
      <c r="I1370" s="33"/>
    </row>
    <row r="1371" spans="2:9" ht="15.75">
      <c r="B1371" s="38">
        <v>6</v>
      </c>
      <c r="C1371" s="34"/>
      <c r="D1371" s="38">
        <v>3</v>
      </c>
      <c r="E1371" s="33"/>
      <c r="F1371" s="38">
        <v>3</v>
      </c>
      <c r="G1371" s="33"/>
      <c r="H1371" s="38">
        <v>3</v>
      </c>
      <c r="I1371" s="33"/>
    </row>
    <row r="1372" spans="2:9" ht="15.75">
      <c r="B1372" s="39"/>
      <c r="C1372" s="33"/>
      <c r="D1372" s="33"/>
      <c r="E1372" s="33"/>
      <c r="F1372" s="33"/>
      <c r="G1372" s="33"/>
      <c r="H1372" s="33"/>
      <c r="I1372" s="33"/>
    </row>
    <row r="1373" spans="2:9" ht="15.75">
      <c r="B1373" s="35" t="s">
        <v>20</v>
      </c>
      <c r="C1373" s="39"/>
      <c r="D1373" s="35" t="s">
        <v>21</v>
      </c>
      <c r="E1373" s="33"/>
      <c r="F1373" s="35" t="s">
        <v>6</v>
      </c>
      <c r="G1373" s="39"/>
      <c r="H1373" s="35" t="s">
        <v>923</v>
      </c>
      <c r="I1373" s="39"/>
    </row>
    <row r="1374" spans="2:9" ht="15.75">
      <c r="B1374" s="35" t="s">
        <v>620</v>
      </c>
      <c r="C1374" s="39"/>
      <c r="D1374" s="35" t="s">
        <v>620</v>
      </c>
      <c r="E1374" s="37"/>
      <c r="F1374" s="35" t="s">
        <v>592</v>
      </c>
      <c r="G1374" s="39"/>
      <c r="H1374" s="35" t="s">
        <v>923</v>
      </c>
      <c r="I1374" s="39"/>
    </row>
    <row r="1375" spans="2:9" ht="15.75">
      <c r="B1375" s="35" t="s">
        <v>629</v>
      </c>
      <c r="C1375" s="38">
        <v>4</v>
      </c>
      <c r="D1375" s="35" t="s">
        <v>648</v>
      </c>
      <c r="E1375" s="38">
        <v>4</v>
      </c>
      <c r="F1375" s="35" t="s">
        <v>602</v>
      </c>
      <c r="G1375" s="38" t="s">
        <v>923</v>
      </c>
      <c r="H1375" s="35" t="s">
        <v>923</v>
      </c>
      <c r="I1375" s="38" t="s">
        <v>923</v>
      </c>
    </row>
    <row r="1376" spans="2:9" ht="15.75">
      <c r="B1376" s="35" t="s">
        <v>1156</v>
      </c>
      <c r="C1376" s="39"/>
      <c r="D1376" s="35" t="s">
        <v>1092</v>
      </c>
      <c r="E1376" s="37"/>
      <c r="F1376" s="35" t="s">
        <v>1157</v>
      </c>
      <c r="G1376" s="39"/>
      <c r="H1376" s="35" t="s">
        <v>923</v>
      </c>
      <c r="I1376" s="39"/>
    </row>
    <row r="1377" spans="2:9" ht="15.75">
      <c r="B1377" s="35" t="s">
        <v>940</v>
      </c>
      <c r="C1377" s="39"/>
      <c r="D1377" s="35" t="s">
        <v>940</v>
      </c>
      <c r="E1377" s="37"/>
      <c r="F1377" s="35" t="s">
        <v>926</v>
      </c>
      <c r="G1377" s="39"/>
      <c r="H1377" s="35" t="s">
        <v>923</v>
      </c>
      <c r="I1377" s="39"/>
    </row>
    <row r="1378" spans="2:9">
      <c r="B1378" s="33"/>
      <c r="C1378" s="33"/>
      <c r="D1378" s="33"/>
      <c r="E1378" s="33"/>
      <c r="F1378" s="33"/>
      <c r="G1378" s="33"/>
      <c r="H1378" s="33"/>
      <c r="I1378" s="33"/>
    </row>
    <row r="1379" spans="2:9">
      <c r="B1379" s="43" t="s">
        <v>100</v>
      </c>
      <c r="D1379" s="44" t="s">
        <v>1158</v>
      </c>
    </row>
    <row r="1380" spans="2:9">
      <c r="B1380" s="45"/>
    </row>
    <row r="1381" spans="2:9">
      <c r="B1381" s="46" t="s">
        <v>101</v>
      </c>
      <c r="D1381" s="47" t="s">
        <v>1159</v>
      </c>
    </row>
    <row r="1383" spans="2:9">
      <c r="B1383" s="42" t="s">
        <v>816</v>
      </c>
    </row>
    <row r="1385" spans="2:9" ht="15.75">
      <c r="B1385" s="35" t="s">
        <v>5</v>
      </c>
      <c r="C1385" s="54"/>
      <c r="D1385" s="35" t="s">
        <v>17</v>
      </c>
      <c r="E1385" s="33"/>
      <c r="F1385" s="35" t="s">
        <v>18</v>
      </c>
      <c r="G1385" s="39"/>
      <c r="H1385" s="35" t="s">
        <v>19</v>
      </c>
      <c r="I1385" s="39"/>
    </row>
    <row r="1386" spans="2:9" ht="15.75">
      <c r="B1386" s="35" t="s">
        <v>450</v>
      </c>
      <c r="C1386" s="54"/>
      <c r="D1386" s="35" t="s">
        <v>751</v>
      </c>
      <c r="E1386" s="36"/>
      <c r="F1386" s="35" t="s">
        <v>711</v>
      </c>
      <c r="G1386" s="39"/>
      <c r="H1386" s="35" t="s">
        <v>621</v>
      </c>
      <c r="I1386" s="39"/>
    </row>
    <row r="1387" spans="2:9" ht="15.75">
      <c r="B1387" s="35" t="s">
        <v>573</v>
      </c>
      <c r="C1387" s="40">
        <v>4</v>
      </c>
      <c r="D1387" s="35" t="s">
        <v>655</v>
      </c>
      <c r="E1387" s="40">
        <v>4</v>
      </c>
      <c r="F1387" s="35" t="s">
        <v>630</v>
      </c>
      <c r="G1387" s="38">
        <v>4</v>
      </c>
      <c r="H1387" s="35" t="s">
        <v>630</v>
      </c>
      <c r="I1387" s="38">
        <v>6</v>
      </c>
    </row>
    <row r="1388" spans="2:9" ht="15.75">
      <c r="B1388" s="35" t="s">
        <v>1160</v>
      </c>
      <c r="C1388" s="54"/>
      <c r="D1388" s="35" t="s">
        <v>1161</v>
      </c>
      <c r="E1388" s="36"/>
      <c r="F1388" s="35" t="s">
        <v>1162</v>
      </c>
      <c r="G1388" s="39"/>
      <c r="H1388" s="35" t="s">
        <v>1162</v>
      </c>
      <c r="I1388" s="38"/>
    </row>
    <row r="1389" spans="2:9" ht="15.75">
      <c r="B1389" s="53" t="s">
        <v>927</v>
      </c>
      <c r="C1389" s="54"/>
      <c r="D1389" s="35" t="s">
        <v>940</v>
      </c>
      <c r="E1389" s="36"/>
      <c r="F1389" s="35" t="s">
        <v>940</v>
      </c>
      <c r="G1389" s="39"/>
      <c r="H1389" s="35" t="s">
        <v>940</v>
      </c>
      <c r="I1389" s="39"/>
    </row>
    <row r="1390" spans="2:9">
      <c r="B1390" s="33"/>
      <c r="C1390" s="34"/>
      <c r="D1390" s="33"/>
      <c r="E1390" s="33"/>
      <c r="F1390" s="33"/>
      <c r="G1390" s="33"/>
      <c r="H1390" s="33"/>
      <c r="I1390" s="33"/>
    </row>
    <row r="1391" spans="2:9" ht="15.75">
      <c r="B1391" s="38">
        <v>6</v>
      </c>
      <c r="C1391" s="34"/>
      <c r="D1391" s="38">
        <v>3</v>
      </c>
      <c r="E1391" s="33"/>
      <c r="F1391" s="38">
        <v>3</v>
      </c>
      <c r="G1391" s="33"/>
      <c r="H1391" s="38">
        <v>3</v>
      </c>
      <c r="I1391" s="33"/>
    </row>
    <row r="1392" spans="2:9" ht="15.75">
      <c r="B1392" s="39"/>
      <c r="C1392" s="33"/>
      <c r="D1392" s="33"/>
      <c r="E1392" s="33"/>
      <c r="F1392" s="33"/>
      <c r="G1392" s="33"/>
      <c r="H1392" s="33"/>
      <c r="I1392" s="33"/>
    </row>
    <row r="1393" spans="2:9" ht="15.75">
      <c r="B1393" s="35" t="s">
        <v>20</v>
      </c>
      <c r="C1393" s="39"/>
      <c r="D1393" s="35" t="s">
        <v>21</v>
      </c>
      <c r="E1393" s="33"/>
      <c r="F1393" s="35" t="s">
        <v>22</v>
      </c>
      <c r="G1393" s="39"/>
      <c r="H1393" s="35" t="s">
        <v>6</v>
      </c>
      <c r="I1393" s="39"/>
    </row>
    <row r="1394" spans="2:9" ht="15.75">
      <c r="B1394" s="35" t="s">
        <v>621</v>
      </c>
      <c r="C1394" s="39"/>
      <c r="D1394" s="35" t="s">
        <v>621</v>
      </c>
      <c r="E1394" s="37"/>
      <c r="F1394" s="35" t="s">
        <v>505</v>
      </c>
      <c r="G1394" s="39"/>
      <c r="H1394" s="35" t="s">
        <v>593</v>
      </c>
      <c r="I1394" s="39"/>
    </row>
    <row r="1395" spans="2:9" ht="15.75">
      <c r="B1395" s="35" t="s">
        <v>630</v>
      </c>
      <c r="C1395" s="38">
        <v>4</v>
      </c>
      <c r="D1395" s="35" t="s">
        <v>509</v>
      </c>
      <c r="E1395" s="38">
        <v>4</v>
      </c>
      <c r="F1395" s="35" t="s">
        <v>509</v>
      </c>
      <c r="G1395" s="38">
        <v>4</v>
      </c>
      <c r="H1395" s="35" t="s">
        <v>603</v>
      </c>
      <c r="I1395" s="38" t="s">
        <v>923</v>
      </c>
    </row>
    <row r="1396" spans="2:9" ht="15.75">
      <c r="B1396" s="35" t="s">
        <v>1162</v>
      </c>
      <c r="C1396" s="39"/>
      <c r="D1396" s="35" t="s">
        <v>1099</v>
      </c>
      <c r="E1396" s="37"/>
      <c r="F1396" s="35" t="s">
        <v>1100</v>
      </c>
      <c r="G1396" s="39"/>
      <c r="H1396" s="35" t="s">
        <v>1163</v>
      </c>
      <c r="I1396" s="39"/>
    </row>
    <row r="1397" spans="2:9" ht="15.75">
      <c r="B1397" s="35" t="s">
        <v>940</v>
      </c>
      <c r="C1397" s="39"/>
      <c r="D1397" s="35" t="s">
        <v>940</v>
      </c>
      <c r="E1397" s="37"/>
      <c r="F1397" s="35" t="s">
        <v>940</v>
      </c>
      <c r="G1397" s="39"/>
      <c r="H1397" s="35" t="s">
        <v>926</v>
      </c>
      <c r="I1397" s="39"/>
    </row>
    <row r="1398" spans="2:9">
      <c r="B1398" s="33"/>
      <c r="C1398" s="33"/>
      <c r="D1398" s="33"/>
      <c r="E1398" s="33"/>
      <c r="F1398" s="33"/>
      <c r="G1398" s="33"/>
      <c r="H1398" s="33"/>
      <c r="I1398" s="33"/>
    </row>
    <row r="1399" spans="2:9">
      <c r="B1399" s="43" t="s">
        <v>100</v>
      </c>
      <c r="D1399" s="44" t="s">
        <v>1164</v>
      </c>
    </row>
    <row r="1400" spans="2:9">
      <c r="B1400" s="45"/>
    </row>
    <row r="1401" spans="2:9">
      <c r="B1401" s="46" t="s">
        <v>101</v>
      </c>
      <c r="D1401" s="47" t="s">
        <v>1165</v>
      </c>
    </row>
    <row r="1403" spans="2:9">
      <c r="B1403" s="42" t="s">
        <v>817</v>
      </c>
    </row>
    <row r="1405" spans="2:9" ht="15.75">
      <c r="B1405" s="35" t="s">
        <v>5</v>
      </c>
      <c r="C1405" s="54"/>
      <c r="D1405" s="35" t="s">
        <v>17</v>
      </c>
      <c r="E1405" s="33"/>
      <c r="F1405" s="35" t="s">
        <v>18</v>
      </c>
      <c r="G1405" s="39"/>
      <c r="H1405" s="35" t="s">
        <v>19</v>
      </c>
      <c r="I1405" s="39"/>
    </row>
    <row r="1406" spans="2:9" ht="15.75">
      <c r="B1406" s="35" t="s">
        <v>451</v>
      </c>
      <c r="C1406" s="54"/>
      <c r="D1406" s="35" t="s">
        <v>752</v>
      </c>
      <c r="E1406" s="36"/>
      <c r="F1406" s="35" t="s">
        <v>712</v>
      </c>
      <c r="G1406" s="39"/>
      <c r="H1406" s="35" t="s">
        <v>622</v>
      </c>
      <c r="I1406" s="39"/>
    </row>
    <row r="1407" spans="2:9" ht="15.75">
      <c r="B1407" s="35" t="s">
        <v>574</v>
      </c>
      <c r="C1407" s="40">
        <v>4</v>
      </c>
      <c r="D1407" s="35" t="s">
        <v>656</v>
      </c>
      <c r="E1407" s="40">
        <v>4</v>
      </c>
      <c r="F1407" s="35" t="s">
        <v>631</v>
      </c>
      <c r="G1407" s="38">
        <v>4</v>
      </c>
      <c r="H1407" s="35" t="s">
        <v>631</v>
      </c>
      <c r="I1407" s="38">
        <v>6</v>
      </c>
    </row>
    <row r="1408" spans="2:9" ht="15.75">
      <c r="B1408" s="35" t="s">
        <v>1166</v>
      </c>
      <c r="C1408" s="54"/>
      <c r="D1408" s="35" t="s">
        <v>1167</v>
      </c>
      <c r="E1408" s="36"/>
      <c r="F1408" s="35" t="s">
        <v>1168</v>
      </c>
      <c r="G1408" s="39"/>
      <c r="H1408" s="35" t="s">
        <v>1168</v>
      </c>
      <c r="I1408" s="38"/>
    </row>
    <row r="1409" spans="2:9" ht="15.75">
      <c r="B1409" s="53" t="s">
        <v>927</v>
      </c>
      <c r="C1409" s="54"/>
      <c r="D1409" s="35" t="s">
        <v>940</v>
      </c>
      <c r="E1409" s="36"/>
      <c r="F1409" s="35" t="s">
        <v>940</v>
      </c>
      <c r="G1409" s="39"/>
      <c r="H1409" s="35" t="s">
        <v>940</v>
      </c>
      <c r="I1409" s="39"/>
    </row>
    <row r="1410" spans="2:9">
      <c r="B1410" s="33"/>
      <c r="C1410" s="34"/>
      <c r="D1410" s="33"/>
      <c r="E1410" s="33"/>
      <c r="F1410" s="33"/>
      <c r="G1410" s="33"/>
      <c r="H1410" s="33"/>
      <c r="I1410" s="33"/>
    </row>
    <row r="1411" spans="2:9" ht="15.75">
      <c r="B1411" s="38">
        <v>6</v>
      </c>
      <c r="C1411" s="34"/>
      <c r="D1411" s="38">
        <v>3</v>
      </c>
      <c r="E1411" s="33"/>
      <c r="F1411" s="38">
        <v>3</v>
      </c>
      <c r="G1411" s="33"/>
      <c r="H1411" s="38">
        <v>3</v>
      </c>
      <c r="I1411" s="33"/>
    </row>
    <row r="1412" spans="2:9" ht="15.75">
      <c r="B1412" s="39"/>
      <c r="C1412" s="33"/>
      <c r="D1412" s="33"/>
      <c r="E1412" s="33"/>
      <c r="F1412" s="33"/>
      <c r="G1412" s="33"/>
      <c r="H1412" s="33"/>
      <c r="I1412" s="33"/>
    </row>
    <row r="1413" spans="2:9" ht="15.75">
      <c r="B1413" s="35" t="s">
        <v>20</v>
      </c>
      <c r="C1413" s="39"/>
      <c r="D1413" s="35" t="s">
        <v>21</v>
      </c>
      <c r="E1413" s="33"/>
      <c r="F1413" s="35" t="s">
        <v>22</v>
      </c>
      <c r="G1413" s="39"/>
      <c r="H1413" s="35" t="s">
        <v>23</v>
      </c>
      <c r="I1413" s="39"/>
    </row>
    <row r="1414" spans="2:9" ht="15.75">
      <c r="B1414" s="35" t="s">
        <v>622</v>
      </c>
      <c r="C1414" s="39"/>
      <c r="D1414" s="35" t="s">
        <v>622</v>
      </c>
      <c r="E1414" s="37"/>
      <c r="F1414" s="35" t="s">
        <v>506</v>
      </c>
      <c r="G1414" s="39"/>
      <c r="H1414" s="35" t="s">
        <v>506</v>
      </c>
      <c r="I1414" s="39"/>
    </row>
    <row r="1415" spans="2:9" ht="15.75">
      <c r="B1415" s="35" t="s">
        <v>631</v>
      </c>
      <c r="C1415" s="38">
        <v>4</v>
      </c>
      <c r="D1415" s="35" t="s">
        <v>510</v>
      </c>
      <c r="E1415" s="38">
        <v>4</v>
      </c>
      <c r="F1415" s="35" t="s">
        <v>510</v>
      </c>
      <c r="G1415" s="38">
        <v>4</v>
      </c>
      <c r="H1415" s="35" t="s">
        <v>510</v>
      </c>
      <c r="I1415" s="38">
        <v>6</v>
      </c>
    </row>
    <row r="1416" spans="2:9" ht="15.75">
      <c r="B1416" s="35" t="s">
        <v>1168</v>
      </c>
      <c r="C1416" s="39"/>
      <c r="D1416" s="35" t="s">
        <v>1106</v>
      </c>
      <c r="E1416" s="37"/>
      <c r="F1416" s="35" t="s">
        <v>1107</v>
      </c>
      <c r="G1416" s="39"/>
      <c r="H1416" s="35" t="s">
        <v>1107</v>
      </c>
      <c r="I1416" s="39"/>
    </row>
    <row r="1417" spans="2:9" ht="15.75">
      <c r="B1417" s="35" t="s">
        <v>940</v>
      </c>
      <c r="C1417" s="39"/>
      <c r="D1417" s="35" t="s">
        <v>940</v>
      </c>
      <c r="E1417" s="37"/>
      <c r="F1417" s="35" t="s">
        <v>940</v>
      </c>
      <c r="G1417" s="39"/>
      <c r="H1417" s="35" t="s">
        <v>940</v>
      </c>
      <c r="I1417" s="39"/>
    </row>
    <row r="1418" spans="2:9">
      <c r="B1418" s="33"/>
      <c r="C1418" s="33"/>
      <c r="D1418" s="33"/>
      <c r="E1418" s="33"/>
      <c r="F1418" s="33"/>
      <c r="G1418" s="33"/>
      <c r="H1418" s="33"/>
      <c r="I1418" s="33"/>
    </row>
    <row r="1419" spans="2:9" ht="15.75">
      <c r="B1419" s="38">
        <v>6</v>
      </c>
      <c r="C1419" s="33"/>
      <c r="D1419" s="38">
        <v>3</v>
      </c>
      <c r="E1419" s="33"/>
      <c r="F1419" s="38">
        <v>3</v>
      </c>
      <c r="G1419" s="33"/>
      <c r="H1419" s="38">
        <v>3</v>
      </c>
      <c r="I1419" s="33"/>
    </row>
    <row r="1420" spans="2:9" ht="15.75">
      <c r="B1420" s="39"/>
      <c r="C1420" s="33"/>
      <c r="D1420" s="33"/>
      <c r="E1420" s="33"/>
      <c r="F1420" s="33"/>
      <c r="G1420" s="33"/>
      <c r="H1420" s="33"/>
      <c r="I1420" s="33"/>
    </row>
    <row r="1421" spans="2:9" ht="15.75">
      <c r="B1421" s="35" t="s">
        <v>6</v>
      </c>
      <c r="C1421" s="39"/>
      <c r="D1421" s="35" t="s">
        <v>923</v>
      </c>
      <c r="E1421" s="33"/>
      <c r="F1421" s="35" t="s">
        <v>923</v>
      </c>
      <c r="G1421" s="39"/>
      <c r="H1421" s="35" t="s">
        <v>923</v>
      </c>
    </row>
    <row r="1422" spans="2:9" ht="15.75">
      <c r="B1422" s="35" t="s">
        <v>594</v>
      </c>
      <c r="C1422" s="39"/>
      <c r="D1422" s="35" t="s">
        <v>923</v>
      </c>
      <c r="E1422" s="37"/>
      <c r="F1422" s="35" t="s">
        <v>923</v>
      </c>
      <c r="G1422" s="39"/>
      <c r="H1422" s="35" t="s">
        <v>923</v>
      </c>
    </row>
    <row r="1423" spans="2:9" ht="15.75">
      <c r="B1423" s="35" t="s">
        <v>604</v>
      </c>
      <c r="C1423" s="38" t="s">
        <v>923</v>
      </c>
      <c r="D1423" s="35" t="s">
        <v>923</v>
      </c>
      <c r="E1423" s="38" t="s">
        <v>923</v>
      </c>
      <c r="F1423" s="35" t="s">
        <v>923</v>
      </c>
      <c r="G1423" s="38" t="s">
        <v>923</v>
      </c>
      <c r="H1423" s="35" t="s">
        <v>923</v>
      </c>
    </row>
    <row r="1424" spans="2:9" ht="15.75">
      <c r="B1424" s="35" t="s">
        <v>1169</v>
      </c>
      <c r="C1424" s="39"/>
      <c r="D1424" s="35" t="s">
        <v>923</v>
      </c>
      <c r="E1424" s="37"/>
      <c r="F1424" s="35" t="s">
        <v>923</v>
      </c>
      <c r="G1424" s="39"/>
      <c r="H1424" s="35" t="s">
        <v>923</v>
      </c>
    </row>
    <row r="1425" spans="2:9" ht="15.75">
      <c r="B1425" s="35" t="s">
        <v>926</v>
      </c>
      <c r="C1425" s="39"/>
      <c r="D1425" s="35" t="s">
        <v>923</v>
      </c>
      <c r="E1425" s="37"/>
      <c r="F1425" s="35" t="s">
        <v>923</v>
      </c>
      <c r="G1425" s="39"/>
      <c r="H1425" s="35" t="s">
        <v>923</v>
      </c>
    </row>
    <row r="1427" spans="2:9">
      <c r="B1427" s="43" t="s">
        <v>100</v>
      </c>
      <c r="D1427" s="44" t="s">
        <v>1170</v>
      </c>
    </row>
    <row r="1428" spans="2:9">
      <c r="B1428" s="45"/>
    </row>
    <row r="1429" spans="2:9">
      <c r="B1429" s="46" t="s">
        <v>101</v>
      </c>
      <c r="D1429" s="47" t="s">
        <v>1171</v>
      </c>
    </row>
    <row r="1431" spans="2:9">
      <c r="B1431" s="42" t="s">
        <v>818</v>
      </c>
    </row>
    <row r="1433" spans="2:9" ht="15.75">
      <c r="B1433" s="35" t="s">
        <v>5</v>
      </c>
      <c r="C1433" s="54"/>
      <c r="D1433" s="35" t="s">
        <v>17</v>
      </c>
      <c r="E1433" s="33"/>
      <c r="F1433" s="35" t="s">
        <v>18</v>
      </c>
      <c r="G1433" s="39"/>
      <c r="H1433" s="35" t="s">
        <v>19</v>
      </c>
      <c r="I1433" s="39"/>
    </row>
    <row r="1434" spans="2:9" ht="15.75">
      <c r="B1434" s="35" t="s">
        <v>452</v>
      </c>
      <c r="C1434" s="54"/>
      <c r="D1434" s="35" t="s">
        <v>753</v>
      </c>
      <c r="E1434" s="36"/>
      <c r="F1434" s="35" t="s">
        <v>713</v>
      </c>
      <c r="G1434" s="39"/>
      <c r="H1434" s="35" t="s">
        <v>623</v>
      </c>
      <c r="I1434" s="39"/>
    </row>
    <row r="1435" spans="2:9" ht="15.75">
      <c r="B1435" s="35" t="s">
        <v>575</v>
      </c>
      <c r="C1435" s="40">
        <v>4</v>
      </c>
      <c r="D1435" s="35" t="s">
        <v>657</v>
      </c>
      <c r="E1435" s="40">
        <v>4</v>
      </c>
      <c r="F1435" s="35" t="s">
        <v>632</v>
      </c>
      <c r="G1435" s="38">
        <v>4</v>
      </c>
      <c r="H1435" s="35" t="s">
        <v>632</v>
      </c>
      <c r="I1435" s="38">
        <v>6</v>
      </c>
    </row>
    <row r="1436" spans="2:9" ht="15.75">
      <c r="B1436" s="35" t="s">
        <v>1172</v>
      </c>
      <c r="C1436" s="54"/>
      <c r="D1436" s="35" t="s">
        <v>1173</v>
      </c>
      <c r="E1436" s="36"/>
      <c r="F1436" s="35" t="s">
        <v>1174</v>
      </c>
      <c r="G1436" s="39"/>
      <c r="H1436" s="35" t="s">
        <v>1174</v>
      </c>
      <c r="I1436" s="38"/>
    </row>
    <row r="1437" spans="2:9" ht="15.75">
      <c r="B1437" s="53" t="s">
        <v>927</v>
      </c>
      <c r="C1437" s="54"/>
      <c r="D1437" s="35" t="s">
        <v>940</v>
      </c>
      <c r="E1437" s="36"/>
      <c r="F1437" s="35" t="s">
        <v>940</v>
      </c>
      <c r="G1437" s="39"/>
      <c r="H1437" s="35" t="s">
        <v>940</v>
      </c>
      <c r="I1437" s="39"/>
    </row>
    <row r="1438" spans="2:9">
      <c r="B1438" s="33"/>
      <c r="C1438" s="34"/>
      <c r="D1438" s="33"/>
      <c r="E1438" s="33"/>
      <c r="F1438" s="33"/>
      <c r="G1438" s="33"/>
      <c r="H1438" s="33"/>
      <c r="I1438" s="33"/>
    </row>
    <row r="1439" spans="2:9" ht="15.75">
      <c r="B1439" s="38">
        <v>6</v>
      </c>
      <c r="C1439" s="34"/>
      <c r="D1439" s="38">
        <v>3</v>
      </c>
      <c r="E1439" s="33"/>
      <c r="F1439" s="38">
        <v>3</v>
      </c>
      <c r="G1439" s="33"/>
      <c r="H1439" s="38">
        <v>3</v>
      </c>
      <c r="I1439" s="33"/>
    </row>
    <row r="1440" spans="2:9" ht="15.75">
      <c r="B1440" s="39"/>
      <c r="C1440" s="33"/>
      <c r="D1440" s="33"/>
      <c r="E1440" s="33"/>
      <c r="F1440" s="33"/>
      <c r="G1440" s="33"/>
      <c r="H1440" s="33"/>
      <c r="I1440" s="33"/>
    </row>
    <row r="1441" spans="2:9" ht="15.75">
      <c r="B1441" s="35" t="s">
        <v>20</v>
      </c>
      <c r="C1441" s="39"/>
      <c r="D1441" s="35" t="s">
        <v>22</v>
      </c>
      <c r="E1441" s="33"/>
      <c r="F1441" s="35" t="s">
        <v>22</v>
      </c>
      <c r="G1441" s="39"/>
      <c r="H1441" s="35" t="s">
        <v>23</v>
      </c>
      <c r="I1441" s="39"/>
    </row>
    <row r="1442" spans="2:9" ht="15.75">
      <c r="B1442" s="35" t="s">
        <v>623</v>
      </c>
      <c r="C1442" s="39"/>
      <c r="D1442" s="35" t="s">
        <v>623</v>
      </c>
      <c r="E1442" s="37"/>
      <c r="F1442" s="35" t="s">
        <v>507</v>
      </c>
      <c r="G1442" s="39"/>
      <c r="H1442" s="35" t="s">
        <v>507</v>
      </c>
      <c r="I1442" s="39"/>
    </row>
    <row r="1443" spans="2:9" ht="15.75">
      <c r="B1443" s="35" t="s">
        <v>632</v>
      </c>
      <c r="C1443" s="38">
        <v>4</v>
      </c>
      <c r="D1443" s="35" t="s">
        <v>511</v>
      </c>
      <c r="E1443" s="38">
        <v>4</v>
      </c>
      <c r="F1443" s="35" t="s">
        <v>511</v>
      </c>
      <c r="G1443" s="38">
        <v>4</v>
      </c>
      <c r="H1443" s="35" t="s">
        <v>511</v>
      </c>
      <c r="I1443" s="38">
        <v>6</v>
      </c>
    </row>
    <row r="1444" spans="2:9" ht="15.75">
      <c r="B1444" s="35" t="s">
        <v>1174</v>
      </c>
      <c r="C1444" s="39"/>
      <c r="D1444" s="35" t="s">
        <v>1113</v>
      </c>
      <c r="E1444" s="37"/>
      <c r="F1444" s="35" t="s">
        <v>1114</v>
      </c>
      <c r="G1444" s="39"/>
      <c r="H1444" s="35" t="s">
        <v>1114</v>
      </c>
      <c r="I1444" s="39"/>
    </row>
    <row r="1445" spans="2:9" ht="15.75">
      <c r="B1445" s="35" t="s">
        <v>940</v>
      </c>
      <c r="C1445" s="39"/>
      <c r="D1445" s="35" t="s">
        <v>940</v>
      </c>
      <c r="E1445" s="37"/>
      <c r="F1445" s="35" t="s">
        <v>940</v>
      </c>
      <c r="G1445" s="39"/>
      <c r="H1445" s="35" t="s">
        <v>940</v>
      </c>
      <c r="I1445" s="39"/>
    </row>
    <row r="1446" spans="2:9">
      <c r="B1446" s="33"/>
      <c r="C1446" s="33"/>
      <c r="D1446" s="33"/>
      <c r="E1446" s="33"/>
      <c r="F1446" s="33"/>
      <c r="G1446" s="33"/>
      <c r="H1446" s="33"/>
      <c r="I1446" s="33"/>
    </row>
    <row r="1447" spans="2:9" ht="15.75">
      <c r="B1447" s="38">
        <v>6</v>
      </c>
      <c r="C1447" s="33"/>
      <c r="D1447" s="38">
        <v>3</v>
      </c>
      <c r="E1447" s="33"/>
      <c r="F1447" s="38">
        <v>3</v>
      </c>
      <c r="G1447" s="33"/>
      <c r="H1447" s="38">
        <v>3</v>
      </c>
      <c r="I1447" s="33"/>
    </row>
    <row r="1448" spans="2:9" ht="15.75">
      <c r="B1448" s="39"/>
      <c r="C1448" s="33"/>
      <c r="D1448" s="33"/>
      <c r="E1448" s="33"/>
      <c r="F1448" s="33"/>
      <c r="G1448" s="33"/>
      <c r="H1448" s="33"/>
      <c r="I1448" s="33"/>
    </row>
    <row r="1449" spans="2:9" ht="15.75">
      <c r="B1449" s="35" t="s">
        <v>24</v>
      </c>
      <c r="C1449" s="39"/>
      <c r="D1449" s="35" t="s">
        <v>6</v>
      </c>
      <c r="E1449" s="33"/>
      <c r="F1449" s="35" t="s">
        <v>923</v>
      </c>
      <c r="G1449" s="39"/>
      <c r="H1449" s="35" t="s">
        <v>923</v>
      </c>
    </row>
    <row r="1450" spans="2:9" ht="15.75">
      <c r="B1450" s="35" t="s">
        <v>521</v>
      </c>
      <c r="C1450" s="39"/>
      <c r="D1450" s="35" t="s">
        <v>595</v>
      </c>
      <c r="E1450" s="37"/>
      <c r="F1450" s="35" t="s">
        <v>923</v>
      </c>
      <c r="G1450" s="39"/>
      <c r="H1450" s="35" t="s">
        <v>923</v>
      </c>
    </row>
    <row r="1451" spans="2:9" ht="15.75">
      <c r="B1451" s="35" t="s">
        <v>511</v>
      </c>
      <c r="C1451" s="38">
        <v>4</v>
      </c>
      <c r="D1451" s="35" t="s">
        <v>605</v>
      </c>
      <c r="E1451" s="38" t="s">
        <v>923</v>
      </c>
      <c r="F1451" s="35" t="s">
        <v>923</v>
      </c>
      <c r="G1451" s="38" t="s">
        <v>923</v>
      </c>
      <c r="H1451" s="35" t="s">
        <v>923</v>
      </c>
    </row>
    <row r="1452" spans="2:9" ht="15.75">
      <c r="B1452" s="35" t="s">
        <v>1114</v>
      </c>
      <c r="C1452" s="39"/>
      <c r="D1452" s="35" t="s">
        <v>1175</v>
      </c>
      <c r="E1452" s="37"/>
      <c r="F1452" s="35" t="s">
        <v>923</v>
      </c>
      <c r="G1452" s="39"/>
      <c r="H1452" s="35" t="s">
        <v>923</v>
      </c>
    </row>
    <row r="1453" spans="2:9" ht="15.75">
      <c r="B1453" s="35" t="s">
        <v>940</v>
      </c>
      <c r="C1453" s="39"/>
      <c r="D1453" s="35" t="s">
        <v>926</v>
      </c>
      <c r="E1453" s="37"/>
      <c r="F1453" s="35" t="s">
        <v>923</v>
      </c>
      <c r="G1453" s="39"/>
      <c r="H1453" s="35" t="s">
        <v>923</v>
      </c>
    </row>
    <row r="1455" spans="2:9">
      <c r="B1455" s="43" t="s">
        <v>100</v>
      </c>
      <c r="D1455" s="44" t="s">
        <v>1176</v>
      </c>
    </row>
    <row r="1456" spans="2:9">
      <c r="B1456" s="45"/>
    </row>
    <row r="1457" spans="2:9">
      <c r="B1457" s="46" t="s">
        <v>101</v>
      </c>
      <c r="D1457" s="47" t="s">
        <v>1177</v>
      </c>
    </row>
    <row r="1458" spans="2:9">
      <c r="B1458" s="50"/>
      <c r="C1458" s="49"/>
      <c r="D1458" s="49"/>
    </row>
    <row r="1459" spans="2:9">
      <c r="B1459" s="42" t="s">
        <v>819</v>
      </c>
    </row>
    <row r="1461" spans="2:9" ht="15.75">
      <c r="B1461" s="35" t="s">
        <v>5</v>
      </c>
      <c r="C1461" s="54"/>
      <c r="D1461" s="35" t="s">
        <v>17</v>
      </c>
      <c r="E1461" s="33"/>
      <c r="F1461" s="35" t="s">
        <v>18</v>
      </c>
      <c r="G1461" s="39"/>
      <c r="H1461" s="35" t="s">
        <v>19</v>
      </c>
      <c r="I1461" s="39"/>
    </row>
    <row r="1462" spans="2:9" ht="15.75">
      <c r="B1462" s="35" t="s">
        <v>453</v>
      </c>
      <c r="C1462" s="54"/>
      <c r="D1462" s="35" t="s">
        <v>754</v>
      </c>
      <c r="E1462" s="36"/>
      <c r="F1462" s="35" t="s">
        <v>714</v>
      </c>
      <c r="G1462" s="39"/>
      <c r="H1462" s="35" t="s">
        <v>624</v>
      </c>
      <c r="I1462" s="39"/>
    </row>
    <row r="1463" spans="2:9" ht="15.75">
      <c r="B1463" s="35" t="s">
        <v>576</v>
      </c>
      <c r="C1463" s="40">
        <v>4</v>
      </c>
      <c r="D1463" s="35" t="s">
        <v>658</v>
      </c>
      <c r="E1463" s="40">
        <v>4</v>
      </c>
      <c r="F1463" s="35" t="s">
        <v>633</v>
      </c>
      <c r="G1463" s="38">
        <v>4</v>
      </c>
      <c r="H1463" s="35" t="s">
        <v>633</v>
      </c>
      <c r="I1463" s="38">
        <v>6</v>
      </c>
    </row>
    <row r="1464" spans="2:9" ht="15.75">
      <c r="B1464" s="35" t="s">
        <v>1178</v>
      </c>
      <c r="C1464" s="54"/>
      <c r="D1464" s="35" t="s">
        <v>1179</v>
      </c>
      <c r="E1464" s="36"/>
      <c r="F1464" s="35" t="s">
        <v>1180</v>
      </c>
      <c r="G1464" s="39"/>
      <c r="H1464" s="35" t="s">
        <v>1180</v>
      </c>
      <c r="I1464" s="38"/>
    </row>
    <row r="1465" spans="2:9" ht="15.75">
      <c r="B1465" s="53" t="s">
        <v>927</v>
      </c>
      <c r="C1465" s="54"/>
      <c r="D1465" s="35" t="s">
        <v>940</v>
      </c>
      <c r="E1465" s="36"/>
      <c r="F1465" s="35" t="s">
        <v>940</v>
      </c>
      <c r="G1465" s="39"/>
      <c r="H1465" s="35" t="s">
        <v>940</v>
      </c>
      <c r="I1465" s="39"/>
    </row>
    <row r="1466" spans="2:9">
      <c r="B1466" s="33"/>
      <c r="C1466" s="34"/>
      <c r="D1466" s="33"/>
      <c r="E1466" s="33"/>
      <c r="F1466" s="33"/>
      <c r="G1466" s="33"/>
      <c r="H1466" s="33"/>
      <c r="I1466" s="33"/>
    </row>
    <row r="1467" spans="2:9" ht="15.75">
      <c r="B1467" s="38">
        <v>6</v>
      </c>
      <c r="C1467" s="34"/>
      <c r="D1467" s="38">
        <v>3</v>
      </c>
      <c r="E1467" s="33"/>
      <c r="F1467" s="38">
        <v>3</v>
      </c>
      <c r="G1467" s="33"/>
      <c r="H1467" s="38">
        <v>3</v>
      </c>
      <c r="I1467" s="33"/>
    </row>
    <row r="1468" spans="2:9" ht="15.75">
      <c r="B1468" s="39"/>
      <c r="C1468" s="33"/>
      <c r="D1468" s="33"/>
      <c r="E1468" s="33"/>
      <c r="F1468" s="33"/>
      <c r="G1468" s="33"/>
      <c r="H1468" s="33"/>
      <c r="I1468" s="33"/>
    </row>
    <row r="1469" spans="2:9" ht="15.75">
      <c r="B1469" s="35" t="s">
        <v>20</v>
      </c>
      <c r="C1469" s="39"/>
      <c r="D1469" s="35" t="s">
        <v>23</v>
      </c>
      <c r="E1469" s="33"/>
      <c r="F1469" s="35" t="s">
        <v>22</v>
      </c>
      <c r="G1469" s="39"/>
      <c r="H1469" s="35" t="s">
        <v>23</v>
      </c>
      <c r="I1469" s="39"/>
    </row>
    <row r="1470" spans="2:9" ht="15.75">
      <c r="B1470" s="35" t="s">
        <v>624</v>
      </c>
      <c r="C1470" s="39"/>
      <c r="D1470" s="35" t="s">
        <v>624</v>
      </c>
      <c r="E1470" s="37"/>
      <c r="F1470" s="35" t="s">
        <v>508</v>
      </c>
      <c r="G1470" s="39"/>
      <c r="H1470" s="35" t="s">
        <v>508</v>
      </c>
      <c r="I1470" s="39"/>
    </row>
    <row r="1471" spans="2:9" ht="15.75">
      <c r="B1471" s="35" t="s">
        <v>633</v>
      </c>
      <c r="C1471" s="38">
        <v>4</v>
      </c>
      <c r="D1471" s="35" t="s">
        <v>512</v>
      </c>
      <c r="E1471" s="38">
        <v>4</v>
      </c>
      <c r="F1471" s="35" t="s">
        <v>512</v>
      </c>
      <c r="G1471" s="38">
        <v>4</v>
      </c>
      <c r="H1471" s="35" t="s">
        <v>512</v>
      </c>
      <c r="I1471" s="38">
        <v>6</v>
      </c>
    </row>
    <row r="1472" spans="2:9" ht="15.75">
      <c r="B1472" s="35" t="s">
        <v>1180</v>
      </c>
      <c r="C1472" s="39"/>
      <c r="D1472" s="35" t="s">
        <v>1120</v>
      </c>
      <c r="E1472" s="37"/>
      <c r="F1472" s="35" t="s">
        <v>1121</v>
      </c>
      <c r="G1472" s="39"/>
      <c r="H1472" s="35" t="s">
        <v>1121</v>
      </c>
      <c r="I1472" s="39"/>
    </row>
    <row r="1473" spans="2:9" ht="15.75">
      <c r="B1473" s="35" t="s">
        <v>940</v>
      </c>
      <c r="C1473" s="39"/>
      <c r="D1473" s="35" t="s">
        <v>940</v>
      </c>
      <c r="E1473" s="37"/>
      <c r="F1473" s="35" t="s">
        <v>940</v>
      </c>
      <c r="G1473" s="39"/>
      <c r="H1473" s="35" t="s">
        <v>940</v>
      </c>
      <c r="I1473" s="39"/>
    </row>
    <row r="1474" spans="2:9">
      <c r="B1474" s="33"/>
      <c r="C1474" s="33"/>
      <c r="D1474" s="33"/>
      <c r="E1474" s="33"/>
      <c r="F1474" s="33"/>
      <c r="G1474" s="33"/>
      <c r="H1474" s="33"/>
      <c r="I1474" s="33"/>
    </row>
    <row r="1475" spans="2:9" ht="15.75">
      <c r="B1475" s="38">
        <v>6</v>
      </c>
      <c r="C1475" s="33"/>
      <c r="D1475" s="38">
        <v>3</v>
      </c>
      <c r="E1475" s="33"/>
      <c r="F1475" s="38">
        <v>3</v>
      </c>
      <c r="G1475" s="33"/>
      <c r="H1475" s="38">
        <v>3</v>
      </c>
      <c r="I1475" s="33"/>
    </row>
    <row r="1476" spans="2:9" ht="15.75">
      <c r="B1476" s="39"/>
      <c r="C1476" s="33"/>
      <c r="D1476" s="33"/>
      <c r="E1476" s="33"/>
      <c r="F1476" s="33"/>
      <c r="G1476" s="33"/>
      <c r="H1476" s="33"/>
      <c r="I1476" s="33"/>
    </row>
    <row r="1477" spans="2:9" ht="15.75">
      <c r="B1477" s="35" t="s">
        <v>24</v>
      </c>
      <c r="C1477" s="39"/>
      <c r="D1477" s="35" t="s">
        <v>25</v>
      </c>
      <c r="E1477" s="33"/>
      <c r="F1477" s="35" t="s">
        <v>6</v>
      </c>
      <c r="G1477" s="39"/>
      <c r="H1477" s="35" t="s">
        <v>923</v>
      </c>
    </row>
    <row r="1478" spans="2:9" ht="15.75">
      <c r="B1478" s="35" t="s">
        <v>522</v>
      </c>
      <c r="C1478" s="39"/>
      <c r="D1478" s="35" t="s">
        <v>508</v>
      </c>
      <c r="E1478" s="37"/>
      <c r="F1478" s="35" t="s">
        <v>596</v>
      </c>
      <c r="G1478" s="39"/>
      <c r="H1478" s="35" t="s">
        <v>923</v>
      </c>
    </row>
    <row r="1479" spans="2:9" ht="15.75">
      <c r="B1479" s="35" t="s">
        <v>512</v>
      </c>
      <c r="C1479" s="38">
        <v>4</v>
      </c>
      <c r="D1479" s="35" t="s">
        <v>512</v>
      </c>
      <c r="E1479" s="38">
        <v>4</v>
      </c>
      <c r="F1479" s="35" t="s">
        <v>606</v>
      </c>
      <c r="G1479" s="38" t="s">
        <v>923</v>
      </c>
      <c r="H1479" s="35" t="s">
        <v>923</v>
      </c>
    </row>
    <row r="1480" spans="2:9" ht="15.75">
      <c r="B1480" s="35" t="s">
        <v>1121</v>
      </c>
      <c r="C1480" s="39"/>
      <c r="D1480" s="35" t="s">
        <v>1121</v>
      </c>
      <c r="E1480" s="37"/>
      <c r="F1480" s="35" t="s">
        <v>1181</v>
      </c>
      <c r="G1480" s="39"/>
      <c r="H1480" s="35" t="s">
        <v>923</v>
      </c>
    </row>
    <row r="1481" spans="2:9" ht="15.75">
      <c r="B1481" s="35" t="s">
        <v>940</v>
      </c>
      <c r="C1481" s="39"/>
      <c r="D1481" s="35" t="s">
        <v>940</v>
      </c>
      <c r="E1481" s="37"/>
      <c r="F1481" s="35" t="s">
        <v>926</v>
      </c>
      <c r="G1481" s="39"/>
      <c r="H1481" s="35" t="s">
        <v>923</v>
      </c>
    </row>
    <row r="1483" spans="2:9">
      <c r="B1483" s="43" t="s">
        <v>100</v>
      </c>
      <c r="D1483" s="44" t="s">
        <v>1182</v>
      </c>
    </row>
    <row r="1484" spans="2:9">
      <c r="B1484" s="45"/>
    </row>
    <row r="1485" spans="2:9">
      <c r="B1485" s="46" t="s">
        <v>101</v>
      </c>
      <c r="D1485" s="47" t="s">
        <v>1183</v>
      </c>
    </row>
    <row r="1486" spans="2:9">
      <c r="B1486" s="50"/>
      <c r="C1486" s="49"/>
      <c r="D1486" s="49"/>
    </row>
    <row r="1487" spans="2:9">
      <c r="B1487" s="42" t="s">
        <v>820</v>
      </c>
    </row>
    <row r="1489" spans="2:9" ht="15.75">
      <c r="B1489" s="35" t="s">
        <v>5</v>
      </c>
      <c r="C1489" s="54"/>
      <c r="D1489" s="35" t="s">
        <v>17</v>
      </c>
      <c r="E1489" s="33"/>
      <c r="F1489" s="35" t="s">
        <v>18</v>
      </c>
      <c r="G1489" s="39"/>
      <c r="H1489" s="35" t="s">
        <v>19</v>
      </c>
      <c r="I1489" s="39"/>
    </row>
    <row r="1490" spans="2:9" ht="15.75">
      <c r="B1490" s="35" t="s">
        <v>454</v>
      </c>
      <c r="C1490" s="54"/>
      <c r="D1490" s="35" t="s">
        <v>755</v>
      </c>
      <c r="E1490" s="36"/>
      <c r="F1490" s="35" t="s">
        <v>715</v>
      </c>
      <c r="G1490" s="39"/>
      <c r="H1490" s="35" t="s">
        <v>625</v>
      </c>
      <c r="I1490" s="39"/>
    </row>
    <row r="1491" spans="2:9" ht="15.75">
      <c r="B1491" s="35" t="s">
        <v>577</v>
      </c>
      <c r="C1491" s="40">
        <v>4</v>
      </c>
      <c r="D1491" s="35" t="s">
        <v>649</v>
      </c>
      <c r="E1491" s="40">
        <v>4</v>
      </c>
      <c r="F1491" s="35" t="s">
        <v>259</v>
      </c>
      <c r="G1491" s="38">
        <v>4</v>
      </c>
      <c r="H1491" s="35" t="s">
        <v>259</v>
      </c>
      <c r="I1491" s="38">
        <v>6</v>
      </c>
    </row>
    <row r="1492" spans="2:9" ht="15.75">
      <c r="B1492" s="35" t="s">
        <v>1184</v>
      </c>
      <c r="C1492" s="54"/>
      <c r="D1492" s="35" t="s">
        <v>1185</v>
      </c>
      <c r="E1492" s="36"/>
      <c r="F1492" s="35" t="s">
        <v>1186</v>
      </c>
      <c r="G1492" s="39"/>
      <c r="H1492" s="35" t="s">
        <v>1186</v>
      </c>
      <c r="I1492" s="38"/>
    </row>
    <row r="1493" spans="2:9" ht="15.75">
      <c r="B1493" s="53" t="s">
        <v>927</v>
      </c>
      <c r="C1493" s="54"/>
      <c r="D1493" s="35" t="s">
        <v>940</v>
      </c>
      <c r="E1493" s="36"/>
      <c r="F1493" s="35" t="s">
        <v>940</v>
      </c>
      <c r="G1493" s="39"/>
      <c r="H1493" s="35" t="s">
        <v>940</v>
      </c>
      <c r="I1493" s="39"/>
    </row>
    <row r="1494" spans="2:9">
      <c r="B1494" s="33"/>
      <c r="C1494" s="34"/>
      <c r="D1494" s="33"/>
      <c r="E1494" s="33"/>
      <c r="F1494" s="33"/>
      <c r="G1494" s="33"/>
      <c r="H1494" s="33"/>
      <c r="I1494" s="33"/>
    </row>
    <row r="1495" spans="2:9" ht="15.75">
      <c r="B1495" s="38">
        <v>6</v>
      </c>
      <c r="C1495" s="34"/>
      <c r="D1495" s="38">
        <v>3</v>
      </c>
      <c r="E1495" s="33"/>
      <c r="F1495" s="38">
        <v>3</v>
      </c>
      <c r="G1495" s="33"/>
      <c r="H1495" s="38">
        <v>3</v>
      </c>
      <c r="I1495" s="33"/>
    </row>
    <row r="1496" spans="2:9" ht="15.75">
      <c r="B1496" s="39"/>
      <c r="C1496" s="33"/>
      <c r="D1496" s="33"/>
      <c r="E1496" s="33"/>
      <c r="F1496" s="33"/>
      <c r="G1496" s="33"/>
      <c r="H1496" s="33"/>
      <c r="I1496" s="33"/>
    </row>
    <row r="1497" spans="2:9" ht="15.75">
      <c r="B1497" s="35" t="s">
        <v>20</v>
      </c>
      <c r="C1497" s="39"/>
      <c r="D1497" s="35" t="s">
        <v>24</v>
      </c>
      <c r="E1497" s="33"/>
      <c r="F1497" s="35" t="s">
        <v>22</v>
      </c>
      <c r="G1497" s="39"/>
      <c r="H1497" s="35" t="s">
        <v>23</v>
      </c>
      <c r="I1497" s="39"/>
    </row>
    <row r="1498" spans="2:9" ht="15.75">
      <c r="B1498" s="35" t="s">
        <v>625</v>
      </c>
      <c r="C1498" s="39"/>
      <c r="D1498" s="35" t="s">
        <v>625</v>
      </c>
      <c r="E1498" s="37"/>
      <c r="F1498" s="35" t="s">
        <v>241</v>
      </c>
      <c r="G1498" s="39"/>
      <c r="H1498" s="35" t="s">
        <v>241</v>
      </c>
      <c r="I1498" s="39"/>
    </row>
    <row r="1499" spans="2:9" ht="15.75">
      <c r="B1499" s="35" t="s">
        <v>259</v>
      </c>
      <c r="C1499" s="38">
        <v>4</v>
      </c>
      <c r="D1499" s="35" t="s">
        <v>249</v>
      </c>
      <c r="E1499" s="38">
        <v>4</v>
      </c>
      <c r="F1499" s="35" t="s">
        <v>249</v>
      </c>
      <c r="G1499" s="38">
        <v>4</v>
      </c>
      <c r="H1499" s="35" t="s">
        <v>249</v>
      </c>
      <c r="I1499" s="38">
        <v>6</v>
      </c>
    </row>
    <row r="1500" spans="2:9" ht="15.75">
      <c r="B1500" s="35" t="s">
        <v>1186</v>
      </c>
      <c r="C1500" s="39"/>
      <c r="D1500" s="35" t="s">
        <v>1127</v>
      </c>
      <c r="E1500" s="37"/>
      <c r="F1500" s="35" t="s">
        <v>1127</v>
      </c>
      <c r="G1500" s="39"/>
      <c r="H1500" s="35" t="s">
        <v>1127</v>
      </c>
      <c r="I1500" s="39"/>
    </row>
    <row r="1501" spans="2:9" ht="15.75">
      <c r="B1501" s="35" t="s">
        <v>940</v>
      </c>
      <c r="C1501" s="39"/>
      <c r="D1501" s="35" t="s">
        <v>940</v>
      </c>
      <c r="E1501" s="37"/>
      <c r="F1501" s="35" t="s">
        <v>940</v>
      </c>
      <c r="G1501" s="39"/>
      <c r="H1501" s="35" t="s">
        <v>940</v>
      </c>
      <c r="I1501" s="39"/>
    </row>
    <row r="1502" spans="2:9">
      <c r="B1502" s="33"/>
      <c r="C1502" s="33"/>
      <c r="D1502" s="33"/>
      <c r="E1502" s="33"/>
      <c r="F1502" s="33"/>
      <c r="G1502" s="33"/>
      <c r="H1502" s="33"/>
      <c r="I1502" s="33"/>
    </row>
    <row r="1503" spans="2:9" ht="15.75">
      <c r="B1503" s="38">
        <v>6</v>
      </c>
      <c r="C1503" s="33"/>
      <c r="D1503" s="38">
        <v>3</v>
      </c>
      <c r="E1503" s="33"/>
      <c r="F1503" s="38">
        <v>3</v>
      </c>
      <c r="G1503" s="33"/>
      <c r="H1503" s="38">
        <v>3</v>
      </c>
      <c r="I1503" s="33"/>
    </row>
    <row r="1504" spans="2:9" ht="15.75">
      <c r="B1504" s="39"/>
      <c r="C1504" s="33"/>
      <c r="D1504" s="33"/>
      <c r="E1504" s="33"/>
      <c r="F1504" s="33"/>
      <c r="G1504" s="33"/>
      <c r="H1504" s="33"/>
      <c r="I1504" s="33"/>
    </row>
    <row r="1505" spans="2:9" ht="15.75">
      <c r="B1505" s="35" t="s">
        <v>24</v>
      </c>
      <c r="C1505" s="39"/>
      <c r="D1505" s="35" t="s">
        <v>25</v>
      </c>
      <c r="E1505" s="33"/>
      <c r="F1505" s="35" t="s">
        <v>26</v>
      </c>
      <c r="G1505" s="39"/>
      <c r="H1505" s="35" t="s">
        <v>6</v>
      </c>
    </row>
    <row r="1506" spans="2:9" ht="15.75">
      <c r="B1506" s="35" t="s">
        <v>523</v>
      </c>
      <c r="C1506" s="39"/>
      <c r="D1506" s="35" t="s">
        <v>241</v>
      </c>
      <c r="E1506" s="37"/>
      <c r="F1506" s="35" t="s">
        <v>517</v>
      </c>
      <c r="G1506" s="39"/>
      <c r="H1506" s="35" t="s">
        <v>597</v>
      </c>
    </row>
    <row r="1507" spans="2:9" ht="15.75">
      <c r="B1507" s="35" t="s">
        <v>249</v>
      </c>
      <c r="C1507" s="38">
        <v>4</v>
      </c>
      <c r="D1507" s="35" t="s">
        <v>249</v>
      </c>
      <c r="E1507" s="38">
        <v>4</v>
      </c>
      <c r="F1507" s="35" t="s">
        <v>249</v>
      </c>
      <c r="G1507" s="38">
        <v>4</v>
      </c>
      <c r="H1507" s="35" t="s">
        <v>607</v>
      </c>
    </row>
    <row r="1508" spans="2:9" ht="15.75">
      <c r="B1508" s="35" t="s">
        <v>1127</v>
      </c>
      <c r="C1508" s="39"/>
      <c r="D1508" s="35" t="s">
        <v>1127</v>
      </c>
      <c r="E1508" s="37"/>
      <c r="F1508" s="35" t="s">
        <v>1127</v>
      </c>
      <c r="G1508" s="39"/>
      <c r="H1508" s="35" t="s">
        <v>1187</v>
      </c>
    </row>
    <row r="1509" spans="2:9" ht="15.75">
      <c r="B1509" s="35" t="s">
        <v>940</v>
      </c>
      <c r="C1509" s="39"/>
      <c r="D1509" s="35" t="s">
        <v>940</v>
      </c>
      <c r="E1509" s="37"/>
      <c r="F1509" s="35" t="s">
        <v>940</v>
      </c>
      <c r="G1509" s="39"/>
      <c r="H1509" s="35" t="s">
        <v>926</v>
      </c>
    </row>
    <row r="1511" spans="2:9">
      <c r="B1511" s="43" t="s">
        <v>100</v>
      </c>
      <c r="D1511" s="44" t="s">
        <v>1188</v>
      </c>
    </row>
    <row r="1512" spans="2:9">
      <c r="B1512" s="45"/>
    </row>
    <row r="1513" spans="2:9">
      <c r="B1513" s="46" t="s">
        <v>101</v>
      </c>
      <c r="D1513" s="47" t="s">
        <v>1189</v>
      </c>
    </row>
    <row r="1515" spans="2:9">
      <c r="B1515" s="55" t="s">
        <v>821</v>
      </c>
    </row>
    <row r="1517" spans="2:9">
      <c r="B1517" s="42" t="s">
        <v>822</v>
      </c>
    </row>
    <row r="1519" spans="2:9" ht="15.75">
      <c r="B1519" s="35" t="s">
        <v>5</v>
      </c>
      <c r="C1519" s="54"/>
      <c r="D1519" s="35" t="s">
        <v>17</v>
      </c>
      <c r="E1519" s="33"/>
      <c r="F1519" s="35" t="s">
        <v>6</v>
      </c>
      <c r="G1519" s="39"/>
      <c r="H1519" s="35" t="s">
        <v>923</v>
      </c>
      <c r="I1519" s="39"/>
    </row>
    <row r="1520" spans="2:9" ht="15.75">
      <c r="B1520" s="35" t="s">
        <v>424</v>
      </c>
      <c r="C1520" s="54"/>
      <c r="D1520" s="35" t="s">
        <v>746</v>
      </c>
      <c r="E1520" s="36"/>
      <c r="F1520" s="35" t="s">
        <v>588</v>
      </c>
      <c r="G1520" s="39"/>
      <c r="H1520" s="35" t="s">
        <v>923</v>
      </c>
      <c r="I1520" s="39"/>
    </row>
    <row r="1521" spans="2:9" ht="15.75">
      <c r="B1521" s="35" t="s">
        <v>568</v>
      </c>
      <c r="C1521" s="40">
        <v>4</v>
      </c>
      <c r="D1521" s="35" t="s">
        <v>650</v>
      </c>
      <c r="E1521" s="40">
        <v>4</v>
      </c>
      <c r="F1521" s="35" t="s">
        <v>598</v>
      </c>
      <c r="G1521" s="38" t="s">
        <v>923</v>
      </c>
      <c r="H1521" s="35" t="s">
        <v>923</v>
      </c>
      <c r="I1521" s="38" t="s">
        <v>923</v>
      </c>
    </row>
    <row r="1522" spans="2:9" ht="15.75">
      <c r="B1522" s="35" t="s">
        <v>1131</v>
      </c>
      <c r="C1522" s="54"/>
      <c r="D1522" s="35" t="s">
        <v>1132</v>
      </c>
      <c r="E1522" s="36"/>
      <c r="F1522" s="35" t="s">
        <v>1133</v>
      </c>
      <c r="G1522" s="39"/>
      <c r="H1522" s="35" t="s">
        <v>923</v>
      </c>
      <c r="I1522" s="38"/>
    </row>
    <row r="1523" spans="2:9" ht="15.75">
      <c r="B1523" s="53" t="s">
        <v>927</v>
      </c>
      <c r="C1523" s="54"/>
      <c r="D1523" s="35" t="s">
        <v>940</v>
      </c>
      <c r="E1523" s="36"/>
      <c r="F1523" s="35" t="s">
        <v>926</v>
      </c>
      <c r="G1523" s="39"/>
      <c r="H1523" s="35" t="s">
        <v>923</v>
      </c>
      <c r="I1523" s="39"/>
    </row>
    <row r="1524" spans="2:9">
      <c r="B1524" s="33"/>
      <c r="C1524" s="34"/>
      <c r="D1524" s="33"/>
      <c r="E1524" s="33"/>
      <c r="F1524" s="33"/>
      <c r="G1524" s="33"/>
      <c r="H1524" s="33"/>
      <c r="I1524" s="33"/>
    </row>
    <row r="1525" spans="2:9">
      <c r="B1525" s="43" t="s">
        <v>100</v>
      </c>
      <c r="D1525" s="44" t="s">
        <v>1134</v>
      </c>
    </row>
    <row r="1526" spans="2:9">
      <c r="B1526" s="45"/>
    </row>
    <row r="1527" spans="2:9">
      <c r="B1527" s="46" t="s">
        <v>101</v>
      </c>
      <c r="D1527" s="47" t="s">
        <v>1135</v>
      </c>
    </row>
    <row r="1529" spans="2:9">
      <c r="B1529" s="42" t="s">
        <v>823</v>
      </c>
    </row>
    <row r="1531" spans="2:9" ht="15.75">
      <c r="B1531" s="35" t="s">
        <v>5</v>
      </c>
      <c r="C1531" s="54"/>
      <c r="D1531" s="35" t="s">
        <v>17</v>
      </c>
      <c r="E1531" s="33"/>
      <c r="F1531" s="35" t="s">
        <v>18</v>
      </c>
      <c r="G1531" s="39"/>
      <c r="H1531" s="35" t="s">
        <v>6</v>
      </c>
      <c r="I1531" s="39"/>
    </row>
    <row r="1532" spans="2:9" ht="15.75">
      <c r="B1532" s="35" t="s">
        <v>446</v>
      </c>
      <c r="C1532" s="54"/>
      <c r="D1532" s="35" t="s">
        <v>747</v>
      </c>
      <c r="E1532" s="36"/>
      <c r="F1532" s="35" t="s">
        <v>707</v>
      </c>
      <c r="G1532" s="39"/>
      <c r="H1532" s="35" t="s">
        <v>589</v>
      </c>
      <c r="I1532" s="39"/>
    </row>
    <row r="1533" spans="2:9" ht="15.75">
      <c r="B1533" s="35" t="s">
        <v>569</v>
      </c>
      <c r="C1533" s="40">
        <v>4</v>
      </c>
      <c r="D1533" s="35" t="s">
        <v>651</v>
      </c>
      <c r="E1533" s="40">
        <v>4</v>
      </c>
      <c r="F1533" s="35" t="s">
        <v>626</v>
      </c>
      <c r="G1533" s="38">
        <v>4</v>
      </c>
      <c r="H1533" s="35" t="s">
        <v>599</v>
      </c>
      <c r="I1533" s="38" t="s">
        <v>923</v>
      </c>
    </row>
    <row r="1534" spans="2:9" ht="15.75">
      <c r="B1534" s="35" t="s">
        <v>1136</v>
      </c>
      <c r="C1534" s="54"/>
      <c r="D1534" s="35" t="s">
        <v>1137</v>
      </c>
      <c r="E1534" s="36"/>
      <c r="F1534" s="35" t="s">
        <v>1138</v>
      </c>
      <c r="G1534" s="39"/>
      <c r="H1534" s="35" t="s">
        <v>1139</v>
      </c>
      <c r="I1534" s="38"/>
    </row>
    <row r="1535" spans="2:9" ht="15.75">
      <c r="B1535" s="53" t="s">
        <v>927</v>
      </c>
      <c r="C1535" s="54"/>
      <c r="D1535" s="35" t="s">
        <v>940</v>
      </c>
      <c r="E1535" s="36"/>
      <c r="F1535" s="35" t="s">
        <v>940</v>
      </c>
      <c r="G1535" s="39"/>
      <c r="H1535" s="35" t="s">
        <v>926</v>
      </c>
      <c r="I1535" s="39"/>
    </row>
    <row r="1536" spans="2:9">
      <c r="B1536" s="33"/>
      <c r="C1536" s="34"/>
      <c r="D1536" s="33"/>
      <c r="E1536" s="33"/>
      <c r="F1536" s="33"/>
      <c r="G1536" s="33"/>
      <c r="H1536" s="33"/>
      <c r="I1536" s="33"/>
    </row>
    <row r="1537" spans="2:9">
      <c r="B1537" s="43" t="s">
        <v>100</v>
      </c>
      <c r="D1537" s="44" t="s">
        <v>1140</v>
      </c>
    </row>
    <row r="1538" spans="2:9">
      <c r="B1538" s="45"/>
    </row>
    <row r="1539" spans="2:9">
      <c r="B1539" s="46" t="s">
        <v>101</v>
      </c>
      <c r="D1539" s="47" t="s">
        <v>1141</v>
      </c>
    </row>
    <row r="1541" spans="2:9">
      <c r="B1541" s="42" t="s">
        <v>824</v>
      </c>
    </row>
    <row r="1543" spans="2:9" ht="15.75">
      <c r="B1543" s="35" t="s">
        <v>5</v>
      </c>
      <c r="C1543" s="54"/>
      <c r="D1543" s="35" t="s">
        <v>17</v>
      </c>
      <c r="E1543" s="33"/>
      <c r="F1543" s="35" t="s">
        <v>18</v>
      </c>
      <c r="G1543" s="39"/>
      <c r="H1543" s="35" t="s">
        <v>19</v>
      </c>
      <c r="I1543" s="39"/>
    </row>
    <row r="1544" spans="2:9" ht="15.75">
      <c r="B1544" s="35" t="s">
        <v>447</v>
      </c>
      <c r="C1544" s="54"/>
      <c r="D1544" s="35" t="s">
        <v>748</v>
      </c>
      <c r="E1544" s="36"/>
      <c r="F1544" s="35" t="s">
        <v>708</v>
      </c>
      <c r="G1544" s="39"/>
      <c r="H1544" s="35" t="s">
        <v>618</v>
      </c>
      <c r="I1544" s="39"/>
    </row>
    <row r="1545" spans="2:9" ht="15.75">
      <c r="B1545" s="35" t="s">
        <v>570</v>
      </c>
      <c r="C1545" s="40">
        <v>4</v>
      </c>
      <c r="D1545" s="35" t="s">
        <v>652</v>
      </c>
      <c r="E1545" s="40">
        <v>4</v>
      </c>
      <c r="F1545" s="35" t="s">
        <v>627</v>
      </c>
      <c r="G1545" s="38">
        <v>4</v>
      </c>
      <c r="H1545" s="35" t="s">
        <v>627</v>
      </c>
      <c r="I1545" s="38">
        <v>6</v>
      </c>
    </row>
    <row r="1546" spans="2:9" ht="15.75">
      <c r="B1546" s="35" t="s">
        <v>1142</v>
      </c>
      <c r="C1546" s="54"/>
      <c r="D1546" s="35" t="s">
        <v>1143</v>
      </c>
      <c r="E1546" s="36"/>
      <c r="F1546" s="35" t="s">
        <v>1144</v>
      </c>
      <c r="G1546" s="39"/>
      <c r="H1546" s="35" t="s">
        <v>1144</v>
      </c>
      <c r="I1546" s="38"/>
    </row>
    <row r="1547" spans="2:9" ht="15.75">
      <c r="B1547" s="53" t="s">
        <v>927</v>
      </c>
      <c r="C1547" s="54"/>
      <c r="D1547" s="35" t="s">
        <v>940</v>
      </c>
      <c r="E1547" s="36"/>
      <c r="F1547" s="35" t="s">
        <v>940</v>
      </c>
      <c r="G1547" s="39"/>
      <c r="H1547" s="35" t="s">
        <v>940</v>
      </c>
      <c r="I1547" s="39"/>
    </row>
    <row r="1548" spans="2:9">
      <c r="B1548" s="33"/>
      <c r="C1548" s="34"/>
      <c r="D1548" s="33"/>
      <c r="E1548" s="33"/>
      <c r="F1548" s="33"/>
      <c r="G1548" s="33"/>
      <c r="H1548" s="33"/>
      <c r="I1548" s="33"/>
    </row>
    <row r="1549" spans="2:9" ht="15.75">
      <c r="B1549" s="38">
        <v>6</v>
      </c>
      <c r="C1549" s="34"/>
      <c r="D1549" s="38">
        <v>3</v>
      </c>
      <c r="E1549" s="33"/>
      <c r="F1549" s="38">
        <v>3</v>
      </c>
      <c r="G1549" s="33"/>
      <c r="H1549" s="38">
        <v>3</v>
      </c>
      <c r="I1549" s="33"/>
    </row>
    <row r="1550" spans="2:9" ht="15.75">
      <c r="B1550" s="39"/>
      <c r="C1550" s="33"/>
      <c r="D1550" s="33"/>
      <c r="E1550" s="33"/>
      <c r="F1550" s="33"/>
      <c r="G1550" s="33"/>
      <c r="H1550" s="33"/>
      <c r="I1550" s="33"/>
    </row>
    <row r="1551" spans="2:9" ht="15.75">
      <c r="B1551" s="35" t="s">
        <v>6</v>
      </c>
      <c r="C1551" s="39"/>
      <c r="D1551" s="35" t="s">
        <v>923</v>
      </c>
      <c r="E1551" s="33"/>
      <c r="F1551" s="35" t="s">
        <v>923</v>
      </c>
      <c r="G1551" s="39"/>
      <c r="H1551" s="35" t="s">
        <v>923</v>
      </c>
      <c r="I1551" s="39"/>
    </row>
    <row r="1552" spans="2:9" ht="15.75">
      <c r="B1552" s="35" t="s">
        <v>590</v>
      </c>
      <c r="C1552" s="39"/>
      <c r="D1552" s="35" t="s">
        <v>923</v>
      </c>
      <c r="E1552" s="37"/>
      <c r="F1552" s="35" t="s">
        <v>923</v>
      </c>
      <c r="G1552" s="39"/>
      <c r="H1552" s="35" t="s">
        <v>923</v>
      </c>
      <c r="I1552" s="39"/>
    </row>
    <row r="1553" spans="2:9" ht="15.75">
      <c r="B1553" s="35" t="s">
        <v>600</v>
      </c>
      <c r="C1553" s="38" t="s">
        <v>923</v>
      </c>
      <c r="D1553" s="35" t="s">
        <v>923</v>
      </c>
      <c r="E1553" s="38" t="s">
        <v>923</v>
      </c>
      <c r="F1553" s="35" t="s">
        <v>923</v>
      </c>
      <c r="G1553" s="38" t="s">
        <v>923</v>
      </c>
      <c r="H1553" s="35" t="s">
        <v>923</v>
      </c>
      <c r="I1553" s="38" t="s">
        <v>923</v>
      </c>
    </row>
    <row r="1554" spans="2:9" ht="15.75">
      <c r="B1554" s="35" t="s">
        <v>1145</v>
      </c>
      <c r="C1554" s="39"/>
      <c r="D1554" s="35" t="s">
        <v>923</v>
      </c>
      <c r="E1554" s="37"/>
      <c r="F1554" s="35" t="s">
        <v>923</v>
      </c>
      <c r="G1554" s="39"/>
      <c r="H1554" s="35" t="s">
        <v>923</v>
      </c>
      <c r="I1554" s="39"/>
    </row>
    <row r="1555" spans="2:9" ht="15.75">
      <c r="B1555" s="35" t="s">
        <v>926</v>
      </c>
      <c r="C1555" s="39"/>
      <c r="D1555" s="35" t="s">
        <v>923</v>
      </c>
      <c r="E1555" s="37"/>
      <c r="F1555" s="35" t="s">
        <v>923</v>
      </c>
      <c r="G1555" s="39"/>
      <c r="H1555" s="35" t="s">
        <v>923</v>
      </c>
      <c r="I1555" s="39"/>
    </row>
    <row r="1556" spans="2:9">
      <c r="B1556" s="33"/>
      <c r="C1556" s="33"/>
      <c r="D1556" s="33"/>
      <c r="E1556" s="33"/>
      <c r="F1556" s="33"/>
      <c r="G1556" s="33"/>
      <c r="H1556" s="33"/>
      <c r="I1556" s="33"/>
    </row>
    <row r="1557" spans="2:9">
      <c r="B1557" s="43" t="s">
        <v>100</v>
      </c>
      <c r="D1557" s="44" t="s">
        <v>1146</v>
      </c>
    </row>
    <row r="1558" spans="2:9">
      <c r="B1558" s="45"/>
    </row>
    <row r="1559" spans="2:9">
      <c r="B1559" s="46" t="s">
        <v>101</v>
      </c>
      <c r="D1559" s="47" t="s">
        <v>1147</v>
      </c>
    </row>
    <row r="1561" spans="2:9">
      <c r="B1561" s="42" t="s">
        <v>825</v>
      </c>
    </row>
    <row r="1563" spans="2:9" ht="15.75">
      <c r="B1563" s="35" t="s">
        <v>5</v>
      </c>
      <c r="C1563" s="54"/>
      <c r="D1563" s="35" t="s">
        <v>17</v>
      </c>
      <c r="E1563" s="33"/>
      <c r="F1563" s="35" t="s">
        <v>18</v>
      </c>
      <c r="G1563" s="39"/>
      <c r="H1563" s="35" t="s">
        <v>19</v>
      </c>
      <c r="I1563" s="39"/>
    </row>
    <row r="1564" spans="2:9" ht="15.75">
      <c r="B1564" s="35" t="s">
        <v>448</v>
      </c>
      <c r="C1564" s="54"/>
      <c r="D1564" s="35" t="s">
        <v>749</v>
      </c>
      <c r="E1564" s="36"/>
      <c r="F1564" s="35" t="s">
        <v>709</v>
      </c>
      <c r="G1564" s="39"/>
      <c r="H1564" s="35" t="s">
        <v>619</v>
      </c>
      <c r="I1564" s="39"/>
    </row>
    <row r="1565" spans="2:9" ht="15.75">
      <c r="B1565" s="35" t="s">
        <v>571</v>
      </c>
      <c r="C1565" s="40">
        <v>4</v>
      </c>
      <c r="D1565" s="35" t="s">
        <v>653</v>
      </c>
      <c r="E1565" s="40">
        <v>4</v>
      </c>
      <c r="F1565" s="35" t="s">
        <v>628</v>
      </c>
      <c r="G1565" s="38">
        <v>4</v>
      </c>
      <c r="H1565" s="35" t="s">
        <v>628</v>
      </c>
      <c r="I1565" s="38">
        <v>6</v>
      </c>
    </row>
    <row r="1566" spans="2:9" ht="15.75">
      <c r="B1566" s="35" t="s">
        <v>1148</v>
      </c>
      <c r="C1566" s="54"/>
      <c r="D1566" s="35" t="s">
        <v>1149</v>
      </c>
      <c r="E1566" s="36"/>
      <c r="F1566" s="35" t="s">
        <v>1150</v>
      </c>
      <c r="G1566" s="39"/>
      <c r="H1566" s="35" t="s">
        <v>1150</v>
      </c>
      <c r="I1566" s="38"/>
    </row>
    <row r="1567" spans="2:9" ht="15.75">
      <c r="B1567" s="53" t="s">
        <v>927</v>
      </c>
      <c r="C1567" s="54"/>
      <c r="D1567" s="35" t="s">
        <v>940</v>
      </c>
      <c r="E1567" s="36"/>
      <c r="F1567" s="35" t="s">
        <v>940</v>
      </c>
      <c r="G1567" s="39"/>
      <c r="H1567" s="35" t="s">
        <v>940</v>
      </c>
      <c r="I1567" s="39"/>
    </row>
    <row r="1568" spans="2:9">
      <c r="B1568" s="33"/>
      <c r="C1568" s="34"/>
      <c r="D1568" s="33"/>
      <c r="E1568" s="33"/>
      <c r="F1568" s="33"/>
      <c r="G1568" s="33"/>
      <c r="H1568" s="33"/>
      <c r="I1568" s="33"/>
    </row>
    <row r="1569" spans="2:9" ht="15.75">
      <c r="B1569" s="38">
        <v>6</v>
      </c>
      <c r="C1569" s="34"/>
      <c r="D1569" s="38">
        <v>3</v>
      </c>
      <c r="E1569" s="33"/>
      <c r="F1569" s="38">
        <v>3</v>
      </c>
      <c r="G1569" s="33"/>
      <c r="H1569" s="38">
        <v>3</v>
      </c>
      <c r="I1569" s="33"/>
    </row>
    <row r="1570" spans="2:9" ht="15.75">
      <c r="B1570" s="39"/>
      <c r="C1570" s="33"/>
      <c r="D1570" s="33"/>
      <c r="E1570" s="33"/>
      <c r="F1570" s="33"/>
      <c r="G1570" s="33"/>
      <c r="H1570" s="33"/>
      <c r="I1570" s="33"/>
    </row>
    <row r="1571" spans="2:9" ht="15.75">
      <c r="B1571" s="35" t="s">
        <v>20</v>
      </c>
      <c r="C1571" s="39"/>
      <c r="D1571" s="35" t="s">
        <v>6</v>
      </c>
      <c r="E1571" s="33"/>
      <c r="F1571" s="35" t="s">
        <v>923</v>
      </c>
      <c r="G1571" s="39"/>
      <c r="H1571" s="35" t="s">
        <v>923</v>
      </c>
      <c r="I1571" s="39"/>
    </row>
    <row r="1572" spans="2:9" ht="15.75">
      <c r="B1572" s="35" t="s">
        <v>619</v>
      </c>
      <c r="C1572" s="39"/>
      <c r="D1572" s="35" t="s">
        <v>591</v>
      </c>
      <c r="E1572" s="37"/>
      <c r="F1572" s="35" t="s">
        <v>923</v>
      </c>
      <c r="G1572" s="39"/>
      <c r="H1572" s="35" t="s">
        <v>923</v>
      </c>
      <c r="I1572" s="39"/>
    </row>
    <row r="1573" spans="2:9" ht="15.75">
      <c r="B1573" s="35" t="s">
        <v>628</v>
      </c>
      <c r="C1573" s="38">
        <v>4</v>
      </c>
      <c r="D1573" s="35" t="s">
        <v>601</v>
      </c>
      <c r="E1573" s="38" t="s">
        <v>923</v>
      </c>
      <c r="F1573" s="35" t="s">
        <v>923</v>
      </c>
      <c r="G1573" s="38" t="s">
        <v>923</v>
      </c>
      <c r="H1573" s="35" t="s">
        <v>923</v>
      </c>
      <c r="I1573" s="38" t="s">
        <v>923</v>
      </c>
    </row>
    <row r="1574" spans="2:9" ht="15.75">
      <c r="B1574" s="35" t="s">
        <v>1150</v>
      </c>
      <c r="C1574" s="39"/>
      <c r="D1574" s="35" t="s">
        <v>1151</v>
      </c>
      <c r="E1574" s="37"/>
      <c r="F1574" s="35" t="s">
        <v>923</v>
      </c>
      <c r="G1574" s="39"/>
      <c r="H1574" s="35" t="s">
        <v>923</v>
      </c>
      <c r="I1574" s="39"/>
    </row>
    <row r="1575" spans="2:9" ht="15.75">
      <c r="B1575" s="35" t="s">
        <v>940</v>
      </c>
      <c r="C1575" s="39"/>
      <c r="D1575" s="35" t="s">
        <v>926</v>
      </c>
      <c r="E1575" s="37"/>
      <c r="F1575" s="35" t="s">
        <v>923</v>
      </c>
      <c r="G1575" s="39"/>
      <c r="H1575" s="35" t="s">
        <v>923</v>
      </c>
      <c r="I1575" s="39"/>
    </row>
    <row r="1576" spans="2:9">
      <c r="B1576" s="33"/>
      <c r="C1576" s="33"/>
      <c r="D1576" s="33"/>
      <c r="E1576" s="33"/>
      <c r="F1576" s="33"/>
      <c r="G1576" s="33"/>
      <c r="H1576" s="33"/>
      <c r="I1576" s="33"/>
    </row>
    <row r="1577" spans="2:9">
      <c r="B1577" s="43" t="s">
        <v>100</v>
      </c>
      <c r="D1577" s="44" t="s">
        <v>1152</v>
      </c>
    </row>
    <row r="1578" spans="2:9">
      <c r="B1578" s="45"/>
    </row>
    <row r="1579" spans="2:9">
      <c r="B1579" s="46" t="s">
        <v>101</v>
      </c>
      <c r="D1579" s="47" t="s">
        <v>1153</v>
      </c>
    </row>
    <row r="1581" spans="2:9">
      <c r="B1581" s="42" t="s">
        <v>826</v>
      </c>
    </row>
    <row r="1583" spans="2:9" ht="15.75">
      <c r="B1583" s="35" t="s">
        <v>5</v>
      </c>
      <c r="C1583" s="54"/>
      <c r="D1583" s="35" t="s">
        <v>17</v>
      </c>
      <c r="E1583" s="33"/>
      <c r="F1583" s="35" t="s">
        <v>18</v>
      </c>
      <c r="G1583" s="39"/>
      <c r="H1583" s="35" t="s">
        <v>19</v>
      </c>
      <c r="I1583" s="39"/>
    </row>
    <row r="1584" spans="2:9" ht="15.75">
      <c r="B1584" s="35" t="s">
        <v>449</v>
      </c>
      <c r="C1584" s="54"/>
      <c r="D1584" s="35" t="s">
        <v>750</v>
      </c>
      <c r="E1584" s="36"/>
      <c r="F1584" s="35" t="s">
        <v>710</v>
      </c>
      <c r="G1584" s="39"/>
      <c r="H1584" s="35" t="s">
        <v>620</v>
      </c>
      <c r="I1584" s="39"/>
    </row>
    <row r="1585" spans="2:9" ht="15.75">
      <c r="B1585" s="35" t="s">
        <v>572</v>
      </c>
      <c r="C1585" s="40">
        <v>4</v>
      </c>
      <c r="D1585" s="35" t="s">
        <v>654</v>
      </c>
      <c r="E1585" s="40">
        <v>4</v>
      </c>
      <c r="F1585" s="35" t="s">
        <v>629</v>
      </c>
      <c r="G1585" s="38">
        <v>4</v>
      </c>
      <c r="H1585" s="35" t="s">
        <v>629</v>
      </c>
      <c r="I1585" s="38">
        <v>6</v>
      </c>
    </row>
    <row r="1586" spans="2:9" ht="15.75">
      <c r="B1586" s="35" t="s">
        <v>1154</v>
      </c>
      <c r="C1586" s="54"/>
      <c r="D1586" s="35" t="s">
        <v>1155</v>
      </c>
      <c r="E1586" s="36"/>
      <c r="F1586" s="35" t="s">
        <v>1156</v>
      </c>
      <c r="G1586" s="39"/>
      <c r="H1586" s="35" t="s">
        <v>1156</v>
      </c>
      <c r="I1586" s="38"/>
    </row>
    <row r="1587" spans="2:9" ht="15.75">
      <c r="B1587" s="53" t="s">
        <v>927</v>
      </c>
      <c r="C1587" s="54"/>
      <c r="D1587" s="35" t="s">
        <v>940</v>
      </c>
      <c r="E1587" s="36"/>
      <c r="F1587" s="35" t="s">
        <v>940</v>
      </c>
      <c r="G1587" s="39"/>
      <c r="H1587" s="35" t="s">
        <v>940</v>
      </c>
      <c r="I1587" s="39"/>
    </row>
    <row r="1588" spans="2:9">
      <c r="B1588" s="33"/>
      <c r="C1588" s="34"/>
      <c r="D1588" s="33"/>
      <c r="E1588" s="33"/>
      <c r="F1588" s="33"/>
      <c r="G1588" s="33"/>
      <c r="H1588" s="33"/>
      <c r="I1588" s="33"/>
    </row>
    <row r="1589" spans="2:9" ht="15.75">
      <c r="B1589" s="38">
        <v>6</v>
      </c>
      <c r="C1589" s="34"/>
      <c r="D1589" s="38">
        <v>3</v>
      </c>
      <c r="E1589" s="33"/>
      <c r="F1589" s="38">
        <v>3</v>
      </c>
      <c r="G1589" s="33"/>
      <c r="H1589" s="38">
        <v>3</v>
      </c>
      <c r="I1589" s="33"/>
    </row>
    <row r="1590" spans="2:9" ht="15.75">
      <c r="B1590" s="39"/>
      <c r="C1590" s="33"/>
      <c r="D1590" s="33"/>
      <c r="E1590" s="33"/>
      <c r="F1590" s="33"/>
      <c r="G1590" s="33"/>
      <c r="H1590" s="33"/>
      <c r="I1590" s="33"/>
    </row>
    <row r="1591" spans="2:9" ht="15.75">
      <c r="B1591" s="35" t="s">
        <v>20</v>
      </c>
      <c r="C1591" s="39"/>
      <c r="D1591" s="35" t="s">
        <v>21</v>
      </c>
      <c r="E1591" s="33"/>
      <c r="F1591" s="35" t="s">
        <v>6</v>
      </c>
      <c r="G1591" s="39"/>
      <c r="H1591" s="35" t="s">
        <v>923</v>
      </c>
      <c r="I1591" s="39"/>
    </row>
    <row r="1592" spans="2:9" ht="15.75">
      <c r="B1592" s="35" t="s">
        <v>620</v>
      </c>
      <c r="C1592" s="39"/>
      <c r="D1592" s="35" t="s">
        <v>620</v>
      </c>
      <c r="E1592" s="37"/>
      <c r="F1592" s="35" t="s">
        <v>592</v>
      </c>
      <c r="G1592" s="39"/>
      <c r="H1592" s="35" t="s">
        <v>923</v>
      </c>
      <c r="I1592" s="39"/>
    </row>
    <row r="1593" spans="2:9" ht="15.75">
      <c r="B1593" s="35" t="s">
        <v>629</v>
      </c>
      <c r="C1593" s="38">
        <v>4</v>
      </c>
      <c r="D1593" s="35" t="s">
        <v>648</v>
      </c>
      <c r="E1593" s="38">
        <v>4</v>
      </c>
      <c r="F1593" s="35" t="s">
        <v>602</v>
      </c>
      <c r="G1593" s="38" t="s">
        <v>923</v>
      </c>
      <c r="H1593" s="35" t="s">
        <v>923</v>
      </c>
      <c r="I1593" s="38" t="s">
        <v>923</v>
      </c>
    </row>
    <row r="1594" spans="2:9" ht="15.75">
      <c r="B1594" s="35" t="s">
        <v>1156</v>
      </c>
      <c r="C1594" s="39"/>
      <c r="D1594" s="35" t="s">
        <v>1092</v>
      </c>
      <c r="E1594" s="37"/>
      <c r="F1594" s="35" t="s">
        <v>1157</v>
      </c>
      <c r="G1594" s="39"/>
      <c r="H1594" s="35" t="s">
        <v>923</v>
      </c>
      <c r="I1594" s="39"/>
    </row>
    <row r="1595" spans="2:9" ht="15.75">
      <c r="B1595" s="35" t="s">
        <v>940</v>
      </c>
      <c r="C1595" s="39"/>
      <c r="D1595" s="35" t="s">
        <v>940</v>
      </c>
      <c r="E1595" s="37"/>
      <c r="F1595" s="35" t="s">
        <v>926</v>
      </c>
      <c r="G1595" s="39"/>
      <c r="H1595" s="35" t="s">
        <v>923</v>
      </c>
      <c r="I1595" s="39"/>
    </row>
    <row r="1596" spans="2:9">
      <c r="B1596" s="33"/>
      <c r="C1596" s="33"/>
      <c r="D1596" s="33"/>
      <c r="E1596" s="33"/>
      <c r="F1596" s="33"/>
      <c r="G1596" s="33"/>
      <c r="H1596" s="33"/>
      <c r="I1596" s="33"/>
    </row>
    <row r="1597" spans="2:9">
      <c r="B1597" s="43" t="s">
        <v>100</v>
      </c>
      <c r="D1597" s="44" t="s">
        <v>1158</v>
      </c>
    </row>
    <row r="1598" spans="2:9">
      <c r="B1598" s="45"/>
    </row>
    <row r="1599" spans="2:9">
      <c r="B1599" s="46" t="s">
        <v>101</v>
      </c>
      <c r="D1599" s="47" t="s">
        <v>1159</v>
      </c>
    </row>
    <row r="1601" spans="2:9">
      <c r="B1601" s="42" t="s">
        <v>827</v>
      </c>
    </row>
    <row r="1603" spans="2:9" ht="15.75">
      <c r="B1603" s="35" t="s">
        <v>5</v>
      </c>
      <c r="C1603" s="54"/>
      <c r="D1603" s="35" t="s">
        <v>17</v>
      </c>
      <c r="E1603" s="33"/>
      <c r="F1603" s="35" t="s">
        <v>18</v>
      </c>
      <c r="G1603" s="39"/>
      <c r="H1603" s="35" t="s">
        <v>19</v>
      </c>
      <c r="I1603" s="39"/>
    </row>
    <row r="1604" spans="2:9" ht="15.75">
      <c r="B1604" s="35" t="s">
        <v>450</v>
      </c>
      <c r="C1604" s="54"/>
      <c r="D1604" s="35" t="s">
        <v>751</v>
      </c>
      <c r="E1604" s="36"/>
      <c r="F1604" s="35" t="s">
        <v>711</v>
      </c>
      <c r="G1604" s="39"/>
      <c r="H1604" s="35" t="s">
        <v>621</v>
      </c>
      <c r="I1604" s="39"/>
    </row>
    <row r="1605" spans="2:9" ht="15.75">
      <c r="B1605" s="35" t="s">
        <v>573</v>
      </c>
      <c r="C1605" s="40">
        <v>4</v>
      </c>
      <c r="D1605" s="35" t="s">
        <v>655</v>
      </c>
      <c r="E1605" s="40">
        <v>4</v>
      </c>
      <c r="F1605" s="35" t="s">
        <v>630</v>
      </c>
      <c r="G1605" s="38">
        <v>4</v>
      </c>
      <c r="H1605" s="35" t="s">
        <v>630</v>
      </c>
      <c r="I1605" s="38">
        <v>6</v>
      </c>
    </row>
    <row r="1606" spans="2:9" ht="15.75">
      <c r="B1606" s="35" t="s">
        <v>1160</v>
      </c>
      <c r="C1606" s="54"/>
      <c r="D1606" s="35" t="s">
        <v>1161</v>
      </c>
      <c r="E1606" s="36"/>
      <c r="F1606" s="35" t="s">
        <v>1162</v>
      </c>
      <c r="G1606" s="39"/>
      <c r="H1606" s="35" t="s">
        <v>1162</v>
      </c>
      <c r="I1606" s="38"/>
    </row>
    <row r="1607" spans="2:9" ht="15.75">
      <c r="B1607" s="53" t="s">
        <v>927</v>
      </c>
      <c r="C1607" s="54"/>
      <c r="D1607" s="35" t="s">
        <v>940</v>
      </c>
      <c r="E1607" s="36"/>
      <c r="F1607" s="35" t="s">
        <v>940</v>
      </c>
      <c r="G1607" s="39"/>
      <c r="H1607" s="35" t="s">
        <v>940</v>
      </c>
      <c r="I1607" s="39"/>
    </row>
    <row r="1608" spans="2:9">
      <c r="B1608" s="33"/>
      <c r="C1608" s="34"/>
      <c r="D1608" s="33"/>
      <c r="E1608" s="33"/>
      <c r="F1608" s="33"/>
      <c r="G1608" s="33"/>
      <c r="H1608" s="33"/>
      <c r="I1608" s="33"/>
    </row>
    <row r="1609" spans="2:9" ht="15.75">
      <c r="B1609" s="38">
        <v>6</v>
      </c>
      <c r="C1609" s="34"/>
      <c r="D1609" s="38">
        <v>3</v>
      </c>
      <c r="E1609" s="33"/>
      <c r="F1609" s="38">
        <v>3</v>
      </c>
      <c r="G1609" s="33"/>
      <c r="H1609" s="38">
        <v>3</v>
      </c>
      <c r="I1609" s="33"/>
    </row>
    <row r="1610" spans="2:9" ht="15.75">
      <c r="B1610" s="39"/>
      <c r="C1610" s="33"/>
      <c r="D1610" s="33"/>
      <c r="E1610" s="33"/>
      <c r="F1610" s="33"/>
      <c r="G1610" s="33"/>
      <c r="H1610" s="33"/>
      <c r="I1610" s="33"/>
    </row>
    <row r="1611" spans="2:9" ht="15.75">
      <c r="B1611" s="35" t="s">
        <v>20</v>
      </c>
      <c r="C1611" s="39"/>
      <c r="D1611" s="35" t="s">
        <v>21</v>
      </c>
      <c r="E1611" s="33"/>
      <c r="F1611" s="35" t="s">
        <v>22</v>
      </c>
      <c r="G1611" s="39"/>
      <c r="H1611" s="35" t="s">
        <v>6</v>
      </c>
      <c r="I1611" s="39"/>
    </row>
    <row r="1612" spans="2:9" ht="15.75">
      <c r="B1612" s="35" t="s">
        <v>621</v>
      </c>
      <c r="C1612" s="39"/>
      <c r="D1612" s="35" t="s">
        <v>621</v>
      </c>
      <c r="E1612" s="37"/>
      <c r="F1612" s="35" t="s">
        <v>505</v>
      </c>
      <c r="G1612" s="39"/>
      <c r="H1612" s="35" t="s">
        <v>593</v>
      </c>
      <c r="I1612" s="39"/>
    </row>
    <row r="1613" spans="2:9" ht="15.75">
      <c r="B1613" s="35" t="s">
        <v>630</v>
      </c>
      <c r="C1613" s="38">
        <v>4</v>
      </c>
      <c r="D1613" s="35" t="s">
        <v>509</v>
      </c>
      <c r="E1613" s="38">
        <v>4</v>
      </c>
      <c r="F1613" s="35" t="s">
        <v>509</v>
      </c>
      <c r="G1613" s="38">
        <v>4</v>
      </c>
      <c r="H1613" s="35" t="s">
        <v>603</v>
      </c>
      <c r="I1613" s="38" t="s">
        <v>923</v>
      </c>
    </row>
    <row r="1614" spans="2:9" ht="15.75">
      <c r="B1614" s="35" t="s">
        <v>1162</v>
      </c>
      <c r="C1614" s="39"/>
      <c r="D1614" s="35" t="s">
        <v>1099</v>
      </c>
      <c r="E1614" s="37"/>
      <c r="F1614" s="35" t="s">
        <v>1100</v>
      </c>
      <c r="G1614" s="39"/>
      <c r="H1614" s="35" t="s">
        <v>1163</v>
      </c>
      <c r="I1614" s="39"/>
    </row>
    <row r="1615" spans="2:9" ht="15.75">
      <c r="B1615" s="35" t="s">
        <v>940</v>
      </c>
      <c r="C1615" s="39"/>
      <c r="D1615" s="35" t="s">
        <v>940</v>
      </c>
      <c r="E1615" s="37"/>
      <c r="F1615" s="35" t="s">
        <v>940</v>
      </c>
      <c r="G1615" s="39"/>
      <c r="H1615" s="35" t="s">
        <v>926</v>
      </c>
      <c r="I1615" s="39"/>
    </row>
    <row r="1616" spans="2:9">
      <c r="B1616" s="33"/>
      <c r="C1616" s="33"/>
      <c r="D1616" s="33"/>
      <c r="E1616" s="33"/>
      <c r="F1616" s="33"/>
      <c r="G1616" s="33"/>
      <c r="H1616" s="33"/>
      <c r="I1616" s="33"/>
    </row>
    <row r="1617" spans="2:9">
      <c r="B1617" s="43" t="s">
        <v>100</v>
      </c>
      <c r="D1617" s="44" t="s">
        <v>1164</v>
      </c>
    </row>
    <row r="1618" spans="2:9">
      <c r="B1618" s="45"/>
    </row>
    <row r="1619" spans="2:9">
      <c r="B1619" s="46" t="s">
        <v>101</v>
      </c>
      <c r="D1619" s="47" t="s">
        <v>1165</v>
      </c>
    </row>
    <row r="1621" spans="2:9">
      <c r="B1621" s="42" t="s">
        <v>828</v>
      </c>
    </row>
    <row r="1623" spans="2:9" ht="15.75">
      <c r="B1623" s="35" t="s">
        <v>5</v>
      </c>
      <c r="C1623" s="54"/>
      <c r="D1623" s="35" t="s">
        <v>17</v>
      </c>
      <c r="E1623" s="33"/>
      <c r="F1623" s="35" t="s">
        <v>18</v>
      </c>
      <c r="G1623" s="39"/>
      <c r="H1623" s="35" t="s">
        <v>19</v>
      </c>
      <c r="I1623" s="39"/>
    </row>
    <row r="1624" spans="2:9" ht="15.75">
      <c r="B1624" s="35" t="s">
        <v>451</v>
      </c>
      <c r="C1624" s="54"/>
      <c r="D1624" s="35" t="s">
        <v>752</v>
      </c>
      <c r="E1624" s="36"/>
      <c r="F1624" s="35" t="s">
        <v>712</v>
      </c>
      <c r="G1624" s="39"/>
      <c r="H1624" s="35" t="s">
        <v>622</v>
      </c>
      <c r="I1624" s="39"/>
    </row>
    <row r="1625" spans="2:9" ht="15.75">
      <c r="B1625" s="35" t="s">
        <v>574</v>
      </c>
      <c r="C1625" s="40">
        <v>4</v>
      </c>
      <c r="D1625" s="35" t="s">
        <v>656</v>
      </c>
      <c r="E1625" s="40">
        <v>4</v>
      </c>
      <c r="F1625" s="35" t="s">
        <v>631</v>
      </c>
      <c r="G1625" s="38">
        <v>4</v>
      </c>
      <c r="H1625" s="35" t="s">
        <v>631</v>
      </c>
      <c r="I1625" s="38">
        <v>6</v>
      </c>
    </row>
    <row r="1626" spans="2:9" ht="15.75">
      <c r="B1626" s="35" t="s">
        <v>1166</v>
      </c>
      <c r="C1626" s="54"/>
      <c r="D1626" s="35" t="s">
        <v>1167</v>
      </c>
      <c r="E1626" s="36"/>
      <c r="F1626" s="35" t="s">
        <v>1168</v>
      </c>
      <c r="G1626" s="39"/>
      <c r="H1626" s="35" t="s">
        <v>1168</v>
      </c>
      <c r="I1626" s="38"/>
    </row>
    <row r="1627" spans="2:9" ht="15.75">
      <c r="B1627" s="53" t="s">
        <v>927</v>
      </c>
      <c r="C1627" s="54"/>
      <c r="D1627" s="35" t="s">
        <v>940</v>
      </c>
      <c r="E1627" s="36"/>
      <c r="F1627" s="35" t="s">
        <v>940</v>
      </c>
      <c r="G1627" s="39"/>
      <c r="H1627" s="35" t="s">
        <v>940</v>
      </c>
      <c r="I1627" s="39"/>
    </row>
    <row r="1628" spans="2:9">
      <c r="B1628" s="33"/>
      <c r="C1628" s="34"/>
      <c r="D1628" s="33"/>
      <c r="E1628" s="33"/>
      <c r="F1628" s="33"/>
      <c r="G1628" s="33"/>
      <c r="H1628" s="33"/>
      <c r="I1628" s="33"/>
    </row>
    <row r="1629" spans="2:9" ht="15.75">
      <c r="B1629" s="38">
        <v>6</v>
      </c>
      <c r="C1629" s="34"/>
      <c r="D1629" s="38">
        <v>3</v>
      </c>
      <c r="E1629" s="33"/>
      <c r="F1629" s="38">
        <v>3</v>
      </c>
      <c r="G1629" s="33"/>
      <c r="H1629" s="38">
        <v>3</v>
      </c>
      <c r="I1629" s="33"/>
    </row>
    <row r="1630" spans="2:9" ht="15.75">
      <c r="B1630" s="39"/>
      <c r="C1630" s="33"/>
      <c r="D1630" s="33"/>
      <c r="E1630" s="33"/>
      <c r="F1630" s="33"/>
      <c r="G1630" s="33"/>
      <c r="H1630" s="33"/>
      <c r="I1630" s="33"/>
    </row>
    <row r="1631" spans="2:9" ht="15.75">
      <c r="B1631" s="35" t="s">
        <v>20</v>
      </c>
      <c r="C1631" s="39"/>
      <c r="D1631" s="35" t="s">
        <v>21</v>
      </c>
      <c r="E1631" s="33"/>
      <c r="F1631" s="35" t="s">
        <v>22</v>
      </c>
      <c r="G1631" s="39"/>
      <c r="H1631" s="35" t="s">
        <v>23</v>
      </c>
      <c r="I1631" s="39"/>
    </row>
    <row r="1632" spans="2:9" ht="15.75">
      <c r="B1632" s="35" t="s">
        <v>622</v>
      </c>
      <c r="C1632" s="39"/>
      <c r="D1632" s="35" t="s">
        <v>622</v>
      </c>
      <c r="E1632" s="37"/>
      <c r="F1632" s="35" t="s">
        <v>506</v>
      </c>
      <c r="G1632" s="39"/>
      <c r="H1632" s="35" t="s">
        <v>506</v>
      </c>
      <c r="I1632" s="39"/>
    </row>
    <row r="1633" spans="2:9" ht="15.75">
      <c r="B1633" s="35" t="s">
        <v>631</v>
      </c>
      <c r="C1633" s="38">
        <v>4</v>
      </c>
      <c r="D1633" s="35" t="s">
        <v>510</v>
      </c>
      <c r="E1633" s="38">
        <v>4</v>
      </c>
      <c r="F1633" s="35" t="s">
        <v>510</v>
      </c>
      <c r="G1633" s="38">
        <v>4</v>
      </c>
      <c r="H1633" s="35" t="s">
        <v>510</v>
      </c>
      <c r="I1633" s="38">
        <v>6</v>
      </c>
    </row>
    <row r="1634" spans="2:9" ht="15.75">
      <c r="B1634" s="35" t="s">
        <v>1168</v>
      </c>
      <c r="C1634" s="39"/>
      <c r="D1634" s="35" t="s">
        <v>1106</v>
      </c>
      <c r="E1634" s="37"/>
      <c r="F1634" s="35" t="s">
        <v>1107</v>
      </c>
      <c r="G1634" s="39"/>
      <c r="H1634" s="35" t="s">
        <v>1107</v>
      </c>
      <c r="I1634" s="39"/>
    </row>
    <row r="1635" spans="2:9" ht="15.75">
      <c r="B1635" s="35" t="s">
        <v>940</v>
      </c>
      <c r="C1635" s="39"/>
      <c r="D1635" s="35" t="s">
        <v>940</v>
      </c>
      <c r="E1635" s="37"/>
      <c r="F1635" s="35" t="s">
        <v>940</v>
      </c>
      <c r="G1635" s="39"/>
      <c r="H1635" s="35" t="s">
        <v>940</v>
      </c>
      <c r="I1635" s="39"/>
    </row>
    <row r="1636" spans="2:9">
      <c r="B1636" s="33"/>
      <c r="C1636" s="33"/>
      <c r="D1636" s="33"/>
      <c r="E1636" s="33"/>
      <c r="F1636" s="33"/>
      <c r="G1636" s="33"/>
      <c r="H1636" s="33"/>
      <c r="I1636" s="33"/>
    </row>
    <row r="1637" spans="2:9" ht="15.75">
      <c r="B1637" s="38">
        <v>6</v>
      </c>
      <c r="C1637" s="33"/>
      <c r="D1637" s="38">
        <v>3</v>
      </c>
      <c r="E1637" s="33"/>
      <c r="F1637" s="38">
        <v>3</v>
      </c>
      <c r="G1637" s="33"/>
      <c r="H1637" s="38">
        <v>3</v>
      </c>
      <c r="I1637" s="33"/>
    </row>
    <row r="1638" spans="2:9" ht="15.75">
      <c r="B1638" s="39"/>
      <c r="C1638" s="33"/>
      <c r="D1638" s="33"/>
      <c r="E1638" s="33"/>
      <c r="F1638" s="33"/>
      <c r="G1638" s="33"/>
      <c r="H1638" s="33"/>
      <c r="I1638" s="33"/>
    </row>
    <row r="1639" spans="2:9" ht="15.75">
      <c r="B1639" s="35" t="s">
        <v>6</v>
      </c>
      <c r="C1639" s="39"/>
      <c r="D1639" s="35" t="s">
        <v>923</v>
      </c>
      <c r="E1639" s="33"/>
      <c r="F1639" s="35" t="s">
        <v>923</v>
      </c>
      <c r="G1639" s="39"/>
      <c r="H1639" s="35" t="s">
        <v>923</v>
      </c>
    </row>
    <row r="1640" spans="2:9" ht="15.75">
      <c r="B1640" s="35" t="s">
        <v>594</v>
      </c>
      <c r="C1640" s="39"/>
      <c r="D1640" s="35" t="s">
        <v>923</v>
      </c>
      <c r="E1640" s="37"/>
      <c r="F1640" s="35" t="s">
        <v>923</v>
      </c>
      <c r="G1640" s="39"/>
      <c r="H1640" s="35" t="s">
        <v>923</v>
      </c>
    </row>
    <row r="1641" spans="2:9" ht="15.75">
      <c r="B1641" s="35" t="s">
        <v>604</v>
      </c>
      <c r="C1641" s="38" t="s">
        <v>923</v>
      </c>
      <c r="D1641" s="35" t="s">
        <v>923</v>
      </c>
      <c r="E1641" s="38" t="s">
        <v>923</v>
      </c>
      <c r="F1641" s="35" t="s">
        <v>923</v>
      </c>
      <c r="G1641" s="38" t="s">
        <v>923</v>
      </c>
      <c r="H1641" s="35" t="s">
        <v>923</v>
      </c>
    </row>
    <row r="1642" spans="2:9" ht="15.75">
      <c r="B1642" s="35" t="s">
        <v>1169</v>
      </c>
      <c r="C1642" s="39"/>
      <c r="D1642" s="35" t="s">
        <v>923</v>
      </c>
      <c r="E1642" s="37"/>
      <c r="F1642" s="35" t="s">
        <v>923</v>
      </c>
      <c r="G1642" s="39"/>
      <c r="H1642" s="35" t="s">
        <v>923</v>
      </c>
    </row>
    <row r="1643" spans="2:9" ht="15.75">
      <c r="B1643" s="35" t="s">
        <v>926</v>
      </c>
      <c r="C1643" s="39"/>
      <c r="D1643" s="35" t="s">
        <v>923</v>
      </c>
      <c r="E1643" s="37"/>
      <c r="F1643" s="35" t="s">
        <v>923</v>
      </c>
      <c r="G1643" s="39"/>
      <c r="H1643" s="35" t="s">
        <v>923</v>
      </c>
    </row>
    <row r="1645" spans="2:9">
      <c r="B1645" s="43" t="s">
        <v>100</v>
      </c>
      <c r="D1645" s="44" t="s">
        <v>1170</v>
      </c>
    </row>
    <row r="1646" spans="2:9">
      <c r="B1646" s="45"/>
    </row>
    <row r="1647" spans="2:9">
      <c r="B1647" s="46" t="s">
        <v>101</v>
      </c>
      <c r="D1647" s="47" t="s">
        <v>1171</v>
      </c>
    </row>
    <row r="1649" spans="2:9">
      <c r="B1649" s="42" t="s">
        <v>829</v>
      </c>
    </row>
    <row r="1651" spans="2:9" ht="15.75">
      <c r="B1651" s="35" t="s">
        <v>5</v>
      </c>
      <c r="C1651" s="54"/>
      <c r="D1651" s="35" t="s">
        <v>17</v>
      </c>
      <c r="E1651" s="33"/>
      <c r="F1651" s="35" t="s">
        <v>18</v>
      </c>
      <c r="G1651" s="39"/>
      <c r="H1651" s="35" t="s">
        <v>19</v>
      </c>
      <c r="I1651" s="39"/>
    </row>
    <row r="1652" spans="2:9" ht="15.75">
      <c r="B1652" s="35" t="s">
        <v>452</v>
      </c>
      <c r="C1652" s="54"/>
      <c r="D1652" s="35" t="s">
        <v>753</v>
      </c>
      <c r="E1652" s="36"/>
      <c r="F1652" s="35" t="s">
        <v>713</v>
      </c>
      <c r="G1652" s="39"/>
      <c r="H1652" s="35" t="s">
        <v>623</v>
      </c>
      <c r="I1652" s="39"/>
    </row>
    <row r="1653" spans="2:9" ht="15.75">
      <c r="B1653" s="35" t="s">
        <v>575</v>
      </c>
      <c r="C1653" s="40">
        <v>4</v>
      </c>
      <c r="D1653" s="35" t="s">
        <v>657</v>
      </c>
      <c r="E1653" s="40">
        <v>4</v>
      </c>
      <c r="F1653" s="35" t="s">
        <v>632</v>
      </c>
      <c r="G1653" s="38">
        <v>4</v>
      </c>
      <c r="H1653" s="35" t="s">
        <v>632</v>
      </c>
      <c r="I1653" s="38">
        <v>6</v>
      </c>
    </row>
    <row r="1654" spans="2:9" ht="15.75">
      <c r="B1654" s="35" t="s">
        <v>1172</v>
      </c>
      <c r="C1654" s="54"/>
      <c r="D1654" s="35" t="s">
        <v>1173</v>
      </c>
      <c r="E1654" s="36"/>
      <c r="F1654" s="35" t="s">
        <v>1174</v>
      </c>
      <c r="G1654" s="39"/>
      <c r="H1654" s="35" t="s">
        <v>1174</v>
      </c>
      <c r="I1654" s="38"/>
    </row>
    <row r="1655" spans="2:9" ht="15.75">
      <c r="B1655" s="53" t="s">
        <v>927</v>
      </c>
      <c r="C1655" s="54"/>
      <c r="D1655" s="35" t="s">
        <v>940</v>
      </c>
      <c r="E1655" s="36"/>
      <c r="F1655" s="35" t="s">
        <v>940</v>
      </c>
      <c r="G1655" s="39"/>
      <c r="H1655" s="35" t="s">
        <v>940</v>
      </c>
      <c r="I1655" s="39"/>
    </row>
    <row r="1656" spans="2:9">
      <c r="B1656" s="33"/>
      <c r="C1656" s="34"/>
      <c r="D1656" s="33"/>
      <c r="E1656" s="33"/>
      <c r="F1656" s="33"/>
      <c r="G1656" s="33"/>
      <c r="H1656" s="33"/>
      <c r="I1656" s="33"/>
    </row>
    <row r="1657" spans="2:9" ht="15.75">
      <c r="B1657" s="38">
        <v>6</v>
      </c>
      <c r="C1657" s="34"/>
      <c r="D1657" s="38">
        <v>3</v>
      </c>
      <c r="E1657" s="33"/>
      <c r="F1657" s="38">
        <v>3</v>
      </c>
      <c r="G1657" s="33"/>
      <c r="H1657" s="38">
        <v>3</v>
      </c>
      <c r="I1657" s="33"/>
    </row>
    <row r="1658" spans="2:9" ht="15.75">
      <c r="B1658" s="39"/>
      <c r="C1658" s="33"/>
      <c r="D1658" s="33"/>
      <c r="E1658" s="33"/>
      <c r="F1658" s="33"/>
      <c r="G1658" s="33"/>
      <c r="H1658" s="33"/>
      <c r="I1658" s="33"/>
    </row>
    <row r="1659" spans="2:9" ht="15.75">
      <c r="B1659" s="35" t="s">
        <v>20</v>
      </c>
      <c r="C1659" s="39"/>
      <c r="D1659" s="35" t="s">
        <v>22</v>
      </c>
      <c r="E1659" s="33"/>
      <c r="F1659" s="35" t="s">
        <v>22</v>
      </c>
      <c r="G1659" s="39"/>
      <c r="H1659" s="35" t="s">
        <v>23</v>
      </c>
      <c r="I1659" s="39"/>
    </row>
    <row r="1660" spans="2:9" ht="15.75">
      <c r="B1660" s="35" t="s">
        <v>623</v>
      </c>
      <c r="C1660" s="39"/>
      <c r="D1660" s="35" t="s">
        <v>623</v>
      </c>
      <c r="E1660" s="37"/>
      <c r="F1660" s="35" t="s">
        <v>507</v>
      </c>
      <c r="G1660" s="39"/>
      <c r="H1660" s="35" t="s">
        <v>507</v>
      </c>
      <c r="I1660" s="39"/>
    </row>
    <row r="1661" spans="2:9" ht="15.75">
      <c r="B1661" s="35" t="s">
        <v>632</v>
      </c>
      <c r="C1661" s="38">
        <v>4</v>
      </c>
      <c r="D1661" s="35" t="s">
        <v>511</v>
      </c>
      <c r="E1661" s="38">
        <v>4</v>
      </c>
      <c r="F1661" s="35" t="s">
        <v>511</v>
      </c>
      <c r="G1661" s="38">
        <v>4</v>
      </c>
      <c r="H1661" s="35" t="s">
        <v>511</v>
      </c>
      <c r="I1661" s="38">
        <v>6</v>
      </c>
    </row>
    <row r="1662" spans="2:9" ht="15.75">
      <c r="B1662" s="35" t="s">
        <v>1174</v>
      </c>
      <c r="C1662" s="39"/>
      <c r="D1662" s="35" t="s">
        <v>1113</v>
      </c>
      <c r="E1662" s="37"/>
      <c r="F1662" s="35" t="s">
        <v>1114</v>
      </c>
      <c r="G1662" s="39"/>
      <c r="H1662" s="35" t="s">
        <v>1114</v>
      </c>
      <c r="I1662" s="39"/>
    </row>
    <row r="1663" spans="2:9" ht="15.75">
      <c r="B1663" s="35" t="s">
        <v>940</v>
      </c>
      <c r="C1663" s="39"/>
      <c r="D1663" s="35" t="s">
        <v>940</v>
      </c>
      <c r="E1663" s="37"/>
      <c r="F1663" s="35" t="s">
        <v>940</v>
      </c>
      <c r="G1663" s="39"/>
      <c r="H1663" s="35" t="s">
        <v>940</v>
      </c>
      <c r="I1663" s="39"/>
    </row>
    <row r="1664" spans="2:9">
      <c r="B1664" s="33"/>
      <c r="C1664" s="33"/>
      <c r="D1664" s="33"/>
      <c r="E1664" s="33"/>
      <c r="F1664" s="33"/>
      <c r="G1664" s="33"/>
      <c r="H1664" s="33"/>
      <c r="I1664" s="33"/>
    </row>
    <row r="1665" spans="2:9" ht="15.75">
      <c r="B1665" s="38">
        <v>6</v>
      </c>
      <c r="C1665" s="33"/>
      <c r="D1665" s="38">
        <v>3</v>
      </c>
      <c r="E1665" s="33"/>
      <c r="F1665" s="38">
        <v>3</v>
      </c>
      <c r="G1665" s="33"/>
      <c r="H1665" s="38">
        <v>3</v>
      </c>
      <c r="I1665" s="33"/>
    </row>
    <row r="1666" spans="2:9" ht="15.75">
      <c r="B1666" s="39"/>
      <c r="C1666" s="33"/>
      <c r="D1666" s="33"/>
      <c r="E1666" s="33"/>
      <c r="F1666" s="33"/>
      <c r="G1666" s="33"/>
      <c r="H1666" s="33"/>
      <c r="I1666" s="33"/>
    </row>
    <row r="1667" spans="2:9" ht="15.75">
      <c r="B1667" s="35" t="s">
        <v>24</v>
      </c>
      <c r="C1667" s="39"/>
      <c r="D1667" s="35" t="s">
        <v>6</v>
      </c>
      <c r="E1667" s="33"/>
      <c r="F1667" s="35" t="s">
        <v>923</v>
      </c>
      <c r="G1667" s="39"/>
      <c r="H1667" s="35" t="s">
        <v>923</v>
      </c>
    </row>
    <row r="1668" spans="2:9" ht="15.75">
      <c r="B1668" s="35" t="s">
        <v>521</v>
      </c>
      <c r="C1668" s="39"/>
      <c r="D1668" s="35" t="s">
        <v>595</v>
      </c>
      <c r="E1668" s="37"/>
      <c r="F1668" s="35" t="s">
        <v>923</v>
      </c>
      <c r="G1668" s="39"/>
      <c r="H1668" s="35" t="s">
        <v>923</v>
      </c>
    </row>
    <row r="1669" spans="2:9" ht="15.75">
      <c r="B1669" s="35" t="s">
        <v>511</v>
      </c>
      <c r="C1669" s="38">
        <v>4</v>
      </c>
      <c r="D1669" s="35" t="s">
        <v>605</v>
      </c>
      <c r="E1669" s="38" t="s">
        <v>923</v>
      </c>
      <c r="F1669" s="35" t="s">
        <v>923</v>
      </c>
      <c r="G1669" s="38" t="s">
        <v>923</v>
      </c>
      <c r="H1669" s="35" t="s">
        <v>923</v>
      </c>
    </row>
    <row r="1670" spans="2:9" ht="15.75">
      <c r="B1670" s="35" t="s">
        <v>1114</v>
      </c>
      <c r="C1670" s="39"/>
      <c r="D1670" s="35" t="s">
        <v>1175</v>
      </c>
      <c r="E1670" s="37"/>
      <c r="F1670" s="35" t="s">
        <v>923</v>
      </c>
      <c r="G1670" s="39"/>
      <c r="H1670" s="35" t="s">
        <v>923</v>
      </c>
    </row>
    <row r="1671" spans="2:9" ht="15.75">
      <c r="B1671" s="35" t="s">
        <v>940</v>
      </c>
      <c r="C1671" s="39"/>
      <c r="D1671" s="35" t="s">
        <v>926</v>
      </c>
      <c r="E1671" s="37"/>
      <c r="F1671" s="35" t="s">
        <v>923</v>
      </c>
      <c r="G1671" s="39"/>
      <c r="H1671" s="35" t="s">
        <v>923</v>
      </c>
    </row>
    <row r="1673" spans="2:9">
      <c r="B1673" s="43" t="s">
        <v>100</v>
      </c>
      <c r="D1673" s="44" t="s">
        <v>1176</v>
      </c>
    </row>
    <row r="1674" spans="2:9">
      <c r="B1674" s="45"/>
    </row>
    <row r="1675" spans="2:9">
      <c r="B1675" s="46" t="s">
        <v>101</v>
      </c>
      <c r="D1675" s="47" t="s">
        <v>1177</v>
      </c>
    </row>
    <row r="1676" spans="2:9">
      <c r="B1676" s="50"/>
      <c r="C1676" s="49"/>
      <c r="D1676" s="49"/>
    </row>
    <row r="1677" spans="2:9">
      <c r="B1677" s="42" t="s">
        <v>830</v>
      </c>
    </row>
    <row r="1679" spans="2:9" ht="15.75">
      <c r="B1679" s="35" t="s">
        <v>5</v>
      </c>
      <c r="C1679" s="54"/>
      <c r="D1679" s="35" t="s">
        <v>17</v>
      </c>
      <c r="E1679" s="33"/>
      <c r="F1679" s="35" t="s">
        <v>18</v>
      </c>
      <c r="G1679" s="39"/>
      <c r="H1679" s="35" t="s">
        <v>19</v>
      </c>
      <c r="I1679" s="39"/>
    </row>
    <row r="1680" spans="2:9" ht="15.75">
      <c r="B1680" s="35" t="s">
        <v>453</v>
      </c>
      <c r="C1680" s="54"/>
      <c r="D1680" s="35" t="s">
        <v>754</v>
      </c>
      <c r="E1680" s="36"/>
      <c r="F1680" s="35" t="s">
        <v>714</v>
      </c>
      <c r="G1680" s="39"/>
      <c r="H1680" s="35" t="s">
        <v>624</v>
      </c>
      <c r="I1680" s="39"/>
    </row>
    <row r="1681" spans="2:9" ht="15.75">
      <c r="B1681" s="35" t="s">
        <v>576</v>
      </c>
      <c r="C1681" s="40">
        <v>4</v>
      </c>
      <c r="D1681" s="35" t="s">
        <v>658</v>
      </c>
      <c r="E1681" s="40">
        <v>4</v>
      </c>
      <c r="F1681" s="35" t="s">
        <v>633</v>
      </c>
      <c r="G1681" s="38">
        <v>4</v>
      </c>
      <c r="H1681" s="35" t="s">
        <v>633</v>
      </c>
      <c r="I1681" s="38">
        <v>6</v>
      </c>
    </row>
    <row r="1682" spans="2:9" ht="15.75">
      <c r="B1682" s="35" t="s">
        <v>1178</v>
      </c>
      <c r="C1682" s="54"/>
      <c r="D1682" s="35" t="s">
        <v>1179</v>
      </c>
      <c r="E1682" s="36"/>
      <c r="F1682" s="35" t="s">
        <v>1180</v>
      </c>
      <c r="G1682" s="39"/>
      <c r="H1682" s="35" t="s">
        <v>1180</v>
      </c>
      <c r="I1682" s="38"/>
    </row>
    <row r="1683" spans="2:9" ht="15.75">
      <c r="B1683" s="53" t="s">
        <v>927</v>
      </c>
      <c r="C1683" s="54"/>
      <c r="D1683" s="35" t="s">
        <v>940</v>
      </c>
      <c r="E1683" s="36"/>
      <c r="F1683" s="35" t="s">
        <v>940</v>
      </c>
      <c r="G1683" s="39"/>
      <c r="H1683" s="35" t="s">
        <v>940</v>
      </c>
      <c r="I1683" s="39"/>
    </row>
    <row r="1684" spans="2:9">
      <c r="B1684" s="33"/>
      <c r="C1684" s="34"/>
      <c r="D1684" s="33"/>
      <c r="E1684" s="33"/>
      <c r="F1684" s="33"/>
      <c r="G1684" s="33"/>
      <c r="H1684" s="33"/>
      <c r="I1684" s="33"/>
    </row>
    <row r="1685" spans="2:9" ht="15.75">
      <c r="B1685" s="38">
        <v>6</v>
      </c>
      <c r="C1685" s="34"/>
      <c r="D1685" s="38">
        <v>3</v>
      </c>
      <c r="E1685" s="33"/>
      <c r="F1685" s="38">
        <v>3</v>
      </c>
      <c r="G1685" s="33"/>
      <c r="H1685" s="38">
        <v>3</v>
      </c>
      <c r="I1685" s="33"/>
    </row>
    <row r="1686" spans="2:9" ht="15.75">
      <c r="B1686" s="39"/>
      <c r="C1686" s="33"/>
      <c r="D1686" s="33"/>
      <c r="E1686" s="33"/>
      <c r="F1686" s="33"/>
      <c r="G1686" s="33"/>
      <c r="H1686" s="33"/>
      <c r="I1686" s="33"/>
    </row>
    <row r="1687" spans="2:9" ht="15.75">
      <c r="B1687" s="35" t="s">
        <v>20</v>
      </c>
      <c r="C1687" s="39"/>
      <c r="D1687" s="35" t="s">
        <v>23</v>
      </c>
      <c r="E1687" s="33"/>
      <c r="F1687" s="35" t="s">
        <v>22</v>
      </c>
      <c r="G1687" s="39"/>
      <c r="H1687" s="35" t="s">
        <v>23</v>
      </c>
      <c r="I1687" s="39"/>
    </row>
    <row r="1688" spans="2:9" ht="15.75">
      <c r="B1688" s="35" t="s">
        <v>624</v>
      </c>
      <c r="C1688" s="39"/>
      <c r="D1688" s="35" t="s">
        <v>624</v>
      </c>
      <c r="E1688" s="37"/>
      <c r="F1688" s="35" t="s">
        <v>508</v>
      </c>
      <c r="G1688" s="39"/>
      <c r="H1688" s="35" t="s">
        <v>508</v>
      </c>
      <c r="I1688" s="39"/>
    </row>
    <row r="1689" spans="2:9" ht="15.75">
      <c r="B1689" s="35" t="s">
        <v>633</v>
      </c>
      <c r="C1689" s="38">
        <v>4</v>
      </c>
      <c r="D1689" s="35" t="s">
        <v>512</v>
      </c>
      <c r="E1689" s="38">
        <v>4</v>
      </c>
      <c r="F1689" s="35" t="s">
        <v>512</v>
      </c>
      <c r="G1689" s="38">
        <v>4</v>
      </c>
      <c r="H1689" s="35" t="s">
        <v>512</v>
      </c>
      <c r="I1689" s="38">
        <v>6</v>
      </c>
    </row>
    <row r="1690" spans="2:9" ht="15.75">
      <c r="B1690" s="35" t="s">
        <v>1180</v>
      </c>
      <c r="C1690" s="39"/>
      <c r="D1690" s="35" t="s">
        <v>1120</v>
      </c>
      <c r="E1690" s="37"/>
      <c r="F1690" s="35" t="s">
        <v>1121</v>
      </c>
      <c r="G1690" s="39"/>
      <c r="H1690" s="35" t="s">
        <v>1121</v>
      </c>
      <c r="I1690" s="39"/>
    </row>
    <row r="1691" spans="2:9" ht="15.75">
      <c r="B1691" s="35" t="s">
        <v>940</v>
      </c>
      <c r="C1691" s="39"/>
      <c r="D1691" s="35" t="s">
        <v>940</v>
      </c>
      <c r="E1691" s="37"/>
      <c r="F1691" s="35" t="s">
        <v>940</v>
      </c>
      <c r="G1691" s="39"/>
      <c r="H1691" s="35" t="s">
        <v>940</v>
      </c>
      <c r="I1691" s="39"/>
    </row>
    <row r="1692" spans="2:9">
      <c r="B1692" s="33"/>
      <c r="C1692" s="33"/>
      <c r="D1692" s="33"/>
      <c r="E1692" s="33"/>
      <c r="F1692" s="33"/>
      <c r="G1692" s="33"/>
      <c r="H1692" s="33"/>
      <c r="I1692" s="33"/>
    </row>
    <row r="1693" spans="2:9" ht="15.75">
      <c r="B1693" s="38">
        <v>6</v>
      </c>
      <c r="C1693" s="33"/>
      <c r="D1693" s="38">
        <v>3</v>
      </c>
      <c r="E1693" s="33"/>
      <c r="F1693" s="38">
        <v>3</v>
      </c>
      <c r="G1693" s="33"/>
      <c r="H1693" s="38">
        <v>3</v>
      </c>
      <c r="I1693" s="33"/>
    </row>
    <row r="1694" spans="2:9" ht="15.75">
      <c r="B1694" s="39"/>
      <c r="C1694" s="33"/>
      <c r="D1694" s="33"/>
      <c r="E1694" s="33"/>
      <c r="F1694" s="33"/>
      <c r="G1694" s="33"/>
      <c r="H1694" s="33"/>
      <c r="I1694" s="33"/>
    </row>
    <row r="1695" spans="2:9" ht="15.75">
      <c r="B1695" s="35" t="s">
        <v>24</v>
      </c>
      <c r="C1695" s="39"/>
      <c r="D1695" s="35" t="s">
        <v>25</v>
      </c>
      <c r="E1695" s="33"/>
      <c r="F1695" s="35" t="s">
        <v>6</v>
      </c>
      <c r="G1695" s="39"/>
      <c r="H1695" s="35" t="s">
        <v>923</v>
      </c>
    </row>
    <row r="1696" spans="2:9" ht="15.75">
      <c r="B1696" s="35" t="s">
        <v>522</v>
      </c>
      <c r="C1696" s="39"/>
      <c r="D1696" s="35" t="s">
        <v>508</v>
      </c>
      <c r="E1696" s="37"/>
      <c r="F1696" s="35" t="s">
        <v>596</v>
      </c>
      <c r="G1696" s="39"/>
      <c r="H1696" s="35" t="s">
        <v>923</v>
      </c>
    </row>
    <row r="1697" spans="2:9" ht="15.75">
      <c r="B1697" s="35" t="s">
        <v>512</v>
      </c>
      <c r="C1697" s="38">
        <v>4</v>
      </c>
      <c r="D1697" s="35" t="s">
        <v>512</v>
      </c>
      <c r="E1697" s="38">
        <v>4</v>
      </c>
      <c r="F1697" s="35" t="s">
        <v>606</v>
      </c>
      <c r="G1697" s="38" t="s">
        <v>923</v>
      </c>
      <c r="H1697" s="35" t="s">
        <v>923</v>
      </c>
    </row>
    <row r="1698" spans="2:9" ht="15.75">
      <c r="B1698" s="35" t="s">
        <v>1121</v>
      </c>
      <c r="C1698" s="39"/>
      <c r="D1698" s="35" t="s">
        <v>1121</v>
      </c>
      <c r="E1698" s="37"/>
      <c r="F1698" s="35" t="s">
        <v>1181</v>
      </c>
      <c r="G1698" s="39"/>
      <c r="H1698" s="35" t="s">
        <v>923</v>
      </c>
    </row>
    <row r="1699" spans="2:9" ht="15.75">
      <c r="B1699" s="35" t="s">
        <v>940</v>
      </c>
      <c r="C1699" s="39"/>
      <c r="D1699" s="35" t="s">
        <v>940</v>
      </c>
      <c r="E1699" s="37"/>
      <c r="F1699" s="35" t="s">
        <v>926</v>
      </c>
      <c r="G1699" s="39"/>
      <c r="H1699" s="35" t="s">
        <v>923</v>
      </c>
    </row>
    <row r="1701" spans="2:9">
      <c r="B1701" s="43" t="s">
        <v>100</v>
      </c>
      <c r="D1701" s="44" t="s">
        <v>1182</v>
      </c>
    </row>
    <row r="1702" spans="2:9">
      <c r="B1702" s="45"/>
    </row>
    <row r="1703" spans="2:9">
      <c r="B1703" s="46" t="s">
        <v>101</v>
      </c>
      <c r="D1703" s="47" t="s">
        <v>1183</v>
      </c>
    </row>
    <row r="1704" spans="2:9">
      <c r="B1704" s="50"/>
      <c r="C1704" s="49"/>
      <c r="D1704" s="49"/>
    </row>
    <row r="1705" spans="2:9">
      <c r="B1705" s="42" t="s">
        <v>831</v>
      </c>
    </row>
    <row r="1707" spans="2:9" ht="15.75">
      <c r="B1707" s="35" t="s">
        <v>5</v>
      </c>
      <c r="C1707" s="54"/>
      <c r="D1707" s="35" t="s">
        <v>17</v>
      </c>
      <c r="E1707" s="33"/>
      <c r="F1707" s="35" t="s">
        <v>18</v>
      </c>
      <c r="G1707" s="39"/>
      <c r="H1707" s="35" t="s">
        <v>19</v>
      </c>
      <c r="I1707" s="39"/>
    </row>
    <row r="1708" spans="2:9" ht="15.75">
      <c r="B1708" s="35" t="s">
        <v>454</v>
      </c>
      <c r="C1708" s="54"/>
      <c r="D1708" s="35" t="s">
        <v>755</v>
      </c>
      <c r="E1708" s="36"/>
      <c r="F1708" s="35" t="s">
        <v>715</v>
      </c>
      <c r="G1708" s="39"/>
      <c r="H1708" s="35" t="s">
        <v>625</v>
      </c>
      <c r="I1708" s="39"/>
    </row>
    <row r="1709" spans="2:9" ht="15.75">
      <c r="B1709" s="35" t="s">
        <v>577</v>
      </c>
      <c r="C1709" s="40">
        <v>4</v>
      </c>
      <c r="D1709" s="35" t="s">
        <v>649</v>
      </c>
      <c r="E1709" s="40">
        <v>4</v>
      </c>
      <c r="F1709" s="35" t="s">
        <v>259</v>
      </c>
      <c r="G1709" s="38">
        <v>4</v>
      </c>
      <c r="H1709" s="35" t="s">
        <v>259</v>
      </c>
      <c r="I1709" s="38">
        <v>6</v>
      </c>
    </row>
    <row r="1710" spans="2:9" ht="15.75">
      <c r="B1710" s="35" t="s">
        <v>1184</v>
      </c>
      <c r="C1710" s="54"/>
      <c r="D1710" s="35" t="s">
        <v>1185</v>
      </c>
      <c r="E1710" s="36"/>
      <c r="F1710" s="35" t="s">
        <v>1186</v>
      </c>
      <c r="G1710" s="39"/>
      <c r="H1710" s="35" t="s">
        <v>1186</v>
      </c>
      <c r="I1710" s="38"/>
    </row>
    <row r="1711" spans="2:9" ht="15.75">
      <c r="B1711" s="53" t="s">
        <v>927</v>
      </c>
      <c r="C1711" s="54"/>
      <c r="D1711" s="35" t="s">
        <v>940</v>
      </c>
      <c r="E1711" s="36"/>
      <c r="F1711" s="35" t="s">
        <v>940</v>
      </c>
      <c r="G1711" s="39"/>
      <c r="H1711" s="35" t="s">
        <v>940</v>
      </c>
      <c r="I1711" s="39"/>
    </row>
    <row r="1712" spans="2:9">
      <c r="B1712" s="33"/>
      <c r="C1712" s="34"/>
      <c r="D1712" s="33"/>
      <c r="E1712" s="33"/>
      <c r="F1712" s="33"/>
      <c r="G1712" s="33"/>
      <c r="H1712" s="33"/>
      <c r="I1712" s="33"/>
    </row>
    <row r="1713" spans="2:9" ht="15.75">
      <c r="B1713" s="38">
        <v>6</v>
      </c>
      <c r="C1713" s="34"/>
      <c r="D1713" s="38">
        <v>3</v>
      </c>
      <c r="E1713" s="33"/>
      <c r="F1713" s="38">
        <v>3</v>
      </c>
      <c r="G1713" s="33"/>
      <c r="H1713" s="38">
        <v>3</v>
      </c>
      <c r="I1713" s="33"/>
    </row>
    <row r="1714" spans="2:9" ht="15.75">
      <c r="B1714" s="39"/>
      <c r="C1714" s="33"/>
      <c r="D1714" s="33"/>
      <c r="E1714" s="33"/>
      <c r="F1714" s="33"/>
      <c r="G1714" s="33"/>
      <c r="H1714" s="33"/>
      <c r="I1714" s="33"/>
    </row>
    <row r="1715" spans="2:9" ht="15.75">
      <c r="B1715" s="35" t="s">
        <v>20</v>
      </c>
      <c r="C1715" s="39"/>
      <c r="D1715" s="35" t="s">
        <v>24</v>
      </c>
      <c r="E1715" s="33"/>
      <c r="F1715" s="35" t="s">
        <v>22</v>
      </c>
      <c r="G1715" s="39"/>
      <c r="H1715" s="35" t="s">
        <v>23</v>
      </c>
      <c r="I1715" s="39"/>
    </row>
    <row r="1716" spans="2:9" ht="15.75">
      <c r="B1716" s="35" t="s">
        <v>625</v>
      </c>
      <c r="C1716" s="39"/>
      <c r="D1716" s="35" t="s">
        <v>625</v>
      </c>
      <c r="E1716" s="37"/>
      <c r="F1716" s="35" t="s">
        <v>241</v>
      </c>
      <c r="G1716" s="39"/>
      <c r="H1716" s="35" t="s">
        <v>241</v>
      </c>
      <c r="I1716" s="39"/>
    </row>
    <row r="1717" spans="2:9" ht="15.75">
      <c r="B1717" s="35" t="s">
        <v>259</v>
      </c>
      <c r="C1717" s="38">
        <v>4</v>
      </c>
      <c r="D1717" s="35" t="s">
        <v>249</v>
      </c>
      <c r="E1717" s="38">
        <v>4</v>
      </c>
      <c r="F1717" s="35" t="s">
        <v>249</v>
      </c>
      <c r="G1717" s="38">
        <v>4</v>
      </c>
      <c r="H1717" s="35" t="s">
        <v>249</v>
      </c>
      <c r="I1717" s="38">
        <v>6</v>
      </c>
    </row>
    <row r="1718" spans="2:9" ht="15.75">
      <c r="B1718" s="35" t="s">
        <v>1186</v>
      </c>
      <c r="C1718" s="39"/>
      <c r="D1718" s="35" t="s">
        <v>1127</v>
      </c>
      <c r="E1718" s="37"/>
      <c r="F1718" s="35" t="s">
        <v>1127</v>
      </c>
      <c r="G1718" s="39"/>
      <c r="H1718" s="35" t="s">
        <v>1127</v>
      </c>
      <c r="I1718" s="39"/>
    </row>
    <row r="1719" spans="2:9" ht="15.75">
      <c r="B1719" s="35" t="s">
        <v>940</v>
      </c>
      <c r="C1719" s="39"/>
      <c r="D1719" s="35" t="s">
        <v>940</v>
      </c>
      <c r="E1719" s="37"/>
      <c r="F1719" s="35" t="s">
        <v>940</v>
      </c>
      <c r="G1719" s="39"/>
      <c r="H1719" s="35" t="s">
        <v>940</v>
      </c>
      <c r="I1719" s="39"/>
    </row>
    <row r="1720" spans="2:9">
      <c r="B1720" s="33"/>
      <c r="C1720" s="33"/>
      <c r="D1720" s="33"/>
      <c r="E1720" s="33"/>
      <c r="F1720" s="33"/>
      <c r="G1720" s="33"/>
      <c r="H1720" s="33"/>
      <c r="I1720" s="33"/>
    </row>
    <row r="1721" spans="2:9" ht="15.75">
      <c r="B1721" s="38">
        <v>6</v>
      </c>
      <c r="C1721" s="33"/>
      <c r="D1721" s="38">
        <v>3</v>
      </c>
      <c r="E1721" s="33"/>
      <c r="F1721" s="38">
        <v>3</v>
      </c>
      <c r="G1721" s="33"/>
      <c r="H1721" s="38">
        <v>3</v>
      </c>
      <c r="I1721" s="33"/>
    </row>
    <row r="1722" spans="2:9" ht="15.75">
      <c r="B1722" s="39"/>
      <c r="C1722" s="33"/>
      <c r="D1722" s="33"/>
      <c r="E1722" s="33"/>
      <c r="F1722" s="33"/>
      <c r="G1722" s="33"/>
      <c r="H1722" s="33"/>
      <c r="I1722" s="33"/>
    </row>
    <row r="1723" spans="2:9" ht="15.75">
      <c r="B1723" s="35" t="s">
        <v>24</v>
      </c>
      <c r="C1723" s="39"/>
      <c r="D1723" s="35" t="s">
        <v>25</v>
      </c>
      <c r="E1723" s="33"/>
      <c r="F1723" s="35" t="s">
        <v>26</v>
      </c>
      <c r="G1723" s="39"/>
      <c r="H1723" s="35" t="s">
        <v>6</v>
      </c>
    </row>
    <row r="1724" spans="2:9" ht="15.75">
      <c r="B1724" s="35" t="s">
        <v>523</v>
      </c>
      <c r="C1724" s="39"/>
      <c r="D1724" s="35" t="s">
        <v>241</v>
      </c>
      <c r="E1724" s="37"/>
      <c r="F1724" s="35" t="s">
        <v>517</v>
      </c>
      <c r="G1724" s="39"/>
      <c r="H1724" s="35" t="s">
        <v>597</v>
      </c>
    </row>
    <row r="1725" spans="2:9" ht="15.75">
      <c r="B1725" s="35" t="s">
        <v>249</v>
      </c>
      <c r="C1725" s="38">
        <v>4</v>
      </c>
      <c r="D1725" s="35" t="s">
        <v>249</v>
      </c>
      <c r="E1725" s="38">
        <v>4</v>
      </c>
      <c r="F1725" s="35" t="s">
        <v>249</v>
      </c>
      <c r="G1725" s="38">
        <v>4</v>
      </c>
      <c r="H1725" s="35" t="s">
        <v>607</v>
      </c>
    </row>
    <row r="1726" spans="2:9" ht="15.75">
      <c r="B1726" s="35" t="s">
        <v>1127</v>
      </c>
      <c r="C1726" s="39"/>
      <c r="D1726" s="35" t="s">
        <v>1127</v>
      </c>
      <c r="E1726" s="37"/>
      <c r="F1726" s="35" t="s">
        <v>1127</v>
      </c>
      <c r="G1726" s="39"/>
      <c r="H1726" s="35" t="s">
        <v>1187</v>
      </c>
    </row>
    <row r="1727" spans="2:9" ht="15.75">
      <c r="B1727" s="35" t="s">
        <v>940</v>
      </c>
      <c r="C1727" s="39"/>
      <c r="D1727" s="35" t="s">
        <v>940</v>
      </c>
      <c r="E1727" s="37"/>
      <c r="F1727" s="35" t="s">
        <v>940</v>
      </c>
      <c r="G1727" s="39"/>
      <c r="H1727" s="35" t="s">
        <v>926</v>
      </c>
    </row>
    <row r="1729" spans="2:9">
      <c r="B1729" s="43" t="s">
        <v>100</v>
      </c>
      <c r="D1729" s="44" t="s">
        <v>1188</v>
      </c>
    </row>
    <row r="1730" spans="2:9">
      <c r="B1730" s="45"/>
    </row>
    <row r="1731" spans="2:9">
      <c r="B1731" s="46" t="s">
        <v>101</v>
      </c>
      <c r="D1731" s="47" t="s">
        <v>1189</v>
      </c>
    </row>
    <row r="1733" spans="2:9">
      <c r="B1733" s="55" t="s">
        <v>832</v>
      </c>
    </row>
    <row r="1735" spans="2:9">
      <c r="B1735" s="42" t="s">
        <v>833</v>
      </c>
    </row>
    <row r="1737" spans="2:9" ht="15.75">
      <c r="B1737" s="35" t="s">
        <v>5</v>
      </c>
      <c r="C1737" s="54"/>
      <c r="D1737" s="35" t="s">
        <v>17</v>
      </c>
      <c r="E1737" s="33"/>
      <c r="F1737" s="35" t="s">
        <v>6</v>
      </c>
      <c r="G1737" s="39"/>
      <c r="H1737" s="35" t="s">
        <v>923</v>
      </c>
      <c r="I1737" s="39"/>
    </row>
    <row r="1738" spans="2:9" ht="15.75">
      <c r="B1738" s="35" t="s">
        <v>424</v>
      </c>
      <c r="C1738" s="54"/>
      <c r="D1738" s="35" t="s">
        <v>746</v>
      </c>
      <c r="E1738" s="36"/>
      <c r="F1738" s="35" t="s">
        <v>588</v>
      </c>
      <c r="G1738" s="39"/>
      <c r="H1738" s="35" t="s">
        <v>923</v>
      </c>
      <c r="I1738" s="39"/>
    </row>
    <row r="1739" spans="2:9" ht="15.75">
      <c r="B1739" s="35" t="s">
        <v>568</v>
      </c>
      <c r="C1739" s="40">
        <v>4</v>
      </c>
      <c r="D1739" s="35" t="s">
        <v>650</v>
      </c>
      <c r="E1739" s="40">
        <v>4</v>
      </c>
      <c r="F1739" s="35" t="s">
        <v>598</v>
      </c>
      <c r="G1739" s="38" t="s">
        <v>923</v>
      </c>
      <c r="H1739" s="35" t="s">
        <v>923</v>
      </c>
      <c r="I1739" s="38" t="s">
        <v>923</v>
      </c>
    </row>
    <row r="1740" spans="2:9" ht="15.75">
      <c r="B1740" s="35" t="s">
        <v>1131</v>
      </c>
      <c r="C1740" s="54"/>
      <c r="D1740" s="35" t="s">
        <v>1132</v>
      </c>
      <c r="E1740" s="36"/>
      <c r="F1740" s="35" t="s">
        <v>1133</v>
      </c>
      <c r="G1740" s="39"/>
      <c r="H1740" s="35" t="s">
        <v>923</v>
      </c>
      <c r="I1740" s="38"/>
    </row>
    <row r="1741" spans="2:9" ht="15.75">
      <c r="B1741" s="53" t="s">
        <v>927</v>
      </c>
      <c r="C1741" s="54"/>
      <c r="D1741" s="35" t="s">
        <v>940</v>
      </c>
      <c r="E1741" s="36"/>
      <c r="F1741" s="35" t="s">
        <v>926</v>
      </c>
      <c r="G1741" s="39"/>
      <c r="H1741" s="35" t="s">
        <v>923</v>
      </c>
      <c r="I1741" s="39"/>
    </row>
    <row r="1742" spans="2:9">
      <c r="B1742" s="33"/>
      <c r="C1742" s="34"/>
      <c r="D1742" s="33"/>
      <c r="E1742" s="33"/>
      <c r="F1742" s="33"/>
      <c r="G1742" s="33"/>
      <c r="H1742" s="33"/>
      <c r="I1742" s="33"/>
    </row>
    <row r="1743" spans="2:9">
      <c r="B1743" s="43" t="s">
        <v>100</v>
      </c>
      <c r="D1743" s="44" t="s">
        <v>1134</v>
      </c>
    </row>
    <row r="1744" spans="2:9">
      <c r="B1744" s="45"/>
    </row>
    <row r="1745" spans="2:9">
      <c r="B1745" s="46" t="s">
        <v>101</v>
      </c>
      <c r="D1745" s="47" t="s">
        <v>1135</v>
      </c>
    </row>
    <row r="1747" spans="2:9">
      <c r="B1747" s="42" t="s">
        <v>834</v>
      </c>
    </row>
    <row r="1749" spans="2:9" ht="15.75">
      <c r="B1749" s="35" t="s">
        <v>5</v>
      </c>
      <c r="C1749" s="54"/>
      <c r="D1749" s="35" t="s">
        <v>17</v>
      </c>
      <c r="E1749" s="33"/>
      <c r="F1749" s="35" t="s">
        <v>18</v>
      </c>
      <c r="G1749" s="39"/>
      <c r="H1749" s="35" t="s">
        <v>6</v>
      </c>
      <c r="I1749" s="39"/>
    </row>
    <row r="1750" spans="2:9" ht="15.75">
      <c r="B1750" s="35" t="s">
        <v>446</v>
      </c>
      <c r="C1750" s="54"/>
      <c r="D1750" s="35" t="s">
        <v>747</v>
      </c>
      <c r="E1750" s="36"/>
      <c r="F1750" s="35" t="s">
        <v>707</v>
      </c>
      <c r="G1750" s="39"/>
      <c r="H1750" s="35" t="s">
        <v>589</v>
      </c>
      <c r="I1750" s="39"/>
    </row>
    <row r="1751" spans="2:9" ht="15.75">
      <c r="B1751" s="35" t="s">
        <v>569</v>
      </c>
      <c r="C1751" s="40">
        <v>4</v>
      </c>
      <c r="D1751" s="35" t="s">
        <v>651</v>
      </c>
      <c r="E1751" s="40">
        <v>4</v>
      </c>
      <c r="F1751" s="35" t="s">
        <v>626</v>
      </c>
      <c r="G1751" s="38">
        <v>4</v>
      </c>
      <c r="H1751" s="35" t="s">
        <v>599</v>
      </c>
      <c r="I1751" s="38" t="s">
        <v>923</v>
      </c>
    </row>
    <row r="1752" spans="2:9" ht="15.75">
      <c r="B1752" s="35" t="s">
        <v>1136</v>
      </c>
      <c r="C1752" s="54"/>
      <c r="D1752" s="35" t="s">
        <v>1137</v>
      </c>
      <c r="E1752" s="36"/>
      <c r="F1752" s="35" t="s">
        <v>1138</v>
      </c>
      <c r="G1752" s="39"/>
      <c r="H1752" s="35" t="s">
        <v>1139</v>
      </c>
      <c r="I1752" s="38"/>
    </row>
    <row r="1753" spans="2:9" ht="15.75">
      <c r="B1753" s="53" t="s">
        <v>927</v>
      </c>
      <c r="C1753" s="54"/>
      <c r="D1753" s="35" t="s">
        <v>940</v>
      </c>
      <c r="E1753" s="36"/>
      <c r="F1753" s="35" t="s">
        <v>940</v>
      </c>
      <c r="G1753" s="39"/>
      <c r="H1753" s="35" t="s">
        <v>926</v>
      </c>
      <c r="I1753" s="39"/>
    </row>
    <row r="1754" spans="2:9">
      <c r="B1754" s="33"/>
      <c r="C1754" s="34"/>
      <c r="D1754" s="33"/>
      <c r="E1754" s="33"/>
      <c r="F1754" s="33"/>
      <c r="G1754" s="33"/>
      <c r="H1754" s="33"/>
      <c r="I1754" s="33"/>
    </row>
    <row r="1755" spans="2:9">
      <c r="B1755" s="43" t="s">
        <v>100</v>
      </c>
      <c r="D1755" s="44" t="s">
        <v>1140</v>
      </c>
    </row>
    <row r="1756" spans="2:9">
      <c r="B1756" s="45"/>
    </row>
    <row r="1757" spans="2:9">
      <c r="B1757" s="46" t="s">
        <v>101</v>
      </c>
      <c r="D1757" s="47" t="s">
        <v>1141</v>
      </c>
    </row>
    <row r="1759" spans="2:9">
      <c r="B1759" s="42" t="s">
        <v>835</v>
      </c>
    </row>
    <row r="1761" spans="2:9" ht="15.75">
      <c r="B1761" s="35" t="s">
        <v>5</v>
      </c>
      <c r="C1761" s="54"/>
      <c r="D1761" s="35" t="s">
        <v>17</v>
      </c>
      <c r="E1761" s="33"/>
      <c r="F1761" s="35" t="s">
        <v>18</v>
      </c>
      <c r="G1761" s="39"/>
      <c r="H1761" s="35" t="s">
        <v>19</v>
      </c>
      <c r="I1761" s="39"/>
    </row>
    <row r="1762" spans="2:9" ht="15.75">
      <c r="B1762" s="35" t="s">
        <v>447</v>
      </c>
      <c r="C1762" s="54"/>
      <c r="D1762" s="35" t="s">
        <v>748</v>
      </c>
      <c r="E1762" s="36"/>
      <c r="F1762" s="35" t="s">
        <v>708</v>
      </c>
      <c r="G1762" s="39"/>
      <c r="H1762" s="35" t="s">
        <v>618</v>
      </c>
      <c r="I1762" s="39"/>
    </row>
    <row r="1763" spans="2:9" ht="15.75">
      <c r="B1763" s="35" t="s">
        <v>570</v>
      </c>
      <c r="C1763" s="40">
        <v>4</v>
      </c>
      <c r="D1763" s="35" t="s">
        <v>652</v>
      </c>
      <c r="E1763" s="40">
        <v>4</v>
      </c>
      <c r="F1763" s="35" t="s">
        <v>627</v>
      </c>
      <c r="G1763" s="38">
        <v>4</v>
      </c>
      <c r="H1763" s="35" t="s">
        <v>627</v>
      </c>
      <c r="I1763" s="38">
        <v>6</v>
      </c>
    </row>
    <row r="1764" spans="2:9" ht="15.75">
      <c r="B1764" s="35" t="s">
        <v>1142</v>
      </c>
      <c r="C1764" s="54"/>
      <c r="D1764" s="35" t="s">
        <v>1143</v>
      </c>
      <c r="E1764" s="36"/>
      <c r="F1764" s="35" t="s">
        <v>1144</v>
      </c>
      <c r="G1764" s="39"/>
      <c r="H1764" s="35" t="s">
        <v>1144</v>
      </c>
      <c r="I1764" s="38"/>
    </row>
    <row r="1765" spans="2:9" ht="15.75">
      <c r="B1765" s="53" t="s">
        <v>927</v>
      </c>
      <c r="C1765" s="54"/>
      <c r="D1765" s="35" t="s">
        <v>940</v>
      </c>
      <c r="E1765" s="36"/>
      <c r="F1765" s="35" t="s">
        <v>940</v>
      </c>
      <c r="G1765" s="39"/>
      <c r="H1765" s="35" t="s">
        <v>940</v>
      </c>
      <c r="I1765" s="39"/>
    </row>
    <row r="1766" spans="2:9">
      <c r="B1766" s="33"/>
      <c r="C1766" s="34"/>
      <c r="D1766" s="33"/>
      <c r="E1766" s="33"/>
      <c r="F1766" s="33"/>
      <c r="G1766" s="33"/>
      <c r="H1766" s="33"/>
      <c r="I1766" s="33"/>
    </row>
    <row r="1767" spans="2:9" ht="15.75">
      <c r="B1767" s="38">
        <v>6</v>
      </c>
      <c r="C1767" s="34"/>
      <c r="D1767" s="38">
        <v>3</v>
      </c>
      <c r="E1767" s="33"/>
      <c r="F1767" s="38">
        <v>3</v>
      </c>
      <c r="G1767" s="33"/>
      <c r="H1767" s="38">
        <v>3</v>
      </c>
      <c r="I1767" s="33"/>
    </row>
    <row r="1768" spans="2:9" ht="15.75">
      <c r="B1768" s="39"/>
      <c r="C1768" s="33"/>
      <c r="D1768" s="33"/>
      <c r="E1768" s="33"/>
      <c r="F1768" s="33"/>
      <c r="G1768" s="33"/>
      <c r="H1768" s="33"/>
      <c r="I1768" s="33"/>
    </row>
    <row r="1769" spans="2:9" ht="15.75">
      <c r="B1769" s="35" t="s">
        <v>6</v>
      </c>
      <c r="C1769" s="39"/>
      <c r="D1769" s="35" t="s">
        <v>923</v>
      </c>
      <c r="E1769" s="33"/>
      <c r="F1769" s="35" t="s">
        <v>923</v>
      </c>
      <c r="G1769" s="39"/>
      <c r="H1769" s="35" t="s">
        <v>923</v>
      </c>
      <c r="I1769" s="39"/>
    </row>
    <row r="1770" spans="2:9" ht="15.75">
      <c r="B1770" s="35" t="s">
        <v>590</v>
      </c>
      <c r="C1770" s="39"/>
      <c r="D1770" s="35" t="s">
        <v>923</v>
      </c>
      <c r="E1770" s="37"/>
      <c r="F1770" s="35" t="s">
        <v>923</v>
      </c>
      <c r="G1770" s="39"/>
      <c r="H1770" s="35" t="s">
        <v>923</v>
      </c>
      <c r="I1770" s="39"/>
    </row>
    <row r="1771" spans="2:9" ht="15.75">
      <c r="B1771" s="35" t="s">
        <v>600</v>
      </c>
      <c r="C1771" s="38" t="s">
        <v>923</v>
      </c>
      <c r="D1771" s="35" t="s">
        <v>923</v>
      </c>
      <c r="E1771" s="38" t="s">
        <v>923</v>
      </c>
      <c r="F1771" s="35" t="s">
        <v>923</v>
      </c>
      <c r="G1771" s="38" t="s">
        <v>923</v>
      </c>
      <c r="H1771" s="35" t="s">
        <v>923</v>
      </c>
      <c r="I1771" s="38" t="s">
        <v>923</v>
      </c>
    </row>
    <row r="1772" spans="2:9" ht="15.75">
      <c r="B1772" s="35" t="s">
        <v>1145</v>
      </c>
      <c r="C1772" s="39"/>
      <c r="D1772" s="35" t="s">
        <v>923</v>
      </c>
      <c r="E1772" s="37"/>
      <c r="F1772" s="35" t="s">
        <v>923</v>
      </c>
      <c r="G1772" s="39"/>
      <c r="H1772" s="35" t="s">
        <v>923</v>
      </c>
      <c r="I1772" s="39"/>
    </row>
    <row r="1773" spans="2:9" ht="15.75">
      <c r="B1773" s="35" t="s">
        <v>926</v>
      </c>
      <c r="C1773" s="39"/>
      <c r="D1773" s="35" t="s">
        <v>923</v>
      </c>
      <c r="E1773" s="37"/>
      <c r="F1773" s="35" t="s">
        <v>923</v>
      </c>
      <c r="G1773" s="39"/>
      <c r="H1773" s="35" t="s">
        <v>923</v>
      </c>
      <c r="I1773" s="39"/>
    </row>
    <row r="1774" spans="2:9">
      <c r="B1774" s="33"/>
      <c r="C1774" s="33"/>
      <c r="D1774" s="33"/>
      <c r="E1774" s="33"/>
      <c r="F1774" s="33"/>
      <c r="G1774" s="33"/>
      <c r="H1774" s="33"/>
      <c r="I1774" s="33"/>
    </row>
    <row r="1775" spans="2:9">
      <c r="B1775" s="43" t="s">
        <v>100</v>
      </c>
      <c r="D1775" s="44" t="s">
        <v>1146</v>
      </c>
    </row>
    <row r="1776" spans="2:9">
      <c r="B1776" s="45"/>
    </row>
    <row r="1777" spans="2:9">
      <c r="B1777" s="46" t="s">
        <v>101</v>
      </c>
      <c r="D1777" s="47" t="s">
        <v>1147</v>
      </c>
    </row>
    <row r="1779" spans="2:9">
      <c r="B1779" s="42" t="s">
        <v>836</v>
      </c>
    </row>
    <row r="1781" spans="2:9" ht="15.75">
      <c r="B1781" s="35" t="s">
        <v>5</v>
      </c>
      <c r="C1781" s="54"/>
      <c r="D1781" s="35" t="s">
        <v>17</v>
      </c>
      <c r="E1781" s="33"/>
      <c r="F1781" s="35" t="s">
        <v>18</v>
      </c>
      <c r="G1781" s="39"/>
      <c r="H1781" s="35" t="s">
        <v>19</v>
      </c>
      <c r="I1781" s="39"/>
    </row>
    <row r="1782" spans="2:9" ht="15.75">
      <c r="B1782" s="35" t="s">
        <v>448</v>
      </c>
      <c r="C1782" s="54"/>
      <c r="D1782" s="35" t="s">
        <v>749</v>
      </c>
      <c r="E1782" s="36"/>
      <c r="F1782" s="35" t="s">
        <v>709</v>
      </c>
      <c r="G1782" s="39"/>
      <c r="H1782" s="35" t="s">
        <v>619</v>
      </c>
      <c r="I1782" s="39"/>
    </row>
    <row r="1783" spans="2:9" ht="15.75">
      <c r="B1783" s="35" t="s">
        <v>571</v>
      </c>
      <c r="C1783" s="40">
        <v>4</v>
      </c>
      <c r="D1783" s="35" t="s">
        <v>653</v>
      </c>
      <c r="E1783" s="40">
        <v>4</v>
      </c>
      <c r="F1783" s="35" t="s">
        <v>628</v>
      </c>
      <c r="G1783" s="38">
        <v>4</v>
      </c>
      <c r="H1783" s="35" t="s">
        <v>628</v>
      </c>
      <c r="I1783" s="38">
        <v>6</v>
      </c>
    </row>
    <row r="1784" spans="2:9" ht="15.75">
      <c r="B1784" s="35" t="s">
        <v>1148</v>
      </c>
      <c r="C1784" s="54"/>
      <c r="D1784" s="35" t="s">
        <v>1149</v>
      </c>
      <c r="E1784" s="36"/>
      <c r="F1784" s="35" t="s">
        <v>1150</v>
      </c>
      <c r="G1784" s="39"/>
      <c r="H1784" s="35" t="s">
        <v>1150</v>
      </c>
      <c r="I1784" s="38"/>
    </row>
    <row r="1785" spans="2:9" ht="15.75">
      <c r="B1785" s="53" t="s">
        <v>927</v>
      </c>
      <c r="C1785" s="54"/>
      <c r="D1785" s="35" t="s">
        <v>940</v>
      </c>
      <c r="E1785" s="36"/>
      <c r="F1785" s="35" t="s">
        <v>940</v>
      </c>
      <c r="G1785" s="39"/>
      <c r="H1785" s="35" t="s">
        <v>940</v>
      </c>
      <c r="I1785" s="39"/>
    </row>
    <row r="1786" spans="2:9">
      <c r="B1786" s="33"/>
      <c r="C1786" s="34"/>
      <c r="D1786" s="33"/>
      <c r="E1786" s="33"/>
      <c r="F1786" s="33"/>
      <c r="G1786" s="33"/>
      <c r="H1786" s="33"/>
      <c r="I1786" s="33"/>
    </row>
    <row r="1787" spans="2:9" ht="15.75">
      <c r="B1787" s="38">
        <v>6</v>
      </c>
      <c r="C1787" s="34"/>
      <c r="D1787" s="38">
        <v>3</v>
      </c>
      <c r="E1787" s="33"/>
      <c r="F1787" s="38">
        <v>3</v>
      </c>
      <c r="G1787" s="33"/>
      <c r="H1787" s="38">
        <v>3</v>
      </c>
      <c r="I1787" s="33"/>
    </row>
    <row r="1788" spans="2:9" ht="15.75">
      <c r="B1788" s="39"/>
      <c r="C1788" s="33"/>
      <c r="D1788" s="33"/>
      <c r="E1788" s="33"/>
      <c r="F1788" s="33"/>
      <c r="G1788" s="33"/>
      <c r="H1788" s="33"/>
      <c r="I1788" s="33"/>
    </row>
    <row r="1789" spans="2:9" ht="15.75">
      <c r="B1789" s="35" t="s">
        <v>20</v>
      </c>
      <c r="C1789" s="39"/>
      <c r="D1789" s="35" t="s">
        <v>6</v>
      </c>
      <c r="E1789" s="33"/>
      <c r="F1789" s="35" t="s">
        <v>923</v>
      </c>
      <c r="G1789" s="39"/>
      <c r="H1789" s="35" t="s">
        <v>923</v>
      </c>
      <c r="I1789" s="39"/>
    </row>
    <row r="1790" spans="2:9" ht="15.75">
      <c r="B1790" s="35" t="s">
        <v>619</v>
      </c>
      <c r="C1790" s="39"/>
      <c r="D1790" s="35" t="s">
        <v>591</v>
      </c>
      <c r="E1790" s="37"/>
      <c r="F1790" s="35" t="s">
        <v>923</v>
      </c>
      <c r="G1790" s="39"/>
      <c r="H1790" s="35" t="s">
        <v>923</v>
      </c>
      <c r="I1790" s="39"/>
    </row>
    <row r="1791" spans="2:9" ht="15.75">
      <c r="B1791" s="35" t="s">
        <v>628</v>
      </c>
      <c r="C1791" s="38">
        <v>4</v>
      </c>
      <c r="D1791" s="35" t="s">
        <v>601</v>
      </c>
      <c r="E1791" s="38" t="s">
        <v>923</v>
      </c>
      <c r="F1791" s="35" t="s">
        <v>923</v>
      </c>
      <c r="G1791" s="38" t="s">
        <v>923</v>
      </c>
      <c r="H1791" s="35" t="s">
        <v>923</v>
      </c>
      <c r="I1791" s="38" t="s">
        <v>923</v>
      </c>
    </row>
    <row r="1792" spans="2:9" ht="15.75">
      <c r="B1792" s="35" t="s">
        <v>1150</v>
      </c>
      <c r="C1792" s="39"/>
      <c r="D1792" s="35" t="s">
        <v>1151</v>
      </c>
      <c r="E1792" s="37"/>
      <c r="F1792" s="35" t="s">
        <v>923</v>
      </c>
      <c r="G1792" s="39"/>
      <c r="H1792" s="35" t="s">
        <v>923</v>
      </c>
      <c r="I1792" s="39"/>
    </row>
    <row r="1793" spans="2:9" ht="15.75">
      <c r="B1793" s="35" t="s">
        <v>940</v>
      </c>
      <c r="C1793" s="39"/>
      <c r="D1793" s="35" t="s">
        <v>926</v>
      </c>
      <c r="E1793" s="37"/>
      <c r="F1793" s="35" t="s">
        <v>923</v>
      </c>
      <c r="G1793" s="39"/>
      <c r="H1793" s="35" t="s">
        <v>923</v>
      </c>
      <c r="I1793" s="39"/>
    </row>
    <row r="1794" spans="2:9">
      <c r="B1794" s="33"/>
      <c r="C1794" s="33"/>
      <c r="D1794" s="33"/>
      <c r="E1794" s="33"/>
      <c r="F1794" s="33"/>
      <c r="G1794" s="33"/>
      <c r="H1794" s="33"/>
      <c r="I1794" s="33"/>
    </row>
    <row r="1795" spans="2:9">
      <c r="B1795" s="43" t="s">
        <v>100</v>
      </c>
      <c r="D1795" s="44" t="s">
        <v>1152</v>
      </c>
    </row>
    <row r="1796" spans="2:9">
      <c r="B1796" s="45"/>
    </row>
    <row r="1797" spans="2:9">
      <c r="B1797" s="46" t="s">
        <v>101</v>
      </c>
      <c r="D1797" s="47" t="s">
        <v>1153</v>
      </c>
    </row>
    <row r="1799" spans="2:9">
      <c r="B1799" s="42" t="s">
        <v>837</v>
      </c>
    </row>
    <row r="1801" spans="2:9" ht="15.75">
      <c r="B1801" s="35" t="s">
        <v>5</v>
      </c>
      <c r="C1801" s="54"/>
      <c r="D1801" s="35" t="s">
        <v>17</v>
      </c>
      <c r="E1801" s="33"/>
      <c r="F1801" s="35" t="s">
        <v>18</v>
      </c>
      <c r="G1801" s="39"/>
      <c r="H1801" s="35" t="s">
        <v>19</v>
      </c>
      <c r="I1801" s="39"/>
    </row>
    <row r="1802" spans="2:9" ht="15.75">
      <c r="B1802" s="35" t="s">
        <v>449</v>
      </c>
      <c r="C1802" s="54"/>
      <c r="D1802" s="35" t="s">
        <v>750</v>
      </c>
      <c r="E1802" s="36"/>
      <c r="F1802" s="35" t="s">
        <v>710</v>
      </c>
      <c r="G1802" s="39"/>
      <c r="H1802" s="35" t="s">
        <v>620</v>
      </c>
      <c r="I1802" s="39"/>
    </row>
    <row r="1803" spans="2:9" ht="15.75">
      <c r="B1803" s="35" t="s">
        <v>572</v>
      </c>
      <c r="C1803" s="40">
        <v>4</v>
      </c>
      <c r="D1803" s="35" t="s">
        <v>654</v>
      </c>
      <c r="E1803" s="40">
        <v>4</v>
      </c>
      <c r="F1803" s="35" t="s">
        <v>629</v>
      </c>
      <c r="G1803" s="38">
        <v>4</v>
      </c>
      <c r="H1803" s="35" t="s">
        <v>629</v>
      </c>
      <c r="I1803" s="38">
        <v>6</v>
      </c>
    </row>
    <row r="1804" spans="2:9" ht="15.75">
      <c r="B1804" s="35" t="s">
        <v>1154</v>
      </c>
      <c r="C1804" s="54"/>
      <c r="D1804" s="35" t="s">
        <v>1155</v>
      </c>
      <c r="E1804" s="36"/>
      <c r="F1804" s="35" t="s">
        <v>1156</v>
      </c>
      <c r="G1804" s="39"/>
      <c r="H1804" s="35" t="s">
        <v>1156</v>
      </c>
      <c r="I1804" s="38"/>
    </row>
    <row r="1805" spans="2:9" ht="15.75">
      <c r="B1805" s="53" t="s">
        <v>927</v>
      </c>
      <c r="C1805" s="54"/>
      <c r="D1805" s="35" t="s">
        <v>940</v>
      </c>
      <c r="E1805" s="36"/>
      <c r="F1805" s="35" t="s">
        <v>940</v>
      </c>
      <c r="G1805" s="39"/>
      <c r="H1805" s="35" t="s">
        <v>940</v>
      </c>
      <c r="I1805" s="39"/>
    </row>
    <row r="1806" spans="2:9">
      <c r="B1806" s="33"/>
      <c r="C1806" s="34"/>
      <c r="D1806" s="33"/>
      <c r="E1806" s="33"/>
      <c r="F1806" s="33"/>
      <c r="G1806" s="33"/>
      <c r="H1806" s="33"/>
      <c r="I1806" s="33"/>
    </row>
    <row r="1807" spans="2:9" ht="15.75">
      <c r="B1807" s="38">
        <v>6</v>
      </c>
      <c r="C1807" s="34"/>
      <c r="D1807" s="38">
        <v>3</v>
      </c>
      <c r="E1807" s="33"/>
      <c r="F1807" s="38">
        <v>3</v>
      </c>
      <c r="G1807" s="33"/>
      <c r="H1807" s="38">
        <v>3</v>
      </c>
      <c r="I1807" s="33"/>
    </row>
    <row r="1808" spans="2:9" ht="15.75">
      <c r="B1808" s="39"/>
      <c r="C1808" s="33"/>
      <c r="D1808" s="33"/>
      <c r="E1808" s="33"/>
      <c r="F1808" s="33"/>
      <c r="G1808" s="33"/>
      <c r="H1808" s="33"/>
      <c r="I1808" s="33"/>
    </row>
    <row r="1809" spans="2:9" ht="15.75">
      <c r="B1809" s="35" t="s">
        <v>20</v>
      </c>
      <c r="C1809" s="39"/>
      <c r="D1809" s="35" t="s">
        <v>21</v>
      </c>
      <c r="E1809" s="33"/>
      <c r="F1809" s="35" t="s">
        <v>6</v>
      </c>
      <c r="G1809" s="39"/>
      <c r="H1809" s="35" t="s">
        <v>923</v>
      </c>
      <c r="I1809" s="39"/>
    </row>
    <row r="1810" spans="2:9" ht="15.75">
      <c r="B1810" s="35" t="s">
        <v>620</v>
      </c>
      <c r="C1810" s="39"/>
      <c r="D1810" s="35" t="s">
        <v>620</v>
      </c>
      <c r="E1810" s="37"/>
      <c r="F1810" s="35" t="s">
        <v>592</v>
      </c>
      <c r="G1810" s="39"/>
      <c r="H1810" s="35" t="s">
        <v>923</v>
      </c>
      <c r="I1810" s="39"/>
    </row>
    <row r="1811" spans="2:9" ht="15.75">
      <c r="B1811" s="35" t="s">
        <v>629</v>
      </c>
      <c r="C1811" s="38">
        <v>4</v>
      </c>
      <c r="D1811" s="35" t="s">
        <v>648</v>
      </c>
      <c r="E1811" s="38">
        <v>4</v>
      </c>
      <c r="F1811" s="35" t="s">
        <v>602</v>
      </c>
      <c r="G1811" s="38" t="s">
        <v>923</v>
      </c>
      <c r="H1811" s="35" t="s">
        <v>923</v>
      </c>
      <c r="I1811" s="38" t="s">
        <v>923</v>
      </c>
    </row>
    <row r="1812" spans="2:9" ht="15.75">
      <c r="B1812" s="35" t="s">
        <v>1156</v>
      </c>
      <c r="C1812" s="39"/>
      <c r="D1812" s="35" t="s">
        <v>1092</v>
      </c>
      <c r="E1812" s="37"/>
      <c r="F1812" s="35" t="s">
        <v>1157</v>
      </c>
      <c r="G1812" s="39"/>
      <c r="H1812" s="35" t="s">
        <v>923</v>
      </c>
      <c r="I1812" s="39"/>
    </row>
    <row r="1813" spans="2:9" ht="15.75">
      <c r="B1813" s="35" t="s">
        <v>940</v>
      </c>
      <c r="C1813" s="39"/>
      <c r="D1813" s="35" t="s">
        <v>940</v>
      </c>
      <c r="E1813" s="37"/>
      <c r="F1813" s="35" t="s">
        <v>926</v>
      </c>
      <c r="G1813" s="39"/>
      <c r="H1813" s="35" t="s">
        <v>923</v>
      </c>
      <c r="I1813" s="39"/>
    </row>
    <row r="1814" spans="2:9">
      <c r="B1814" s="33"/>
      <c r="C1814" s="33"/>
      <c r="D1814" s="33"/>
      <c r="E1814" s="33"/>
      <c r="F1814" s="33"/>
      <c r="G1814" s="33"/>
      <c r="H1814" s="33"/>
      <c r="I1814" s="33"/>
    </row>
    <row r="1815" spans="2:9">
      <c r="B1815" s="43" t="s">
        <v>100</v>
      </c>
      <c r="D1815" s="44" t="s">
        <v>1158</v>
      </c>
    </row>
    <row r="1816" spans="2:9">
      <c r="B1816" s="45"/>
    </row>
    <row r="1817" spans="2:9">
      <c r="B1817" s="46" t="s">
        <v>101</v>
      </c>
      <c r="D1817" s="47" t="s">
        <v>1159</v>
      </c>
    </row>
    <row r="1819" spans="2:9">
      <c r="B1819" s="42" t="s">
        <v>838</v>
      </c>
    </row>
    <row r="1821" spans="2:9" ht="15.75">
      <c r="B1821" s="35" t="s">
        <v>5</v>
      </c>
      <c r="C1821" s="54"/>
      <c r="D1821" s="35" t="s">
        <v>17</v>
      </c>
      <c r="E1821" s="33"/>
      <c r="F1821" s="35" t="s">
        <v>18</v>
      </c>
      <c r="G1821" s="39"/>
      <c r="H1821" s="35" t="s">
        <v>19</v>
      </c>
      <c r="I1821" s="39"/>
    </row>
    <row r="1822" spans="2:9" ht="15.75">
      <c r="B1822" s="35" t="s">
        <v>450</v>
      </c>
      <c r="C1822" s="54"/>
      <c r="D1822" s="35" t="s">
        <v>751</v>
      </c>
      <c r="E1822" s="36"/>
      <c r="F1822" s="35" t="s">
        <v>711</v>
      </c>
      <c r="G1822" s="39"/>
      <c r="H1822" s="35" t="s">
        <v>621</v>
      </c>
      <c r="I1822" s="39"/>
    </row>
    <row r="1823" spans="2:9" ht="15.75">
      <c r="B1823" s="35" t="s">
        <v>573</v>
      </c>
      <c r="C1823" s="40">
        <v>4</v>
      </c>
      <c r="D1823" s="35" t="s">
        <v>655</v>
      </c>
      <c r="E1823" s="40">
        <v>4</v>
      </c>
      <c r="F1823" s="35" t="s">
        <v>630</v>
      </c>
      <c r="G1823" s="38">
        <v>4</v>
      </c>
      <c r="H1823" s="35" t="s">
        <v>630</v>
      </c>
      <c r="I1823" s="38">
        <v>6</v>
      </c>
    </row>
    <row r="1824" spans="2:9" ht="15.75">
      <c r="B1824" s="35" t="s">
        <v>1160</v>
      </c>
      <c r="C1824" s="54"/>
      <c r="D1824" s="35" t="s">
        <v>1161</v>
      </c>
      <c r="E1824" s="36"/>
      <c r="F1824" s="35" t="s">
        <v>1162</v>
      </c>
      <c r="G1824" s="39"/>
      <c r="H1824" s="35" t="s">
        <v>1162</v>
      </c>
      <c r="I1824" s="38"/>
    </row>
    <row r="1825" spans="2:9" ht="15.75">
      <c r="B1825" s="53" t="s">
        <v>927</v>
      </c>
      <c r="C1825" s="54"/>
      <c r="D1825" s="35" t="s">
        <v>940</v>
      </c>
      <c r="E1825" s="36"/>
      <c r="F1825" s="35" t="s">
        <v>940</v>
      </c>
      <c r="G1825" s="39"/>
      <c r="H1825" s="35" t="s">
        <v>940</v>
      </c>
      <c r="I1825" s="39"/>
    </row>
    <row r="1826" spans="2:9">
      <c r="B1826" s="33"/>
      <c r="C1826" s="34"/>
      <c r="D1826" s="33"/>
      <c r="E1826" s="33"/>
      <c r="F1826" s="33"/>
      <c r="G1826" s="33"/>
      <c r="H1826" s="33"/>
      <c r="I1826" s="33"/>
    </row>
    <row r="1827" spans="2:9" ht="15.75">
      <c r="B1827" s="38">
        <v>6</v>
      </c>
      <c r="C1827" s="34"/>
      <c r="D1827" s="38">
        <v>3</v>
      </c>
      <c r="E1827" s="33"/>
      <c r="F1827" s="38">
        <v>3</v>
      </c>
      <c r="G1827" s="33"/>
      <c r="H1827" s="38">
        <v>3</v>
      </c>
      <c r="I1827" s="33"/>
    </row>
    <row r="1828" spans="2:9" ht="15.75">
      <c r="B1828" s="39"/>
      <c r="C1828" s="33"/>
      <c r="D1828" s="33"/>
      <c r="E1828" s="33"/>
      <c r="F1828" s="33"/>
      <c r="G1828" s="33"/>
      <c r="H1828" s="33"/>
      <c r="I1828" s="33"/>
    </row>
    <row r="1829" spans="2:9" ht="15.75">
      <c r="B1829" s="35" t="s">
        <v>20</v>
      </c>
      <c r="C1829" s="39"/>
      <c r="D1829" s="35" t="s">
        <v>21</v>
      </c>
      <c r="E1829" s="33"/>
      <c r="F1829" s="35" t="s">
        <v>22</v>
      </c>
      <c r="G1829" s="39"/>
      <c r="H1829" s="35" t="s">
        <v>6</v>
      </c>
      <c r="I1829" s="39"/>
    </row>
    <row r="1830" spans="2:9" ht="15.75">
      <c r="B1830" s="35" t="s">
        <v>621</v>
      </c>
      <c r="C1830" s="39"/>
      <c r="D1830" s="35" t="s">
        <v>621</v>
      </c>
      <c r="E1830" s="37"/>
      <c r="F1830" s="35" t="s">
        <v>505</v>
      </c>
      <c r="G1830" s="39"/>
      <c r="H1830" s="35" t="s">
        <v>593</v>
      </c>
      <c r="I1830" s="39"/>
    </row>
    <row r="1831" spans="2:9" ht="15.75">
      <c r="B1831" s="35" t="s">
        <v>630</v>
      </c>
      <c r="C1831" s="38">
        <v>4</v>
      </c>
      <c r="D1831" s="35" t="s">
        <v>509</v>
      </c>
      <c r="E1831" s="38">
        <v>4</v>
      </c>
      <c r="F1831" s="35" t="s">
        <v>509</v>
      </c>
      <c r="G1831" s="38">
        <v>4</v>
      </c>
      <c r="H1831" s="35" t="s">
        <v>603</v>
      </c>
      <c r="I1831" s="38" t="s">
        <v>923</v>
      </c>
    </row>
    <row r="1832" spans="2:9" ht="15.75">
      <c r="B1832" s="35" t="s">
        <v>1162</v>
      </c>
      <c r="C1832" s="39"/>
      <c r="D1832" s="35" t="s">
        <v>1099</v>
      </c>
      <c r="E1832" s="37"/>
      <c r="F1832" s="35" t="s">
        <v>1100</v>
      </c>
      <c r="G1832" s="39"/>
      <c r="H1832" s="35" t="s">
        <v>1163</v>
      </c>
      <c r="I1832" s="39"/>
    </row>
    <row r="1833" spans="2:9" ht="15.75">
      <c r="B1833" s="35" t="s">
        <v>940</v>
      </c>
      <c r="C1833" s="39"/>
      <c r="D1833" s="35" t="s">
        <v>940</v>
      </c>
      <c r="E1833" s="37"/>
      <c r="F1833" s="35" t="s">
        <v>940</v>
      </c>
      <c r="G1833" s="39"/>
      <c r="H1833" s="35" t="s">
        <v>926</v>
      </c>
      <c r="I1833" s="39"/>
    </row>
    <row r="1834" spans="2:9">
      <c r="B1834" s="33"/>
      <c r="C1834" s="33"/>
      <c r="D1834" s="33"/>
      <c r="E1834" s="33"/>
      <c r="F1834" s="33"/>
      <c r="G1834" s="33"/>
      <c r="H1834" s="33"/>
      <c r="I1834" s="33"/>
    </row>
    <row r="1835" spans="2:9">
      <c r="B1835" s="43" t="s">
        <v>100</v>
      </c>
      <c r="D1835" s="44" t="s">
        <v>1164</v>
      </c>
    </row>
    <row r="1836" spans="2:9">
      <c r="B1836" s="45"/>
    </row>
    <row r="1837" spans="2:9">
      <c r="B1837" s="46" t="s">
        <v>101</v>
      </c>
      <c r="D1837" s="47" t="s">
        <v>1165</v>
      </c>
    </row>
    <row r="1839" spans="2:9">
      <c r="B1839" s="42" t="s">
        <v>839</v>
      </c>
    </row>
    <row r="1841" spans="2:9" ht="15.75">
      <c r="B1841" s="35" t="s">
        <v>5</v>
      </c>
      <c r="C1841" s="54"/>
      <c r="D1841" s="35" t="s">
        <v>17</v>
      </c>
      <c r="E1841" s="33"/>
      <c r="F1841" s="35" t="s">
        <v>18</v>
      </c>
      <c r="G1841" s="39"/>
      <c r="H1841" s="35" t="s">
        <v>19</v>
      </c>
      <c r="I1841" s="39"/>
    </row>
    <row r="1842" spans="2:9" ht="15.75">
      <c r="B1842" s="35" t="s">
        <v>451</v>
      </c>
      <c r="C1842" s="54"/>
      <c r="D1842" s="35" t="s">
        <v>752</v>
      </c>
      <c r="E1842" s="36"/>
      <c r="F1842" s="35" t="s">
        <v>712</v>
      </c>
      <c r="G1842" s="39"/>
      <c r="H1842" s="35" t="s">
        <v>622</v>
      </c>
      <c r="I1842" s="39"/>
    </row>
    <row r="1843" spans="2:9" ht="15.75">
      <c r="B1843" s="35" t="s">
        <v>574</v>
      </c>
      <c r="C1843" s="40">
        <v>4</v>
      </c>
      <c r="D1843" s="35" t="s">
        <v>656</v>
      </c>
      <c r="E1843" s="40">
        <v>4</v>
      </c>
      <c r="F1843" s="35" t="s">
        <v>631</v>
      </c>
      <c r="G1843" s="38">
        <v>4</v>
      </c>
      <c r="H1843" s="35" t="s">
        <v>631</v>
      </c>
      <c r="I1843" s="38">
        <v>6</v>
      </c>
    </row>
    <row r="1844" spans="2:9" ht="15.75">
      <c r="B1844" s="35" t="s">
        <v>1166</v>
      </c>
      <c r="C1844" s="54"/>
      <c r="D1844" s="35" t="s">
        <v>1167</v>
      </c>
      <c r="E1844" s="36"/>
      <c r="F1844" s="35" t="s">
        <v>1168</v>
      </c>
      <c r="G1844" s="39"/>
      <c r="H1844" s="35" t="s">
        <v>1168</v>
      </c>
      <c r="I1844" s="38"/>
    </row>
    <row r="1845" spans="2:9" ht="15.75">
      <c r="B1845" s="53" t="s">
        <v>927</v>
      </c>
      <c r="C1845" s="54"/>
      <c r="D1845" s="35" t="s">
        <v>940</v>
      </c>
      <c r="E1845" s="36"/>
      <c r="F1845" s="35" t="s">
        <v>940</v>
      </c>
      <c r="G1845" s="39"/>
      <c r="H1845" s="35" t="s">
        <v>940</v>
      </c>
      <c r="I1845" s="39"/>
    </row>
    <row r="1846" spans="2:9">
      <c r="B1846" s="33"/>
      <c r="C1846" s="34"/>
      <c r="D1846" s="33"/>
      <c r="E1846" s="33"/>
      <c r="F1846" s="33"/>
      <c r="G1846" s="33"/>
      <c r="H1846" s="33"/>
      <c r="I1846" s="33"/>
    </row>
    <row r="1847" spans="2:9" ht="15.75">
      <c r="B1847" s="38">
        <v>6</v>
      </c>
      <c r="C1847" s="34"/>
      <c r="D1847" s="38">
        <v>3</v>
      </c>
      <c r="E1847" s="33"/>
      <c r="F1847" s="38">
        <v>3</v>
      </c>
      <c r="G1847" s="33"/>
      <c r="H1847" s="38">
        <v>3</v>
      </c>
      <c r="I1847" s="33"/>
    </row>
    <row r="1848" spans="2:9" ht="15.75">
      <c r="B1848" s="39"/>
      <c r="C1848" s="33"/>
      <c r="D1848" s="33"/>
      <c r="E1848" s="33"/>
      <c r="F1848" s="33"/>
      <c r="G1848" s="33"/>
      <c r="H1848" s="33"/>
      <c r="I1848" s="33"/>
    </row>
    <row r="1849" spans="2:9" ht="15.75">
      <c r="B1849" s="35" t="s">
        <v>20</v>
      </c>
      <c r="C1849" s="39"/>
      <c r="D1849" s="35" t="s">
        <v>21</v>
      </c>
      <c r="E1849" s="33"/>
      <c r="F1849" s="35" t="s">
        <v>22</v>
      </c>
      <c r="G1849" s="39"/>
      <c r="H1849" s="35" t="s">
        <v>23</v>
      </c>
      <c r="I1849" s="39"/>
    </row>
    <row r="1850" spans="2:9" ht="15.75">
      <c r="B1850" s="35" t="s">
        <v>622</v>
      </c>
      <c r="C1850" s="39"/>
      <c r="D1850" s="35" t="s">
        <v>622</v>
      </c>
      <c r="E1850" s="37"/>
      <c r="F1850" s="35" t="s">
        <v>506</v>
      </c>
      <c r="G1850" s="39"/>
      <c r="H1850" s="35" t="s">
        <v>506</v>
      </c>
      <c r="I1850" s="39"/>
    </row>
    <row r="1851" spans="2:9" ht="15.75">
      <c r="B1851" s="35" t="s">
        <v>631</v>
      </c>
      <c r="C1851" s="38">
        <v>4</v>
      </c>
      <c r="D1851" s="35" t="s">
        <v>510</v>
      </c>
      <c r="E1851" s="38">
        <v>4</v>
      </c>
      <c r="F1851" s="35" t="s">
        <v>510</v>
      </c>
      <c r="G1851" s="38">
        <v>4</v>
      </c>
      <c r="H1851" s="35" t="s">
        <v>510</v>
      </c>
      <c r="I1851" s="38">
        <v>6</v>
      </c>
    </row>
    <row r="1852" spans="2:9" ht="15.75">
      <c r="B1852" s="35" t="s">
        <v>1168</v>
      </c>
      <c r="C1852" s="39"/>
      <c r="D1852" s="35" t="s">
        <v>1106</v>
      </c>
      <c r="E1852" s="37"/>
      <c r="F1852" s="35" t="s">
        <v>1107</v>
      </c>
      <c r="G1852" s="39"/>
      <c r="H1852" s="35" t="s">
        <v>1107</v>
      </c>
      <c r="I1852" s="39"/>
    </row>
    <row r="1853" spans="2:9" ht="15.75">
      <c r="B1853" s="35" t="s">
        <v>940</v>
      </c>
      <c r="C1853" s="39"/>
      <c r="D1853" s="35" t="s">
        <v>940</v>
      </c>
      <c r="E1853" s="37"/>
      <c r="F1853" s="35" t="s">
        <v>940</v>
      </c>
      <c r="G1853" s="39"/>
      <c r="H1853" s="35" t="s">
        <v>940</v>
      </c>
      <c r="I1853" s="39"/>
    </row>
    <row r="1854" spans="2:9">
      <c r="B1854" s="33"/>
      <c r="C1854" s="33"/>
      <c r="D1854" s="33"/>
      <c r="E1854" s="33"/>
      <c r="F1854" s="33"/>
      <c r="G1854" s="33"/>
      <c r="H1854" s="33"/>
      <c r="I1854" s="33"/>
    </row>
    <row r="1855" spans="2:9" ht="15.75">
      <c r="B1855" s="38">
        <v>6</v>
      </c>
      <c r="C1855" s="33"/>
      <c r="D1855" s="38">
        <v>3</v>
      </c>
      <c r="E1855" s="33"/>
      <c r="F1855" s="38">
        <v>3</v>
      </c>
      <c r="G1855" s="33"/>
      <c r="H1855" s="38">
        <v>3</v>
      </c>
      <c r="I1855" s="33"/>
    </row>
    <row r="1856" spans="2:9" ht="15.75">
      <c r="B1856" s="39"/>
      <c r="C1856" s="33"/>
      <c r="D1856" s="33"/>
      <c r="E1856" s="33"/>
      <c r="F1856" s="33"/>
      <c r="G1856" s="33"/>
      <c r="H1856" s="33"/>
      <c r="I1856" s="33"/>
    </row>
    <row r="1857" spans="2:9" ht="15.75">
      <c r="B1857" s="35" t="s">
        <v>6</v>
      </c>
      <c r="C1857" s="39"/>
      <c r="D1857" s="35" t="s">
        <v>923</v>
      </c>
      <c r="E1857" s="33"/>
      <c r="F1857" s="35" t="s">
        <v>923</v>
      </c>
      <c r="G1857" s="39"/>
      <c r="H1857" s="35" t="s">
        <v>923</v>
      </c>
    </row>
    <row r="1858" spans="2:9" ht="15.75">
      <c r="B1858" s="35" t="s">
        <v>594</v>
      </c>
      <c r="C1858" s="39"/>
      <c r="D1858" s="35" t="s">
        <v>923</v>
      </c>
      <c r="E1858" s="37"/>
      <c r="F1858" s="35" t="s">
        <v>923</v>
      </c>
      <c r="G1858" s="39"/>
      <c r="H1858" s="35" t="s">
        <v>923</v>
      </c>
    </row>
    <row r="1859" spans="2:9" ht="15.75">
      <c r="B1859" s="35" t="s">
        <v>604</v>
      </c>
      <c r="C1859" s="38" t="s">
        <v>923</v>
      </c>
      <c r="D1859" s="35" t="s">
        <v>923</v>
      </c>
      <c r="E1859" s="38" t="s">
        <v>923</v>
      </c>
      <c r="F1859" s="35" t="s">
        <v>923</v>
      </c>
      <c r="G1859" s="38" t="s">
        <v>923</v>
      </c>
      <c r="H1859" s="35" t="s">
        <v>923</v>
      </c>
    </row>
    <row r="1860" spans="2:9" ht="15.75">
      <c r="B1860" s="35" t="s">
        <v>1169</v>
      </c>
      <c r="C1860" s="39"/>
      <c r="D1860" s="35" t="s">
        <v>923</v>
      </c>
      <c r="E1860" s="37"/>
      <c r="F1860" s="35" t="s">
        <v>923</v>
      </c>
      <c r="G1860" s="39"/>
      <c r="H1860" s="35" t="s">
        <v>923</v>
      </c>
    </row>
    <row r="1861" spans="2:9" ht="15.75">
      <c r="B1861" s="35" t="s">
        <v>926</v>
      </c>
      <c r="C1861" s="39"/>
      <c r="D1861" s="35" t="s">
        <v>923</v>
      </c>
      <c r="E1861" s="37"/>
      <c r="F1861" s="35" t="s">
        <v>923</v>
      </c>
      <c r="G1861" s="39"/>
      <c r="H1861" s="35" t="s">
        <v>923</v>
      </c>
    </row>
    <row r="1863" spans="2:9">
      <c r="B1863" s="43" t="s">
        <v>100</v>
      </c>
      <c r="D1863" s="44" t="s">
        <v>1170</v>
      </c>
    </row>
    <row r="1864" spans="2:9">
      <c r="B1864" s="45"/>
    </row>
    <row r="1865" spans="2:9">
      <c r="B1865" s="46" t="s">
        <v>101</v>
      </c>
      <c r="D1865" s="47" t="s">
        <v>1171</v>
      </c>
    </row>
    <row r="1867" spans="2:9">
      <c r="B1867" s="42" t="s">
        <v>840</v>
      </c>
    </row>
    <row r="1869" spans="2:9" ht="15.75">
      <c r="B1869" s="35" t="s">
        <v>5</v>
      </c>
      <c r="C1869" s="54"/>
      <c r="D1869" s="35" t="s">
        <v>17</v>
      </c>
      <c r="E1869" s="33"/>
      <c r="F1869" s="35" t="s">
        <v>18</v>
      </c>
      <c r="G1869" s="39"/>
      <c r="H1869" s="35" t="s">
        <v>19</v>
      </c>
      <c r="I1869" s="39"/>
    </row>
    <row r="1870" spans="2:9" ht="15.75">
      <c r="B1870" s="35" t="s">
        <v>452</v>
      </c>
      <c r="C1870" s="54"/>
      <c r="D1870" s="35" t="s">
        <v>753</v>
      </c>
      <c r="E1870" s="36"/>
      <c r="F1870" s="35" t="s">
        <v>713</v>
      </c>
      <c r="G1870" s="39"/>
      <c r="H1870" s="35" t="s">
        <v>623</v>
      </c>
      <c r="I1870" s="39"/>
    </row>
    <row r="1871" spans="2:9" ht="15.75">
      <c r="B1871" s="35" t="s">
        <v>575</v>
      </c>
      <c r="C1871" s="40">
        <v>4</v>
      </c>
      <c r="D1871" s="35" t="s">
        <v>657</v>
      </c>
      <c r="E1871" s="40">
        <v>4</v>
      </c>
      <c r="F1871" s="35" t="s">
        <v>632</v>
      </c>
      <c r="G1871" s="38">
        <v>4</v>
      </c>
      <c r="H1871" s="35" t="s">
        <v>632</v>
      </c>
      <c r="I1871" s="38">
        <v>6</v>
      </c>
    </row>
    <row r="1872" spans="2:9" ht="15.75">
      <c r="B1872" s="35" t="s">
        <v>1172</v>
      </c>
      <c r="C1872" s="54"/>
      <c r="D1872" s="35" t="s">
        <v>1173</v>
      </c>
      <c r="E1872" s="36"/>
      <c r="F1872" s="35" t="s">
        <v>1174</v>
      </c>
      <c r="G1872" s="39"/>
      <c r="H1872" s="35" t="s">
        <v>1174</v>
      </c>
      <c r="I1872" s="38"/>
    </row>
    <row r="1873" spans="2:9" ht="15.75">
      <c r="B1873" s="53" t="s">
        <v>927</v>
      </c>
      <c r="C1873" s="54"/>
      <c r="D1873" s="35" t="s">
        <v>940</v>
      </c>
      <c r="E1873" s="36"/>
      <c r="F1873" s="35" t="s">
        <v>940</v>
      </c>
      <c r="G1873" s="39"/>
      <c r="H1873" s="35" t="s">
        <v>940</v>
      </c>
      <c r="I1873" s="39"/>
    </row>
    <row r="1874" spans="2:9">
      <c r="B1874" s="33"/>
      <c r="C1874" s="34"/>
      <c r="D1874" s="33"/>
      <c r="E1874" s="33"/>
      <c r="F1874" s="33"/>
      <c r="G1874" s="33"/>
      <c r="H1874" s="33"/>
      <c r="I1874" s="33"/>
    </row>
    <row r="1875" spans="2:9" ht="15.75">
      <c r="B1875" s="38">
        <v>6</v>
      </c>
      <c r="C1875" s="34"/>
      <c r="D1875" s="38">
        <v>3</v>
      </c>
      <c r="E1875" s="33"/>
      <c r="F1875" s="38">
        <v>3</v>
      </c>
      <c r="G1875" s="33"/>
      <c r="H1875" s="38">
        <v>3</v>
      </c>
      <c r="I1875" s="33"/>
    </row>
    <row r="1876" spans="2:9" ht="15.75">
      <c r="B1876" s="39"/>
      <c r="C1876" s="33"/>
      <c r="D1876" s="33"/>
      <c r="E1876" s="33"/>
      <c r="F1876" s="33"/>
      <c r="G1876" s="33"/>
      <c r="H1876" s="33"/>
      <c r="I1876" s="33"/>
    </row>
    <row r="1877" spans="2:9" ht="15.75">
      <c r="B1877" s="35" t="s">
        <v>20</v>
      </c>
      <c r="C1877" s="39"/>
      <c r="D1877" s="35" t="s">
        <v>22</v>
      </c>
      <c r="E1877" s="33"/>
      <c r="F1877" s="35" t="s">
        <v>22</v>
      </c>
      <c r="G1877" s="39"/>
      <c r="H1877" s="35" t="s">
        <v>23</v>
      </c>
      <c r="I1877" s="39"/>
    </row>
    <row r="1878" spans="2:9" ht="15.75">
      <c r="B1878" s="35" t="s">
        <v>623</v>
      </c>
      <c r="C1878" s="39"/>
      <c r="D1878" s="35" t="s">
        <v>623</v>
      </c>
      <c r="E1878" s="37"/>
      <c r="F1878" s="35" t="s">
        <v>507</v>
      </c>
      <c r="G1878" s="39"/>
      <c r="H1878" s="35" t="s">
        <v>507</v>
      </c>
      <c r="I1878" s="39"/>
    </row>
    <row r="1879" spans="2:9" ht="15.75">
      <c r="B1879" s="35" t="s">
        <v>632</v>
      </c>
      <c r="C1879" s="38">
        <v>4</v>
      </c>
      <c r="D1879" s="35" t="s">
        <v>511</v>
      </c>
      <c r="E1879" s="38">
        <v>4</v>
      </c>
      <c r="F1879" s="35" t="s">
        <v>511</v>
      </c>
      <c r="G1879" s="38">
        <v>4</v>
      </c>
      <c r="H1879" s="35" t="s">
        <v>511</v>
      </c>
      <c r="I1879" s="38">
        <v>6</v>
      </c>
    </row>
    <row r="1880" spans="2:9" ht="15.75">
      <c r="B1880" s="35" t="s">
        <v>1174</v>
      </c>
      <c r="C1880" s="39"/>
      <c r="D1880" s="35" t="s">
        <v>1113</v>
      </c>
      <c r="E1880" s="37"/>
      <c r="F1880" s="35" t="s">
        <v>1114</v>
      </c>
      <c r="G1880" s="39"/>
      <c r="H1880" s="35" t="s">
        <v>1114</v>
      </c>
      <c r="I1880" s="39"/>
    </row>
    <row r="1881" spans="2:9" ht="15.75">
      <c r="B1881" s="35" t="s">
        <v>940</v>
      </c>
      <c r="C1881" s="39"/>
      <c r="D1881" s="35" t="s">
        <v>940</v>
      </c>
      <c r="E1881" s="37"/>
      <c r="F1881" s="35" t="s">
        <v>940</v>
      </c>
      <c r="G1881" s="39"/>
      <c r="H1881" s="35" t="s">
        <v>940</v>
      </c>
      <c r="I1881" s="39"/>
    </row>
    <row r="1882" spans="2:9">
      <c r="B1882" s="33"/>
      <c r="C1882" s="33"/>
      <c r="D1882" s="33"/>
      <c r="E1882" s="33"/>
      <c r="F1882" s="33"/>
      <c r="G1882" s="33"/>
      <c r="H1882" s="33"/>
      <c r="I1882" s="33"/>
    </row>
    <row r="1883" spans="2:9" ht="15.75">
      <c r="B1883" s="38">
        <v>6</v>
      </c>
      <c r="C1883" s="33"/>
      <c r="D1883" s="38">
        <v>3</v>
      </c>
      <c r="E1883" s="33"/>
      <c r="F1883" s="38">
        <v>3</v>
      </c>
      <c r="G1883" s="33"/>
      <c r="H1883" s="38">
        <v>3</v>
      </c>
      <c r="I1883" s="33"/>
    </row>
    <row r="1884" spans="2:9" ht="15.75">
      <c r="B1884" s="39"/>
      <c r="C1884" s="33"/>
      <c r="D1884" s="33"/>
      <c r="E1884" s="33"/>
      <c r="F1884" s="33"/>
      <c r="G1884" s="33"/>
      <c r="H1884" s="33"/>
      <c r="I1884" s="33"/>
    </row>
    <row r="1885" spans="2:9" ht="15.75">
      <c r="B1885" s="35" t="s">
        <v>24</v>
      </c>
      <c r="C1885" s="39"/>
      <c r="D1885" s="35" t="s">
        <v>6</v>
      </c>
      <c r="E1885" s="33"/>
      <c r="F1885" s="35" t="s">
        <v>923</v>
      </c>
      <c r="G1885" s="39"/>
      <c r="H1885" s="35" t="s">
        <v>923</v>
      </c>
    </row>
    <row r="1886" spans="2:9" ht="15.75">
      <c r="B1886" s="35" t="s">
        <v>521</v>
      </c>
      <c r="C1886" s="39"/>
      <c r="D1886" s="35" t="s">
        <v>595</v>
      </c>
      <c r="E1886" s="37"/>
      <c r="F1886" s="35" t="s">
        <v>923</v>
      </c>
      <c r="G1886" s="39"/>
      <c r="H1886" s="35" t="s">
        <v>923</v>
      </c>
    </row>
    <row r="1887" spans="2:9" ht="15.75">
      <c r="B1887" s="35" t="s">
        <v>511</v>
      </c>
      <c r="C1887" s="38">
        <v>4</v>
      </c>
      <c r="D1887" s="35" t="s">
        <v>605</v>
      </c>
      <c r="E1887" s="38" t="s">
        <v>923</v>
      </c>
      <c r="F1887" s="35" t="s">
        <v>923</v>
      </c>
      <c r="G1887" s="38" t="s">
        <v>923</v>
      </c>
      <c r="H1887" s="35" t="s">
        <v>923</v>
      </c>
    </row>
    <row r="1888" spans="2:9" ht="15.75">
      <c r="B1888" s="35" t="s">
        <v>1114</v>
      </c>
      <c r="C1888" s="39"/>
      <c r="D1888" s="35" t="s">
        <v>1175</v>
      </c>
      <c r="E1888" s="37"/>
      <c r="F1888" s="35" t="s">
        <v>923</v>
      </c>
      <c r="G1888" s="39"/>
      <c r="H1888" s="35" t="s">
        <v>923</v>
      </c>
    </row>
    <row r="1889" spans="2:9" ht="15.75">
      <c r="B1889" s="35" t="s">
        <v>940</v>
      </c>
      <c r="C1889" s="39"/>
      <c r="D1889" s="35" t="s">
        <v>926</v>
      </c>
      <c r="E1889" s="37"/>
      <c r="F1889" s="35" t="s">
        <v>923</v>
      </c>
      <c r="G1889" s="39"/>
      <c r="H1889" s="35" t="s">
        <v>923</v>
      </c>
    </row>
    <row r="1891" spans="2:9">
      <c r="B1891" s="43" t="s">
        <v>100</v>
      </c>
      <c r="D1891" s="44" t="s">
        <v>1176</v>
      </c>
    </row>
    <row r="1892" spans="2:9">
      <c r="B1892" s="45"/>
    </row>
    <row r="1893" spans="2:9">
      <c r="B1893" s="46" t="s">
        <v>101</v>
      </c>
      <c r="D1893" s="47" t="s">
        <v>1177</v>
      </c>
    </row>
    <row r="1894" spans="2:9">
      <c r="B1894" s="50"/>
      <c r="C1894" s="49"/>
      <c r="D1894" s="49"/>
    </row>
    <row r="1895" spans="2:9">
      <c r="B1895" s="42" t="s">
        <v>841</v>
      </c>
    </row>
    <row r="1897" spans="2:9" ht="15.75">
      <c r="B1897" s="35" t="s">
        <v>5</v>
      </c>
      <c r="C1897" s="54"/>
      <c r="D1897" s="35" t="s">
        <v>17</v>
      </c>
      <c r="E1897" s="33"/>
      <c r="F1897" s="35" t="s">
        <v>18</v>
      </c>
      <c r="G1897" s="39"/>
      <c r="H1897" s="35" t="s">
        <v>19</v>
      </c>
      <c r="I1897" s="39"/>
    </row>
    <row r="1898" spans="2:9" ht="15.75">
      <c r="B1898" s="35" t="s">
        <v>453</v>
      </c>
      <c r="C1898" s="54"/>
      <c r="D1898" s="35" t="s">
        <v>754</v>
      </c>
      <c r="E1898" s="36"/>
      <c r="F1898" s="35" t="s">
        <v>714</v>
      </c>
      <c r="G1898" s="39"/>
      <c r="H1898" s="35" t="s">
        <v>624</v>
      </c>
      <c r="I1898" s="39"/>
    </row>
    <row r="1899" spans="2:9" ht="15.75">
      <c r="B1899" s="35" t="s">
        <v>576</v>
      </c>
      <c r="C1899" s="40">
        <v>4</v>
      </c>
      <c r="D1899" s="35" t="s">
        <v>658</v>
      </c>
      <c r="E1899" s="40">
        <v>4</v>
      </c>
      <c r="F1899" s="35" t="s">
        <v>633</v>
      </c>
      <c r="G1899" s="38">
        <v>4</v>
      </c>
      <c r="H1899" s="35" t="s">
        <v>633</v>
      </c>
      <c r="I1899" s="38">
        <v>6</v>
      </c>
    </row>
    <row r="1900" spans="2:9" ht="15.75">
      <c r="B1900" s="35" t="s">
        <v>1178</v>
      </c>
      <c r="C1900" s="54"/>
      <c r="D1900" s="35" t="s">
        <v>1179</v>
      </c>
      <c r="E1900" s="36"/>
      <c r="F1900" s="35" t="s">
        <v>1180</v>
      </c>
      <c r="G1900" s="39"/>
      <c r="H1900" s="35" t="s">
        <v>1180</v>
      </c>
      <c r="I1900" s="38"/>
    </row>
    <row r="1901" spans="2:9" ht="15.75">
      <c r="B1901" s="53" t="s">
        <v>927</v>
      </c>
      <c r="C1901" s="54"/>
      <c r="D1901" s="35" t="s">
        <v>940</v>
      </c>
      <c r="E1901" s="36"/>
      <c r="F1901" s="35" t="s">
        <v>940</v>
      </c>
      <c r="G1901" s="39"/>
      <c r="H1901" s="35" t="s">
        <v>940</v>
      </c>
      <c r="I1901" s="39"/>
    </row>
    <row r="1902" spans="2:9">
      <c r="B1902" s="33"/>
      <c r="C1902" s="34"/>
      <c r="D1902" s="33"/>
      <c r="E1902" s="33"/>
      <c r="F1902" s="33"/>
      <c r="G1902" s="33"/>
      <c r="H1902" s="33"/>
      <c r="I1902" s="33"/>
    </row>
    <row r="1903" spans="2:9" ht="15.75">
      <c r="B1903" s="38">
        <v>6</v>
      </c>
      <c r="C1903" s="34"/>
      <c r="D1903" s="38">
        <v>3</v>
      </c>
      <c r="E1903" s="33"/>
      <c r="F1903" s="38">
        <v>3</v>
      </c>
      <c r="G1903" s="33"/>
      <c r="H1903" s="38">
        <v>3</v>
      </c>
      <c r="I1903" s="33"/>
    </row>
    <row r="1904" spans="2:9" ht="15.75">
      <c r="B1904" s="39"/>
      <c r="C1904" s="33"/>
      <c r="D1904" s="33"/>
      <c r="E1904" s="33"/>
      <c r="F1904" s="33"/>
      <c r="G1904" s="33"/>
      <c r="H1904" s="33"/>
      <c r="I1904" s="33"/>
    </row>
    <row r="1905" spans="2:9" ht="15.75">
      <c r="B1905" s="35" t="s">
        <v>20</v>
      </c>
      <c r="C1905" s="39"/>
      <c r="D1905" s="35" t="s">
        <v>23</v>
      </c>
      <c r="E1905" s="33"/>
      <c r="F1905" s="35" t="s">
        <v>22</v>
      </c>
      <c r="G1905" s="39"/>
      <c r="H1905" s="35" t="s">
        <v>23</v>
      </c>
      <c r="I1905" s="39"/>
    </row>
    <row r="1906" spans="2:9" ht="15.75">
      <c r="B1906" s="35" t="s">
        <v>624</v>
      </c>
      <c r="C1906" s="39"/>
      <c r="D1906" s="35" t="s">
        <v>624</v>
      </c>
      <c r="E1906" s="37"/>
      <c r="F1906" s="35" t="s">
        <v>508</v>
      </c>
      <c r="G1906" s="39"/>
      <c r="H1906" s="35" t="s">
        <v>508</v>
      </c>
      <c r="I1906" s="39"/>
    </row>
    <row r="1907" spans="2:9" ht="15.75">
      <c r="B1907" s="35" t="s">
        <v>633</v>
      </c>
      <c r="C1907" s="38">
        <v>4</v>
      </c>
      <c r="D1907" s="35" t="s">
        <v>512</v>
      </c>
      <c r="E1907" s="38">
        <v>4</v>
      </c>
      <c r="F1907" s="35" t="s">
        <v>512</v>
      </c>
      <c r="G1907" s="38">
        <v>4</v>
      </c>
      <c r="H1907" s="35" t="s">
        <v>512</v>
      </c>
      <c r="I1907" s="38">
        <v>6</v>
      </c>
    </row>
    <row r="1908" spans="2:9" ht="15.75">
      <c r="B1908" s="35" t="s">
        <v>1180</v>
      </c>
      <c r="C1908" s="39"/>
      <c r="D1908" s="35" t="s">
        <v>1120</v>
      </c>
      <c r="E1908" s="37"/>
      <c r="F1908" s="35" t="s">
        <v>1121</v>
      </c>
      <c r="G1908" s="39"/>
      <c r="H1908" s="35" t="s">
        <v>1121</v>
      </c>
      <c r="I1908" s="39"/>
    </row>
    <row r="1909" spans="2:9" ht="15.75">
      <c r="B1909" s="35" t="s">
        <v>940</v>
      </c>
      <c r="C1909" s="39"/>
      <c r="D1909" s="35" t="s">
        <v>940</v>
      </c>
      <c r="E1909" s="37"/>
      <c r="F1909" s="35" t="s">
        <v>940</v>
      </c>
      <c r="G1909" s="39"/>
      <c r="H1909" s="35" t="s">
        <v>940</v>
      </c>
      <c r="I1909" s="39"/>
    </row>
    <row r="1910" spans="2:9">
      <c r="B1910" s="33"/>
      <c r="C1910" s="33"/>
      <c r="D1910" s="33"/>
      <c r="E1910" s="33"/>
      <c r="F1910" s="33"/>
      <c r="G1910" s="33"/>
      <c r="H1910" s="33"/>
      <c r="I1910" s="33"/>
    </row>
    <row r="1911" spans="2:9" ht="15.75">
      <c r="B1911" s="38">
        <v>6</v>
      </c>
      <c r="C1911" s="33"/>
      <c r="D1911" s="38">
        <v>3</v>
      </c>
      <c r="E1911" s="33"/>
      <c r="F1911" s="38">
        <v>3</v>
      </c>
      <c r="G1911" s="33"/>
      <c r="H1911" s="38">
        <v>3</v>
      </c>
      <c r="I1911" s="33"/>
    </row>
    <row r="1912" spans="2:9" ht="15.75">
      <c r="B1912" s="39"/>
      <c r="C1912" s="33"/>
      <c r="D1912" s="33"/>
      <c r="E1912" s="33"/>
      <c r="F1912" s="33"/>
      <c r="G1912" s="33"/>
      <c r="H1912" s="33"/>
      <c r="I1912" s="33"/>
    </row>
    <row r="1913" spans="2:9" ht="15.75">
      <c r="B1913" s="35" t="s">
        <v>24</v>
      </c>
      <c r="C1913" s="39"/>
      <c r="D1913" s="35" t="s">
        <v>25</v>
      </c>
      <c r="E1913" s="33"/>
      <c r="F1913" s="35" t="s">
        <v>6</v>
      </c>
      <c r="G1913" s="39"/>
      <c r="H1913" s="35" t="s">
        <v>923</v>
      </c>
    </row>
    <row r="1914" spans="2:9" ht="15.75">
      <c r="B1914" s="35" t="s">
        <v>522</v>
      </c>
      <c r="C1914" s="39"/>
      <c r="D1914" s="35" t="s">
        <v>508</v>
      </c>
      <c r="E1914" s="37"/>
      <c r="F1914" s="35" t="s">
        <v>596</v>
      </c>
      <c r="G1914" s="39"/>
      <c r="H1914" s="35" t="s">
        <v>923</v>
      </c>
    </row>
    <row r="1915" spans="2:9" ht="15.75">
      <c r="B1915" s="35" t="s">
        <v>512</v>
      </c>
      <c r="C1915" s="38">
        <v>4</v>
      </c>
      <c r="D1915" s="35" t="s">
        <v>512</v>
      </c>
      <c r="E1915" s="38">
        <v>4</v>
      </c>
      <c r="F1915" s="35" t="s">
        <v>606</v>
      </c>
      <c r="G1915" s="38" t="s">
        <v>923</v>
      </c>
      <c r="H1915" s="35" t="s">
        <v>923</v>
      </c>
    </row>
    <row r="1916" spans="2:9" ht="15.75">
      <c r="B1916" s="35" t="s">
        <v>1121</v>
      </c>
      <c r="C1916" s="39"/>
      <c r="D1916" s="35" t="s">
        <v>1121</v>
      </c>
      <c r="E1916" s="37"/>
      <c r="F1916" s="35" t="s">
        <v>1181</v>
      </c>
      <c r="G1916" s="39"/>
      <c r="H1916" s="35" t="s">
        <v>923</v>
      </c>
    </row>
    <row r="1917" spans="2:9" ht="15.75">
      <c r="B1917" s="35" t="s">
        <v>940</v>
      </c>
      <c r="C1917" s="39"/>
      <c r="D1917" s="35" t="s">
        <v>940</v>
      </c>
      <c r="E1917" s="37"/>
      <c r="F1917" s="35" t="s">
        <v>926</v>
      </c>
      <c r="G1917" s="39"/>
      <c r="H1917" s="35" t="s">
        <v>923</v>
      </c>
    </row>
    <row r="1919" spans="2:9">
      <c r="B1919" s="43" t="s">
        <v>100</v>
      </c>
      <c r="D1919" s="44" t="s">
        <v>1182</v>
      </c>
    </row>
    <row r="1920" spans="2:9">
      <c r="B1920" s="45"/>
    </row>
    <row r="1921" spans="2:9">
      <c r="B1921" s="46" t="s">
        <v>101</v>
      </c>
      <c r="D1921" s="47" t="s">
        <v>1183</v>
      </c>
    </row>
    <row r="1922" spans="2:9">
      <c r="B1922" s="50"/>
      <c r="C1922" s="49"/>
      <c r="D1922" s="49"/>
    </row>
    <row r="1923" spans="2:9">
      <c r="B1923" s="42" t="s">
        <v>842</v>
      </c>
    </row>
    <row r="1925" spans="2:9" ht="15.75">
      <c r="B1925" s="35" t="s">
        <v>5</v>
      </c>
      <c r="C1925" s="54"/>
      <c r="D1925" s="35" t="s">
        <v>17</v>
      </c>
      <c r="E1925" s="33"/>
      <c r="F1925" s="35" t="s">
        <v>18</v>
      </c>
      <c r="G1925" s="39"/>
      <c r="H1925" s="35" t="s">
        <v>19</v>
      </c>
      <c r="I1925" s="39"/>
    </row>
    <row r="1926" spans="2:9" ht="15.75">
      <c r="B1926" s="35" t="s">
        <v>454</v>
      </c>
      <c r="C1926" s="54"/>
      <c r="D1926" s="35" t="s">
        <v>755</v>
      </c>
      <c r="E1926" s="36"/>
      <c r="F1926" s="35" t="s">
        <v>715</v>
      </c>
      <c r="G1926" s="39"/>
      <c r="H1926" s="35" t="s">
        <v>625</v>
      </c>
      <c r="I1926" s="39"/>
    </row>
    <row r="1927" spans="2:9" ht="15.75">
      <c r="B1927" s="35" t="s">
        <v>577</v>
      </c>
      <c r="C1927" s="40">
        <v>4</v>
      </c>
      <c r="D1927" s="35" t="s">
        <v>649</v>
      </c>
      <c r="E1927" s="40">
        <v>4</v>
      </c>
      <c r="F1927" s="35" t="s">
        <v>259</v>
      </c>
      <c r="G1927" s="38">
        <v>4</v>
      </c>
      <c r="H1927" s="35" t="s">
        <v>259</v>
      </c>
      <c r="I1927" s="38">
        <v>6</v>
      </c>
    </row>
    <row r="1928" spans="2:9" ht="15.75">
      <c r="B1928" s="35" t="s">
        <v>1184</v>
      </c>
      <c r="C1928" s="54"/>
      <c r="D1928" s="35" t="s">
        <v>1185</v>
      </c>
      <c r="E1928" s="36"/>
      <c r="F1928" s="35" t="s">
        <v>1186</v>
      </c>
      <c r="G1928" s="39"/>
      <c r="H1928" s="35" t="s">
        <v>1186</v>
      </c>
      <c r="I1928" s="38"/>
    </row>
    <row r="1929" spans="2:9" ht="15.75">
      <c r="B1929" s="53" t="s">
        <v>927</v>
      </c>
      <c r="C1929" s="54"/>
      <c r="D1929" s="35" t="s">
        <v>940</v>
      </c>
      <c r="E1929" s="36"/>
      <c r="F1929" s="35" t="s">
        <v>940</v>
      </c>
      <c r="G1929" s="39"/>
      <c r="H1929" s="35" t="s">
        <v>940</v>
      </c>
      <c r="I1929" s="39"/>
    </row>
    <row r="1930" spans="2:9">
      <c r="B1930" s="33"/>
      <c r="C1930" s="34"/>
      <c r="D1930" s="33"/>
      <c r="E1930" s="33"/>
      <c r="F1930" s="33"/>
      <c r="G1930" s="33"/>
      <c r="H1930" s="33"/>
      <c r="I1930" s="33"/>
    </row>
    <row r="1931" spans="2:9" ht="15.75">
      <c r="B1931" s="38">
        <v>6</v>
      </c>
      <c r="C1931" s="34"/>
      <c r="D1931" s="38">
        <v>3</v>
      </c>
      <c r="E1931" s="33"/>
      <c r="F1931" s="38">
        <v>3</v>
      </c>
      <c r="G1931" s="33"/>
      <c r="H1931" s="38">
        <v>3</v>
      </c>
      <c r="I1931" s="33"/>
    </row>
    <row r="1932" spans="2:9" ht="15.75">
      <c r="B1932" s="39"/>
      <c r="C1932" s="33"/>
      <c r="D1932" s="33"/>
      <c r="E1932" s="33"/>
      <c r="F1932" s="33"/>
      <c r="G1932" s="33"/>
      <c r="H1932" s="33"/>
      <c r="I1932" s="33"/>
    </row>
    <row r="1933" spans="2:9" ht="15.75">
      <c r="B1933" s="35" t="s">
        <v>20</v>
      </c>
      <c r="C1933" s="39"/>
      <c r="D1933" s="35" t="s">
        <v>24</v>
      </c>
      <c r="E1933" s="33"/>
      <c r="F1933" s="35" t="s">
        <v>22</v>
      </c>
      <c r="G1933" s="39"/>
      <c r="H1933" s="35" t="s">
        <v>23</v>
      </c>
      <c r="I1933" s="39"/>
    </row>
    <row r="1934" spans="2:9" ht="15.75">
      <c r="B1934" s="35" t="s">
        <v>625</v>
      </c>
      <c r="C1934" s="39"/>
      <c r="D1934" s="35" t="s">
        <v>625</v>
      </c>
      <c r="E1934" s="37"/>
      <c r="F1934" s="35" t="s">
        <v>241</v>
      </c>
      <c r="G1934" s="39"/>
      <c r="H1934" s="35" t="s">
        <v>241</v>
      </c>
      <c r="I1934" s="39"/>
    </row>
    <row r="1935" spans="2:9" ht="15.75">
      <c r="B1935" s="35" t="s">
        <v>259</v>
      </c>
      <c r="C1935" s="38">
        <v>4</v>
      </c>
      <c r="D1935" s="35" t="s">
        <v>249</v>
      </c>
      <c r="E1935" s="38">
        <v>4</v>
      </c>
      <c r="F1935" s="35" t="s">
        <v>249</v>
      </c>
      <c r="G1935" s="38">
        <v>4</v>
      </c>
      <c r="H1935" s="35" t="s">
        <v>249</v>
      </c>
      <c r="I1935" s="38">
        <v>6</v>
      </c>
    </row>
    <row r="1936" spans="2:9" ht="15.75">
      <c r="B1936" s="35" t="s">
        <v>1186</v>
      </c>
      <c r="C1936" s="39"/>
      <c r="D1936" s="35" t="s">
        <v>1127</v>
      </c>
      <c r="E1936" s="37"/>
      <c r="F1936" s="35" t="s">
        <v>1127</v>
      </c>
      <c r="G1936" s="39"/>
      <c r="H1936" s="35" t="s">
        <v>1127</v>
      </c>
      <c r="I1936" s="39"/>
    </row>
    <row r="1937" spans="2:9" ht="15.75">
      <c r="B1937" s="35" t="s">
        <v>940</v>
      </c>
      <c r="C1937" s="39"/>
      <c r="D1937" s="35" t="s">
        <v>940</v>
      </c>
      <c r="E1937" s="37"/>
      <c r="F1937" s="35" t="s">
        <v>940</v>
      </c>
      <c r="G1937" s="39"/>
      <c r="H1937" s="35" t="s">
        <v>940</v>
      </c>
      <c r="I1937" s="39"/>
    </row>
    <row r="1938" spans="2:9">
      <c r="B1938" s="33"/>
      <c r="C1938" s="33"/>
      <c r="D1938" s="33"/>
      <c r="E1938" s="33"/>
      <c r="F1938" s="33"/>
      <c r="G1938" s="33"/>
      <c r="H1938" s="33"/>
      <c r="I1938" s="33"/>
    </row>
    <row r="1939" spans="2:9" ht="15.75">
      <c r="B1939" s="38">
        <v>6</v>
      </c>
      <c r="C1939" s="33"/>
      <c r="D1939" s="38">
        <v>3</v>
      </c>
      <c r="E1939" s="33"/>
      <c r="F1939" s="38">
        <v>3</v>
      </c>
      <c r="G1939" s="33"/>
      <c r="H1939" s="38">
        <v>3</v>
      </c>
      <c r="I1939" s="33"/>
    </row>
    <row r="1940" spans="2:9" ht="15.75">
      <c r="B1940" s="39"/>
      <c r="C1940" s="33"/>
      <c r="D1940" s="33"/>
      <c r="E1940" s="33"/>
      <c r="F1940" s="33"/>
      <c r="G1940" s="33"/>
      <c r="H1940" s="33"/>
      <c r="I1940" s="33"/>
    </row>
    <row r="1941" spans="2:9" ht="15.75">
      <c r="B1941" s="35" t="s">
        <v>24</v>
      </c>
      <c r="C1941" s="39"/>
      <c r="D1941" s="35" t="s">
        <v>25</v>
      </c>
      <c r="E1941" s="33"/>
      <c r="F1941" s="35" t="s">
        <v>26</v>
      </c>
      <c r="G1941" s="39"/>
      <c r="H1941" s="35" t="s">
        <v>6</v>
      </c>
    </row>
    <row r="1942" spans="2:9" ht="15.75">
      <c r="B1942" s="35" t="s">
        <v>523</v>
      </c>
      <c r="C1942" s="39"/>
      <c r="D1942" s="35" t="s">
        <v>241</v>
      </c>
      <c r="E1942" s="37"/>
      <c r="F1942" s="35" t="s">
        <v>517</v>
      </c>
      <c r="G1942" s="39"/>
      <c r="H1942" s="35" t="s">
        <v>597</v>
      </c>
    </row>
    <row r="1943" spans="2:9" ht="15.75">
      <c r="B1943" s="35" t="s">
        <v>249</v>
      </c>
      <c r="C1943" s="38">
        <v>4</v>
      </c>
      <c r="D1943" s="35" t="s">
        <v>249</v>
      </c>
      <c r="E1943" s="38">
        <v>4</v>
      </c>
      <c r="F1943" s="35" t="s">
        <v>249</v>
      </c>
      <c r="G1943" s="38">
        <v>4</v>
      </c>
      <c r="H1943" s="35" t="s">
        <v>607</v>
      </c>
    </row>
    <row r="1944" spans="2:9" ht="15.75">
      <c r="B1944" s="35" t="s">
        <v>1127</v>
      </c>
      <c r="C1944" s="39"/>
      <c r="D1944" s="35" t="s">
        <v>1127</v>
      </c>
      <c r="E1944" s="37"/>
      <c r="F1944" s="35" t="s">
        <v>1127</v>
      </c>
      <c r="G1944" s="39"/>
      <c r="H1944" s="35" t="s">
        <v>1187</v>
      </c>
    </row>
    <row r="1945" spans="2:9" ht="15.75">
      <c r="B1945" s="35" t="s">
        <v>940</v>
      </c>
      <c r="C1945" s="39"/>
      <c r="D1945" s="35" t="s">
        <v>940</v>
      </c>
      <c r="E1945" s="37"/>
      <c r="F1945" s="35" t="s">
        <v>940</v>
      </c>
      <c r="G1945" s="39"/>
      <c r="H1945" s="35" t="s">
        <v>926</v>
      </c>
    </row>
    <row r="1947" spans="2:9">
      <c r="B1947" s="43" t="s">
        <v>100</v>
      </c>
      <c r="D1947" s="44" t="s">
        <v>1188</v>
      </c>
    </row>
    <row r="1948" spans="2:9">
      <c r="B1948" s="45"/>
    </row>
    <row r="1949" spans="2:9">
      <c r="B1949" s="46" t="s">
        <v>101</v>
      </c>
      <c r="D1949" s="47" t="s">
        <v>1189</v>
      </c>
    </row>
    <row r="1951" spans="2:9">
      <c r="B1951" s="55" t="s">
        <v>843</v>
      </c>
    </row>
    <row r="1953" spans="2:9">
      <c r="B1953" s="42" t="s">
        <v>844</v>
      </c>
    </row>
    <row r="1955" spans="2:9" ht="15.75">
      <c r="B1955" s="35" t="s">
        <v>5</v>
      </c>
      <c r="C1955" s="54"/>
      <c r="D1955" s="35" t="s">
        <v>17</v>
      </c>
      <c r="E1955" s="33"/>
      <c r="F1955" s="35" t="s">
        <v>6</v>
      </c>
      <c r="G1955" s="39"/>
      <c r="H1955" s="35" t="s">
        <v>923</v>
      </c>
      <c r="I1955" s="39"/>
    </row>
    <row r="1956" spans="2:9" ht="15.75">
      <c r="B1956" s="35" t="s">
        <v>424</v>
      </c>
      <c r="C1956" s="54"/>
      <c r="D1956" s="35" t="s">
        <v>746</v>
      </c>
      <c r="E1956" s="36"/>
      <c r="F1956" s="35" t="s">
        <v>588</v>
      </c>
      <c r="G1956" s="39"/>
      <c r="H1956" s="35" t="s">
        <v>923</v>
      </c>
      <c r="I1956" s="39"/>
    </row>
    <row r="1957" spans="2:9" ht="15.75">
      <c r="B1957" s="35" t="s">
        <v>568</v>
      </c>
      <c r="C1957" s="40">
        <v>4</v>
      </c>
      <c r="D1957" s="35" t="s">
        <v>650</v>
      </c>
      <c r="E1957" s="40">
        <v>4</v>
      </c>
      <c r="F1957" s="35" t="s">
        <v>598</v>
      </c>
      <c r="G1957" s="38" t="s">
        <v>923</v>
      </c>
      <c r="H1957" s="35" t="s">
        <v>923</v>
      </c>
      <c r="I1957" s="38" t="s">
        <v>923</v>
      </c>
    </row>
    <row r="1958" spans="2:9" ht="15.75">
      <c r="B1958" s="35" t="s">
        <v>1131</v>
      </c>
      <c r="C1958" s="54"/>
      <c r="D1958" s="35" t="s">
        <v>1132</v>
      </c>
      <c r="E1958" s="36"/>
      <c r="F1958" s="35" t="s">
        <v>1133</v>
      </c>
      <c r="G1958" s="39"/>
      <c r="H1958" s="35" t="s">
        <v>923</v>
      </c>
      <c r="I1958" s="38"/>
    </row>
    <row r="1959" spans="2:9" ht="15.75">
      <c r="B1959" s="53" t="s">
        <v>927</v>
      </c>
      <c r="C1959" s="54"/>
      <c r="D1959" s="35" t="s">
        <v>940</v>
      </c>
      <c r="E1959" s="36"/>
      <c r="F1959" s="35" t="s">
        <v>926</v>
      </c>
      <c r="G1959" s="39"/>
      <c r="H1959" s="35" t="s">
        <v>923</v>
      </c>
      <c r="I1959" s="39"/>
    </row>
    <row r="1960" spans="2:9">
      <c r="B1960" s="33"/>
      <c r="C1960" s="34"/>
      <c r="D1960" s="33"/>
      <c r="E1960" s="33"/>
      <c r="F1960" s="33"/>
      <c r="G1960" s="33"/>
      <c r="H1960" s="33"/>
      <c r="I1960" s="33"/>
    </row>
    <row r="1961" spans="2:9">
      <c r="B1961" s="43" t="s">
        <v>100</v>
      </c>
      <c r="D1961" s="44" t="s">
        <v>1134</v>
      </c>
    </row>
    <row r="1962" spans="2:9">
      <c r="B1962" s="45"/>
    </row>
    <row r="1963" spans="2:9">
      <c r="B1963" s="46" t="s">
        <v>101</v>
      </c>
      <c r="D1963" s="47" t="s">
        <v>1135</v>
      </c>
    </row>
    <row r="1965" spans="2:9">
      <c r="B1965" s="42" t="s">
        <v>845</v>
      </c>
    </row>
    <row r="1967" spans="2:9" ht="15.75">
      <c r="B1967" s="35" t="s">
        <v>5</v>
      </c>
      <c r="C1967" s="54"/>
      <c r="D1967" s="35" t="s">
        <v>17</v>
      </c>
      <c r="E1967" s="33"/>
      <c r="F1967" s="35" t="s">
        <v>18</v>
      </c>
      <c r="G1967" s="39"/>
      <c r="H1967" s="35" t="s">
        <v>6</v>
      </c>
      <c r="I1967" s="39"/>
    </row>
    <row r="1968" spans="2:9" ht="15.75">
      <c r="B1968" s="35" t="s">
        <v>446</v>
      </c>
      <c r="C1968" s="54"/>
      <c r="D1968" s="35" t="s">
        <v>747</v>
      </c>
      <c r="E1968" s="36"/>
      <c r="F1968" s="35" t="s">
        <v>707</v>
      </c>
      <c r="G1968" s="39"/>
      <c r="H1968" s="35" t="s">
        <v>589</v>
      </c>
      <c r="I1968" s="39"/>
    </row>
    <row r="1969" spans="2:9" ht="15.75">
      <c r="B1969" s="35" t="s">
        <v>569</v>
      </c>
      <c r="C1969" s="40">
        <v>4</v>
      </c>
      <c r="D1969" s="35" t="s">
        <v>651</v>
      </c>
      <c r="E1969" s="40">
        <v>4</v>
      </c>
      <c r="F1969" s="35" t="s">
        <v>626</v>
      </c>
      <c r="G1969" s="38">
        <v>4</v>
      </c>
      <c r="H1969" s="35" t="s">
        <v>599</v>
      </c>
      <c r="I1969" s="38" t="s">
        <v>923</v>
      </c>
    </row>
    <row r="1970" spans="2:9" ht="15.75">
      <c r="B1970" s="35" t="s">
        <v>1136</v>
      </c>
      <c r="C1970" s="54"/>
      <c r="D1970" s="35" t="s">
        <v>1137</v>
      </c>
      <c r="E1970" s="36"/>
      <c r="F1970" s="35" t="s">
        <v>1138</v>
      </c>
      <c r="G1970" s="39"/>
      <c r="H1970" s="35" t="s">
        <v>1139</v>
      </c>
      <c r="I1970" s="38"/>
    </row>
    <row r="1971" spans="2:9" ht="15.75">
      <c r="B1971" s="53" t="s">
        <v>927</v>
      </c>
      <c r="C1971" s="54"/>
      <c r="D1971" s="35" t="s">
        <v>940</v>
      </c>
      <c r="E1971" s="36"/>
      <c r="F1971" s="35" t="s">
        <v>940</v>
      </c>
      <c r="G1971" s="39"/>
      <c r="H1971" s="35" t="s">
        <v>926</v>
      </c>
      <c r="I1971" s="39"/>
    </row>
    <row r="1972" spans="2:9">
      <c r="B1972" s="33"/>
      <c r="C1972" s="34"/>
      <c r="D1972" s="33"/>
      <c r="E1972" s="33"/>
      <c r="F1972" s="33"/>
      <c r="G1972" s="33"/>
      <c r="H1972" s="33"/>
      <c r="I1972" s="33"/>
    </row>
    <row r="1973" spans="2:9">
      <c r="B1973" s="43" t="s">
        <v>100</v>
      </c>
      <c r="D1973" s="44" t="s">
        <v>1140</v>
      </c>
    </row>
    <row r="1974" spans="2:9">
      <c r="B1974" s="45"/>
    </row>
    <row r="1975" spans="2:9">
      <c r="B1975" s="46" t="s">
        <v>101</v>
      </c>
      <c r="D1975" s="47" t="s">
        <v>1141</v>
      </c>
    </row>
    <row r="1977" spans="2:9">
      <c r="B1977" s="42" t="s">
        <v>846</v>
      </c>
    </row>
    <row r="1979" spans="2:9" ht="15.75">
      <c r="B1979" s="35" t="s">
        <v>5</v>
      </c>
      <c r="C1979" s="54"/>
      <c r="D1979" s="35" t="s">
        <v>17</v>
      </c>
      <c r="E1979" s="33"/>
      <c r="F1979" s="35" t="s">
        <v>18</v>
      </c>
      <c r="G1979" s="39"/>
      <c r="H1979" s="35" t="s">
        <v>19</v>
      </c>
      <c r="I1979" s="39"/>
    </row>
    <row r="1980" spans="2:9" ht="15.75">
      <c r="B1980" s="35" t="s">
        <v>447</v>
      </c>
      <c r="C1980" s="54"/>
      <c r="D1980" s="35" t="s">
        <v>748</v>
      </c>
      <c r="E1980" s="36"/>
      <c r="F1980" s="35" t="s">
        <v>708</v>
      </c>
      <c r="G1980" s="39"/>
      <c r="H1980" s="35" t="s">
        <v>618</v>
      </c>
      <c r="I1980" s="39"/>
    </row>
    <row r="1981" spans="2:9" ht="15.75">
      <c r="B1981" s="35" t="s">
        <v>570</v>
      </c>
      <c r="C1981" s="40">
        <v>4</v>
      </c>
      <c r="D1981" s="35" t="s">
        <v>652</v>
      </c>
      <c r="E1981" s="40">
        <v>4</v>
      </c>
      <c r="F1981" s="35" t="s">
        <v>627</v>
      </c>
      <c r="G1981" s="38">
        <v>4</v>
      </c>
      <c r="H1981" s="35" t="s">
        <v>627</v>
      </c>
      <c r="I1981" s="38">
        <v>6</v>
      </c>
    </row>
    <row r="1982" spans="2:9" ht="15.75">
      <c r="B1982" s="35" t="s">
        <v>1142</v>
      </c>
      <c r="C1982" s="54"/>
      <c r="D1982" s="35" t="s">
        <v>1143</v>
      </c>
      <c r="E1982" s="36"/>
      <c r="F1982" s="35" t="s">
        <v>1144</v>
      </c>
      <c r="G1982" s="39"/>
      <c r="H1982" s="35" t="s">
        <v>1144</v>
      </c>
      <c r="I1982" s="38"/>
    </row>
    <row r="1983" spans="2:9" ht="15.75">
      <c r="B1983" s="53" t="s">
        <v>927</v>
      </c>
      <c r="C1983" s="54"/>
      <c r="D1983" s="35" t="s">
        <v>940</v>
      </c>
      <c r="E1983" s="36"/>
      <c r="F1983" s="35" t="s">
        <v>940</v>
      </c>
      <c r="G1983" s="39"/>
      <c r="H1983" s="35" t="s">
        <v>940</v>
      </c>
      <c r="I1983" s="39"/>
    </row>
    <row r="1984" spans="2:9">
      <c r="B1984" s="33"/>
      <c r="C1984" s="34"/>
      <c r="D1984" s="33"/>
      <c r="E1984" s="33"/>
      <c r="F1984" s="33"/>
      <c r="G1984" s="33"/>
      <c r="H1984" s="33"/>
      <c r="I1984" s="33"/>
    </row>
    <row r="1985" spans="2:9" ht="15.75">
      <c r="B1985" s="38">
        <v>6</v>
      </c>
      <c r="C1985" s="34"/>
      <c r="D1985" s="38">
        <v>3</v>
      </c>
      <c r="E1985" s="33"/>
      <c r="F1985" s="38">
        <v>3</v>
      </c>
      <c r="G1985" s="33"/>
      <c r="H1985" s="38">
        <v>3</v>
      </c>
      <c r="I1985" s="33"/>
    </row>
    <row r="1986" spans="2:9" ht="15.75">
      <c r="B1986" s="39"/>
      <c r="C1986" s="33"/>
      <c r="D1986" s="33"/>
      <c r="E1986" s="33"/>
      <c r="F1986" s="33"/>
      <c r="G1986" s="33"/>
      <c r="H1986" s="33"/>
      <c r="I1986" s="33"/>
    </row>
    <row r="1987" spans="2:9" ht="15.75">
      <c r="B1987" s="35" t="s">
        <v>6</v>
      </c>
      <c r="C1987" s="39"/>
      <c r="D1987" s="35" t="s">
        <v>923</v>
      </c>
      <c r="E1987" s="33"/>
      <c r="F1987" s="35" t="s">
        <v>923</v>
      </c>
      <c r="G1987" s="39"/>
      <c r="H1987" s="35" t="s">
        <v>923</v>
      </c>
      <c r="I1987" s="39"/>
    </row>
    <row r="1988" spans="2:9" ht="15.75">
      <c r="B1988" s="35" t="s">
        <v>590</v>
      </c>
      <c r="C1988" s="39"/>
      <c r="D1988" s="35" t="s">
        <v>923</v>
      </c>
      <c r="E1988" s="37"/>
      <c r="F1988" s="35" t="s">
        <v>923</v>
      </c>
      <c r="G1988" s="39"/>
      <c r="H1988" s="35" t="s">
        <v>923</v>
      </c>
      <c r="I1988" s="39"/>
    </row>
    <row r="1989" spans="2:9" ht="15.75">
      <c r="B1989" s="35" t="s">
        <v>600</v>
      </c>
      <c r="C1989" s="38" t="s">
        <v>923</v>
      </c>
      <c r="D1989" s="35" t="s">
        <v>923</v>
      </c>
      <c r="E1989" s="38" t="s">
        <v>923</v>
      </c>
      <c r="F1989" s="35" t="s">
        <v>923</v>
      </c>
      <c r="G1989" s="38" t="s">
        <v>923</v>
      </c>
      <c r="H1989" s="35" t="s">
        <v>923</v>
      </c>
      <c r="I1989" s="38" t="s">
        <v>923</v>
      </c>
    </row>
    <row r="1990" spans="2:9" ht="15.75">
      <c r="B1990" s="35" t="s">
        <v>1145</v>
      </c>
      <c r="C1990" s="39"/>
      <c r="D1990" s="35" t="s">
        <v>923</v>
      </c>
      <c r="E1990" s="37"/>
      <c r="F1990" s="35" t="s">
        <v>923</v>
      </c>
      <c r="G1990" s="39"/>
      <c r="H1990" s="35" t="s">
        <v>923</v>
      </c>
      <c r="I1990" s="39"/>
    </row>
    <row r="1991" spans="2:9" ht="15.75">
      <c r="B1991" s="35" t="s">
        <v>926</v>
      </c>
      <c r="C1991" s="39"/>
      <c r="D1991" s="35" t="s">
        <v>923</v>
      </c>
      <c r="E1991" s="37"/>
      <c r="F1991" s="35" t="s">
        <v>923</v>
      </c>
      <c r="G1991" s="39"/>
      <c r="H1991" s="35" t="s">
        <v>923</v>
      </c>
      <c r="I1991" s="39"/>
    </row>
    <row r="1992" spans="2:9">
      <c r="B1992" s="33"/>
      <c r="C1992" s="33"/>
      <c r="D1992" s="33"/>
      <c r="E1992" s="33"/>
      <c r="F1992" s="33"/>
      <c r="G1992" s="33"/>
      <c r="H1992" s="33"/>
      <c r="I1992" s="33"/>
    </row>
    <row r="1993" spans="2:9">
      <c r="B1993" s="43" t="s">
        <v>100</v>
      </c>
      <c r="D1993" s="44" t="s">
        <v>1146</v>
      </c>
    </row>
    <row r="1994" spans="2:9">
      <c r="B1994" s="45"/>
    </row>
    <row r="1995" spans="2:9">
      <c r="B1995" s="46" t="s">
        <v>101</v>
      </c>
      <c r="D1995" s="47" t="s">
        <v>1147</v>
      </c>
    </row>
    <row r="1997" spans="2:9">
      <c r="B1997" s="42" t="s">
        <v>847</v>
      </c>
    </row>
    <row r="1999" spans="2:9" ht="15.75">
      <c r="B1999" s="35" t="s">
        <v>5</v>
      </c>
      <c r="C1999" s="54"/>
      <c r="D1999" s="35" t="s">
        <v>17</v>
      </c>
      <c r="E1999" s="33"/>
      <c r="F1999" s="35" t="s">
        <v>18</v>
      </c>
      <c r="G1999" s="39"/>
      <c r="H1999" s="35" t="s">
        <v>19</v>
      </c>
      <c r="I1999" s="39"/>
    </row>
    <row r="2000" spans="2:9" ht="15.75">
      <c r="B2000" s="35" t="s">
        <v>448</v>
      </c>
      <c r="C2000" s="54"/>
      <c r="D2000" s="35" t="s">
        <v>749</v>
      </c>
      <c r="E2000" s="36"/>
      <c r="F2000" s="35" t="s">
        <v>709</v>
      </c>
      <c r="G2000" s="39"/>
      <c r="H2000" s="35" t="s">
        <v>619</v>
      </c>
      <c r="I2000" s="39"/>
    </row>
    <row r="2001" spans="2:9" ht="15.75">
      <c r="B2001" s="35" t="s">
        <v>571</v>
      </c>
      <c r="C2001" s="40">
        <v>4</v>
      </c>
      <c r="D2001" s="35" t="s">
        <v>653</v>
      </c>
      <c r="E2001" s="40">
        <v>4</v>
      </c>
      <c r="F2001" s="35" t="s">
        <v>628</v>
      </c>
      <c r="G2001" s="38">
        <v>4</v>
      </c>
      <c r="H2001" s="35" t="s">
        <v>628</v>
      </c>
      <c r="I2001" s="38">
        <v>6</v>
      </c>
    </row>
    <row r="2002" spans="2:9" ht="15.75">
      <c r="B2002" s="35" t="s">
        <v>1148</v>
      </c>
      <c r="C2002" s="54"/>
      <c r="D2002" s="35" t="s">
        <v>1149</v>
      </c>
      <c r="E2002" s="36"/>
      <c r="F2002" s="35" t="s">
        <v>1150</v>
      </c>
      <c r="G2002" s="39"/>
      <c r="H2002" s="35" t="s">
        <v>1150</v>
      </c>
      <c r="I2002" s="38"/>
    </row>
    <row r="2003" spans="2:9" ht="15.75">
      <c r="B2003" s="53" t="s">
        <v>927</v>
      </c>
      <c r="C2003" s="54"/>
      <c r="D2003" s="35" t="s">
        <v>940</v>
      </c>
      <c r="E2003" s="36"/>
      <c r="F2003" s="35" t="s">
        <v>940</v>
      </c>
      <c r="G2003" s="39"/>
      <c r="H2003" s="35" t="s">
        <v>940</v>
      </c>
      <c r="I2003" s="39"/>
    </row>
    <row r="2004" spans="2:9">
      <c r="B2004" s="33"/>
      <c r="C2004" s="34"/>
      <c r="D2004" s="33"/>
      <c r="E2004" s="33"/>
      <c r="F2004" s="33"/>
      <c r="G2004" s="33"/>
      <c r="H2004" s="33"/>
      <c r="I2004" s="33"/>
    </row>
    <row r="2005" spans="2:9" ht="15.75">
      <c r="B2005" s="38">
        <v>6</v>
      </c>
      <c r="C2005" s="34"/>
      <c r="D2005" s="38">
        <v>3</v>
      </c>
      <c r="E2005" s="33"/>
      <c r="F2005" s="38">
        <v>3</v>
      </c>
      <c r="G2005" s="33"/>
      <c r="H2005" s="38">
        <v>3</v>
      </c>
      <c r="I2005" s="33"/>
    </row>
    <row r="2006" spans="2:9" ht="15.75">
      <c r="B2006" s="39"/>
      <c r="C2006" s="33"/>
      <c r="D2006" s="33"/>
      <c r="E2006" s="33"/>
      <c r="F2006" s="33"/>
      <c r="G2006" s="33"/>
      <c r="H2006" s="33"/>
      <c r="I2006" s="33"/>
    </row>
    <row r="2007" spans="2:9" ht="15.75">
      <c r="B2007" s="35" t="s">
        <v>20</v>
      </c>
      <c r="C2007" s="39"/>
      <c r="D2007" s="35" t="s">
        <v>6</v>
      </c>
      <c r="E2007" s="33"/>
      <c r="F2007" s="35" t="s">
        <v>923</v>
      </c>
      <c r="G2007" s="39"/>
      <c r="H2007" s="35" t="s">
        <v>923</v>
      </c>
      <c r="I2007" s="39"/>
    </row>
    <row r="2008" spans="2:9" ht="15.75">
      <c r="B2008" s="35" t="s">
        <v>619</v>
      </c>
      <c r="C2008" s="39"/>
      <c r="D2008" s="35" t="s">
        <v>591</v>
      </c>
      <c r="E2008" s="37"/>
      <c r="F2008" s="35" t="s">
        <v>923</v>
      </c>
      <c r="G2008" s="39"/>
      <c r="H2008" s="35" t="s">
        <v>923</v>
      </c>
      <c r="I2008" s="39"/>
    </row>
    <row r="2009" spans="2:9" ht="15.75">
      <c r="B2009" s="35" t="s">
        <v>628</v>
      </c>
      <c r="C2009" s="38">
        <v>4</v>
      </c>
      <c r="D2009" s="35" t="s">
        <v>601</v>
      </c>
      <c r="E2009" s="38" t="s">
        <v>923</v>
      </c>
      <c r="F2009" s="35" t="s">
        <v>923</v>
      </c>
      <c r="G2009" s="38" t="s">
        <v>923</v>
      </c>
      <c r="H2009" s="35" t="s">
        <v>923</v>
      </c>
      <c r="I2009" s="38" t="s">
        <v>923</v>
      </c>
    </row>
    <row r="2010" spans="2:9" ht="15.75">
      <c r="B2010" s="35" t="s">
        <v>1150</v>
      </c>
      <c r="C2010" s="39"/>
      <c r="D2010" s="35" t="s">
        <v>1151</v>
      </c>
      <c r="E2010" s="37"/>
      <c r="F2010" s="35" t="s">
        <v>923</v>
      </c>
      <c r="G2010" s="39"/>
      <c r="H2010" s="35" t="s">
        <v>923</v>
      </c>
      <c r="I2010" s="39"/>
    </row>
    <row r="2011" spans="2:9" ht="15.75">
      <c r="B2011" s="35" t="s">
        <v>940</v>
      </c>
      <c r="C2011" s="39"/>
      <c r="D2011" s="35" t="s">
        <v>926</v>
      </c>
      <c r="E2011" s="37"/>
      <c r="F2011" s="35" t="s">
        <v>923</v>
      </c>
      <c r="G2011" s="39"/>
      <c r="H2011" s="35" t="s">
        <v>923</v>
      </c>
      <c r="I2011" s="39"/>
    </row>
    <row r="2012" spans="2:9">
      <c r="B2012" s="33"/>
      <c r="C2012" s="33"/>
      <c r="D2012" s="33"/>
      <c r="E2012" s="33"/>
      <c r="F2012" s="33"/>
      <c r="G2012" s="33"/>
      <c r="H2012" s="33"/>
      <c r="I2012" s="33"/>
    </row>
    <row r="2013" spans="2:9">
      <c r="B2013" s="43" t="s">
        <v>100</v>
      </c>
      <c r="D2013" s="44" t="s">
        <v>1152</v>
      </c>
    </row>
    <row r="2014" spans="2:9">
      <c r="B2014" s="45"/>
    </row>
    <row r="2015" spans="2:9">
      <c r="B2015" s="46" t="s">
        <v>101</v>
      </c>
      <c r="D2015" s="47" t="s">
        <v>1153</v>
      </c>
    </row>
    <row r="2017" spans="2:9">
      <c r="B2017" s="42" t="s">
        <v>848</v>
      </c>
    </row>
    <row r="2019" spans="2:9" ht="15.75">
      <c r="B2019" s="35" t="s">
        <v>5</v>
      </c>
      <c r="C2019" s="54"/>
      <c r="D2019" s="35" t="s">
        <v>17</v>
      </c>
      <c r="E2019" s="33"/>
      <c r="F2019" s="35" t="s">
        <v>18</v>
      </c>
      <c r="G2019" s="39"/>
      <c r="H2019" s="35" t="s">
        <v>19</v>
      </c>
      <c r="I2019" s="39"/>
    </row>
    <row r="2020" spans="2:9" ht="15.75">
      <c r="B2020" s="35" t="s">
        <v>449</v>
      </c>
      <c r="C2020" s="54"/>
      <c r="D2020" s="35" t="s">
        <v>750</v>
      </c>
      <c r="E2020" s="36"/>
      <c r="F2020" s="35" t="s">
        <v>710</v>
      </c>
      <c r="G2020" s="39"/>
      <c r="H2020" s="35" t="s">
        <v>620</v>
      </c>
      <c r="I2020" s="39"/>
    </row>
    <row r="2021" spans="2:9" ht="15.75">
      <c r="B2021" s="35" t="s">
        <v>572</v>
      </c>
      <c r="C2021" s="40">
        <v>4</v>
      </c>
      <c r="D2021" s="35" t="s">
        <v>654</v>
      </c>
      <c r="E2021" s="40">
        <v>4</v>
      </c>
      <c r="F2021" s="35" t="s">
        <v>629</v>
      </c>
      <c r="G2021" s="38">
        <v>4</v>
      </c>
      <c r="H2021" s="35" t="s">
        <v>629</v>
      </c>
      <c r="I2021" s="38">
        <v>6</v>
      </c>
    </row>
    <row r="2022" spans="2:9" ht="15.75">
      <c r="B2022" s="35" t="s">
        <v>1154</v>
      </c>
      <c r="C2022" s="54"/>
      <c r="D2022" s="35" t="s">
        <v>1155</v>
      </c>
      <c r="E2022" s="36"/>
      <c r="F2022" s="35" t="s">
        <v>1156</v>
      </c>
      <c r="G2022" s="39"/>
      <c r="H2022" s="35" t="s">
        <v>1156</v>
      </c>
      <c r="I2022" s="38"/>
    </row>
    <row r="2023" spans="2:9" ht="15.75">
      <c r="B2023" s="53" t="s">
        <v>927</v>
      </c>
      <c r="C2023" s="54"/>
      <c r="D2023" s="35" t="s">
        <v>940</v>
      </c>
      <c r="E2023" s="36"/>
      <c r="F2023" s="35" t="s">
        <v>940</v>
      </c>
      <c r="G2023" s="39"/>
      <c r="H2023" s="35" t="s">
        <v>940</v>
      </c>
      <c r="I2023" s="39"/>
    </row>
    <row r="2024" spans="2:9">
      <c r="B2024" s="33"/>
      <c r="C2024" s="34"/>
      <c r="D2024" s="33"/>
      <c r="E2024" s="33"/>
      <c r="F2024" s="33"/>
      <c r="G2024" s="33"/>
      <c r="H2024" s="33"/>
      <c r="I2024" s="33"/>
    </row>
    <row r="2025" spans="2:9" ht="15.75">
      <c r="B2025" s="38">
        <v>6</v>
      </c>
      <c r="C2025" s="34"/>
      <c r="D2025" s="38">
        <v>3</v>
      </c>
      <c r="E2025" s="33"/>
      <c r="F2025" s="38">
        <v>3</v>
      </c>
      <c r="G2025" s="33"/>
      <c r="H2025" s="38">
        <v>3</v>
      </c>
      <c r="I2025" s="33"/>
    </row>
    <row r="2026" spans="2:9" ht="15.75">
      <c r="B2026" s="39"/>
      <c r="C2026" s="33"/>
      <c r="D2026" s="33"/>
      <c r="E2026" s="33"/>
      <c r="F2026" s="33"/>
      <c r="G2026" s="33"/>
      <c r="H2026" s="33"/>
      <c r="I2026" s="33"/>
    </row>
    <row r="2027" spans="2:9" ht="15.75">
      <c r="B2027" s="35" t="s">
        <v>20</v>
      </c>
      <c r="C2027" s="39"/>
      <c r="D2027" s="35" t="s">
        <v>21</v>
      </c>
      <c r="E2027" s="33"/>
      <c r="F2027" s="35" t="s">
        <v>6</v>
      </c>
      <c r="G2027" s="39"/>
      <c r="H2027" s="35" t="s">
        <v>923</v>
      </c>
      <c r="I2027" s="39"/>
    </row>
    <row r="2028" spans="2:9" ht="15.75">
      <c r="B2028" s="35" t="s">
        <v>620</v>
      </c>
      <c r="C2028" s="39"/>
      <c r="D2028" s="35" t="s">
        <v>620</v>
      </c>
      <c r="E2028" s="37"/>
      <c r="F2028" s="35" t="s">
        <v>592</v>
      </c>
      <c r="G2028" s="39"/>
      <c r="H2028" s="35" t="s">
        <v>923</v>
      </c>
      <c r="I2028" s="39"/>
    </row>
    <row r="2029" spans="2:9" ht="15.75">
      <c r="B2029" s="35" t="s">
        <v>629</v>
      </c>
      <c r="C2029" s="38">
        <v>4</v>
      </c>
      <c r="D2029" s="35" t="s">
        <v>648</v>
      </c>
      <c r="E2029" s="38">
        <v>4</v>
      </c>
      <c r="F2029" s="35" t="s">
        <v>602</v>
      </c>
      <c r="G2029" s="38" t="s">
        <v>923</v>
      </c>
      <c r="H2029" s="35" t="s">
        <v>923</v>
      </c>
      <c r="I2029" s="38" t="s">
        <v>923</v>
      </c>
    </row>
    <row r="2030" spans="2:9" ht="15.75">
      <c r="B2030" s="35" t="s">
        <v>1156</v>
      </c>
      <c r="C2030" s="39"/>
      <c r="D2030" s="35" t="s">
        <v>1092</v>
      </c>
      <c r="E2030" s="37"/>
      <c r="F2030" s="35" t="s">
        <v>1157</v>
      </c>
      <c r="G2030" s="39"/>
      <c r="H2030" s="35" t="s">
        <v>923</v>
      </c>
      <c r="I2030" s="39"/>
    </row>
    <row r="2031" spans="2:9" ht="15.75">
      <c r="B2031" s="35" t="s">
        <v>940</v>
      </c>
      <c r="C2031" s="39"/>
      <c r="D2031" s="35" t="s">
        <v>940</v>
      </c>
      <c r="E2031" s="37"/>
      <c r="F2031" s="35" t="s">
        <v>926</v>
      </c>
      <c r="G2031" s="39"/>
      <c r="H2031" s="35" t="s">
        <v>923</v>
      </c>
      <c r="I2031" s="39"/>
    </row>
    <row r="2032" spans="2:9">
      <c r="B2032" s="33"/>
      <c r="C2032" s="33"/>
      <c r="D2032" s="33"/>
      <c r="E2032" s="33"/>
      <c r="F2032" s="33"/>
      <c r="G2032" s="33"/>
      <c r="H2032" s="33"/>
      <c r="I2032" s="33"/>
    </row>
    <row r="2033" spans="2:9">
      <c r="B2033" s="43" t="s">
        <v>100</v>
      </c>
      <c r="D2033" s="44" t="s">
        <v>1158</v>
      </c>
    </row>
    <row r="2034" spans="2:9">
      <c r="B2034" s="45"/>
    </row>
    <row r="2035" spans="2:9">
      <c r="B2035" s="46" t="s">
        <v>101</v>
      </c>
      <c r="D2035" s="47" t="s">
        <v>1159</v>
      </c>
    </row>
    <row r="2037" spans="2:9">
      <c r="B2037" s="42" t="s">
        <v>849</v>
      </c>
    </row>
    <row r="2039" spans="2:9" ht="15.75">
      <c r="B2039" s="35" t="s">
        <v>5</v>
      </c>
      <c r="C2039" s="54"/>
      <c r="D2039" s="35" t="s">
        <v>17</v>
      </c>
      <c r="E2039" s="33"/>
      <c r="F2039" s="35" t="s">
        <v>18</v>
      </c>
      <c r="G2039" s="39"/>
      <c r="H2039" s="35" t="s">
        <v>19</v>
      </c>
      <c r="I2039" s="39"/>
    </row>
    <row r="2040" spans="2:9" ht="15.75">
      <c r="B2040" s="35" t="s">
        <v>450</v>
      </c>
      <c r="C2040" s="54"/>
      <c r="D2040" s="35" t="s">
        <v>751</v>
      </c>
      <c r="E2040" s="36"/>
      <c r="F2040" s="35" t="s">
        <v>711</v>
      </c>
      <c r="G2040" s="39"/>
      <c r="H2040" s="35" t="s">
        <v>621</v>
      </c>
      <c r="I2040" s="39"/>
    </row>
    <row r="2041" spans="2:9" ht="15.75">
      <c r="B2041" s="35" t="s">
        <v>573</v>
      </c>
      <c r="C2041" s="40">
        <v>4</v>
      </c>
      <c r="D2041" s="35" t="s">
        <v>655</v>
      </c>
      <c r="E2041" s="40">
        <v>4</v>
      </c>
      <c r="F2041" s="35" t="s">
        <v>630</v>
      </c>
      <c r="G2041" s="38">
        <v>4</v>
      </c>
      <c r="H2041" s="35" t="s">
        <v>630</v>
      </c>
      <c r="I2041" s="38">
        <v>6</v>
      </c>
    </row>
    <row r="2042" spans="2:9" ht="15.75">
      <c r="B2042" s="35" t="s">
        <v>1160</v>
      </c>
      <c r="C2042" s="54"/>
      <c r="D2042" s="35" t="s">
        <v>1161</v>
      </c>
      <c r="E2042" s="36"/>
      <c r="F2042" s="35" t="s">
        <v>1162</v>
      </c>
      <c r="G2042" s="39"/>
      <c r="H2042" s="35" t="s">
        <v>1162</v>
      </c>
      <c r="I2042" s="38"/>
    </row>
    <row r="2043" spans="2:9" ht="15.75">
      <c r="B2043" s="53" t="s">
        <v>927</v>
      </c>
      <c r="C2043" s="54"/>
      <c r="D2043" s="35" t="s">
        <v>940</v>
      </c>
      <c r="E2043" s="36"/>
      <c r="F2043" s="35" t="s">
        <v>940</v>
      </c>
      <c r="G2043" s="39"/>
      <c r="H2043" s="35" t="s">
        <v>940</v>
      </c>
      <c r="I2043" s="39"/>
    </row>
    <row r="2044" spans="2:9">
      <c r="B2044" s="33"/>
      <c r="C2044" s="34"/>
      <c r="D2044" s="33"/>
      <c r="E2044" s="33"/>
      <c r="F2044" s="33"/>
      <c r="G2044" s="33"/>
      <c r="H2044" s="33"/>
      <c r="I2044" s="33"/>
    </row>
    <row r="2045" spans="2:9" ht="15.75">
      <c r="B2045" s="38">
        <v>6</v>
      </c>
      <c r="C2045" s="34"/>
      <c r="D2045" s="38">
        <v>3</v>
      </c>
      <c r="E2045" s="33"/>
      <c r="F2045" s="38">
        <v>3</v>
      </c>
      <c r="G2045" s="33"/>
      <c r="H2045" s="38">
        <v>3</v>
      </c>
      <c r="I2045" s="33"/>
    </row>
    <row r="2046" spans="2:9" ht="15.75">
      <c r="B2046" s="39"/>
      <c r="C2046" s="33"/>
      <c r="D2046" s="33"/>
      <c r="E2046" s="33"/>
      <c r="F2046" s="33"/>
      <c r="G2046" s="33"/>
      <c r="H2046" s="33"/>
      <c r="I2046" s="33"/>
    </row>
    <row r="2047" spans="2:9" ht="15.75">
      <c r="B2047" s="35" t="s">
        <v>20</v>
      </c>
      <c r="C2047" s="39"/>
      <c r="D2047" s="35" t="s">
        <v>21</v>
      </c>
      <c r="E2047" s="33"/>
      <c r="F2047" s="35" t="s">
        <v>22</v>
      </c>
      <c r="G2047" s="39"/>
      <c r="H2047" s="35" t="s">
        <v>6</v>
      </c>
      <c r="I2047" s="39"/>
    </row>
    <row r="2048" spans="2:9" ht="15.75">
      <c r="B2048" s="35" t="s">
        <v>621</v>
      </c>
      <c r="C2048" s="39"/>
      <c r="D2048" s="35" t="s">
        <v>621</v>
      </c>
      <c r="E2048" s="37"/>
      <c r="F2048" s="35" t="s">
        <v>505</v>
      </c>
      <c r="G2048" s="39"/>
      <c r="H2048" s="35" t="s">
        <v>593</v>
      </c>
      <c r="I2048" s="39"/>
    </row>
    <row r="2049" spans="2:9" ht="15.75">
      <c r="B2049" s="35" t="s">
        <v>630</v>
      </c>
      <c r="C2049" s="38">
        <v>4</v>
      </c>
      <c r="D2049" s="35" t="s">
        <v>509</v>
      </c>
      <c r="E2049" s="38">
        <v>4</v>
      </c>
      <c r="F2049" s="35" t="s">
        <v>509</v>
      </c>
      <c r="G2049" s="38">
        <v>4</v>
      </c>
      <c r="H2049" s="35" t="s">
        <v>603</v>
      </c>
      <c r="I2049" s="38" t="s">
        <v>923</v>
      </c>
    </row>
    <row r="2050" spans="2:9" ht="15.75">
      <c r="B2050" s="35" t="s">
        <v>1162</v>
      </c>
      <c r="C2050" s="39"/>
      <c r="D2050" s="35" t="s">
        <v>1099</v>
      </c>
      <c r="E2050" s="37"/>
      <c r="F2050" s="35" t="s">
        <v>1100</v>
      </c>
      <c r="G2050" s="39"/>
      <c r="H2050" s="35" t="s">
        <v>1163</v>
      </c>
      <c r="I2050" s="39"/>
    </row>
    <row r="2051" spans="2:9" ht="15.75">
      <c r="B2051" s="35" t="s">
        <v>940</v>
      </c>
      <c r="C2051" s="39"/>
      <c r="D2051" s="35" t="s">
        <v>940</v>
      </c>
      <c r="E2051" s="37"/>
      <c r="F2051" s="35" t="s">
        <v>940</v>
      </c>
      <c r="G2051" s="39"/>
      <c r="H2051" s="35" t="s">
        <v>926</v>
      </c>
      <c r="I2051" s="39"/>
    </row>
    <row r="2052" spans="2:9">
      <c r="B2052" s="33"/>
      <c r="C2052" s="33"/>
      <c r="D2052" s="33"/>
      <c r="E2052" s="33"/>
      <c r="F2052" s="33"/>
      <c r="G2052" s="33"/>
      <c r="H2052" s="33"/>
      <c r="I2052" s="33"/>
    </row>
    <row r="2053" spans="2:9">
      <c r="B2053" s="43" t="s">
        <v>100</v>
      </c>
      <c r="D2053" s="44" t="s">
        <v>1164</v>
      </c>
    </row>
    <row r="2054" spans="2:9">
      <c r="B2054" s="45"/>
    </row>
    <row r="2055" spans="2:9">
      <c r="B2055" s="46" t="s">
        <v>101</v>
      </c>
      <c r="D2055" s="47" t="s">
        <v>1165</v>
      </c>
    </row>
    <row r="2057" spans="2:9">
      <c r="B2057" s="42" t="s">
        <v>850</v>
      </c>
    </row>
    <row r="2059" spans="2:9" ht="15.75">
      <c r="B2059" s="35" t="s">
        <v>5</v>
      </c>
      <c r="C2059" s="54"/>
      <c r="D2059" s="35" t="s">
        <v>17</v>
      </c>
      <c r="E2059" s="33"/>
      <c r="F2059" s="35" t="s">
        <v>18</v>
      </c>
      <c r="G2059" s="39"/>
      <c r="H2059" s="35" t="s">
        <v>19</v>
      </c>
      <c r="I2059" s="39"/>
    </row>
    <row r="2060" spans="2:9" ht="15.75">
      <c r="B2060" s="35" t="s">
        <v>451</v>
      </c>
      <c r="C2060" s="54"/>
      <c r="D2060" s="35" t="s">
        <v>752</v>
      </c>
      <c r="E2060" s="36"/>
      <c r="F2060" s="35" t="s">
        <v>712</v>
      </c>
      <c r="G2060" s="39"/>
      <c r="H2060" s="35" t="s">
        <v>622</v>
      </c>
      <c r="I2060" s="39"/>
    </row>
    <row r="2061" spans="2:9" ht="15.75">
      <c r="B2061" s="35" t="s">
        <v>574</v>
      </c>
      <c r="C2061" s="40">
        <v>4</v>
      </c>
      <c r="D2061" s="35" t="s">
        <v>656</v>
      </c>
      <c r="E2061" s="40">
        <v>4</v>
      </c>
      <c r="F2061" s="35" t="s">
        <v>631</v>
      </c>
      <c r="G2061" s="38">
        <v>4</v>
      </c>
      <c r="H2061" s="35" t="s">
        <v>631</v>
      </c>
      <c r="I2061" s="38">
        <v>6</v>
      </c>
    </row>
    <row r="2062" spans="2:9" ht="15.75">
      <c r="B2062" s="35" t="s">
        <v>1166</v>
      </c>
      <c r="C2062" s="54"/>
      <c r="D2062" s="35" t="s">
        <v>1167</v>
      </c>
      <c r="E2062" s="36"/>
      <c r="F2062" s="35" t="s">
        <v>1168</v>
      </c>
      <c r="G2062" s="39"/>
      <c r="H2062" s="35" t="s">
        <v>1168</v>
      </c>
      <c r="I2062" s="38"/>
    </row>
    <row r="2063" spans="2:9" ht="15.75">
      <c r="B2063" s="53" t="s">
        <v>927</v>
      </c>
      <c r="C2063" s="54"/>
      <c r="D2063" s="35" t="s">
        <v>940</v>
      </c>
      <c r="E2063" s="36"/>
      <c r="F2063" s="35" t="s">
        <v>940</v>
      </c>
      <c r="G2063" s="39"/>
      <c r="H2063" s="35" t="s">
        <v>940</v>
      </c>
      <c r="I2063" s="39"/>
    </row>
    <row r="2064" spans="2:9">
      <c r="B2064" s="33"/>
      <c r="C2064" s="34"/>
      <c r="D2064" s="33"/>
      <c r="E2064" s="33"/>
      <c r="F2064" s="33"/>
      <c r="G2064" s="33"/>
      <c r="H2064" s="33"/>
      <c r="I2064" s="33"/>
    </row>
    <row r="2065" spans="2:9" ht="15.75">
      <c r="B2065" s="38">
        <v>6</v>
      </c>
      <c r="C2065" s="34"/>
      <c r="D2065" s="38">
        <v>3</v>
      </c>
      <c r="E2065" s="33"/>
      <c r="F2065" s="38">
        <v>3</v>
      </c>
      <c r="G2065" s="33"/>
      <c r="H2065" s="38">
        <v>3</v>
      </c>
      <c r="I2065" s="33"/>
    </row>
    <row r="2066" spans="2:9" ht="15.75">
      <c r="B2066" s="39"/>
      <c r="C2066" s="33"/>
      <c r="D2066" s="33"/>
      <c r="E2066" s="33"/>
      <c r="F2066" s="33"/>
      <c r="G2066" s="33"/>
      <c r="H2066" s="33"/>
      <c r="I2066" s="33"/>
    </row>
    <row r="2067" spans="2:9" ht="15.75">
      <c r="B2067" s="35" t="s">
        <v>20</v>
      </c>
      <c r="C2067" s="39"/>
      <c r="D2067" s="35" t="s">
        <v>21</v>
      </c>
      <c r="E2067" s="33"/>
      <c r="F2067" s="35" t="s">
        <v>22</v>
      </c>
      <c r="G2067" s="39"/>
      <c r="H2067" s="35" t="s">
        <v>23</v>
      </c>
      <c r="I2067" s="39"/>
    </row>
    <row r="2068" spans="2:9" ht="15.75">
      <c r="B2068" s="35" t="s">
        <v>622</v>
      </c>
      <c r="C2068" s="39"/>
      <c r="D2068" s="35" t="s">
        <v>622</v>
      </c>
      <c r="E2068" s="37"/>
      <c r="F2068" s="35" t="s">
        <v>506</v>
      </c>
      <c r="G2068" s="39"/>
      <c r="H2068" s="35" t="s">
        <v>506</v>
      </c>
      <c r="I2068" s="39"/>
    </row>
    <row r="2069" spans="2:9" ht="15.75">
      <c r="B2069" s="35" t="s">
        <v>631</v>
      </c>
      <c r="C2069" s="38">
        <v>4</v>
      </c>
      <c r="D2069" s="35" t="s">
        <v>510</v>
      </c>
      <c r="E2069" s="38">
        <v>4</v>
      </c>
      <c r="F2069" s="35" t="s">
        <v>510</v>
      </c>
      <c r="G2069" s="38">
        <v>4</v>
      </c>
      <c r="H2069" s="35" t="s">
        <v>510</v>
      </c>
      <c r="I2069" s="38">
        <v>6</v>
      </c>
    </row>
    <row r="2070" spans="2:9" ht="15.75">
      <c r="B2070" s="35" t="s">
        <v>1168</v>
      </c>
      <c r="C2070" s="39"/>
      <c r="D2070" s="35" t="s">
        <v>1106</v>
      </c>
      <c r="E2070" s="37"/>
      <c r="F2070" s="35" t="s">
        <v>1107</v>
      </c>
      <c r="G2070" s="39"/>
      <c r="H2070" s="35" t="s">
        <v>1107</v>
      </c>
      <c r="I2070" s="39"/>
    </row>
    <row r="2071" spans="2:9" ht="15.75">
      <c r="B2071" s="35" t="s">
        <v>940</v>
      </c>
      <c r="C2071" s="39"/>
      <c r="D2071" s="35" t="s">
        <v>940</v>
      </c>
      <c r="E2071" s="37"/>
      <c r="F2071" s="35" t="s">
        <v>940</v>
      </c>
      <c r="G2071" s="39"/>
      <c r="H2071" s="35" t="s">
        <v>940</v>
      </c>
      <c r="I2071" s="39"/>
    </row>
    <row r="2072" spans="2:9">
      <c r="B2072" s="33"/>
      <c r="C2072" s="33"/>
      <c r="D2072" s="33"/>
      <c r="E2072" s="33"/>
      <c r="F2072" s="33"/>
      <c r="G2072" s="33"/>
      <c r="H2072" s="33"/>
      <c r="I2072" s="33"/>
    </row>
    <row r="2073" spans="2:9" ht="15.75">
      <c r="B2073" s="38">
        <v>6</v>
      </c>
      <c r="C2073" s="33"/>
      <c r="D2073" s="38">
        <v>3</v>
      </c>
      <c r="E2073" s="33"/>
      <c r="F2073" s="38">
        <v>3</v>
      </c>
      <c r="G2073" s="33"/>
      <c r="H2073" s="38">
        <v>3</v>
      </c>
      <c r="I2073" s="33"/>
    </row>
    <row r="2074" spans="2:9" ht="15.75">
      <c r="B2074" s="39"/>
      <c r="C2074" s="33"/>
      <c r="D2074" s="33"/>
      <c r="E2074" s="33"/>
      <c r="F2074" s="33"/>
      <c r="G2074" s="33"/>
      <c r="H2074" s="33"/>
      <c r="I2074" s="33"/>
    </row>
    <row r="2075" spans="2:9" ht="15.75">
      <c r="B2075" s="35" t="s">
        <v>6</v>
      </c>
      <c r="C2075" s="39"/>
      <c r="D2075" s="35" t="s">
        <v>923</v>
      </c>
      <c r="E2075" s="33"/>
      <c r="F2075" s="35" t="s">
        <v>923</v>
      </c>
      <c r="G2075" s="39"/>
      <c r="H2075" s="35" t="s">
        <v>923</v>
      </c>
    </row>
    <row r="2076" spans="2:9" ht="15.75">
      <c r="B2076" s="35" t="s">
        <v>594</v>
      </c>
      <c r="C2076" s="39"/>
      <c r="D2076" s="35" t="s">
        <v>923</v>
      </c>
      <c r="E2076" s="37"/>
      <c r="F2076" s="35" t="s">
        <v>923</v>
      </c>
      <c r="G2076" s="39"/>
      <c r="H2076" s="35" t="s">
        <v>923</v>
      </c>
    </row>
    <row r="2077" spans="2:9" ht="15.75">
      <c r="B2077" s="35" t="s">
        <v>604</v>
      </c>
      <c r="C2077" s="38" t="s">
        <v>923</v>
      </c>
      <c r="D2077" s="35" t="s">
        <v>923</v>
      </c>
      <c r="E2077" s="38" t="s">
        <v>923</v>
      </c>
      <c r="F2077" s="35" t="s">
        <v>923</v>
      </c>
      <c r="G2077" s="38" t="s">
        <v>923</v>
      </c>
      <c r="H2077" s="35" t="s">
        <v>923</v>
      </c>
    </row>
    <row r="2078" spans="2:9" ht="15.75">
      <c r="B2078" s="35" t="s">
        <v>1169</v>
      </c>
      <c r="C2078" s="39"/>
      <c r="D2078" s="35" t="s">
        <v>923</v>
      </c>
      <c r="E2078" s="37"/>
      <c r="F2078" s="35" t="s">
        <v>923</v>
      </c>
      <c r="G2078" s="39"/>
      <c r="H2078" s="35" t="s">
        <v>923</v>
      </c>
    </row>
    <row r="2079" spans="2:9" ht="15.75">
      <c r="B2079" s="35" t="s">
        <v>926</v>
      </c>
      <c r="C2079" s="39"/>
      <c r="D2079" s="35" t="s">
        <v>923</v>
      </c>
      <c r="E2079" s="37"/>
      <c r="F2079" s="35" t="s">
        <v>923</v>
      </c>
      <c r="G2079" s="39"/>
      <c r="H2079" s="35" t="s">
        <v>923</v>
      </c>
    </row>
    <row r="2081" spans="2:9">
      <c r="B2081" s="43" t="s">
        <v>100</v>
      </c>
      <c r="D2081" s="44" t="s">
        <v>1170</v>
      </c>
    </row>
    <row r="2082" spans="2:9">
      <c r="B2082" s="45"/>
    </row>
    <row r="2083" spans="2:9">
      <c r="B2083" s="46" t="s">
        <v>101</v>
      </c>
      <c r="D2083" s="47" t="s">
        <v>1171</v>
      </c>
    </row>
    <row r="2085" spans="2:9">
      <c r="B2085" s="42" t="s">
        <v>851</v>
      </c>
    </row>
    <row r="2087" spans="2:9" ht="15.75">
      <c r="B2087" s="35" t="s">
        <v>5</v>
      </c>
      <c r="C2087" s="54"/>
      <c r="D2087" s="35" t="s">
        <v>17</v>
      </c>
      <c r="E2087" s="33"/>
      <c r="F2087" s="35" t="s">
        <v>18</v>
      </c>
      <c r="G2087" s="39"/>
      <c r="H2087" s="35" t="s">
        <v>19</v>
      </c>
      <c r="I2087" s="39"/>
    </row>
    <row r="2088" spans="2:9" ht="15.75">
      <c r="B2088" s="35" t="s">
        <v>452</v>
      </c>
      <c r="C2088" s="54"/>
      <c r="D2088" s="35" t="s">
        <v>753</v>
      </c>
      <c r="E2088" s="36"/>
      <c r="F2088" s="35" t="s">
        <v>713</v>
      </c>
      <c r="G2088" s="39"/>
      <c r="H2088" s="35" t="s">
        <v>623</v>
      </c>
      <c r="I2088" s="39"/>
    </row>
    <row r="2089" spans="2:9" ht="15.75">
      <c r="B2089" s="35" t="s">
        <v>575</v>
      </c>
      <c r="C2089" s="40">
        <v>4</v>
      </c>
      <c r="D2089" s="35" t="s">
        <v>657</v>
      </c>
      <c r="E2089" s="40">
        <v>4</v>
      </c>
      <c r="F2089" s="35" t="s">
        <v>632</v>
      </c>
      <c r="G2089" s="38">
        <v>4</v>
      </c>
      <c r="H2089" s="35" t="s">
        <v>632</v>
      </c>
      <c r="I2089" s="38">
        <v>6</v>
      </c>
    </row>
    <row r="2090" spans="2:9" ht="15.75">
      <c r="B2090" s="35" t="s">
        <v>1172</v>
      </c>
      <c r="C2090" s="54"/>
      <c r="D2090" s="35" t="s">
        <v>1173</v>
      </c>
      <c r="E2090" s="36"/>
      <c r="F2090" s="35" t="s">
        <v>1174</v>
      </c>
      <c r="G2090" s="39"/>
      <c r="H2090" s="35" t="s">
        <v>1174</v>
      </c>
      <c r="I2090" s="38"/>
    </row>
    <row r="2091" spans="2:9" ht="15.75">
      <c r="B2091" s="53" t="s">
        <v>927</v>
      </c>
      <c r="C2091" s="54"/>
      <c r="D2091" s="35" t="s">
        <v>940</v>
      </c>
      <c r="E2091" s="36"/>
      <c r="F2091" s="35" t="s">
        <v>940</v>
      </c>
      <c r="G2091" s="39"/>
      <c r="H2091" s="35" t="s">
        <v>940</v>
      </c>
      <c r="I2091" s="39"/>
    </row>
    <row r="2092" spans="2:9">
      <c r="B2092" s="33"/>
      <c r="C2092" s="34"/>
      <c r="D2092" s="33"/>
      <c r="E2092" s="33"/>
      <c r="F2092" s="33"/>
      <c r="G2092" s="33"/>
      <c r="H2092" s="33"/>
      <c r="I2092" s="33"/>
    </row>
    <row r="2093" spans="2:9" ht="15.75">
      <c r="B2093" s="38">
        <v>6</v>
      </c>
      <c r="C2093" s="34"/>
      <c r="D2093" s="38">
        <v>3</v>
      </c>
      <c r="E2093" s="33"/>
      <c r="F2093" s="38">
        <v>3</v>
      </c>
      <c r="G2093" s="33"/>
      <c r="H2093" s="38">
        <v>3</v>
      </c>
      <c r="I2093" s="33"/>
    </row>
    <row r="2094" spans="2:9" ht="15.75">
      <c r="B2094" s="39"/>
      <c r="C2094" s="33"/>
      <c r="D2094" s="33"/>
      <c r="E2094" s="33"/>
      <c r="F2094" s="33"/>
      <c r="G2094" s="33"/>
      <c r="H2094" s="33"/>
      <c r="I2094" s="33"/>
    </row>
    <row r="2095" spans="2:9" ht="15.75">
      <c r="B2095" s="35" t="s">
        <v>20</v>
      </c>
      <c r="C2095" s="39"/>
      <c r="D2095" s="35" t="s">
        <v>22</v>
      </c>
      <c r="E2095" s="33"/>
      <c r="F2095" s="35" t="s">
        <v>22</v>
      </c>
      <c r="G2095" s="39"/>
      <c r="H2095" s="35" t="s">
        <v>23</v>
      </c>
      <c r="I2095" s="39"/>
    </row>
    <row r="2096" spans="2:9" ht="15.75">
      <c r="B2096" s="35" t="s">
        <v>623</v>
      </c>
      <c r="C2096" s="39"/>
      <c r="D2096" s="35" t="s">
        <v>623</v>
      </c>
      <c r="E2096" s="37"/>
      <c r="F2096" s="35" t="s">
        <v>507</v>
      </c>
      <c r="G2096" s="39"/>
      <c r="H2096" s="35" t="s">
        <v>507</v>
      </c>
      <c r="I2096" s="39"/>
    </row>
    <row r="2097" spans="2:9" ht="15.75">
      <c r="B2097" s="35" t="s">
        <v>632</v>
      </c>
      <c r="C2097" s="38">
        <v>4</v>
      </c>
      <c r="D2097" s="35" t="s">
        <v>511</v>
      </c>
      <c r="E2097" s="38">
        <v>4</v>
      </c>
      <c r="F2097" s="35" t="s">
        <v>511</v>
      </c>
      <c r="G2097" s="38">
        <v>4</v>
      </c>
      <c r="H2097" s="35" t="s">
        <v>511</v>
      </c>
      <c r="I2097" s="38">
        <v>6</v>
      </c>
    </row>
    <row r="2098" spans="2:9" ht="15.75">
      <c r="B2098" s="35" t="s">
        <v>1174</v>
      </c>
      <c r="C2098" s="39"/>
      <c r="D2098" s="35" t="s">
        <v>1113</v>
      </c>
      <c r="E2098" s="37"/>
      <c r="F2098" s="35" t="s">
        <v>1114</v>
      </c>
      <c r="G2098" s="39"/>
      <c r="H2098" s="35" t="s">
        <v>1114</v>
      </c>
      <c r="I2098" s="39"/>
    </row>
    <row r="2099" spans="2:9" ht="15.75">
      <c r="B2099" s="35" t="s">
        <v>940</v>
      </c>
      <c r="C2099" s="39"/>
      <c r="D2099" s="35" t="s">
        <v>940</v>
      </c>
      <c r="E2099" s="37"/>
      <c r="F2099" s="35" t="s">
        <v>940</v>
      </c>
      <c r="G2099" s="39"/>
      <c r="H2099" s="35" t="s">
        <v>940</v>
      </c>
      <c r="I2099" s="39"/>
    </row>
    <row r="2100" spans="2:9">
      <c r="B2100" s="33"/>
      <c r="C2100" s="33"/>
      <c r="D2100" s="33"/>
      <c r="E2100" s="33"/>
      <c r="F2100" s="33"/>
      <c r="G2100" s="33"/>
      <c r="H2100" s="33"/>
      <c r="I2100" s="33"/>
    </row>
    <row r="2101" spans="2:9" ht="15.75">
      <c r="B2101" s="38">
        <v>6</v>
      </c>
      <c r="C2101" s="33"/>
      <c r="D2101" s="38">
        <v>3</v>
      </c>
      <c r="E2101" s="33"/>
      <c r="F2101" s="38">
        <v>3</v>
      </c>
      <c r="G2101" s="33"/>
      <c r="H2101" s="38">
        <v>3</v>
      </c>
      <c r="I2101" s="33"/>
    </row>
    <row r="2102" spans="2:9" ht="15.75">
      <c r="B2102" s="39"/>
      <c r="C2102" s="33"/>
      <c r="D2102" s="33"/>
      <c r="E2102" s="33"/>
      <c r="F2102" s="33"/>
      <c r="G2102" s="33"/>
      <c r="H2102" s="33"/>
      <c r="I2102" s="33"/>
    </row>
    <row r="2103" spans="2:9" ht="15.75">
      <c r="B2103" s="35" t="s">
        <v>24</v>
      </c>
      <c r="C2103" s="39"/>
      <c r="D2103" s="35" t="s">
        <v>6</v>
      </c>
      <c r="E2103" s="33"/>
      <c r="F2103" s="35" t="s">
        <v>923</v>
      </c>
      <c r="G2103" s="39"/>
      <c r="H2103" s="35" t="s">
        <v>923</v>
      </c>
    </row>
    <row r="2104" spans="2:9" ht="15.75">
      <c r="B2104" s="35" t="s">
        <v>521</v>
      </c>
      <c r="C2104" s="39"/>
      <c r="D2104" s="35" t="s">
        <v>595</v>
      </c>
      <c r="E2104" s="37"/>
      <c r="F2104" s="35" t="s">
        <v>923</v>
      </c>
      <c r="G2104" s="39"/>
      <c r="H2104" s="35" t="s">
        <v>923</v>
      </c>
    </row>
    <row r="2105" spans="2:9" ht="15.75">
      <c r="B2105" s="35" t="s">
        <v>511</v>
      </c>
      <c r="C2105" s="38">
        <v>4</v>
      </c>
      <c r="D2105" s="35" t="s">
        <v>605</v>
      </c>
      <c r="E2105" s="38" t="s">
        <v>923</v>
      </c>
      <c r="F2105" s="35" t="s">
        <v>923</v>
      </c>
      <c r="G2105" s="38" t="s">
        <v>923</v>
      </c>
      <c r="H2105" s="35" t="s">
        <v>923</v>
      </c>
    </row>
    <row r="2106" spans="2:9" ht="15.75">
      <c r="B2106" s="35" t="s">
        <v>1114</v>
      </c>
      <c r="C2106" s="39"/>
      <c r="D2106" s="35" t="s">
        <v>1175</v>
      </c>
      <c r="E2106" s="37"/>
      <c r="F2106" s="35" t="s">
        <v>923</v>
      </c>
      <c r="G2106" s="39"/>
      <c r="H2106" s="35" t="s">
        <v>923</v>
      </c>
    </row>
    <row r="2107" spans="2:9" ht="15.75">
      <c r="B2107" s="35" t="s">
        <v>940</v>
      </c>
      <c r="C2107" s="39"/>
      <c r="D2107" s="35" t="s">
        <v>926</v>
      </c>
      <c r="E2107" s="37"/>
      <c r="F2107" s="35" t="s">
        <v>923</v>
      </c>
      <c r="G2107" s="39"/>
      <c r="H2107" s="35" t="s">
        <v>923</v>
      </c>
    </row>
    <row r="2109" spans="2:9">
      <c r="B2109" s="43" t="s">
        <v>100</v>
      </c>
      <c r="D2109" s="44" t="s">
        <v>1176</v>
      </c>
    </row>
    <row r="2110" spans="2:9">
      <c r="B2110" s="45"/>
    </row>
    <row r="2111" spans="2:9">
      <c r="B2111" s="46" t="s">
        <v>101</v>
      </c>
      <c r="D2111" s="47" t="s">
        <v>1177</v>
      </c>
    </row>
    <row r="2112" spans="2:9">
      <c r="B2112" s="50"/>
      <c r="C2112" s="49"/>
      <c r="D2112" s="49"/>
    </row>
    <row r="2113" spans="2:9">
      <c r="B2113" s="42" t="s">
        <v>852</v>
      </c>
    </row>
    <row r="2115" spans="2:9" ht="15.75">
      <c r="B2115" s="35" t="s">
        <v>5</v>
      </c>
      <c r="C2115" s="54"/>
      <c r="D2115" s="35" t="s">
        <v>17</v>
      </c>
      <c r="E2115" s="33"/>
      <c r="F2115" s="35" t="s">
        <v>18</v>
      </c>
      <c r="G2115" s="39"/>
      <c r="H2115" s="35" t="s">
        <v>19</v>
      </c>
      <c r="I2115" s="39"/>
    </row>
    <row r="2116" spans="2:9" ht="15.75">
      <c r="B2116" s="35" t="s">
        <v>453</v>
      </c>
      <c r="C2116" s="54"/>
      <c r="D2116" s="35" t="s">
        <v>754</v>
      </c>
      <c r="E2116" s="36"/>
      <c r="F2116" s="35" t="s">
        <v>714</v>
      </c>
      <c r="G2116" s="39"/>
      <c r="H2116" s="35" t="s">
        <v>624</v>
      </c>
      <c r="I2116" s="39"/>
    </row>
    <row r="2117" spans="2:9" ht="15.75">
      <c r="B2117" s="35" t="s">
        <v>576</v>
      </c>
      <c r="C2117" s="40">
        <v>4</v>
      </c>
      <c r="D2117" s="35" t="s">
        <v>658</v>
      </c>
      <c r="E2117" s="40">
        <v>4</v>
      </c>
      <c r="F2117" s="35" t="s">
        <v>633</v>
      </c>
      <c r="G2117" s="38">
        <v>4</v>
      </c>
      <c r="H2117" s="35" t="s">
        <v>633</v>
      </c>
      <c r="I2117" s="38">
        <v>6</v>
      </c>
    </row>
    <row r="2118" spans="2:9" ht="15.75">
      <c r="B2118" s="35" t="s">
        <v>1178</v>
      </c>
      <c r="C2118" s="54"/>
      <c r="D2118" s="35" t="s">
        <v>1179</v>
      </c>
      <c r="E2118" s="36"/>
      <c r="F2118" s="35" t="s">
        <v>1180</v>
      </c>
      <c r="G2118" s="39"/>
      <c r="H2118" s="35" t="s">
        <v>1180</v>
      </c>
      <c r="I2118" s="38"/>
    </row>
    <row r="2119" spans="2:9" ht="15.75">
      <c r="B2119" s="53" t="s">
        <v>927</v>
      </c>
      <c r="C2119" s="54"/>
      <c r="D2119" s="35" t="s">
        <v>940</v>
      </c>
      <c r="E2119" s="36"/>
      <c r="F2119" s="35" t="s">
        <v>940</v>
      </c>
      <c r="G2119" s="39"/>
      <c r="H2119" s="35" t="s">
        <v>940</v>
      </c>
      <c r="I2119" s="39"/>
    </row>
    <row r="2120" spans="2:9">
      <c r="B2120" s="33"/>
      <c r="C2120" s="34"/>
      <c r="D2120" s="33"/>
      <c r="E2120" s="33"/>
      <c r="F2120" s="33"/>
      <c r="G2120" s="33"/>
      <c r="H2120" s="33"/>
      <c r="I2120" s="33"/>
    </row>
    <row r="2121" spans="2:9" ht="15.75">
      <c r="B2121" s="38">
        <v>6</v>
      </c>
      <c r="C2121" s="34"/>
      <c r="D2121" s="38">
        <v>3</v>
      </c>
      <c r="E2121" s="33"/>
      <c r="F2121" s="38">
        <v>3</v>
      </c>
      <c r="G2121" s="33"/>
      <c r="H2121" s="38">
        <v>3</v>
      </c>
      <c r="I2121" s="33"/>
    </row>
    <row r="2122" spans="2:9" ht="15.75">
      <c r="B2122" s="39"/>
      <c r="C2122" s="33"/>
      <c r="D2122" s="33"/>
      <c r="E2122" s="33"/>
      <c r="F2122" s="33"/>
      <c r="G2122" s="33"/>
      <c r="H2122" s="33"/>
      <c r="I2122" s="33"/>
    </row>
    <row r="2123" spans="2:9" ht="15.75">
      <c r="B2123" s="35" t="s">
        <v>20</v>
      </c>
      <c r="C2123" s="39"/>
      <c r="D2123" s="35" t="s">
        <v>23</v>
      </c>
      <c r="E2123" s="33"/>
      <c r="F2123" s="35" t="s">
        <v>22</v>
      </c>
      <c r="G2123" s="39"/>
      <c r="H2123" s="35" t="s">
        <v>23</v>
      </c>
      <c r="I2123" s="39"/>
    </row>
    <row r="2124" spans="2:9" ht="15.75">
      <c r="B2124" s="35" t="s">
        <v>624</v>
      </c>
      <c r="C2124" s="39"/>
      <c r="D2124" s="35" t="s">
        <v>624</v>
      </c>
      <c r="E2124" s="37"/>
      <c r="F2124" s="35" t="s">
        <v>508</v>
      </c>
      <c r="G2124" s="39"/>
      <c r="H2124" s="35" t="s">
        <v>508</v>
      </c>
      <c r="I2124" s="39"/>
    </row>
    <row r="2125" spans="2:9" ht="15.75">
      <c r="B2125" s="35" t="s">
        <v>633</v>
      </c>
      <c r="C2125" s="38">
        <v>4</v>
      </c>
      <c r="D2125" s="35" t="s">
        <v>512</v>
      </c>
      <c r="E2125" s="38">
        <v>4</v>
      </c>
      <c r="F2125" s="35" t="s">
        <v>512</v>
      </c>
      <c r="G2125" s="38">
        <v>4</v>
      </c>
      <c r="H2125" s="35" t="s">
        <v>512</v>
      </c>
      <c r="I2125" s="38">
        <v>6</v>
      </c>
    </row>
    <row r="2126" spans="2:9" ht="15.75">
      <c r="B2126" s="35" t="s">
        <v>1180</v>
      </c>
      <c r="C2126" s="39"/>
      <c r="D2126" s="35" t="s">
        <v>1120</v>
      </c>
      <c r="E2126" s="37"/>
      <c r="F2126" s="35" t="s">
        <v>1121</v>
      </c>
      <c r="G2126" s="39"/>
      <c r="H2126" s="35" t="s">
        <v>1121</v>
      </c>
      <c r="I2126" s="39"/>
    </row>
    <row r="2127" spans="2:9" ht="15.75">
      <c r="B2127" s="35" t="s">
        <v>940</v>
      </c>
      <c r="C2127" s="39"/>
      <c r="D2127" s="35" t="s">
        <v>940</v>
      </c>
      <c r="E2127" s="37"/>
      <c r="F2127" s="35" t="s">
        <v>940</v>
      </c>
      <c r="G2127" s="39"/>
      <c r="H2127" s="35" t="s">
        <v>940</v>
      </c>
      <c r="I2127" s="39"/>
    </row>
    <row r="2128" spans="2:9">
      <c r="B2128" s="33"/>
      <c r="C2128" s="33"/>
      <c r="D2128" s="33"/>
      <c r="E2128" s="33"/>
      <c r="F2128" s="33"/>
      <c r="G2128" s="33"/>
      <c r="H2128" s="33"/>
      <c r="I2128" s="33"/>
    </row>
    <row r="2129" spans="2:9" ht="15.75">
      <c r="B2129" s="38">
        <v>6</v>
      </c>
      <c r="C2129" s="33"/>
      <c r="D2129" s="38">
        <v>3</v>
      </c>
      <c r="E2129" s="33"/>
      <c r="F2129" s="38">
        <v>3</v>
      </c>
      <c r="G2129" s="33"/>
      <c r="H2129" s="38">
        <v>3</v>
      </c>
      <c r="I2129" s="33"/>
    </row>
    <row r="2130" spans="2:9" ht="15.75">
      <c r="B2130" s="39"/>
      <c r="C2130" s="33"/>
      <c r="D2130" s="33"/>
      <c r="E2130" s="33"/>
      <c r="F2130" s="33"/>
      <c r="G2130" s="33"/>
      <c r="H2130" s="33"/>
      <c r="I2130" s="33"/>
    </row>
    <row r="2131" spans="2:9" ht="15.75">
      <c r="B2131" s="35" t="s">
        <v>24</v>
      </c>
      <c r="C2131" s="39"/>
      <c r="D2131" s="35" t="s">
        <v>25</v>
      </c>
      <c r="E2131" s="33"/>
      <c r="F2131" s="35" t="s">
        <v>6</v>
      </c>
      <c r="G2131" s="39"/>
      <c r="H2131" s="35" t="s">
        <v>923</v>
      </c>
    </row>
    <row r="2132" spans="2:9" ht="15.75">
      <c r="B2132" s="35" t="s">
        <v>522</v>
      </c>
      <c r="C2132" s="39"/>
      <c r="D2132" s="35" t="s">
        <v>508</v>
      </c>
      <c r="E2132" s="37"/>
      <c r="F2132" s="35" t="s">
        <v>596</v>
      </c>
      <c r="G2132" s="39"/>
      <c r="H2132" s="35" t="s">
        <v>923</v>
      </c>
    </row>
    <row r="2133" spans="2:9" ht="15.75">
      <c r="B2133" s="35" t="s">
        <v>512</v>
      </c>
      <c r="C2133" s="38">
        <v>4</v>
      </c>
      <c r="D2133" s="35" t="s">
        <v>512</v>
      </c>
      <c r="E2133" s="38">
        <v>4</v>
      </c>
      <c r="F2133" s="35" t="s">
        <v>606</v>
      </c>
      <c r="G2133" s="38" t="s">
        <v>923</v>
      </c>
      <c r="H2133" s="35" t="s">
        <v>923</v>
      </c>
    </row>
    <row r="2134" spans="2:9" ht="15.75">
      <c r="B2134" s="35" t="s">
        <v>1121</v>
      </c>
      <c r="C2134" s="39"/>
      <c r="D2134" s="35" t="s">
        <v>1121</v>
      </c>
      <c r="E2134" s="37"/>
      <c r="F2134" s="35" t="s">
        <v>1181</v>
      </c>
      <c r="G2134" s="39"/>
      <c r="H2134" s="35" t="s">
        <v>923</v>
      </c>
    </row>
    <row r="2135" spans="2:9" ht="15.75">
      <c r="B2135" s="35" t="s">
        <v>940</v>
      </c>
      <c r="C2135" s="39"/>
      <c r="D2135" s="35" t="s">
        <v>940</v>
      </c>
      <c r="E2135" s="37"/>
      <c r="F2135" s="35" t="s">
        <v>926</v>
      </c>
      <c r="G2135" s="39"/>
      <c r="H2135" s="35" t="s">
        <v>923</v>
      </c>
    </row>
    <row r="2137" spans="2:9">
      <c r="B2137" s="43" t="s">
        <v>100</v>
      </c>
      <c r="D2137" s="44" t="s">
        <v>1182</v>
      </c>
    </row>
    <row r="2138" spans="2:9">
      <c r="B2138" s="45"/>
    </row>
    <row r="2139" spans="2:9">
      <c r="B2139" s="46" t="s">
        <v>101</v>
      </c>
      <c r="D2139" s="47" t="s">
        <v>1183</v>
      </c>
    </row>
    <row r="2140" spans="2:9">
      <c r="B2140" s="50"/>
      <c r="C2140" s="49"/>
      <c r="D2140" s="49"/>
    </row>
    <row r="2141" spans="2:9">
      <c r="B2141" s="42" t="s">
        <v>853</v>
      </c>
    </row>
    <row r="2143" spans="2:9" ht="15.75">
      <c r="B2143" s="35" t="s">
        <v>5</v>
      </c>
      <c r="C2143" s="54"/>
      <c r="D2143" s="35" t="s">
        <v>17</v>
      </c>
      <c r="E2143" s="33"/>
      <c r="F2143" s="35" t="s">
        <v>18</v>
      </c>
      <c r="G2143" s="39"/>
      <c r="H2143" s="35" t="s">
        <v>19</v>
      </c>
      <c r="I2143" s="39"/>
    </row>
    <row r="2144" spans="2:9" ht="15.75">
      <c r="B2144" s="35" t="s">
        <v>454</v>
      </c>
      <c r="C2144" s="54"/>
      <c r="D2144" s="35" t="s">
        <v>755</v>
      </c>
      <c r="E2144" s="36"/>
      <c r="F2144" s="35" t="s">
        <v>715</v>
      </c>
      <c r="G2144" s="39"/>
      <c r="H2144" s="35" t="s">
        <v>625</v>
      </c>
      <c r="I2144" s="39"/>
    </row>
    <row r="2145" spans="2:9" ht="15.75">
      <c r="B2145" s="35" t="s">
        <v>577</v>
      </c>
      <c r="C2145" s="40">
        <v>4</v>
      </c>
      <c r="D2145" s="35" t="s">
        <v>649</v>
      </c>
      <c r="E2145" s="40">
        <v>4</v>
      </c>
      <c r="F2145" s="35" t="s">
        <v>259</v>
      </c>
      <c r="G2145" s="38">
        <v>4</v>
      </c>
      <c r="H2145" s="35" t="s">
        <v>259</v>
      </c>
      <c r="I2145" s="38">
        <v>6</v>
      </c>
    </row>
    <row r="2146" spans="2:9" ht="15.75">
      <c r="B2146" s="35" t="s">
        <v>1184</v>
      </c>
      <c r="C2146" s="54"/>
      <c r="D2146" s="35" t="s">
        <v>1185</v>
      </c>
      <c r="E2146" s="36"/>
      <c r="F2146" s="35" t="s">
        <v>1186</v>
      </c>
      <c r="G2146" s="39"/>
      <c r="H2146" s="35" t="s">
        <v>1186</v>
      </c>
      <c r="I2146" s="38"/>
    </row>
    <row r="2147" spans="2:9" ht="15.75">
      <c r="B2147" s="53" t="s">
        <v>927</v>
      </c>
      <c r="C2147" s="54"/>
      <c r="D2147" s="35" t="s">
        <v>940</v>
      </c>
      <c r="E2147" s="36"/>
      <c r="F2147" s="35" t="s">
        <v>940</v>
      </c>
      <c r="G2147" s="39"/>
      <c r="H2147" s="35" t="s">
        <v>940</v>
      </c>
      <c r="I2147" s="39"/>
    </row>
    <row r="2148" spans="2:9">
      <c r="B2148" s="33"/>
      <c r="C2148" s="34"/>
      <c r="D2148" s="33"/>
      <c r="E2148" s="33"/>
      <c r="F2148" s="33"/>
      <c r="G2148" s="33"/>
      <c r="H2148" s="33"/>
      <c r="I2148" s="33"/>
    </row>
    <row r="2149" spans="2:9" ht="15.75">
      <c r="B2149" s="38">
        <v>6</v>
      </c>
      <c r="C2149" s="34"/>
      <c r="D2149" s="38">
        <v>3</v>
      </c>
      <c r="E2149" s="33"/>
      <c r="F2149" s="38">
        <v>3</v>
      </c>
      <c r="G2149" s="33"/>
      <c r="H2149" s="38">
        <v>3</v>
      </c>
      <c r="I2149" s="33"/>
    </row>
    <row r="2150" spans="2:9" ht="15.75">
      <c r="B2150" s="39"/>
      <c r="C2150" s="33"/>
      <c r="D2150" s="33"/>
      <c r="E2150" s="33"/>
      <c r="F2150" s="33"/>
      <c r="G2150" s="33"/>
      <c r="H2150" s="33"/>
      <c r="I2150" s="33"/>
    </row>
    <row r="2151" spans="2:9" ht="15.75">
      <c r="B2151" s="35" t="s">
        <v>20</v>
      </c>
      <c r="C2151" s="39"/>
      <c r="D2151" s="35" t="s">
        <v>24</v>
      </c>
      <c r="E2151" s="33"/>
      <c r="F2151" s="35" t="s">
        <v>22</v>
      </c>
      <c r="G2151" s="39"/>
      <c r="H2151" s="35" t="s">
        <v>23</v>
      </c>
      <c r="I2151" s="39"/>
    </row>
    <row r="2152" spans="2:9" ht="15.75">
      <c r="B2152" s="35" t="s">
        <v>625</v>
      </c>
      <c r="C2152" s="39"/>
      <c r="D2152" s="35" t="s">
        <v>625</v>
      </c>
      <c r="E2152" s="37"/>
      <c r="F2152" s="35" t="s">
        <v>241</v>
      </c>
      <c r="G2152" s="39"/>
      <c r="H2152" s="35" t="s">
        <v>241</v>
      </c>
      <c r="I2152" s="39"/>
    </row>
    <row r="2153" spans="2:9" ht="15.75">
      <c r="B2153" s="35" t="s">
        <v>259</v>
      </c>
      <c r="C2153" s="38">
        <v>4</v>
      </c>
      <c r="D2153" s="35" t="s">
        <v>249</v>
      </c>
      <c r="E2153" s="38">
        <v>4</v>
      </c>
      <c r="F2153" s="35" t="s">
        <v>249</v>
      </c>
      <c r="G2153" s="38">
        <v>4</v>
      </c>
      <c r="H2153" s="35" t="s">
        <v>249</v>
      </c>
      <c r="I2153" s="38">
        <v>6</v>
      </c>
    </row>
    <row r="2154" spans="2:9" ht="15.75">
      <c r="B2154" s="35" t="s">
        <v>1186</v>
      </c>
      <c r="C2154" s="39"/>
      <c r="D2154" s="35" t="s">
        <v>1127</v>
      </c>
      <c r="E2154" s="37"/>
      <c r="F2154" s="35" t="s">
        <v>1127</v>
      </c>
      <c r="G2154" s="39"/>
      <c r="H2154" s="35" t="s">
        <v>1127</v>
      </c>
      <c r="I2154" s="39"/>
    </row>
    <row r="2155" spans="2:9" ht="15.75">
      <c r="B2155" s="35" t="s">
        <v>940</v>
      </c>
      <c r="C2155" s="39"/>
      <c r="D2155" s="35" t="s">
        <v>940</v>
      </c>
      <c r="E2155" s="37"/>
      <c r="F2155" s="35" t="s">
        <v>940</v>
      </c>
      <c r="G2155" s="39"/>
      <c r="H2155" s="35" t="s">
        <v>940</v>
      </c>
      <c r="I2155" s="39"/>
    </row>
    <row r="2156" spans="2:9">
      <c r="B2156" s="33"/>
      <c r="C2156" s="33"/>
      <c r="D2156" s="33"/>
      <c r="E2156" s="33"/>
      <c r="F2156" s="33"/>
      <c r="G2156" s="33"/>
      <c r="H2156" s="33"/>
      <c r="I2156" s="33"/>
    </row>
    <row r="2157" spans="2:9" ht="15.75">
      <c r="B2157" s="38">
        <v>6</v>
      </c>
      <c r="C2157" s="33"/>
      <c r="D2157" s="38">
        <v>3</v>
      </c>
      <c r="E2157" s="33"/>
      <c r="F2157" s="38">
        <v>3</v>
      </c>
      <c r="G2157" s="33"/>
      <c r="H2157" s="38">
        <v>3</v>
      </c>
      <c r="I2157" s="33"/>
    </row>
    <row r="2158" spans="2:9" ht="15.75">
      <c r="B2158" s="39"/>
      <c r="C2158" s="33"/>
      <c r="D2158" s="33"/>
      <c r="E2158" s="33"/>
      <c r="F2158" s="33"/>
      <c r="G2158" s="33"/>
      <c r="H2158" s="33"/>
      <c r="I2158" s="33"/>
    </row>
    <row r="2159" spans="2:9" ht="15.75">
      <c r="B2159" s="35" t="s">
        <v>24</v>
      </c>
      <c r="C2159" s="39"/>
      <c r="D2159" s="35" t="s">
        <v>25</v>
      </c>
      <c r="E2159" s="33"/>
      <c r="F2159" s="35" t="s">
        <v>26</v>
      </c>
      <c r="G2159" s="39"/>
      <c r="H2159" s="35" t="s">
        <v>6</v>
      </c>
    </row>
    <row r="2160" spans="2:9" ht="15.75">
      <c r="B2160" s="35" t="s">
        <v>523</v>
      </c>
      <c r="C2160" s="39"/>
      <c r="D2160" s="35" t="s">
        <v>241</v>
      </c>
      <c r="E2160" s="37"/>
      <c r="F2160" s="35" t="s">
        <v>517</v>
      </c>
      <c r="G2160" s="39"/>
      <c r="H2160" s="35" t="s">
        <v>597</v>
      </c>
    </row>
    <row r="2161" spans="2:9" ht="15.75">
      <c r="B2161" s="35" t="s">
        <v>249</v>
      </c>
      <c r="C2161" s="38">
        <v>4</v>
      </c>
      <c r="D2161" s="35" t="s">
        <v>249</v>
      </c>
      <c r="E2161" s="38">
        <v>4</v>
      </c>
      <c r="F2161" s="35" t="s">
        <v>249</v>
      </c>
      <c r="G2161" s="38">
        <v>4</v>
      </c>
      <c r="H2161" s="35" t="s">
        <v>607</v>
      </c>
    </row>
    <row r="2162" spans="2:9" ht="15.75">
      <c r="B2162" s="35" t="s">
        <v>1127</v>
      </c>
      <c r="C2162" s="39"/>
      <c r="D2162" s="35" t="s">
        <v>1127</v>
      </c>
      <c r="E2162" s="37"/>
      <c r="F2162" s="35" t="s">
        <v>1127</v>
      </c>
      <c r="G2162" s="39"/>
      <c r="H2162" s="35" t="s">
        <v>1187</v>
      </c>
    </row>
    <row r="2163" spans="2:9" ht="15.75">
      <c r="B2163" s="35" t="s">
        <v>940</v>
      </c>
      <c r="C2163" s="39"/>
      <c r="D2163" s="35" t="s">
        <v>940</v>
      </c>
      <c r="E2163" s="37"/>
      <c r="F2163" s="35" t="s">
        <v>940</v>
      </c>
      <c r="G2163" s="39"/>
      <c r="H2163" s="35" t="s">
        <v>926</v>
      </c>
    </row>
    <row r="2165" spans="2:9">
      <c r="B2165" s="43" t="s">
        <v>100</v>
      </c>
      <c r="D2165" s="44" t="s">
        <v>1188</v>
      </c>
    </row>
    <row r="2166" spans="2:9">
      <c r="B2166" s="45"/>
    </row>
    <row r="2167" spans="2:9">
      <c r="B2167" s="46" t="s">
        <v>101</v>
      </c>
      <c r="D2167" s="47" t="s">
        <v>1189</v>
      </c>
    </row>
    <row r="2169" spans="2:9">
      <c r="B2169" s="55" t="s">
        <v>854</v>
      </c>
    </row>
    <row r="2171" spans="2:9">
      <c r="B2171" s="42" t="s">
        <v>855</v>
      </c>
    </row>
    <row r="2173" spans="2:9" ht="15.75">
      <c r="B2173" s="35" t="s">
        <v>5</v>
      </c>
      <c r="C2173" s="54"/>
      <c r="D2173" s="35" t="s">
        <v>17</v>
      </c>
      <c r="E2173" s="33"/>
      <c r="F2173" s="35" t="s">
        <v>6</v>
      </c>
      <c r="G2173" s="39"/>
      <c r="H2173" s="35" t="s">
        <v>923</v>
      </c>
      <c r="I2173" s="39"/>
    </row>
    <row r="2174" spans="2:9" ht="15.75">
      <c r="B2174" s="35" t="s">
        <v>424</v>
      </c>
      <c r="C2174" s="54"/>
      <c r="D2174" s="35" t="s">
        <v>746</v>
      </c>
      <c r="E2174" s="36"/>
      <c r="F2174" s="35" t="s">
        <v>588</v>
      </c>
      <c r="G2174" s="39"/>
      <c r="H2174" s="35" t="s">
        <v>923</v>
      </c>
      <c r="I2174" s="39"/>
    </row>
    <row r="2175" spans="2:9" ht="15.75">
      <c r="B2175" s="35" t="s">
        <v>568</v>
      </c>
      <c r="C2175" s="40">
        <v>4</v>
      </c>
      <c r="D2175" s="35" t="s">
        <v>650</v>
      </c>
      <c r="E2175" s="40">
        <v>4</v>
      </c>
      <c r="F2175" s="35" t="s">
        <v>598</v>
      </c>
      <c r="G2175" s="38" t="s">
        <v>923</v>
      </c>
      <c r="H2175" s="35" t="s">
        <v>923</v>
      </c>
      <c r="I2175" s="38" t="s">
        <v>923</v>
      </c>
    </row>
    <row r="2176" spans="2:9" ht="15.75">
      <c r="B2176" s="35" t="s">
        <v>1131</v>
      </c>
      <c r="C2176" s="54"/>
      <c r="D2176" s="35" t="s">
        <v>1132</v>
      </c>
      <c r="E2176" s="36"/>
      <c r="F2176" s="35" t="s">
        <v>1133</v>
      </c>
      <c r="G2176" s="39"/>
      <c r="H2176" s="35" t="s">
        <v>923</v>
      </c>
      <c r="I2176" s="38"/>
    </row>
    <row r="2177" spans="2:9" ht="15.75">
      <c r="B2177" s="53" t="s">
        <v>927</v>
      </c>
      <c r="C2177" s="54"/>
      <c r="D2177" s="35" t="s">
        <v>940</v>
      </c>
      <c r="E2177" s="36"/>
      <c r="F2177" s="35" t="s">
        <v>926</v>
      </c>
      <c r="G2177" s="39"/>
      <c r="H2177" s="35" t="s">
        <v>923</v>
      </c>
      <c r="I2177" s="39"/>
    </row>
    <row r="2178" spans="2:9">
      <c r="B2178" s="33"/>
      <c r="C2178" s="34"/>
      <c r="D2178" s="33"/>
      <c r="E2178" s="33"/>
      <c r="F2178" s="33"/>
      <c r="G2178" s="33"/>
      <c r="H2178" s="33"/>
      <c r="I2178" s="33"/>
    </row>
    <row r="2179" spans="2:9">
      <c r="B2179" s="43" t="s">
        <v>100</v>
      </c>
      <c r="D2179" s="44" t="s">
        <v>1134</v>
      </c>
    </row>
    <row r="2180" spans="2:9">
      <c r="B2180" s="45"/>
    </row>
    <row r="2181" spans="2:9">
      <c r="B2181" s="46" t="s">
        <v>101</v>
      </c>
      <c r="D2181" s="47" t="s">
        <v>1135</v>
      </c>
    </row>
    <row r="2183" spans="2:9">
      <c r="B2183" s="42" t="s">
        <v>856</v>
      </c>
    </row>
    <row r="2185" spans="2:9" ht="15.75">
      <c r="B2185" s="35" t="s">
        <v>5</v>
      </c>
      <c r="C2185" s="54"/>
      <c r="D2185" s="35" t="s">
        <v>17</v>
      </c>
      <c r="E2185" s="33"/>
      <c r="F2185" s="35" t="s">
        <v>18</v>
      </c>
      <c r="G2185" s="39"/>
      <c r="H2185" s="35" t="s">
        <v>6</v>
      </c>
      <c r="I2185" s="39"/>
    </row>
    <row r="2186" spans="2:9" ht="15.75">
      <c r="B2186" s="35" t="s">
        <v>446</v>
      </c>
      <c r="C2186" s="54"/>
      <c r="D2186" s="35" t="s">
        <v>747</v>
      </c>
      <c r="E2186" s="36"/>
      <c r="F2186" s="35" t="s">
        <v>707</v>
      </c>
      <c r="G2186" s="39"/>
      <c r="H2186" s="35" t="s">
        <v>589</v>
      </c>
      <c r="I2186" s="39"/>
    </row>
    <row r="2187" spans="2:9" ht="15.75">
      <c r="B2187" s="35" t="s">
        <v>569</v>
      </c>
      <c r="C2187" s="40">
        <v>4</v>
      </c>
      <c r="D2187" s="35" t="s">
        <v>651</v>
      </c>
      <c r="E2187" s="40">
        <v>4</v>
      </c>
      <c r="F2187" s="35" t="s">
        <v>626</v>
      </c>
      <c r="G2187" s="38">
        <v>4</v>
      </c>
      <c r="H2187" s="35" t="s">
        <v>599</v>
      </c>
      <c r="I2187" s="38" t="s">
        <v>923</v>
      </c>
    </row>
    <row r="2188" spans="2:9" ht="15.75">
      <c r="B2188" s="35" t="s">
        <v>1136</v>
      </c>
      <c r="C2188" s="54"/>
      <c r="D2188" s="35" t="s">
        <v>1137</v>
      </c>
      <c r="E2188" s="36"/>
      <c r="F2188" s="35" t="s">
        <v>1138</v>
      </c>
      <c r="G2188" s="39"/>
      <c r="H2188" s="35" t="s">
        <v>1139</v>
      </c>
      <c r="I2188" s="38"/>
    </row>
    <row r="2189" spans="2:9" ht="15.75">
      <c r="B2189" s="53" t="s">
        <v>927</v>
      </c>
      <c r="C2189" s="54"/>
      <c r="D2189" s="35" t="s">
        <v>940</v>
      </c>
      <c r="E2189" s="36"/>
      <c r="F2189" s="35" t="s">
        <v>940</v>
      </c>
      <c r="G2189" s="39"/>
      <c r="H2189" s="35" t="s">
        <v>926</v>
      </c>
      <c r="I2189" s="39"/>
    </row>
    <row r="2190" spans="2:9">
      <c r="B2190" s="33"/>
      <c r="C2190" s="34"/>
      <c r="D2190" s="33"/>
      <c r="E2190" s="33"/>
      <c r="F2190" s="33"/>
      <c r="G2190" s="33"/>
      <c r="H2190" s="33"/>
      <c r="I2190" s="33"/>
    </row>
    <row r="2191" spans="2:9">
      <c r="B2191" s="43" t="s">
        <v>100</v>
      </c>
      <c r="D2191" s="44" t="s">
        <v>1140</v>
      </c>
    </row>
    <row r="2192" spans="2:9">
      <c r="B2192" s="45"/>
    </row>
    <row r="2193" spans="2:9">
      <c r="B2193" s="46" t="s">
        <v>101</v>
      </c>
      <c r="D2193" s="47" t="s">
        <v>1141</v>
      </c>
    </row>
    <row r="2195" spans="2:9">
      <c r="B2195" s="42" t="s">
        <v>857</v>
      </c>
    </row>
    <row r="2197" spans="2:9" ht="15.75">
      <c r="B2197" s="35" t="s">
        <v>5</v>
      </c>
      <c r="C2197" s="54"/>
      <c r="D2197" s="35" t="s">
        <v>17</v>
      </c>
      <c r="E2197" s="33"/>
      <c r="F2197" s="35" t="s">
        <v>18</v>
      </c>
      <c r="G2197" s="39"/>
      <c r="H2197" s="35" t="s">
        <v>19</v>
      </c>
      <c r="I2197" s="39"/>
    </row>
    <row r="2198" spans="2:9" ht="15.75">
      <c r="B2198" s="35" t="s">
        <v>447</v>
      </c>
      <c r="C2198" s="54"/>
      <c r="D2198" s="35" t="s">
        <v>748</v>
      </c>
      <c r="E2198" s="36"/>
      <c r="F2198" s="35" t="s">
        <v>708</v>
      </c>
      <c r="G2198" s="39"/>
      <c r="H2198" s="35" t="s">
        <v>618</v>
      </c>
      <c r="I2198" s="39"/>
    </row>
    <row r="2199" spans="2:9" ht="15.75">
      <c r="B2199" s="35" t="s">
        <v>570</v>
      </c>
      <c r="C2199" s="40">
        <v>4</v>
      </c>
      <c r="D2199" s="35" t="s">
        <v>652</v>
      </c>
      <c r="E2199" s="40">
        <v>4</v>
      </c>
      <c r="F2199" s="35" t="s">
        <v>627</v>
      </c>
      <c r="G2199" s="38">
        <v>4</v>
      </c>
      <c r="H2199" s="35" t="s">
        <v>627</v>
      </c>
      <c r="I2199" s="38">
        <v>6</v>
      </c>
    </row>
    <row r="2200" spans="2:9" ht="15.75">
      <c r="B2200" s="35" t="s">
        <v>1142</v>
      </c>
      <c r="C2200" s="54"/>
      <c r="D2200" s="35" t="s">
        <v>1143</v>
      </c>
      <c r="E2200" s="36"/>
      <c r="F2200" s="35" t="s">
        <v>1144</v>
      </c>
      <c r="G2200" s="39"/>
      <c r="H2200" s="35" t="s">
        <v>1144</v>
      </c>
      <c r="I2200" s="38"/>
    </row>
    <row r="2201" spans="2:9" ht="15.75">
      <c r="B2201" s="53" t="s">
        <v>927</v>
      </c>
      <c r="C2201" s="54"/>
      <c r="D2201" s="35" t="s">
        <v>940</v>
      </c>
      <c r="E2201" s="36"/>
      <c r="F2201" s="35" t="s">
        <v>940</v>
      </c>
      <c r="G2201" s="39"/>
      <c r="H2201" s="35" t="s">
        <v>940</v>
      </c>
      <c r="I2201" s="39"/>
    </row>
    <row r="2202" spans="2:9">
      <c r="B2202" s="33"/>
      <c r="C2202" s="34"/>
      <c r="D2202" s="33"/>
      <c r="E2202" s="33"/>
      <c r="F2202" s="33"/>
      <c r="G2202" s="33"/>
      <c r="H2202" s="33"/>
      <c r="I2202" s="33"/>
    </row>
    <row r="2203" spans="2:9" ht="15.75">
      <c r="B2203" s="38">
        <v>6</v>
      </c>
      <c r="C2203" s="34"/>
      <c r="D2203" s="38">
        <v>3</v>
      </c>
      <c r="E2203" s="33"/>
      <c r="F2203" s="38">
        <v>3</v>
      </c>
      <c r="G2203" s="33"/>
      <c r="H2203" s="38">
        <v>3</v>
      </c>
      <c r="I2203" s="33"/>
    </row>
    <row r="2204" spans="2:9" ht="15.75">
      <c r="B2204" s="39"/>
      <c r="C2204" s="33"/>
      <c r="D2204" s="33"/>
      <c r="E2204" s="33"/>
      <c r="F2204" s="33"/>
      <c r="G2204" s="33"/>
      <c r="H2204" s="33"/>
      <c r="I2204" s="33"/>
    </row>
    <row r="2205" spans="2:9" ht="15.75">
      <c r="B2205" s="35" t="s">
        <v>6</v>
      </c>
      <c r="C2205" s="39"/>
      <c r="D2205" s="35" t="s">
        <v>923</v>
      </c>
      <c r="E2205" s="33"/>
      <c r="F2205" s="35" t="s">
        <v>923</v>
      </c>
      <c r="G2205" s="39"/>
      <c r="H2205" s="35" t="s">
        <v>923</v>
      </c>
      <c r="I2205" s="39"/>
    </row>
    <row r="2206" spans="2:9" ht="15.75">
      <c r="B2206" s="35" t="s">
        <v>590</v>
      </c>
      <c r="C2206" s="39"/>
      <c r="D2206" s="35" t="s">
        <v>923</v>
      </c>
      <c r="E2206" s="37"/>
      <c r="F2206" s="35" t="s">
        <v>923</v>
      </c>
      <c r="G2206" s="39"/>
      <c r="H2206" s="35" t="s">
        <v>923</v>
      </c>
      <c r="I2206" s="39"/>
    </row>
    <row r="2207" spans="2:9" ht="15.75">
      <c r="B2207" s="35" t="s">
        <v>600</v>
      </c>
      <c r="C2207" s="38" t="s">
        <v>923</v>
      </c>
      <c r="D2207" s="35" t="s">
        <v>923</v>
      </c>
      <c r="E2207" s="38" t="s">
        <v>923</v>
      </c>
      <c r="F2207" s="35" t="s">
        <v>923</v>
      </c>
      <c r="G2207" s="38" t="s">
        <v>923</v>
      </c>
      <c r="H2207" s="35" t="s">
        <v>923</v>
      </c>
      <c r="I2207" s="38" t="s">
        <v>923</v>
      </c>
    </row>
    <row r="2208" spans="2:9" ht="15.75">
      <c r="B2208" s="35" t="s">
        <v>1145</v>
      </c>
      <c r="C2208" s="39"/>
      <c r="D2208" s="35" t="s">
        <v>923</v>
      </c>
      <c r="E2208" s="37"/>
      <c r="F2208" s="35" t="s">
        <v>923</v>
      </c>
      <c r="G2208" s="39"/>
      <c r="H2208" s="35" t="s">
        <v>923</v>
      </c>
      <c r="I2208" s="39"/>
    </row>
    <row r="2209" spans="2:9" ht="15.75">
      <c r="B2209" s="35" t="s">
        <v>926</v>
      </c>
      <c r="C2209" s="39"/>
      <c r="D2209" s="35" t="s">
        <v>923</v>
      </c>
      <c r="E2209" s="37"/>
      <c r="F2209" s="35" t="s">
        <v>923</v>
      </c>
      <c r="G2209" s="39"/>
      <c r="H2209" s="35" t="s">
        <v>923</v>
      </c>
      <c r="I2209" s="39"/>
    </row>
    <row r="2210" spans="2:9">
      <c r="B2210" s="33"/>
      <c r="C2210" s="33"/>
      <c r="D2210" s="33"/>
      <c r="E2210" s="33"/>
      <c r="F2210" s="33"/>
      <c r="G2210" s="33"/>
      <c r="H2210" s="33"/>
      <c r="I2210" s="33"/>
    </row>
    <row r="2211" spans="2:9">
      <c r="B2211" s="43" t="s">
        <v>100</v>
      </c>
      <c r="D2211" s="44" t="s">
        <v>1146</v>
      </c>
    </row>
    <row r="2212" spans="2:9">
      <c r="B2212" s="45"/>
    </row>
    <row r="2213" spans="2:9">
      <c r="B2213" s="46" t="s">
        <v>101</v>
      </c>
      <c r="D2213" s="47" t="s">
        <v>1147</v>
      </c>
    </row>
    <row r="2215" spans="2:9">
      <c r="B2215" s="42" t="s">
        <v>858</v>
      </c>
    </row>
    <row r="2217" spans="2:9" ht="15.75">
      <c r="B2217" s="35" t="s">
        <v>5</v>
      </c>
      <c r="C2217" s="54"/>
      <c r="D2217" s="35" t="s">
        <v>17</v>
      </c>
      <c r="E2217" s="33"/>
      <c r="F2217" s="35" t="s">
        <v>18</v>
      </c>
      <c r="G2217" s="39"/>
      <c r="H2217" s="35" t="s">
        <v>19</v>
      </c>
      <c r="I2217" s="39"/>
    </row>
    <row r="2218" spans="2:9" ht="15.75">
      <c r="B2218" s="35" t="s">
        <v>448</v>
      </c>
      <c r="C2218" s="54"/>
      <c r="D2218" s="35" t="s">
        <v>749</v>
      </c>
      <c r="E2218" s="36"/>
      <c r="F2218" s="35" t="s">
        <v>709</v>
      </c>
      <c r="G2218" s="39"/>
      <c r="H2218" s="35" t="s">
        <v>619</v>
      </c>
      <c r="I2218" s="39"/>
    </row>
    <row r="2219" spans="2:9" ht="15.75">
      <c r="B2219" s="35" t="s">
        <v>571</v>
      </c>
      <c r="C2219" s="40">
        <v>4</v>
      </c>
      <c r="D2219" s="35" t="s">
        <v>653</v>
      </c>
      <c r="E2219" s="40">
        <v>4</v>
      </c>
      <c r="F2219" s="35" t="s">
        <v>628</v>
      </c>
      <c r="G2219" s="38">
        <v>4</v>
      </c>
      <c r="H2219" s="35" t="s">
        <v>628</v>
      </c>
      <c r="I2219" s="38">
        <v>6</v>
      </c>
    </row>
    <row r="2220" spans="2:9" ht="15.75">
      <c r="B2220" s="35" t="s">
        <v>1148</v>
      </c>
      <c r="C2220" s="54"/>
      <c r="D2220" s="35" t="s">
        <v>1149</v>
      </c>
      <c r="E2220" s="36"/>
      <c r="F2220" s="35" t="s">
        <v>1150</v>
      </c>
      <c r="G2220" s="39"/>
      <c r="H2220" s="35" t="s">
        <v>1150</v>
      </c>
      <c r="I2220" s="38"/>
    </row>
    <row r="2221" spans="2:9" ht="15.75">
      <c r="B2221" s="53" t="s">
        <v>927</v>
      </c>
      <c r="C2221" s="54"/>
      <c r="D2221" s="35" t="s">
        <v>940</v>
      </c>
      <c r="E2221" s="36"/>
      <c r="F2221" s="35" t="s">
        <v>940</v>
      </c>
      <c r="G2221" s="39"/>
      <c r="H2221" s="35" t="s">
        <v>940</v>
      </c>
      <c r="I2221" s="39"/>
    </row>
    <row r="2222" spans="2:9">
      <c r="B2222" s="33"/>
      <c r="C2222" s="34"/>
      <c r="D2222" s="33"/>
      <c r="E2222" s="33"/>
      <c r="F2222" s="33"/>
      <c r="G2222" s="33"/>
      <c r="H2222" s="33"/>
      <c r="I2222" s="33"/>
    </row>
    <row r="2223" spans="2:9" ht="15.75">
      <c r="B2223" s="38">
        <v>6</v>
      </c>
      <c r="C2223" s="34"/>
      <c r="D2223" s="38">
        <v>3</v>
      </c>
      <c r="E2223" s="33"/>
      <c r="F2223" s="38">
        <v>3</v>
      </c>
      <c r="G2223" s="33"/>
      <c r="H2223" s="38">
        <v>3</v>
      </c>
      <c r="I2223" s="33"/>
    </row>
    <row r="2224" spans="2:9" ht="15.75">
      <c r="B2224" s="39"/>
      <c r="C2224" s="33"/>
      <c r="D2224" s="33"/>
      <c r="E2224" s="33"/>
      <c r="F2224" s="33"/>
      <c r="G2224" s="33"/>
      <c r="H2224" s="33"/>
      <c r="I2224" s="33"/>
    </row>
    <row r="2225" spans="2:9" ht="15.75">
      <c r="B2225" s="35" t="s">
        <v>20</v>
      </c>
      <c r="C2225" s="39"/>
      <c r="D2225" s="35" t="s">
        <v>6</v>
      </c>
      <c r="E2225" s="33"/>
      <c r="F2225" s="35" t="s">
        <v>923</v>
      </c>
      <c r="G2225" s="39"/>
      <c r="H2225" s="35" t="s">
        <v>923</v>
      </c>
      <c r="I2225" s="39"/>
    </row>
    <row r="2226" spans="2:9" ht="15.75">
      <c r="B2226" s="35" t="s">
        <v>619</v>
      </c>
      <c r="C2226" s="39"/>
      <c r="D2226" s="35" t="s">
        <v>591</v>
      </c>
      <c r="E2226" s="37"/>
      <c r="F2226" s="35" t="s">
        <v>923</v>
      </c>
      <c r="G2226" s="39"/>
      <c r="H2226" s="35" t="s">
        <v>923</v>
      </c>
      <c r="I2226" s="39"/>
    </row>
    <row r="2227" spans="2:9" ht="15.75">
      <c r="B2227" s="35" t="s">
        <v>628</v>
      </c>
      <c r="C2227" s="38">
        <v>4</v>
      </c>
      <c r="D2227" s="35" t="s">
        <v>601</v>
      </c>
      <c r="E2227" s="38" t="s">
        <v>923</v>
      </c>
      <c r="F2227" s="35" t="s">
        <v>923</v>
      </c>
      <c r="G2227" s="38" t="s">
        <v>923</v>
      </c>
      <c r="H2227" s="35" t="s">
        <v>923</v>
      </c>
      <c r="I2227" s="38" t="s">
        <v>923</v>
      </c>
    </row>
    <row r="2228" spans="2:9" ht="15.75">
      <c r="B2228" s="35" t="s">
        <v>1150</v>
      </c>
      <c r="C2228" s="39"/>
      <c r="D2228" s="35" t="s">
        <v>1151</v>
      </c>
      <c r="E2228" s="37"/>
      <c r="F2228" s="35" t="s">
        <v>923</v>
      </c>
      <c r="G2228" s="39"/>
      <c r="H2228" s="35" t="s">
        <v>923</v>
      </c>
      <c r="I2228" s="39"/>
    </row>
    <row r="2229" spans="2:9" ht="15.75">
      <c r="B2229" s="35" t="s">
        <v>940</v>
      </c>
      <c r="C2229" s="39"/>
      <c r="D2229" s="35" t="s">
        <v>926</v>
      </c>
      <c r="E2229" s="37"/>
      <c r="F2229" s="35" t="s">
        <v>923</v>
      </c>
      <c r="G2229" s="39"/>
      <c r="H2229" s="35" t="s">
        <v>923</v>
      </c>
      <c r="I2229" s="39"/>
    </row>
    <row r="2230" spans="2:9">
      <c r="B2230" s="33"/>
      <c r="C2230" s="33"/>
      <c r="D2230" s="33"/>
      <c r="E2230" s="33"/>
      <c r="F2230" s="33"/>
      <c r="G2230" s="33"/>
      <c r="H2230" s="33"/>
      <c r="I2230" s="33"/>
    </row>
    <row r="2231" spans="2:9">
      <c r="B2231" s="43" t="s">
        <v>100</v>
      </c>
      <c r="D2231" s="44" t="s">
        <v>1152</v>
      </c>
    </row>
    <row r="2232" spans="2:9">
      <c r="B2232" s="45"/>
    </row>
    <row r="2233" spans="2:9">
      <c r="B2233" s="46" t="s">
        <v>101</v>
      </c>
      <c r="D2233" s="47" t="s">
        <v>1153</v>
      </c>
    </row>
    <row r="2235" spans="2:9">
      <c r="B2235" s="42" t="s">
        <v>859</v>
      </c>
    </row>
    <row r="2237" spans="2:9" ht="15.75">
      <c r="B2237" s="35" t="s">
        <v>5</v>
      </c>
      <c r="C2237" s="54"/>
      <c r="D2237" s="35" t="s">
        <v>17</v>
      </c>
      <c r="E2237" s="33"/>
      <c r="F2237" s="35" t="s">
        <v>18</v>
      </c>
      <c r="G2237" s="39"/>
      <c r="H2237" s="35" t="s">
        <v>19</v>
      </c>
      <c r="I2237" s="39"/>
    </row>
    <row r="2238" spans="2:9" ht="15.75">
      <c r="B2238" s="35" t="s">
        <v>449</v>
      </c>
      <c r="C2238" s="54"/>
      <c r="D2238" s="35" t="s">
        <v>750</v>
      </c>
      <c r="E2238" s="36"/>
      <c r="F2238" s="35" t="s">
        <v>710</v>
      </c>
      <c r="G2238" s="39"/>
      <c r="H2238" s="35" t="s">
        <v>620</v>
      </c>
      <c r="I2238" s="39"/>
    </row>
    <row r="2239" spans="2:9" ht="15.75">
      <c r="B2239" s="35" t="s">
        <v>572</v>
      </c>
      <c r="C2239" s="40">
        <v>4</v>
      </c>
      <c r="D2239" s="35" t="s">
        <v>654</v>
      </c>
      <c r="E2239" s="40">
        <v>4</v>
      </c>
      <c r="F2239" s="35" t="s">
        <v>629</v>
      </c>
      <c r="G2239" s="38">
        <v>4</v>
      </c>
      <c r="H2239" s="35" t="s">
        <v>629</v>
      </c>
      <c r="I2239" s="38">
        <v>6</v>
      </c>
    </row>
    <row r="2240" spans="2:9" ht="15.75">
      <c r="B2240" s="35" t="s">
        <v>1154</v>
      </c>
      <c r="C2240" s="54"/>
      <c r="D2240" s="35" t="s">
        <v>1155</v>
      </c>
      <c r="E2240" s="36"/>
      <c r="F2240" s="35" t="s">
        <v>1156</v>
      </c>
      <c r="G2240" s="39"/>
      <c r="H2240" s="35" t="s">
        <v>1156</v>
      </c>
      <c r="I2240" s="38"/>
    </row>
    <row r="2241" spans="2:9" ht="15.75">
      <c r="B2241" s="53" t="s">
        <v>927</v>
      </c>
      <c r="C2241" s="54"/>
      <c r="D2241" s="35" t="s">
        <v>940</v>
      </c>
      <c r="E2241" s="36"/>
      <c r="F2241" s="35" t="s">
        <v>940</v>
      </c>
      <c r="G2241" s="39"/>
      <c r="H2241" s="35" t="s">
        <v>940</v>
      </c>
      <c r="I2241" s="39"/>
    </row>
    <row r="2242" spans="2:9">
      <c r="B2242" s="33"/>
      <c r="C2242" s="34"/>
      <c r="D2242" s="33"/>
      <c r="E2242" s="33"/>
      <c r="F2242" s="33"/>
      <c r="G2242" s="33"/>
      <c r="H2242" s="33"/>
      <c r="I2242" s="33"/>
    </row>
    <row r="2243" spans="2:9" ht="15.75">
      <c r="B2243" s="38">
        <v>6</v>
      </c>
      <c r="C2243" s="34"/>
      <c r="D2243" s="38">
        <v>3</v>
      </c>
      <c r="E2243" s="33"/>
      <c r="F2243" s="38">
        <v>3</v>
      </c>
      <c r="G2243" s="33"/>
      <c r="H2243" s="38">
        <v>3</v>
      </c>
      <c r="I2243" s="33"/>
    </row>
    <row r="2244" spans="2:9" ht="15.75">
      <c r="B2244" s="39"/>
      <c r="C2244" s="33"/>
      <c r="D2244" s="33"/>
      <c r="E2244" s="33"/>
      <c r="F2244" s="33"/>
      <c r="G2244" s="33"/>
      <c r="H2244" s="33"/>
      <c r="I2244" s="33"/>
    </row>
    <row r="2245" spans="2:9" ht="15.75">
      <c r="B2245" s="35" t="s">
        <v>20</v>
      </c>
      <c r="C2245" s="39"/>
      <c r="D2245" s="35" t="s">
        <v>21</v>
      </c>
      <c r="E2245" s="33"/>
      <c r="F2245" s="35" t="s">
        <v>6</v>
      </c>
      <c r="G2245" s="39"/>
      <c r="H2245" s="35" t="s">
        <v>923</v>
      </c>
      <c r="I2245" s="39"/>
    </row>
    <row r="2246" spans="2:9" ht="15.75">
      <c r="B2246" s="35" t="s">
        <v>620</v>
      </c>
      <c r="C2246" s="39"/>
      <c r="D2246" s="35" t="s">
        <v>620</v>
      </c>
      <c r="E2246" s="37"/>
      <c r="F2246" s="35" t="s">
        <v>592</v>
      </c>
      <c r="G2246" s="39"/>
      <c r="H2246" s="35" t="s">
        <v>923</v>
      </c>
      <c r="I2246" s="39"/>
    </row>
    <row r="2247" spans="2:9" ht="15.75">
      <c r="B2247" s="35" t="s">
        <v>629</v>
      </c>
      <c r="C2247" s="38">
        <v>4</v>
      </c>
      <c r="D2247" s="35" t="s">
        <v>648</v>
      </c>
      <c r="E2247" s="38">
        <v>4</v>
      </c>
      <c r="F2247" s="35" t="s">
        <v>602</v>
      </c>
      <c r="G2247" s="38" t="s">
        <v>923</v>
      </c>
      <c r="H2247" s="35" t="s">
        <v>923</v>
      </c>
      <c r="I2247" s="38" t="s">
        <v>923</v>
      </c>
    </row>
    <row r="2248" spans="2:9" ht="15.75">
      <c r="B2248" s="35" t="s">
        <v>1156</v>
      </c>
      <c r="C2248" s="39"/>
      <c r="D2248" s="35" t="s">
        <v>1092</v>
      </c>
      <c r="E2248" s="37"/>
      <c r="F2248" s="35" t="s">
        <v>1157</v>
      </c>
      <c r="G2248" s="39"/>
      <c r="H2248" s="35" t="s">
        <v>923</v>
      </c>
      <c r="I2248" s="39"/>
    </row>
    <row r="2249" spans="2:9" ht="15.75">
      <c r="B2249" s="35" t="s">
        <v>940</v>
      </c>
      <c r="C2249" s="39"/>
      <c r="D2249" s="35" t="s">
        <v>940</v>
      </c>
      <c r="E2249" s="37"/>
      <c r="F2249" s="35" t="s">
        <v>926</v>
      </c>
      <c r="G2249" s="39"/>
      <c r="H2249" s="35" t="s">
        <v>923</v>
      </c>
      <c r="I2249" s="39"/>
    </row>
    <row r="2250" spans="2:9">
      <c r="B2250" s="33"/>
      <c r="C2250" s="33"/>
      <c r="D2250" s="33"/>
      <c r="E2250" s="33"/>
      <c r="F2250" s="33"/>
      <c r="G2250" s="33"/>
      <c r="H2250" s="33"/>
      <c r="I2250" s="33"/>
    </row>
    <row r="2251" spans="2:9">
      <c r="B2251" s="43" t="s">
        <v>100</v>
      </c>
      <c r="D2251" s="44" t="s">
        <v>1158</v>
      </c>
    </row>
    <row r="2252" spans="2:9">
      <c r="B2252" s="45"/>
    </row>
    <row r="2253" spans="2:9">
      <c r="B2253" s="46" t="s">
        <v>101</v>
      </c>
      <c r="D2253" s="47" t="s">
        <v>1159</v>
      </c>
    </row>
    <row r="2255" spans="2:9">
      <c r="B2255" s="42" t="s">
        <v>860</v>
      </c>
    </row>
    <row r="2257" spans="2:9" ht="15.75">
      <c r="B2257" s="35" t="s">
        <v>5</v>
      </c>
      <c r="C2257" s="54"/>
      <c r="D2257" s="35" t="s">
        <v>17</v>
      </c>
      <c r="E2257" s="33"/>
      <c r="F2257" s="35" t="s">
        <v>18</v>
      </c>
      <c r="G2257" s="39"/>
      <c r="H2257" s="35" t="s">
        <v>19</v>
      </c>
      <c r="I2257" s="39"/>
    </row>
    <row r="2258" spans="2:9" ht="15.75">
      <c r="B2258" s="35" t="s">
        <v>450</v>
      </c>
      <c r="C2258" s="54"/>
      <c r="D2258" s="35" t="s">
        <v>751</v>
      </c>
      <c r="E2258" s="36"/>
      <c r="F2258" s="35" t="s">
        <v>711</v>
      </c>
      <c r="G2258" s="39"/>
      <c r="H2258" s="35" t="s">
        <v>621</v>
      </c>
      <c r="I2258" s="39"/>
    </row>
    <row r="2259" spans="2:9" ht="15.75">
      <c r="B2259" s="35" t="s">
        <v>573</v>
      </c>
      <c r="C2259" s="40">
        <v>4</v>
      </c>
      <c r="D2259" s="35" t="s">
        <v>655</v>
      </c>
      <c r="E2259" s="40">
        <v>4</v>
      </c>
      <c r="F2259" s="35" t="s">
        <v>630</v>
      </c>
      <c r="G2259" s="38">
        <v>4</v>
      </c>
      <c r="H2259" s="35" t="s">
        <v>630</v>
      </c>
      <c r="I2259" s="38">
        <v>6</v>
      </c>
    </row>
    <row r="2260" spans="2:9" ht="15.75">
      <c r="B2260" s="35" t="s">
        <v>1160</v>
      </c>
      <c r="C2260" s="54"/>
      <c r="D2260" s="35" t="s">
        <v>1161</v>
      </c>
      <c r="E2260" s="36"/>
      <c r="F2260" s="35" t="s">
        <v>1162</v>
      </c>
      <c r="G2260" s="39"/>
      <c r="H2260" s="35" t="s">
        <v>1162</v>
      </c>
      <c r="I2260" s="38"/>
    </row>
    <row r="2261" spans="2:9" ht="15.75">
      <c r="B2261" s="53" t="s">
        <v>927</v>
      </c>
      <c r="C2261" s="54"/>
      <c r="D2261" s="35" t="s">
        <v>940</v>
      </c>
      <c r="E2261" s="36"/>
      <c r="F2261" s="35" t="s">
        <v>940</v>
      </c>
      <c r="G2261" s="39"/>
      <c r="H2261" s="35" t="s">
        <v>940</v>
      </c>
      <c r="I2261" s="39"/>
    </row>
    <row r="2262" spans="2:9">
      <c r="B2262" s="33"/>
      <c r="C2262" s="34"/>
      <c r="D2262" s="33"/>
      <c r="E2262" s="33"/>
      <c r="F2262" s="33"/>
      <c r="G2262" s="33"/>
      <c r="H2262" s="33"/>
      <c r="I2262" s="33"/>
    </row>
    <row r="2263" spans="2:9" ht="15.75">
      <c r="B2263" s="38">
        <v>6</v>
      </c>
      <c r="C2263" s="34"/>
      <c r="D2263" s="38">
        <v>3</v>
      </c>
      <c r="E2263" s="33"/>
      <c r="F2263" s="38">
        <v>3</v>
      </c>
      <c r="G2263" s="33"/>
      <c r="H2263" s="38">
        <v>3</v>
      </c>
      <c r="I2263" s="33"/>
    </row>
    <row r="2264" spans="2:9" ht="15.75">
      <c r="B2264" s="39"/>
      <c r="C2264" s="33"/>
      <c r="D2264" s="33"/>
      <c r="E2264" s="33"/>
      <c r="F2264" s="33"/>
      <c r="G2264" s="33"/>
      <c r="H2264" s="33"/>
      <c r="I2264" s="33"/>
    </row>
    <row r="2265" spans="2:9" ht="15.75">
      <c r="B2265" s="35" t="s">
        <v>20</v>
      </c>
      <c r="C2265" s="39"/>
      <c r="D2265" s="35" t="s">
        <v>21</v>
      </c>
      <c r="E2265" s="33"/>
      <c r="F2265" s="35" t="s">
        <v>22</v>
      </c>
      <c r="G2265" s="39"/>
      <c r="H2265" s="35" t="s">
        <v>6</v>
      </c>
      <c r="I2265" s="39"/>
    </row>
    <row r="2266" spans="2:9" ht="15.75">
      <c r="B2266" s="35" t="s">
        <v>621</v>
      </c>
      <c r="C2266" s="39"/>
      <c r="D2266" s="35" t="s">
        <v>621</v>
      </c>
      <c r="E2266" s="37"/>
      <c r="F2266" s="35" t="s">
        <v>505</v>
      </c>
      <c r="G2266" s="39"/>
      <c r="H2266" s="35" t="s">
        <v>593</v>
      </c>
      <c r="I2266" s="39"/>
    </row>
    <row r="2267" spans="2:9" ht="15.75">
      <c r="B2267" s="35" t="s">
        <v>630</v>
      </c>
      <c r="C2267" s="38">
        <v>4</v>
      </c>
      <c r="D2267" s="35" t="s">
        <v>509</v>
      </c>
      <c r="E2267" s="38">
        <v>4</v>
      </c>
      <c r="F2267" s="35" t="s">
        <v>509</v>
      </c>
      <c r="G2267" s="38">
        <v>4</v>
      </c>
      <c r="H2267" s="35" t="s">
        <v>603</v>
      </c>
      <c r="I2267" s="38" t="s">
        <v>923</v>
      </c>
    </row>
    <row r="2268" spans="2:9" ht="15.75">
      <c r="B2268" s="35" t="s">
        <v>1162</v>
      </c>
      <c r="C2268" s="39"/>
      <c r="D2268" s="35" t="s">
        <v>1099</v>
      </c>
      <c r="E2268" s="37"/>
      <c r="F2268" s="35" t="s">
        <v>1100</v>
      </c>
      <c r="G2268" s="39"/>
      <c r="H2268" s="35" t="s">
        <v>1163</v>
      </c>
      <c r="I2268" s="39"/>
    </row>
    <row r="2269" spans="2:9" ht="15.75">
      <c r="B2269" s="35" t="s">
        <v>940</v>
      </c>
      <c r="C2269" s="39"/>
      <c r="D2269" s="35" t="s">
        <v>940</v>
      </c>
      <c r="E2269" s="37"/>
      <c r="F2269" s="35" t="s">
        <v>940</v>
      </c>
      <c r="G2269" s="39"/>
      <c r="H2269" s="35" t="s">
        <v>926</v>
      </c>
      <c r="I2269" s="39"/>
    </row>
    <row r="2270" spans="2:9">
      <c r="B2270" s="33"/>
      <c r="C2270" s="33"/>
      <c r="D2270" s="33"/>
      <c r="E2270" s="33"/>
      <c r="F2270" s="33"/>
      <c r="G2270" s="33"/>
      <c r="H2270" s="33"/>
      <c r="I2270" s="33"/>
    </row>
    <row r="2271" spans="2:9">
      <c r="B2271" s="43" t="s">
        <v>100</v>
      </c>
      <c r="D2271" s="44" t="s">
        <v>1164</v>
      </c>
    </row>
    <row r="2272" spans="2:9">
      <c r="B2272" s="45"/>
    </row>
    <row r="2273" spans="2:9">
      <c r="B2273" s="46" t="s">
        <v>101</v>
      </c>
      <c r="D2273" s="47" t="s">
        <v>1165</v>
      </c>
    </row>
    <row r="2275" spans="2:9">
      <c r="B2275" s="42" t="s">
        <v>861</v>
      </c>
    </row>
    <row r="2277" spans="2:9" ht="15.75">
      <c r="B2277" s="35" t="s">
        <v>5</v>
      </c>
      <c r="C2277" s="54"/>
      <c r="D2277" s="35" t="s">
        <v>17</v>
      </c>
      <c r="E2277" s="33"/>
      <c r="F2277" s="35" t="s">
        <v>18</v>
      </c>
      <c r="G2277" s="39"/>
      <c r="H2277" s="35" t="s">
        <v>19</v>
      </c>
      <c r="I2277" s="39"/>
    </row>
    <row r="2278" spans="2:9" ht="15.75">
      <c r="B2278" s="35" t="s">
        <v>451</v>
      </c>
      <c r="C2278" s="54"/>
      <c r="D2278" s="35" t="s">
        <v>752</v>
      </c>
      <c r="E2278" s="36"/>
      <c r="F2278" s="35" t="s">
        <v>712</v>
      </c>
      <c r="G2278" s="39"/>
      <c r="H2278" s="35" t="s">
        <v>622</v>
      </c>
      <c r="I2278" s="39"/>
    </row>
    <row r="2279" spans="2:9" ht="15.75">
      <c r="B2279" s="35" t="s">
        <v>574</v>
      </c>
      <c r="C2279" s="40">
        <v>4</v>
      </c>
      <c r="D2279" s="35" t="s">
        <v>656</v>
      </c>
      <c r="E2279" s="40">
        <v>4</v>
      </c>
      <c r="F2279" s="35" t="s">
        <v>631</v>
      </c>
      <c r="G2279" s="38">
        <v>4</v>
      </c>
      <c r="H2279" s="35" t="s">
        <v>631</v>
      </c>
      <c r="I2279" s="38">
        <v>6</v>
      </c>
    </row>
    <row r="2280" spans="2:9" ht="15.75">
      <c r="B2280" s="35" t="s">
        <v>1166</v>
      </c>
      <c r="C2280" s="54"/>
      <c r="D2280" s="35" t="s">
        <v>1167</v>
      </c>
      <c r="E2280" s="36"/>
      <c r="F2280" s="35" t="s">
        <v>1168</v>
      </c>
      <c r="G2280" s="39"/>
      <c r="H2280" s="35" t="s">
        <v>1168</v>
      </c>
      <c r="I2280" s="38"/>
    </row>
    <row r="2281" spans="2:9" ht="15.75">
      <c r="B2281" s="53" t="s">
        <v>927</v>
      </c>
      <c r="C2281" s="54"/>
      <c r="D2281" s="35" t="s">
        <v>940</v>
      </c>
      <c r="E2281" s="36"/>
      <c r="F2281" s="35" t="s">
        <v>940</v>
      </c>
      <c r="G2281" s="39"/>
      <c r="H2281" s="35" t="s">
        <v>940</v>
      </c>
      <c r="I2281" s="39"/>
    </row>
    <row r="2282" spans="2:9">
      <c r="B2282" s="33"/>
      <c r="C2282" s="34"/>
      <c r="D2282" s="33"/>
      <c r="E2282" s="33"/>
      <c r="F2282" s="33"/>
      <c r="G2282" s="33"/>
      <c r="H2282" s="33"/>
      <c r="I2282" s="33"/>
    </row>
    <row r="2283" spans="2:9" ht="15.75">
      <c r="B2283" s="38">
        <v>6</v>
      </c>
      <c r="C2283" s="34"/>
      <c r="D2283" s="38">
        <v>3</v>
      </c>
      <c r="E2283" s="33"/>
      <c r="F2283" s="38">
        <v>3</v>
      </c>
      <c r="G2283" s="33"/>
      <c r="H2283" s="38">
        <v>3</v>
      </c>
      <c r="I2283" s="33"/>
    </row>
    <row r="2284" spans="2:9" ht="15.75">
      <c r="B2284" s="39"/>
      <c r="C2284" s="33"/>
      <c r="D2284" s="33"/>
      <c r="E2284" s="33"/>
      <c r="F2284" s="33"/>
      <c r="G2284" s="33"/>
      <c r="H2284" s="33"/>
      <c r="I2284" s="33"/>
    </row>
    <row r="2285" spans="2:9" ht="15.75">
      <c r="B2285" s="35" t="s">
        <v>20</v>
      </c>
      <c r="C2285" s="39"/>
      <c r="D2285" s="35" t="s">
        <v>21</v>
      </c>
      <c r="E2285" s="33"/>
      <c r="F2285" s="35" t="s">
        <v>22</v>
      </c>
      <c r="G2285" s="39"/>
      <c r="H2285" s="35" t="s">
        <v>23</v>
      </c>
      <c r="I2285" s="39"/>
    </row>
    <row r="2286" spans="2:9" ht="15.75">
      <c r="B2286" s="35" t="s">
        <v>622</v>
      </c>
      <c r="C2286" s="39"/>
      <c r="D2286" s="35" t="s">
        <v>622</v>
      </c>
      <c r="E2286" s="37"/>
      <c r="F2286" s="35" t="s">
        <v>506</v>
      </c>
      <c r="G2286" s="39"/>
      <c r="H2286" s="35" t="s">
        <v>506</v>
      </c>
      <c r="I2286" s="39"/>
    </row>
    <row r="2287" spans="2:9" ht="15.75">
      <c r="B2287" s="35" t="s">
        <v>631</v>
      </c>
      <c r="C2287" s="38">
        <v>4</v>
      </c>
      <c r="D2287" s="35" t="s">
        <v>510</v>
      </c>
      <c r="E2287" s="38">
        <v>4</v>
      </c>
      <c r="F2287" s="35" t="s">
        <v>510</v>
      </c>
      <c r="G2287" s="38">
        <v>4</v>
      </c>
      <c r="H2287" s="35" t="s">
        <v>510</v>
      </c>
      <c r="I2287" s="38">
        <v>6</v>
      </c>
    </row>
    <row r="2288" spans="2:9" ht="15.75">
      <c r="B2288" s="35" t="s">
        <v>1168</v>
      </c>
      <c r="C2288" s="39"/>
      <c r="D2288" s="35" t="s">
        <v>1106</v>
      </c>
      <c r="E2288" s="37"/>
      <c r="F2288" s="35" t="s">
        <v>1107</v>
      </c>
      <c r="G2288" s="39"/>
      <c r="H2288" s="35" t="s">
        <v>1107</v>
      </c>
      <c r="I2288" s="39"/>
    </row>
    <row r="2289" spans="2:9" ht="15.75">
      <c r="B2289" s="35" t="s">
        <v>940</v>
      </c>
      <c r="C2289" s="39"/>
      <c r="D2289" s="35" t="s">
        <v>940</v>
      </c>
      <c r="E2289" s="37"/>
      <c r="F2289" s="35" t="s">
        <v>940</v>
      </c>
      <c r="G2289" s="39"/>
      <c r="H2289" s="35" t="s">
        <v>940</v>
      </c>
      <c r="I2289" s="39"/>
    </row>
    <row r="2290" spans="2:9">
      <c r="B2290" s="33"/>
      <c r="C2290" s="33"/>
      <c r="D2290" s="33"/>
      <c r="E2290" s="33"/>
      <c r="F2290" s="33"/>
      <c r="G2290" s="33"/>
      <c r="H2290" s="33"/>
      <c r="I2290" s="33"/>
    </row>
    <row r="2291" spans="2:9" ht="15.75">
      <c r="B2291" s="38">
        <v>6</v>
      </c>
      <c r="C2291" s="33"/>
      <c r="D2291" s="38">
        <v>3</v>
      </c>
      <c r="E2291" s="33"/>
      <c r="F2291" s="38">
        <v>3</v>
      </c>
      <c r="G2291" s="33"/>
      <c r="H2291" s="38">
        <v>3</v>
      </c>
      <c r="I2291" s="33"/>
    </row>
    <row r="2292" spans="2:9" ht="15.75">
      <c r="B2292" s="39"/>
      <c r="C2292" s="33"/>
      <c r="D2292" s="33"/>
      <c r="E2292" s="33"/>
      <c r="F2292" s="33"/>
      <c r="G2292" s="33"/>
      <c r="H2292" s="33"/>
      <c r="I2292" s="33"/>
    </row>
    <row r="2293" spans="2:9" ht="15.75">
      <c r="B2293" s="35" t="s">
        <v>6</v>
      </c>
      <c r="C2293" s="39"/>
      <c r="D2293" s="35" t="s">
        <v>923</v>
      </c>
      <c r="E2293" s="33"/>
      <c r="F2293" s="35" t="s">
        <v>923</v>
      </c>
      <c r="G2293" s="39"/>
      <c r="H2293" s="35" t="s">
        <v>923</v>
      </c>
    </row>
    <row r="2294" spans="2:9" ht="15.75">
      <c r="B2294" s="35" t="s">
        <v>594</v>
      </c>
      <c r="C2294" s="39"/>
      <c r="D2294" s="35" t="s">
        <v>923</v>
      </c>
      <c r="E2294" s="37"/>
      <c r="F2294" s="35" t="s">
        <v>923</v>
      </c>
      <c r="G2294" s="39"/>
      <c r="H2294" s="35" t="s">
        <v>923</v>
      </c>
    </row>
    <row r="2295" spans="2:9" ht="15.75">
      <c r="B2295" s="35" t="s">
        <v>604</v>
      </c>
      <c r="C2295" s="38" t="s">
        <v>923</v>
      </c>
      <c r="D2295" s="35" t="s">
        <v>923</v>
      </c>
      <c r="E2295" s="38" t="s">
        <v>923</v>
      </c>
      <c r="F2295" s="35" t="s">
        <v>923</v>
      </c>
      <c r="G2295" s="38" t="s">
        <v>923</v>
      </c>
      <c r="H2295" s="35" t="s">
        <v>923</v>
      </c>
    </row>
    <row r="2296" spans="2:9" ht="15.75">
      <c r="B2296" s="35" t="s">
        <v>1169</v>
      </c>
      <c r="C2296" s="39"/>
      <c r="D2296" s="35" t="s">
        <v>923</v>
      </c>
      <c r="E2296" s="37"/>
      <c r="F2296" s="35" t="s">
        <v>923</v>
      </c>
      <c r="G2296" s="39"/>
      <c r="H2296" s="35" t="s">
        <v>923</v>
      </c>
    </row>
    <row r="2297" spans="2:9" ht="15.75">
      <c r="B2297" s="35" t="s">
        <v>926</v>
      </c>
      <c r="C2297" s="39"/>
      <c r="D2297" s="35" t="s">
        <v>923</v>
      </c>
      <c r="E2297" s="37"/>
      <c r="F2297" s="35" t="s">
        <v>923</v>
      </c>
      <c r="G2297" s="39"/>
      <c r="H2297" s="35" t="s">
        <v>923</v>
      </c>
    </row>
    <row r="2299" spans="2:9">
      <c r="B2299" s="43" t="s">
        <v>100</v>
      </c>
      <c r="D2299" s="44" t="s">
        <v>1170</v>
      </c>
    </row>
    <row r="2300" spans="2:9">
      <c r="B2300" s="45"/>
    </row>
    <row r="2301" spans="2:9">
      <c r="B2301" s="46" t="s">
        <v>101</v>
      </c>
      <c r="D2301" s="47" t="s">
        <v>1171</v>
      </c>
    </row>
    <row r="2303" spans="2:9">
      <c r="B2303" s="42" t="s">
        <v>862</v>
      </c>
    </row>
    <row r="2305" spans="2:9" ht="15.75">
      <c r="B2305" s="35" t="s">
        <v>5</v>
      </c>
      <c r="C2305" s="54"/>
      <c r="D2305" s="35" t="s">
        <v>17</v>
      </c>
      <c r="E2305" s="33"/>
      <c r="F2305" s="35" t="s">
        <v>18</v>
      </c>
      <c r="G2305" s="39"/>
      <c r="H2305" s="35" t="s">
        <v>19</v>
      </c>
      <c r="I2305" s="39"/>
    </row>
    <row r="2306" spans="2:9" ht="15.75">
      <c r="B2306" s="35" t="s">
        <v>452</v>
      </c>
      <c r="C2306" s="54"/>
      <c r="D2306" s="35" t="s">
        <v>753</v>
      </c>
      <c r="E2306" s="36"/>
      <c r="F2306" s="35" t="s">
        <v>713</v>
      </c>
      <c r="G2306" s="39"/>
      <c r="H2306" s="35" t="s">
        <v>623</v>
      </c>
      <c r="I2306" s="39"/>
    </row>
    <row r="2307" spans="2:9" ht="15.75">
      <c r="B2307" s="35" t="s">
        <v>575</v>
      </c>
      <c r="C2307" s="40">
        <v>4</v>
      </c>
      <c r="D2307" s="35" t="s">
        <v>657</v>
      </c>
      <c r="E2307" s="40">
        <v>4</v>
      </c>
      <c r="F2307" s="35" t="s">
        <v>632</v>
      </c>
      <c r="G2307" s="38">
        <v>4</v>
      </c>
      <c r="H2307" s="35" t="s">
        <v>632</v>
      </c>
      <c r="I2307" s="38">
        <v>6</v>
      </c>
    </row>
    <row r="2308" spans="2:9" ht="15.75">
      <c r="B2308" s="35" t="s">
        <v>1172</v>
      </c>
      <c r="C2308" s="54"/>
      <c r="D2308" s="35" t="s">
        <v>1173</v>
      </c>
      <c r="E2308" s="36"/>
      <c r="F2308" s="35" t="s">
        <v>1174</v>
      </c>
      <c r="G2308" s="39"/>
      <c r="H2308" s="35" t="s">
        <v>1174</v>
      </c>
      <c r="I2308" s="38"/>
    </row>
    <row r="2309" spans="2:9" ht="15.75">
      <c r="B2309" s="53" t="s">
        <v>927</v>
      </c>
      <c r="C2309" s="54"/>
      <c r="D2309" s="35" t="s">
        <v>940</v>
      </c>
      <c r="E2309" s="36"/>
      <c r="F2309" s="35" t="s">
        <v>940</v>
      </c>
      <c r="G2309" s="39"/>
      <c r="H2309" s="35" t="s">
        <v>940</v>
      </c>
      <c r="I2309" s="39"/>
    </row>
    <row r="2310" spans="2:9">
      <c r="B2310" s="33"/>
      <c r="C2310" s="34"/>
      <c r="D2310" s="33"/>
      <c r="E2310" s="33"/>
      <c r="F2310" s="33"/>
      <c r="G2310" s="33"/>
      <c r="H2310" s="33"/>
      <c r="I2310" s="33"/>
    </row>
    <row r="2311" spans="2:9" ht="15.75">
      <c r="B2311" s="38">
        <v>6</v>
      </c>
      <c r="C2311" s="34"/>
      <c r="D2311" s="38">
        <v>3</v>
      </c>
      <c r="E2311" s="33"/>
      <c r="F2311" s="38">
        <v>3</v>
      </c>
      <c r="G2311" s="33"/>
      <c r="H2311" s="38">
        <v>3</v>
      </c>
      <c r="I2311" s="33"/>
    </row>
    <row r="2312" spans="2:9" ht="15.75">
      <c r="B2312" s="39"/>
      <c r="C2312" s="33"/>
      <c r="D2312" s="33"/>
      <c r="E2312" s="33"/>
      <c r="F2312" s="33"/>
      <c r="G2312" s="33"/>
      <c r="H2312" s="33"/>
      <c r="I2312" s="33"/>
    </row>
    <row r="2313" spans="2:9" ht="15.75">
      <c r="B2313" s="35" t="s">
        <v>20</v>
      </c>
      <c r="C2313" s="39"/>
      <c r="D2313" s="35" t="s">
        <v>22</v>
      </c>
      <c r="E2313" s="33"/>
      <c r="F2313" s="35" t="s">
        <v>22</v>
      </c>
      <c r="G2313" s="39"/>
      <c r="H2313" s="35" t="s">
        <v>23</v>
      </c>
      <c r="I2313" s="39"/>
    </row>
    <row r="2314" spans="2:9" ht="15.75">
      <c r="B2314" s="35" t="s">
        <v>623</v>
      </c>
      <c r="C2314" s="39"/>
      <c r="D2314" s="35" t="s">
        <v>623</v>
      </c>
      <c r="E2314" s="37"/>
      <c r="F2314" s="35" t="s">
        <v>507</v>
      </c>
      <c r="G2314" s="39"/>
      <c r="H2314" s="35" t="s">
        <v>507</v>
      </c>
      <c r="I2314" s="39"/>
    </row>
    <row r="2315" spans="2:9" ht="15.75">
      <c r="B2315" s="35" t="s">
        <v>632</v>
      </c>
      <c r="C2315" s="38">
        <v>4</v>
      </c>
      <c r="D2315" s="35" t="s">
        <v>511</v>
      </c>
      <c r="E2315" s="38">
        <v>4</v>
      </c>
      <c r="F2315" s="35" t="s">
        <v>511</v>
      </c>
      <c r="G2315" s="38">
        <v>4</v>
      </c>
      <c r="H2315" s="35" t="s">
        <v>511</v>
      </c>
      <c r="I2315" s="38">
        <v>6</v>
      </c>
    </row>
    <row r="2316" spans="2:9" ht="15.75">
      <c r="B2316" s="35" t="s">
        <v>1174</v>
      </c>
      <c r="C2316" s="39"/>
      <c r="D2316" s="35" t="s">
        <v>1113</v>
      </c>
      <c r="E2316" s="37"/>
      <c r="F2316" s="35" t="s">
        <v>1114</v>
      </c>
      <c r="G2316" s="39"/>
      <c r="H2316" s="35" t="s">
        <v>1114</v>
      </c>
      <c r="I2316" s="39"/>
    </row>
    <row r="2317" spans="2:9" ht="15.75">
      <c r="B2317" s="35" t="s">
        <v>940</v>
      </c>
      <c r="C2317" s="39"/>
      <c r="D2317" s="35" t="s">
        <v>940</v>
      </c>
      <c r="E2317" s="37"/>
      <c r="F2317" s="35" t="s">
        <v>940</v>
      </c>
      <c r="G2317" s="39"/>
      <c r="H2317" s="35" t="s">
        <v>940</v>
      </c>
      <c r="I2317" s="39"/>
    </row>
    <row r="2318" spans="2:9">
      <c r="B2318" s="33"/>
      <c r="C2318" s="33"/>
      <c r="D2318" s="33"/>
      <c r="E2318" s="33"/>
      <c r="F2318" s="33"/>
      <c r="G2318" s="33"/>
      <c r="H2318" s="33"/>
      <c r="I2318" s="33"/>
    </row>
    <row r="2319" spans="2:9" ht="15.75">
      <c r="B2319" s="38">
        <v>6</v>
      </c>
      <c r="C2319" s="33"/>
      <c r="D2319" s="38">
        <v>3</v>
      </c>
      <c r="E2319" s="33"/>
      <c r="F2319" s="38">
        <v>3</v>
      </c>
      <c r="G2319" s="33"/>
      <c r="H2319" s="38">
        <v>3</v>
      </c>
      <c r="I2319" s="33"/>
    </row>
    <row r="2320" spans="2:9" ht="15.75">
      <c r="B2320" s="39"/>
      <c r="C2320" s="33"/>
      <c r="D2320" s="33"/>
      <c r="E2320" s="33"/>
      <c r="F2320" s="33"/>
      <c r="G2320" s="33"/>
      <c r="H2320" s="33"/>
      <c r="I2320" s="33"/>
    </row>
    <row r="2321" spans="2:9" ht="15.75">
      <c r="B2321" s="35" t="s">
        <v>24</v>
      </c>
      <c r="C2321" s="39"/>
      <c r="D2321" s="35" t="s">
        <v>6</v>
      </c>
      <c r="E2321" s="33"/>
      <c r="F2321" s="35" t="s">
        <v>923</v>
      </c>
      <c r="G2321" s="39"/>
      <c r="H2321" s="35" t="s">
        <v>923</v>
      </c>
    </row>
    <row r="2322" spans="2:9" ht="15.75">
      <c r="B2322" s="35" t="s">
        <v>521</v>
      </c>
      <c r="C2322" s="39"/>
      <c r="D2322" s="35" t="s">
        <v>595</v>
      </c>
      <c r="E2322" s="37"/>
      <c r="F2322" s="35" t="s">
        <v>923</v>
      </c>
      <c r="G2322" s="39"/>
      <c r="H2322" s="35" t="s">
        <v>923</v>
      </c>
    </row>
    <row r="2323" spans="2:9" ht="15.75">
      <c r="B2323" s="35" t="s">
        <v>511</v>
      </c>
      <c r="C2323" s="38">
        <v>4</v>
      </c>
      <c r="D2323" s="35" t="s">
        <v>605</v>
      </c>
      <c r="E2323" s="38" t="s">
        <v>923</v>
      </c>
      <c r="F2323" s="35" t="s">
        <v>923</v>
      </c>
      <c r="G2323" s="38" t="s">
        <v>923</v>
      </c>
      <c r="H2323" s="35" t="s">
        <v>923</v>
      </c>
    </row>
    <row r="2324" spans="2:9" ht="15.75">
      <c r="B2324" s="35" t="s">
        <v>1114</v>
      </c>
      <c r="C2324" s="39"/>
      <c r="D2324" s="35" t="s">
        <v>1175</v>
      </c>
      <c r="E2324" s="37"/>
      <c r="F2324" s="35" t="s">
        <v>923</v>
      </c>
      <c r="G2324" s="39"/>
      <c r="H2324" s="35" t="s">
        <v>923</v>
      </c>
    </row>
    <row r="2325" spans="2:9" ht="15.75">
      <c r="B2325" s="35" t="s">
        <v>940</v>
      </c>
      <c r="C2325" s="39"/>
      <c r="D2325" s="35" t="s">
        <v>926</v>
      </c>
      <c r="E2325" s="37"/>
      <c r="F2325" s="35" t="s">
        <v>923</v>
      </c>
      <c r="G2325" s="39"/>
      <c r="H2325" s="35" t="s">
        <v>923</v>
      </c>
    </row>
    <row r="2327" spans="2:9">
      <c r="B2327" s="43" t="s">
        <v>100</v>
      </c>
      <c r="D2327" s="44" t="s">
        <v>1176</v>
      </c>
    </row>
    <row r="2328" spans="2:9">
      <c r="B2328" s="45"/>
    </row>
    <row r="2329" spans="2:9">
      <c r="B2329" s="46" t="s">
        <v>101</v>
      </c>
      <c r="D2329" s="47" t="s">
        <v>1177</v>
      </c>
    </row>
    <row r="2330" spans="2:9">
      <c r="B2330" s="50"/>
      <c r="C2330" s="49"/>
      <c r="D2330" s="49"/>
    </row>
    <row r="2331" spans="2:9">
      <c r="B2331" s="42" t="s">
        <v>863</v>
      </c>
    </row>
    <row r="2333" spans="2:9" ht="15.75">
      <c r="B2333" s="35" t="s">
        <v>5</v>
      </c>
      <c r="C2333" s="54"/>
      <c r="D2333" s="35" t="s">
        <v>17</v>
      </c>
      <c r="E2333" s="33"/>
      <c r="F2333" s="35" t="s">
        <v>18</v>
      </c>
      <c r="G2333" s="39"/>
      <c r="H2333" s="35" t="s">
        <v>19</v>
      </c>
      <c r="I2333" s="39"/>
    </row>
    <row r="2334" spans="2:9" ht="15.75">
      <c r="B2334" s="35" t="s">
        <v>453</v>
      </c>
      <c r="C2334" s="54"/>
      <c r="D2334" s="35" t="s">
        <v>754</v>
      </c>
      <c r="E2334" s="36"/>
      <c r="F2334" s="35" t="s">
        <v>714</v>
      </c>
      <c r="G2334" s="39"/>
      <c r="H2334" s="35" t="s">
        <v>624</v>
      </c>
      <c r="I2334" s="39"/>
    </row>
    <row r="2335" spans="2:9" ht="15.75">
      <c r="B2335" s="35" t="s">
        <v>576</v>
      </c>
      <c r="C2335" s="40">
        <v>4</v>
      </c>
      <c r="D2335" s="35" t="s">
        <v>658</v>
      </c>
      <c r="E2335" s="40">
        <v>4</v>
      </c>
      <c r="F2335" s="35" t="s">
        <v>633</v>
      </c>
      <c r="G2335" s="38">
        <v>4</v>
      </c>
      <c r="H2335" s="35" t="s">
        <v>633</v>
      </c>
      <c r="I2335" s="38">
        <v>6</v>
      </c>
    </row>
    <row r="2336" spans="2:9" ht="15.75">
      <c r="B2336" s="35" t="s">
        <v>1178</v>
      </c>
      <c r="C2336" s="54"/>
      <c r="D2336" s="35" t="s">
        <v>1179</v>
      </c>
      <c r="E2336" s="36"/>
      <c r="F2336" s="35" t="s">
        <v>1180</v>
      </c>
      <c r="G2336" s="39"/>
      <c r="H2336" s="35" t="s">
        <v>1180</v>
      </c>
      <c r="I2336" s="38"/>
    </row>
    <row r="2337" spans="2:9" ht="15.75">
      <c r="B2337" s="53" t="s">
        <v>927</v>
      </c>
      <c r="C2337" s="54"/>
      <c r="D2337" s="35" t="s">
        <v>940</v>
      </c>
      <c r="E2337" s="36"/>
      <c r="F2337" s="35" t="s">
        <v>940</v>
      </c>
      <c r="G2337" s="39"/>
      <c r="H2337" s="35" t="s">
        <v>940</v>
      </c>
      <c r="I2337" s="39"/>
    </row>
    <row r="2338" spans="2:9">
      <c r="B2338" s="33"/>
      <c r="C2338" s="34"/>
      <c r="D2338" s="33"/>
      <c r="E2338" s="33"/>
      <c r="F2338" s="33"/>
      <c r="G2338" s="33"/>
      <c r="H2338" s="33"/>
      <c r="I2338" s="33"/>
    </row>
    <row r="2339" spans="2:9" ht="15.75">
      <c r="B2339" s="38">
        <v>6</v>
      </c>
      <c r="C2339" s="34"/>
      <c r="D2339" s="38">
        <v>3</v>
      </c>
      <c r="E2339" s="33"/>
      <c r="F2339" s="38">
        <v>3</v>
      </c>
      <c r="G2339" s="33"/>
      <c r="H2339" s="38">
        <v>3</v>
      </c>
      <c r="I2339" s="33"/>
    </row>
    <row r="2340" spans="2:9" ht="15.75">
      <c r="B2340" s="39"/>
      <c r="C2340" s="33"/>
      <c r="D2340" s="33"/>
      <c r="E2340" s="33"/>
      <c r="F2340" s="33"/>
      <c r="G2340" s="33"/>
      <c r="H2340" s="33"/>
      <c r="I2340" s="33"/>
    </row>
    <row r="2341" spans="2:9" ht="15.75">
      <c r="B2341" s="35" t="s">
        <v>20</v>
      </c>
      <c r="C2341" s="39"/>
      <c r="D2341" s="35" t="s">
        <v>23</v>
      </c>
      <c r="E2341" s="33"/>
      <c r="F2341" s="35" t="s">
        <v>22</v>
      </c>
      <c r="G2341" s="39"/>
      <c r="H2341" s="35" t="s">
        <v>23</v>
      </c>
      <c r="I2341" s="39"/>
    </row>
    <row r="2342" spans="2:9" ht="15.75">
      <c r="B2342" s="35" t="s">
        <v>624</v>
      </c>
      <c r="C2342" s="39"/>
      <c r="D2342" s="35" t="s">
        <v>624</v>
      </c>
      <c r="E2342" s="37"/>
      <c r="F2342" s="35" t="s">
        <v>508</v>
      </c>
      <c r="G2342" s="39"/>
      <c r="H2342" s="35" t="s">
        <v>508</v>
      </c>
      <c r="I2342" s="39"/>
    </row>
    <row r="2343" spans="2:9" ht="15.75">
      <c r="B2343" s="35" t="s">
        <v>633</v>
      </c>
      <c r="C2343" s="38">
        <v>4</v>
      </c>
      <c r="D2343" s="35" t="s">
        <v>512</v>
      </c>
      <c r="E2343" s="38">
        <v>4</v>
      </c>
      <c r="F2343" s="35" t="s">
        <v>512</v>
      </c>
      <c r="G2343" s="38">
        <v>4</v>
      </c>
      <c r="H2343" s="35" t="s">
        <v>512</v>
      </c>
      <c r="I2343" s="38">
        <v>6</v>
      </c>
    </row>
    <row r="2344" spans="2:9" ht="15.75">
      <c r="B2344" s="35" t="s">
        <v>1180</v>
      </c>
      <c r="C2344" s="39"/>
      <c r="D2344" s="35" t="s">
        <v>1120</v>
      </c>
      <c r="E2344" s="37"/>
      <c r="F2344" s="35" t="s">
        <v>1121</v>
      </c>
      <c r="G2344" s="39"/>
      <c r="H2344" s="35" t="s">
        <v>1121</v>
      </c>
      <c r="I2344" s="39"/>
    </row>
    <row r="2345" spans="2:9" ht="15.75">
      <c r="B2345" s="35" t="s">
        <v>940</v>
      </c>
      <c r="C2345" s="39"/>
      <c r="D2345" s="35" t="s">
        <v>940</v>
      </c>
      <c r="E2345" s="37"/>
      <c r="F2345" s="35" t="s">
        <v>940</v>
      </c>
      <c r="G2345" s="39"/>
      <c r="H2345" s="35" t="s">
        <v>940</v>
      </c>
      <c r="I2345" s="39"/>
    </row>
    <row r="2346" spans="2:9">
      <c r="B2346" s="33"/>
      <c r="C2346" s="33"/>
      <c r="D2346" s="33"/>
      <c r="E2346" s="33"/>
      <c r="F2346" s="33"/>
      <c r="G2346" s="33"/>
      <c r="H2346" s="33"/>
      <c r="I2346" s="33"/>
    </row>
    <row r="2347" spans="2:9" ht="15.75">
      <c r="B2347" s="38">
        <v>6</v>
      </c>
      <c r="C2347" s="33"/>
      <c r="D2347" s="38">
        <v>3</v>
      </c>
      <c r="E2347" s="33"/>
      <c r="F2347" s="38">
        <v>3</v>
      </c>
      <c r="G2347" s="33"/>
      <c r="H2347" s="38">
        <v>3</v>
      </c>
      <c r="I2347" s="33"/>
    </row>
    <row r="2348" spans="2:9" ht="15.75">
      <c r="B2348" s="39"/>
      <c r="C2348" s="33"/>
      <c r="D2348" s="33"/>
      <c r="E2348" s="33"/>
      <c r="F2348" s="33"/>
      <c r="G2348" s="33"/>
      <c r="H2348" s="33"/>
      <c r="I2348" s="33"/>
    </row>
    <row r="2349" spans="2:9" ht="15.75">
      <c r="B2349" s="35" t="s">
        <v>24</v>
      </c>
      <c r="C2349" s="39"/>
      <c r="D2349" s="35" t="s">
        <v>25</v>
      </c>
      <c r="E2349" s="33"/>
      <c r="F2349" s="35" t="s">
        <v>6</v>
      </c>
      <c r="G2349" s="39"/>
      <c r="H2349" s="35" t="s">
        <v>923</v>
      </c>
    </row>
    <row r="2350" spans="2:9" ht="15.75">
      <c r="B2350" s="35" t="s">
        <v>522</v>
      </c>
      <c r="C2350" s="39"/>
      <c r="D2350" s="35" t="s">
        <v>508</v>
      </c>
      <c r="E2350" s="37"/>
      <c r="F2350" s="35" t="s">
        <v>596</v>
      </c>
      <c r="G2350" s="39"/>
      <c r="H2350" s="35" t="s">
        <v>923</v>
      </c>
    </row>
    <row r="2351" spans="2:9" ht="15.75">
      <c r="B2351" s="35" t="s">
        <v>512</v>
      </c>
      <c r="C2351" s="38">
        <v>4</v>
      </c>
      <c r="D2351" s="35" t="s">
        <v>512</v>
      </c>
      <c r="E2351" s="38">
        <v>4</v>
      </c>
      <c r="F2351" s="35" t="s">
        <v>606</v>
      </c>
      <c r="G2351" s="38" t="s">
        <v>923</v>
      </c>
      <c r="H2351" s="35" t="s">
        <v>923</v>
      </c>
    </row>
    <row r="2352" spans="2:9" ht="15.75">
      <c r="B2352" s="35" t="s">
        <v>1121</v>
      </c>
      <c r="C2352" s="39"/>
      <c r="D2352" s="35" t="s">
        <v>1121</v>
      </c>
      <c r="E2352" s="37"/>
      <c r="F2352" s="35" t="s">
        <v>1181</v>
      </c>
      <c r="G2352" s="39"/>
      <c r="H2352" s="35" t="s">
        <v>923</v>
      </c>
    </row>
    <row r="2353" spans="2:9" ht="15.75">
      <c r="B2353" s="35" t="s">
        <v>940</v>
      </c>
      <c r="C2353" s="39"/>
      <c r="D2353" s="35" t="s">
        <v>940</v>
      </c>
      <c r="E2353" s="37"/>
      <c r="F2353" s="35" t="s">
        <v>926</v>
      </c>
      <c r="G2353" s="39"/>
      <c r="H2353" s="35" t="s">
        <v>923</v>
      </c>
    </row>
    <row r="2355" spans="2:9">
      <c r="B2355" s="43" t="s">
        <v>100</v>
      </c>
      <c r="D2355" s="44" t="s">
        <v>1182</v>
      </c>
    </row>
    <row r="2356" spans="2:9">
      <c r="B2356" s="45"/>
    </row>
    <row r="2357" spans="2:9">
      <c r="B2357" s="46" t="s">
        <v>101</v>
      </c>
      <c r="D2357" s="47" t="s">
        <v>1183</v>
      </c>
    </row>
    <row r="2358" spans="2:9">
      <c r="B2358" s="50"/>
      <c r="C2358" s="49"/>
      <c r="D2358" s="49"/>
    </row>
    <row r="2359" spans="2:9">
      <c r="B2359" s="42" t="s">
        <v>864</v>
      </c>
    </row>
    <row r="2361" spans="2:9" ht="15.75">
      <c r="B2361" s="35" t="s">
        <v>5</v>
      </c>
      <c r="C2361" s="54"/>
      <c r="D2361" s="35" t="s">
        <v>17</v>
      </c>
      <c r="E2361" s="33"/>
      <c r="F2361" s="35" t="s">
        <v>18</v>
      </c>
      <c r="G2361" s="39"/>
      <c r="H2361" s="35" t="s">
        <v>19</v>
      </c>
      <c r="I2361" s="39"/>
    </row>
    <row r="2362" spans="2:9" ht="15.75">
      <c r="B2362" s="35" t="s">
        <v>454</v>
      </c>
      <c r="C2362" s="54"/>
      <c r="D2362" s="35" t="s">
        <v>755</v>
      </c>
      <c r="E2362" s="36"/>
      <c r="F2362" s="35" t="s">
        <v>715</v>
      </c>
      <c r="G2362" s="39"/>
      <c r="H2362" s="35" t="s">
        <v>625</v>
      </c>
      <c r="I2362" s="39"/>
    </row>
    <row r="2363" spans="2:9" ht="15.75">
      <c r="B2363" s="35" t="s">
        <v>577</v>
      </c>
      <c r="C2363" s="40">
        <v>4</v>
      </c>
      <c r="D2363" s="35" t="s">
        <v>649</v>
      </c>
      <c r="E2363" s="40">
        <v>4</v>
      </c>
      <c r="F2363" s="35" t="s">
        <v>259</v>
      </c>
      <c r="G2363" s="38">
        <v>4</v>
      </c>
      <c r="H2363" s="35" t="s">
        <v>259</v>
      </c>
      <c r="I2363" s="38">
        <v>6</v>
      </c>
    </row>
    <row r="2364" spans="2:9" ht="15.75">
      <c r="B2364" s="35" t="s">
        <v>1184</v>
      </c>
      <c r="C2364" s="54"/>
      <c r="D2364" s="35" t="s">
        <v>1185</v>
      </c>
      <c r="E2364" s="36"/>
      <c r="F2364" s="35" t="s">
        <v>1186</v>
      </c>
      <c r="G2364" s="39"/>
      <c r="H2364" s="35" t="s">
        <v>1186</v>
      </c>
      <c r="I2364" s="38"/>
    </row>
    <row r="2365" spans="2:9" ht="15.75">
      <c r="B2365" s="53" t="s">
        <v>927</v>
      </c>
      <c r="C2365" s="54"/>
      <c r="D2365" s="35" t="s">
        <v>940</v>
      </c>
      <c r="E2365" s="36"/>
      <c r="F2365" s="35" t="s">
        <v>940</v>
      </c>
      <c r="G2365" s="39"/>
      <c r="H2365" s="35" t="s">
        <v>940</v>
      </c>
      <c r="I2365" s="39"/>
    </row>
    <row r="2366" spans="2:9">
      <c r="B2366" s="33"/>
      <c r="C2366" s="34"/>
      <c r="D2366" s="33"/>
      <c r="E2366" s="33"/>
      <c r="F2366" s="33"/>
      <c r="G2366" s="33"/>
      <c r="H2366" s="33"/>
      <c r="I2366" s="33"/>
    </row>
    <row r="2367" spans="2:9" ht="15.75">
      <c r="B2367" s="38">
        <v>6</v>
      </c>
      <c r="C2367" s="34"/>
      <c r="D2367" s="38">
        <v>3</v>
      </c>
      <c r="E2367" s="33"/>
      <c r="F2367" s="38">
        <v>3</v>
      </c>
      <c r="G2367" s="33"/>
      <c r="H2367" s="38">
        <v>3</v>
      </c>
      <c r="I2367" s="33"/>
    </row>
    <row r="2368" spans="2:9" ht="15.75">
      <c r="B2368" s="39"/>
      <c r="C2368" s="33"/>
      <c r="D2368" s="33"/>
      <c r="E2368" s="33"/>
      <c r="F2368" s="33"/>
      <c r="G2368" s="33"/>
      <c r="H2368" s="33"/>
      <c r="I2368" s="33"/>
    </row>
    <row r="2369" spans="2:9" ht="15.75">
      <c r="B2369" s="35" t="s">
        <v>20</v>
      </c>
      <c r="C2369" s="39"/>
      <c r="D2369" s="35" t="s">
        <v>24</v>
      </c>
      <c r="E2369" s="33"/>
      <c r="F2369" s="35" t="s">
        <v>22</v>
      </c>
      <c r="G2369" s="39"/>
      <c r="H2369" s="35" t="s">
        <v>23</v>
      </c>
      <c r="I2369" s="39"/>
    </row>
    <row r="2370" spans="2:9" ht="15.75">
      <c r="B2370" s="35" t="s">
        <v>625</v>
      </c>
      <c r="C2370" s="39"/>
      <c r="D2370" s="35" t="s">
        <v>625</v>
      </c>
      <c r="E2370" s="37"/>
      <c r="F2370" s="35" t="s">
        <v>241</v>
      </c>
      <c r="G2370" s="39"/>
      <c r="H2370" s="35" t="s">
        <v>241</v>
      </c>
      <c r="I2370" s="39"/>
    </row>
    <row r="2371" spans="2:9" ht="15.75">
      <c r="B2371" s="35" t="s">
        <v>259</v>
      </c>
      <c r="C2371" s="38">
        <v>4</v>
      </c>
      <c r="D2371" s="35" t="s">
        <v>249</v>
      </c>
      <c r="E2371" s="38">
        <v>4</v>
      </c>
      <c r="F2371" s="35" t="s">
        <v>249</v>
      </c>
      <c r="G2371" s="38">
        <v>4</v>
      </c>
      <c r="H2371" s="35" t="s">
        <v>249</v>
      </c>
      <c r="I2371" s="38">
        <v>6</v>
      </c>
    </row>
    <row r="2372" spans="2:9" ht="15.75">
      <c r="B2372" s="35" t="s">
        <v>1186</v>
      </c>
      <c r="C2372" s="39"/>
      <c r="D2372" s="35" t="s">
        <v>1127</v>
      </c>
      <c r="E2372" s="37"/>
      <c r="F2372" s="35" t="s">
        <v>1127</v>
      </c>
      <c r="G2372" s="39"/>
      <c r="H2372" s="35" t="s">
        <v>1127</v>
      </c>
      <c r="I2372" s="39"/>
    </row>
    <row r="2373" spans="2:9" ht="15.75">
      <c r="B2373" s="35" t="s">
        <v>940</v>
      </c>
      <c r="C2373" s="39"/>
      <c r="D2373" s="35" t="s">
        <v>940</v>
      </c>
      <c r="E2373" s="37"/>
      <c r="F2373" s="35" t="s">
        <v>940</v>
      </c>
      <c r="G2373" s="39"/>
      <c r="H2373" s="35" t="s">
        <v>940</v>
      </c>
      <c r="I2373" s="39"/>
    </row>
    <row r="2374" spans="2:9">
      <c r="B2374" s="33"/>
      <c r="C2374" s="33"/>
      <c r="D2374" s="33"/>
      <c r="E2374" s="33"/>
      <c r="F2374" s="33"/>
      <c r="G2374" s="33"/>
      <c r="H2374" s="33"/>
      <c r="I2374" s="33"/>
    </row>
    <row r="2375" spans="2:9" ht="15.75">
      <c r="B2375" s="38">
        <v>6</v>
      </c>
      <c r="C2375" s="33"/>
      <c r="D2375" s="38">
        <v>3</v>
      </c>
      <c r="E2375" s="33"/>
      <c r="F2375" s="38">
        <v>3</v>
      </c>
      <c r="G2375" s="33"/>
      <c r="H2375" s="38">
        <v>3</v>
      </c>
      <c r="I2375" s="33"/>
    </row>
    <row r="2376" spans="2:9" ht="15.75">
      <c r="B2376" s="39"/>
      <c r="C2376" s="33"/>
      <c r="D2376" s="33"/>
      <c r="E2376" s="33"/>
      <c r="F2376" s="33"/>
      <c r="G2376" s="33"/>
      <c r="H2376" s="33"/>
      <c r="I2376" s="33"/>
    </row>
    <row r="2377" spans="2:9" ht="15.75">
      <c r="B2377" s="35" t="s">
        <v>24</v>
      </c>
      <c r="C2377" s="39"/>
      <c r="D2377" s="35" t="s">
        <v>25</v>
      </c>
      <c r="E2377" s="33"/>
      <c r="F2377" s="35" t="s">
        <v>26</v>
      </c>
      <c r="G2377" s="39"/>
      <c r="H2377" s="35" t="s">
        <v>6</v>
      </c>
    </row>
    <row r="2378" spans="2:9" ht="15.75">
      <c r="B2378" s="35" t="s">
        <v>523</v>
      </c>
      <c r="C2378" s="39"/>
      <c r="D2378" s="35" t="s">
        <v>241</v>
      </c>
      <c r="E2378" s="37"/>
      <c r="F2378" s="35" t="s">
        <v>517</v>
      </c>
      <c r="G2378" s="39"/>
      <c r="H2378" s="35" t="s">
        <v>597</v>
      </c>
    </row>
    <row r="2379" spans="2:9" ht="15.75">
      <c r="B2379" s="35" t="s">
        <v>249</v>
      </c>
      <c r="C2379" s="38">
        <v>4</v>
      </c>
      <c r="D2379" s="35" t="s">
        <v>249</v>
      </c>
      <c r="E2379" s="38">
        <v>4</v>
      </c>
      <c r="F2379" s="35" t="s">
        <v>249</v>
      </c>
      <c r="G2379" s="38">
        <v>4</v>
      </c>
      <c r="H2379" s="35" t="s">
        <v>607</v>
      </c>
    </row>
    <row r="2380" spans="2:9" ht="15.75">
      <c r="B2380" s="35" t="s">
        <v>1127</v>
      </c>
      <c r="C2380" s="39"/>
      <c r="D2380" s="35" t="s">
        <v>1127</v>
      </c>
      <c r="E2380" s="37"/>
      <c r="F2380" s="35" t="s">
        <v>1127</v>
      </c>
      <c r="G2380" s="39"/>
      <c r="H2380" s="35" t="s">
        <v>1187</v>
      </c>
    </row>
    <row r="2381" spans="2:9" ht="15.75">
      <c r="B2381" s="35" t="s">
        <v>940</v>
      </c>
      <c r="C2381" s="39"/>
      <c r="D2381" s="35" t="s">
        <v>940</v>
      </c>
      <c r="E2381" s="37"/>
      <c r="F2381" s="35" t="s">
        <v>940</v>
      </c>
      <c r="G2381" s="39"/>
      <c r="H2381" s="35" t="s">
        <v>926</v>
      </c>
    </row>
    <row r="2383" spans="2:9">
      <c r="B2383" s="43" t="s">
        <v>100</v>
      </c>
      <c r="D2383" s="44" t="s">
        <v>1188</v>
      </c>
    </row>
    <row r="2384" spans="2:9">
      <c r="B2384" s="45"/>
    </row>
    <row r="2385" spans="2:9">
      <c r="B2385" s="46" t="s">
        <v>101</v>
      </c>
      <c r="D2385" s="47" t="s">
        <v>1189</v>
      </c>
    </row>
    <row r="2387" spans="2:9">
      <c r="B2387" s="55" t="s">
        <v>876</v>
      </c>
    </row>
    <row r="2389" spans="2:9">
      <c r="B2389" s="42" t="s">
        <v>877</v>
      </c>
    </row>
    <row r="2391" spans="2:9" ht="15.75">
      <c r="B2391" s="35" t="s">
        <v>5</v>
      </c>
      <c r="C2391" s="54"/>
      <c r="D2391" s="35" t="s">
        <v>17</v>
      </c>
      <c r="E2391" s="33"/>
      <c r="F2391" s="35" t="s">
        <v>6</v>
      </c>
      <c r="G2391" s="39"/>
      <c r="H2391" s="35" t="s">
        <v>923</v>
      </c>
      <c r="I2391" s="39"/>
    </row>
    <row r="2392" spans="2:9" ht="15.75">
      <c r="B2392" s="35" t="s">
        <v>424</v>
      </c>
      <c r="C2392" s="54"/>
      <c r="D2392" s="35" t="s">
        <v>746</v>
      </c>
      <c r="E2392" s="36"/>
      <c r="F2392" s="35" t="s">
        <v>588</v>
      </c>
      <c r="G2392" s="39"/>
      <c r="H2392" s="35" t="s">
        <v>923</v>
      </c>
      <c r="I2392" s="39"/>
    </row>
    <row r="2393" spans="2:9" ht="15.75">
      <c r="B2393" s="35" t="s">
        <v>568</v>
      </c>
      <c r="C2393" s="40">
        <v>4</v>
      </c>
      <c r="D2393" s="35" t="s">
        <v>650</v>
      </c>
      <c r="E2393" s="40">
        <v>4</v>
      </c>
      <c r="F2393" s="35" t="s">
        <v>598</v>
      </c>
      <c r="G2393" s="38" t="s">
        <v>923</v>
      </c>
      <c r="H2393" s="35" t="s">
        <v>923</v>
      </c>
      <c r="I2393" s="38" t="s">
        <v>923</v>
      </c>
    </row>
    <row r="2394" spans="2:9" ht="15.75">
      <c r="B2394" s="35" t="s">
        <v>1131</v>
      </c>
      <c r="C2394" s="54"/>
      <c r="D2394" s="35" t="s">
        <v>1132</v>
      </c>
      <c r="E2394" s="36"/>
      <c r="F2394" s="35" t="s">
        <v>1133</v>
      </c>
      <c r="G2394" s="39"/>
      <c r="H2394" s="35" t="s">
        <v>923</v>
      </c>
      <c r="I2394" s="38"/>
    </row>
    <row r="2395" spans="2:9" ht="15.75">
      <c r="B2395" s="53" t="s">
        <v>927</v>
      </c>
      <c r="C2395" s="54"/>
      <c r="D2395" s="35" t="s">
        <v>940</v>
      </c>
      <c r="E2395" s="36"/>
      <c r="F2395" s="35" t="s">
        <v>926</v>
      </c>
      <c r="G2395" s="39"/>
      <c r="H2395" s="35" t="s">
        <v>923</v>
      </c>
      <c r="I2395" s="39"/>
    </row>
    <row r="2396" spans="2:9">
      <c r="B2396" s="33"/>
      <c r="C2396" s="34"/>
      <c r="D2396" s="33"/>
      <c r="E2396" s="33"/>
      <c r="F2396" s="33"/>
      <c r="G2396" s="33"/>
      <c r="H2396" s="33"/>
      <c r="I2396" s="33"/>
    </row>
    <row r="2397" spans="2:9">
      <c r="B2397" s="43" t="s">
        <v>100</v>
      </c>
      <c r="D2397" s="44" t="s">
        <v>1134</v>
      </c>
    </row>
    <row r="2398" spans="2:9">
      <c r="B2398" s="45"/>
    </row>
    <row r="2399" spans="2:9">
      <c r="B2399" s="46" t="s">
        <v>101</v>
      </c>
      <c r="D2399" s="47" t="s">
        <v>1135</v>
      </c>
    </row>
    <row r="2401" spans="2:9">
      <c r="B2401" s="42" t="s">
        <v>878</v>
      </c>
    </row>
    <row r="2403" spans="2:9" ht="15.75">
      <c r="B2403" s="35" t="s">
        <v>5</v>
      </c>
      <c r="C2403" s="54"/>
      <c r="D2403" s="35" t="s">
        <v>17</v>
      </c>
      <c r="E2403" s="33"/>
      <c r="F2403" s="35" t="s">
        <v>18</v>
      </c>
      <c r="G2403" s="39"/>
      <c r="H2403" s="35" t="s">
        <v>6</v>
      </c>
      <c r="I2403" s="39"/>
    </row>
    <row r="2404" spans="2:9" ht="15.75">
      <c r="B2404" s="35" t="s">
        <v>446</v>
      </c>
      <c r="C2404" s="54"/>
      <c r="D2404" s="35" t="s">
        <v>747</v>
      </c>
      <c r="E2404" s="36"/>
      <c r="F2404" s="35" t="s">
        <v>707</v>
      </c>
      <c r="G2404" s="39"/>
      <c r="H2404" s="35" t="s">
        <v>589</v>
      </c>
      <c r="I2404" s="39"/>
    </row>
    <row r="2405" spans="2:9" ht="15.75">
      <c r="B2405" s="35" t="s">
        <v>569</v>
      </c>
      <c r="C2405" s="40">
        <v>4</v>
      </c>
      <c r="D2405" s="35" t="s">
        <v>651</v>
      </c>
      <c r="E2405" s="40">
        <v>4</v>
      </c>
      <c r="F2405" s="35" t="s">
        <v>626</v>
      </c>
      <c r="G2405" s="38">
        <v>4</v>
      </c>
      <c r="H2405" s="35" t="s">
        <v>599</v>
      </c>
      <c r="I2405" s="38" t="s">
        <v>923</v>
      </c>
    </row>
    <row r="2406" spans="2:9" ht="15.75">
      <c r="B2406" s="35" t="s">
        <v>1136</v>
      </c>
      <c r="C2406" s="54"/>
      <c r="D2406" s="35" t="s">
        <v>1137</v>
      </c>
      <c r="E2406" s="36"/>
      <c r="F2406" s="35" t="s">
        <v>1138</v>
      </c>
      <c r="G2406" s="39"/>
      <c r="H2406" s="35" t="s">
        <v>1139</v>
      </c>
      <c r="I2406" s="38"/>
    </row>
    <row r="2407" spans="2:9" ht="15.75">
      <c r="B2407" s="53" t="s">
        <v>927</v>
      </c>
      <c r="C2407" s="54"/>
      <c r="D2407" s="35" t="s">
        <v>940</v>
      </c>
      <c r="E2407" s="36"/>
      <c r="F2407" s="35" t="s">
        <v>940</v>
      </c>
      <c r="G2407" s="39"/>
      <c r="H2407" s="35" t="s">
        <v>926</v>
      </c>
      <c r="I2407" s="39"/>
    </row>
    <row r="2408" spans="2:9">
      <c r="B2408" s="33"/>
      <c r="C2408" s="34"/>
      <c r="D2408" s="33"/>
      <c r="E2408" s="33"/>
      <c r="F2408" s="33"/>
      <c r="G2408" s="33"/>
      <c r="H2408" s="33"/>
      <c r="I2408" s="33"/>
    </row>
    <row r="2409" spans="2:9">
      <c r="B2409" s="43" t="s">
        <v>100</v>
      </c>
      <c r="D2409" s="44" t="s">
        <v>1140</v>
      </c>
    </row>
    <row r="2410" spans="2:9">
      <c r="B2410" s="45"/>
    </row>
    <row r="2411" spans="2:9">
      <c r="B2411" s="46" t="s">
        <v>101</v>
      </c>
      <c r="D2411" s="47" t="s">
        <v>1141</v>
      </c>
    </row>
    <row r="2413" spans="2:9">
      <c r="B2413" s="42" t="s">
        <v>879</v>
      </c>
    </row>
    <row r="2415" spans="2:9" ht="15.75">
      <c r="B2415" s="35" t="s">
        <v>5</v>
      </c>
      <c r="C2415" s="54"/>
      <c r="D2415" s="35" t="s">
        <v>17</v>
      </c>
      <c r="E2415" s="33"/>
      <c r="F2415" s="35" t="s">
        <v>18</v>
      </c>
      <c r="G2415" s="39"/>
      <c r="H2415" s="35" t="s">
        <v>19</v>
      </c>
      <c r="I2415" s="39"/>
    </row>
    <row r="2416" spans="2:9" ht="15.75">
      <c r="B2416" s="35" t="s">
        <v>447</v>
      </c>
      <c r="C2416" s="54"/>
      <c r="D2416" s="35" t="s">
        <v>748</v>
      </c>
      <c r="E2416" s="36"/>
      <c r="F2416" s="35" t="s">
        <v>708</v>
      </c>
      <c r="G2416" s="39"/>
      <c r="H2416" s="35" t="s">
        <v>618</v>
      </c>
      <c r="I2416" s="39"/>
    </row>
    <row r="2417" spans="2:9" ht="15.75">
      <c r="B2417" s="35" t="s">
        <v>570</v>
      </c>
      <c r="C2417" s="40">
        <v>4</v>
      </c>
      <c r="D2417" s="35" t="s">
        <v>652</v>
      </c>
      <c r="E2417" s="40">
        <v>4</v>
      </c>
      <c r="F2417" s="35" t="s">
        <v>627</v>
      </c>
      <c r="G2417" s="38">
        <v>4</v>
      </c>
      <c r="H2417" s="35" t="s">
        <v>627</v>
      </c>
      <c r="I2417" s="38">
        <v>6</v>
      </c>
    </row>
    <row r="2418" spans="2:9" ht="15.75">
      <c r="B2418" s="35" t="s">
        <v>1142</v>
      </c>
      <c r="C2418" s="54"/>
      <c r="D2418" s="35" t="s">
        <v>1143</v>
      </c>
      <c r="E2418" s="36"/>
      <c r="F2418" s="35" t="s">
        <v>1144</v>
      </c>
      <c r="G2418" s="39"/>
      <c r="H2418" s="35" t="s">
        <v>1144</v>
      </c>
      <c r="I2418" s="38"/>
    </row>
    <row r="2419" spans="2:9" ht="15.75">
      <c r="B2419" s="53" t="s">
        <v>927</v>
      </c>
      <c r="C2419" s="54"/>
      <c r="D2419" s="35" t="s">
        <v>940</v>
      </c>
      <c r="E2419" s="36"/>
      <c r="F2419" s="35" t="s">
        <v>940</v>
      </c>
      <c r="G2419" s="39"/>
      <c r="H2419" s="35" t="s">
        <v>940</v>
      </c>
      <c r="I2419" s="39"/>
    </row>
    <row r="2420" spans="2:9">
      <c r="B2420" s="33"/>
      <c r="C2420" s="34"/>
      <c r="D2420" s="33"/>
      <c r="E2420" s="33"/>
      <c r="F2420" s="33"/>
      <c r="G2420" s="33"/>
      <c r="H2420" s="33"/>
      <c r="I2420" s="33"/>
    </row>
    <row r="2421" spans="2:9" ht="15.75">
      <c r="B2421" s="38">
        <v>6</v>
      </c>
      <c r="C2421" s="34"/>
      <c r="D2421" s="38">
        <v>3</v>
      </c>
      <c r="E2421" s="33"/>
      <c r="F2421" s="38">
        <v>3</v>
      </c>
      <c r="G2421" s="33"/>
      <c r="H2421" s="38">
        <v>3</v>
      </c>
      <c r="I2421" s="33"/>
    </row>
    <row r="2422" spans="2:9" ht="15.75">
      <c r="B2422" s="39"/>
      <c r="C2422" s="33"/>
      <c r="D2422" s="33"/>
      <c r="E2422" s="33"/>
      <c r="F2422" s="33"/>
      <c r="G2422" s="33"/>
      <c r="H2422" s="33"/>
      <c r="I2422" s="33"/>
    </row>
    <row r="2423" spans="2:9" ht="15.75">
      <c r="B2423" s="35" t="s">
        <v>6</v>
      </c>
      <c r="C2423" s="39"/>
      <c r="D2423" s="35" t="s">
        <v>923</v>
      </c>
      <c r="E2423" s="33"/>
      <c r="F2423" s="35" t="s">
        <v>923</v>
      </c>
      <c r="G2423" s="39"/>
      <c r="H2423" s="35" t="s">
        <v>923</v>
      </c>
      <c r="I2423" s="39"/>
    </row>
    <row r="2424" spans="2:9" ht="15.75">
      <c r="B2424" s="35" t="s">
        <v>590</v>
      </c>
      <c r="C2424" s="39"/>
      <c r="D2424" s="35" t="s">
        <v>923</v>
      </c>
      <c r="E2424" s="37"/>
      <c r="F2424" s="35" t="s">
        <v>923</v>
      </c>
      <c r="G2424" s="39"/>
      <c r="H2424" s="35" t="s">
        <v>923</v>
      </c>
      <c r="I2424" s="39"/>
    </row>
    <row r="2425" spans="2:9" ht="15.75">
      <c r="B2425" s="35" t="s">
        <v>600</v>
      </c>
      <c r="C2425" s="38" t="s">
        <v>923</v>
      </c>
      <c r="D2425" s="35" t="s">
        <v>923</v>
      </c>
      <c r="E2425" s="38" t="s">
        <v>923</v>
      </c>
      <c r="F2425" s="35" t="s">
        <v>923</v>
      </c>
      <c r="G2425" s="38" t="s">
        <v>923</v>
      </c>
      <c r="H2425" s="35" t="s">
        <v>923</v>
      </c>
      <c r="I2425" s="38" t="s">
        <v>923</v>
      </c>
    </row>
    <row r="2426" spans="2:9" ht="15.75">
      <c r="B2426" s="35" t="s">
        <v>1145</v>
      </c>
      <c r="C2426" s="39"/>
      <c r="D2426" s="35" t="s">
        <v>923</v>
      </c>
      <c r="E2426" s="37"/>
      <c r="F2426" s="35" t="s">
        <v>923</v>
      </c>
      <c r="G2426" s="39"/>
      <c r="H2426" s="35" t="s">
        <v>923</v>
      </c>
      <c r="I2426" s="39"/>
    </row>
    <row r="2427" spans="2:9" ht="15.75">
      <c r="B2427" s="35" t="s">
        <v>926</v>
      </c>
      <c r="C2427" s="39"/>
      <c r="D2427" s="35" t="s">
        <v>923</v>
      </c>
      <c r="E2427" s="37"/>
      <c r="F2427" s="35" t="s">
        <v>923</v>
      </c>
      <c r="G2427" s="39"/>
      <c r="H2427" s="35" t="s">
        <v>923</v>
      </c>
      <c r="I2427" s="39"/>
    </row>
    <row r="2428" spans="2:9">
      <c r="B2428" s="33"/>
      <c r="C2428" s="33"/>
      <c r="D2428" s="33"/>
      <c r="E2428" s="33"/>
      <c r="F2428" s="33"/>
      <c r="G2428" s="33"/>
      <c r="H2428" s="33"/>
      <c r="I2428" s="33"/>
    </row>
    <row r="2429" spans="2:9">
      <c r="B2429" s="43" t="s">
        <v>100</v>
      </c>
      <c r="D2429" s="44" t="s">
        <v>1146</v>
      </c>
    </row>
    <row r="2430" spans="2:9">
      <c r="B2430" s="45"/>
    </row>
    <row r="2431" spans="2:9">
      <c r="B2431" s="46" t="s">
        <v>101</v>
      </c>
      <c r="D2431" s="47" t="s">
        <v>1147</v>
      </c>
    </row>
    <row r="2433" spans="2:9">
      <c r="B2433" s="42" t="s">
        <v>880</v>
      </c>
    </row>
    <row r="2435" spans="2:9" ht="15.75">
      <c r="B2435" s="35" t="s">
        <v>5</v>
      </c>
      <c r="C2435" s="54"/>
      <c r="D2435" s="35" t="s">
        <v>17</v>
      </c>
      <c r="E2435" s="33"/>
      <c r="F2435" s="35" t="s">
        <v>18</v>
      </c>
      <c r="G2435" s="39"/>
      <c r="H2435" s="35" t="s">
        <v>19</v>
      </c>
      <c r="I2435" s="39"/>
    </row>
    <row r="2436" spans="2:9" ht="15.75">
      <c r="B2436" s="35" t="s">
        <v>448</v>
      </c>
      <c r="C2436" s="54"/>
      <c r="D2436" s="35" t="s">
        <v>749</v>
      </c>
      <c r="E2436" s="36"/>
      <c r="F2436" s="35" t="s">
        <v>709</v>
      </c>
      <c r="G2436" s="39"/>
      <c r="H2436" s="35" t="s">
        <v>619</v>
      </c>
      <c r="I2436" s="39"/>
    </row>
    <row r="2437" spans="2:9" ht="15.75">
      <c r="B2437" s="35" t="s">
        <v>571</v>
      </c>
      <c r="C2437" s="40">
        <v>4</v>
      </c>
      <c r="D2437" s="35" t="s">
        <v>653</v>
      </c>
      <c r="E2437" s="40">
        <v>4</v>
      </c>
      <c r="F2437" s="35" t="s">
        <v>628</v>
      </c>
      <c r="G2437" s="38">
        <v>4</v>
      </c>
      <c r="H2437" s="35" t="s">
        <v>628</v>
      </c>
      <c r="I2437" s="38">
        <v>6</v>
      </c>
    </row>
    <row r="2438" spans="2:9" ht="15.75">
      <c r="B2438" s="35" t="s">
        <v>1148</v>
      </c>
      <c r="C2438" s="54"/>
      <c r="D2438" s="35" t="s">
        <v>1149</v>
      </c>
      <c r="E2438" s="36"/>
      <c r="F2438" s="35" t="s">
        <v>1150</v>
      </c>
      <c r="G2438" s="39"/>
      <c r="H2438" s="35" t="s">
        <v>1150</v>
      </c>
      <c r="I2438" s="38"/>
    </row>
    <row r="2439" spans="2:9" ht="15.75">
      <c r="B2439" s="53" t="s">
        <v>927</v>
      </c>
      <c r="C2439" s="54"/>
      <c r="D2439" s="35" t="s">
        <v>940</v>
      </c>
      <c r="E2439" s="36"/>
      <c r="F2439" s="35" t="s">
        <v>940</v>
      </c>
      <c r="G2439" s="39"/>
      <c r="H2439" s="35" t="s">
        <v>940</v>
      </c>
      <c r="I2439" s="39"/>
    </row>
    <row r="2440" spans="2:9">
      <c r="B2440" s="33"/>
      <c r="C2440" s="34"/>
      <c r="D2440" s="33"/>
      <c r="E2440" s="33"/>
      <c r="F2440" s="33"/>
      <c r="G2440" s="33"/>
      <c r="H2440" s="33"/>
      <c r="I2440" s="33"/>
    </row>
    <row r="2441" spans="2:9" ht="15.75">
      <c r="B2441" s="38">
        <v>6</v>
      </c>
      <c r="C2441" s="34"/>
      <c r="D2441" s="38">
        <v>3</v>
      </c>
      <c r="E2441" s="33"/>
      <c r="F2441" s="38">
        <v>3</v>
      </c>
      <c r="G2441" s="33"/>
      <c r="H2441" s="38">
        <v>3</v>
      </c>
      <c r="I2441" s="33"/>
    </row>
    <row r="2442" spans="2:9" ht="15.75">
      <c r="B2442" s="39"/>
      <c r="C2442" s="33"/>
      <c r="D2442" s="33"/>
      <c r="E2442" s="33"/>
      <c r="F2442" s="33"/>
      <c r="G2442" s="33"/>
      <c r="H2442" s="33"/>
      <c r="I2442" s="33"/>
    </row>
    <row r="2443" spans="2:9" ht="15.75">
      <c r="B2443" s="35" t="s">
        <v>20</v>
      </c>
      <c r="C2443" s="39"/>
      <c r="D2443" s="35" t="s">
        <v>6</v>
      </c>
      <c r="E2443" s="33"/>
      <c r="F2443" s="35" t="s">
        <v>923</v>
      </c>
      <c r="G2443" s="39"/>
      <c r="H2443" s="35" t="s">
        <v>923</v>
      </c>
      <c r="I2443" s="39"/>
    </row>
    <row r="2444" spans="2:9" ht="15.75">
      <c r="B2444" s="35" t="s">
        <v>619</v>
      </c>
      <c r="C2444" s="39"/>
      <c r="D2444" s="35" t="s">
        <v>591</v>
      </c>
      <c r="E2444" s="37"/>
      <c r="F2444" s="35" t="s">
        <v>923</v>
      </c>
      <c r="G2444" s="39"/>
      <c r="H2444" s="35" t="s">
        <v>923</v>
      </c>
      <c r="I2444" s="39"/>
    </row>
    <row r="2445" spans="2:9" ht="15.75">
      <c r="B2445" s="35" t="s">
        <v>628</v>
      </c>
      <c r="C2445" s="38">
        <v>4</v>
      </c>
      <c r="D2445" s="35" t="s">
        <v>601</v>
      </c>
      <c r="E2445" s="38" t="s">
        <v>923</v>
      </c>
      <c r="F2445" s="35" t="s">
        <v>923</v>
      </c>
      <c r="G2445" s="38" t="s">
        <v>923</v>
      </c>
      <c r="H2445" s="35" t="s">
        <v>923</v>
      </c>
      <c r="I2445" s="38" t="s">
        <v>923</v>
      </c>
    </row>
    <row r="2446" spans="2:9" ht="15.75">
      <c r="B2446" s="35" t="s">
        <v>1150</v>
      </c>
      <c r="C2446" s="39"/>
      <c r="D2446" s="35" t="s">
        <v>1151</v>
      </c>
      <c r="E2446" s="37"/>
      <c r="F2446" s="35" t="s">
        <v>923</v>
      </c>
      <c r="G2446" s="39"/>
      <c r="H2446" s="35" t="s">
        <v>923</v>
      </c>
      <c r="I2446" s="39"/>
    </row>
    <row r="2447" spans="2:9" ht="15.75">
      <c r="B2447" s="35" t="s">
        <v>940</v>
      </c>
      <c r="C2447" s="39"/>
      <c r="D2447" s="35" t="s">
        <v>926</v>
      </c>
      <c r="E2447" s="37"/>
      <c r="F2447" s="35" t="s">
        <v>923</v>
      </c>
      <c r="G2447" s="39"/>
      <c r="H2447" s="35" t="s">
        <v>923</v>
      </c>
      <c r="I2447" s="39"/>
    </row>
    <row r="2448" spans="2:9">
      <c r="B2448" s="33"/>
      <c r="C2448" s="33"/>
      <c r="D2448" s="33"/>
      <c r="E2448" s="33"/>
      <c r="F2448" s="33"/>
      <c r="G2448" s="33"/>
      <c r="H2448" s="33"/>
      <c r="I2448" s="33"/>
    </row>
    <row r="2449" spans="2:9">
      <c r="B2449" s="43" t="s">
        <v>100</v>
      </c>
      <c r="D2449" s="44" t="s">
        <v>1152</v>
      </c>
    </row>
    <row r="2450" spans="2:9">
      <c r="B2450" s="45"/>
    </row>
    <row r="2451" spans="2:9">
      <c r="B2451" s="46" t="s">
        <v>101</v>
      </c>
      <c r="D2451" s="47" t="s">
        <v>1153</v>
      </c>
    </row>
    <row r="2453" spans="2:9">
      <c r="B2453" s="42" t="s">
        <v>881</v>
      </c>
    </row>
    <row r="2455" spans="2:9" ht="15.75">
      <c r="B2455" s="35" t="s">
        <v>5</v>
      </c>
      <c r="C2455" s="54"/>
      <c r="D2455" s="35" t="s">
        <v>17</v>
      </c>
      <c r="E2455" s="33"/>
      <c r="F2455" s="35" t="s">
        <v>18</v>
      </c>
      <c r="G2455" s="39"/>
      <c r="H2455" s="35" t="s">
        <v>19</v>
      </c>
      <c r="I2455" s="39"/>
    </row>
    <row r="2456" spans="2:9" ht="15.75">
      <c r="B2456" s="35" t="s">
        <v>449</v>
      </c>
      <c r="C2456" s="54"/>
      <c r="D2456" s="35" t="s">
        <v>750</v>
      </c>
      <c r="E2456" s="36"/>
      <c r="F2456" s="35" t="s">
        <v>710</v>
      </c>
      <c r="G2456" s="39"/>
      <c r="H2456" s="35" t="s">
        <v>620</v>
      </c>
      <c r="I2456" s="39"/>
    </row>
    <row r="2457" spans="2:9" ht="15.75">
      <c r="B2457" s="35" t="s">
        <v>572</v>
      </c>
      <c r="C2457" s="40">
        <v>4</v>
      </c>
      <c r="D2457" s="35" t="s">
        <v>654</v>
      </c>
      <c r="E2457" s="40">
        <v>4</v>
      </c>
      <c r="F2457" s="35" t="s">
        <v>629</v>
      </c>
      <c r="G2457" s="38">
        <v>4</v>
      </c>
      <c r="H2457" s="35" t="s">
        <v>629</v>
      </c>
      <c r="I2457" s="38">
        <v>6</v>
      </c>
    </row>
    <row r="2458" spans="2:9" ht="15.75">
      <c r="B2458" s="35" t="s">
        <v>1154</v>
      </c>
      <c r="C2458" s="54"/>
      <c r="D2458" s="35" t="s">
        <v>1155</v>
      </c>
      <c r="E2458" s="36"/>
      <c r="F2458" s="35" t="s">
        <v>1156</v>
      </c>
      <c r="G2458" s="39"/>
      <c r="H2458" s="35" t="s">
        <v>1156</v>
      </c>
      <c r="I2458" s="38"/>
    </row>
    <row r="2459" spans="2:9" ht="15.75">
      <c r="B2459" s="53" t="s">
        <v>927</v>
      </c>
      <c r="C2459" s="54"/>
      <c r="D2459" s="35" t="s">
        <v>940</v>
      </c>
      <c r="E2459" s="36"/>
      <c r="F2459" s="35" t="s">
        <v>940</v>
      </c>
      <c r="G2459" s="39"/>
      <c r="H2459" s="35" t="s">
        <v>940</v>
      </c>
      <c r="I2459" s="39"/>
    </row>
    <row r="2460" spans="2:9">
      <c r="B2460" s="33"/>
      <c r="C2460" s="34"/>
      <c r="D2460" s="33"/>
      <c r="E2460" s="33"/>
      <c r="F2460" s="33"/>
      <c r="G2460" s="33"/>
      <c r="H2460" s="33"/>
      <c r="I2460" s="33"/>
    </row>
    <row r="2461" spans="2:9" ht="15.75">
      <c r="B2461" s="38">
        <v>6</v>
      </c>
      <c r="C2461" s="34"/>
      <c r="D2461" s="38">
        <v>3</v>
      </c>
      <c r="E2461" s="33"/>
      <c r="F2461" s="38">
        <v>3</v>
      </c>
      <c r="G2461" s="33"/>
      <c r="H2461" s="38">
        <v>3</v>
      </c>
      <c r="I2461" s="33"/>
    </row>
    <row r="2462" spans="2:9" ht="15.75">
      <c r="B2462" s="39"/>
      <c r="C2462" s="33"/>
      <c r="D2462" s="33"/>
      <c r="E2462" s="33"/>
      <c r="F2462" s="33"/>
      <c r="G2462" s="33"/>
      <c r="H2462" s="33"/>
      <c r="I2462" s="33"/>
    </row>
    <row r="2463" spans="2:9" ht="15.75">
      <c r="B2463" s="35" t="s">
        <v>20</v>
      </c>
      <c r="C2463" s="39"/>
      <c r="D2463" s="35" t="s">
        <v>21</v>
      </c>
      <c r="E2463" s="33"/>
      <c r="F2463" s="35" t="s">
        <v>6</v>
      </c>
      <c r="G2463" s="39"/>
      <c r="H2463" s="35" t="s">
        <v>923</v>
      </c>
      <c r="I2463" s="39"/>
    </row>
    <row r="2464" spans="2:9" ht="15.75">
      <c r="B2464" s="35" t="s">
        <v>620</v>
      </c>
      <c r="C2464" s="39"/>
      <c r="D2464" s="35" t="s">
        <v>620</v>
      </c>
      <c r="E2464" s="37"/>
      <c r="F2464" s="35" t="s">
        <v>592</v>
      </c>
      <c r="G2464" s="39"/>
      <c r="H2464" s="35" t="s">
        <v>923</v>
      </c>
      <c r="I2464" s="39"/>
    </row>
    <row r="2465" spans="2:9" ht="15.75">
      <c r="B2465" s="35" t="s">
        <v>629</v>
      </c>
      <c r="C2465" s="38">
        <v>4</v>
      </c>
      <c r="D2465" s="35" t="s">
        <v>648</v>
      </c>
      <c r="E2465" s="38">
        <v>4</v>
      </c>
      <c r="F2465" s="35" t="s">
        <v>602</v>
      </c>
      <c r="G2465" s="38" t="s">
        <v>923</v>
      </c>
      <c r="H2465" s="35" t="s">
        <v>923</v>
      </c>
      <c r="I2465" s="38" t="s">
        <v>923</v>
      </c>
    </row>
    <row r="2466" spans="2:9" ht="15.75">
      <c r="B2466" s="35" t="s">
        <v>1156</v>
      </c>
      <c r="C2466" s="39"/>
      <c r="D2466" s="35" t="s">
        <v>1092</v>
      </c>
      <c r="E2466" s="37"/>
      <c r="F2466" s="35" t="s">
        <v>1157</v>
      </c>
      <c r="G2466" s="39"/>
      <c r="H2466" s="35" t="s">
        <v>923</v>
      </c>
      <c r="I2466" s="39"/>
    </row>
    <row r="2467" spans="2:9" ht="15.75">
      <c r="B2467" s="35" t="s">
        <v>940</v>
      </c>
      <c r="C2467" s="39"/>
      <c r="D2467" s="35" t="s">
        <v>940</v>
      </c>
      <c r="E2467" s="37"/>
      <c r="F2467" s="35" t="s">
        <v>926</v>
      </c>
      <c r="G2467" s="39"/>
      <c r="H2467" s="35" t="s">
        <v>923</v>
      </c>
      <c r="I2467" s="39"/>
    </row>
    <row r="2468" spans="2:9">
      <c r="B2468" s="33"/>
      <c r="C2468" s="33"/>
      <c r="D2468" s="33"/>
      <c r="E2468" s="33"/>
      <c r="F2468" s="33"/>
      <c r="G2468" s="33"/>
      <c r="H2468" s="33"/>
      <c r="I2468" s="33"/>
    </row>
    <row r="2469" spans="2:9">
      <c r="B2469" s="43" t="s">
        <v>100</v>
      </c>
      <c r="D2469" s="44" t="s">
        <v>1158</v>
      </c>
    </row>
    <row r="2470" spans="2:9">
      <c r="B2470" s="45"/>
    </row>
    <row r="2471" spans="2:9">
      <c r="B2471" s="46" t="s">
        <v>101</v>
      </c>
      <c r="D2471" s="47" t="s">
        <v>1159</v>
      </c>
    </row>
    <row r="2473" spans="2:9">
      <c r="B2473" s="42" t="s">
        <v>882</v>
      </c>
    </row>
    <row r="2475" spans="2:9" ht="15.75">
      <c r="B2475" s="35" t="s">
        <v>5</v>
      </c>
      <c r="C2475" s="54"/>
      <c r="D2475" s="35" t="s">
        <v>17</v>
      </c>
      <c r="E2475" s="33"/>
      <c r="F2475" s="35" t="s">
        <v>18</v>
      </c>
      <c r="G2475" s="39"/>
      <c r="H2475" s="35" t="s">
        <v>19</v>
      </c>
      <c r="I2475" s="39"/>
    </row>
    <row r="2476" spans="2:9" ht="15.75">
      <c r="B2476" s="35" t="s">
        <v>450</v>
      </c>
      <c r="C2476" s="54"/>
      <c r="D2476" s="35" t="s">
        <v>751</v>
      </c>
      <c r="E2476" s="36"/>
      <c r="F2476" s="35" t="s">
        <v>711</v>
      </c>
      <c r="G2476" s="39"/>
      <c r="H2476" s="35" t="s">
        <v>621</v>
      </c>
      <c r="I2476" s="39"/>
    </row>
    <row r="2477" spans="2:9" ht="15.75">
      <c r="B2477" s="35" t="s">
        <v>573</v>
      </c>
      <c r="C2477" s="40">
        <v>4</v>
      </c>
      <c r="D2477" s="35" t="s">
        <v>655</v>
      </c>
      <c r="E2477" s="40">
        <v>4</v>
      </c>
      <c r="F2477" s="35" t="s">
        <v>630</v>
      </c>
      <c r="G2477" s="38">
        <v>4</v>
      </c>
      <c r="H2477" s="35" t="s">
        <v>630</v>
      </c>
      <c r="I2477" s="38">
        <v>6</v>
      </c>
    </row>
    <row r="2478" spans="2:9" ht="15.75">
      <c r="B2478" s="35" t="s">
        <v>1160</v>
      </c>
      <c r="C2478" s="54"/>
      <c r="D2478" s="35" t="s">
        <v>1161</v>
      </c>
      <c r="E2478" s="36"/>
      <c r="F2478" s="35" t="s">
        <v>1162</v>
      </c>
      <c r="G2478" s="39"/>
      <c r="H2478" s="35" t="s">
        <v>1162</v>
      </c>
      <c r="I2478" s="38"/>
    </row>
    <row r="2479" spans="2:9" ht="15.75">
      <c r="B2479" s="53" t="s">
        <v>927</v>
      </c>
      <c r="C2479" s="54"/>
      <c r="D2479" s="35" t="s">
        <v>940</v>
      </c>
      <c r="E2479" s="36"/>
      <c r="F2479" s="35" t="s">
        <v>940</v>
      </c>
      <c r="G2479" s="39"/>
      <c r="H2479" s="35" t="s">
        <v>940</v>
      </c>
      <c r="I2479" s="39"/>
    </row>
    <row r="2480" spans="2:9">
      <c r="B2480" s="33"/>
      <c r="C2480" s="34"/>
      <c r="D2480" s="33"/>
      <c r="E2480" s="33"/>
      <c r="F2480" s="33"/>
      <c r="G2480" s="33"/>
      <c r="H2480" s="33"/>
      <c r="I2480" s="33"/>
    </row>
    <row r="2481" spans="2:9" ht="15.75">
      <c r="B2481" s="38">
        <v>6</v>
      </c>
      <c r="C2481" s="34"/>
      <c r="D2481" s="38">
        <v>3</v>
      </c>
      <c r="E2481" s="33"/>
      <c r="F2481" s="38">
        <v>3</v>
      </c>
      <c r="G2481" s="33"/>
      <c r="H2481" s="38">
        <v>3</v>
      </c>
      <c r="I2481" s="33"/>
    </row>
    <row r="2482" spans="2:9" ht="15.75">
      <c r="B2482" s="39"/>
      <c r="C2482" s="33"/>
      <c r="D2482" s="33"/>
      <c r="E2482" s="33"/>
      <c r="F2482" s="33"/>
      <c r="G2482" s="33"/>
      <c r="H2482" s="33"/>
      <c r="I2482" s="33"/>
    </row>
    <row r="2483" spans="2:9" ht="15.75">
      <c r="B2483" s="35" t="s">
        <v>20</v>
      </c>
      <c r="C2483" s="39"/>
      <c r="D2483" s="35" t="s">
        <v>21</v>
      </c>
      <c r="E2483" s="33"/>
      <c r="F2483" s="35" t="s">
        <v>22</v>
      </c>
      <c r="G2483" s="39"/>
      <c r="H2483" s="35" t="s">
        <v>6</v>
      </c>
      <c r="I2483" s="39"/>
    </row>
    <row r="2484" spans="2:9" ht="15.75">
      <c r="B2484" s="35" t="s">
        <v>621</v>
      </c>
      <c r="C2484" s="39"/>
      <c r="D2484" s="35" t="s">
        <v>621</v>
      </c>
      <c r="E2484" s="37"/>
      <c r="F2484" s="35" t="s">
        <v>505</v>
      </c>
      <c r="G2484" s="39"/>
      <c r="H2484" s="35" t="s">
        <v>593</v>
      </c>
      <c r="I2484" s="39"/>
    </row>
    <row r="2485" spans="2:9" ht="15.75">
      <c r="B2485" s="35" t="s">
        <v>630</v>
      </c>
      <c r="C2485" s="38">
        <v>4</v>
      </c>
      <c r="D2485" s="35" t="s">
        <v>509</v>
      </c>
      <c r="E2485" s="38">
        <v>4</v>
      </c>
      <c r="F2485" s="35" t="s">
        <v>509</v>
      </c>
      <c r="G2485" s="38">
        <v>4</v>
      </c>
      <c r="H2485" s="35" t="s">
        <v>603</v>
      </c>
      <c r="I2485" s="38" t="s">
        <v>923</v>
      </c>
    </row>
    <row r="2486" spans="2:9" ht="15.75">
      <c r="B2486" s="35" t="s">
        <v>1162</v>
      </c>
      <c r="C2486" s="39"/>
      <c r="D2486" s="35" t="s">
        <v>1099</v>
      </c>
      <c r="E2486" s="37"/>
      <c r="F2486" s="35" t="s">
        <v>1100</v>
      </c>
      <c r="G2486" s="39"/>
      <c r="H2486" s="35" t="s">
        <v>1163</v>
      </c>
      <c r="I2486" s="39"/>
    </row>
    <row r="2487" spans="2:9" ht="15.75">
      <c r="B2487" s="35" t="s">
        <v>940</v>
      </c>
      <c r="C2487" s="39"/>
      <c r="D2487" s="35" t="s">
        <v>940</v>
      </c>
      <c r="E2487" s="37"/>
      <c r="F2487" s="35" t="s">
        <v>940</v>
      </c>
      <c r="G2487" s="39"/>
      <c r="H2487" s="35" t="s">
        <v>926</v>
      </c>
      <c r="I2487" s="39"/>
    </row>
    <row r="2488" spans="2:9">
      <c r="B2488" s="33"/>
      <c r="C2488" s="33"/>
      <c r="D2488" s="33"/>
      <c r="E2488" s="33"/>
      <c r="F2488" s="33"/>
      <c r="G2488" s="33"/>
      <c r="H2488" s="33"/>
      <c r="I2488" s="33"/>
    </row>
    <row r="2489" spans="2:9">
      <c r="B2489" s="43" t="s">
        <v>100</v>
      </c>
      <c r="D2489" s="44" t="s">
        <v>1164</v>
      </c>
    </row>
    <row r="2490" spans="2:9">
      <c r="B2490" s="45"/>
    </row>
    <row r="2491" spans="2:9">
      <c r="B2491" s="46" t="s">
        <v>101</v>
      </c>
      <c r="D2491" s="47" t="s">
        <v>1165</v>
      </c>
    </row>
    <row r="2493" spans="2:9">
      <c r="B2493" s="42" t="s">
        <v>883</v>
      </c>
    </row>
    <row r="2495" spans="2:9" ht="15.75">
      <c r="B2495" s="35" t="s">
        <v>5</v>
      </c>
      <c r="C2495" s="54"/>
      <c r="D2495" s="35" t="s">
        <v>17</v>
      </c>
      <c r="E2495" s="33"/>
      <c r="F2495" s="35" t="s">
        <v>18</v>
      </c>
      <c r="G2495" s="39"/>
      <c r="H2495" s="35" t="s">
        <v>19</v>
      </c>
      <c r="I2495" s="39"/>
    </row>
    <row r="2496" spans="2:9" ht="15.75">
      <c r="B2496" s="35" t="s">
        <v>451</v>
      </c>
      <c r="C2496" s="54"/>
      <c r="D2496" s="35" t="s">
        <v>752</v>
      </c>
      <c r="E2496" s="36"/>
      <c r="F2496" s="35" t="s">
        <v>712</v>
      </c>
      <c r="G2496" s="39"/>
      <c r="H2496" s="35" t="s">
        <v>622</v>
      </c>
      <c r="I2496" s="39"/>
    </row>
    <row r="2497" spans="2:9" ht="15.75">
      <c r="B2497" s="35" t="s">
        <v>574</v>
      </c>
      <c r="C2497" s="40">
        <v>4</v>
      </c>
      <c r="D2497" s="35" t="s">
        <v>656</v>
      </c>
      <c r="E2497" s="40">
        <v>4</v>
      </c>
      <c r="F2497" s="35" t="s">
        <v>631</v>
      </c>
      <c r="G2497" s="38">
        <v>4</v>
      </c>
      <c r="H2497" s="35" t="s">
        <v>631</v>
      </c>
      <c r="I2497" s="38">
        <v>6</v>
      </c>
    </row>
    <row r="2498" spans="2:9" ht="15.75">
      <c r="B2498" s="35" t="s">
        <v>1166</v>
      </c>
      <c r="C2498" s="54"/>
      <c r="D2498" s="35" t="s">
        <v>1167</v>
      </c>
      <c r="E2498" s="36"/>
      <c r="F2498" s="35" t="s">
        <v>1168</v>
      </c>
      <c r="G2498" s="39"/>
      <c r="H2498" s="35" t="s">
        <v>1168</v>
      </c>
      <c r="I2498" s="38"/>
    </row>
    <row r="2499" spans="2:9" ht="15.75">
      <c r="B2499" s="53" t="s">
        <v>927</v>
      </c>
      <c r="C2499" s="54"/>
      <c r="D2499" s="35" t="s">
        <v>940</v>
      </c>
      <c r="E2499" s="36"/>
      <c r="F2499" s="35" t="s">
        <v>940</v>
      </c>
      <c r="G2499" s="39"/>
      <c r="H2499" s="35" t="s">
        <v>940</v>
      </c>
      <c r="I2499" s="39"/>
    </row>
    <row r="2500" spans="2:9">
      <c r="B2500" s="33"/>
      <c r="C2500" s="34"/>
      <c r="D2500" s="33"/>
      <c r="E2500" s="33"/>
      <c r="F2500" s="33"/>
      <c r="G2500" s="33"/>
      <c r="H2500" s="33"/>
      <c r="I2500" s="33"/>
    </row>
    <row r="2501" spans="2:9" ht="15.75">
      <c r="B2501" s="38">
        <v>6</v>
      </c>
      <c r="C2501" s="34"/>
      <c r="D2501" s="38">
        <v>3</v>
      </c>
      <c r="E2501" s="33"/>
      <c r="F2501" s="38">
        <v>3</v>
      </c>
      <c r="G2501" s="33"/>
      <c r="H2501" s="38">
        <v>3</v>
      </c>
      <c r="I2501" s="33"/>
    </row>
    <row r="2502" spans="2:9" ht="15.75">
      <c r="B2502" s="39"/>
      <c r="C2502" s="33"/>
      <c r="D2502" s="33"/>
      <c r="E2502" s="33"/>
      <c r="F2502" s="33"/>
      <c r="G2502" s="33"/>
      <c r="H2502" s="33"/>
      <c r="I2502" s="33"/>
    </row>
    <row r="2503" spans="2:9" ht="15.75">
      <c r="B2503" s="35" t="s">
        <v>20</v>
      </c>
      <c r="C2503" s="39"/>
      <c r="D2503" s="35" t="s">
        <v>21</v>
      </c>
      <c r="E2503" s="33"/>
      <c r="F2503" s="35" t="s">
        <v>22</v>
      </c>
      <c r="G2503" s="39"/>
      <c r="H2503" s="35" t="s">
        <v>23</v>
      </c>
      <c r="I2503" s="39"/>
    </row>
    <row r="2504" spans="2:9" ht="15.75">
      <c r="B2504" s="35" t="s">
        <v>622</v>
      </c>
      <c r="C2504" s="39"/>
      <c r="D2504" s="35" t="s">
        <v>622</v>
      </c>
      <c r="E2504" s="37"/>
      <c r="F2504" s="35" t="s">
        <v>506</v>
      </c>
      <c r="G2504" s="39"/>
      <c r="H2504" s="35" t="s">
        <v>506</v>
      </c>
      <c r="I2504" s="39"/>
    </row>
    <row r="2505" spans="2:9" ht="15.75">
      <c r="B2505" s="35" t="s">
        <v>631</v>
      </c>
      <c r="C2505" s="38">
        <v>4</v>
      </c>
      <c r="D2505" s="35" t="s">
        <v>510</v>
      </c>
      <c r="E2505" s="38">
        <v>4</v>
      </c>
      <c r="F2505" s="35" t="s">
        <v>510</v>
      </c>
      <c r="G2505" s="38">
        <v>4</v>
      </c>
      <c r="H2505" s="35" t="s">
        <v>510</v>
      </c>
      <c r="I2505" s="38">
        <v>6</v>
      </c>
    </row>
    <row r="2506" spans="2:9" ht="15.75">
      <c r="B2506" s="35" t="s">
        <v>1168</v>
      </c>
      <c r="C2506" s="39"/>
      <c r="D2506" s="35" t="s">
        <v>1106</v>
      </c>
      <c r="E2506" s="37"/>
      <c r="F2506" s="35" t="s">
        <v>1107</v>
      </c>
      <c r="G2506" s="39"/>
      <c r="H2506" s="35" t="s">
        <v>1107</v>
      </c>
      <c r="I2506" s="39"/>
    </row>
    <row r="2507" spans="2:9" ht="15.75">
      <c r="B2507" s="35" t="s">
        <v>940</v>
      </c>
      <c r="C2507" s="39"/>
      <c r="D2507" s="35" t="s">
        <v>940</v>
      </c>
      <c r="E2507" s="37"/>
      <c r="F2507" s="35" t="s">
        <v>940</v>
      </c>
      <c r="G2507" s="39"/>
      <c r="H2507" s="35" t="s">
        <v>940</v>
      </c>
      <c r="I2507" s="39"/>
    </row>
    <row r="2508" spans="2:9">
      <c r="B2508" s="33"/>
      <c r="C2508" s="33"/>
      <c r="D2508" s="33"/>
      <c r="E2508" s="33"/>
      <c r="F2508" s="33"/>
      <c r="G2508" s="33"/>
      <c r="H2508" s="33"/>
      <c r="I2508" s="33"/>
    </row>
    <row r="2509" spans="2:9" ht="15.75">
      <c r="B2509" s="38">
        <v>6</v>
      </c>
      <c r="C2509" s="33"/>
      <c r="D2509" s="38">
        <v>3</v>
      </c>
      <c r="E2509" s="33"/>
      <c r="F2509" s="38">
        <v>3</v>
      </c>
      <c r="G2509" s="33"/>
      <c r="H2509" s="38">
        <v>3</v>
      </c>
      <c r="I2509" s="33"/>
    </row>
    <row r="2510" spans="2:9" ht="15.75">
      <c r="B2510" s="39"/>
      <c r="C2510" s="33"/>
      <c r="D2510" s="33"/>
      <c r="E2510" s="33"/>
      <c r="F2510" s="33"/>
      <c r="G2510" s="33"/>
      <c r="H2510" s="33"/>
      <c r="I2510" s="33"/>
    </row>
    <row r="2511" spans="2:9" ht="15.75">
      <c r="B2511" s="35" t="s">
        <v>6</v>
      </c>
      <c r="C2511" s="39"/>
      <c r="D2511" s="35" t="s">
        <v>923</v>
      </c>
      <c r="E2511" s="33"/>
      <c r="F2511" s="35" t="s">
        <v>923</v>
      </c>
      <c r="G2511" s="39"/>
      <c r="H2511" s="35" t="s">
        <v>923</v>
      </c>
    </row>
    <row r="2512" spans="2:9" ht="15.75">
      <c r="B2512" s="35" t="s">
        <v>594</v>
      </c>
      <c r="C2512" s="39"/>
      <c r="D2512" s="35" t="s">
        <v>923</v>
      </c>
      <c r="E2512" s="37"/>
      <c r="F2512" s="35" t="s">
        <v>923</v>
      </c>
      <c r="G2512" s="39"/>
      <c r="H2512" s="35" t="s">
        <v>923</v>
      </c>
    </row>
    <row r="2513" spans="2:9" ht="15.75">
      <c r="B2513" s="35" t="s">
        <v>604</v>
      </c>
      <c r="C2513" s="38" t="s">
        <v>923</v>
      </c>
      <c r="D2513" s="35" t="s">
        <v>923</v>
      </c>
      <c r="E2513" s="38" t="s">
        <v>923</v>
      </c>
      <c r="F2513" s="35" t="s">
        <v>923</v>
      </c>
      <c r="G2513" s="38" t="s">
        <v>923</v>
      </c>
      <c r="H2513" s="35" t="s">
        <v>923</v>
      </c>
    </row>
    <row r="2514" spans="2:9" ht="15.75">
      <c r="B2514" s="35" t="s">
        <v>1169</v>
      </c>
      <c r="C2514" s="39"/>
      <c r="D2514" s="35" t="s">
        <v>923</v>
      </c>
      <c r="E2514" s="37"/>
      <c r="F2514" s="35" t="s">
        <v>923</v>
      </c>
      <c r="G2514" s="39"/>
      <c r="H2514" s="35" t="s">
        <v>923</v>
      </c>
    </row>
    <row r="2515" spans="2:9" ht="15.75">
      <c r="B2515" s="35" t="s">
        <v>926</v>
      </c>
      <c r="C2515" s="39"/>
      <c r="D2515" s="35" t="s">
        <v>923</v>
      </c>
      <c r="E2515" s="37"/>
      <c r="F2515" s="35" t="s">
        <v>923</v>
      </c>
      <c r="G2515" s="39"/>
      <c r="H2515" s="35" t="s">
        <v>923</v>
      </c>
    </row>
    <row r="2517" spans="2:9">
      <c r="B2517" s="43" t="s">
        <v>100</v>
      </c>
      <c r="D2517" s="44" t="s">
        <v>1170</v>
      </c>
    </row>
    <row r="2518" spans="2:9">
      <c r="B2518" s="45"/>
    </row>
    <row r="2519" spans="2:9">
      <c r="B2519" s="46" t="s">
        <v>101</v>
      </c>
      <c r="D2519" s="47" t="s">
        <v>1171</v>
      </c>
    </row>
    <row r="2521" spans="2:9">
      <c r="B2521" s="42" t="s">
        <v>884</v>
      </c>
    </row>
    <row r="2523" spans="2:9" ht="15.75">
      <c r="B2523" s="35" t="s">
        <v>5</v>
      </c>
      <c r="C2523" s="54"/>
      <c r="D2523" s="35" t="s">
        <v>17</v>
      </c>
      <c r="E2523" s="33"/>
      <c r="F2523" s="35" t="s">
        <v>18</v>
      </c>
      <c r="G2523" s="39"/>
      <c r="H2523" s="35" t="s">
        <v>19</v>
      </c>
      <c r="I2523" s="39"/>
    </row>
    <row r="2524" spans="2:9" ht="15.75">
      <c r="B2524" s="35" t="s">
        <v>452</v>
      </c>
      <c r="C2524" s="54"/>
      <c r="D2524" s="35" t="s">
        <v>753</v>
      </c>
      <c r="E2524" s="36"/>
      <c r="F2524" s="35" t="s">
        <v>713</v>
      </c>
      <c r="G2524" s="39"/>
      <c r="H2524" s="35" t="s">
        <v>623</v>
      </c>
      <c r="I2524" s="39"/>
    </row>
    <row r="2525" spans="2:9" ht="15.75">
      <c r="B2525" s="35" t="s">
        <v>575</v>
      </c>
      <c r="C2525" s="40">
        <v>4</v>
      </c>
      <c r="D2525" s="35" t="s">
        <v>657</v>
      </c>
      <c r="E2525" s="40">
        <v>4</v>
      </c>
      <c r="F2525" s="35" t="s">
        <v>632</v>
      </c>
      <c r="G2525" s="38">
        <v>4</v>
      </c>
      <c r="H2525" s="35" t="s">
        <v>632</v>
      </c>
      <c r="I2525" s="38">
        <v>6</v>
      </c>
    </row>
    <row r="2526" spans="2:9" ht="15.75">
      <c r="B2526" s="35" t="s">
        <v>1172</v>
      </c>
      <c r="C2526" s="54"/>
      <c r="D2526" s="35" t="s">
        <v>1173</v>
      </c>
      <c r="E2526" s="36"/>
      <c r="F2526" s="35" t="s">
        <v>1174</v>
      </c>
      <c r="G2526" s="39"/>
      <c r="H2526" s="35" t="s">
        <v>1174</v>
      </c>
      <c r="I2526" s="38"/>
    </row>
    <row r="2527" spans="2:9" ht="15.75">
      <c r="B2527" s="53" t="s">
        <v>927</v>
      </c>
      <c r="C2527" s="54"/>
      <c r="D2527" s="35" t="s">
        <v>940</v>
      </c>
      <c r="E2527" s="36"/>
      <c r="F2527" s="35" t="s">
        <v>940</v>
      </c>
      <c r="G2527" s="39"/>
      <c r="H2527" s="35" t="s">
        <v>940</v>
      </c>
      <c r="I2527" s="39"/>
    </row>
    <row r="2528" spans="2:9">
      <c r="B2528" s="33"/>
      <c r="C2528" s="34"/>
      <c r="D2528" s="33"/>
      <c r="E2528" s="33"/>
      <c r="F2528" s="33"/>
      <c r="G2528" s="33"/>
      <c r="H2528" s="33"/>
      <c r="I2528" s="33"/>
    </row>
    <row r="2529" spans="2:9" ht="15.75">
      <c r="B2529" s="38">
        <v>6</v>
      </c>
      <c r="C2529" s="34"/>
      <c r="D2529" s="38">
        <v>3</v>
      </c>
      <c r="E2529" s="33"/>
      <c r="F2529" s="38">
        <v>3</v>
      </c>
      <c r="G2529" s="33"/>
      <c r="H2529" s="38">
        <v>3</v>
      </c>
      <c r="I2529" s="33"/>
    </row>
    <row r="2530" spans="2:9" ht="15.75">
      <c r="B2530" s="39"/>
      <c r="C2530" s="33"/>
      <c r="D2530" s="33"/>
      <c r="E2530" s="33"/>
      <c r="F2530" s="33"/>
      <c r="G2530" s="33"/>
      <c r="H2530" s="33"/>
      <c r="I2530" s="33"/>
    </row>
    <row r="2531" spans="2:9" ht="15.75">
      <c r="B2531" s="35" t="s">
        <v>20</v>
      </c>
      <c r="C2531" s="39"/>
      <c r="D2531" s="35" t="s">
        <v>22</v>
      </c>
      <c r="E2531" s="33"/>
      <c r="F2531" s="35" t="s">
        <v>22</v>
      </c>
      <c r="G2531" s="39"/>
      <c r="H2531" s="35" t="s">
        <v>23</v>
      </c>
      <c r="I2531" s="39"/>
    </row>
    <row r="2532" spans="2:9" ht="15.75">
      <c r="B2532" s="35" t="s">
        <v>623</v>
      </c>
      <c r="C2532" s="39"/>
      <c r="D2532" s="35" t="s">
        <v>623</v>
      </c>
      <c r="E2532" s="37"/>
      <c r="F2532" s="35" t="s">
        <v>507</v>
      </c>
      <c r="G2532" s="39"/>
      <c r="H2532" s="35" t="s">
        <v>507</v>
      </c>
      <c r="I2532" s="39"/>
    </row>
    <row r="2533" spans="2:9" ht="15.75">
      <c r="B2533" s="35" t="s">
        <v>632</v>
      </c>
      <c r="C2533" s="38">
        <v>4</v>
      </c>
      <c r="D2533" s="35" t="s">
        <v>511</v>
      </c>
      <c r="E2533" s="38">
        <v>4</v>
      </c>
      <c r="F2533" s="35" t="s">
        <v>511</v>
      </c>
      <c r="G2533" s="38">
        <v>4</v>
      </c>
      <c r="H2533" s="35" t="s">
        <v>511</v>
      </c>
      <c r="I2533" s="38">
        <v>6</v>
      </c>
    </row>
    <row r="2534" spans="2:9" ht="15.75">
      <c r="B2534" s="35" t="s">
        <v>1174</v>
      </c>
      <c r="C2534" s="39"/>
      <c r="D2534" s="35" t="s">
        <v>1113</v>
      </c>
      <c r="E2534" s="37"/>
      <c r="F2534" s="35" t="s">
        <v>1114</v>
      </c>
      <c r="G2534" s="39"/>
      <c r="H2534" s="35" t="s">
        <v>1114</v>
      </c>
      <c r="I2534" s="39"/>
    </row>
    <row r="2535" spans="2:9" ht="15.75">
      <c r="B2535" s="35" t="s">
        <v>940</v>
      </c>
      <c r="C2535" s="39"/>
      <c r="D2535" s="35" t="s">
        <v>940</v>
      </c>
      <c r="E2535" s="37"/>
      <c r="F2535" s="35" t="s">
        <v>940</v>
      </c>
      <c r="G2535" s="39"/>
      <c r="H2535" s="35" t="s">
        <v>940</v>
      </c>
      <c r="I2535" s="39"/>
    </row>
    <row r="2536" spans="2:9">
      <c r="B2536" s="33"/>
      <c r="C2536" s="33"/>
      <c r="D2536" s="33"/>
      <c r="E2536" s="33"/>
      <c r="F2536" s="33"/>
      <c r="G2536" s="33"/>
      <c r="H2536" s="33"/>
      <c r="I2536" s="33"/>
    </row>
    <row r="2537" spans="2:9" ht="15.75">
      <c r="B2537" s="38">
        <v>6</v>
      </c>
      <c r="C2537" s="33"/>
      <c r="D2537" s="38">
        <v>3</v>
      </c>
      <c r="E2537" s="33"/>
      <c r="F2537" s="38">
        <v>3</v>
      </c>
      <c r="G2537" s="33"/>
      <c r="H2537" s="38">
        <v>3</v>
      </c>
      <c r="I2537" s="33"/>
    </row>
    <row r="2538" spans="2:9" ht="15.75">
      <c r="B2538" s="39"/>
      <c r="C2538" s="33"/>
      <c r="D2538" s="33"/>
      <c r="E2538" s="33"/>
      <c r="F2538" s="33"/>
      <c r="G2538" s="33"/>
      <c r="H2538" s="33"/>
      <c r="I2538" s="33"/>
    </row>
    <row r="2539" spans="2:9" ht="15.75">
      <c r="B2539" s="35" t="s">
        <v>24</v>
      </c>
      <c r="C2539" s="39"/>
      <c r="D2539" s="35" t="s">
        <v>6</v>
      </c>
      <c r="E2539" s="33"/>
      <c r="F2539" s="35" t="s">
        <v>923</v>
      </c>
      <c r="G2539" s="39"/>
      <c r="H2539" s="35" t="s">
        <v>923</v>
      </c>
    </row>
    <row r="2540" spans="2:9" ht="15.75">
      <c r="B2540" s="35" t="s">
        <v>521</v>
      </c>
      <c r="C2540" s="39"/>
      <c r="D2540" s="35" t="s">
        <v>595</v>
      </c>
      <c r="E2540" s="37"/>
      <c r="F2540" s="35" t="s">
        <v>923</v>
      </c>
      <c r="G2540" s="39"/>
      <c r="H2540" s="35" t="s">
        <v>923</v>
      </c>
    </row>
    <row r="2541" spans="2:9" ht="15.75">
      <c r="B2541" s="35" t="s">
        <v>511</v>
      </c>
      <c r="C2541" s="38">
        <v>4</v>
      </c>
      <c r="D2541" s="35" t="s">
        <v>605</v>
      </c>
      <c r="E2541" s="38" t="s">
        <v>923</v>
      </c>
      <c r="F2541" s="35" t="s">
        <v>923</v>
      </c>
      <c r="G2541" s="38" t="s">
        <v>923</v>
      </c>
      <c r="H2541" s="35" t="s">
        <v>923</v>
      </c>
    </row>
    <row r="2542" spans="2:9" ht="15.75">
      <c r="B2542" s="35" t="s">
        <v>1114</v>
      </c>
      <c r="C2542" s="39"/>
      <c r="D2542" s="35" t="s">
        <v>1175</v>
      </c>
      <c r="E2542" s="37"/>
      <c r="F2542" s="35" t="s">
        <v>923</v>
      </c>
      <c r="G2542" s="39"/>
      <c r="H2542" s="35" t="s">
        <v>923</v>
      </c>
    </row>
    <row r="2543" spans="2:9" ht="15.75">
      <c r="B2543" s="35" t="s">
        <v>940</v>
      </c>
      <c r="C2543" s="39"/>
      <c r="D2543" s="35" t="s">
        <v>926</v>
      </c>
      <c r="E2543" s="37"/>
      <c r="F2543" s="35" t="s">
        <v>923</v>
      </c>
      <c r="G2543" s="39"/>
      <c r="H2543" s="35" t="s">
        <v>923</v>
      </c>
    </row>
    <row r="2545" spans="2:9">
      <c r="B2545" s="43" t="s">
        <v>100</v>
      </c>
      <c r="D2545" s="44" t="s">
        <v>1176</v>
      </c>
    </row>
    <row r="2546" spans="2:9">
      <c r="B2546" s="45"/>
    </row>
    <row r="2547" spans="2:9">
      <c r="B2547" s="46" t="s">
        <v>101</v>
      </c>
      <c r="D2547" s="47" t="s">
        <v>1177</v>
      </c>
    </row>
    <row r="2548" spans="2:9">
      <c r="B2548" s="50"/>
      <c r="C2548" s="49"/>
      <c r="D2548" s="49"/>
    </row>
    <row r="2549" spans="2:9">
      <c r="B2549" s="42" t="s">
        <v>885</v>
      </c>
    </row>
    <row r="2551" spans="2:9" ht="15.75">
      <c r="B2551" s="35" t="s">
        <v>5</v>
      </c>
      <c r="C2551" s="54"/>
      <c r="D2551" s="35" t="s">
        <v>17</v>
      </c>
      <c r="E2551" s="33"/>
      <c r="F2551" s="35" t="s">
        <v>18</v>
      </c>
      <c r="G2551" s="39"/>
      <c r="H2551" s="35" t="s">
        <v>19</v>
      </c>
      <c r="I2551" s="39"/>
    </row>
    <row r="2552" spans="2:9" ht="15.75">
      <c r="B2552" s="35" t="s">
        <v>453</v>
      </c>
      <c r="C2552" s="54"/>
      <c r="D2552" s="35" t="s">
        <v>754</v>
      </c>
      <c r="E2552" s="36"/>
      <c r="F2552" s="35" t="s">
        <v>714</v>
      </c>
      <c r="G2552" s="39"/>
      <c r="H2552" s="35" t="s">
        <v>624</v>
      </c>
      <c r="I2552" s="39"/>
    </row>
    <row r="2553" spans="2:9" ht="15.75">
      <c r="B2553" s="35" t="s">
        <v>576</v>
      </c>
      <c r="C2553" s="40">
        <v>4</v>
      </c>
      <c r="D2553" s="35" t="s">
        <v>658</v>
      </c>
      <c r="E2553" s="40">
        <v>4</v>
      </c>
      <c r="F2553" s="35" t="s">
        <v>633</v>
      </c>
      <c r="G2553" s="38">
        <v>4</v>
      </c>
      <c r="H2553" s="35" t="s">
        <v>633</v>
      </c>
      <c r="I2553" s="38">
        <v>6</v>
      </c>
    </row>
    <row r="2554" spans="2:9" ht="15.75">
      <c r="B2554" s="35" t="s">
        <v>1178</v>
      </c>
      <c r="C2554" s="54"/>
      <c r="D2554" s="35" t="s">
        <v>1179</v>
      </c>
      <c r="E2554" s="36"/>
      <c r="F2554" s="35" t="s">
        <v>1180</v>
      </c>
      <c r="G2554" s="39"/>
      <c r="H2554" s="35" t="s">
        <v>1180</v>
      </c>
      <c r="I2554" s="38"/>
    </row>
    <row r="2555" spans="2:9" ht="15.75">
      <c r="B2555" s="53" t="s">
        <v>927</v>
      </c>
      <c r="C2555" s="54"/>
      <c r="D2555" s="35" t="s">
        <v>940</v>
      </c>
      <c r="E2555" s="36"/>
      <c r="F2555" s="35" t="s">
        <v>940</v>
      </c>
      <c r="G2555" s="39"/>
      <c r="H2555" s="35" t="s">
        <v>940</v>
      </c>
      <c r="I2555" s="39"/>
    </row>
    <row r="2556" spans="2:9">
      <c r="B2556" s="33"/>
      <c r="C2556" s="34"/>
      <c r="D2556" s="33"/>
      <c r="E2556" s="33"/>
      <c r="F2556" s="33"/>
      <c r="G2556" s="33"/>
      <c r="H2556" s="33"/>
      <c r="I2556" s="33"/>
    </row>
    <row r="2557" spans="2:9" ht="15.75">
      <c r="B2557" s="38">
        <v>6</v>
      </c>
      <c r="C2557" s="34"/>
      <c r="D2557" s="38">
        <v>3</v>
      </c>
      <c r="E2557" s="33"/>
      <c r="F2557" s="38">
        <v>3</v>
      </c>
      <c r="G2557" s="33"/>
      <c r="H2557" s="38">
        <v>3</v>
      </c>
      <c r="I2557" s="33"/>
    </row>
    <row r="2558" spans="2:9" ht="15.75">
      <c r="B2558" s="39"/>
      <c r="C2558" s="33"/>
      <c r="D2558" s="33"/>
      <c r="E2558" s="33"/>
      <c r="F2558" s="33"/>
      <c r="G2558" s="33"/>
      <c r="H2558" s="33"/>
      <c r="I2558" s="33"/>
    </row>
    <row r="2559" spans="2:9" ht="15.75">
      <c r="B2559" s="35" t="s">
        <v>20</v>
      </c>
      <c r="C2559" s="39"/>
      <c r="D2559" s="35" t="s">
        <v>23</v>
      </c>
      <c r="E2559" s="33"/>
      <c r="F2559" s="35" t="s">
        <v>22</v>
      </c>
      <c r="G2559" s="39"/>
      <c r="H2559" s="35" t="s">
        <v>23</v>
      </c>
      <c r="I2559" s="39"/>
    </row>
    <row r="2560" spans="2:9" ht="15.75">
      <c r="B2560" s="35" t="s">
        <v>624</v>
      </c>
      <c r="C2560" s="39"/>
      <c r="D2560" s="35" t="s">
        <v>624</v>
      </c>
      <c r="E2560" s="37"/>
      <c r="F2560" s="35" t="s">
        <v>508</v>
      </c>
      <c r="G2560" s="39"/>
      <c r="H2560" s="35" t="s">
        <v>508</v>
      </c>
      <c r="I2560" s="39"/>
    </row>
    <row r="2561" spans="2:9" ht="15.75">
      <c r="B2561" s="35" t="s">
        <v>633</v>
      </c>
      <c r="C2561" s="38">
        <v>4</v>
      </c>
      <c r="D2561" s="35" t="s">
        <v>512</v>
      </c>
      <c r="E2561" s="38">
        <v>4</v>
      </c>
      <c r="F2561" s="35" t="s">
        <v>512</v>
      </c>
      <c r="G2561" s="38">
        <v>4</v>
      </c>
      <c r="H2561" s="35" t="s">
        <v>512</v>
      </c>
      <c r="I2561" s="38">
        <v>6</v>
      </c>
    </row>
    <row r="2562" spans="2:9" ht="15.75">
      <c r="B2562" s="35" t="s">
        <v>1180</v>
      </c>
      <c r="C2562" s="39"/>
      <c r="D2562" s="35" t="s">
        <v>1120</v>
      </c>
      <c r="E2562" s="37"/>
      <c r="F2562" s="35" t="s">
        <v>1121</v>
      </c>
      <c r="G2562" s="39"/>
      <c r="H2562" s="35" t="s">
        <v>1121</v>
      </c>
      <c r="I2562" s="39"/>
    </row>
    <row r="2563" spans="2:9" ht="15.75">
      <c r="B2563" s="35" t="s">
        <v>940</v>
      </c>
      <c r="C2563" s="39"/>
      <c r="D2563" s="35" t="s">
        <v>940</v>
      </c>
      <c r="E2563" s="37"/>
      <c r="F2563" s="35" t="s">
        <v>940</v>
      </c>
      <c r="G2563" s="39"/>
      <c r="H2563" s="35" t="s">
        <v>940</v>
      </c>
      <c r="I2563" s="39"/>
    </row>
    <row r="2564" spans="2:9">
      <c r="B2564" s="33"/>
      <c r="C2564" s="33"/>
      <c r="D2564" s="33"/>
      <c r="E2564" s="33"/>
      <c r="F2564" s="33"/>
      <c r="G2564" s="33"/>
      <c r="H2564" s="33"/>
      <c r="I2564" s="33"/>
    </row>
    <row r="2565" spans="2:9" ht="15.75">
      <c r="B2565" s="38">
        <v>6</v>
      </c>
      <c r="C2565" s="33"/>
      <c r="D2565" s="38">
        <v>3</v>
      </c>
      <c r="E2565" s="33"/>
      <c r="F2565" s="38">
        <v>3</v>
      </c>
      <c r="G2565" s="33"/>
      <c r="H2565" s="38">
        <v>3</v>
      </c>
      <c r="I2565" s="33"/>
    </row>
    <row r="2566" spans="2:9" ht="15.75">
      <c r="B2566" s="39"/>
      <c r="C2566" s="33"/>
      <c r="D2566" s="33"/>
      <c r="E2566" s="33"/>
      <c r="F2566" s="33"/>
      <c r="G2566" s="33"/>
      <c r="H2566" s="33"/>
      <c r="I2566" s="33"/>
    </row>
    <row r="2567" spans="2:9" ht="15.75">
      <c r="B2567" s="35" t="s">
        <v>24</v>
      </c>
      <c r="C2567" s="39"/>
      <c r="D2567" s="35" t="s">
        <v>25</v>
      </c>
      <c r="E2567" s="33"/>
      <c r="F2567" s="35" t="s">
        <v>6</v>
      </c>
      <c r="G2567" s="39"/>
      <c r="H2567" s="35" t="s">
        <v>923</v>
      </c>
    </row>
    <row r="2568" spans="2:9" ht="15.75">
      <c r="B2568" s="35" t="s">
        <v>522</v>
      </c>
      <c r="C2568" s="39"/>
      <c r="D2568" s="35" t="s">
        <v>508</v>
      </c>
      <c r="E2568" s="37"/>
      <c r="F2568" s="35" t="s">
        <v>596</v>
      </c>
      <c r="G2568" s="39"/>
      <c r="H2568" s="35" t="s">
        <v>923</v>
      </c>
    </row>
    <row r="2569" spans="2:9" ht="15.75">
      <c r="B2569" s="35" t="s">
        <v>512</v>
      </c>
      <c r="C2569" s="38">
        <v>4</v>
      </c>
      <c r="D2569" s="35" t="s">
        <v>512</v>
      </c>
      <c r="E2569" s="38">
        <v>4</v>
      </c>
      <c r="F2569" s="35" t="s">
        <v>606</v>
      </c>
      <c r="G2569" s="38" t="s">
        <v>923</v>
      </c>
      <c r="H2569" s="35" t="s">
        <v>923</v>
      </c>
    </row>
    <row r="2570" spans="2:9" ht="15.75">
      <c r="B2570" s="35" t="s">
        <v>1121</v>
      </c>
      <c r="C2570" s="39"/>
      <c r="D2570" s="35" t="s">
        <v>1121</v>
      </c>
      <c r="E2570" s="37"/>
      <c r="F2570" s="35" t="s">
        <v>1181</v>
      </c>
      <c r="G2570" s="39"/>
      <c r="H2570" s="35" t="s">
        <v>923</v>
      </c>
    </row>
    <row r="2571" spans="2:9" ht="15.75">
      <c r="B2571" s="35" t="s">
        <v>940</v>
      </c>
      <c r="C2571" s="39"/>
      <c r="D2571" s="35" t="s">
        <v>940</v>
      </c>
      <c r="E2571" s="37"/>
      <c r="F2571" s="35" t="s">
        <v>926</v>
      </c>
      <c r="G2571" s="39"/>
      <c r="H2571" s="35" t="s">
        <v>923</v>
      </c>
    </row>
    <row r="2573" spans="2:9">
      <c r="B2573" s="43" t="s">
        <v>100</v>
      </c>
      <c r="D2573" s="44" t="s">
        <v>1182</v>
      </c>
    </row>
    <row r="2574" spans="2:9">
      <c r="B2574" s="45"/>
    </row>
    <row r="2575" spans="2:9">
      <c r="B2575" s="46" t="s">
        <v>101</v>
      </c>
      <c r="D2575" s="47" t="s">
        <v>1183</v>
      </c>
    </row>
    <row r="2576" spans="2:9">
      <c r="B2576" s="50"/>
      <c r="C2576" s="49"/>
      <c r="D2576" s="49"/>
    </row>
    <row r="2577" spans="2:9">
      <c r="B2577" s="42" t="s">
        <v>886</v>
      </c>
    </row>
    <row r="2579" spans="2:9" ht="15.75">
      <c r="B2579" s="35" t="s">
        <v>5</v>
      </c>
      <c r="C2579" s="54"/>
      <c r="D2579" s="35" t="s">
        <v>17</v>
      </c>
      <c r="E2579" s="33"/>
      <c r="F2579" s="35" t="s">
        <v>18</v>
      </c>
      <c r="G2579" s="39"/>
      <c r="H2579" s="35" t="s">
        <v>19</v>
      </c>
      <c r="I2579" s="39"/>
    </row>
    <row r="2580" spans="2:9" ht="15.75">
      <c r="B2580" s="35" t="s">
        <v>454</v>
      </c>
      <c r="C2580" s="54"/>
      <c r="D2580" s="35" t="s">
        <v>755</v>
      </c>
      <c r="E2580" s="36"/>
      <c r="F2580" s="35" t="s">
        <v>715</v>
      </c>
      <c r="G2580" s="39"/>
      <c r="H2580" s="35" t="s">
        <v>625</v>
      </c>
      <c r="I2580" s="39"/>
    </row>
    <row r="2581" spans="2:9" ht="15.75">
      <c r="B2581" s="35" t="s">
        <v>577</v>
      </c>
      <c r="C2581" s="40">
        <v>4</v>
      </c>
      <c r="D2581" s="35" t="s">
        <v>649</v>
      </c>
      <c r="E2581" s="40">
        <v>4</v>
      </c>
      <c r="F2581" s="35" t="s">
        <v>259</v>
      </c>
      <c r="G2581" s="38">
        <v>4</v>
      </c>
      <c r="H2581" s="35" t="s">
        <v>259</v>
      </c>
      <c r="I2581" s="38">
        <v>6</v>
      </c>
    </row>
    <row r="2582" spans="2:9" ht="15.75">
      <c r="B2582" s="35" t="s">
        <v>1184</v>
      </c>
      <c r="C2582" s="54"/>
      <c r="D2582" s="35" t="s">
        <v>1185</v>
      </c>
      <c r="E2582" s="36"/>
      <c r="F2582" s="35" t="s">
        <v>1186</v>
      </c>
      <c r="G2582" s="39"/>
      <c r="H2582" s="35" t="s">
        <v>1186</v>
      </c>
      <c r="I2582" s="38"/>
    </row>
    <row r="2583" spans="2:9" ht="15.75">
      <c r="B2583" s="53" t="s">
        <v>927</v>
      </c>
      <c r="C2583" s="54"/>
      <c r="D2583" s="35" t="s">
        <v>940</v>
      </c>
      <c r="E2583" s="36"/>
      <c r="F2583" s="35" t="s">
        <v>940</v>
      </c>
      <c r="G2583" s="39"/>
      <c r="H2583" s="35" t="s">
        <v>940</v>
      </c>
      <c r="I2583" s="39"/>
    </row>
    <row r="2584" spans="2:9">
      <c r="B2584" s="33"/>
      <c r="C2584" s="34"/>
      <c r="D2584" s="33"/>
      <c r="E2584" s="33"/>
      <c r="F2584" s="33"/>
      <c r="G2584" s="33"/>
      <c r="H2584" s="33"/>
      <c r="I2584" s="33"/>
    </row>
    <row r="2585" spans="2:9" ht="15.75">
      <c r="B2585" s="38">
        <v>6</v>
      </c>
      <c r="C2585" s="34"/>
      <c r="D2585" s="38">
        <v>3</v>
      </c>
      <c r="E2585" s="33"/>
      <c r="F2585" s="38">
        <v>3</v>
      </c>
      <c r="G2585" s="33"/>
      <c r="H2585" s="38">
        <v>3</v>
      </c>
      <c r="I2585" s="33"/>
    </row>
    <row r="2586" spans="2:9" ht="15.75">
      <c r="B2586" s="39"/>
      <c r="C2586" s="33"/>
      <c r="D2586" s="33"/>
      <c r="E2586" s="33"/>
      <c r="F2586" s="33"/>
      <c r="G2586" s="33"/>
      <c r="H2586" s="33"/>
      <c r="I2586" s="33"/>
    </row>
    <row r="2587" spans="2:9" ht="15.75">
      <c r="B2587" s="35" t="s">
        <v>20</v>
      </c>
      <c r="C2587" s="39"/>
      <c r="D2587" s="35" t="s">
        <v>24</v>
      </c>
      <c r="E2587" s="33"/>
      <c r="F2587" s="35" t="s">
        <v>22</v>
      </c>
      <c r="G2587" s="39"/>
      <c r="H2587" s="35" t="s">
        <v>23</v>
      </c>
      <c r="I2587" s="39"/>
    </row>
    <row r="2588" spans="2:9" ht="15.75">
      <c r="B2588" s="35" t="s">
        <v>625</v>
      </c>
      <c r="C2588" s="39"/>
      <c r="D2588" s="35" t="s">
        <v>625</v>
      </c>
      <c r="E2588" s="37"/>
      <c r="F2588" s="35" t="s">
        <v>241</v>
      </c>
      <c r="G2588" s="39"/>
      <c r="H2588" s="35" t="s">
        <v>241</v>
      </c>
      <c r="I2588" s="39"/>
    </row>
    <row r="2589" spans="2:9" ht="15.75">
      <c r="B2589" s="35" t="s">
        <v>259</v>
      </c>
      <c r="C2589" s="38">
        <v>4</v>
      </c>
      <c r="D2589" s="35" t="s">
        <v>249</v>
      </c>
      <c r="E2589" s="38">
        <v>4</v>
      </c>
      <c r="F2589" s="35" t="s">
        <v>249</v>
      </c>
      <c r="G2589" s="38">
        <v>4</v>
      </c>
      <c r="H2589" s="35" t="s">
        <v>249</v>
      </c>
      <c r="I2589" s="38">
        <v>6</v>
      </c>
    </row>
    <row r="2590" spans="2:9" ht="15.75">
      <c r="B2590" s="35" t="s">
        <v>1186</v>
      </c>
      <c r="C2590" s="39"/>
      <c r="D2590" s="35" t="s">
        <v>1127</v>
      </c>
      <c r="E2590" s="37"/>
      <c r="F2590" s="35" t="s">
        <v>1127</v>
      </c>
      <c r="G2590" s="39"/>
      <c r="H2590" s="35" t="s">
        <v>1127</v>
      </c>
      <c r="I2590" s="39"/>
    </row>
    <row r="2591" spans="2:9" ht="15.75">
      <c r="B2591" s="35" t="s">
        <v>940</v>
      </c>
      <c r="C2591" s="39"/>
      <c r="D2591" s="35" t="s">
        <v>940</v>
      </c>
      <c r="E2591" s="37"/>
      <c r="F2591" s="35" t="s">
        <v>940</v>
      </c>
      <c r="G2591" s="39"/>
      <c r="H2591" s="35" t="s">
        <v>940</v>
      </c>
      <c r="I2591" s="39"/>
    </row>
    <row r="2592" spans="2:9">
      <c r="B2592" s="33"/>
      <c r="C2592" s="33"/>
      <c r="D2592" s="33"/>
      <c r="E2592" s="33"/>
      <c r="F2592" s="33"/>
      <c r="G2592" s="33"/>
      <c r="H2592" s="33"/>
      <c r="I2592" s="33"/>
    </row>
    <row r="2593" spans="2:9" ht="15.75">
      <c r="B2593" s="38">
        <v>6</v>
      </c>
      <c r="C2593" s="33"/>
      <c r="D2593" s="38">
        <v>3</v>
      </c>
      <c r="E2593" s="33"/>
      <c r="F2593" s="38">
        <v>3</v>
      </c>
      <c r="G2593" s="33"/>
      <c r="H2593" s="38">
        <v>3</v>
      </c>
      <c r="I2593" s="33"/>
    </row>
    <row r="2594" spans="2:9" ht="15.75">
      <c r="B2594" s="39"/>
      <c r="C2594" s="33"/>
      <c r="D2594" s="33"/>
      <c r="E2594" s="33"/>
      <c r="F2594" s="33"/>
      <c r="G2594" s="33"/>
      <c r="H2594" s="33"/>
      <c r="I2594" s="33"/>
    </row>
    <row r="2595" spans="2:9" ht="15.75">
      <c r="B2595" s="35" t="s">
        <v>24</v>
      </c>
      <c r="C2595" s="39"/>
      <c r="D2595" s="35" t="s">
        <v>25</v>
      </c>
      <c r="E2595" s="33"/>
      <c r="F2595" s="35" t="s">
        <v>26</v>
      </c>
      <c r="G2595" s="39"/>
      <c r="H2595" s="35" t="s">
        <v>6</v>
      </c>
    </row>
    <row r="2596" spans="2:9" ht="15.75">
      <c r="B2596" s="35" t="s">
        <v>523</v>
      </c>
      <c r="C2596" s="39"/>
      <c r="D2596" s="35" t="s">
        <v>241</v>
      </c>
      <c r="E2596" s="37"/>
      <c r="F2596" s="35" t="s">
        <v>517</v>
      </c>
      <c r="G2596" s="39"/>
      <c r="H2596" s="35" t="s">
        <v>597</v>
      </c>
    </row>
    <row r="2597" spans="2:9" ht="15.75">
      <c r="B2597" s="35" t="s">
        <v>249</v>
      </c>
      <c r="C2597" s="38">
        <v>4</v>
      </c>
      <c r="D2597" s="35" t="s">
        <v>249</v>
      </c>
      <c r="E2597" s="38">
        <v>4</v>
      </c>
      <c r="F2597" s="35" t="s">
        <v>249</v>
      </c>
      <c r="G2597" s="38">
        <v>4</v>
      </c>
      <c r="H2597" s="35" t="s">
        <v>607</v>
      </c>
    </row>
    <row r="2598" spans="2:9" ht="15.75">
      <c r="B2598" s="35" t="s">
        <v>1127</v>
      </c>
      <c r="C2598" s="39"/>
      <c r="D2598" s="35" t="s">
        <v>1127</v>
      </c>
      <c r="E2598" s="37"/>
      <c r="F2598" s="35" t="s">
        <v>1127</v>
      </c>
      <c r="G2598" s="39"/>
      <c r="H2598" s="35" t="s">
        <v>1187</v>
      </c>
    </row>
    <row r="2599" spans="2:9" ht="15.75">
      <c r="B2599" s="35" t="s">
        <v>940</v>
      </c>
      <c r="C2599" s="39"/>
      <c r="D2599" s="35" t="s">
        <v>940</v>
      </c>
      <c r="E2599" s="37"/>
      <c r="F2599" s="35" t="s">
        <v>940</v>
      </c>
      <c r="G2599" s="39"/>
      <c r="H2599" s="35" t="s">
        <v>926</v>
      </c>
    </row>
    <row r="2601" spans="2:9">
      <c r="B2601" s="43" t="s">
        <v>100</v>
      </c>
      <c r="D2601" s="44" t="s">
        <v>1188</v>
      </c>
    </row>
    <row r="2602" spans="2:9">
      <c r="B2602" s="45"/>
    </row>
    <row r="2603" spans="2:9">
      <c r="B2603" s="46" t="s">
        <v>101</v>
      </c>
      <c r="D2603" s="47" t="s">
        <v>1189</v>
      </c>
    </row>
    <row r="2605" spans="2:9">
      <c r="B2605" s="55" t="s">
        <v>865</v>
      </c>
    </row>
    <row r="2607" spans="2:9">
      <c r="B2607" s="42" t="s">
        <v>866</v>
      </c>
    </row>
    <row r="2609" spans="2:9" ht="15.75">
      <c r="B2609" s="35" t="s">
        <v>5</v>
      </c>
      <c r="C2609" s="54"/>
      <c r="D2609" s="35" t="s">
        <v>17</v>
      </c>
      <c r="E2609" s="33"/>
      <c r="F2609" s="35" t="s">
        <v>6</v>
      </c>
      <c r="G2609" s="39"/>
      <c r="H2609" s="35" t="s">
        <v>923</v>
      </c>
      <c r="I2609" s="39"/>
    </row>
    <row r="2610" spans="2:9" ht="15.75">
      <c r="B2610" s="35" t="s">
        <v>424</v>
      </c>
      <c r="C2610" s="54"/>
      <c r="D2610" s="35" t="s">
        <v>746</v>
      </c>
      <c r="E2610" s="36"/>
      <c r="F2610" s="35" t="s">
        <v>588</v>
      </c>
      <c r="G2610" s="39"/>
      <c r="H2610" s="35" t="s">
        <v>923</v>
      </c>
      <c r="I2610" s="39"/>
    </row>
    <row r="2611" spans="2:9" ht="15.75">
      <c r="B2611" s="35" t="s">
        <v>568</v>
      </c>
      <c r="C2611" s="40">
        <v>4</v>
      </c>
      <c r="D2611" s="35" t="s">
        <v>650</v>
      </c>
      <c r="E2611" s="40">
        <v>4</v>
      </c>
      <c r="F2611" s="35" t="s">
        <v>598</v>
      </c>
      <c r="G2611" s="38" t="s">
        <v>923</v>
      </c>
      <c r="H2611" s="35" t="s">
        <v>923</v>
      </c>
      <c r="I2611" s="38" t="s">
        <v>923</v>
      </c>
    </row>
    <row r="2612" spans="2:9" ht="15.75">
      <c r="B2612" s="35" t="s">
        <v>1131</v>
      </c>
      <c r="C2612" s="54"/>
      <c r="D2612" s="35" t="s">
        <v>1132</v>
      </c>
      <c r="E2612" s="36"/>
      <c r="F2612" s="35" t="s">
        <v>1133</v>
      </c>
      <c r="G2612" s="39"/>
      <c r="H2612" s="35" t="s">
        <v>923</v>
      </c>
      <c r="I2612" s="38"/>
    </row>
    <row r="2613" spans="2:9" ht="15.75">
      <c r="B2613" s="53" t="s">
        <v>927</v>
      </c>
      <c r="C2613" s="54"/>
      <c r="D2613" s="35" t="s">
        <v>940</v>
      </c>
      <c r="E2613" s="36"/>
      <c r="F2613" s="35" t="s">
        <v>926</v>
      </c>
      <c r="G2613" s="39"/>
      <c r="H2613" s="35" t="s">
        <v>923</v>
      </c>
      <c r="I2613" s="39"/>
    </row>
    <row r="2614" spans="2:9">
      <c r="B2614" s="33"/>
      <c r="C2614" s="34"/>
      <c r="D2614" s="33"/>
      <c r="E2614" s="33"/>
      <c r="F2614" s="33"/>
      <c r="G2614" s="33"/>
      <c r="H2614" s="33"/>
      <c r="I2614" s="33"/>
    </row>
    <row r="2615" spans="2:9">
      <c r="B2615" s="43" t="s">
        <v>100</v>
      </c>
      <c r="D2615" s="44" t="s">
        <v>1134</v>
      </c>
    </row>
    <row r="2616" spans="2:9">
      <c r="B2616" s="45"/>
    </row>
    <row r="2617" spans="2:9">
      <c r="B2617" s="46" t="s">
        <v>101</v>
      </c>
      <c r="D2617" s="47" t="s">
        <v>1135</v>
      </c>
    </row>
    <row r="2619" spans="2:9">
      <c r="B2619" s="42" t="s">
        <v>867</v>
      </c>
    </row>
    <row r="2621" spans="2:9" ht="15.75">
      <c r="B2621" s="35" t="s">
        <v>5</v>
      </c>
      <c r="C2621" s="54"/>
      <c r="D2621" s="35" t="s">
        <v>17</v>
      </c>
      <c r="E2621" s="33"/>
      <c r="F2621" s="35" t="s">
        <v>18</v>
      </c>
      <c r="G2621" s="39"/>
      <c r="H2621" s="35" t="s">
        <v>6</v>
      </c>
      <c r="I2621" s="39"/>
    </row>
    <row r="2622" spans="2:9" ht="15.75">
      <c r="B2622" s="35" t="s">
        <v>446</v>
      </c>
      <c r="C2622" s="54"/>
      <c r="D2622" s="35" t="s">
        <v>747</v>
      </c>
      <c r="E2622" s="36"/>
      <c r="F2622" s="35" t="s">
        <v>707</v>
      </c>
      <c r="G2622" s="39"/>
      <c r="H2622" s="35" t="s">
        <v>589</v>
      </c>
      <c r="I2622" s="39"/>
    </row>
    <row r="2623" spans="2:9" ht="15.75">
      <c r="B2623" s="35" t="s">
        <v>569</v>
      </c>
      <c r="C2623" s="40">
        <v>4</v>
      </c>
      <c r="D2623" s="35" t="s">
        <v>651</v>
      </c>
      <c r="E2623" s="40">
        <v>4</v>
      </c>
      <c r="F2623" s="35" t="s">
        <v>626</v>
      </c>
      <c r="G2623" s="38">
        <v>4</v>
      </c>
      <c r="H2623" s="35" t="s">
        <v>599</v>
      </c>
      <c r="I2623" s="38" t="s">
        <v>923</v>
      </c>
    </row>
    <row r="2624" spans="2:9" ht="15.75">
      <c r="B2624" s="35" t="s">
        <v>1136</v>
      </c>
      <c r="C2624" s="54"/>
      <c r="D2624" s="35" t="s">
        <v>1137</v>
      </c>
      <c r="E2624" s="36"/>
      <c r="F2624" s="35" t="s">
        <v>1138</v>
      </c>
      <c r="G2624" s="39"/>
      <c r="H2624" s="35" t="s">
        <v>1139</v>
      </c>
      <c r="I2624" s="38"/>
    </row>
    <row r="2625" spans="2:9" ht="15.75">
      <c r="B2625" s="53" t="s">
        <v>927</v>
      </c>
      <c r="C2625" s="54"/>
      <c r="D2625" s="35" t="s">
        <v>940</v>
      </c>
      <c r="E2625" s="36"/>
      <c r="F2625" s="35" t="s">
        <v>940</v>
      </c>
      <c r="G2625" s="39"/>
      <c r="H2625" s="35" t="s">
        <v>926</v>
      </c>
      <c r="I2625" s="39"/>
    </row>
    <row r="2626" spans="2:9">
      <c r="B2626" s="33"/>
      <c r="C2626" s="34"/>
      <c r="D2626" s="33"/>
      <c r="E2626" s="33"/>
      <c r="F2626" s="33"/>
      <c r="G2626" s="33"/>
      <c r="H2626" s="33"/>
      <c r="I2626" s="33"/>
    </row>
    <row r="2627" spans="2:9">
      <c r="B2627" s="43" t="s">
        <v>100</v>
      </c>
      <c r="D2627" s="44" t="s">
        <v>1140</v>
      </c>
    </row>
    <row r="2628" spans="2:9">
      <c r="B2628" s="45"/>
    </row>
    <row r="2629" spans="2:9">
      <c r="B2629" s="46" t="s">
        <v>101</v>
      </c>
      <c r="D2629" s="47" t="s">
        <v>1141</v>
      </c>
    </row>
    <row r="2631" spans="2:9">
      <c r="B2631" s="42" t="s">
        <v>868</v>
      </c>
    </row>
    <row r="2633" spans="2:9" ht="15.75">
      <c r="B2633" s="35" t="s">
        <v>5</v>
      </c>
      <c r="C2633" s="54"/>
      <c r="D2633" s="35" t="s">
        <v>17</v>
      </c>
      <c r="E2633" s="33"/>
      <c r="F2633" s="35" t="s">
        <v>18</v>
      </c>
      <c r="G2633" s="39"/>
      <c r="H2633" s="35" t="s">
        <v>19</v>
      </c>
      <c r="I2633" s="39"/>
    </row>
    <row r="2634" spans="2:9" ht="15.75">
      <c r="B2634" s="35" t="s">
        <v>447</v>
      </c>
      <c r="C2634" s="54"/>
      <c r="D2634" s="35" t="s">
        <v>748</v>
      </c>
      <c r="E2634" s="36"/>
      <c r="F2634" s="35" t="s">
        <v>708</v>
      </c>
      <c r="G2634" s="39"/>
      <c r="H2634" s="35" t="s">
        <v>618</v>
      </c>
      <c r="I2634" s="39"/>
    </row>
    <row r="2635" spans="2:9" ht="15.75">
      <c r="B2635" s="35" t="s">
        <v>570</v>
      </c>
      <c r="C2635" s="40">
        <v>4</v>
      </c>
      <c r="D2635" s="35" t="s">
        <v>652</v>
      </c>
      <c r="E2635" s="40">
        <v>4</v>
      </c>
      <c r="F2635" s="35" t="s">
        <v>627</v>
      </c>
      <c r="G2635" s="38">
        <v>4</v>
      </c>
      <c r="H2635" s="35" t="s">
        <v>627</v>
      </c>
      <c r="I2635" s="38">
        <v>6</v>
      </c>
    </row>
    <row r="2636" spans="2:9" ht="15.75">
      <c r="B2636" s="35" t="s">
        <v>1142</v>
      </c>
      <c r="C2636" s="54"/>
      <c r="D2636" s="35" t="s">
        <v>1143</v>
      </c>
      <c r="E2636" s="36"/>
      <c r="F2636" s="35" t="s">
        <v>1144</v>
      </c>
      <c r="G2636" s="39"/>
      <c r="H2636" s="35" t="s">
        <v>1144</v>
      </c>
      <c r="I2636" s="38"/>
    </row>
    <row r="2637" spans="2:9" ht="15.75">
      <c r="B2637" s="53" t="s">
        <v>927</v>
      </c>
      <c r="C2637" s="54"/>
      <c r="D2637" s="35" t="s">
        <v>940</v>
      </c>
      <c r="E2637" s="36"/>
      <c r="F2637" s="35" t="s">
        <v>940</v>
      </c>
      <c r="G2637" s="39"/>
      <c r="H2637" s="35" t="s">
        <v>940</v>
      </c>
      <c r="I2637" s="39"/>
    </row>
    <row r="2638" spans="2:9">
      <c r="B2638" s="33"/>
      <c r="C2638" s="34"/>
      <c r="D2638" s="33"/>
      <c r="E2638" s="33"/>
      <c r="F2638" s="33"/>
      <c r="G2638" s="33"/>
      <c r="H2638" s="33"/>
      <c r="I2638" s="33"/>
    </row>
    <row r="2639" spans="2:9" ht="15.75">
      <c r="B2639" s="38">
        <v>6</v>
      </c>
      <c r="C2639" s="34"/>
      <c r="D2639" s="38">
        <v>3</v>
      </c>
      <c r="E2639" s="33"/>
      <c r="F2639" s="38">
        <v>3</v>
      </c>
      <c r="G2639" s="33"/>
      <c r="H2639" s="38">
        <v>3</v>
      </c>
      <c r="I2639" s="33"/>
    </row>
    <row r="2640" spans="2:9" ht="15.75">
      <c r="B2640" s="39"/>
      <c r="C2640" s="33"/>
      <c r="D2640" s="33"/>
      <c r="E2640" s="33"/>
      <c r="F2640" s="33"/>
      <c r="G2640" s="33"/>
      <c r="H2640" s="33"/>
      <c r="I2640" s="33"/>
    </row>
    <row r="2641" spans="2:9" ht="15.75">
      <c r="B2641" s="35" t="s">
        <v>6</v>
      </c>
      <c r="C2641" s="39"/>
      <c r="D2641" s="35" t="s">
        <v>923</v>
      </c>
      <c r="E2641" s="33"/>
      <c r="F2641" s="35" t="s">
        <v>923</v>
      </c>
      <c r="G2641" s="39"/>
      <c r="H2641" s="35" t="s">
        <v>923</v>
      </c>
      <c r="I2641" s="39"/>
    </row>
    <row r="2642" spans="2:9" ht="15.75">
      <c r="B2642" s="35" t="s">
        <v>590</v>
      </c>
      <c r="C2642" s="39"/>
      <c r="D2642" s="35" t="s">
        <v>923</v>
      </c>
      <c r="E2642" s="37"/>
      <c r="F2642" s="35" t="s">
        <v>923</v>
      </c>
      <c r="G2642" s="39"/>
      <c r="H2642" s="35" t="s">
        <v>923</v>
      </c>
      <c r="I2642" s="39"/>
    </row>
    <row r="2643" spans="2:9" ht="15.75">
      <c r="B2643" s="35" t="s">
        <v>600</v>
      </c>
      <c r="C2643" s="38" t="s">
        <v>923</v>
      </c>
      <c r="D2643" s="35" t="s">
        <v>923</v>
      </c>
      <c r="E2643" s="38" t="s">
        <v>923</v>
      </c>
      <c r="F2643" s="35" t="s">
        <v>923</v>
      </c>
      <c r="G2643" s="38" t="s">
        <v>923</v>
      </c>
      <c r="H2643" s="35" t="s">
        <v>923</v>
      </c>
      <c r="I2643" s="38" t="s">
        <v>923</v>
      </c>
    </row>
    <row r="2644" spans="2:9" ht="15.75">
      <c r="B2644" s="35" t="s">
        <v>1145</v>
      </c>
      <c r="C2644" s="39"/>
      <c r="D2644" s="35" t="s">
        <v>923</v>
      </c>
      <c r="E2644" s="37"/>
      <c r="F2644" s="35" t="s">
        <v>923</v>
      </c>
      <c r="G2644" s="39"/>
      <c r="H2644" s="35" t="s">
        <v>923</v>
      </c>
      <c r="I2644" s="39"/>
    </row>
    <row r="2645" spans="2:9" ht="15.75">
      <c r="B2645" s="35" t="s">
        <v>926</v>
      </c>
      <c r="C2645" s="39"/>
      <c r="D2645" s="35" t="s">
        <v>923</v>
      </c>
      <c r="E2645" s="37"/>
      <c r="F2645" s="35" t="s">
        <v>923</v>
      </c>
      <c r="G2645" s="39"/>
      <c r="H2645" s="35" t="s">
        <v>923</v>
      </c>
      <c r="I2645" s="39"/>
    </row>
    <row r="2646" spans="2:9">
      <c r="B2646" s="33"/>
      <c r="C2646" s="33"/>
      <c r="D2646" s="33"/>
      <c r="E2646" s="33"/>
      <c r="F2646" s="33"/>
      <c r="G2646" s="33"/>
      <c r="H2646" s="33"/>
      <c r="I2646" s="33"/>
    </row>
    <row r="2647" spans="2:9">
      <c r="B2647" s="43" t="s">
        <v>100</v>
      </c>
      <c r="D2647" s="44" t="s">
        <v>1146</v>
      </c>
    </row>
    <row r="2648" spans="2:9">
      <c r="B2648" s="45"/>
    </row>
    <row r="2649" spans="2:9">
      <c r="B2649" s="46" t="s">
        <v>101</v>
      </c>
      <c r="D2649" s="47" t="s">
        <v>1147</v>
      </c>
    </row>
    <row r="2651" spans="2:9">
      <c r="B2651" s="42" t="s">
        <v>869</v>
      </c>
    </row>
    <row r="2653" spans="2:9" ht="15.75">
      <c r="B2653" s="35" t="s">
        <v>5</v>
      </c>
      <c r="C2653" s="54"/>
      <c r="D2653" s="35" t="s">
        <v>17</v>
      </c>
      <c r="E2653" s="33"/>
      <c r="F2653" s="35" t="s">
        <v>18</v>
      </c>
      <c r="G2653" s="39"/>
      <c r="H2653" s="35" t="s">
        <v>19</v>
      </c>
      <c r="I2653" s="39"/>
    </row>
    <row r="2654" spans="2:9" ht="15.75">
      <c r="B2654" s="35" t="s">
        <v>448</v>
      </c>
      <c r="C2654" s="54"/>
      <c r="D2654" s="35" t="s">
        <v>749</v>
      </c>
      <c r="E2654" s="36"/>
      <c r="F2654" s="35" t="s">
        <v>709</v>
      </c>
      <c r="G2654" s="39"/>
      <c r="H2654" s="35" t="s">
        <v>619</v>
      </c>
      <c r="I2654" s="39"/>
    </row>
    <row r="2655" spans="2:9" ht="15.75">
      <c r="B2655" s="35" t="s">
        <v>571</v>
      </c>
      <c r="C2655" s="40">
        <v>4</v>
      </c>
      <c r="D2655" s="35" t="s">
        <v>653</v>
      </c>
      <c r="E2655" s="40">
        <v>4</v>
      </c>
      <c r="F2655" s="35" t="s">
        <v>628</v>
      </c>
      <c r="G2655" s="38">
        <v>4</v>
      </c>
      <c r="H2655" s="35" t="s">
        <v>628</v>
      </c>
      <c r="I2655" s="38">
        <v>6</v>
      </c>
    </row>
    <row r="2656" spans="2:9" ht="15.75">
      <c r="B2656" s="35" t="s">
        <v>1148</v>
      </c>
      <c r="C2656" s="54"/>
      <c r="D2656" s="35" t="s">
        <v>1149</v>
      </c>
      <c r="E2656" s="36"/>
      <c r="F2656" s="35" t="s">
        <v>1150</v>
      </c>
      <c r="G2656" s="39"/>
      <c r="H2656" s="35" t="s">
        <v>1150</v>
      </c>
      <c r="I2656" s="38"/>
    </row>
    <row r="2657" spans="2:9" ht="15.75">
      <c r="B2657" s="53" t="s">
        <v>927</v>
      </c>
      <c r="C2657" s="54"/>
      <c r="D2657" s="35" t="s">
        <v>940</v>
      </c>
      <c r="E2657" s="36"/>
      <c r="F2657" s="35" t="s">
        <v>940</v>
      </c>
      <c r="G2657" s="39"/>
      <c r="H2657" s="35" t="s">
        <v>940</v>
      </c>
      <c r="I2657" s="39"/>
    </row>
    <row r="2658" spans="2:9">
      <c r="B2658" s="33"/>
      <c r="C2658" s="34"/>
      <c r="D2658" s="33"/>
      <c r="E2658" s="33"/>
      <c r="F2658" s="33"/>
      <c r="G2658" s="33"/>
      <c r="H2658" s="33"/>
      <c r="I2658" s="33"/>
    </row>
    <row r="2659" spans="2:9" ht="15.75">
      <c r="B2659" s="38">
        <v>6</v>
      </c>
      <c r="C2659" s="34"/>
      <c r="D2659" s="38">
        <v>3</v>
      </c>
      <c r="E2659" s="33"/>
      <c r="F2659" s="38">
        <v>3</v>
      </c>
      <c r="G2659" s="33"/>
      <c r="H2659" s="38">
        <v>3</v>
      </c>
      <c r="I2659" s="33"/>
    </row>
    <row r="2660" spans="2:9" ht="15.75">
      <c r="B2660" s="39"/>
      <c r="C2660" s="33"/>
      <c r="D2660" s="33"/>
      <c r="E2660" s="33"/>
      <c r="F2660" s="33"/>
      <c r="G2660" s="33"/>
      <c r="H2660" s="33"/>
      <c r="I2660" s="33"/>
    </row>
    <row r="2661" spans="2:9" ht="15.75">
      <c r="B2661" s="35" t="s">
        <v>20</v>
      </c>
      <c r="C2661" s="39"/>
      <c r="D2661" s="35" t="s">
        <v>6</v>
      </c>
      <c r="E2661" s="33"/>
      <c r="F2661" s="35" t="s">
        <v>923</v>
      </c>
      <c r="G2661" s="39"/>
      <c r="H2661" s="35" t="s">
        <v>923</v>
      </c>
      <c r="I2661" s="39"/>
    </row>
    <row r="2662" spans="2:9" ht="15.75">
      <c r="B2662" s="35" t="s">
        <v>619</v>
      </c>
      <c r="C2662" s="39"/>
      <c r="D2662" s="35" t="s">
        <v>591</v>
      </c>
      <c r="E2662" s="37"/>
      <c r="F2662" s="35" t="s">
        <v>923</v>
      </c>
      <c r="G2662" s="39"/>
      <c r="H2662" s="35" t="s">
        <v>923</v>
      </c>
      <c r="I2662" s="39"/>
    </row>
    <row r="2663" spans="2:9" ht="15.75">
      <c r="B2663" s="35" t="s">
        <v>628</v>
      </c>
      <c r="C2663" s="38">
        <v>4</v>
      </c>
      <c r="D2663" s="35" t="s">
        <v>601</v>
      </c>
      <c r="E2663" s="38" t="s">
        <v>923</v>
      </c>
      <c r="F2663" s="35" t="s">
        <v>923</v>
      </c>
      <c r="G2663" s="38" t="s">
        <v>923</v>
      </c>
      <c r="H2663" s="35" t="s">
        <v>923</v>
      </c>
      <c r="I2663" s="38" t="s">
        <v>923</v>
      </c>
    </row>
    <row r="2664" spans="2:9" ht="15.75">
      <c r="B2664" s="35" t="s">
        <v>1150</v>
      </c>
      <c r="C2664" s="39"/>
      <c r="D2664" s="35" t="s">
        <v>1151</v>
      </c>
      <c r="E2664" s="37"/>
      <c r="F2664" s="35" t="s">
        <v>923</v>
      </c>
      <c r="G2664" s="39"/>
      <c r="H2664" s="35" t="s">
        <v>923</v>
      </c>
      <c r="I2664" s="39"/>
    </row>
    <row r="2665" spans="2:9" ht="15.75">
      <c r="B2665" s="35" t="s">
        <v>940</v>
      </c>
      <c r="C2665" s="39"/>
      <c r="D2665" s="35" t="s">
        <v>926</v>
      </c>
      <c r="E2665" s="37"/>
      <c r="F2665" s="35" t="s">
        <v>923</v>
      </c>
      <c r="G2665" s="39"/>
      <c r="H2665" s="35" t="s">
        <v>923</v>
      </c>
      <c r="I2665" s="39"/>
    </row>
    <row r="2666" spans="2:9">
      <c r="B2666" s="33"/>
      <c r="C2666" s="33"/>
      <c r="D2666" s="33"/>
      <c r="E2666" s="33"/>
      <c r="F2666" s="33"/>
      <c r="G2666" s="33"/>
      <c r="H2666" s="33"/>
      <c r="I2666" s="33"/>
    </row>
    <row r="2667" spans="2:9">
      <c r="B2667" s="43" t="s">
        <v>100</v>
      </c>
      <c r="D2667" s="44" t="s">
        <v>1152</v>
      </c>
    </row>
    <row r="2668" spans="2:9">
      <c r="B2668" s="45"/>
    </row>
    <row r="2669" spans="2:9">
      <c r="B2669" s="46" t="s">
        <v>101</v>
      </c>
      <c r="D2669" s="47" t="s">
        <v>1153</v>
      </c>
    </row>
    <row r="2671" spans="2:9">
      <c r="B2671" s="42" t="s">
        <v>870</v>
      </c>
    </row>
    <row r="2673" spans="2:9" ht="15.75">
      <c r="B2673" s="35" t="s">
        <v>5</v>
      </c>
      <c r="C2673" s="54"/>
      <c r="D2673" s="35" t="s">
        <v>17</v>
      </c>
      <c r="E2673" s="33"/>
      <c r="F2673" s="35" t="s">
        <v>18</v>
      </c>
      <c r="G2673" s="39"/>
      <c r="H2673" s="35" t="s">
        <v>19</v>
      </c>
      <c r="I2673" s="39"/>
    </row>
    <row r="2674" spans="2:9" ht="15.75">
      <c r="B2674" s="35" t="s">
        <v>449</v>
      </c>
      <c r="C2674" s="54"/>
      <c r="D2674" s="35" t="s">
        <v>750</v>
      </c>
      <c r="E2674" s="36"/>
      <c r="F2674" s="35" t="s">
        <v>710</v>
      </c>
      <c r="G2674" s="39"/>
      <c r="H2674" s="35" t="s">
        <v>620</v>
      </c>
      <c r="I2674" s="39"/>
    </row>
    <row r="2675" spans="2:9" ht="15.75">
      <c r="B2675" s="35" t="s">
        <v>572</v>
      </c>
      <c r="C2675" s="40">
        <v>4</v>
      </c>
      <c r="D2675" s="35" t="s">
        <v>654</v>
      </c>
      <c r="E2675" s="40">
        <v>4</v>
      </c>
      <c r="F2675" s="35" t="s">
        <v>629</v>
      </c>
      <c r="G2675" s="38">
        <v>4</v>
      </c>
      <c r="H2675" s="35" t="s">
        <v>629</v>
      </c>
      <c r="I2675" s="38">
        <v>6</v>
      </c>
    </row>
    <row r="2676" spans="2:9" ht="15.75">
      <c r="B2676" s="35" t="s">
        <v>1154</v>
      </c>
      <c r="C2676" s="54"/>
      <c r="D2676" s="35" t="s">
        <v>1155</v>
      </c>
      <c r="E2676" s="36"/>
      <c r="F2676" s="35" t="s">
        <v>1156</v>
      </c>
      <c r="G2676" s="39"/>
      <c r="H2676" s="35" t="s">
        <v>1156</v>
      </c>
      <c r="I2676" s="38"/>
    </row>
    <row r="2677" spans="2:9" ht="15.75">
      <c r="B2677" s="53" t="s">
        <v>927</v>
      </c>
      <c r="C2677" s="54"/>
      <c r="D2677" s="35" t="s">
        <v>940</v>
      </c>
      <c r="E2677" s="36"/>
      <c r="F2677" s="35" t="s">
        <v>940</v>
      </c>
      <c r="G2677" s="39"/>
      <c r="H2677" s="35" t="s">
        <v>940</v>
      </c>
      <c r="I2677" s="39"/>
    </row>
    <row r="2678" spans="2:9">
      <c r="B2678" s="33"/>
      <c r="C2678" s="34"/>
      <c r="D2678" s="33"/>
      <c r="E2678" s="33"/>
      <c r="F2678" s="33"/>
      <c r="G2678" s="33"/>
      <c r="H2678" s="33"/>
      <c r="I2678" s="33"/>
    </row>
    <row r="2679" spans="2:9" ht="15.75">
      <c r="B2679" s="38">
        <v>6</v>
      </c>
      <c r="C2679" s="34"/>
      <c r="D2679" s="38">
        <v>3</v>
      </c>
      <c r="E2679" s="33"/>
      <c r="F2679" s="38">
        <v>3</v>
      </c>
      <c r="G2679" s="33"/>
      <c r="H2679" s="38">
        <v>3</v>
      </c>
      <c r="I2679" s="33"/>
    </row>
    <row r="2680" spans="2:9" ht="15.75">
      <c r="B2680" s="39"/>
      <c r="C2680" s="33"/>
      <c r="D2680" s="33"/>
      <c r="E2680" s="33"/>
      <c r="F2680" s="33"/>
      <c r="G2680" s="33"/>
      <c r="H2680" s="33"/>
      <c r="I2680" s="33"/>
    </row>
    <row r="2681" spans="2:9" ht="15.75">
      <c r="B2681" s="35" t="s">
        <v>20</v>
      </c>
      <c r="C2681" s="39"/>
      <c r="D2681" s="35" t="s">
        <v>21</v>
      </c>
      <c r="E2681" s="33"/>
      <c r="F2681" s="35" t="s">
        <v>6</v>
      </c>
      <c r="G2681" s="39"/>
      <c r="H2681" s="35" t="s">
        <v>923</v>
      </c>
      <c r="I2681" s="39"/>
    </row>
    <row r="2682" spans="2:9" ht="15.75">
      <c r="B2682" s="35" t="s">
        <v>620</v>
      </c>
      <c r="C2682" s="39"/>
      <c r="D2682" s="35" t="s">
        <v>620</v>
      </c>
      <c r="E2682" s="37"/>
      <c r="F2682" s="35" t="s">
        <v>592</v>
      </c>
      <c r="G2682" s="39"/>
      <c r="H2682" s="35" t="s">
        <v>923</v>
      </c>
      <c r="I2682" s="39"/>
    </row>
    <row r="2683" spans="2:9" ht="15.75">
      <c r="B2683" s="35" t="s">
        <v>629</v>
      </c>
      <c r="C2683" s="38">
        <v>4</v>
      </c>
      <c r="D2683" s="35" t="s">
        <v>648</v>
      </c>
      <c r="E2683" s="38">
        <v>4</v>
      </c>
      <c r="F2683" s="35" t="s">
        <v>602</v>
      </c>
      <c r="G2683" s="38" t="s">
        <v>923</v>
      </c>
      <c r="H2683" s="35" t="s">
        <v>923</v>
      </c>
      <c r="I2683" s="38" t="s">
        <v>923</v>
      </c>
    </row>
    <row r="2684" spans="2:9" ht="15.75">
      <c r="B2684" s="35" t="s">
        <v>1156</v>
      </c>
      <c r="C2684" s="39"/>
      <c r="D2684" s="35" t="s">
        <v>1092</v>
      </c>
      <c r="E2684" s="37"/>
      <c r="F2684" s="35" t="s">
        <v>1157</v>
      </c>
      <c r="G2684" s="39"/>
      <c r="H2684" s="35" t="s">
        <v>923</v>
      </c>
      <c r="I2684" s="39"/>
    </row>
    <row r="2685" spans="2:9" ht="15.75">
      <c r="B2685" s="35" t="s">
        <v>940</v>
      </c>
      <c r="C2685" s="39"/>
      <c r="D2685" s="35" t="s">
        <v>940</v>
      </c>
      <c r="E2685" s="37"/>
      <c r="F2685" s="35" t="s">
        <v>926</v>
      </c>
      <c r="G2685" s="39"/>
      <c r="H2685" s="35" t="s">
        <v>923</v>
      </c>
      <c r="I2685" s="39"/>
    </row>
    <row r="2686" spans="2:9">
      <c r="B2686" s="33"/>
      <c r="C2686" s="33"/>
      <c r="D2686" s="33"/>
      <c r="E2686" s="33"/>
      <c r="F2686" s="33"/>
      <c r="G2686" s="33"/>
      <c r="H2686" s="33"/>
      <c r="I2686" s="33"/>
    </row>
    <row r="2687" spans="2:9">
      <c r="B2687" s="43" t="s">
        <v>100</v>
      </c>
      <c r="D2687" s="44" t="s">
        <v>1158</v>
      </c>
    </row>
    <row r="2688" spans="2:9">
      <c r="B2688" s="45"/>
    </row>
    <row r="2689" spans="2:9">
      <c r="B2689" s="46" t="s">
        <v>101</v>
      </c>
      <c r="D2689" s="47" t="s">
        <v>1159</v>
      </c>
    </row>
    <row r="2691" spans="2:9">
      <c r="B2691" s="42" t="s">
        <v>871</v>
      </c>
    </row>
    <row r="2693" spans="2:9" ht="15.75">
      <c r="B2693" s="35" t="s">
        <v>5</v>
      </c>
      <c r="C2693" s="54"/>
      <c r="D2693" s="35" t="s">
        <v>17</v>
      </c>
      <c r="E2693" s="33"/>
      <c r="F2693" s="35" t="s">
        <v>18</v>
      </c>
      <c r="G2693" s="39"/>
      <c r="H2693" s="35" t="s">
        <v>19</v>
      </c>
      <c r="I2693" s="39"/>
    </row>
    <row r="2694" spans="2:9" ht="15.75">
      <c r="B2694" s="35" t="s">
        <v>450</v>
      </c>
      <c r="C2694" s="54"/>
      <c r="D2694" s="35" t="s">
        <v>751</v>
      </c>
      <c r="E2694" s="36"/>
      <c r="F2694" s="35" t="s">
        <v>711</v>
      </c>
      <c r="G2694" s="39"/>
      <c r="H2694" s="35" t="s">
        <v>621</v>
      </c>
      <c r="I2694" s="39"/>
    </row>
    <row r="2695" spans="2:9" ht="15.75">
      <c r="B2695" s="35" t="s">
        <v>573</v>
      </c>
      <c r="C2695" s="40">
        <v>4</v>
      </c>
      <c r="D2695" s="35" t="s">
        <v>655</v>
      </c>
      <c r="E2695" s="40">
        <v>4</v>
      </c>
      <c r="F2695" s="35" t="s">
        <v>630</v>
      </c>
      <c r="G2695" s="38">
        <v>4</v>
      </c>
      <c r="H2695" s="35" t="s">
        <v>630</v>
      </c>
      <c r="I2695" s="38">
        <v>6</v>
      </c>
    </row>
    <row r="2696" spans="2:9" ht="15.75">
      <c r="B2696" s="35" t="s">
        <v>1160</v>
      </c>
      <c r="C2696" s="54"/>
      <c r="D2696" s="35" t="s">
        <v>1161</v>
      </c>
      <c r="E2696" s="36"/>
      <c r="F2696" s="35" t="s">
        <v>1162</v>
      </c>
      <c r="G2696" s="39"/>
      <c r="H2696" s="35" t="s">
        <v>1162</v>
      </c>
      <c r="I2696" s="38"/>
    </row>
    <row r="2697" spans="2:9" ht="15.75">
      <c r="B2697" s="53" t="s">
        <v>927</v>
      </c>
      <c r="C2697" s="54"/>
      <c r="D2697" s="35" t="s">
        <v>940</v>
      </c>
      <c r="E2697" s="36"/>
      <c r="F2697" s="35" t="s">
        <v>940</v>
      </c>
      <c r="G2697" s="39"/>
      <c r="H2697" s="35" t="s">
        <v>940</v>
      </c>
      <c r="I2697" s="39"/>
    </row>
    <row r="2698" spans="2:9">
      <c r="B2698" s="33"/>
      <c r="C2698" s="34"/>
      <c r="D2698" s="33"/>
      <c r="E2698" s="33"/>
      <c r="F2698" s="33"/>
      <c r="G2698" s="33"/>
      <c r="H2698" s="33"/>
      <c r="I2698" s="33"/>
    </row>
    <row r="2699" spans="2:9" ht="15.75">
      <c r="B2699" s="38">
        <v>6</v>
      </c>
      <c r="C2699" s="34"/>
      <c r="D2699" s="38">
        <v>3</v>
      </c>
      <c r="E2699" s="33"/>
      <c r="F2699" s="38">
        <v>3</v>
      </c>
      <c r="G2699" s="33"/>
      <c r="H2699" s="38">
        <v>3</v>
      </c>
      <c r="I2699" s="33"/>
    </row>
    <row r="2700" spans="2:9" ht="15.75">
      <c r="B2700" s="39"/>
      <c r="C2700" s="33"/>
      <c r="D2700" s="33"/>
      <c r="E2700" s="33"/>
      <c r="F2700" s="33"/>
      <c r="G2700" s="33"/>
      <c r="H2700" s="33"/>
      <c r="I2700" s="33"/>
    </row>
    <row r="2701" spans="2:9" ht="15.75">
      <c r="B2701" s="35" t="s">
        <v>20</v>
      </c>
      <c r="C2701" s="39"/>
      <c r="D2701" s="35" t="s">
        <v>21</v>
      </c>
      <c r="E2701" s="33"/>
      <c r="F2701" s="35" t="s">
        <v>22</v>
      </c>
      <c r="G2701" s="39"/>
      <c r="H2701" s="35" t="s">
        <v>6</v>
      </c>
      <c r="I2701" s="39"/>
    </row>
    <row r="2702" spans="2:9" ht="15.75">
      <c r="B2702" s="35" t="s">
        <v>621</v>
      </c>
      <c r="C2702" s="39"/>
      <c r="D2702" s="35" t="s">
        <v>621</v>
      </c>
      <c r="E2702" s="37"/>
      <c r="F2702" s="35" t="s">
        <v>505</v>
      </c>
      <c r="G2702" s="39"/>
      <c r="H2702" s="35" t="s">
        <v>593</v>
      </c>
      <c r="I2702" s="39"/>
    </row>
    <row r="2703" spans="2:9" ht="15.75">
      <c r="B2703" s="35" t="s">
        <v>630</v>
      </c>
      <c r="C2703" s="38">
        <v>4</v>
      </c>
      <c r="D2703" s="35" t="s">
        <v>509</v>
      </c>
      <c r="E2703" s="38">
        <v>4</v>
      </c>
      <c r="F2703" s="35" t="s">
        <v>509</v>
      </c>
      <c r="G2703" s="38">
        <v>4</v>
      </c>
      <c r="H2703" s="35" t="s">
        <v>603</v>
      </c>
      <c r="I2703" s="38" t="s">
        <v>923</v>
      </c>
    </row>
    <row r="2704" spans="2:9" ht="15.75">
      <c r="B2704" s="35" t="s">
        <v>1162</v>
      </c>
      <c r="C2704" s="39"/>
      <c r="D2704" s="35" t="s">
        <v>1099</v>
      </c>
      <c r="E2704" s="37"/>
      <c r="F2704" s="35" t="s">
        <v>1100</v>
      </c>
      <c r="G2704" s="39"/>
      <c r="H2704" s="35" t="s">
        <v>1163</v>
      </c>
      <c r="I2704" s="39"/>
    </row>
    <row r="2705" spans="2:9" ht="15.75">
      <c r="B2705" s="35" t="s">
        <v>940</v>
      </c>
      <c r="C2705" s="39"/>
      <c r="D2705" s="35" t="s">
        <v>940</v>
      </c>
      <c r="E2705" s="37"/>
      <c r="F2705" s="35" t="s">
        <v>940</v>
      </c>
      <c r="G2705" s="39"/>
      <c r="H2705" s="35" t="s">
        <v>926</v>
      </c>
      <c r="I2705" s="39"/>
    </row>
    <row r="2706" spans="2:9">
      <c r="B2706" s="33"/>
      <c r="C2706" s="33"/>
      <c r="D2706" s="33"/>
      <c r="E2706" s="33"/>
      <c r="F2706" s="33"/>
      <c r="G2706" s="33"/>
      <c r="H2706" s="33"/>
      <c r="I2706" s="33"/>
    </row>
    <row r="2707" spans="2:9">
      <c r="B2707" s="43" t="s">
        <v>100</v>
      </c>
      <c r="D2707" s="44" t="s">
        <v>1164</v>
      </c>
    </row>
    <row r="2708" spans="2:9">
      <c r="B2708" s="45"/>
    </row>
    <row r="2709" spans="2:9">
      <c r="B2709" s="46" t="s">
        <v>101</v>
      </c>
      <c r="D2709" s="47" t="s">
        <v>1165</v>
      </c>
    </row>
    <row r="2711" spans="2:9">
      <c r="B2711" s="42" t="s">
        <v>872</v>
      </c>
    </row>
    <row r="2713" spans="2:9" ht="15.75">
      <c r="B2713" s="35" t="s">
        <v>5</v>
      </c>
      <c r="C2713" s="54"/>
      <c r="D2713" s="35" t="s">
        <v>17</v>
      </c>
      <c r="E2713" s="33"/>
      <c r="F2713" s="35" t="s">
        <v>18</v>
      </c>
      <c r="G2713" s="39"/>
      <c r="H2713" s="35" t="s">
        <v>19</v>
      </c>
      <c r="I2713" s="39"/>
    </row>
    <row r="2714" spans="2:9" ht="15.75">
      <c r="B2714" s="35" t="s">
        <v>451</v>
      </c>
      <c r="C2714" s="54"/>
      <c r="D2714" s="35" t="s">
        <v>752</v>
      </c>
      <c r="E2714" s="36"/>
      <c r="F2714" s="35" t="s">
        <v>712</v>
      </c>
      <c r="G2714" s="39"/>
      <c r="H2714" s="35" t="s">
        <v>622</v>
      </c>
      <c r="I2714" s="39"/>
    </row>
    <row r="2715" spans="2:9" ht="15.75">
      <c r="B2715" s="35" t="s">
        <v>574</v>
      </c>
      <c r="C2715" s="40">
        <v>4</v>
      </c>
      <c r="D2715" s="35" t="s">
        <v>656</v>
      </c>
      <c r="E2715" s="40">
        <v>4</v>
      </c>
      <c r="F2715" s="35" t="s">
        <v>631</v>
      </c>
      <c r="G2715" s="38">
        <v>4</v>
      </c>
      <c r="H2715" s="35" t="s">
        <v>631</v>
      </c>
      <c r="I2715" s="38">
        <v>6</v>
      </c>
    </row>
    <row r="2716" spans="2:9" ht="15.75">
      <c r="B2716" s="35" t="s">
        <v>1166</v>
      </c>
      <c r="C2716" s="54"/>
      <c r="D2716" s="35" t="s">
        <v>1167</v>
      </c>
      <c r="E2716" s="36"/>
      <c r="F2716" s="35" t="s">
        <v>1168</v>
      </c>
      <c r="G2716" s="39"/>
      <c r="H2716" s="35" t="s">
        <v>1168</v>
      </c>
      <c r="I2716" s="38"/>
    </row>
    <row r="2717" spans="2:9" ht="15.75">
      <c r="B2717" s="53" t="s">
        <v>927</v>
      </c>
      <c r="C2717" s="54"/>
      <c r="D2717" s="35" t="s">
        <v>940</v>
      </c>
      <c r="E2717" s="36"/>
      <c r="F2717" s="35" t="s">
        <v>940</v>
      </c>
      <c r="G2717" s="39"/>
      <c r="H2717" s="35" t="s">
        <v>940</v>
      </c>
      <c r="I2717" s="39"/>
    </row>
    <row r="2718" spans="2:9">
      <c r="B2718" s="33"/>
      <c r="C2718" s="34"/>
      <c r="D2718" s="33"/>
      <c r="E2718" s="33"/>
      <c r="F2718" s="33"/>
      <c r="G2718" s="33"/>
      <c r="H2718" s="33"/>
      <c r="I2718" s="33"/>
    </row>
    <row r="2719" spans="2:9" ht="15.75">
      <c r="B2719" s="38">
        <v>6</v>
      </c>
      <c r="C2719" s="34"/>
      <c r="D2719" s="38">
        <v>3</v>
      </c>
      <c r="E2719" s="33"/>
      <c r="F2719" s="38">
        <v>3</v>
      </c>
      <c r="G2719" s="33"/>
      <c r="H2719" s="38">
        <v>3</v>
      </c>
      <c r="I2719" s="33"/>
    </row>
    <row r="2720" spans="2:9" ht="15.75">
      <c r="B2720" s="39"/>
      <c r="C2720" s="33"/>
      <c r="D2720" s="33"/>
      <c r="E2720" s="33"/>
      <c r="F2720" s="33"/>
      <c r="G2720" s="33"/>
      <c r="H2720" s="33"/>
      <c r="I2720" s="33"/>
    </row>
    <row r="2721" spans="2:9" ht="15.75">
      <c r="B2721" s="35" t="s">
        <v>20</v>
      </c>
      <c r="C2721" s="39"/>
      <c r="D2721" s="35" t="s">
        <v>21</v>
      </c>
      <c r="E2721" s="33"/>
      <c r="F2721" s="35" t="s">
        <v>22</v>
      </c>
      <c r="G2721" s="39"/>
      <c r="H2721" s="35" t="s">
        <v>23</v>
      </c>
      <c r="I2721" s="39"/>
    </row>
    <row r="2722" spans="2:9" ht="15.75">
      <c r="B2722" s="35" t="s">
        <v>622</v>
      </c>
      <c r="C2722" s="39"/>
      <c r="D2722" s="35" t="s">
        <v>622</v>
      </c>
      <c r="E2722" s="37"/>
      <c r="F2722" s="35" t="s">
        <v>506</v>
      </c>
      <c r="G2722" s="39"/>
      <c r="H2722" s="35" t="s">
        <v>506</v>
      </c>
      <c r="I2722" s="39"/>
    </row>
    <row r="2723" spans="2:9" ht="15.75">
      <c r="B2723" s="35" t="s">
        <v>631</v>
      </c>
      <c r="C2723" s="38">
        <v>4</v>
      </c>
      <c r="D2723" s="35" t="s">
        <v>510</v>
      </c>
      <c r="E2723" s="38">
        <v>4</v>
      </c>
      <c r="F2723" s="35" t="s">
        <v>510</v>
      </c>
      <c r="G2723" s="38">
        <v>4</v>
      </c>
      <c r="H2723" s="35" t="s">
        <v>510</v>
      </c>
      <c r="I2723" s="38">
        <v>6</v>
      </c>
    </row>
    <row r="2724" spans="2:9" ht="15.75">
      <c r="B2724" s="35" t="s">
        <v>1168</v>
      </c>
      <c r="C2724" s="39"/>
      <c r="D2724" s="35" t="s">
        <v>1106</v>
      </c>
      <c r="E2724" s="37"/>
      <c r="F2724" s="35" t="s">
        <v>1107</v>
      </c>
      <c r="G2724" s="39"/>
      <c r="H2724" s="35" t="s">
        <v>1107</v>
      </c>
      <c r="I2724" s="39"/>
    </row>
    <row r="2725" spans="2:9" ht="15.75">
      <c r="B2725" s="35" t="s">
        <v>940</v>
      </c>
      <c r="C2725" s="39"/>
      <c r="D2725" s="35" t="s">
        <v>940</v>
      </c>
      <c r="E2725" s="37"/>
      <c r="F2725" s="35" t="s">
        <v>940</v>
      </c>
      <c r="G2725" s="39"/>
      <c r="H2725" s="35" t="s">
        <v>940</v>
      </c>
      <c r="I2725" s="39"/>
    </row>
    <row r="2726" spans="2:9">
      <c r="B2726" s="33"/>
      <c r="C2726" s="33"/>
      <c r="D2726" s="33"/>
      <c r="E2726" s="33"/>
      <c r="F2726" s="33"/>
      <c r="G2726" s="33"/>
      <c r="H2726" s="33"/>
      <c r="I2726" s="33"/>
    </row>
    <row r="2727" spans="2:9" ht="15.75">
      <c r="B2727" s="38">
        <v>6</v>
      </c>
      <c r="C2727" s="33"/>
      <c r="D2727" s="38">
        <v>3</v>
      </c>
      <c r="E2727" s="33"/>
      <c r="F2727" s="38">
        <v>3</v>
      </c>
      <c r="G2727" s="33"/>
      <c r="H2727" s="38">
        <v>3</v>
      </c>
      <c r="I2727" s="33"/>
    </row>
    <row r="2728" spans="2:9" ht="15.75">
      <c r="B2728" s="39"/>
      <c r="C2728" s="33"/>
      <c r="D2728" s="33"/>
      <c r="E2728" s="33"/>
      <c r="F2728" s="33"/>
      <c r="G2728" s="33"/>
      <c r="H2728" s="33"/>
      <c r="I2728" s="33"/>
    </row>
    <row r="2729" spans="2:9" ht="15.75">
      <c r="B2729" s="35" t="s">
        <v>6</v>
      </c>
      <c r="C2729" s="39"/>
      <c r="D2729" s="35" t="s">
        <v>923</v>
      </c>
      <c r="E2729" s="33"/>
      <c r="F2729" s="35" t="s">
        <v>923</v>
      </c>
      <c r="G2729" s="39"/>
      <c r="H2729" s="35" t="s">
        <v>923</v>
      </c>
    </row>
    <row r="2730" spans="2:9" ht="15.75">
      <c r="B2730" s="35" t="s">
        <v>594</v>
      </c>
      <c r="C2730" s="39"/>
      <c r="D2730" s="35" t="s">
        <v>923</v>
      </c>
      <c r="E2730" s="37"/>
      <c r="F2730" s="35" t="s">
        <v>923</v>
      </c>
      <c r="G2730" s="39"/>
      <c r="H2730" s="35" t="s">
        <v>923</v>
      </c>
    </row>
    <row r="2731" spans="2:9" ht="15.75">
      <c r="B2731" s="35" t="s">
        <v>604</v>
      </c>
      <c r="C2731" s="38" t="s">
        <v>923</v>
      </c>
      <c r="D2731" s="35" t="s">
        <v>923</v>
      </c>
      <c r="E2731" s="38" t="s">
        <v>923</v>
      </c>
      <c r="F2731" s="35" t="s">
        <v>923</v>
      </c>
      <c r="G2731" s="38" t="s">
        <v>923</v>
      </c>
      <c r="H2731" s="35" t="s">
        <v>923</v>
      </c>
    </row>
    <row r="2732" spans="2:9" ht="15.75">
      <c r="B2732" s="35" t="s">
        <v>1169</v>
      </c>
      <c r="C2732" s="39"/>
      <c r="D2732" s="35" t="s">
        <v>923</v>
      </c>
      <c r="E2732" s="37"/>
      <c r="F2732" s="35" t="s">
        <v>923</v>
      </c>
      <c r="G2732" s="39"/>
      <c r="H2732" s="35" t="s">
        <v>923</v>
      </c>
    </row>
    <row r="2733" spans="2:9" ht="15.75">
      <c r="B2733" s="35" t="s">
        <v>926</v>
      </c>
      <c r="C2733" s="39"/>
      <c r="D2733" s="35" t="s">
        <v>923</v>
      </c>
      <c r="E2733" s="37"/>
      <c r="F2733" s="35" t="s">
        <v>923</v>
      </c>
      <c r="G2733" s="39"/>
      <c r="H2733" s="35" t="s">
        <v>923</v>
      </c>
    </row>
    <row r="2735" spans="2:9">
      <c r="B2735" s="43" t="s">
        <v>100</v>
      </c>
      <c r="D2735" s="44" t="s">
        <v>1170</v>
      </c>
    </row>
    <row r="2736" spans="2:9">
      <c r="B2736" s="45"/>
    </row>
    <row r="2737" spans="2:9">
      <c r="B2737" s="46" t="s">
        <v>101</v>
      </c>
      <c r="D2737" s="47" t="s">
        <v>1171</v>
      </c>
    </row>
    <row r="2739" spans="2:9">
      <c r="B2739" s="42" t="s">
        <v>873</v>
      </c>
    </row>
    <row r="2741" spans="2:9" ht="15.75">
      <c r="B2741" s="35" t="s">
        <v>5</v>
      </c>
      <c r="C2741" s="54"/>
      <c r="D2741" s="35" t="s">
        <v>17</v>
      </c>
      <c r="E2741" s="33"/>
      <c r="F2741" s="35" t="s">
        <v>18</v>
      </c>
      <c r="G2741" s="39"/>
      <c r="H2741" s="35" t="s">
        <v>19</v>
      </c>
      <c r="I2741" s="39"/>
    </row>
    <row r="2742" spans="2:9" ht="15.75">
      <c r="B2742" s="35" t="s">
        <v>452</v>
      </c>
      <c r="C2742" s="54"/>
      <c r="D2742" s="35" t="s">
        <v>753</v>
      </c>
      <c r="E2742" s="36"/>
      <c r="F2742" s="35" t="s">
        <v>713</v>
      </c>
      <c r="G2742" s="39"/>
      <c r="H2742" s="35" t="s">
        <v>623</v>
      </c>
      <c r="I2742" s="39"/>
    </row>
    <row r="2743" spans="2:9" ht="15.75">
      <c r="B2743" s="35" t="s">
        <v>575</v>
      </c>
      <c r="C2743" s="40">
        <v>4</v>
      </c>
      <c r="D2743" s="35" t="s">
        <v>657</v>
      </c>
      <c r="E2743" s="40">
        <v>4</v>
      </c>
      <c r="F2743" s="35" t="s">
        <v>632</v>
      </c>
      <c r="G2743" s="38">
        <v>4</v>
      </c>
      <c r="H2743" s="35" t="s">
        <v>632</v>
      </c>
      <c r="I2743" s="38">
        <v>6</v>
      </c>
    </row>
    <row r="2744" spans="2:9" ht="15.75">
      <c r="B2744" s="35" t="s">
        <v>1172</v>
      </c>
      <c r="C2744" s="54"/>
      <c r="D2744" s="35" t="s">
        <v>1173</v>
      </c>
      <c r="E2744" s="36"/>
      <c r="F2744" s="35" t="s">
        <v>1174</v>
      </c>
      <c r="G2744" s="39"/>
      <c r="H2744" s="35" t="s">
        <v>1174</v>
      </c>
      <c r="I2744" s="38"/>
    </row>
    <row r="2745" spans="2:9" ht="15.75">
      <c r="B2745" s="53" t="s">
        <v>927</v>
      </c>
      <c r="C2745" s="54"/>
      <c r="D2745" s="35" t="s">
        <v>940</v>
      </c>
      <c r="E2745" s="36"/>
      <c r="F2745" s="35" t="s">
        <v>940</v>
      </c>
      <c r="G2745" s="39"/>
      <c r="H2745" s="35" t="s">
        <v>940</v>
      </c>
      <c r="I2745" s="39"/>
    </row>
    <row r="2746" spans="2:9">
      <c r="B2746" s="33"/>
      <c r="C2746" s="34"/>
      <c r="D2746" s="33"/>
      <c r="E2746" s="33"/>
      <c r="F2746" s="33"/>
      <c r="G2746" s="33"/>
      <c r="H2746" s="33"/>
      <c r="I2746" s="33"/>
    </row>
    <row r="2747" spans="2:9" ht="15.75">
      <c r="B2747" s="38">
        <v>6</v>
      </c>
      <c r="C2747" s="34"/>
      <c r="D2747" s="38">
        <v>3</v>
      </c>
      <c r="E2747" s="33"/>
      <c r="F2747" s="38">
        <v>3</v>
      </c>
      <c r="G2747" s="33"/>
      <c r="H2747" s="38">
        <v>3</v>
      </c>
      <c r="I2747" s="33"/>
    </row>
    <row r="2748" spans="2:9" ht="15.75">
      <c r="B2748" s="39"/>
      <c r="C2748" s="33"/>
      <c r="D2748" s="33"/>
      <c r="E2748" s="33"/>
      <c r="F2748" s="33"/>
      <c r="G2748" s="33"/>
      <c r="H2748" s="33"/>
      <c r="I2748" s="33"/>
    </row>
    <row r="2749" spans="2:9" ht="15.75">
      <c r="B2749" s="35" t="s">
        <v>20</v>
      </c>
      <c r="C2749" s="39"/>
      <c r="D2749" s="35" t="s">
        <v>22</v>
      </c>
      <c r="E2749" s="33"/>
      <c r="F2749" s="35" t="s">
        <v>22</v>
      </c>
      <c r="G2749" s="39"/>
      <c r="H2749" s="35" t="s">
        <v>23</v>
      </c>
      <c r="I2749" s="39"/>
    </row>
    <row r="2750" spans="2:9" ht="15.75">
      <c r="B2750" s="35" t="s">
        <v>623</v>
      </c>
      <c r="C2750" s="39"/>
      <c r="D2750" s="35" t="s">
        <v>623</v>
      </c>
      <c r="E2750" s="37"/>
      <c r="F2750" s="35" t="s">
        <v>507</v>
      </c>
      <c r="G2750" s="39"/>
      <c r="H2750" s="35" t="s">
        <v>507</v>
      </c>
      <c r="I2750" s="39"/>
    </row>
    <row r="2751" spans="2:9" ht="15.75">
      <c r="B2751" s="35" t="s">
        <v>632</v>
      </c>
      <c r="C2751" s="38">
        <v>4</v>
      </c>
      <c r="D2751" s="35" t="s">
        <v>511</v>
      </c>
      <c r="E2751" s="38">
        <v>4</v>
      </c>
      <c r="F2751" s="35" t="s">
        <v>511</v>
      </c>
      <c r="G2751" s="38">
        <v>4</v>
      </c>
      <c r="H2751" s="35" t="s">
        <v>511</v>
      </c>
      <c r="I2751" s="38">
        <v>6</v>
      </c>
    </row>
    <row r="2752" spans="2:9" ht="15.75">
      <c r="B2752" s="35" t="s">
        <v>1174</v>
      </c>
      <c r="C2752" s="39"/>
      <c r="D2752" s="35" t="s">
        <v>1113</v>
      </c>
      <c r="E2752" s="37"/>
      <c r="F2752" s="35" t="s">
        <v>1114</v>
      </c>
      <c r="G2752" s="39"/>
      <c r="H2752" s="35" t="s">
        <v>1114</v>
      </c>
      <c r="I2752" s="39"/>
    </row>
    <row r="2753" spans="2:9" ht="15.75">
      <c r="B2753" s="35" t="s">
        <v>940</v>
      </c>
      <c r="C2753" s="39"/>
      <c r="D2753" s="35" t="s">
        <v>940</v>
      </c>
      <c r="E2753" s="37"/>
      <c r="F2753" s="35" t="s">
        <v>940</v>
      </c>
      <c r="G2753" s="39"/>
      <c r="H2753" s="35" t="s">
        <v>940</v>
      </c>
      <c r="I2753" s="39"/>
    </row>
    <row r="2754" spans="2:9">
      <c r="B2754" s="33"/>
      <c r="C2754" s="33"/>
      <c r="D2754" s="33"/>
      <c r="E2754" s="33"/>
      <c r="F2754" s="33"/>
      <c r="G2754" s="33"/>
      <c r="H2754" s="33"/>
      <c r="I2754" s="33"/>
    </row>
    <row r="2755" spans="2:9" ht="15.75">
      <c r="B2755" s="38">
        <v>6</v>
      </c>
      <c r="C2755" s="33"/>
      <c r="D2755" s="38">
        <v>3</v>
      </c>
      <c r="E2755" s="33"/>
      <c r="F2755" s="38">
        <v>3</v>
      </c>
      <c r="G2755" s="33"/>
      <c r="H2755" s="38">
        <v>3</v>
      </c>
      <c r="I2755" s="33"/>
    </row>
    <row r="2756" spans="2:9" ht="15.75">
      <c r="B2756" s="39"/>
      <c r="C2756" s="33"/>
      <c r="D2756" s="33"/>
      <c r="E2756" s="33"/>
      <c r="F2756" s="33"/>
      <c r="G2756" s="33"/>
      <c r="H2756" s="33"/>
      <c r="I2756" s="33"/>
    </row>
    <row r="2757" spans="2:9" ht="15.75">
      <c r="B2757" s="35" t="s">
        <v>24</v>
      </c>
      <c r="C2757" s="39"/>
      <c r="D2757" s="35" t="s">
        <v>6</v>
      </c>
      <c r="E2757" s="33"/>
      <c r="F2757" s="35" t="s">
        <v>923</v>
      </c>
      <c r="G2757" s="39"/>
      <c r="H2757" s="35" t="s">
        <v>923</v>
      </c>
    </row>
    <row r="2758" spans="2:9" ht="15.75">
      <c r="B2758" s="35" t="s">
        <v>521</v>
      </c>
      <c r="C2758" s="39"/>
      <c r="D2758" s="35" t="s">
        <v>595</v>
      </c>
      <c r="E2758" s="37"/>
      <c r="F2758" s="35" t="s">
        <v>923</v>
      </c>
      <c r="G2758" s="39"/>
      <c r="H2758" s="35" t="s">
        <v>923</v>
      </c>
    </row>
    <row r="2759" spans="2:9" ht="15.75">
      <c r="B2759" s="35" t="s">
        <v>511</v>
      </c>
      <c r="C2759" s="38">
        <v>4</v>
      </c>
      <c r="D2759" s="35" t="s">
        <v>605</v>
      </c>
      <c r="E2759" s="38" t="s">
        <v>923</v>
      </c>
      <c r="F2759" s="35" t="s">
        <v>923</v>
      </c>
      <c r="G2759" s="38" t="s">
        <v>923</v>
      </c>
      <c r="H2759" s="35" t="s">
        <v>923</v>
      </c>
    </row>
    <row r="2760" spans="2:9" ht="15.75">
      <c r="B2760" s="35" t="s">
        <v>1114</v>
      </c>
      <c r="C2760" s="39"/>
      <c r="D2760" s="35" t="s">
        <v>1175</v>
      </c>
      <c r="E2760" s="37"/>
      <c r="F2760" s="35" t="s">
        <v>923</v>
      </c>
      <c r="G2760" s="39"/>
      <c r="H2760" s="35" t="s">
        <v>923</v>
      </c>
    </row>
    <row r="2761" spans="2:9" ht="15.75">
      <c r="B2761" s="35" t="s">
        <v>940</v>
      </c>
      <c r="C2761" s="39"/>
      <c r="D2761" s="35" t="s">
        <v>926</v>
      </c>
      <c r="E2761" s="37"/>
      <c r="F2761" s="35" t="s">
        <v>923</v>
      </c>
      <c r="G2761" s="39"/>
      <c r="H2761" s="35" t="s">
        <v>923</v>
      </c>
    </row>
    <row r="2763" spans="2:9">
      <c r="B2763" s="43" t="s">
        <v>100</v>
      </c>
      <c r="D2763" s="44" t="s">
        <v>1176</v>
      </c>
    </row>
    <row r="2764" spans="2:9">
      <c r="B2764" s="45"/>
    </row>
    <row r="2765" spans="2:9">
      <c r="B2765" s="46" t="s">
        <v>101</v>
      </c>
      <c r="D2765" s="47" t="s">
        <v>1177</v>
      </c>
    </row>
    <row r="2766" spans="2:9">
      <c r="B2766" s="50"/>
      <c r="C2766" s="49"/>
      <c r="D2766" s="49"/>
    </row>
    <row r="2767" spans="2:9">
      <c r="B2767" s="42" t="s">
        <v>874</v>
      </c>
    </row>
    <row r="2769" spans="2:9" ht="15.75">
      <c r="B2769" s="35" t="s">
        <v>5</v>
      </c>
      <c r="C2769" s="54"/>
      <c r="D2769" s="35" t="s">
        <v>17</v>
      </c>
      <c r="E2769" s="33"/>
      <c r="F2769" s="35" t="s">
        <v>18</v>
      </c>
      <c r="G2769" s="39"/>
      <c r="H2769" s="35" t="s">
        <v>19</v>
      </c>
      <c r="I2769" s="39"/>
    </row>
    <row r="2770" spans="2:9" ht="15.75">
      <c r="B2770" s="35" t="s">
        <v>453</v>
      </c>
      <c r="C2770" s="54"/>
      <c r="D2770" s="35" t="s">
        <v>754</v>
      </c>
      <c r="E2770" s="36"/>
      <c r="F2770" s="35" t="s">
        <v>714</v>
      </c>
      <c r="G2770" s="39"/>
      <c r="H2770" s="35" t="s">
        <v>624</v>
      </c>
      <c r="I2770" s="39"/>
    </row>
    <row r="2771" spans="2:9" ht="15.75">
      <c r="B2771" s="35" t="s">
        <v>576</v>
      </c>
      <c r="C2771" s="40">
        <v>4</v>
      </c>
      <c r="D2771" s="35" t="s">
        <v>658</v>
      </c>
      <c r="E2771" s="40">
        <v>4</v>
      </c>
      <c r="F2771" s="35" t="s">
        <v>633</v>
      </c>
      <c r="G2771" s="38">
        <v>4</v>
      </c>
      <c r="H2771" s="35" t="s">
        <v>633</v>
      </c>
      <c r="I2771" s="38">
        <v>6</v>
      </c>
    </row>
    <row r="2772" spans="2:9" ht="15.75">
      <c r="B2772" s="35" t="s">
        <v>1178</v>
      </c>
      <c r="C2772" s="54"/>
      <c r="D2772" s="35" t="s">
        <v>1179</v>
      </c>
      <c r="E2772" s="36"/>
      <c r="F2772" s="35" t="s">
        <v>1180</v>
      </c>
      <c r="G2772" s="39"/>
      <c r="H2772" s="35" t="s">
        <v>1180</v>
      </c>
      <c r="I2772" s="38"/>
    </row>
    <row r="2773" spans="2:9" ht="15.75">
      <c r="B2773" s="53" t="s">
        <v>927</v>
      </c>
      <c r="C2773" s="54"/>
      <c r="D2773" s="35" t="s">
        <v>940</v>
      </c>
      <c r="E2773" s="36"/>
      <c r="F2773" s="35" t="s">
        <v>940</v>
      </c>
      <c r="G2773" s="39"/>
      <c r="H2773" s="35" t="s">
        <v>940</v>
      </c>
      <c r="I2773" s="39"/>
    </row>
    <row r="2774" spans="2:9">
      <c r="B2774" s="33"/>
      <c r="C2774" s="34"/>
      <c r="D2774" s="33"/>
      <c r="E2774" s="33"/>
      <c r="F2774" s="33"/>
      <c r="G2774" s="33"/>
      <c r="H2774" s="33"/>
      <c r="I2774" s="33"/>
    </row>
    <row r="2775" spans="2:9" ht="15.75">
      <c r="B2775" s="38">
        <v>6</v>
      </c>
      <c r="C2775" s="34"/>
      <c r="D2775" s="38">
        <v>3</v>
      </c>
      <c r="E2775" s="33"/>
      <c r="F2775" s="38">
        <v>3</v>
      </c>
      <c r="G2775" s="33"/>
      <c r="H2775" s="38">
        <v>3</v>
      </c>
      <c r="I2775" s="33"/>
    </row>
    <row r="2776" spans="2:9" ht="15.75">
      <c r="B2776" s="39"/>
      <c r="C2776" s="33"/>
      <c r="D2776" s="33"/>
      <c r="E2776" s="33"/>
      <c r="F2776" s="33"/>
      <c r="G2776" s="33"/>
      <c r="H2776" s="33"/>
      <c r="I2776" s="33"/>
    </row>
    <row r="2777" spans="2:9" ht="15.75">
      <c r="B2777" s="35" t="s">
        <v>20</v>
      </c>
      <c r="C2777" s="39"/>
      <c r="D2777" s="35" t="s">
        <v>23</v>
      </c>
      <c r="E2777" s="33"/>
      <c r="F2777" s="35" t="s">
        <v>22</v>
      </c>
      <c r="G2777" s="39"/>
      <c r="H2777" s="35" t="s">
        <v>23</v>
      </c>
      <c r="I2777" s="39"/>
    </row>
    <row r="2778" spans="2:9" ht="15.75">
      <c r="B2778" s="35" t="s">
        <v>624</v>
      </c>
      <c r="C2778" s="39"/>
      <c r="D2778" s="35" t="s">
        <v>624</v>
      </c>
      <c r="E2778" s="37"/>
      <c r="F2778" s="35" t="s">
        <v>508</v>
      </c>
      <c r="G2778" s="39"/>
      <c r="H2778" s="35" t="s">
        <v>508</v>
      </c>
      <c r="I2778" s="39"/>
    </row>
    <row r="2779" spans="2:9" ht="15.75">
      <c r="B2779" s="35" t="s">
        <v>633</v>
      </c>
      <c r="C2779" s="38">
        <v>4</v>
      </c>
      <c r="D2779" s="35" t="s">
        <v>512</v>
      </c>
      <c r="E2779" s="38">
        <v>4</v>
      </c>
      <c r="F2779" s="35" t="s">
        <v>512</v>
      </c>
      <c r="G2779" s="38">
        <v>4</v>
      </c>
      <c r="H2779" s="35" t="s">
        <v>512</v>
      </c>
      <c r="I2779" s="38">
        <v>6</v>
      </c>
    </row>
    <row r="2780" spans="2:9" ht="15.75">
      <c r="B2780" s="35" t="s">
        <v>1180</v>
      </c>
      <c r="C2780" s="39"/>
      <c r="D2780" s="35" t="s">
        <v>1120</v>
      </c>
      <c r="E2780" s="37"/>
      <c r="F2780" s="35" t="s">
        <v>1121</v>
      </c>
      <c r="G2780" s="39"/>
      <c r="H2780" s="35" t="s">
        <v>1121</v>
      </c>
      <c r="I2780" s="39"/>
    </row>
    <row r="2781" spans="2:9" ht="15.75">
      <c r="B2781" s="35" t="s">
        <v>940</v>
      </c>
      <c r="C2781" s="39"/>
      <c r="D2781" s="35" t="s">
        <v>940</v>
      </c>
      <c r="E2781" s="37"/>
      <c r="F2781" s="35" t="s">
        <v>940</v>
      </c>
      <c r="G2781" s="39"/>
      <c r="H2781" s="35" t="s">
        <v>940</v>
      </c>
      <c r="I2781" s="39"/>
    </row>
    <row r="2782" spans="2:9">
      <c r="B2782" s="33"/>
      <c r="C2782" s="33"/>
      <c r="D2782" s="33"/>
      <c r="E2782" s="33"/>
      <c r="F2782" s="33"/>
      <c r="G2782" s="33"/>
      <c r="H2782" s="33"/>
      <c r="I2782" s="33"/>
    </row>
    <row r="2783" spans="2:9" ht="15.75">
      <c r="B2783" s="38">
        <v>6</v>
      </c>
      <c r="C2783" s="33"/>
      <c r="D2783" s="38">
        <v>3</v>
      </c>
      <c r="E2783" s="33"/>
      <c r="F2783" s="38">
        <v>3</v>
      </c>
      <c r="G2783" s="33"/>
      <c r="H2783" s="38">
        <v>3</v>
      </c>
      <c r="I2783" s="33"/>
    </row>
    <row r="2784" spans="2:9" ht="15.75">
      <c r="B2784" s="39"/>
      <c r="C2784" s="33"/>
      <c r="D2784" s="33"/>
      <c r="E2784" s="33"/>
      <c r="F2784" s="33"/>
      <c r="G2784" s="33"/>
      <c r="H2784" s="33"/>
      <c r="I2784" s="33"/>
    </row>
    <row r="2785" spans="2:9" ht="15.75">
      <c r="B2785" s="35" t="s">
        <v>24</v>
      </c>
      <c r="C2785" s="39"/>
      <c r="D2785" s="35" t="s">
        <v>25</v>
      </c>
      <c r="E2785" s="33"/>
      <c r="F2785" s="35" t="s">
        <v>6</v>
      </c>
      <c r="G2785" s="39"/>
      <c r="H2785" s="35" t="s">
        <v>923</v>
      </c>
    </row>
    <row r="2786" spans="2:9" ht="15.75">
      <c r="B2786" s="35" t="s">
        <v>522</v>
      </c>
      <c r="C2786" s="39"/>
      <c r="D2786" s="35" t="s">
        <v>508</v>
      </c>
      <c r="E2786" s="37"/>
      <c r="F2786" s="35" t="s">
        <v>596</v>
      </c>
      <c r="G2786" s="39"/>
      <c r="H2786" s="35" t="s">
        <v>923</v>
      </c>
    </row>
    <row r="2787" spans="2:9" ht="15.75">
      <c r="B2787" s="35" t="s">
        <v>512</v>
      </c>
      <c r="C2787" s="38">
        <v>4</v>
      </c>
      <c r="D2787" s="35" t="s">
        <v>512</v>
      </c>
      <c r="E2787" s="38">
        <v>4</v>
      </c>
      <c r="F2787" s="35" t="s">
        <v>606</v>
      </c>
      <c r="G2787" s="38" t="s">
        <v>923</v>
      </c>
      <c r="H2787" s="35" t="s">
        <v>923</v>
      </c>
    </row>
    <row r="2788" spans="2:9" ht="15.75">
      <c r="B2788" s="35" t="s">
        <v>1121</v>
      </c>
      <c r="C2788" s="39"/>
      <c r="D2788" s="35" t="s">
        <v>1121</v>
      </c>
      <c r="E2788" s="37"/>
      <c r="F2788" s="35" t="s">
        <v>1181</v>
      </c>
      <c r="G2788" s="39"/>
      <c r="H2788" s="35" t="s">
        <v>923</v>
      </c>
    </row>
    <row r="2789" spans="2:9" ht="15.75">
      <c r="B2789" s="35" t="s">
        <v>940</v>
      </c>
      <c r="C2789" s="39"/>
      <c r="D2789" s="35" t="s">
        <v>940</v>
      </c>
      <c r="E2789" s="37"/>
      <c r="F2789" s="35" t="s">
        <v>926</v>
      </c>
      <c r="G2789" s="39"/>
      <c r="H2789" s="35" t="s">
        <v>923</v>
      </c>
    </row>
    <row r="2791" spans="2:9">
      <c r="B2791" s="43" t="s">
        <v>100</v>
      </c>
      <c r="D2791" s="44" t="s">
        <v>1182</v>
      </c>
    </row>
    <row r="2792" spans="2:9">
      <c r="B2792" s="45"/>
    </row>
    <row r="2793" spans="2:9">
      <c r="B2793" s="46" t="s">
        <v>101</v>
      </c>
      <c r="D2793" s="47" t="s">
        <v>1183</v>
      </c>
    </row>
    <row r="2794" spans="2:9">
      <c r="B2794" s="50"/>
      <c r="C2794" s="49"/>
      <c r="D2794" s="49"/>
    </row>
    <row r="2795" spans="2:9">
      <c r="B2795" s="42" t="s">
        <v>875</v>
      </c>
    </row>
    <row r="2797" spans="2:9" ht="15.75">
      <c r="B2797" s="35" t="s">
        <v>5</v>
      </c>
      <c r="C2797" s="54"/>
      <c r="D2797" s="35" t="s">
        <v>17</v>
      </c>
      <c r="E2797" s="33"/>
      <c r="F2797" s="35" t="s">
        <v>18</v>
      </c>
      <c r="G2797" s="39"/>
      <c r="H2797" s="35" t="s">
        <v>19</v>
      </c>
      <c r="I2797" s="39"/>
    </row>
    <row r="2798" spans="2:9" ht="15.75">
      <c r="B2798" s="35" t="s">
        <v>454</v>
      </c>
      <c r="C2798" s="54"/>
      <c r="D2798" s="35" t="s">
        <v>755</v>
      </c>
      <c r="E2798" s="36"/>
      <c r="F2798" s="35" t="s">
        <v>715</v>
      </c>
      <c r="G2798" s="39"/>
      <c r="H2798" s="35" t="s">
        <v>625</v>
      </c>
      <c r="I2798" s="39"/>
    </row>
    <row r="2799" spans="2:9" ht="15.75">
      <c r="B2799" s="35" t="s">
        <v>577</v>
      </c>
      <c r="C2799" s="40">
        <v>4</v>
      </c>
      <c r="D2799" s="35" t="s">
        <v>649</v>
      </c>
      <c r="E2799" s="40">
        <v>4</v>
      </c>
      <c r="F2799" s="35" t="s">
        <v>259</v>
      </c>
      <c r="G2799" s="38">
        <v>4</v>
      </c>
      <c r="H2799" s="35" t="s">
        <v>259</v>
      </c>
      <c r="I2799" s="38">
        <v>6</v>
      </c>
    </row>
    <row r="2800" spans="2:9" ht="15.75">
      <c r="B2800" s="35" t="s">
        <v>1184</v>
      </c>
      <c r="C2800" s="54"/>
      <c r="D2800" s="35" t="s">
        <v>1185</v>
      </c>
      <c r="E2800" s="36"/>
      <c r="F2800" s="35" t="s">
        <v>1186</v>
      </c>
      <c r="G2800" s="39"/>
      <c r="H2800" s="35" t="s">
        <v>1186</v>
      </c>
      <c r="I2800" s="38"/>
    </row>
    <row r="2801" spans="2:9" ht="15.75">
      <c r="B2801" s="53" t="s">
        <v>927</v>
      </c>
      <c r="C2801" s="54"/>
      <c r="D2801" s="35" t="s">
        <v>940</v>
      </c>
      <c r="E2801" s="36"/>
      <c r="F2801" s="35" t="s">
        <v>940</v>
      </c>
      <c r="G2801" s="39"/>
      <c r="H2801" s="35" t="s">
        <v>940</v>
      </c>
      <c r="I2801" s="39"/>
    </row>
    <row r="2802" spans="2:9">
      <c r="B2802" s="33"/>
      <c r="C2802" s="34"/>
      <c r="D2802" s="33"/>
      <c r="E2802" s="33"/>
      <c r="F2802" s="33"/>
      <c r="G2802" s="33"/>
      <c r="H2802" s="33"/>
      <c r="I2802" s="33"/>
    </row>
    <row r="2803" spans="2:9" ht="15.75">
      <c r="B2803" s="38">
        <v>6</v>
      </c>
      <c r="C2803" s="34"/>
      <c r="D2803" s="38">
        <v>3</v>
      </c>
      <c r="E2803" s="33"/>
      <c r="F2803" s="38">
        <v>3</v>
      </c>
      <c r="G2803" s="33"/>
      <c r="H2803" s="38">
        <v>3</v>
      </c>
      <c r="I2803" s="33"/>
    </row>
    <row r="2804" spans="2:9" ht="15.75">
      <c r="B2804" s="39"/>
      <c r="C2804" s="33"/>
      <c r="D2804" s="33"/>
      <c r="E2804" s="33"/>
      <c r="F2804" s="33"/>
      <c r="G2804" s="33"/>
      <c r="H2804" s="33"/>
      <c r="I2804" s="33"/>
    </row>
    <row r="2805" spans="2:9" ht="15.75">
      <c r="B2805" s="35" t="s">
        <v>20</v>
      </c>
      <c r="C2805" s="39"/>
      <c r="D2805" s="35" t="s">
        <v>24</v>
      </c>
      <c r="E2805" s="33"/>
      <c r="F2805" s="35" t="s">
        <v>22</v>
      </c>
      <c r="G2805" s="39"/>
      <c r="H2805" s="35" t="s">
        <v>23</v>
      </c>
      <c r="I2805" s="39"/>
    </row>
    <row r="2806" spans="2:9" ht="15.75">
      <c r="B2806" s="35" t="s">
        <v>625</v>
      </c>
      <c r="C2806" s="39"/>
      <c r="D2806" s="35" t="s">
        <v>625</v>
      </c>
      <c r="E2806" s="37"/>
      <c r="F2806" s="35" t="s">
        <v>241</v>
      </c>
      <c r="G2806" s="39"/>
      <c r="H2806" s="35" t="s">
        <v>241</v>
      </c>
      <c r="I2806" s="39"/>
    </row>
    <row r="2807" spans="2:9" ht="15.75">
      <c r="B2807" s="35" t="s">
        <v>259</v>
      </c>
      <c r="C2807" s="38">
        <v>4</v>
      </c>
      <c r="D2807" s="35" t="s">
        <v>249</v>
      </c>
      <c r="E2807" s="38">
        <v>4</v>
      </c>
      <c r="F2807" s="35" t="s">
        <v>249</v>
      </c>
      <c r="G2807" s="38">
        <v>4</v>
      </c>
      <c r="H2807" s="35" t="s">
        <v>249</v>
      </c>
      <c r="I2807" s="38">
        <v>6</v>
      </c>
    </row>
    <row r="2808" spans="2:9" ht="15.75">
      <c r="B2808" s="35" t="s">
        <v>1186</v>
      </c>
      <c r="C2808" s="39"/>
      <c r="D2808" s="35" t="s">
        <v>1127</v>
      </c>
      <c r="E2808" s="37"/>
      <c r="F2808" s="35" t="s">
        <v>1127</v>
      </c>
      <c r="G2808" s="39"/>
      <c r="H2808" s="35" t="s">
        <v>1127</v>
      </c>
      <c r="I2808" s="39"/>
    </row>
    <row r="2809" spans="2:9" ht="15.75">
      <c r="B2809" s="35" t="s">
        <v>940</v>
      </c>
      <c r="C2809" s="39"/>
      <c r="D2809" s="35" t="s">
        <v>940</v>
      </c>
      <c r="E2809" s="37"/>
      <c r="F2809" s="35" t="s">
        <v>940</v>
      </c>
      <c r="G2809" s="39"/>
      <c r="H2809" s="35" t="s">
        <v>940</v>
      </c>
      <c r="I2809" s="39"/>
    </row>
    <row r="2810" spans="2:9">
      <c r="B2810" s="33"/>
      <c r="C2810" s="33"/>
      <c r="D2810" s="33"/>
      <c r="E2810" s="33"/>
      <c r="F2810" s="33"/>
      <c r="G2810" s="33"/>
      <c r="H2810" s="33"/>
      <c r="I2810" s="33"/>
    </row>
    <row r="2811" spans="2:9" ht="15.75">
      <c r="B2811" s="38">
        <v>6</v>
      </c>
      <c r="C2811" s="33"/>
      <c r="D2811" s="38">
        <v>3</v>
      </c>
      <c r="E2811" s="33"/>
      <c r="F2811" s="38">
        <v>3</v>
      </c>
      <c r="G2811" s="33"/>
      <c r="H2811" s="38">
        <v>3</v>
      </c>
      <c r="I2811" s="33"/>
    </row>
    <row r="2812" spans="2:9" ht="15.75">
      <c r="B2812" s="39"/>
      <c r="C2812" s="33"/>
      <c r="D2812" s="33"/>
      <c r="E2812" s="33"/>
      <c r="F2812" s="33"/>
      <c r="G2812" s="33"/>
      <c r="H2812" s="33"/>
      <c r="I2812" s="33"/>
    </row>
    <row r="2813" spans="2:9" ht="15.75">
      <c r="B2813" s="35" t="s">
        <v>24</v>
      </c>
      <c r="C2813" s="39"/>
      <c r="D2813" s="35" t="s">
        <v>25</v>
      </c>
      <c r="E2813" s="33"/>
      <c r="F2813" s="35" t="s">
        <v>26</v>
      </c>
      <c r="G2813" s="39"/>
      <c r="H2813" s="35" t="s">
        <v>6</v>
      </c>
    </row>
    <row r="2814" spans="2:9" ht="15.75">
      <c r="B2814" s="35" t="s">
        <v>523</v>
      </c>
      <c r="C2814" s="39"/>
      <c r="D2814" s="35" t="s">
        <v>241</v>
      </c>
      <c r="E2814" s="37"/>
      <c r="F2814" s="35" t="s">
        <v>517</v>
      </c>
      <c r="G2814" s="39"/>
      <c r="H2814" s="35" t="s">
        <v>597</v>
      </c>
    </row>
    <row r="2815" spans="2:9" ht="15.75">
      <c r="B2815" s="35" t="s">
        <v>249</v>
      </c>
      <c r="C2815" s="38">
        <v>4</v>
      </c>
      <c r="D2815" s="35" t="s">
        <v>249</v>
      </c>
      <c r="E2815" s="38">
        <v>4</v>
      </c>
      <c r="F2815" s="35" t="s">
        <v>249</v>
      </c>
      <c r="G2815" s="38">
        <v>4</v>
      </c>
      <c r="H2815" s="35" t="s">
        <v>607</v>
      </c>
    </row>
    <row r="2816" spans="2:9" ht="15.75">
      <c r="B2816" s="35" t="s">
        <v>1127</v>
      </c>
      <c r="C2816" s="39"/>
      <c r="D2816" s="35" t="s">
        <v>1127</v>
      </c>
      <c r="E2816" s="37"/>
      <c r="F2816" s="35" t="s">
        <v>1127</v>
      </c>
      <c r="G2816" s="39"/>
      <c r="H2816" s="35" t="s">
        <v>1187</v>
      </c>
    </row>
    <row r="2817" spans="2:9" ht="15.75">
      <c r="B2817" s="35" t="s">
        <v>940</v>
      </c>
      <c r="C2817" s="39"/>
      <c r="D2817" s="35" t="s">
        <v>940</v>
      </c>
      <c r="E2817" s="37"/>
      <c r="F2817" s="35" t="s">
        <v>940</v>
      </c>
      <c r="G2817" s="39"/>
      <c r="H2817" s="35" t="s">
        <v>926</v>
      </c>
    </row>
    <row r="2819" spans="2:9">
      <c r="B2819" s="43" t="s">
        <v>100</v>
      </c>
      <c r="D2819" s="44" t="s">
        <v>1188</v>
      </c>
    </row>
    <row r="2820" spans="2:9">
      <c r="B2820" s="45"/>
    </row>
    <row r="2821" spans="2:9">
      <c r="B2821" s="46" t="s">
        <v>101</v>
      </c>
      <c r="D2821" s="47" t="s">
        <v>1189</v>
      </c>
    </row>
    <row r="2823" spans="2:9">
      <c r="B2823" s="55" t="s">
        <v>887</v>
      </c>
    </row>
    <row r="2825" spans="2:9">
      <c r="B2825" s="42" t="s">
        <v>888</v>
      </c>
    </row>
    <row r="2827" spans="2:9" ht="15.75">
      <c r="B2827" s="35" t="s">
        <v>5</v>
      </c>
      <c r="C2827" s="54"/>
      <c r="D2827" s="35" t="s">
        <v>17</v>
      </c>
      <c r="E2827" s="33"/>
      <c r="F2827" s="35" t="s">
        <v>6</v>
      </c>
      <c r="G2827" s="39"/>
      <c r="H2827" s="35" t="s">
        <v>923</v>
      </c>
      <c r="I2827" s="39"/>
    </row>
    <row r="2828" spans="2:9" ht="15.75">
      <c r="B2828" s="35" t="s">
        <v>424</v>
      </c>
      <c r="C2828" s="54"/>
      <c r="D2828" s="35" t="s">
        <v>746</v>
      </c>
      <c r="E2828" s="36"/>
      <c r="F2828" s="35" t="s">
        <v>588</v>
      </c>
      <c r="G2828" s="39"/>
      <c r="H2828" s="35" t="s">
        <v>923</v>
      </c>
      <c r="I2828" s="39"/>
    </row>
    <row r="2829" spans="2:9" ht="15.75">
      <c r="B2829" s="35" t="s">
        <v>568</v>
      </c>
      <c r="C2829" s="40">
        <v>4</v>
      </c>
      <c r="D2829" s="35" t="s">
        <v>650</v>
      </c>
      <c r="E2829" s="40">
        <v>4</v>
      </c>
      <c r="F2829" s="35" t="s">
        <v>598</v>
      </c>
      <c r="G2829" s="38" t="s">
        <v>923</v>
      </c>
      <c r="H2829" s="35" t="s">
        <v>923</v>
      </c>
      <c r="I2829" s="38" t="s">
        <v>923</v>
      </c>
    </row>
    <row r="2830" spans="2:9" ht="15.75">
      <c r="B2830" s="35" t="s">
        <v>1131</v>
      </c>
      <c r="C2830" s="54"/>
      <c r="D2830" s="35" t="s">
        <v>1132</v>
      </c>
      <c r="E2830" s="36"/>
      <c r="F2830" s="35" t="s">
        <v>1133</v>
      </c>
      <c r="G2830" s="39"/>
      <c r="H2830" s="35" t="s">
        <v>923</v>
      </c>
      <c r="I2830" s="38"/>
    </row>
    <row r="2831" spans="2:9" ht="15.75">
      <c r="B2831" s="53" t="s">
        <v>927</v>
      </c>
      <c r="C2831" s="54"/>
      <c r="D2831" s="35" t="s">
        <v>940</v>
      </c>
      <c r="E2831" s="36"/>
      <c r="F2831" s="35" t="s">
        <v>926</v>
      </c>
      <c r="G2831" s="39"/>
      <c r="H2831" s="35" t="s">
        <v>923</v>
      </c>
      <c r="I2831" s="39"/>
    </row>
    <row r="2832" spans="2:9">
      <c r="B2832" s="33"/>
      <c r="C2832" s="34"/>
      <c r="D2832" s="33"/>
      <c r="E2832" s="33"/>
      <c r="F2832" s="33"/>
      <c r="G2832" s="33"/>
      <c r="H2832" s="33"/>
      <c r="I2832" s="33"/>
    </row>
    <row r="2833" spans="2:9">
      <c r="B2833" s="43" t="s">
        <v>100</v>
      </c>
      <c r="D2833" s="44" t="s">
        <v>1134</v>
      </c>
    </row>
    <row r="2834" spans="2:9">
      <c r="B2834" s="45"/>
    </row>
    <row r="2835" spans="2:9">
      <c r="B2835" s="46" t="s">
        <v>101</v>
      </c>
      <c r="D2835" s="47" t="s">
        <v>1135</v>
      </c>
    </row>
    <row r="2837" spans="2:9">
      <c r="B2837" s="42" t="s">
        <v>889</v>
      </c>
    </row>
    <row r="2839" spans="2:9" ht="15.75">
      <c r="B2839" s="35" t="s">
        <v>5</v>
      </c>
      <c r="C2839" s="54"/>
      <c r="D2839" s="35" t="s">
        <v>17</v>
      </c>
      <c r="E2839" s="33"/>
      <c r="F2839" s="35" t="s">
        <v>18</v>
      </c>
      <c r="G2839" s="39"/>
      <c r="H2839" s="35" t="s">
        <v>6</v>
      </c>
      <c r="I2839" s="39"/>
    </row>
    <row r="2840" spans="2:9" ht="15.75">
      <c r="B2840" s="35" t="s">
        <v>446</v>
      </c>
      <c r="C2840" s="54"/>
      <c r="D2840" s="35" t="s">
        <v>747</v>
      </c>
      <c r="E2840" s="36"/>
      <c r="F2840" s="35" t="s">
        <v>707</v>
      </c>
      <c r="G2840" s="39"/>
      <c r="H2840" s="35" t="s">
        <v>589</v>
      </c>
      <c r="I2840" s="39"/>
    </row>
    <row r="2841" spans="2:9" ht="15.75">
      <c r="B2841" s="35" t="s">
        <v>569</v>
      </c>
      <c r="C2841" s="40">
        <v>4</v>
      </c>
      <c r="D2841" s="35" t="s">
        <v>651</v>
      </c>
      <c r="E2841" s="40">
        <v>4</v>
      </c>
      <c r="F2841" s="35" t="s">
        <v>626</v>
      </c>
      <c r="G2841" s="38">
        <v>4</v>
      </c>
      <c r="H2841" s="35" t="s">
        <v>599</v>
      </c>
      <c r="I2841" s="38" t="s">
        <v>923</v>
      </c>
    </row>
    <row r="2842" spans="2:9" ht="15.75">
      <c r="B2842" s="35" t="s">
        <v>1136</v>
      </c>
      <c r="C2842" s="54"/>
      <c r="D2842" s="35" t="s">
        <v>1137</v>
      </c>
      <c r="E2842" s="36"/>
      <c r="F2842" s="35" t="s">
        <v>1138</v>
      </c>
      <c r="G2842" s="39"/>
      <c r="H2842" s="35" t="s">
        <v>1139</v>
      </c>
      <c r="I2842" s="38"/>
    </row>
    <row r="2843" spans="2:9" ht="15.75">
      <c r="B2843" s="53" t="s">
        <v>927</v>
      </c>
      <c r="C2843" s="54"/>
      <c r="D2843" s="35" t="s">
        <v>940</v>
      </c>
      <c r="E2843" s="36"/>
      <c r="F2843" s="35" t="s">
        <v>940</v>
      </c>
      <c r="G2843" s="39"/>
      <c r="H2843" s="35" t="s">
        <v>926</v>
      </c>
      <c r="I2843" s="39"/>
    </row>
    <row r="2844" spans="2:9">
      <c r="B2844" s="33"/>
      <c r="C2844" s="34"/>
      <c r="D2844" s="33"/>
      <c r="E2844" s="33"/>
      <c r="F2844" s="33"/>
      <c r="G2844" s="33"/>
      <c r="H2844" s="33"/>
      <c r="I2844" s="33"/>
    </row>
    <row r="2845" spans="2:9">
      <c r="B2845" s="43" t="s">
        <v>100</v>
      </c>
      <c r="D2845" s="44" t="s">
        <v>1140</v>
      </c>
    </row>
    <row r="2846" spans="2:9">
      <c r="B2846" s="45"/>
    </row>
    <row r="2847" spans="2:9">
      <c r="B2847" s="46" t="s">
        <v>101</v>
      </c>
      <c r="D2847" s="47" t="s">
        <v>1141</v>
      </c>
    </row>
    <row r="2849" spans="2:9">
      <c r="B2849" s="42" t="s">
        <v>890</v>
      </c>
    </row>
    <row r="2851" spans="2:9" ht="15.75">
      <c r="B2851" s="35" t="s">
        <v>5</v>
      </c>
      <c r="C2851" s="54"/>
      <c r="D2851" s="35" t="s">
        <v>17</v>
      </c>
      <c r="E2851" s="33"/>
      <c r="F2851" s="35" t="s">
        <v>18</v>
      </c>
      <c r="G2851" s="39"/>
      <c r="H2851" s="35" t="s">
        <v>19</v>
      </c>
      <c r="I2851" s="39"/>
    </row>
    <row r="2852" spans="2:9" ht="15.75">
      <c r="B2852" s="35" t="s">
        <v>447</v>
      </c>
      <c r="C2852" s="54"/>
      <c r="D2852" s="35" t="s">
        <v>748</v>
      </c>
      <c r="E2852" s="36"/>
      <c r="F2852" s="35" t="s">
        <v>708</v>
      </c>
      <c r="G2852" s="39"/>
      <c r="H2852" s="35" t="s">
        <v>618</v>
      </c>
      <c r="I2852" s="39"/>
    </row>
    <row r="2853" spans="2:9" ht="15.75">
      <c r="B2853" s="35" t="s">
        <v>570</v>
      </c>
      <c r="C2853" s="40">
        <v>4</v>
      </c>
      <c r="D2853" s="35" t="s">
        <v>652</v>
      </c>
      <c r="E2853" s="40">
        <v>4</v>
      </c>
      <c r="F2853" s="35" t="s">
        <v>627</v>
      </c>
      <c r="G2853" s="38">
        <v>4</v>
      </c>
      <c r="H2853" s="35" t="s">
        <v>627</v>
      </c>
      <c r="I2853" s="38">
        <v>6</v>
      </c>
    </row>
    <row r="2854" spans="2:9" ht="15.75">
      <c r="B2854" s="35" t="s">
        <v>1142</v>
      </c>
      <c r="C2854" s="54"/>
      <c r="D2854" s="35" t="s">
        <v>1143</v>
      </c>
      <c r="E2854" s="36"/>
      <c r="F2854" s="35" t="s">
        <v>1144</v>
      </c>
      <c r="G2854" s="39"/>
      <c r="H2854" s="35" t="s">
        <v>1144</v>
      </c>
      <c r="I2854" s="38"/>
    </row>
    <row r="2855" spans="2:9" ht="15.75">
      <c r="B2855" s="53" t="s">
        <v>927</v>
      </c>
      <c r="C2855" s="54"/>
      <c r="D2855" s="35" t="s">
        <v>940</v>
      </c>
      <c r="E2855" s="36"/>
      <c r="F2855" s="35" t="s">
        <v>940</v>
      </c>
      <c r="G2855" s="39"/>
      <c r="H2855" s="35" t="s">
        <v>940</v>
      </c>
      <c r="I2855" s="39"/>
    </row>
    <row r="2856" spans="2:9">
      <c r="B2856" s="33"/>
      <c r="C2856" s="34"/>
      <c r="D2856" s="33"/>
      <c r="E2856" s="33"/>
      <c r="F2856" s="33"/>
      <c r="G2856" s="33"/>
      <c r="H2856" s="33"/>
      <c r="I2856" s="33"/>
    </row>
    <row r="2857" spans="2:9" ht="15.75">
      <c r="B2857" s="38">
        <v>6</v>
      </c>
      <c r="C2857" s="34"/>
      <c r="D2857" s="38">
        <v>3</v>
      </c>
      <c r="E2857" s="33"/>
      <c r="F2857" s="38">
        <v>3</v>
      </c>
      <c r="G2857" s="33"/>
      <c r="H2857" s="38">
        <v>3</v>
      </c>
      <c r="I2857" s="33"/>
    </row>
    <row r="2858" spans="2:9" ht="15.75">
      <c r="B2858" s="39"/>
      <c r="C2858" s="33"/>
      <c r="D2858" s="33"/>
      <c r="E2858" s="33"/>
      <c r="F2858" s="33"/>
      <c r="G2858" s="33"/>
      <c r="H2858" s="33"/>
      <c r="I2858" s="33"/>
    </row>
    <row r="2859" spans="2:9" ht="15.75">
      <c r="B2859" s="35" t="s">
        <v>6</v>
      </c>
      <c r="C2859" s="39"/>
      <c r="D2859" s="35" t="s">
        <v>923</v>
      </c>
      <c r="E2859" s="33"/>
      <c r="F2859" s="35" t="s">
        <v>923</v>
      </c>
      <c r="G2859" s="39"/>
      <c r="H2859" s="35" t="s">
        <v>923</v>
      </c>
      <c r="I2859" s="39"/>
    </row>
    <row r="2860" spans="2:9" ht="15.75">
      <c r="B2860" s="35" t="s">
        <v>590</v>
      </c>
      <c r="C2860" s="39"/>
      <c r="D2860" s="35" t="s">
        <v>923</v>
      </c>
      <c r="E2860" s="37"/>
      <c r="F2860" s="35" t="s">
        <v>923</v>
      </c>
      <c r="G2860" s="39"/>
      <c r="H2860" s="35" t="s">
        <v>923</v>
      </c>
      <c r="I2860" s="39"/>
    </row>
    <row r="2861" spans="2:9" ht="15.75">
      <c r="B2861" s="35" t="s">
        <v>600</v>
      </c>
      <c r="C2861" s="38" t="s">
        <v>923</v>
      </c>
      <c r="D2861" s="35" t="s">
        <v>923</v>
      </c>
      <c r="E2861" s="38" t="s">
        <v>923</v>
      </c>
      <c r="F2861" s="35" t="s">
        <v>923</v>
      </c>
      <c r="G2861" s="38" t="s">
        <v>923</v>
      </c>
      <c r="H2861" s="35" t="s">
        <v>923</v>
      </c>
      <c r="I2861" s="38" t="s">
        <v>923</v>
      </c>
    </row>
    <row r="2862" spans="2:9" ht="15.75">
      <c r="B2862" s="35" t="s">
        <v>1145</v>
      </c>
      <c r="C2862" s="39"/>
      <c r="D2862" s="35" t="s">
        <v>923</v>
      </c>
      <c r="E2862" s="37"/>
      <c r="F2862" s="35" t="s">
        <v>923</v>
      </c>
      <c r="G2862" s="39"/>
      <c r="H2862" s="35" t="s">
        <v>923</v>
      </c>
      <c r="I2862" s="39"/>
    </row>
    <row r="2863" spans="2:9" ht="15.75">
      <c r="B2863" s="35" t="s">
        <v>926</v>
      </c>
      <c r="C2863" s="39"/>
      <c r="D2863" s="35" t="s">
        <v>923</v>
      </c>
      <c r="E2863" s="37"/>
      <c r="F2863" s="35" t="s">
        <v>923</v>
      </c>
      <c r="G2863" s="39"/>
      <c r="H2863" s="35" t="s">
        <v>923</v>
      </c>
      <c r="I2863" s="39"/>
    </row>
    <row r="2865" spans="2:9">
      <c r="B2865" s="43" t="s">
        <v>100</v>
      </c>
      <c r="D2865" s="44" t="s">
        <v>1146</v>
      </c>
    </row>
    <row r="2866" spans="2:9">
      <c r="B2866" s="45"/>
    </row>
    <row r="2867" spans="2:9">
      <c r="B2867" s="46" t="s">
        <v>101</v>
      </c>
      <c r="D2867" s="47" t="s">
        <v>1147</v>
      </c>
    </row>
    <row r="2869" spans="2:9">
      <c r="B2869" s="42" t="s">
        <v>891</v>
      </c>
    </row>
    <row r="2871" spans="2:9" ht="15.75">
      <c r="B2871" s="35" t="s">
        <v>5</v>
      </c>
      <c r="C2871" s="54"/>
      <c r="D2871" s="35" t="s">
        <v>17</v>
      </c>
      <c r="E2871" s="33"/>
      <c r="F2871" s="35" t="s">
        <v>18</v>
      </c>
      <c r="G2871" s="39"/>
      <c r="H2871" s="35" t="s">
        <v>19</v>
      </c>
      <c r="I2871" s="39"/>
    </row>
    <row r="2872" spans="2:9" ht="15.75">
      <c r="B2872" s="35" t="s">
        <v>448</v>
      </c>
      <c r="C2872" s="54"/>
      <c r="D2872" s="35" t="s">
        <v>749</v>
      </c>
      <c r="E2872" s="36"/>
      <c r="F2872" s="35" t="s">
        <v>709</v>
      </c>
      <c r="G2872" s="39"/>
      <c r="H2872" s="35" t="s">
        <v>619</v>
      </c>
      <c r="I2872" s="39"/>
    </row>
    <row r="2873" spans="2:9" ht="15.75">
      <c r="B2873" s="35" t="s">
        <v>571</v>
      </c>
      <c r="C2873" s="40">
        <v>4</v>
      </c>
      <c r="D2873" s="35" t="s">
        <v>653</v>
      </c>
      <c r="E2873" s="40">
        <v>4</v>
      </c>
      <c r="F2873" s="35" t="s">
        <v>628</v>
      </c>
      <c r="G2873" s="38">
        <v>4</v>
      </c>
      <c r="H2873" s="35" t="s">
        <v>628</v>
      </c>
      <c r="I2873" s="38">
        <v>6</v>
      </c>
    </row>
    <row r="2874" spans="2:9" ht="15.75">
      <c r="B2874" s="35" t="s">
        <v>1148</v>
      </c>
      <c r="C2874" s="54"/>
      <c r="D2874" s="35" t="s">
        <v>1149</v>
      </c>
      <c r="E2874" s="36"/>
      <c r="F2874" s="35" t="s">
        <v>1150</v>
      </c>
      <c r="G2874" s="39"/>
      <c r="H2874" s="35" t="s">
        <v>1150</v>
      </c>
      <c r="I2874" s="38"/>
    </row>
    <row r="2875" spans="2:9" ht="15.75">
      <c r="B2875" s="53" t="s">
        <v>927</v>
      </c>
      <c r="C2875" s="54"/>
      <c r="D2875" s="35" t="s">
        <v>940</v>
      </c>
      <c r="E2875" s="36"/>
      <c r="F2875" s="35" t="s">
        <v>940</v>
      </c>
      <c r="G2875" s="39"/>
      <c r="H2875" s="35" t="s">
        <v>940</v>
      </c>
      <c r="I2875" s="39"/>
    </row>
    <row r="2876" spans="2:9">
      <c r="B2876" s="33"/>
      <c r="C2876" s="34"/>
      <c r="D2876" s="33"/>
      <c r="E2876" s="33"/>
      <c r="F2876" s="33"/>
      <c r="G2876" s="33"/>
      <c r="H2876" s="33"/>
      <c r="I2876" s="33"/>
    </row>
    <row r="2877" spans="2:9" ht="15.75">
      <c r="B2877" s="38">
        <v>6</v>
      </c>
      <c r="C2877" s="34"/>
      <c r="D2877" s="38">
        <v>3</v>
      </c>
      <c r="E2877" s="33"/>
      <c r="F2877" s="38">
        <v>3</v>
      </c>
      <c r="G2877" s="33"/>
      <c r="H2877" s="38">
        <v>3</v>
      </c>
      <c r="I2877" s="33"/>
    </row>
    <row r="2878" spans="2:9" ht="15.75">
      <c r="B2878" s="39"/>
      <c r="C2878" s="33"/>
      <c r="D2878" s="33"/>
      <c r="E2878" s="33"/>
      <c r="F2878" s="33"/>
      <c r="G2878" s="33"/>
      <c r="H2878" s="33"/>
      <c r="I2878" s="33"/>
    </row>
    <row r="2879" spans="2:9" ht="15.75">
      <c r="B2879" s="35" t="s">
        <v>20</v>
      </c>
      <c r="C2879" s="39"/>
      <c r="D2879" s="35" t="s">
        <v>6</v>
      </c>
      <c r="E2879" s="33"/>
      <c r="F2879" s="35" t="s">
        <v>923</v>
      </c>
      <c r="G2879" s="39"/>
      <c r="H2879" s="35" t="s">
        <v>923</v>
      </c>
      <c r="I2879" s="39"/>
    </row>
    <row r="2880" spans="2:9" ht="15.75">
      <c r="B2880" s="35" t="s">
        <v>619</v>
      </c>
      <c r="C2880" s="39"/>
      <c r="D2880" s="35" t="s">
        <v>591</v>
      </c>
      <c r="E2880" s="37"/>
      <c r="F2880" s="35" t="s">
        <v>923</v>
      </c>
      <c r="G2880" s="39"/>
      <c r="H2880" s="35" t="s">
        <v>923</v>
      </c>
      <c r="I2880" s="39"/>
    </row>
    <row r="2881" spans="2:9" ht="15.75">
      <c r="B2881" s="35" t="s">
        <v>628</v>
      </c>
      <c r="C2881" s="38">
        <v>4</v>
      </c>
      <c r="D2881" s="35" t="s">
        <v>601</v>
      </c>
      <c r="E2881" s="38" t="s">
        <v>923</v>
      </c>
      <c r="F2881" s="35" t="s">
        <v>923</v>
      </c>
      <c r="G2881" s="38" t="s">
        <v>923</v>
      </c>
      <c r="H2881" s="35" t="s">
        <v>923</v>
      </c>
      <c r="I2881" s="38" t="s">
        <v>923</v>
      </c>
    </row>
    <row r="2882" spans="2:9" ht="15.75">
      <c r="B2882" s="35" t="s">
        <v>1150</v>
      </c>
      <c r="C2882" s="39"/>
      <c r="D2882" s="35" t="s">
        <v>1151</v>
      </c>
      <c r="E2882" s="37"/>
      <c r="F2882" s="35" t="s">
        <v>923</v>
      </c>
      <c r="G2882" s="39"/>
      <c r="H2882" s="35" t="s">
        <v>923</v>
      </c>
      <c r="I2882" s="39"/>
    </row>
    <row r="2883" spans="2:9" ht="15.75">
      <c r="B2883" s="35" t="s">
        <v>940</v>
      </c>
      <c r="C2883" s="39"/>
      <c r="D2883" s="35" t="s">
        <v>926</v>
      </c>
      <c r="E2883" s="37"/>
      <c r="F2883" s="35" t="s">
        <v>923</v>
      </c>
      <c r="G2883" s="39"/>
      <c r="H2883" s="35" t="s">
        <v>923</v>
      </c>
      <c r="I2883" s="39"/>
    </row>
    <row r="2885" spans="2:9">
      <c r="B2885" s="43" t="s">
        <v>100</v>
      </c>
      <c r="D2885" s="44" t="s">
        <v>1152</v>
      </c>
    </row>
    <row r="2886" spans="2:9">
      <c r="B2886" s="45"/>
    </row>
    <row r="2887" spans="2:9">
      <c r="B2887" s="46" t="s">
        <v>101</v>
      </c>
      <c r="D2887" s="47" t="s">
        <v>1153</v>
      </c>
    </row>
    <row r="2889" spans="2:9">
      <c r="B2889" s="42" t="s">
        <v>892</v>
      </c>
    </row>
    <row r="2891" spans="2:9" ht="15.75">
      <c r="B2891" s="35" t="s">
        <v>5</v>
      </c>
      <c r="C2891" s="54"/>
      <c r="D2891" s="35" t="s">
        <v>17</v>
      </c>
      <c r="E2891" s="33"/>
      <c r="F2891" s="35" t="s">
        <v>18</v>
      </c>
      <c r="G2891" s="39"/>
      <c r="H2891" s="35" t="s">
        <v>19</v>
      </c>
      <c r="I2891" s="39"/>
    </row>
    <row r="2892" spans="2:9" ht="15.75">
      <c r="B2892" s="35" t="s">
        <v>449</v>
      </c>
      <c r="C2892" s="54"/>
      <c r="D2892" s="35" t="s">
        <v>750</v>
      </c>
      <c r="E2892" s="36"/>
      <c r="F2892" s="35" t="s">
        <v>710</v>
      </c>
      <c r="G2892" s="39"/>
      <c r="H2892" s="35" t="s">
        <v>620</v>
      </c>
      <c r="I2892" s="39"/>
    </row>
    <row r="2893" spans="2:9" ht="15.75">
      <c r="B2893" s="35" t="s">
        <v>572</v>
      </c>
      <c r="C2893" s="40">
        <v>4</v>
      </c>
      <c r="D2893" s="35" t="s">
        <v>654</v>
      </c>
      <c r="E2893" s="40">
        <v>4</v>
      </c>
      <c r="F2893" s="35" t="s">
        <v>629</v>
      </c>
      <c r="G2893" s="38">
        <v>4</v>
      </c>
      <c r="H2893" s="35" t="s">
        <v>629</v>
      </c>
      <c r="I2893" s="38">
        <v>6</v>
      </c>
    </row>
    <row r="2894" spans="2:9" ht="15.75">
      <c r="B2894" s="35" t="s">
        <v>1154</v>
      </c>
      <c r="C2894" s="54"/>
      <c r="D2894" s="35" t="s">
        <v>1155</v>
      </c>
      <c r="E2894" s="36"/>
      <c r="F2894" s="35" t="s">
        <v>1156</v>
      </c>
      <c r="G2894" s="39"/>
      <c r="H2894" s="35" t="s">
        <v>1156</v>
      </c>
      <c r="I2894" s="38"/>
    </row>
    <row r="2895" spans="2:9" ht="15.75">
      <c r="B2895" s="53" t="s">
        <v>927</v>
      </c>
      <c r="C2895" s="54"/>
      <c r="D2895" s="35" t="s">
        <v>940</v>
      </c>
      <c r="E2895" s="36"/>
      <c r="F2895" s="35" t="s">
        <v>940</v>
      </c>
      <c r="G2895" s="39"/>
      <c r="H2895" s="35" t="s">
        <v>940</v>
      </c>
      <c r="I2895" s="39"/>
    </row>
    <row r="2896" spans="2:9">
      <c r="B2896" s="33"/>
      <c r="C2896" s="34"/>
      <c r="D2896" s="33"/>
      <c r="E2896" s="33"/>
      <c r="F2896" s="33"/>
      <c r="G2896" s="33"/>
      <c r="H2896" s="33"/>
      <c r="I2896" s="33"/>
    </row>
    <row r="2897" spans="2:9" ht="15.75">
      <c r="B2897" s="38">
        <v>6</v>
      </c>
      <c r="C2897" s="34"/>
      <c r="D2897" s="38">
        <v>3</v>
      </c>
      <c r="E2897" s="33"/>
      <c r="F2897" s="38">
        <v>3</v>
      </c>
      <c r="G2897" s="33"/>
      <c r="H2897" s="38">
        <v>3</v>
      </c>
      <c r="I2897" s="33"/>
    </row>
    <row r="2898" spans="2:9" ht="15.75">
      <c r="B2898" s="39"/>
      <c r="C2898" s="33"/>
      <c r="D2898" s="33"/>
      <c r="E2898" s="33"/>
      <c r="F2898" s="33"/>
      <c r="G2898" s="33"/>
      <c r="H2898" s="33"/>
      <c r="I2898" s="33"/>
    </row>
    <row r="2899" spans="2:9" ht="15.75">
      <c r="B2899" s="35" t="s">
        <v>20</v>
      </c>
      <c r="C2899" s="39"/>
      <c r="D2899" s="35" t="s">
        <v>21</v>
      </c>
      <c r="E2899" s="33"/>
      <c r="F2899" s="35" t="s">
        <v>6</v>
      </c>
      <c r="G2899" s="39"/>
      <c r="H2899" s="35" t="s">
        <v>923</v>
      </c>
      <c r="I2899" s="39"/>
    </row>
    <row r="2900" spans="2:9" ht="15.75">
      <c r="B2900" s="35" t="s">
        <v>620</v>
      </c>
      <c r="C2900" s="39"/>
      <c r="D2900" s="35" t="s">
        <v>620</v>
      </c>
      <c r="E2900" s="37"/>
      <c r="F2900" s="35" t="s">
        <v>592</v>
      </c>
      <c r="G2900" s="39"/>
      <c r="H2900" s="35" t="s">
        <v>923</v>
      </c>
      <c r="I2900" s="39"/>
    </row>
    <row r="2901" spans="2:9" ht="15.75">
      <c r="B2901" s="35" t="s">
        <v>629</v>
      </c>
      <c r="C2901" s="38">
        <v>4</v>
      </c>
      <c r="D2901" s="35" t="s">
        <v>648</v>
      </c>
      <c r="E2901" s="38">
        <v>4</v>
      </c>
      <c r="F2901" s="35" t="s">
        <v>602</v>
      </c>
      <c r="G2901" s="38" t="s">
        <v>923</v>
      </c>
      <c r="H2901" s="35" t="s">
        <v>923</v>
      </c>
      <c r="I2901" s="38" t="s">
        <v>923</v>
      </c>
    </row>
    <row r="2902" spans="2:9" ht="15.75">
      <c r="B2902" s="35" t="s">
        <v>1156</v>
      </c>
      <c r="C2902" s="39"/>
      <c r="D2902" s="35" t="s">
        <v>1092</v>
      </c>
      <c r="E2902" s="37"/>
      <c r="F2902" s="35" t="s">
        <v>1157</v>
      </c>
      <c r="G2902" s="39"/>
      <c r="H2902" s="35" t="s">
        <v>923</v>
      </c>
      <c r="I2902" s="39"/>
    </row>
    <row r="2903" spans="2:9" ht="15.75">
      <c r="B2903" s="35" t="s">
        <v>940</v>
      </c>
      <c r="C2903" s="39"/>
      <c r="D2903" s="35" t="s">
        <v>940</v>
      </c>
      <c r="E2903" s="37"/>
      <c r="F2903" s="35" t="s">
        <v>926</v>
      </c>
      <c r="G2903" s="39"/>
      <c r="H2903" s="35" t="s">
        <v>923</v>
      </c>
      <c r="I2903" s="39"/>
    </row>
    <row r="2905" spans="2:9">
      <c r="B2905" s="43" t="s">
        <v>100</v>
      </c>
      <c r="D2905" s="44" t="s">
        <v>1158</v>
      </c>
    </row>
    <row r="2906" spans="2:9">
      <c r="B2906" s="45"/>
    </row>
    <row r="2907" spans="2:9">
      <c r="B2907" s="46" t="s">
        <v>101</v>
      </c>
      <c r="D2907" s="47" t="s">
        <v>1159</v>
      </c>
    </row>
    <row r="2909" spans="2:9">
      <c r="B2909" s="42" t="s">
        <v>893</v>
      </c>
    </row>
    <row r="2911" spans="2:9" ht="15.75">
      <c r="B2911" s="35" t="s">
        <v>5</v>
      </c>
      <c r="C2911" s="54"/>
      <c r="D2911" s="35" t="s">
        <v>17</v>
      </c>
      <c r="E2911" s="33"/>
      <c r="F2911" s="35" t="s">
        <v>18</v>
      </c>
      <c r="G2911" s="39"/>
      <c r="H2911" s="35" t="s">
        <v>19</v>
      </c>
      <c r="I2911" s="39"/>
    </row>
    <row r="2912" spans="2:9" ht="15.75">
      <c r="B2912" s="35" t="s">
        <v>450</v>
      </c>
      <c r="C2912" s="54"/>
      <c r="D2912" s="35" t="s">
        <v>751</v>
      </c>
      <c r="E2912" s="36"/>
      <c r="F2912" s="35" t="s">
        <v>711</v>
      </c>
      <c r="G2912" s="39"/>
      <c r="H2912" s="35" t="s">
        <v>621</v>
      </c>
      <c r="I2912" s="39"/>
    </row>
    <row r="2913" spans="2:9" ht="15.75">
      <c r="B2913" s="35" t="s">
        <v>573</v>
      </c>
      <c r="C2913" s="40">
        <v>4</v>
      </c>
      <c r="D2913" s="35" t="s">
        <v>655</v>
      </c>
      <c r="E2913" s="40">
        <v>4</v>
      </c>
      <c r="F2913" s="35" t="s">
        <v>630</v>
      </c>
      <c r="G2913" s="38">
        <v>4</v>
      </c>
      <c r="H2913" s="35" t="s">
        <v>630</v>
      </c>
      <c r="I2913" s="38">
        <v>6</v>
      </c>
    </row>
    <row r="2914" spans="2:9" ht="15.75">
      <c r="B2914" s="35" t="s">
        <v>1160</v>
      </c>
      <c r="C2914" s="54"/>
      <c r="D2914" s="35" t="s">
        <v>1161</v>
      </c>
      <c r="E2914" s="36"/>
      <c r="F2914" s="35" t="s">
        <v>1162</v>
      </c>
      <c r="G2914" s="39"/>
      <c r="H2914" s="35" t="s">
        <v>1162</v>
      </c>
      <c r="I2914" s="38"/>
    </row>
    <row r="2915" spans="2:9" ht="15.75">
      <c r="B2915" s="53" t="s">
        <v>927</v>
      </c>
      <c r="C2915" s="54"/>
      <c r="D2915" s="35" t="s">
        <v>940</v>
      </c>
      <c r="E2915" s="36"/>
      <c r="F2915" s="35" t="s">
        <v>940</v>
      </c>
      <c r="G2915" s="39"/>
      <c r="H2915" s="35" t="s">
        <v>940</v>
      </c>
      <c r="I2915" s="39"/>
    </row>
    <row r="2916" spans="2:9">
      <c r="B2916" s="33"/>
      <c r="C2916" s="34"/>
      <c r="D2916" s="33"/>
      <c r="E2916" s="33"/>
      <c r="F2916" s="33"/>
      <c r="G2916" s="33"/>
      <c r="H2916" s="33"/>
      <c r="I2916" s="33"/>
    </row>
    <row r="2917" spans="2:9" ht="15.75">
      <c r="B2917" s="38">
        <v>6</v>
      </c>
      <c r="C2917" s="34"/>
      <c r="D2917" s="38">
        <v>3</v>
      </c>
      <c r="E2917" s="33"/>
      <c r="F2917" s="38">
        <v>3</v>
      </c>
      <c r="G2917" s="33"/>
      <c r="H2917" s="38">
        <v>3</v>
      </c>
      <c r="I2917" s="33"/>
    </row>
    <row r="2918" spans="2:9" ht="15.75">
      <c r="B2918" s="39"/>
      <c r="C2918" s="33"/>
      <c r="D2918" s="33"/>
      <c r="E2918" s="33"/>
      <c r="F2918" s="33"/>
      <c r="G2918" s="33"/>
      <c r="H2918" s="33"/>
      <c r="I2918" s="33"/>
    </row>
    <row r="2919" spans="2:9" ht="15.75">
      <c r="B2919" s="35" t="s">
        <v>20</v>
      </c>
      <c r="C2919" s="39"/>
      <c r="D2919" s="35" t="s">
        <v>21</v>
      </c>
      <c r="E2919" s="33"/>
      <c r="F2919" s="35" t="s">
        <v>22</v>
      </c>
      <c r="G2919" s="39"/>
      <c r="H2919" s="35" t="s">
        <v>6</v>
      </c>
      <c r="I2919" s="39"/>
    </row>
    <row r="2920" spans="2:9" ht="15.75">
      <c r="B2920" s="35" t="s">
        <v>621</v>
      </c>
      <c r="C2920" s="39"/>
      <c r="D2920" s="35" t="s">
        <v>621</v>
      </c>
      <c r="E2920" s="37"/>
      <c r="F2920" s="35" t="s">
        <v>505</v>
      </c>
      <c r="G2920" s="39"/>
      <c r="H2920" s="35" t="s">
        <v>593</v>
      </c>
      <c r="I2920" s="39"/>
    </row>
    <row r="2921" spans="2:9" ht="15.75">
      <c r="B2921" s="35" t="s">
        <v>630</v>
      </c>
      <c r="C2921" s="38">
        <v>4</v>
      </c>
      <c r="D2921" s="35" t="s">
        <v>509</v>
      </c>
      <c r="E2921" s="38">
        <v>4</v>
      </c>
      <c r="F2921" s="35" t="s">
        <v>509</v>
      </c>
      <c r="G2921" s="38">
        <v>4</v>
      </c>
      <c r="H2921" s="35" t="s">
        <v>603</v>
      </c>
      <c r="I2921" s="38" t="s">
        <v>923</v>
      </c>
    </row>
    <row r="2922" spans="2:9" ht="15.75">
      <c r="B2922" s="35" t="s">
        <v>1162</v>
      </c>
      <c r="C2922" s="39"/>
      <c r="D2922" s="35" t="s">
        <v>1099</v>
      </c>
      <c r="E2922" s="37"/>
      <c r="F2922" s="35" t="s">
        <v>1100</v>
      </c>
      <c r="G2922" s="39"/>
      <c r="H2922" s="35" t="s">
        <v>1163</v>
      </c>
      <c r="I2922" s="39"/>
    </row>
    <row r="2923" spans="2:9" ht="15.75">
      <c r="B2923" s="35" t="s">
        <v>940</v>
      </c>
      <c r="C2923" s="39"/>
      <c r="D2923" s="35" t="s">
        <v>940</v>
      </c>
      <c r="E2923" s="37"/>
      <c r="F2923" s="35" t="s">
        <v>940</v>
      </c>
      <c r="G2923" s="39"/>
      <c r="H2923" s="35" t="s">
        <v>926</v>
      </c>
      <c r="I2923" s="39"/>
    </row>
    <row r="2925" spans="2:9">
      <c r="B2925" s="43" t="s">
        <v>100</v>
      </c>
      <c r="D2925" s="44" t="s">
        <v>1164</v>
      </c>
    </row>
    <row r="2926" spans="2:9">
      <c r="B2926" s="45"/>
    </row>
    <row r="2927" spans="2:9">
      <c r="B2927" s="46" t="s">
        <v>101</v>
      </c>
      <c r="D2927" s="47" t="s">
        <v>1165</v>
      </c>
    </row>
    <row r="2929" spans="2:9">
      <c r="B2929" s="42" t="s">
        <v>894</v>
      </c>
    </row>
    <row r="2931" spans="2:9" ht="15.75">
      <c r="B2931" s="35" t="s">
        <v>5</v>
      </c>
      <c r="C2931" s="54"/>
      <c r="D2931" s="35" t="s">
        <v>17</v>
      </c>
      <c r="E2931" s="33"/>
      <c r="F2931" s="35" t="s">
        <v>18</v>
      </c>
      <c r="G2931" s="39"/>
      <c r="H2931" s="35" t="s">
        <v>19</v>
      </c>
      <c r="I2931" s="39"/>
    </row>
    <row r="2932" spans="2:9" ht="15.75">
      <c r="B2932" s="35" t="s">
        <v>451</v>
      </c>
      <c r="C2932" s="54"/>
      <c r="D2932" s="35" t="s">
        <v>752</v>
      </c>
      <c r="E2932" s="36"/>
      <c r="F2932" s="35" t="s">
        <v>712</v>
      </c>
      <c r="G2932" s="39"/>
      <c r="H2932" s="35" t="s">
        <v>622</v>
      </c>
      <c r="I2932" s="39"/>
    </row>
    <row r="2933" spans="2:9" ht="15.75">
      <c r="B2933" s="35" t="s">
        <v>574</v>
      </c>
      <c r="C2933" s="40">
        <v>4</v>
      </c>
      <c r="D2933" s="35" t="s">
        <v>656</v>
      </c>
      <c r="E2933" s="40">
        <v>4</v>
      </c>
      <c r="F2933" s="35" t="s">
        <v>631</v>
      </c>
      <c r="G2933" s="38">
        <v>4</v>
      </c>
      <c r="H2933" s="35" t="s">
        <v>631</v>
      </c>
      <c r="I2933" s="38">
        <v>6</v>
      </c>
    </row>
    <row r="2934" spans="2:9" ht="15.75">
      <c r="B2934" s="35" t="s">
        <v>1166</v>
      </c>
      <c r="C2934" s="54"/>
      <c r="D2934" s="35" t="s">
        <v>1167</v>
      </c>
      <c r="E2934" s="36"/>
      <c r="F2934" s="35" t="s">
        <v>1168</v>
      </c>
      <c r="G2934" s="39"/>
      <c r="H2934" s="35" t="s">
        <v>1168</v>
      </c>
      <c r="I2934" s="38"/>
    </row>
    <row r="2935" spans="2:9" ht="15.75">
      <c r="B2935" s="53" t="s">
        <v>927</v>
      </c>
      <c r="C2935" s="54"/>
      <c r="D2935" s="35" t="s">
        <v>940</v>
      </c>
      <c r="E2935" s="36"/>
      <c r="F2935" s="35" t="s">
        <v>940</v>
      </c>
      <c r="G2935" s="39"/>
      <c r="H2935" s="35" t="s">
        <v>940</v>
      </c>
      <c r="I2935" s="39"/>
    </row>
    <row r="2936" spans="2:9">
      <c r="B2936" s="33"/>
      <c r="C2936" s="34"/>
      <c r="D2936" s="33"/>
      <c r="E2936" s="33"/>
      <c r="F2936" s="33"/>
      <c r="G2936" s="33"/>
      <c r="H2936" s="33"/>
      <c r="I2936" s="33"/>
    </row>
    <row r="2937" spans="2:9" ht="15.75">
      <c r="B2937" s="38">
        <v>6</v>
      </c>
      <c r="C2937" s="34"/>
      <c r="D2937" s="38">
        <v>3</v>
      </c>
      <c r="E2937" s="33"/>
      <c r="F2937" s="38">
        <v>3</v>
      </c>
      <c r="G2937" s="33"/>
      <c r="H2937" s="38">
        <v>3</v>
      </c>
      <c r="I2937" s="33"/>
    </row>
    <row r="2938" spans="2:9" ht="15.75">
      <c r="B2938" s="39"/>
      <c r="C2938" s="33"/>
      <c r="D2938" s="33"/>
      <c r="E2938" s="33"/>
      <c r="F2938" s="33"/>
      <c r="G2938" s="33"/>
      <c r="H2938" s="33"/>
      <c r="I2938" s="33"/>
    </row>
    <row r="2939" spans="2:9" ht="15.75">
      <c r="B2939" s="35" t="s">
        <v>20</v>
      </c>
      <c r="C2939" s="39"/>
      <c r="D2939" s="35" t="s">
        <v>21</v>
      </c>
      <c r="E2939" s="33"/>
      <c r="F2939" s="35" t="s">
        <v>22</v>
      </c>
      <c r="G2939" s="39"/>
      <c r="H2939" s="35" t="s">
        <v>23</v>
      </c>
      <c r="I2939" s="39"/>
    </row>
    <row r="2940" spans="2:9" ht="15.75">
      <c r="B2940" s="35" t="s">
        <v>622</v>
      </c>
      <c r="C2940" s="39"/>
      <c r="D2940" s="35" t="s">
        <v>622</v>
      </c>
      <c r="E2940" s="37"/>
      <c r="F2940" s="35" t="s">
        <v>506</v>
      </c>
      <c r="G2940" s="39"/>
      <c r="H2940" s="35" t="s">
        <v>506</v>
      </c>
      <c r="I2940" s="39"/>
    </row>
    <row r="2941" spans="2:9" ht="15.75">
      <c r="B2941" s="35" t="s">
        <v>631</v>
      </c>
      <c r="C2941" s="38">
        <v>4</v>
      </c>
      <c r="D2941" s="35" t="s">
        <v>510</v>
      </c>
      <c r="E2941" s="38">
        <v>4</v>
      </c>
      <c r="F2941" s="35" t="s">
        <v>510</v>
      </c>
      <c r="G2941" s="38">
        <v>4</v>
      </c>
      <c r="H2941" s="35" t="s">
        <v>510</v>
      </c>
      <c r="I2941" s="38">
        <v>6</v>
      </c>
    </row>
    <row r="2942" spans="2:9" ht="15.75">
      <c r="B2942" s="35" t="s">
        <v>1168</v>
      </c>
      <c r="C2942" s="39"/>
      <c r="D2942" s="35" t="s">
        <v>1106</v>
      </c>
      <c r="E2942" s="37"/>
      <c r="F2942" s="35" t="s">
        <v>1107</v>
      </c>
      <c r="G2942" s="39"/>
      <c r="H2942" s="35" t="s">
        <v>1107</v>
      </c>
      <c r="I2942" s="39"/>
    </row>
    <row r="2943" spans="2:9" ht="15.75">
      <c r="B2943" s="35" t="s">
        <v>940</v>
      </c>
      <c r="C2943" s="39"/>
      <c r="D2943" s="35" t="s">
        <v>940</v>
      </c>
      <c r="E2943" s="37"/>
      <c r="F2943" s="35" t="s">
        <v>940</v>
      </c>
      <c r="G2943" s="39"/>
      <c r="H2943" s="35" t="s">
        <v>940</v>
      </c>
      <c r="I2943" s="39"/>
    </row>
    <row r="2944" spans="2:9">
      <c r="B2944" s="33"/>
      <c r="C2944" s="33"/>
      <c r="D2944" s="33"/>
      <c r="E2944" s="33"/>
      <c r="F2944" s="33"/>
      <c r="G2944" s="33"/>
      <c r="H2944" s="33"/>
      <c r="I2944" s="33"/>
    </row>
    <row r="2945" spans="2:9" ht="15.75">
      <c r="B2945" s="38">
        <v>6</v>
      </c>
      <c r="C2945" s="33"/>
      <c r="D2945" s="38">
        <v>3</v>
      </c>
      <c r="E2945" s="33"/>
      <c r="F2945" s="38">
        <v>3</v>
      </c>
      <c r="G2945" s="33"/>
      <c r="H2945" s="38">
        <v>3</v>
      </c>
      <c r="I2945" s="33"/>
    </row>
    <row r="2946" spans="2:9" ht="15.75">
      <c r="B2946" s="39"/>
      <c r="C2946" s="33"/>
      <c r="D2946" s="33"/>
      <c r="E2946" s="33"/>
      <c r="F2946" s="33"/>
      <c r="G2946" s="33"/>
      <c r="H2946" s="33"/>
      <c r="I2946" s="33"/>
    </row>
    <row r="2947" spans="2:9" ht="15.75">
      <c r="B2947" s="35" t="s">
        <v>6</v>
      </c>
      <c r="C2947" s="39"/>
      <c r="D2947" s="35" t="s">
        <v>923</v>
      </c>
      <c r="E2947" s="33"/>
      <c r="F2947" s="35" t="s">
        <v>923</v>
      </c>
      <c r="G2947" s="39"/>
      <c r="H2947" s="35" t="s">
        <v>923</v>
      </c>
    </row>
    <row r="2948" spans="2:9" ht="15.75">
      <c r="B2948" s="35" t="s">
        <v>594</v>
      </c>
      <c r="C2948" s="39"/>
      <c r="D2948" s="35" t="s">
        <v>923</v>
      </c>
      <c r="E2948" s="37"/>
      <c r="F2948" s="35" t="s">
        <v>923</v>
      </c>
      <c r="G2948" s="39"/>
      <c r="H2948" s="35" t="s">
        <v>923</v>
      </c>
    </row>
    <row r="2949" spans="2:9" ht="15.75">
      <c r="B2949" s="35" t="s">
        <v>604</v>
      </c>
      <c r="C2949" s="38" t="s">
        <v>923</v>
      </c>
      <c r="D2949" s="35" t="s">
        <v>923</v>
      </c>
      <c r="E2949" s="38" t="s">
        <v>923</v>
      </c>
      <c r="F2949" s="35" t="s">
        <v>923</v>
      </c>
      <c r="G2949" s="38" t="s">
        <v>923</v>
      </c>
      <c r="H2949" s="35" t="s">
        <v>923</v>
      </c>
    </row>
    <row r="2950" spans="2:9" ht="15.75">
      <c r="B2950" s="35" t="s">
        <v>1169</v>
      </c>
      <c r="C2950" s="39"/>
      <c r="D2950" s="35" t="s">
        <v>923</v>
      </c>
      <c r="E2950" s="37"/>
      <c r="F2950" s="35" t="s">
        <v>923</v>
      </c>
      <c r="G2950" s="39"/>
      <c r="H2950" s="35" t="s">
        <v>923</v>
      </c>
    </row>
    <row r="2951" spans="2:9" ht="15.75">
      <c r="B2951" s="35" t="s">
        <v>926</v>
      </c>
      <c r="C2951" s="39"/>
      <c r="D2951" s="35" t="s">
        <v>923</v>
      </c>
      <c r="E2951" s="37"/>
      <c r="F2951" s="35" t="s">
        <v>923</v>
      </c>
      <c r="G2951" s="39"/>
      <c r="H2951" s="35" t="s">
        <v>923</v>
      </c>
    </row>
    <row r="2953" spans="2:9">
      <c r="B2953" s="43" t="s">
        <v>100</v>
      </c>
      <c r="D2953" s="44" t="s">
        <v>1170</v>
      </c>
    </row>
    <row r="2954" spans="2:9">
      <c r="B2954" s="45"/>
    </row>
    <row r="2955" spans="2:9">
      <c r="B2955" s="46" t="s">
        <v>101</v>
      </c>
      <c r="D2955" s="47" t="s">
        <v>1171</v>
      </c>
    </row>
    <row r="2957" spans="2:9">
      <c r="B2957" s="42" t="s">
        <v>895</v>
      </c>
    </row>
    <row r="2959" spans="2:9" ht="15.75">
      <c r="B2959" s="35" t="s">
        <v>5</v>
      </c>
      <c r="C2959" s="54"/>
      <c r="D2959" s="35" t="s">
        <v>17</v>
      </c>
      <c r="E2959" s="33"/>
      <c r="F2959" s="35" t="s">
        <v>18</v>
      </c>
      <c r="G2959" s="39"/>
      <c r="H2959" s="35" t="s">
        <v>19</v>
      </c>
      <c r="I2959" s="39"/>
    </row>
    <row r="2960" spans="2:9" ht="15.75">
      <c r="B2960" s="35" t="s">
        <v>452</v>
      </c>
      <c r="C2960" s="54"/>
      <c r="D2960" s="35" t="s">
        <v>753</v>
      </c>
      <c r="E2960" s="36"/>
      <c r="F2960" s="35" t="s">
        <v>713</v>
      </c>
      <c r="G2960" s="39"/>
      <c r="H2960" s="35" t="s">
        <v>623</v>
      </c>
      <c r="I2960" s="39"/>
    </row>
    <row r="2961" spans="2:9" ht="15.75">
      <c r="B2961" s="35" t="s">
        <v>575</v>
      </c>
      <c r="C2961" s="40">
        <v>4</v>
      </c>
      <c r="D2961" s="35" t="s">
        <v>657</v>
      </c>
      <c r="E2961" s="40">
        <v>4</v>
      </c>
      <c r="F2961" s="35" t="s">
        <v>632</v>
      </c>
      <c r="G2961" s="38">
        <v>4</v>
      </c>
      <c r="H2961" s="35" t="s">
        <v>632</v>
      </c>
      <c r="I2961" s="38">
        <v>6</v>
      </c>
    </row>
    <row r="2962" spans="2:9" ht="15.75">
      <c r="B2962" s="35" t="s">
        <v>1172</v>
      </c>
      <c r="C2962" s="54"/>
      <c r="D2962" s="35" t="s">
        <v>1173</v>
      </c>
      <c r="E2962" s="36"/>
      <c r="F2962" s="35" t="s">
        <v>1174</v>
      </c>
      <c r="G2962" s="39"/>
      <c r="H2962" s="35" t="s">
        <v>1174</v>
      </c>
      <c r="I2962" s="38"/>
    </row>
    <row r="2963" spans="2:9" ht="15.75">
      <c r="B2963" s="53" t="s">
        <v>927</v>
      </c>
      <c r="C2963" s="54"/>
      <c r="D2963" s="35" t="s">
        <v>940</v>
      </c>
      <c r="E2963" s="36"/>
      <c r="F2963" s="35" t="s">
        <v>940</v>
      </c>
      <c r="G2963" s="39"/>
      <c r="H2963" s="35" t="s">
        <v>940</v>
      </c>
      <c r="I2963" s="39"/>
    </row>
    <row r="2964" spans="2:9">
      <c r="B2964" s="33"/>
      <c r="C2964" s="34"/>
      <c r="D2964" s="33"/>
      <c r="E2964" s="33"/>
      <c r="F2964" s="33"/>
      <c r="G2964" s="33"/>
      <c r="H2964" s="33"/>
      <c r="I2964" s="33"/>
    </row>
    <row r="2965" spans="2:9" ht="15.75">
      <c r="B2965" s="38">
        <v>6</v>
      </c>
      <c r="C2965" s="34"/>
      <c r="D2965" s="38">
        <v>3</v>
      </c>
      <c r="E2965" s="33"/>
      <c r="F2965" s="38">
        <v>3</v>
      </c>
      <c r="G2965" s="33"/>
      <c r="H2965" s="38">
        <v>3</v>
      </c>
      <c r="I2965" s="33"/>
    </row>
    <row r="2966" spans="2:9" ht="15.75">
      <c r="B2966" s="39"/>
      <c r="C2966" s="33"/>
      <c r="D2966" s="33"/>
      <c r="E2966" s="33"/>
      <c r="F2966" s="33"/>
      <c r="G2966" s="33"/>
      <c r="H2966" s="33"/>
      <c r="I2966" s="33"/>
    </row>
    <row r="2967" spans="2:9" ht="15.75">
      <c r="B2967" s="35" t="s">
        <v>20</v>
      </c>
      <c r="C2967" s="39"/>
      <c r="D2967" s="35" t="s">
        <v>22</v>
      </c>
      <c r="E2967" s="33"/>
      <c r="F2967" s="35" t="s">
        <v>22</v>
      </c>
      <c r="G2967" s="39"/>
      <c r="H2967" s="35" t="s">
        <v>23</v>
      </c>
      <c r="I2967" s="39"/>
    </row>
    <row r="2968" spans="2:9" ht="15.75">
      <c r="B2968" s="35" t="s">
        <v>623</v>
      </c>
      <c r="C2968" s="39"/>
      <c r="D2968" s="35" t="s">
        <v>623</v>
      </c>
      <c r="E2968" s="37"/>
      <c r="F2968" s="35" t="s">
        <v>507</v>
      </c>
      <c r="G2968" s="39"/>
      <c r="H2968" s="35" t="s">
        <v>507</v>
      </c>
      <c r="I2968" s="39"/>
    </row>
    <row r="2969" spans="2:9" ht="15.75">
      <c r="B2969" s="35" t="s">
        <v>632</v>
      </c>
      <c r="C2969" s="38">
        <v>4</v>
      </c>
      <c r="D2969" s="35" t="s">
        <v>511</v>
      </c>
      <c r="E2969" s="38">
        <v>4</v>
      </c>
      <c r="F2969" s="35" t="s">
        <v>511</v>
      </c>
      <c r="G2969" s="38">
        <v>4</v>
      </c>
      <c r="H2969" s="35" t="s">
        <v>511</v>
      </c>
      <c r="I2969" s="38">
        <v>6</v>
      </c>
    </row>
    <row r="2970" spans="2:9" ht="15.75">
      <c r="B2970" s="35" t="s">
        <v>1174</v>
      </c>
      <c r="C2970" s="39"/>
      <c r="D2970" s="35" t="s">
        <v>1113</v>
      </c>
      <c r="E2970" s="37"/>
      <c r="F2970" s="35" t="s">
        <v>1114</v>
      </c>
      <c r="G2970" s="39"/>
      <c r="H2970" s="35" t="s">
        <v>1114</v>
      </c>
      <c r="I2970" s="39"/>
    </row>
    <row r="2971" spans="2:9" ht="15.75">
      <c r="B2971" s="35" t="s">
        <v>940</v>
      </c>
      <c r="C2971" s="39"/>
      <c r="D2971" s="35" t="s">
        <v>940</v>
      </c>
      <c r="E2971" s="37"/>
      <c r="F2971" s="35" t="s">
        <v>940</v>
      </c>
      <c r="G2971" s="39"/>
      <c r="H2971" s="35" t="s">
        <v>940</v>
      </c>
      <c r="I2971" s="39"/>
    </row>
    <row r="2972" spans="2:9">
      <c r="B2972" s="33"/>
      <c r="C2972" s="33"/>
      <c r="D2972" s="33"/>
      <c r="E2972" s="33"/>
      <c r="F2972" s="33"/>
      <c r="G2972" s="33"/>
      <c r="H2972" s="33"/>
      <c r="I2972" s="33"/>
    </row>
    <row r="2973" spans="2:9" ht="15.75">
      <c r="B2973" s="38">
        <v>6</v>
      </c>
      <c r="C2973" s="33"/>
      <c r="D2973" s="38">
        <v>3</v>
      </c>
      <c r="E2973" s="33"/>
      <c r="F2973" s="38">
        <v>3</v>
      </c>
      <c r="G2973" s="33"/>
      <c r="H2973" s="38">
        <v>3</v>
      </c>
      <c r="I2973" s="33"/>
    </row>
    <row r="2974" spans="2:9" ht="15.75">
      <c r="B2974" s="39"/>
      <c r="C2974" s="33"/>
      <c r="D2974" s="33"/>
      <c r="E2974" s="33"/>
      <c r="F2974" s="33"/>
      <c r="G2974" s="33"/>
      <c r="H2974" s="33"/>
      <c r="I2974" s="33"/>
    </row>
    <row r="2975" spans="2:9" ht="15.75">
      <c r="B2975" s="35" t="s">
        <v>24</v>
      </c>
      <c r="C2975" s="39"/>
      <c r="D2975" s="35" t="s">
        <v>6</v>
      </c>
      <c r="E2975" s="33"/>
      <c r="F2975" s="35" t="s">
        <v>923</v>
      </c>
      <c r="G2975" s="39"/>
      <c r="H2975" s="35" t="s">
        <v>923</v>
      </c>
    </row>
    <row r="2976" spans="2:9" ht="15.75">
      <c r="B2976" s="35" t="s">
        <v>521</v>
      </c>
      <c r="C2976" s="39"/>
      <c r="D2976" s="35" t="s">
        <v>595</v>
      </c>
      <c r="E2976" s="37"/>
      <c r="F2976" s="35" t="s">
        <v>923</v>
      </c>
      <c r="G2976" s="39"/>
      <c r="H2976" s="35" t="s">
        <v>923</v>
      </c>
    </row>
    <row r="2977" spans="2:9" ht="15.75">
      <c r="B2977" s="35" t="s">
        <v>511</v>
      </c>
      <c r="C2977" s="38">
        <v>4</v>
      </c>
      <c r="D2977" s="35" t="s">
        <v>605</v>
      </c>
      <c r="E2977" s="38" t="s">
        <v>923</v>
      </c>
      <c r="F2977" s="35" t="s">
        <v>923</v>
      </c>
      <c r="G2977" s="38" t="s">
        <v>923</v>
      </c>
      <c r="H2977" s="35" t="s">
        <v>923</v>
      </c>
    </row>
    <row r="2978" spans="2:9" ht="15.75">
      <c r="B2978" s="35" t="s">
        <v>1114</v>
      </c>
      <c r="C2978" s="39"/>
      <c r="D2978" s="35" t="s">
        <v>1175</v>
      </c>
      <c r="E2978" s="37"/>
      <c r="F2978" s="35" t="s">
        <v>923</v>
      </c>
      <c r="G2978" s="39"/>
      <c r="H2978" s="35" t="s">
        <v>923</v>
      </c>
    </row>
    <row r="2979" spans="2:9" ht="15.75">
      <c r="B2979" s="35" t="s">
        <v>940</v>
      </c>
      <c r="C2979" s="39"/>
      <c r="D2979" s="35" t="s">
        <v>926</v>
      </c>
      <c r="E2979" s="37"/>
      <c r="F2979" s="35" t="s">
        <v>923</v>
      </c>
      <c r="G2979" s="39"/>
      <c r="H2979" s="35" t="s">
        <v>923</v>
      </c>
    </row>
    <row r="2981" spans="2:9">
      <c r="B2981" s="43" t="s">
        <v>100</v>
      </c>
      <c r="D2981" s="44" t="s">
        <v>1176</v>
      </c>
    </row>
    <row r="2982" spans="2:9">
      <c r="B2982" s="45"/>
    </row>
    <row r="2983" spans="2:9">
      <c r="B2983" s="46" t="s">
        <v>101</v>
      </c>
      <c r="D2983" s="47" t="s">
        <v>1177</v>
      </c>
    </row>
    <row r="2984" spans="2:9">
      <c r="B2984" s="50"/>
      <c r="C2984" s="49"/>
      <c r="D2984" s="49"/>
    </row>
    <row r="2985" spans="2:9">
      <c r="B2985" s="42" t="s">
        <v>896</v>
      </c>
    </row>
    <row r="2987" spans="2:9" ht="15.75">
      <c r="B2987" s="35" t="s">
        <v>5</v>
      </c>
      <c r="C2987" s="54"/>
      <c r="D2987" s="35" t="s">
        <v>17</v>
      </c>
      <c r="E2987" s="33"/>
      <c r="F2987" s="35" t="s">
        <v>18</v>
      </c>
      <c r="G2987" s="39"/>
      <c r="H2987" s="35" t="s">
        <v>19</v>
      </c>
      <c r="I2987" s="39"/>
    </row>
    <row r="2988" spans="2:9" ht="15.75">
      <c r="B2988" s="35" t="s">
        <v>453</v>
      </c>
      <c r="C2988" s="54"/>
      <c r="D2988" s="35" t="s">
        <v>754</v>
      </c>
      <c r="E2988" s="36"/>
      <c r="F2988" s="35" t="s">
        <v>714</v>
      </c>
      <c r="G2988" s="39"/>
      <c r="H2988" s="35" t="s">
        <v>624</v>
      </c>
      <c r="I2988" s="39"/>
    </row>
    <row r="2989" spans="2:9" ht="15.75">
      <c r="B2989" s="35" t="s">
        <v>576</v>
      </c>
      <c r="C2989" s="40">
        <v>4</v>
      </c>
      <c r="D2989" s="35" t="s">
        <v>658</v>
      </c>
      <c r="E2989" s="40">
        <v>4</v>
      </c>
      <c r="F2989" s="35" t="s">
        <v>633</v>
      </c>
      <c r="G2989" s="38">
        <v>4</v>
      </c>
      <c r="H2989" s="35" t="s">
        <v>633</v>
      </c>
      <c r="I2989" s="38">
        <v>6</v>
      </c>
    </row>
    <row r="2990" spans="2:9" ht="15.75">
      <c r="B2990" s="35" t="s">
        <v>1178</v>
      </c>
      <c r="C2990" s="54"/>
      <c r="D2990" s="35" t="s">
        <v>1179</v>
      </c>
      <c r="E2990" s="36"/>
      <c r="F2990" s="35" t="s">
        <v>1180</v>
      </c>
      <c r="G2990" s="39"/>
      <c r="H2990" s="35" t="s">
        <v>1180</v>
      </c>
      <c r="I2990" s="38"/>
    </row>
    <row r="2991" spans="2:9" ht="15.75">
      <c r="B2991" s="53" t="s">
        <v>927</v>
      </c>
      <c r="C2991" s="54"/>
      <c r="D2991" s="35" t="s">
        <v>940</v>
      </c>
      <c r="E2991" s="36"/>
      <c r="F2991" s="35" t="s">
        <v>940</v>
      </c>
      <c r="G2991" s="39"/>
      <c r="H2991" s="35" t="s">
        <v>940</v>
      </c>
      <c r="I2991" s="39"/>
    </row>
    <row r="2992" spans="2:9">
      <c r="B2992" s="33"/>
      <c r="C2992" s="34"/>
      <c r="D2992" s="33"/>
      <c r="E2992" s="33"/>
      <c r="F2992" s="33"/>
      <c r="G2992" s="33"/>
      <c r="H2992" s="33"/>
      <c r="I2992" s="33"/>
    </row>
    <row r="2993" spans="2:9" ht="15.75">
      <c r="B2993" s="38">
        <v>6</v>
      </c>
      <c r="C2993" s="34"/>
      <c r="D2993" s="38">
        <v>3</v>
      </c>
      <c r="E2993" s="33"/>
      <c r="F2993" s="38">
        <v>3</v>
      </c>
      <c r="G2993" s="33"/>
      <c r="H2993" s="38">
        <v>3</v>
      </c>
      <c r="I2993" s="33"/>
    </row>
    <row r="2994" spans="2:9" ht="15.75">
      <c r="B2994" s="39"/>
      <c r="C2994" s="33"/>
      <c r="D2994" s="33"/>
      <c r="E2994" s="33"/>
      <c r="F2994" s="33"/>
      <c r="G2994" s="33"/>
      <c r="H2994" s="33"/>
      <c r="I2994" s="33"/>
    </row>
    <row r="2995" spans="2:9" ht="15.75">
      <c r="B2995" s="35" t="s">
        <v>20</v>
      </c>
      <c r="C2995" s="39"/>
      <c r="D2995" s="35" t="s">
        <v>23</v>
      </c>
      <c r="E2995" s="33"/>
      <c r="F2995" s="35" t="s">
        <v>22</v>
      </c>
      <c r="G2995" s="39"/>
      <c r="H2995" s="35" t="s">
        <v>23</v>
      </c>
      <c r="I2995" s="39"/>
    </row>
    <row r="2996" spans="2:9" ht="15.75">
      <c r="B2996" s="35" t="s">
        <v>624</v>
      </c>
      <c r="C2996" s="39"/>
      <c r="D2996" s="35" t="s">
        <v>624</v>
      </c>
      <c r="E2996" s="37"/>
      <c r="F2996" s="35" t="s">
        <v>508</v>
      </c>
      <c r="G2996" s="39"/>
      <c r="H2996" s="35" t="s">
        <v>508</v>
      </c>
      <c r="I2996" s="39"/>
    </row>
    <row r="2997" spans="2:9" ht="15.75">
      <c r="B2997" s="35" t="s">
        <v>633</v>
      </c>
      <c r="C2997" s="38">
        <v>4</v>
      </c>
      <c r="D2997" s="35" t="s">
        <v>512</v>
      </c>
      <c r="E2997" s="38">
        <v>4</v>
      </c>
      <c r="F2997" s="35" t="s">
        <v>512</v>
      </c>
      <c r="G2997" s="38">
        <v>4</v>
      </c>
      <c r="H2997" s="35" t="s">
        <v>512</v>
      </c>
      <c r="I2997" s="38">
        <v>6</v>
      </c>
    </row>
    <row r="2998" spans="2:9" ht="15.75">
      <c r="B2998" s="35" t="s">
        <v>1180</v>
      </c>
      <c r="C2998" s="39"/>
      <c r="D2998" s="35" t="s">
        <v>1120</v>
      </c>
      <c r="E2998" s="37"/>
      <c r="F2998" s="35" t="s">
        <v>1121</v>
      </c>
      <c r="G2998" s="39"/>
      <c r="H2998" s="35" t="s">
        <v>1121</v>
      </c>
      <c r="I2998" s="39"/>
    </row>
    <row r="2999" spans="2:9" ht="15.75">
      <c r="B2999" s="35" t="s">
        <v>940</v>
      </c>
      <c r="C2999" s="39"/>
      <c r="D2999" s="35" t="s">
        <v>940</v>
      </c>
      <c r="E2999" s="37"/>
      <c r="F2999" s="35" t="s">
        <v>940</v>
      </c>
      <c r="G2999" s="39"/>
      <c r="H2999" s="35" t="s">
        <v>940</v>
      </c>
      <c r="I2999" s="39"/>
    </row>
    <row r="3000" spans="2:9">
      <c r="B3000" s="33"/>
      <c r="C3000" s="33"/>
      <c r="D3000" s="33"/>
      <c r="E3000" s="33"/>
      <c r="F3000" s="33"/>
      <c r="G3000" s="33"/>
      <c r="H3000" s="33"/>
      <c r="I3000" s="33"/>
    </row>
    <row r="3001" spans="2:9" ht="15.75">
      <c r="B3001" s="38">
        <v>6</v>
      </c>
      <c r="C3001" s="33"/>
      <c r="D3001" s="38">
        <v>3</v>
      </c>
      <c r="E3001" s="33"/>
      <c r="F3001" s="38">
        <v>3</v>
      </c>
      <c r="G3001" s="33"/>
      <c r="H3001" s="38">
        <v>3</v>
      </c>
      <c r="I3001" s="33"/>
    </row>
    <row r="3002" spans="2:9" ht="15.75">
      <c r="B3002" s="39"/>
      <c r="C3002" s="33"/>
      <c r="D3002" s="33"/>
      <c r="E3002" s="33"/>
      <c r="F3002" s="33"/>
      <c r="G3002" s="33"/>
      <c r="H3002" s="33"/>
      <c r="I3002" s="33"/>
    </row>
    <row r="3003" spans="2:9" ht="15.75">
      <c r="B3003" s="35" t="s">
        <v>24</v>
      </c>
      <c r="C3003" s="39"/>
      <c r="D3003" s="35" t="s">
        <v>25</v>
      </c>
      <c r="E3003" s="33"/>
      <c r="F3003" s="35" t="s">
        <v>6</v>
      </c>
      <c r="G3003" s="39"/>
      <c r="H3003" s="35" t="s">
        <v>923</v>
      </c>
    </row>
    <row r="3004" spans="2:9" ht="15.75">
      <c r="B3004" s="35" t="s">
        <v>522</v>
      </c>
      <c r="C3004" s="39"/>
      <c r="D3004" s="35" t="s">
        <v>508</v>
      </c>
      <c r="E3004" s="37"/>
      <c r="F3004" s="35" t="s">
        <v>596</v>
      </c>
      <c r="G3004" s="39"/>
      <c r="H3004" s="35" t="s">
        <v>923</v>
      </c>
    </row>
    <row r="3005" spans="2:9" ht="15.75">
      <c r="B3005" s="35" t="s">
        <v>512</v>
      </c>
      <c r="C3005" s="38">
        <v>4</v>
      </c>
      <c r="D3005" s="35" t="s">
        <v>512</v>
      </c>
      <c r="E3005" s="38">
        <v>4</v>
      </c>
      <c r="F3005" s="35" t="s">
        <v>606</v>
      </c>
      <c r="G3005" s="38" t="s">
        <v>923</v>
      </c>
      <c r="H3005" s="35" t="s">
        <v>923</v>
      </c>
    </row>
    <row r="3006" spans="2:9" ht="15.75">
      <c r="B3006" s="35" t="s">
        <v>1121</v>
      </c>
      <c r="C3006" s="39"/>
      <c r="D3006" s="35" t="s">
        <v>1121</v>
      </c>
      <c r="E3006" s="37"/>
      <c r="F3006" s="35" t="s">
        <v>1181</v>
      </c>
      <c r="G3006" s="39"/>
      <c r="H3006" s="35" t="s">
        <v>923</v>
      </c>
    </row>
    <row r="3007" spans="2:9" ht="15.75">
      <c r="B3007" s="35" t="s">
        <v>940</v>
      </c>
      <c r="C3007" s="39"/>
      <c r="D3007" s="35" t="s">
        <v>940</v>
      </c>
      <c r="E3007" s="37"/>
      <c r="F3007" s="35" t="s">
        <v>926</v>
      </c>
      <c r="G3007" s="39"/>
      <c r="H3007" s="35" t="s">
        <v>923</v>
      </c>
    </row>
    <row r="3009" spans="2:9">
      <c r="B3009" s="43" t="s">
        <v>100</v>
      </c>
      <c r="D3009" s="44" t="s">
        <v>1182</v>
      </c>
    </row>
    <row r="3010" spans="2:9">
      <c r="B3010" s="45"/>
    </row>
    <row r="3011" spans="2:9">
      <c r="B3011" s="46" t="s">
        <v>101</v>
      </c>
      <c r="D3011" s="47" t="s">
        <v>1183</v>
      </c>
    </row>
    <row r="3012" spans="2:9">
      <c r="B3012" s="50"/>
      <c r="C3012" s="49"/>
      <c r="D3012" s="49"/>
    </row>
    <row r="3013" spans="2:9">
      <c r="B3013" s="42" t="s">
        <v>897</v>
      </c>
    </row>
    <row r="3015" spans="2:9" ht="15.75">
      <c r="B3015" s="35" t="s">
        <v>5</v>
      </c>
      <c r="C3015" s="54"/>
      <c r="D3015" s="35" t="s">
        <v>17</v>
      </c>
      <c r="E3015" s="33"/>
      <c r="F3015" s="35" t="s">
        <v>18</v>
      </c>
      <c r="G3015" s="39"/>
      <c r="H3015" s="35" t="s">
        <v>19</v>
      </c>
      <c r="I3015" s="39"/>
    </row>
    <row r="3016" spans="2:9" ht="15.75">
      <c r="B3016" s="35" t="s">
        <v>454</v>
      </c>
      <c r="C3016" s="54"/>
      <c r="D3016" s="35" t="s">
        <v>755</v>
      </c>
      <c r="E3016" s="36"/>
      <c r="F3016" s="35" t="s">
        <v>715</v>
      </c>
      <c r="G3016" s="39"/>
      <c r="H3016" s="35" t="s">
        <v>625</v>
      </c>
      <c r="I3016" s="39"/>
    </row>
    <row r="3017" spans="2:9" ht="15.75">
      <c r="B3017" s="35" t="s">
        <v>577</v>
      </c>
      <c r="C3017" s="40">
        <v>4</v>
      </c>
      <c r="D3017" s="35" t="s">
        <v>649</v>
      </c>
      <c r="E3017" s="40">
        <v>4</v>
      </c>
      <c r="F3017" s="35" t="s">
        <v>259</v>
      </c>
      <c r="G3017" s="38">
        <v>4</v>
      </c>
      <c r="H3017" s="35" t="s">
        <v>259</v>
      </c>
      <c r="I3017" s="38">
        <v>6</v>
      </c>
    </row>
    <row r="3018" spans="2:9" ht="15.75">
      <c r="B3018" s="35" t="s">
        <v>1184</v>
      </c>
      <c r="C3018" s="54"/>
      <c r="D3018" s="35" t="s">
        <v>1185</v>
      </c>
      <c r="E3018" s="36"/>
      <c r="F3018" s="35" t="s">
        <v>1186</v>
      </c>
      <c r="G3018" s="39"/>
      <c r="H3018" s="35" t="s">
        <v>1186</v>
      </c>
      <c r="I3018" s="38"/>
    </row>
    <row r="3019" spans="2:9" ht="15.75">
      <c r="B3019" s="53" t="s">
        <v>927</v>
      </c>
      <c r="C3019" s="54"/>
      <c r="D3019" s="35" t="s">
        <v>940</v>
      </c>
      <c r="E3019" s="36"/>
      <c r="F3019" s="35" t="s">
        <v>940</v>
      </c>
      <c r="G3019" s="39"/>
      <c r="H3019" s="35" t="s">
        <v>940</v>
      </c>
      <c r="I3019" s="39"/>
    </row>
    <row r="3020" spans="2:9">
      <c r="B3020" s="33"/>
      <c r="C3020" s="34"/>
      <c r="D3020" s="33"/>
      <c r="E3020" s="33"/>
      <c r="F3020" s="33"/>
      <c r="G3020" s="33"/>
      <c r="H3020" s="33"/>
      <c r="I3020" s="33"/>
    </row>
    <row r="3021" spans="2:9" ht="15.75">
      <c r="B3021" s="38">
        <v>6</v>
      </c>
      <c r="C3021" s="34"/>
      <c r="D3021" s="38">
        <v>3</v>
      </c>
      <c r="E3021" s="33"/>
      <c r="F3021" s="38">
        <v>3</v>
      </c>
      <c r="G3021" s="33"/>
      <c r="H3021" s="38">
        <v>3</v>
      </c>
      <c r="I3021" s="33"/>
    </row>
    <row r="3022" spans="2:9" ht="15.75">
      <c r="B3022" s="39"/>
      <c r="C3022" s="33"/>
      <c r="D3022" s="33"/>
      <c r="E3022" s="33"/>
      <c r="F3022" s="33"/>
      <c r="G3022" s="33"/>
      <c r="H3022" s="33"/>
      <c r="I3022" s="33"/>
    </row>
    <row r="3023" spans="2:9" ht="15.75">
      <c r="B3023" s="35" t="s">
        <v>20</v>
      </c>
      <c r="C3023" s="39"/>
      <c r="D3023" s="35" t="s">
        <v>24</v>
      </c>
      <c r="E3023" s="33"/>
      <c r="F3023" s="35" t="s">
        <v>22</v>
      </c>
      <c r="G3023" s="39"/>
      <c r="H3023" s="35" t="s">
        <v>23</v>
      </c>
      <c r="I3023" s="39"/>
    </row>
    <row r="3024" spans="2:9" ht="15.75">
      <c r="B3024" s="35" t="s">
        <v>625</v>
      </c>
      <c r="C3024" s="39"/>
      <c r="D3024" s="35" t="s">
        <v>625</v>
      </c>
      <c r="E3024" s="37"/>
      <c r="F3024" s="35" t="s">
        <v>241</v>
      </c>
      <c r="G3024" s="39"/>
      <c r="H3024" s="35" t="s">
        <v>241</v>
      </c>
      <c r="I3024" s="39"/>
    </row>
    <row r="3025" spans="2:9" ht="15.75">
      <c r="B3025" s="35" t="s">
        <v>259</v>
      </c>
      <c r="C3025" s="38">
        <v>4</v>
      </c>
      <c r="D3025" s="35" t="s">
        <v>249</v>
      </c>
      <c r="E3025" s="38">
        <v>4</v>
      </c>
      <c r="F3025" s="35" t="s">
        <v>249</v>
      </c>
      <c r="G3025" s="38">
        <v>4</v>
      </c>
      <c r="H3025" s="35" t="s">
        <v>249</v>
      </c>
      <c r="I3025" s="38">
        <v>6</v>
      </c>
    </row>
    <row r="3026" spans="2:9" ht="15.75">
      <c r="B3026" s="35" t="s">
        <v>1186</v>
      </c>
      <c r="C3026" s="39"/>
      <c r="D3026" s="35" t="s">
        <v>1127</v>
      </c>
      <c r="E3026" s="37"/>
      <c r="F3026" s="35" t="s">
        <v>1127</v>
      </c>
      <c r="G3026" s="39"/>
      <c r="H3026" s="35" t="s">
        <v>1127</v>
      </c>
      <c r="I3026" s="39"/>
    </row>
    <row r="3027" spans="2:9" ht="15.75">
      <c r="B3027" s="35" t="s">
        <v>940</v>
      </c>
      <c r="C3027" s="39"/>
      <c r="D3027" s="35" t="s">
        <v>940</v>
      </c>
      <c r="E3027" s="37"/>
      <c r="F3027" s="35" t="s">
        <v>940</v>
      </c>
      <c r="G3027" s="39"/>
      <c r="H3027" s="35" t="s">
        <v>940</v>
      </c>
      <c r="I3027" s="39"/>
    </row>
    <row r="3028" spans="2:9">
      <c r="B3028" s="33"/>
      <c r="C3028" s="33"/>
      <c r="D3028" s="33"/>
      <c r="E3028" s="33"/>
      <c r="F3028" s="33"/>
      <c r="G3028" s="33"/>
      <c r="H3028" s="33"/>
      <c r="I3028" s="33"/>
    </row>
    <row r="3029" spans="2:9" ht="15.75">
      <c r="B3029" s="38">
        <v>6</v>
      </c>
      <c r="C3029" s="33"/>
      <c r="D3029" s="38">
        <v>3</v>
      </c>
      <c r="E3029" s="33"/>
      <c r="F3029" s="38">
        <v>3</v>
      </c>
      <c r="G3029" s="33"/>
      <c r="H3029" s="38">
        <v>3</v>
      </c>
      <c r="I3029" s="33"/>
    </row>
    <row r="3030" spans="2:9" ht="15.75">
      <c r="B3030" s="39"/>
      <c r="C3030" s="33"/>
      <c r="D3030" s="33"/>
      <c r="E3030" s="33"/>
      <c r="F3030" s="33"/>
      <c r="G3030" s="33"/>
      <c r="H3030" s="33"/>
      <c r="I3030" s="33"/>
    </row>
    <row r="3031" spans="2:9" ht="15.75">
      <c r="B3031" s="35" t="s">
        <v>24</v>
      </c>
      <c r="C3031" s="39"/>
      <c r="D3031" s="35" t="s">
        <v>25</v>
      </c>
      <c r="E3031" s="33"/>
      <c r="F3031" s="35" t="s">
        <v>26</v>
      </c>
      <c r="G3031" s="39"/>
      <c r="H3031" s="35" t="s">
        <v>6</v>
      </c>
    </row>
    <row r="3032" spans="2:9" ht="15.75">
      <c r="B3032" s="35" t="s">
        <v>523</v>
      </c>
      <c r="C3032" s="39"/>
      <c r="D3032" s="35" t="s">
        <v>241</v>
      </c>
      <c r="E3032" s="37"/>
      <c r="F3032" s="35" t="s">
        <v>517</v>
      </c>
      <c r="G3032" s="39"/>
      <c r="H3032" s="35" t="s">
        <v>597</v>
      </c>
    </row>
    <row r="3033" spans="2:9" ht="15.75">
      <c r="B3033" s="35" t="s">
        <v>249</v>
      </c>
      <c r="C3033" s="38">
        <v>4</v>
      </c>
      <c r="D3033" s="35" t="s">
        <v>249</v>
      </c>
      <c r="E3033" s="38">
        <v>4</v>
      </c>
      <c r="F3033" s="35" t="s">
        <v>249</v>
      </c>
      <c r="G3033" s="38">
        <v>4</v>
      </c>
      <c r="H3033" s="35" t="s">
        <v>607</v>
      </c>
    </row>
    <row r="3034" spans="2:9" ht="15.75">
      <c r="B3034" s="35" t="s">
        <v>1127</v>
      </c>
      <c r="C3034" s="39"/>
      <c r="D3034" s="35" t="s">
        <v>1127</v>
      </c>
      <c r="E3034" s="37"/>
      <c r="F3034" s="35" t="s">
        <v>1127</v>
      </c>
      <c r="G3034" s="39"/>
      <c r="H3034" s="35" t="s">
        <v>1187</v>
      </c>
    </row>
    <row r="3035" spans="2:9" ht="15.75">
      <c r="B3035" s="35" t="s">
        <v>940</v>
      </c>
      <c r="C3035" s="39"/>
      <c r="D3035" s="35" t="s">
        <v>940</v>
      </c>
      <c r="E3035" s="37"/>
      <c r="F3035" s="35" t="s">
        <v>940</v>
      </c>
      <c r="G3035" s="39"/>
      <c r="H3035" s="35" t="s">
        <v>926</v>
      </c>
    </row>
    <row r="3037" spans="2:9">
      <c r="B3037" s="43" t="s">
        <v>100</v>
      </c>
      <c r="D3037" s="44" t="s">
        <v>1188</v>
      </c>
    </row>
    <row r="3038" spans="2:9">
      <c r="B3038" s="45"/>
    </row>
    <row r="3039" spans="2:9">
      <c r="B3039" s="46" t="s">
        <v>101</v>
      </c>
      <c r="D3039" s="47" t="s">
        <v>1189</v>
      </c>
    </row>
  </sheetData>
  <pageMargins left="0.7" right="0.7" top="0.78740157499999996" bottom="0.78740157499999996" header="0.3" footer="0.3"/>
  <extLst>
    <ext xmlns:x14="http://schemas.microsoft.com/office/spreadsheetml/2009/9/main" uri="{78C0D931-6437-407d-A8EE-F0AAD7539E65}">
      <x14:conditionalFormattings>
        <x14:conditionalFormatting xmlns:xm="http://schemas.microsoft.com/office/excel/2006/main">
          <x14:cfRule type="expression" priority="6835" id="{C9A287EB-8A12-4865-AF04-B92FD38265CC}">
            <xm:f>Calculs!B3815&lt;&gt;""</xm:f>
            <x14:dxf>
              <fill>
                <patternFill>
                  <bgColor rgb="FF0000FF"/>
                </patternFill>
              </fill>
              <border>
                <left style="thin">
                  <color rgb="FFFF0000"/>
                </left>
                <right style="thin">
                  <color rgb="FFFF0000"/>
                </right>
                <top/>
                <bottom/>
                <vertical/>
                <horizontal/>
              </border>
            </x14:dxf>
          </x14:cfRule>
          <xm:sqref>D2919:D2923 B2919:B2923 F2919:F2923 H2919:H2923 F2911:F2915 H2911:H2915</xm:sqref>
        </x14:conditionalFormatting>
        <x14:conditionalFormatting xmlns:xm="http://schemas.microsoft.com/office/excel/2006/main">
          <x14:cfRule type="expression" priority="6834" id="{6CDDFE3E-6706-49F3-AA3C-26E2BF9D73B3}">
            <xm:f>Calculs!B3815&lt;&gt;""</xm:f>
            <x14:dxf>
              <border>
                <top style="thin">
                  <color rgb="FFFF0000"/>
                </top>
                <vertical/>
                <horizontal/>
              </border>
            </x14:dxf>
          </x14:cfRule>
          <xm:sqref>D2919 B2919 F2919 H2919 F2911 H2911 B2911 D2911</xm:sqref>
        </x14:conditionalFormatting>
        <x14:conditionalFormatting xmlns:xm="http://schemas.microsoft.com/office/excel/2006/main">
          <x14:cfRule type="expression" priority="6833" id="{A7186BC3-358F-4958-8BAB-1B6701711F9D}">
            <xm:f>Calculs!B3815&lt;&gt;""</xm:f>
            <x14:dxf>
              <border>
                <bottom style="thin">
                  <color rgb="FFFF0000"/>
                </bottom>
                <vertical/>
                <horizontal/>
              </border>
            </x14:dxf>
          </x14:cfRule>
          <xm:sqref>D2923 B2923 F2923 H2923 F2915 H2915 B2915 D2915</xm:sqref>
        </x14:conditionalFormatting>
        <x14:conditionalFormatting xmlns:xm="http://schemas.microsoft.com/office/excel/2006/main">
          <x14:cfRule type="expression" priority="6823" id="{02B40ADA-F0F8-479E-A1FC-C2D1D196ABA7}">
            <xm:f>Calculs!$B$467&lt;&gt;""</xm:f>
            <x14:dxf>
              <fill>
                <patternFill>
                  <bgColor theme="0" tint="-0.24994659260841701"/>
                </patternFill>
              </fill>
            </x14:dxf>
          </x14:cfRule>
          <xm:sqref>I320:I321 C321:H321 B321:B322</xm:sqref>
        </x14:conditionalFormatting>
        <x14:conditionalFormatting xmlns:xm="http://schemas.microsoft.com/office/excel/2006/main">
          <x14:cfRule type="expression" priority="6864" id="{51F54783-7A41-47BC-9B58-85EBA65CA6EB}">
            <xm:f>Calculs!D3815&lt;&gt;""</xm:f>
            <x14:dxf>
              <fill>
                <patternFill>
                  <bgColor theme="0" tint="-0.24994659260841701"/>
                </patternFill>
              </fill>
            </x14:dxf>
          </x14:cfRule>
          <xm:sqref>C2919:C2923 E2919:E2923 G2919:G2923 E2911:E2915 G2911:G2915 C2911:C2915</xm:sqref>
        </x14:conditionalFormatting>
        <x14:conditionalFormatting xmlns:xm="http://schemas.microsoft.com/office/excel/2006/main">
          <x14:cfRule type="expression" priority="6861" id="{6B52E6F6-7CAF-4C4D-8236-7017D2EBA393}">
            <xm:f>Calculs!B3823&lt;&gt;""</xm:f>
            <x14:dxf>
              <fill>
                <patternFill>
                  <bgColor theme="0" tint="-0.24994659260841701"/>
                </patternFill>
              </fill>
            </x14:dxf>
          </x14:cfRule>
          <xm:sqref>I2919:I2923 I2911:I2915</xm:sqref>
        </x14:conditionalFormatting>
        <x14:conditionalFormatting xmlns:xm="http://schemas.microsoft.com/office/excel/2006/main">
          <x14:cfRule type="expression" priority="6839" id="{BCCAFD81-54AF-4C64-AF1C-1B03EB340E47}">
            <xm:f>Calculs!$B$475&lt;&gt;""</xm:f>
            <x14:dxf>
              <fill>
                <patternFill>
                  <bgColor theme="0" tint="-0.24994659260841701"/>
                </patternFill>
              </fill>
            </x14:dxf>
          </x14:cfRule>
          <xm:sqref>I328:I329 C329:H329 B329:B330</xm:sqref>
        </x14:conditionalFormatting>
        <x14:conditionalFormatting xmlns:xm="http://schemas.microsoft.com/office/excel/2006/main">
          <x14:cfRule type="expression" priority="6781" id="{1C8BCFFB-1495-46F7-925C-A33017388AED}">
            <xm:f>Calculs!$B$439&lt;&gt;""</xm:f>
            <x14:dxf>
              <fill>
                <patternFill>
                  <bgColor theme="0" tint="-0.24994659260841701"/>
                </patternFill>
              </fill>
            </x14:dxf>
          </x14:cfRule>
          <xm:sqref>I300:I301 C301:H301 B301:B302</xm:sqref>
        </x14:conditionalFormatting>
        <x14:conditionalFormatting xmlns:xm="http://schemas.microsoft.com/office/excel/2006/main">
          <x14:cfRule type="expression" priority="6797" id="{06BDF5A8-1D68-46D7-8F38-89E7168DC108}">
            <xm:f>Calculs!$B$447&lt;&gt;""</xm:f>
            <x14:dxf>
              <fill>
                <patternFill>
                  <bgColor theme="0" tint="-0.24994659260841701"/>
                </patternFill>
              </fill>
            </x14:dxf>
          </x14:cfRule>
          <xm:sqref>I308</xm:sqref>
        </x14:conditionalFormatting>
        <x14:conditionalFormatting xmlns:xm="http://schemas.microsoft.com/office/excel/2006/main">
          <x14:cfRule type="expression" priority="6739" id="{EF169CC9-3A71-4B25-963E-1843C1A44C48}">
            <xm:f>Calculs!$B$411&lt;&gt;""</xm:f>
            <x14:dxf>
              <fill>
                <patternFill>
                  <bgColor theme="0" tint="-0.24994659260841701"/>
                </patternFill>
              </fill>
            </x14:dxf>
          </x14:cfRule>
          <xm:sqref>I280:I281 C281:H281 B281:B282</xm:sqref>
        </x14:conditionalFormatting>
        <x14:conditionalFormatting xmlns:xm="http://schemas.microsoft.com/office/excel/2006/main">
          <x14:cfRule type="expression" priority="6755" id="{0F29B0C0-CBE7-4CFA-B187-47CD27E79501}">
            <xm:f>Calculs!$B$419&lt;&gt;""</xm:f>
            <x14:dxf>
              <fill>
                <patternFill>
                  <bgColor theme="0" tint="-0.24994659260841701"/>
                </patternFill>
              </fill>
            </x14:dxf>
          </x14:cfRule>
          <xm:sqref>I288</xm:sqref>
        </x14:conditionalFormatting>
        <x14:conditionalFormatting xmlns:xm="http://schemas.microsoft.com/office/excel/2006/main">
          <x14:cfRule type="expression" priority="6697" id="{9C72C608-DF3A-4847-BA74-2A2623969822}">
            <xm:f>Calculs!$B$383&lt;&gt;""</xm:f>
            <x14:dxf>
              <fill>
                <patternFill>
                  <bgColor theme="0" tint="-0.24994659260841701"/>
                </patternFill>
              </fill>
            </x14:dxf>
          </x14:cfRule>
          <xm:sqref>I260:I261 C261:H261 B261:B262</xm:sqref>
        </x14:conditionalFormatting>
        <x14:conditionalFormatting xmlns:xm="http://schemas.microsoft.com/office/excel/2006/main">
          <x14:cfRule type="expression" priority="6713" id="{D65B7A2B-E260-4B55-9C28-491DD26E81AB}">
            <xm:f>Calculs!$B$391&lt;&gt;""</xm:f>
            <x14:dxf>
              <fill>
                <patternFill>
                  <bgColor theme="0" tint="-0.24994659260841701"/>
                </patternFill>
              </fill>
            </x14:dxf>
          </x14:cfRule>
          <xm:sqref>I268</xm:sqref>
        </x14:conditionalFormatting>
        <x14:conditionalFormatting xmlns:xm="http://schemas.microsoft.com/office/excel/2006/main">
          <x14:cfRule type="expression" priority="6667" id="{9C54C297-8D31-47D5-BFBE-B9580B825E65}">
            <xm:f>Calculs!B347&lt;&gt;""</xm:f>
            <x14:dxf>
              <fill>
                <patternFill>
                  <bgColor rgb="FF0000FF"/>
                </patternFill>
              </fill>
              <border>
                <left style="thin">
                  <color rgb="FFFF0000"/>
                </left>
                <right style="thin">
                  <color rgb="FFFF0000"/>
                </right>
                <top/>
                <bottom/>
                <vertical/>
                <horizontal/>
              </border>
            </x14:dxf>
          </x14:cfRule>
          <xm:sqref>D243:D247 B243:B247 F243:F247 H243:H247 F235:F239 H235:H239</xm:sqref>
        </x14:conditionalFormatting>
        <x14:conditionalFormatting xmlns:xm="http://schemas.microsoft.com/office/excel/2006/main">
          <x14:cfRule type="expression" priority="6666" id="{916BD89C-CBAA-422B-AEAB-5010189C71AE}">
            <xm:f>Calculs!B347&lt;&gt;""</xm:f>
            <x14:dxf>
              <border>
                <top style="thin">
                  <color rgb="FFFF0000"/>
                </top>
                <vertical/>
                <horizontal/>
              </border>
            </x14:dxf>
          </x14:cfRule>
          <xm:sqref>D243 B243 F243 H243 F235 H235 B235 D235</xm:sqref>
        </x14:conditionalFormatting>
        <x14:conditionalFormatting xmlns:xm="http://schemas.microsoft.com/office/excel/2006/main">
          <x14:cfRule type="expression" priority="6665" id="{B2768BD6-3F03-4A6B-92D4-D9CD0833FAF0}">
            <xm:f>Calculs!B347&lt;&gt;""</xm:f>
            <x14:dxf>
              <border>
                <bottom style="thin">
                  <color rgb="FFFF0000"/>
                </bottom>
                <vertical/>
                <horizontal/>
              </border>
            </x14:dxf>
          </x14:cfRule>
          <xm:sqref>D247 B247 F247 H247 F239 H239 B239 D239</xm:sqref>
        </x14:conditionalFormatting>
        <x14:conditionalFormatting xmlns:xm="http://schemas.microsoft.com/office/excel/2006/main">
          <x14:cfRule type="expression" priority="6655" id="{866CDBB3-8811-464D-A6F1-87F023F53ACE}">
            <xm:f>Calculs!$B$355&lt;&gt;""</xm:f>
            <x14:dxf>
              <fill>
                <patternFill>
                  <bgColor theme="0" tint="-0.24994659260841701"/>
                </patternFill>
              </fill>
            </x14:dxf>
          </x14:cfRule>
          <xm:sqref>I240:I241 C241:H241 B241:B242</xm:sqref>
        </x14:conditionalFormatting>
        <x14:conditionalFormatting xmlns:xm="http://schemas.microsoft.com/office/excel/2006/main">
          <x14:cfRule type="expression" priority="6696" id="{BF0F830D-C484-4C8F-BE39-13E54FF54733}">
            <xm:f>Calculs!D347&lt;&gt;""</xm:f>
            <x14:dxf>
              <fill>
                <patternFill>
                  <bgColor theme="0" tint="-0.24994659260841701"/>
                </patternFill>
              </fill>
            </x14:dxf>
          </x14:cfRule>
          <xm:sqref>C243:C247 E243:E247 G243:G247 E235:E239 G235:G239 C235:C239</xm:sqref>
        </x14:conditionalFormatting>
        <x14:conditionalFormatting xmlns:xm="http://schemas.microsoft.com/office/excel/2006/main">
          <x14:cfRule type="expression" priority="6693" id="{98FB4292-A019-4188-A6FB-2D2031AF552C}">
            <xm:f>Calculs!B355&lt;&gt;""</xm:f>
            <x14:dxf>
              <fill>
                <patternFill>
                  <bgColor theme="0" tint="-0.24994659260841701"/>
                </patternFill>
              </fill>
            </x14:dxf>
          </x14:cfRule>
          <xm:sqref>I243:I247 I235:I239</xm:sqref>
        </x14:conditionalFormatting>
        <x14:conditionalFormatting xmlns:xm="http://schemas.microsoft.com/office/excel/2006/main">
          <x14:cfRule type="expression" priority="6625" id="{EBDA2F12-9D0D-47A7-8EBC-361855459B3C}">
            <xm:f>Calculs!F319&lt;&gt;""</xm:f>
            <x14:dxf>
              <fill>
                <patternFill>
                  <bgColor rgb="FF0000FF"/>
                </patternFill>
              </fill>
              <border>
                <left style="thin">
                  <color rgb="FFFF0000"/>
                </left>
                <right style="thin">
                  <color rgb="FFFF0000"/>
                </right>
                <top/>
                <bottom/>
                <vertical/>
                <horizontal/>
              </border>
            </x14:dxf>
          </x14:cfRule>
          <xm:sqref>F223:F227 H223:H227</xm:sqref>
        </x14:conditionalFormatting>
        <x14:conditionalFormatting xmlns:xm="http://schemas.microsoft.com/office/excel/2006/main">
          <x14:cfRule type="expression" priority="6624" id="{1BD637D8-41B3-447A-921A-D8D14813B72A}">
            <xm:f>Calculs!B319&lt;&gt;""</xm:f>
            <x14:dxf>
              <border>
                <top style="thin">
                  <color rgb="FFFF0000"/>
                </top>
                <vertical/>
                <horizontal/>
              </border>
            </x14:dxf>
          </x14:cfRule>
          <xm:sqref>F223 H223 B223 D223</xm:sqref>
        </x14:conditionalFormatting>
        <x14:conditionalFormatting xmlns:xm="http://schemas.microsoft.com/office/excel/2006/main">
          <x14:cfRule type="expression" priority="6623" id="{4E5B5E93-AB53-46DB-8E96-887385710172}">
            <xm:f>Calculs!B319&lt;&gt;""</xm:f>
            <x14:dxf>
              <border>
                <bottom style="thin">
                  <color rgb="FFFF0000"/>
                </bottom>
                <vertical/>
                <horizontal/>
              </border>
            </x14:dxf>
          </x14:cfRule>
          <xm:sqref>F227 H227 B227 D227</xm:sqref>
        </x14:conditionalFormatting>
        <x14:conditionalFormatting xmlns:xm="http://schemas.microsoft.com/office/excel/2006/main">
          <x14:cfRule type="expression" priority="6654" id="{4678A817-45F2-4909-9DD1-EE9620A3D0FB}">
            <xm:f>Calculs!D319&lt;&gt;""</xm:f>
            <x14:dxf>
              <fill>
                <patternFill>
                  <bgColor theme="0" tint="-0.24994659260841701"/>
                </patternFill>
              </fill>
            </x14:dxf>
          </x14:cfRule>
          <xm:sqref>E223:E227 G223:G227 C223:C227</xm:sqref>
        </x14:conditionalFormatting>
        <x14:conditionalFormatting xmlns:xm="http://schemas.microsoft.com/office/excel/2006/main">
          <x14:cfRule type="expression" priority="6651" id="{6D0E0F6D-CEA2-46A5-AC75-E8A06C061962}">
            <xm:f>Calculs!B327&lt;&gt;""</xm:f>
            <x14:dxf>
              <fill>
                <patternFill>
                  <bgColor theme="0" tint="-0.24994659260841701"/>
                </patternFill>
              </fill>
            </x14:dxf>
          </x14:cfRule>
          <xm:sqref>I223:I227</xm:sqref>
        </x14:conditionalFormatting>
        <x14:conditionalFormatting xmlns:xm="http://schemas.microsoft.com/office/excel/2006/main">
          <x14:cfRule type="expression" priority="6571" id="{25FA5A58-DAA4-4F4C-BE06-164A82B68BEF}">
            <xm:f>Calculs!$B$299&lt;&gt;""</xm:f>
            <x14:dxf>
              <fill>
                <patternFill>
                  <bgColor theme="0" tint="-0.24994659260841701"/>
                </patternFill>
              </fill>
            </x14:dxf>
          </x14:cfRule>
          <xm:sqref>I216</xm:sqref>
        </x14:conditionalFormatting>
        <x14:conditionalFormatting xmlns:xm="http://schemas.microsoft.com/office/excel/2006/main">
          <x14:cfRule type="expression" priority="6541" id="{BC274FB9-13F0-478F-BE1A-8C8ED1785A94}">
            <xm:f>Calculs!B93&lt;&gt;""</xm:f>
            <x14:dxf>
              <fill>
                <patternFill>
                  <bgColor rgb="FF0000FF"/>
                </patternFill>
              </fill>
              <border>
                <left style="thin">
                  <color rgb="FFFF0000"/>
                </left>
                <right style="thin">
                  <color rgb="FFFF0000"/>
                </right>
                <top/>
                <bottom/>
                <vertical/>
                <horizontal/>
              </border>
            </x14:dxf>
          </x14:cfRule>
          <xm:sqref>D53:D57 B53:B57 F53:F57 H53:H57 F45:F49 H45:H49</xm:sqref>
        </x14:conditionalFormatting>
        <x14:conditionalFormatting xmlns:xm="http://schemas.microsoft.com/office/excel/2006/main">
          <x14:cfRule type="expression" priority="6540" id="{647E8DA8-7D08-4F49-BCB2-B564AA792036}">
            <xm:f>Calculs!B93&lt;&gt;""</xm:f>
            <x14:dxf>
              <border>
                <top style="thin">
                  <color rgb="FFFF0000"/>
                </top>
                <vertical/>
                <horizontal/>
              </border>
            </x14:dxf>
          </x14:cfRule>
          <xm:sqref>D53 B53 F53 H53 F45 H45 B45 D45</xm:sqref>
        </x14:conditionalFormatting>
        <x14:conditionalFormatting xmlns:xm="http://schemas.microsoft.com/office/excel/2006/main">
          <x14:cfRule type="expression" priority="6539" id="{BAFE494C-BBB2-464C-A746-A48253A9B4D4}">
            <xm:f>Calculs!B93&lt;&gt;""</xm:f>
            <x14:dxf>
              <border>
                <bottom style="thin">
                  <color rgb="FFFF0000"/>
                </bottom>
                <vertical/>
                <horizontal/>
              </border>
            </x14:dxf>
          </x14:cfRule>
          <xm:sqref>D57 B57 F57 H57 F49 H49 B49 D49</xm:sqref>
        </x14:conditionalFormatting>
        <x14:conditionalFormatting xmlns:xm="http://schemas.microsoft.com/office/excel/2006/main">
          <x14:cfRule type="expression" priority="6570" id="{99C29B94-45FE-4BD7-9744-149346EA4493}">
            <xm:f>Calculs!D93&lt;&gt;""</xm:f>
            <x14:dxf>
              <fill>
                <patternFill>
                  <bgColor theme="0" tint="-0.24994659260841701"/>
                </patternFill>
              </fill>
            </x14:dxf>
          </x14:cfRule>
          <xm:sqref>C53:C57 E53:E57 G53:G57 E45:E49 G45:G49 C45:C49</xm:sqref>
        </x14:conditionalFormatting>
        <x14:conditionalFormatting xmlns:xm="http://schemas.microsoft.com/office/excel/2006/main">
          <x14:cfRule type="expression" priority="6567" id="{3252CD52-C5D7-4D12-81AD-D5A52EA292A1}">
            <xm:f>Calculs!B101&lt;&gt;""</xm:f>
            <x14:dxf>
              <fill>
                <patternFill>
                  <bgColor theme="0" tint="-0.24994659260841701"/>
                </patternFill>
              </fill>
            </x14:dxf>
          </x14:cfRule>
          <xm:sqref>I53:I57 I45:I49</xm:sqref>
        </x14:conditionalFormatting>
        <x14:conditionalFormatting xmlns:xm="http://schemas.microsoft.com/office/excel/2006/main">
          <x14:cfRule type="expression" priority="6500" id="{8B36F860-E269-4BEB-A991-93DA7AE3FA55}">
            <xm:f>Calculs!F65&lt;&gt;""</xm:f>
            <x14:dxf>
              <fill>
                <patternFill>
                  <bgColor rgb="FF0000FF"/>
                </patternFill>
              </fill>
              <border>
                <left style="thin">
                  <color rgb="FFFF0000"/>
                </left>
                <right style="thin">
                  <color rgb="FFFF0000"/>
                </right>
                <top/>
                <bottom/>
                <vertical/>
                <horizontal/>
              </border>
            </x14:dxf>
          </x14:cfRule>
          <xm:sqref>F33:F37 H33:H37</xm:sqref>
        </x14:conditionalFormatting>
        <x14:conditionalFormatting xmlns:xm="http://schemas.microsoft.com/office/excel/2006/main">
          <x14:cfRule type="expression" priority="6499" id="{B70D8C99-3BD2-4649-A441-58A085DD240D}">
            <xm:f>Calculs!B65&lt;&gt;""</xm:f>
            <x14:dxf>
              <border>
                <top style="thin">
                  <color rgb="FFFF0000"/>
                </top>
                <vertical/>
                <horizontal/>
              </border>
            </x14:dxf>
          </x14:cfRule>
          <xm:sqref>F33 H33 B33 D33</xm:sqref>
        </x14:conditionalFormatting>
        <x14:conditionalFormatting xmlns:xm="http://schemas.microsoft.com/office/excel/2006/main">
          <x14:cfRule type="expression" priority="6498" id="{3FA94A52-8C2B-4914-BD96-6D7EB287C3BA}">
            <xm:f>Calculs!B65&lt;&gt;""</xm:f>
            <x14:dxf>
              <border>
                <bottom style="thin">
                  <color rgb="FFFF0000"/>
                </bottom>
                <vertical/>
                <horizontal/>
              </border>
            </x14:dxf>
          </x14:cfRule>
          <xm:sqref>F37 H37 B37 D37</xm:sqref>
        </x14:conditionalFormatting>
        <x14:conditionalFormatting xmlns:xm="http://schemas.microsoft.com/office/excel/2006/main">
          <x14:cfRule type="expression" priority="6529" id="{9773AB49-8032-46CC-A51F-99885E852D6F}">
            <xm:f>Calculs!D65&lt;&gt;""</xm:f>
            <x14:dxf>
              <fill>
                <patternFill>
                  <bgColor theme="0" tint="-0.24994659260841701"/>
                </patternFill>
              </fill>
            </x14:dxf>
          </x14:cfRule>
          <xm:sqref>E33:E37 G33:G37 C33:C37</xm:sqref>
        </x14:conditionalFormatting>
        <x14:conditionalFormatting xmlns:xm="http://schemas.microsoft.com/office/excel/2006/main">
          <x14:cfRule type="expression" priority="6526" id="{510333C2-27B3-4E4C-A8B5-AE0FEA1C187F}">
            <xm:f>Calculs!B73&lt;&gt;""</xm:f>
            <x14:dxf>
              <fill>
                <patternFill>
                  <bgColor theme="0" tint="-0.24994659260841701"/>
                </patternFill>
              </fill>
            </x14:dxf>
          </x14:cfRule>
          <xm:sqref>I33:I37</xm:sqref>
        </x14:conditionalFormatting>
        <x14:conditionalFormatting xmlns:xm="http://schemas.microsoft.com/office/excel/2006/main">
          <x14:cfRule type="expression" priority="6488" id="{B4D8E97E-F725-44A8-9ED4-BC30B654FDDF}">
            <xm:f>Calculs!$B$101&lt;&gt;""</xm:f>
            <x14:dxf>
              <fill>
                <patternFill>
                  <bgColor theme="0" tint="-0.24994659260841701"/>
                </patternFill>
              </fill>
            </x14:dxf>
          </x14:cfRule>
          <xm:sqref>B51:B52 C51:I51 I50</xm:sqref>
        </x14:conditionalFormatting>
        <x14:conditionalFormatting xmlns:xm="http://schemas.microsoft.com/office/excel/2006/main">
          <x14:cfRule type="expression" priority="6456" id="{28E7D48A-F6AA-4702-B5EC-766942367C5C}">
            <xm:f>Calculs!F37&lt;&gt;""</xm:f>
            <x14:dxf>
              <fill>
                <patternFill>
                  <bgColor rgb="FF0000FF"/>
                </patternFill>
              </fill>
              <border>
                <left style="thin">
                  <color rgb="FFFF0000"/>
                </left>
                <right style="thin">
                  <color rgb="FFFF0000"/>
                </right>
                <top/>
                <bottom/>
                <vertical/>
                <horizontal/>
              </border>
            </x14:dxf>
          </x14:cfRule>
          <xm:sqref>F21:F25 H21:H25</xm:sqref>
        </x14:conditionalFormatting>
        <x14:conditionalFormatting xmlns:xm="http://schemas.microsoft.com/office/excel/2006/main">
          <x14:cfRule type="expression" priority="6455" id="{B8B166A5-F60D-4443-8AFB-C92871402E64}">
            <xm:f>Calculs!B37&lt;&gt;""</xm:f>
            <x14:dxf>
              <border>
                <top style="thin">
                  <color rgb="FFFF0000"/>
                </top>
                <vertical/>
                <horizontal/>
              </border>
            </x14:dxf>
          </x14:cfRule>
          <xm:sqref>F21 H21 B21 D21</xm:sqref>
        </x14:conditionalFormatting>
        <x14:conditionalFormatting xmlns:xm="http://schemas.microsoft.com/office/excel/2006/main">
          <x14:cfRule type="expression" priority="6454" id="{570B5F59-546E-4CB6-A847-D9B562174E2D}">
            <xm:f>Calculs!B37&lt;&gt;""</xm:f>
            <x14:dxf>
              <border>
                <bottom style="thin">
                  <color rgb="FFFF0000"/>
                </bottom>
                <vertical/>
                <horizontal/>
              </border>
            </x14:dxf>
          </x14:cfRule>
          <xm:sqref>F25 H25 B25 D25</xm:sqref>
        </x14:conditionalFormatting>
        <x14:conditionalFormatting xmlns:xm="http://schemas.microsoft.com/office/excel/2006/main">
          <x14:cfRule type="expression" priority="6485" id="{97D38A69-964E-4658-88DB-E2CA6761EA3D}">
            <xm:f>Calculs!D37&lt;&gt;""</xm:f>
            <x14:dxf>
              <fill>
                <patternFill>
                  <bgColor theme="0" tint="-0.24994659260841701"/>
                </patternFill>
              </fill>
            </x14:dxf>
          </x14:cfRule>
          <xm:sqref>E21:E25 G21:G25 C21:C25</xm:sqref>
        </x14:conditionalFormatting>
        <x14:conditionalFormatting xmlns:xm="http://schemas.microsoft.com/office/excel/2006/main">
          <x14:cfRule type="expression" priority="6482" id="{73098046-C1D0-4373-80F9-60B4EBE07E58}">
            <xm:f>Calculs!B45&lt;&gt;""</xm:f>
            <x14:dxf>
              <fill>
                <patternFill>
                  <bgColor theme="0" tint="-0.24994659260841701"/>
                </patternFill>
              </fill>
            </x14:dxf>
          </x14:cfRule>
          <xm:sqref>I21:I25</xm:sqref>
        </x14:conditionalFormatting>
        <x14:conditionalFormatting xmlns:xm="http://schemas.microsoft.com/office/excel/2006/main">
          <x14:cfRule type="expression" priority="6090" id="{99C3DA2E-DCB3-465A-A231-6E574F2F7DDE}">
            <xm:f>Calculs!B37&lt;&gt;""</xm:f>
            <x14:dxf>
              <fill>
                <patternFill>
                  <bgColor rgb="FF0000FF"/>
                </patternFill>
              </fill>
              <border>
                <left style="thin">
                  <color rgb="FFFF0000"/>
                </left>
                <right style="thin">
                  <color rgb="FFFF0000"/>
                </right>
                <vertical/>
                <horizontal/>
              </border>
            </x14:dxf>
          </x14:cfRule>
          <xm:sqref>B21:B25 D21:D25</xm:sqref>
        </x14:conditionalFormatting>
        <x14:conditionalFormatting xmlns:xm="http://schemas.microsoft.com/office/excel/2006/main">
          <x14:cfRule type="expression" priority="6412" id="{CF5B5693-C64B-4455-B9F6-160FFB9BD50C}">
            <xm:f>Calculs!F9&lt;&gt;""</xm:f>
            <x14:dxf>
              <fill>
                <patternFill>
                  <bgColor rgb="FF0000FF"/>
                </patternFill>
              </fill>
              <border>
                <left style="thin">
                  <color rgb="FFFF0000"/>
                </left>
                <right style="thin">
                  <color rgb="FFFF0000"/>
                </right>
                <top/>
                <bottom/>
                <vertical/>
                <horizontal/>
              </border>
            </x14:dxf>
          </x14:cfRule>
          <xm:sqref>F9:F13 H9:H13</xm:sqref>
        </x14:conditionalFormatting>
        <x14:conditionalFormatting xmlns:xm="http://schemas.microsoft.com/office/excel/2006/main">
          <x14:cfRule type="expression" priority="6411" id="{AC79DE60-236A-4A28-A26A-39C33CB7B650}">
            <xm:f>Calculs!B9&lt;&gt;""</xm:f>
            <x14:dxf>
              <border>
                <top style="thin">
                  <color rgb="FFFF0000"/>
                </top>
                <vertical/>
                <horizontal/>
              </border>
            </x14:dxf>
          </x14:cfRule>
          <xm:sqref>F9 H9 B9 D9</xm:sqref>
        </x14:conditionalFormatting>
        <x14:conditionalFormatting xmlns:xm="http://schemas.microsoft.com/office/excel/2006/main">
          <x14:cfRule type="expression" priority="6410" id="{5AF45BA4-E0B2-497D-BCA3-68B62187F362}">
            <xm:f>Calculs!B9&lt;&gt;""</xm:f>
            <x14:dxf>
              <border>
                <bottom style="thin">
                  <color rgb="FFFF0000"/>
                </bottom>
                <vertical/>
                <horizontal/>
              </border>
            </x14:dxf>
          </x14:cfRule>
          <xm:sqref>F13 H13 B13 D13</xm:sqref>
        </x14:conditionalFormatting>
        <x14:conditionalFormatting xmlns:xm="http://schemas.microsoft.com/office/excel/2006/main">
          <x14:cfRule type="expression" priority="6441" id="{728F36C7-73D5-4D31-8B1F-B3541BBC92C6}">
            <xm:f>Calculs!D9&lt;&gt;""</xm:f>
            <x14:dxf>
              <fill>
                <patternFill>
                  <bgColor theme="0" tint="-0.24994659260841701"/>
                </patternFill>
              </fill>
            </x14:dxf>
          </x14:cfRule>
          <xm:sqref>E9:E13 G9:G13 C9:C13</xm:sqref>
        </x14:conditionalFormatting>
        <x14:conditionalFormatting xmlns:xm="http://schemas.microsoft.com/office/excel/2006/main">
          <x14:cfRule type="expression" priority="6438" id="{BB172A95-D3C6-4522-8EF0-68B9FBCC4B62}">
            <xm:f>Calculs!B17&lt;&gt;""</xm:f>
            <x14:dxf>
              <fill>
                <patternFill>
                  <bgColor theme="0" tint="-0.24994659260841701"/>
                </patternFill>
              </fill>
            </x14:dxf>
          </x14:cfRule>
          <xm:sqref>I9:I13</xm:sqref>
        </x14:conditionalFormatting>
        <x14:conditionalFormatting xmlns:xm="http://schemas.microsoft.com/office/excel/2006/main">
          <x14:cfRule type="expression" priority="6372" id="{2D814320-6592-4FB0-B785-03CECF652C5E}">
            <xm:f>Calculs!B121&lt;&gt;""</xm:f>
            <x14:dxf>
              <fill>
                <patternFill>
                  <bgColor rgb="FF0000FF"/>
                </patternFill>
              </fill>
              <border>
                <left style="thin">
                  <color rgb="FFFF0000"/>
                </left>
                <right style="thin">
                  <color rgb="FFFF0000"/>
                </right>
                <top/>
                <bottom/>
                <vertical/>
                <horizontal/>
              </border>
            </x14:dxf>
          </x14:cfRule>
          <xm:sqref>D73:D77 B73:B77 F73:F77 H73:H77 F65:F69 H65:H69</xm:sqref>
        </x14:conditionalFormatting>
        <x14:conditionalFormatting xmlns:xm="http://schemas.microsoft.com/office/excel/2006/main">
          <x14:cfRule type="expression" priority="6371" id="{363EFFBB-9E89-4BAD-A16C-B74F6BA583BA}">
            <xm:f>Calculs!B121&lt;&gt;""</xm:f>
            <x14:dxf>
              <border>
                <top style="thin">
                  <color rgb="FFFF0000"/>
                </top>
                <vertical/>
                <horizontal/>
              </border>
            </x14:dxf>
          </x14:cfRule>
          <xm:sqref>D73 B73 F73 H73 F65 H65 B65 D65</xm:sqref>
        </x14:conditionalFormatting>
        <x14:conditionalFormatting xmlns:xm="http://schemas.microsoft.com/office/excel/2006/main">
          <x14:cfRule type="expression" priority="6370" id="{F02AA9F2-4059-456A-BE73-873688A6EBC4}">
            <xm:f>Calculs!B121&lt;&gt;""</xm:f>
            <x14:dxf>
              <border>
                <bottom style="thin">
                  <color rgb="FFFF0000"/>
                </bottom>
                <vertical/>
                <horizontal/>
              </border>
            </x14:dxf>
          </x14:cfRule>
          <xm:sqref>D77 B77 F77 H77 F69 H69 B69 D69</xm:sqref>
        </x14:conditionalFormatting>
        <x14:conditionalFormatting xmlns:xm="http://schemas.microsoft.com/office/excel/2006/main">
          <x14:cfRule type="expression" priority="6400" id="{164E413D-1DDD-4307-B781-5C568E49CB24}">
            <xm:f>Calculs!D121&lt;&gt;""</xm:f>
            <x14:dxf>
              <fill>
                <patternFill>
                  <bgColor theme="0" tint="-0.24994659260841701"/>
                </patternFill>
              </fill>
            </x14:dxf>
          </x14:cfRule>
          <xm:sqref>C73:C77 E73:E77 G73:G77 E65:E69 G65:G69 C65:C69</xm:sqref>
        </x14:conditionalFormatting>
        <x14:conditionalFormatting xmlns:xm="http://schemas.microsoft.com/office/excel/2006/main">
          <x14:cfRule type="expression" priority="6397" id="{3205B1F3-31FF-4CB5-A29F-0C44ED48F65E}">
            <xm:f>Calculs!B129&lt;&gt;""</xm:f>
            <x14:dxf>
              <fill>
                <patternFill>
                  <bgColor theme="0" tint="-0.24994659260841701"/>
                </patternFill>
              </fill>
            </x14:dxf>
          </x14:cfRule>
          <xm:sqref>I73:I77 I65:I69</xm:sqref>
        </x14:conditionalFormatting>
        <x14:conditionalFormatting xmlns:xm="http://schemas.microsoft.com/office/excel/2006/main">
          <x14:cfRule type="expression" priority="6360" id="{72DA0BCD-5A7D-4421-83EE-13E0C756C0CE}">
            <xm:f>Calculs!$B$129&lt;&gt;""</xm:f>
            <x14:dxf>
              <fill>
                <patternFill>
                  <bgColor theme="0" tint="-0.24994659260841701"/>
                </patternFill>
              </fill>
            </x14:dxf>
          </x14:cfRule>
          <xm:sqref>B71:B72 C71:I71 I70</xm:sqref>
        </x14:conditionalFormatting>
        <x14:conditionalFormatting xmlns:xm="http://schemas.microsoft.com/office/excel/2006/main">
          <x14:cfRule type="expression" priority="6359" id="{A1E3BEDA-9F0F-40C5-A687-BC2364909D36}">
            <xm:f>Calculs!$B$137&lt;&gt;""</xm:f>
            <x14:dxf>
              <fill>
                <patternFill>
                  <bgColor theme="0" tint="-0.24994659260841701"/>
                </patternFill>
              </fill>
            </x14:dxf>
          </x14:cfRule>
          <xm:sqref>I78</xm:sqref>
        </x14:conditionalFormatting>
        <x14:conditionalFormatting xmlns:xm="http://schemas.microsoft.com/office/excel/2006/main">
          <x14:cfRule type="expression" priority="6330" id="{F301B9D4-94EB-4D3F-90C6-0EB9AE54E2B3}">
            <xm:f>Calculs!B149&lt;&gt;""</xm:f>
            <x14:dxf>
              <fill>
                <patternFill>
                  <bgColor rgb="FF0000FF"/>
                </patternFill>
              </fill>
              <border>
                <left style="thin">
                  <color rgb="FFFF0000"/>
                </left>
                <right style="thin">
                  <color rgb="FFFF0000"/>
                </right>
                <top/>
                <bottom/>
                <vertical/>
                <horizontal/>
              </border>
            </x14:dxf>
          </x14:cfRule>
          <xm:sqref>D93:D97 B93:B97 F93:F97 H93:H97 F85:F89 H85:H89</xm:sqref>
        </x14:conditionalFormatting>
        <x14:conditionalFormatting xmlns:xm="http://schemas.microsoft.com/office/excel/2006/main">
          <x14:cfRule type="expression" priority="6329" id="{218A34BB-639C-49AF-A4D6-D6BE20A8DDA7}">
            <xm:f>Calculs!B149&lt;&gt;""</xm:f>
            <x14:dxf>
              <border>
                <top style="thin">
                  <color rgb="FFFF0000"/>
                </top>
                <vertical/>
                <horizontal/>
              </border>
            </x14:dxf>
          </x14:cfRule>
          <xm:sqref>D93 B93 F93 H93 F85 H85 B85 D85</xm:sqref>
        </x14:conditionalFormatting>
        <x14:conditionalFormatting xmlns:xm="http://schemas.microsoft.com/office/excel/2006/main">
          <x14:cfRule type="expression" priority="6328" id="{A1FC1403-8195-48BA-B582-F67B45199E3F}">
            <xm:f>Calculs!B149&lt;&gt;""</xm:f>
            <x14:dxf>
              <border>
                <bottom style="thin">
                  <color rgb="FFFF0000"/>
                </bottom>
                <vertical/>
                <horizontal/>
              </border>
            </x14:dxf>
          </x14:cfRule>
          <xm:sqref>D97 B97 F97 H97 F89 H89 B89 D89</xm:sqref>
        </x14:conditionalFormatting>
        <x14:conditionalFormatting xmlns:xm="http://schemas.microsoft.com/office/excel/2006/main">
          <x14:cfRule type="expression" priority="6358" id="{D74146A8-1D68-427A-B499-3C29779A9C36}">
            <xm:f>Calculs!D149&lt;&gt;""</xm:f>
            <x14:dxf>
              <fill>
                <patternFill>
                  <bgColor theme="0" tint="-0.24994659260841701"/>
                </patternFill>
              </fill>
            </x14:dxf>
          </x14:cfRule>
          <xm:sqref>C93:C97 E93:E97 G93:G97 E85:E89 G85:G89 C85:C89</xm:sqref>
        </x14:conditionalFormatting>
        <x14:conditionalFormatting xmlns:xm="http://schemas.microsoft.com/office/excel/2006/main">
          <x14:cfRule type="expression" priority="6355" id="{CB633C61-6609-481A-A32B-062C2EA2409A}">
            <xm:f>Calculs!B157&lt;&gt;""</xm:f>
            <x14:dxf>
              <fill>
                <patternFill>
                  <bgColor theme="0" tint="-0.24994659260841701"/>
                </patternFill>
              </fill>
            </x14:dxf>
          </x14:cfRule>
          <xm:sqref>I93:I97 I85:I89</xm:sqref>
        </x14:conditionalFormatting>
        <x14:conditionalFormatting xmlns:xm="http://schemas.microsoft.com/office/excel/2006/main">
          <x14:cfRule type="expression" priority="6318" id="{C1174CEB-87BC-4AA8-99A2-6FB2C88FD36C}">
            <xm:f>Calculs!$B$157&lt;&gt;""</xm:f>
            <x14:dxf>
              <fill>
                <patternFill>
                  <bgColor theme="0" tint="-0.24994659260841701"/>
                </patternFill>
              </fill>
            </x14:dxf>
          </x14:cfRule>
          <xm:sqref>B91:B92 C91:I91 I90</xm:sqref>
        </x14:conditionalFormatting>
        <x14:conditionalFormatting xmlns:xm="http://schemas.microsoft.com/office/excel/2006/main">
          <x14:cfRule type="expression" priority="6317" id="{22104B1F-633F-47A3-B8FA-A2F22003F78B}">
            <xm:f>Calculs!$B$165&lt;&gt;""</xm:f>
            <x14:dxf>
              <fill>
                <patternFill>
                  <bgColor theme="0" tint="-0.24994659260841701"/>
                </patternFill>
              </fill>
            </x14:dxf>
          </x14:cfRule>
          <xm:sqref>I98</xm:sqref>
        </x14:conditionalFormatting>
        <x14:conditionalFormatting xmlns:xm="http://schemas.microsoft.com/office/excel/2006/main">
          <x14:cfRule type="expression" priority="6276" id="{491361BA-D713-4748-94FF-573052721617}">
            <xm:f>Calculs!$B$185&lt;&gt;""</xm:f>
            <x14:dxf>
              <fill>
                <patternFill>
                  <bgColor theme="0" tint="-0.24994659260841701"/>
                </patternFill>
              </fill>
            </x14:dxf>
          </x14:cfRule>
          <xm:sqref>B111:B112 C111:I111 I110</xm:sqref>
        </x14:conditionalFormatting>
        <x14:conditionalFormatting xmlns:xm="http://schemas.microsoft.com/office/excel/2006/main">
          <x14:cfRule type="expression" priority="6275" id="{A138BAC5-DC7F-4A45-AA5F-9B4E4B7D4A8B}">
            <xm:f>Calculs!$B$193&lt;&gt;""</xm:f>
            <x14:dxf>
              <fill>
                <patternFill>
                  <bgColor theme="0" tint="-0.24994659260841701"/>
                </patternFill>
              </fill>
            </x14:dxf>
          </x14:cfRule>
          <xm:sqref>I118</xm:sqref>
        </x14:conditionalFormatting>
        <x14:conditionalFormatting xmlns:xm="http://schemas.microsoft.com/office/excel/2006/main">
          <x14:cfRule type="expression" priority="6141" id="{D904ECDA-D01E-448D-85C1-A9B99935171B}">
            <xm:f>Calculs!B205&lt;&gt;""</xm:f>
            <x14:dxf>
              <fill>
                <patternFill>
                  <bgColor rgb="FF0000FF"/>
                </patternFill>
              </fill>
              <border>
                <left style="thin">
                  <color rgb="FFFF0000"/>
                </left>
                <right style="thin">
                  <color rgb="FFFF0000"/>
                </right>
                <vertical/>
                <horizontal/>
              </border>
            </x14:dxf>
          </x14:cfRule>
          <xm:sqref>B153:B157 B181:B185 B125:B129 D125:D129 D153:D157 D181:D185 B211:B215 D211:D215</xm:sqref>
        </x14:conditionalFormatting>
        <x14:conditionalFormatting xmlns:xm="http://schemas.microsoft.com/office/excel/2006/main">
          <x14:cfRule type="expression" priority="6194" id="{98B82068-1248-4A6B-96C8-78B8C3B78329}">
            <xm:f>Calculs!$B$241&lt;&gt;""</xm:f>
            <x14:dxf>
              <fill>
                <patternFill>
                  <bgColor theme="0" tint="-0.24994659260841701"/>
                </patternFill>
              </fill>
            </x14:dxf>
          </x14:cfRule>
          <xm:sqref>B159:B160 C159:I159 I158</xm:sqref>
        </x14:conditionalFormatting>
        <x14:conditionalFormatting xmlns:xm="http://schemas.microsoft.com/office/excel/2006/main">
          <x14:cfRule type="expression" priority="6193" id="{4895CEA8-9208-46B4-BCD5-0CF095A22EF8}">
            <xm:f>Calculs!$B$249&lt;&gt;""</xm:f>
            <x14:dxf>
              <fill>
                <patternFill>
                  <bgColor theme="0" tint="-0.24994659260841701"/>
                </patternFill>
              </fill>
            </x14:dxf>
          </x14:cfRule>
          <xm:sqref>B167:B168 C167:I167 I166</xm:sqref>
        </x14:conditionalFormatting>
        <x14:conditionalFormatting xmlns:xm="http://schemas.microsoft.com/office/excel/2006/main">
          <x14:cfRule type="expression" priority="6152" id="{9E574270-DE2C-4890-8190-F27D3B25A9C4}">
            <xm:f>Calculs!$B$269&lt;&gt;""</xm:f>
            <x14:dxf>
              <fill>
                <patternFill>
                  <bgColor theme="0" tint="-0.24994659260841701"/>
                </patternFill>
              </fill>
            </x14:dxf>
          </x14:cfRule>
          <xm:sqref>B187:B188 C187:I187 I186</xm:sqref>
        </x14:conditionalFormatting>
        <x14:conditionalFormatting xmlns:xm="http://schemas.microsoft.com/office/excel/2006/main">
          <x14:cfRule type="expression" priority="6151" id="{860F0789-4D37-4281-90B5-FD3D96498A7F}">
            <xm:f>Calculs!$B$277&lt;&gt;""</xm:f>
            <x14:dxf>
              <fill>
                <patternFill>
                  <bgColor theme="0" tint="-0.24994659260841701"/>
                </patternFill>
              </fill>
            </x14:dxf>
          </x14:cfRule>
          <xm:sqref>B195:B196 C195:I195 I194</xm:sqref>
        </x14:conditionalFormatting>
        <x14:conditionalFormatting xmlns:xm="http://schemas.microsoft.com/office/excel/2006/main">
          <x14:cfRule type="expression" priority="6127" id="{52D12055-7312-4D5C-8384-24530A1027AE}">
            <xm:f>Calculs!$B$221&lt;&gt;""</xm:f>
            <x14:dxf>
              <fill>
                <patternFill>
                  <bgColor theme="0" tint="-0.24994659260841701"/>
                </patternFill>
              </fill>
            </x14:dxf>
          </x14:cfRule>
          <xm:sqref>B139:B140 C139:I139 I138</xm:sqref>
        </x14:conditionalFormatting>
        <x14:conditionalFormatting xmlns:xm="http://schemas.microsoft.com/office/excel/2006/main">
          <x14:cfRule type="expression" priority="6126" id="{1165657B-C6D2-4FD4-AD25-4B92B51D4CA0}">
            <xm:f>Calculs!$B$213&lt;&gt;""</xm:f>
            <x14:dxf>
              <fill>
                <patternFill>
                  <bgColor theme="0" tint="-0.24994659260841701"/>
                </patternFill>
              </fill>
            </x14:dxf>
          </x14:cfRule>
          <xm:sqref>B131:B132 C131:I131 I130</xm:sqref>
        </x14:conditionalFormatting>
        <x14:conditionalFormatting xmlns:xm="http://schemas.microsoft.com/office/excel/2006/main">
          <x14:cfRule type="expression" priority="6124" id="{2B505F70-936D-4C16-B862-49D7207EF430}">
            <xm:f>Calculs!B177</xm:f>
            <x14:dxf>
              <border>
                <top style="thin">
                  <color rgb="FFFF0000"/>
                </top>
                <vertical/>
                <horizontal/>
              </border>
            </x14:dxf>
          </x14:cfRule>
          <xm:sqref>B105</xm:sqref>
        </x14:conditionalFormatting>
        <x14:conditionalFormatting xmlns:xm="http://schemas.microsoft.com/office/excel/2006/main">
          <x14:cfRule type="expression" priority="6118" id="{8A92AEFC-6887-4CB3-B321-B239D2D101C9}">
            <xm:f>Calculs!B149&lt;&gt;""</xm:f>
            <x14:dxf>
              <fill>
                <patternFill>
                  <bgColor rgb="FF0000FF"/>
                </patternFill>
              </fill>
              <border>
                <left style="thin">
                  <color rgb="FFFF0000"/>
                </left>
                <right style="thin">
                  <color rgb="FFFF0000"/>
                </right>
                <vertical/>
                <horizontal/>
              </border>
            </x14:dxf>
          </x14:cfRule>
          <xm:sqref>B85:B89 D85:D89</xm:sqref>
        </x14:conditionalFormatting>
        <x14:conditionalFormatting xmlns:xm="http://schemas.microsoft.com/office/excel/2006/main">
          <x14:cfRule type="expression" priority="6111" id="{11D4924D-4C1F-4708-9C86-ECB4E7EF4AC0}">
            <xm:f>Calculs!B121&lt;&gt;""</xm:f>
            <x14:dxf>
              <fill>
                <patternFill>
                  <bgColor rgb="FF0000FF"/>
                </patternFill>
              </fill>
              <border>
                <left style="thin">
                  <color rgb="FFFF0000"/>
                </left>
                <right style="thin">
                  <color rgb="FFFF0000"/>
                </right>
                <vertical/>
                <horizontal/>
              </border>
            </x14:dxf>
          </x14:cfRule>
          <xm:sqref>B65:B69 D65:D69</xm:sqref>
        </x14:conditionalFormatting>
        <x14:conditionalFormatting xmlns:xm="http://schemas.microsoft.com/office/excel/2006/main">
          <x14:cfRule type="expression" priority="6104" id="{A52AB2C9-6AB7-433A-A664-B5719C9EC295}">
            <xm:f>Calculs!B93&lt;&gt;""</xm:f>
            <x14:dxf>
              <fill>
                <patternFill>
                  <bgColor rgb="FF0000FF"/>
                </patternFill>
              </fill>
              <border>
                <left style="thin">
                  <color rgb="FFFF0000"/>
                </left>
                <right style="thin">
                  <color rgb="FFFF0000"/>
                </right>
                <vertical/>
                <horizontal/>
              </border>
            </x14:dxf>
          </x14:cfRule>
          <xm:sqref>B45:B49 D45:D49</xm:sqref>
        </x14:conditionalFormatting>
        <x14:conditionalFormatting xmlns:xm="http://schemas.microsoft.com/office/excel/2006/main">
          <x14:cfRule type="expression" priority="6097" id="{FB7BD9AA-8B11-4ABE-A402-86F9F2B23F99}">
            <xm:f>Calculs!B9&lt;&gt;""</xm:f>
            <x14:dxf>
              <fill>
                <patternFill>
                  <bgColor rgb="FF0000FF"/>
                </patternFill>
              </fill>
              <border>
                <left style="thin">
                  <color rgb="FFFF0000"/>
                </left>
                <right style="thin">
                  <color rgb="FFFF0000"/>
                </right>
                <vertical/>
                <horizontal/>
              </border>
            </x14:dxf>
          </x14:cfRule>
          <xm:sqref>B9:B13 D9:D13</xm:sqref>
        </x14:conditionalFormatting>
        <x14:conditionalFormatting xmlns:xm="http://schemas.microsoft.com/office/excel/2006/main">
          <x14:cfRule type="expression" priority="6083" id="{F47D2177-B5C8-4EB8-B534-B3BE57E40D20}">
            <xm:f>Calculs!B65&lt;&gt;""</xm:f>
            <x14:dxf>
              <fill>
                <patternFill>
                  <bgColor rgb="FF0000FF"/>
                </patternFill>
              </fill>
              <border>
                <left style="thin">
                  <color rgb="FFFF0000"/>
                </left>
                <right style="thin">
                  <color rgb="FFFF0000"/>
                </right>
                <vertical/>
                <horizontal/>
              </border>
            </x14:dxf>
          </x14:cfRule>
          <xm:sqref>B33:B37 D33:D37</xm:sqref>
        </x14:conditionalFormatting>
        <x14:conditionalFormatting xmlns:xm="http://schemas.microsoft.com/office/excel/2006/main">
          <x14:cfRule type="expression" priority="6069" id="{38E95EEB-5E98-4E74-8439-AE53676A8844}">
            <xm:f>Calculs!B319&lt;&gt;""</xm:f>
            <x14:dxf>
              <fill>
                <patternFill>
                  <bgColor rgb="FF0000FF"/>
                </patternFill>
              </fill>
              <border>
                <left style="thin">
                  <color rgb="FFFF0000"/>
                </left>
                <right style="thin">
                  <color rgb="FFFF0000"/>
                </right>
                <vertical/>
                <horizontal/>
              </border>
            </x14:dxf>
          </x14:cfRule>
          <xm:sqref>B223:B227 D223:D227</xm:sqref>
        </x14:conditionalFormatting>
        <x14:conditionalFormatting xmlns:xm="http://schemas.microsoft.com/office/excel/2006/main">
          <x14:cfRule type="expression" priority="6062" id="{65458AC2-3C91-496D-A77E-56C13B3B1888}">
            <xm:f>Calculs!B347&lt;&gt;""</xm:f>
            <x14:dxf>
              <fill>
                <patternFill>
                  <bgColor rgb="FF0000FF"/>
                </patternFill>
              </fill>
              <border>
                <left style="thin">
                  <color rgb="FFFF0000"/>
                </left>
                <right style="thin">
                  <color rgb="FFFF0000"/>
                </right>
                <vertical/>
                <horizontal/>
              </border>
            </x14:dxf>
          </x14:cfRule>
          <xm:sqref>B235:B239 D235:D239</xm:sqref>
        </x14:conditionalFormatting>
        <x14:conditionalFormatting xmlns:xm="http://schemas.microsoft.com/office/excel/2006/main">
          <x14:cfRule type="expression" priority="6055" id="{40975834-13E7-48F0-8218-DBA286DC3D4E}">
            <xm:f>Calculs!B3815&lt;&gt;""</xm:f>
            <x14:dxf>
              <fill>
                <patternFill>
                  <bgColor rgb="FF0000FF"/>
                </patternFill>
              </fill>
              <border>
                <left style="thin">
                  <color rgb="FFFF0000"/>
                </left>
                <right style="thin">
                  <color rgb="FFFF0000"/>
                </right>
                <vertical/>
                <horizontal/>
              </border>
            </x14:dxf>
          </x14:cfRule>
          <xm:sqref>B2911:B2915 D2911:D2915</xm:sqref>
        </x14:conditionalFormatting>
        <x14:conditionalFormatting xmlns:xm="http://schemas.microsoft.com/office/excel/2006/main">
          <x14:cfRule type="expression" priority="5947" id="{0001C804-AF02-41DC-AF6C-3BBC57568380}">
            <xm:f>Calculs!$B$523&lt;&gt;""</xm:f>
            <x14:dxf>
              <fill>
                <patternFill>
                  <bgColor theme="0" tint="-0.24994659260841701"/>
                </patternFill>
              </fill>
            </x14:dxf>
          </x14:cfRule>
          <xm:sqref>B377:B378 C377:I377 I376</xm:sqref>
        </x14:conditionalFormatting>
        <x14:conditionalFormatting xmlns:xm="http://schemas.microsoft.com/office/excel/2006/main">
          <x14:cfRule type="expression" priority="5946" id="{E8B2374B-BD7A-4A21-96F0-1E004B21BF35}">
            <xm:f>Calculs!$B$531&lt;&gt;""</xm:f>
            <x14:dxf>
              <fill>
                <patternFill>
                  <bgColor theme="0" tint="-0.24994659260841701"/>
                </patternFill>
              </fill>
            </x14:dxf>
          </x14:cfRule>
          <xm:sqref>B385:B386 C385:I385 I384</xm:sqref>
        </x14:conditionalFormatting>
        <x14:conditionalFormatting xmlns:xm="http://schemas.microsoft.com/office/excel/2006/main">
          <x14:cfRule type="expression" priority="5905" id="{10EEAC74-FD93-4093-B4CA-E4ABB418D1CB}">
            <xm:f>Calculs!$B$551&lt;&gt;""</xm:f>
            <x14:dxf>
              <fill>
                <patternFill>
                  <bgColor theme="0" tint="-0.24994659260841701"/>
                </patternFill>
              </fill>
            </x14:dxf>
          </x14:cfRule>
          <xm:sqref>B405:B406 C405:I405 I404</xm:sqref>
        </x14:conditionalFormatting>
        <x14:conditionalFormatting xmlns:xm="http://schemas.microsoft.com/office/excel/2006/main">
          <x14:cfRule type="expression" priority="5904" id="{80CADDC6-0260-4E48-90A9-0913A9458077}">
            <xm:f>Calculs!$B$559&lt;&gt;""</xm:f>
            <x14:dxf>
              <fill>
                <patternFill>
                  <bgColor theme="0" tint="-0.24994659260841701"/>
                </patternFill>
              </fill>
            </x14:dxf>
          </x14:cfRule>
          <xm:sqref>B413:B414 C413:I413 I412</xm:sqref>
        </x14:conditionalFormatting>
        <x14:conditionalFormatting xmlns:xm="http://schemas.microsoft.com/office/excel/2006/main">
          <x14:cfRule type="expression" priority="5882" id="{30F92C86-CC81-480B-AB1E-757BA541AA71}">
            <xm:f>Calculs!$B$503&lt;&gt;""</xm:f>
            <x14:dxf>
              <fill>
                <patternFill>
                  <bgColor theme="0" tint="-0.24994659260841701"/>
                </patternFill>
              </fill>
            </x14:dxf>
          </x14:cfRule>
          <xm:sqref>B357:B358 C357:I357 I356</xm:sqref>
        </x14:conditionalFormatting>
        <x14:conditionalFormatting xmlns:xm="http://schemas.microsoft.com/office/excel/2006/main">
          <x14:cfRule type="expression" priority="5881" id="{E46D4863-64F6-4003-8761-6165D03BAA83}">
            <xm:f>Calculs!$B$495&lt;&gt;""</xm:f>
            <x14:dxf>
              <fill>
                <patternFill>
                  <bgColor theme="0" tint="-0.24994659260841701"/>
                </patternFill>
              </fill>
            </x14:dxf>
          </x14:cfRule>
          <xm:sqref>B349:B350 C349:I349 I348</xm:sqref>
        </x14:conditionalFormatting>
        <x14:conditionalFormatting xmlns:xm="http://schemas.microsoft.com/office/excel/2006/main">
          <x14:cfRule type="expression" priority="5839" id="{A758B79D-7E6D-4851-AEFE-A782AA7E1802}">
            <xm:f>Calculs!$B$749&lt;&gt;""</xm:f>
            <x14:dxf>
              <fill>
                <patternFill>
                  <bgColor theme="0" tint="-0.24994659260841701"/>
                </patternFill>
              </fill>
            </x14:dxf>
          </x14:cfRule>
          <xm:sqref>I538:I539 C539:H539 B539:B540</xm:sqref>
        </x14:conditionalFormatting>
        <x14:conditionalFormatting xmlns:xm="http://schemas.microsoft.com/office/excel/2006/main">
          <x14:cfRule type="expression" priority="5855" id="{9965576C-275E-4379-9FA9-F89F11C6923B}">
            <xm:f>Calculs!$B$757&lt;&gt;""</xm:f>
            <x14:dxf>
              <fill>
                <patternFill>
                  <bgColor theme="0" tint="-0.24994659260841701"/>
                </patternFill>
              </fill>
            </x14:dxf>
          </x14:cfRule>
          <xm:sqref>I546:I547 C547:H547 B547:B548</xm:sqref>
        </x14:conditionalFormatting>
        <x14:conditionalFormatting xmlns:xm="http://schemas.microsoft.com/office/excel/2006/main">
          <x14:cfRule type="expression" priority="5797" id="{58CE032A-C1F4-4CFF-9B9B-7F4469D61923}">
            <xm:f>Calculs!$B$721&lt;&gt;""</xm:f>
            <x14:dxf>
              <fill>
                <patternFill>
                  <bgColor theme="0" tint="-0.24994659260841701"/>
                </patternFill>
              </fill>
            </x14:dxf>
          </x14:cfRule>
          <xm:sqref>I518:I519 C519:H519 B519:B520</xm:sqref>
        </x14:conditionalFormatting>
        <x14:conditionalFormatting xmlns:xm="http://schemas.microsoft.com/office/excel/2006/main">
          <x14:cfRule type="expression" priority="5813" id="{E05B9268-BA43-4DB9-A00B-9EEDA0FA7460}">
            <xm:f>Calculs!$B$729&lt;&gt;""</xm:f>
            <x14:dxf>
              <fill>
                <patternFill>
                  <bgColor theme="0" tint="-0.24994659260841701"/>
                </patternFill>
              </fill>
            </x14:dxf>
          </x14:cfRule>
          <xm:sqref>I526</xm:sqref>
        </x14:conditionalFormatting>
        <x14:conditionalFormatting xmlns:xm="http://schemas.microsoft.com/office/excel/2006/main">
          <x14:cfRule type="expression" priority="5755" id="{8C032D82-149D-4191-A090-67B43088AB6D}">
            <xm:f>Calculs!$B$693&lt;&gt;""</xm:f>
            <x14:dxf>
              <fill>
                <patternFill>
                  <bgColor theme="0" tint="-0.24994659260841701"/>
                </patternFill>
              </fill>
            </x14:dxf>
          </x14:cfRule>
          <xm:sqref>I498:I499 C499:H499 B499:B500</xm:sqref>
        </x14:conditionalFormatting>
        <x14:conditionalFormatting xmlns:xm="http://schemas.microsoft.com/office/excel/2006/main">
          <x14:cfRule type="expression" priority="5771" id="{B5C980C9-606D-4128-9771-79112FE0162C}">
            <xm:f>Calculs!$B$701&lt;&gt;""</xm:f>
            <x14:dxf>
              <fill>
                <patternFill>
                  <bgColor theme="0" tint="-0.24994659260841701"/>
                </patternFill>
              </fill>
            </x14:dxf>
          </x14:cfRule>
          <xm:sqref>I506</xm:sqref>
        </x14:conditionalFormatting>
        <x14:conditionalFormatting xmlns:xm="http://schemas.microsoft.com/office/excel/2006/main">
          <x14:cfRule type="expression" priority="5713" id="{51046AE2-F3B1-4018-B86B-103568B58CD1}">
            <xm:f>Calculs!$B$665&lt;&gt;""</xm:f>
            <x14:dxf>
              <fill>
                <patternFill>
                  <bgColor theme="0" tint="-0.24994659260841701"/>
                </patternFill>
              </fill>
            </x14:dxf>
          </x14:cfRule>
          <xm:sqref>I478:I479 C479:H479 B479:B480</xm:sqref>
        </x14:conditionalFormatting>
        <x14:conditionalFormatting xmlns:xm="http://schemas.microsoft.com/office/excel/2006/main">
          <x14:cfRule type="expression" priority="5729" id="{DE63E560-FD90-4197-968E-F2BAE508BC38}">
            <xm:f>Calculs!$B$673&lt;&gt;""</xm:f>
            <x14:dxf>
              <fill>
                <patternFill>
                  <bgColor theme="0" tint="-0.24994659260841701"/>
                </patternFill>
              </fill>
            </x14:dxf>
          </x14:cfRule>
          <xm:sqref>I486</xm:sqref>
        </x14:conditionalFormatting>
        <x14:conditionalFormatting xmlns:xm="http://schemas.microsoft.com/office/excel/2006/main">
          <x14:cfRule type="expression" priority="5671" id="{83C07426-8013-49E8-815A-43482F5D2E49}">
            <xm:f>Calculs!$B$637&lt;&gt;""</xm:f>
            <x14:dxf>
              <fill>
                <patternFill>
                  <bgColor theme="0" tint="-0.24994659260841701"/>
                </patternFill>
              </fill>
            </x14:dxf>
          </x14:cfRule>
          <xm:sqref>I458:I459 C459:H459 B459:B460</xm:sqref>
        </x14:conditionalFormatting>
        <x14:conditionalFormatting xmlns:xm="http://schemas.microsoft.com/office/excel/2006/main">
          <x14:cfRule type="expression" priority="5687" id="{48AD6C4A-7DAE-4DAA-B15F-C867DDB2EEBA}">
            <xm:f>Calculs!$B$645&lt;&gt;""</xm:f>
            <x14:dxf>
              <fill>
                <patternFill>
                  <bgColor theme="0" tint="-0.24994659260841701"/>
                </patternFill>
              </fill>
            </x14:dxf>
          </x14:cfRule>
          <xm:sqref>I466</xm:sqref>
        </x14:conditionalFormatting>
        <x14:conditionalFormatting xmlns:xm="http://schemas.microsoft.com/office/excel/2006/main">
          <x14:cfRule type="expression" priority="5629" id="{624C1D2E-F53A-4AB9-AA17-477CD4C237EF}">
            <xm:f>Calculs!$B$609&lt;&gt;""</xm:f>
            <x14:dxf>
              <fill>
                <patternFill>
                  <bgColor theme="0" tint="-0.24994659260841701"/>
                </patternFill>
              </fill>
            </x14:dxf>
          </x14:cfRule>
          <xm:sqref>I446</xm:sqref>
        </x14:conditionalFormatting>
        <x14:conditionalFormatting xmlns:xm="http://schemas.microsoft.com/office/excel/2006/main">
          <x14:cfRule type="expression" priority="5587" id="{3F1C9C1E-C5FD-4928-8564-AAC48301E079}">
            <xm:f>Calculs!$B$581&lt;&gt;""</xm:f>
            <x14:dxf>
              <fill>
                <patternFill>
                  <bgColor theme="0" tint="-0.24994659260841701"/>
                </patternFill>
              </fill>
            </x14:dxf>
          </x14:cfRule>
          <xm:sqref>I434</xm:sqref>
        </x14:conditionalFormatting>
        <x14:conditionalFormatting xmlns:xm="http://schemas.microsoft.com/office/excel/2006/main">
          <x14:cfRule type="expression" priority="5457" id="{2B4D251F-0654-42E6-BB14-01989AFC708B}">
            <xm:f>Calculs!$B$805&lt;&gt;""</xm:f>
            <x14:dxf>
              <fill>
                <patternFill>
                  <bgColor theme="0" tint="-0.24994659260841701"/>
                </patternFill>
              </fill>
            </x14:dxf>
          </x14:cfRule>
          <xm:sqref>B595:B596 C595:I595 I594</xm:sqref>
        </x14:conditionalFormatting>
        <x14:conditionalFormatting xmlns:xm="http://schemas.microsoft.com/office/excel/2006/main">
          <x14:cfRule type="expression" priority="5456" id="{3DD55B0F-8C5D-4A1F-A4E3-C2D120DC39A3}">
            <xm:f>Calculs!$B$813&lt;&gt;""</xm:f>
            <x14:dxf>
              <fill>
                <patternFill>
                  <bgColor theme="0" tint="-0.24994659260841701"/>
                </patternFill>
              </fill>
            </x14:dxf>
          </x14:cfRule>
          <xm:sqref>B603:B604 C603:I603 I602</xm:sqref>
        </x14:conditionalFormatting>
        <x14:conditionalFormatting xmlns:xm="http://schemas.microsoft.com/office/excel/2006/main">
          <x14:cfRule type="expression" priority="5415" id="{DF412AFE-8830-4DCE-957B-58E09CE3E6A6}">
            <xm:f>Calculs!$B$833&lt;&gt;""</xm:f>
            <x14:dxf>
              <fill>
                <patternFill>
                  <bgColor theme="0" tint="-0.24994659260841701"/>
                </patternFill>
              </fill>
            </x14:dxf>
          </x14:cfRule>
          <xm:sqref>B623:B624 C623:I623 I622</xm:sqref>
        </x14:conditionalFormatting>
        <x14:conditionalFormatting xmlns:xm="http://schemas.microsoft.com/office/excel/2006/main">
          <x14:cfRule type="expression" priority="5414" id="{6B531967-8732-47C9-9BF6-C8F243AA7F18}">
            <xm:f>Calculs!$B$841&lt;&gt;""</xm:f>
            <x14:dxf>
              <fill>
                <patternFill>
                  <bgColor theme="0" tint="-0.24994659260841701"/>
                </patternFill>
              </fill>
            </x14:dxf>
          </x14:cfRule>
          <xm:sqref>B631:B632 C631:I631 I630</xm:sqref>
        </x14:conditionalFormatting>
        <x14:conditionalFormatting xmlns:xm="http://schemas.microsoft.com/office/excel/2006/main">
          <x14:cfRule type="expression" priority="5392" id="{45055C29-3523-48C4-9967-F3B7CA3E05F0}">
            <xm:f>Calculs!$B$785&lt;&gt;""</xm:f>
            <x14:dxf>
              <fill>
                <patternFill>
                  <bgColor theme="0" tint="-0.24994659260841701"/>
                </patternFill>
              </fill>
            </x14:dxf>
          </x14:cfRule>
          <xm:sqref>B575:B576 C575:I575 I574</xm:sqref>
        </x14:conditionalFormatting>
        <x14:conditionalFormatting xmlns:xm="http://schemas.microsoft.com/office/excel/2006/main">
          <x14:cfRule type="expression" priority="5391" id="{7671B019-EC3E-40B4-8B96-7F42AA65B6AC}">
            <xm:f>Calculs!$B$777&lt;&gt;""</xm:f>
            <x14:dxf>
              <fill>
                <patternFill>
                  <bgColor theme="0" tint="-0.24994659260841701"/>
                </patternFill>
              </fill>
            </x14:dxf>
          </x14:cfRule>
          <xm:sqref>B567:B568 C567:I567 I566</xm:sqref>
        </x14:conditionalFormatting>
        <x14:conditionalFormatting xmlns:xm="http://schemas.microsoft.com/office/excel/2006/main">
          <x14:cfRule type="expression" priority="5349" id="{6019C854-FAFA-4F2F-BA6A-DB4FE0F35965}">
            <xm:f>Calculs!$B$1031&lt;&gt;""</xm:f>
            <x14:dxf>
              <fill>
                <patternFill>
                  <bgColor theme="0" tint="-0.24994659260841701"/>
                </patternFill>
              </fill>
            </x14:dxf>
          </x14:cfRule>
          <xm:sqref>I756:I757 C757:H757 B757:B758</xm:sqref>
        </x14:conditionalFormatting>
        <x14:conditionalFormatting xmlns:xm="http://schemas.microsoft.com/office/excel/2006/main">
          <x14:cfRule type="expression" priority="5365" id="{81DB43D8-CF38-43E5-927A-C2DA5FE77D39}">
            <xm:f>Calculs!$B$1039&lt;&gt;""</xm:f>
            <x14:dxf>
              <fill>
                <patternFill>
                  <bgColor theme="0" tint="-0.24994659260841701"/>
                </patternFill>
              </fill>
            </x14:dxf>
          </x14:cfRule>
          <xm:sqref>I764:I765 C765:H765 B765:B766</xm:sqref>
        </x14:conditionalFormatting>
        <x14:conditionalFormatting xmlns:xm="http://schemas.microsoft.com/office/excel/2006/main">
          <x14:cfRule type="expression" priority="5307" id="{1F3543B5-F3FC-4E89-A559-042CDBC21522}">
            <xm:f>Calculs!$B$1003&lt;&gt;""</xm:f>
            <x14:dxf>
              <fill>
                <patternFill>
                  <bgColor theme="0" tint="-0.24994659260841701"/>
                </patternFill>
              </fill>
            </x14:dxf>
          </x14:cfRule>
          <xm:sqref>I736:I737 C737:H737 B737:B738</xm:sqref>
        </x14:conditionalFormatting>
        <x14:conditionalFormatting xmlns:xm="http://schemas.microsoft.com/office/excel/2006/main">
          <x14:cfRule type="expression" priority="5323" id="{10FB2525-90C8-478F-B485-5EBE7B34C7A0}">
            <xm:f>Calculs!$B$1011&lt;&gt;""</xm:f>
            <x14:dxf>
              <fill>
                <patternFill>
                  <bgColor theme="0" tint="-0.24994659260841701"/>
                </patternFill>
              </fill>
            </x14:dxf>
          </x14:cfRule>
          <xm:sqref>I744</xm:sqref>
        </x14:conditionalFormatting>
        <x14:conditionalFormatting xmlns:xm="http://schemas.microsoft.com/office/excel/2006/main">
          <x14:cfRule type="expression" priority="5265" id="{EBEF1781-BBEE-429A-B650-4D2E08F8A9A6}">
            <xm:f>Calculs!$B$975&lt;&gt;""</xm:f>
            <x14:dxf>
              <fill>
                <patternFill>
                  <bgColor theme="0" tint="-0.24994659260841701"/>
                </patternFill>
              </fill>
            </x14:dxf>
          </x14:cfRule>
          <xm:sqref>I716:I717 C717:H717 B717:B718</xm:sqref>
        </x14:conditionalFormatting>
        <x14:conditionalFormatting xmlns:xm="http://schemas.microsoft.com/office/excel/2006/main">
          <x14:cfRule type="expression" priority="5281" id="{FE0E9602-E957-43D9-8609-7DCF46FA5A66}">
            <xm:f>Calculs!$B$983&lt;&gt;""</xm:f>
            <x14:dxf>
              <fill>
                <patternFill>
                  <bgColor theme="0" tint="-0.24994659260841701"/>
                </patternFill>
              </fill>
            </x14:dxf>
          </x14:cfRule>
          <xm:sqref>I724</xm:sqref>
        </x14:conditionalFormatting>
        <x14:conditionalFormatting xmlns:xm="http://schemas.microsoft.com/office/excel/2006/main">
          <x14:cfRule type="expression" priority="5223" id="{E351D40F-AD5D-4F10-96A6-A3C75C7BCB30}">
            <xm:f>Calculs!$B$947&lt;&gt;""</xm:f>
            <x14:dxf>
              <fill>
                <patternFill>
                  <bgColor theme="0" tint="-0.24994659260841701"/>
                </patternFill>
              </fill>
            </x14:dxf>
          </x14:cfRule>
          <xm:sqref>I696:I697 C697:H697 B697:B698</xm:sqref>
        </x14:conditionalFormatting>
        <x14:conditionalFormatting xmlns:xm="http://schemas.microsoft.com/office/excel/2006/main">
          <x14:cfRule type="expression" priority="5239" id="{D0962504-0F8C-47EA-812F-E0282FB47BA3}">
            <xm:f>Calculs!$B$955&lt;&gt;""</xm:f>
            <x14:dxf>
              <fill>
                <patternFill>
                  <bgColor theme="0" tint="-0.24994659260841701"/>
                </patternFill>
              </fill>
            </x14:dxf>
          </x14:cfRule>
          <xm:sqref>I704</xm:sqref>
        </x14:conditionalFormatting>
        <x14:conditionalFormatting xmlns:xm="http://schemas.microsoft.com/office/excel/2006/main">
          <x14:cfRule type="expression" priority="5181" id="{41165BB1-E224-46DE-ADAD-05CD5A10ADD3}">
            <xm:f>Calculs!$B$919&lt;&gt;""</xm:f>
            <x14:dxf>
              <fill>
                <patternFill>
                  <bgColor theme="0" tint="-0.24994659260841701"/>
                </patternFill>
              </fill>
            </x14:dxf>
          </x14:cfRule>
          <xm:sqref>I676:I677 C677:H677 B677:B678</xm:sqref>
        </x14:conditionalFormatting>
        <x14:conditionalFormatting xmlns:xm="http://schemas.microsoft.com/office/excel/2006/main">
          <x14:cfRule type="expression" priority="5197" id="{2FBD51FF-1C51-474C-871E-4DB8DD4B34B3}">
            <xm:f>Calculs!$B$927&lt;&gt;""</xm:f>
            <x14:dxf>
              <fill>
                <patternFill>
                  <bgColor theme="0" tint="-0.24994659260841701"/>
                </patternFill>
              </fill>
            </x14:dxf>
          </x14:cfRule>
          <xm:sqref>I684</xm:sqref>
        </x14:conditionalFormatting>
        <x14:conditionalFormatting xmlns:xm="http://schemas.microsoft.com/office/excel/2006/main">
          <x14:cfRule type="expression" priority="5139" id="{4767AED8-923A-4472-8956-0691903F507F}">
            <xm:f>Calculs!$B$891&lt;&gt;""</xm:f>
            <x14:dxf>
              <fill>
                <patternFill>
                  <bgColor theme="0" tint="-0.24994659260841701"/>
                </patternFill>
              </fill>
            </x14:dxf>
          </x14:cfRule>
          <xm:sqref>I664</xm:sqref>
        </x14:conditionalFormatting>
        <x14:conditionalFormatting xmlns:xm="http://schemas.microsoft.com/office/excel/2006/main">
          <x14:cfRule type="expression" priority="5097" id="{81626CD5-8BE4-4C38-A619-34CFBEDDE0FF}">
            <xm:f>Calculs!$B$863&lt;&gt;""</xm:f>
            <x14:dxf>
              <fill>
                <patternFill>
                  <bgColor theme="0" tint="-0.24994659260841701"/>
                </patternFill>
              </fill>
            </x14:dxf>
          </x14:cfRule>
          <xm:sqref>I652</xm:sqref>
        </x14:conditionalFormatting>
        <x14:conditionalFormatting xmlns:xm="http://schemas.microsoft.com/office/excel/2006/main">
          <x14:cfRule type="expression" priority="4967" id="{A2128F17-C947-4959-97F3-749B388114D3}">
            <xm:f>Calculs!$B$1087&lt;&gt;""</xm:f>
            <x14:dxf>
              <fill>
                <patternFill>
                  <bgColor theme="0" tint="-0.24994659260841701"/>
                </patternFill>
              </fill>
            </x14:dxf>
          </x14:cfRule>
          <xm:sqref>B813:B814 C813:I813 I812</xm:sqref>
        </x14:conditionalFormatting>
        <x14:conditionalFormatting xmlns:xm="http://schemas.microsoft.com/office/excel/2006/main">
          <x14:cfRule type="expression" priority="4966" id="{E3726A3E-139C-433C-A13B-07CDFBD859C7}">
            <xm:f>Calculs!$B$1095&lt;&gt;""</xm:f>
            <x14:dxf>
              <fill>
                <patternFill>
                  <bgColor theme="0" tint="-0.24994659260841701"/>
                </patternFill>
              </fill>
            </x14:dxf>
          </x14:cfRule>
          <xm:sqref>B821:B822 C821:I821 I820</xm:sqref>
        </x14:conditionalFormatting>
        <x14:conditionalFormatting xmlns:xm="http://schemas.microsoft.com/office/excel/2006/main">
          <x14:cfRule type="expression" priority="4925" id="{C41410F1-005E-4BCB-93C1-299174D8E000}">
            <xm:f>Calculs!$B$1115&lt;&gt;""</xm:f>
            <x14:dxf>
              <fill>
                <patternFill>
                  <bgColor theme="0" tint="-0.24994659260841701"/>
                </patternFill>
              </fill>
            </x14:dxf>
          </x14:cfRule>
          <xm:sqref>B841:B842 C841:I841 I840</xm:sqref>
        </x14:conditionalFormatting>
        <x14:conditionalFormatting xmlns:xm="http://schemas.microsoft.com/office/excel/2006/main">
          <x14:cfRule type="expression" priority="4924" id="{C19C7336-BED9-42AB-9920-F9A23B40FAD6}">
            <xm:f>Calculs!$B$1123&lt;&gt;""</xm:f>
            <x14:dxf>
              <fill>
                <patternFill>
                  <bgColor theme="0" tint="-0.24994659260841701"/>
                </patternFill>
              </fill>
            </x14:dxf>
          </x14:cfRule>
          <xm:sqref>B849:B850 C849:I849 I848</xm:sqref>
        </x14:conditionalFormatting>
        <x14:conditionalFormatting xmlns:xm="http://schemas.microsoft.com/office/excel/2006/main">
          <x14:cfRule type="expression" priority="4902" id="{421A2FED-B709-4911-A7C6-4FEC381CA86F}">
            <xm:f>Calculs!$B$1067&lt;&gt;""</xm:f>
            <x14:dxf>
              <fill>
                <patternFill>
                  <bgColor theme="0" tint="-0.24994659260841701"/>
                </patternFill>
              </fill>
            </x14:dxf>
          </x14:cfRule>
          <xm:sqref>B793:B794 C793:I793 I792</xm:sqref>
        </x14:conditionalFormatting>
        <x14:conditionalFormatting xmlns:xm="http://schemas.microsoft.com/office/excel/2006/main">
          <x14:cfRule type="expression" priority="4901" id="{18EC3405-B2A8-4ECD-8782-028DA37C3E6A}">
            <xm:f>Calculs!$B$1059&lt;&gt;""</xm:f>
            <x14:dxf>
              <fill>
                <patternFill>
                  <bgColor theme="0" tint="-0.24994659260841701"/>
                </patternFill>
              </fill>
            </x14:dxf>
          </x14:cfRule>
          <xm:sqref>B785:B786 C785:I785 I784</xm:sqref>
        </x14:conditionalFormatting>
        <x14:conditionalFormatting xmlns:xm="http://schemas.microsoft.com/office/excel/2006/main">
          <x14:cfRule type="expression" priority="4859" id="{53203705-33CA-4EBE-9C9A-FEDA45D180B1}">
            <xm:f>Calculs!$B$1313&lt;&gt;""</xm:f>
            <x14:dxf>
              <fill>
                <patternFill>
                  <bgColor theme="0" tint="-0.24994659260841701"/>
                </patternFill>
              </fill>
            </x14:dxf>
          </x14:cfRule>
          <xm:sqref>I974:I975 C975:H975 B975:B976</xm:sqref>
        </x14:conditionalFormatting>
        <x14:conditionalFormatting xmlns:xm="http://schemas.microsoft.com/office/excel/2006/main">
          <x14:cfRule type="expression" priority="4875" id="{BFD7635F-4480-4267-95E8-FB51943402E3}">
            <xm:f>Calculs!$B$1321&lt;&gt;""</xm:f>
            <x14:dxf>
              <fill>
                <patternFill>
                  <bgColor theme="0" tint="-0.24994659260841701"/>
                </patternFill>
              </fill>
            </x14:dxf>
          </x14:cfRule>
          <xm:sqref>I982:I983 C983:H983 B983:B984</xm:sqref>
        </x14:conditionalFormatting>
        <x14:conditionalFormatting xmlns:xm="http://schemas.microsoft.com/office/excel/2006/main">
          <x14:cfRule type="expression" priority="4817" id="{A13A9A03-3A1B-4E5A-AEB9-D319CF08E447}">
            <xm:f>Calculs!$B$1285&lt;&gt;""</xm:f>
            <x14:dxf>
              <fill>
                <patternFill>
                  <bgColor theme="0" tint="-0.24994659260841701"/>
                </patternFill>
              </fill>
            </x14:dxf>
          </x14:cfRule>
          <xm:sqref>I954:I955 C955:H955 B955:B956</xm:sqref>
        </x14:conditionalFormatting>
        <x14:conditionalFormatting xmlns:xm="http://schemas.microsoft.com/office/excel/2006/main">
          <x14:cfRule type="expression" priority="4833" id="{E9D8700D-B465-45A4-92DF-811B435670EE}">
            <xm:f>Calculs!$B$1293&lt;&gt;""</xm:f>
            <x14:dxf>
              <fill>
                <patternFill>
                  <bgColor theme="0" tint="-0.24994659260841701"/>
                </patternFill>
              </fill>
            </x14:dxf>
          </x14:cfRule>
          <xm:sqref>I962</xm:sqref>
        </x14:conditionalFormatting>
        <x14:conditionalFormatting xmlns:xm="http://schemas.microsoft.com/office/excel/2006/main">
          <x14:cfRule type="expression" priority="4775" id="{1608BBFC-7149-4BF7-8828-C5799748F9C1}">
            <xm:f>Calculs!$B$1257&lt;&gt;""</xm:f>
            <x14:dxf>
              <fill>
                <patternFill>
                  <bgColor theme="0" tint="-0.24994659260841701"/>
                </patternFill>
              </fill>
            </x14:dxf>
          </x14:cfRule>
          <xm:sqref>I934:I935 C935:H935 B935:B936</xm:sqref>
        </x14:conditionalFormatting>
        <x14:conditionalFormatting xmlns:xm="http://schemas.microsoft.com/office/excel/2006/main">
          <x14:cfRule type="expression" priority="4791" id="{2A280AEF-D926-4DD2-BD2A-92985D65262D}">
            <xm:f>Calculs!$B$1265&lt;&gt;""</xm:f>
            <x14:dxf>
              <fill>
                <patternFill>
                  <bgColor theme="0" tint="-0.24994659260841701"/>
                </patternFill>
              </fill>
            </x14:dxf>
          </x14:cfRule>
          <xm:sqref>I942</xm:sqref>
        </x14:conditionalFormatting>
        <x14:conditionalFormatting xmlns:xm="http://schemas.microsoft.com/office/excel/2006/main">
          <x14:cfRule type="expression" priority="4733" id="{3B1F7F4C-E552-4643-B843-0B1B4FC15F5D}">
            <xm:f>Calculs!$B$1229&lt;&gt;""</xm:f>
            <x14:dxf>
              <fill>
                <patternFill>
                  <bgColor theme="0" tint="-0.24994659260841701"/>
                </patternFill>
              </fill>
            </x14:dxf>
          </x14:cfRule>
          <xm:sqref>I914:I915 C915:H915 B915:B916</xm:sqref>
        </x14:conditionalFormatting>
        <x14:conditionalFormatting xmlns:xm="http://schemas.microsoft.com/office/excel/2006/main">
          <x14:cfRule type="expression" priority="4749" id="{C732C5FA-0A77-4AD4-9013-A8D0E0A2DD22}">
            <xm:f>Calculs!$B$1237&lt;&gt;""</xm:f>
            <x14:dxf>
              <fill>
                <patternFill>
                  <bgColor theme="0" tint="-0.24994659260841701"/>
                </patternFill>
              </fill>
            </x14:dxf>
          </x14:cfRule>
          <xm:sqref>I922</xm:sqref>
        </x14:conditionalFormatting>
        <x14:conditionalFormatting xmlns:xm="http://schemas.microsoft.com/office/excel/2006/main">
          <x14:cfRule type="expression" priority="4691" id="{B2F4B124-268B-49F6-8F92-67E0ECCA0588}">
            <xm:f>Calculs!$B$1201&lt;&gt;""</xm:f>
            <x14:dxf>
              <fill>
                <patternFill>
                  <bgColor theme="0" tint="-0.24994659260841701"/>
                </patternFill>
              </fill>
            </x14:dxf>
          </x14:cfRule>
          <xm:sqref>I894:I895 C895:H895 B895:B896</xm:sqref>
        </x14:conditionalFormatting>
        <x14:conditionalFormatting xmlns:xm="http://schemas.microsoft.com/office/excel/2006/main">
          <x14:cfRule type="expression" priority="4707" id="{B0DBC31B-C384-4F16-9DAC-A8687C4D8790}">
            <xm:f>Calculs!$B$1209&lt;&gt;""</xm:f>
            <x14:dxf>
              <fill>
                <patternFill>
                  <bgColor theme="0" tint="-0.24994659260841701"/>
                </patternFill>
              </fill>
            </x14:dxf>
          </x14:cfRule>
          <xm:sqref>I902</xm:sqref>
        </x14:conditionalFormatting>
        <x14:conditionalFormatting xmlns:xm="http://schemas.microsoft.com/office/excel/2006/main">
          <x14:cfRule type="expression" priority="4649" id="{C27E5CC6-F8CC-4B3C-9078-84F204521D92}">
            <xm:f>Calculs!$B$1173&lt;&gt;""</xm:f>
            <x14:dxf>
              <fill>
                <patternFill>
                  <bgColor theme="0" tint="-0.24994659260841701"/>
                </patternFill>
              </fill>
            </x14:dxf>
          </x14:cfRule>
          <xm:sqref>I882</xm:sqref>
        </x14:conditionalFormatting>
        <x14:conditionalFormatting xmlns:xm="http://schemas.microsoft.com/office/excel/2006/main">
          <x14:cfRule type="expression" priority="4607" id="{BC9A945E-0ECF-4AE4-8E3F-4E0489E63D89}">
            <xm:f>Calculs!$B$1145&lt;&gt;""</xm:f>
            <x14:dxf>
              <fill>
                <patternFill>
                  <bgColor theme="0" tint="-0.24994659260841701"/>
                </patternFill>
              </fill>
            </x14:dxf>
          </x14:cfRule>
          <xm:sqref>I870</xm:sqref>
        </x14:conditionalFormatting>
        <x14:conditionalFormatting xmlns:xm="http://schemas.microsoft.com/office/excel/2006/main">
          <x14:cfRule type="expression" priority="4477" id="{9722B895-C4D9-4F67-94F4-AA0B252DB103}">
            <xm:f>Calculs!$B$1369&lt;&gt;""</xm:f>
            <x14:dxf>
              <fill>
                <patternFill>
                  <bgColor theme="0" tint="-0.24994659260841701"/>
                </patternFill>
              </fill>
            </x14:dxf>
          </x14:cfRule>
          <xm:sqref>B1031:B1032 C1031:I1031 I1030</xm:sqref>
        </x14:conditionalFormatting>
        <x14:conditionalFormatting xmlns:xm="http://schemas.microsoft.com/office/excel/2006/main">
          <x14:cfRule type="expression" priority="4476" id="{932ECF76-AA79-43B8-BAA4-4152C0BBE6A2}">
            <xm:f>Calculs!$B$1377&lt;&gt;""</xm:f>
            <x14:dxf>
              <fill>
                <patternFill>
                  <bgColor theme="0" tint="-0.24994659260841701"/>
                </patternFill>
              </fill>
            </x14:dxf>
          </x14:cfRule>
          <xm:sqref>B1039:B1040 C1039:I1039 I1038</xm:sqref>
        </x14:conditionalFormatting>
        <x14:conditionalFormatting xmlns:xm="http://schemas.microsoft.com/office/excel/2006/main">
          <x14:cfRule type="expression" priority="4435" id="{B381E84B-468B-45B2-B4AA-FE4469FBE949}">
            <xm:f>Calculs!$B$1397&lt;&gt;""</xm:f>
            <x14:dxf>
              <fill>
                <patternFill>
                  <bgColor theme="0" tint="-0.24994659260841701"/>
                </patternFill>
              </fill>
            </x14:dxf>
          </x14:cfRule>
          <xm:sqref>B1059:B1060 C1059:I1059 I1058</xm:sqref>
        </x14:conditionalFormatting>
        <x14:conditionalFormatting xmlns:xm="http://schemas.microsoft.com/office/excel/2006/main">
          <x14:cfRule type="expression" priority="4434" id="{B220332F-07DA-41BB-BE4D-9F493536B763}">
            <xm:f>Calculs!$B$1405&lt;&gt;""</xm:f>
            <x14:dxf>
              <fill>
                <patternFill>
                  <bgColor theme="0" tint="-0.24994659260841701"/>
                </patternFill>
              </fill>
            </x14:dxf>
          </x14:cfRule>
          <xm:sqref>B1067:B1068 C1067:I1067 I1066</xm:sqref>
        </x14:conditionalFormatting>
        <x14:conditionalFormatting xmlns:xm="http://schemas.microsoft.com/office/excel/2006/main">
          <x14:cfRule type="expression" priority="4412" id="{C9FE8CA7-3AF1-468B-9C06-0F263E88C71F}">
            <xm:f>Calculs!$B$1349&lt;&gt;""</xm:f>
            <x14:dxf>
              <fill>
                <patternFill>
                  <bgColor theme="0" tint="-0.24994659260841701"/>
                </patternFill>
              </fill>
            </x14:dxf>
          </x14:cfRule>
          <xm:sqref>B1011:B1012 C1011:I1011 I1010</xm:sqref>
        </x14:conditionalFormatting>
        <x14:conditionalFormatting xmlns:xm="http://schemas.microsoft.com/office/excel/2006/main">
          <x14:cfRule type="expression" priority="4411" id="{61C1F3C0-0585-480C-8574-9F12FD492AE6}">
            <xm:f>Calculs!$B$1341&lt;&gt;""</xm:f>
            <x14:dxf>
              <fill>
                <patternFill>
                  <bgColor theme="0" tint="-0.24994659260841701"/>
                </patternFill>
              </fill>
            </x14:dxf>
          </x14:cfRule>
          <xm:sqref>B1003:B1004 C1003:I1003 I1002</xm:sqref>
        </x14:conditionalFormatting>
        <x14:conditionalFormatting xmlns:xm="http://schemas.microsoft.com/office/excel/2006/main">
          <x14:cfRule type="expression" priority="4369" id="{554DB51E-0AEA-4CDD-A287-623F54DE6D31}">
            <xm:f>Calculs!$B$1595&lt;&gt;""</xm:f>
            <x14:dxf>
              <fill>
                <patternFill>
                  <bgColor theme="0" tint="-0.24994659260841701"/>
                </patternFill>
              </fill>
            </x14:dxf>
          </x14:cfRule>
          <xm:sqref>I1192:I1193 C1193:H1193 B1193:B1194</xm:sqref>
        </x14:conditionalFormatting>
        <x14:conditionalFormatting xmlns:xm="http://schemas.microsoft.com/office/excel/2006/main">
          <x14:cfRule type="expression" priority="4385" id="{33F9E74B-47E0-4504-9AE3-707DB9EE0DE9}">
            <xm:f>Calculs!$B$1603&lt;&gt;""</xm:f>
            <x14:dxf>
              <fill>
                <patternFill>
                  <bgColor theme="0" tint="-0.24994659260841701"/>
                </patternFill>
              </fill>
            </x14:dxf>
          </x14:cfRule>
          <xm:sqref>I1200:I1201 C1201:H1201 B1201:B1202</xm:sqref>
        </x14:conditionalFormatting>
        <x14:conditionalFormatting xmlns:xm="http://schemas.microsoft.com/office/excel/2006/main">
          <x14:cfRule type="expression" priority="4327" id="{AA2BFACC-932E-4A48-B268-D63C9DFD24C6}">
            <xm:f>Calculs!$B$1567&lt;&gt;""</xm:f>
            <x14:dxf>
              <fill>
                <patternFill>
                  <bgColor theme="0" tint="-0.24994659260841701"/>
                </patternFill>
              </fill>
            </x14:dxf>
          </x14:cfRule>
          <xm:sqref>I1172:I1173 C1173:H1173 B1173:B1174</xm:sqref>
        </x14:conditionalFormatting>
        <x14:conditionalFormatting xmlns:xm="http://schemas.microsoft.com/office/excel/2006/main">
          <x14:cfRule type="expression" priority="4343" id="{627EA40E-1231-41B1-829E-C8D3C3131F29}">
            <xm:f>Calculs!$B$1575&lt;&gt;""</xm:f>
            <x14:dxf>
              <fill>
                <patternFill>
                  <bgColor theme="0" tint="-0.24994659260841701"/>
                </patternFill>
              </fill>
            </x14:dxf>
          </x14:cfRule>
          <xm:sqref>I1180</xm:sqref>
        </x14:conditionalFormatting>
        <x14:conditionalFormatting xmlns:xm="http://schemas.microsoft.com/office/excel/2006/main">
          <x14:cfRule type="expression" priority="4285" id="{CCD4C7C1-0A6C-40AC-8D50-72D7E2B00314}">
            <xm:f>Calculs!$B$1539&lt;&gt;""</xm:f>
            <x14:dxf>
              <fill>
                <patternFill>
                  <bgColor theme="0" tint="-0.24994659260841701"/>
                </patternFill>
              </fill>
            </x14:dxf>
          </x14:cfRule>
          <xm:sqref>I1152:I1153 C1153:H1153 B1153:B1154</xm:sqref>
        </x14:conditionalFormatting>
        <x14:conditionalFormatting xmlns:xm="http://schemas.microsoft.com/office/excel/2006/main">
          <x14:cfRule type="expression" priority="4301" id="{9C2D005A-349A-4A92-8ED8-A1675CE94C68}">
            <xm:f>Calculs!$B$1547&lt;&gt;""</xm:f>
            <x14:dxf>
              <fill>
                <patternFill>
                  <bgColor theme="0" tint="-0.24994659260841701"/>
                </patternFill>
              </fill>
            </x14:dxf>
          </x14:cfRule>
          <xm:sqref>I1160</xm:sqref>
        </x14:conditionalFormatting>
        <x14:conditionalFormatting xmlns:xm="http://schemas.microsoft.com/office/excel/2006/main">
          <x14:cfRule type="expression" priority="4243" id="{0558D3CB-AC41-49C6-979D-4EF2B9846673}">
            <xm:f>Calculs!$B$1511&lt;&gt;""</xm:f>
            <x14:dxf>
              <fill>
                <patternFill>
                  <bgColor theme="0" tint="-0.24994659260841701"/>
                </patternFill>
              </fill>
            </x14:dxf>
          </x14:cfRule>
          <xm:sqref>I1132:I1133 C1133:H1133 B1133:B1134</xm:sqref>
        </x14:conditionalFormatting>
        <x14:conditionalFormatting xmlns:xm="http://schemas.microsoft.com/office/excel/2006/main">
          <x14:cfRule type="expression" priority="4259" id="{CC193B21-D708-41FF-8441-2D6FB6E8F983}">
            <xm:f>Calculs!$B$1519&lt;&gt;""</xm:f>
            <x14:dxf>
              <fill>
                <patternFill>
                  <bgColor theme="0" tint="-0.24994659260841701"/>
                </patternFill>
              </fill>
            </x14:dxf>
          </x14:cfRule>
          <xm:sqref>I1140</xm:sqref>
        </x14:conditionalFormatting>
        <x14:conditionalFormatting xmlns:xm="http://schemas.microsoft.com/office/excel/2006/main">
          <x14:cfRule type="expression" priority="4201" id="{690E0EF4-FE6C-4DF3-9AE0-A8036948F745}">
            <xm:f>Calculs!$B$1483&lt;&gt;""</xm:f>
            <x14:dxf>
              <fill>
                <patternFill>
                  <bgColor theme="0" tint="-0.24994659260841701"/>
                </patternFill>
              </fill>
            </x14:dxf>
          </x14:cfRule>
          <xm:sqref>I1112:I1113 C1113:H1113 B1113:B1114</xm:sqref>
        </x14:conditionalFormatting>
        <x14:conditionalFormatting xmlns:xm="http://schemas.microsoft.com/office/excel/2006/main">
          <x14:cfRule type="expression" priority="4217" id="{6FDFC829-24AB-4A38-AA26-967BB0AF1B2B}">
            <xm:f>Calculs!$B$1491&lt;&gt;""</xm:f>
            <x14:dxf>
              <fill>
                <patternFill>
                  <bgColor theme="0" tint="-0.24994659260841701"/>
                </patternFill>
              </fill>
            </x14:dxf>
          </x14:cfRule>
          <xm:sqref>I1120</xm:sqref>
        </x14:conditionalFormatting>
        <x14:conditionalFormatting xmlns:xm="http://schemas.microsoft.com/office/excel/2006/main">
          <x14:cfRule type="expression" priority="4159" id="{5F8EDD0D-9705-4941-A60D-10003D2A5BAD}">
            <xm:f>Calculs!$B$1455&lt;&gt;""</xm:f>
            <x14:dxf>
              <fill>
                <patternFill>
                  <bgColor theme="0" tint="-0.24994659260841701"/>
                </patternFill>
              </fill>
            </x14:dxf>
          </x14:cfRule>
          <xm:sqref>I1100</xm:sqref>
        </x14:conditionalFormatting>
        <x14:conditionalFormatting xmlns:xm="http://schemas.microsoft.com/office/excel/2006/main">
          <x14:cfRule type="expression" priority="4117" id="{65EE12CF-1588-4492-A160-65E95254D41D}">
            <xm:f>Calculs!$B$1427&lt;&gt;""</xm:f>
            <x14:dxf>
              <fill>
                <patternFill>
                  <bgColor theme="0" tint="-0.24994659260841701"/>
                </patternFill>
              </fill>
            </x14:dxf>
          </x14:cfRule>
          <xm:sqref>I1088</xm:sqref>
        </x14:conditionalFormatting>
        <x14:conditionalFormatting xmlns:xm="http://schemas.microsoft.com/office/excel/2006/main">
          <x14:cfRule type="expression" priority="3987" id="{EBEBEA9C-3E4A-44FC-88C5-EAF584FE182B}">
            <xm:f>Calculs!$B$1651&lt;&gt;""</xm:f>
            <x14:dxf>
              <fill>
                <patternFill>
                  <bgColor theme="0" tint="-0.24994659260841701"/>
                </patternFill>
              </fill>
            </x14:dxf>
          </x14:cfRule>
          <xm:sqref>B1249:B1250 C1249:I1249 I1248</xm:sqref>
        </x14:conditionalFormatting>
        <x14:conditionalFormatting xmlns:xm="http://schemas.microsoft.com/office/excel/2006/main">
          <x14:cfRule type="expression" priority="3986" id="{CAA65FD7-F22B-434C-8023-E9FBFBBF7740}">
            <xm:f>Calculs!$B$1659&lt;&gt;""</xm:f>
            <x14:dxf>
              <fill>
                <patternFill>
                  <bgColor theme="0" tint="-0.24994659260841701"/>
                </patternFill>
              </fill>
            </x14:dxf>
          </x14:cfRule>
          <xm:sqref>B1257:B1258 C1257:I1257 I1256</xm:sqref>
        </x14:conditionalFormatting>
        <x14:conditionalFormatting xmlns:xm="http://schemas.microsoft.com/office/excel/2006/main">
          <x14:cfRule type="expression" priority="3945" id="{B8575A7C-CF62-4CA0-956D-F217F951DCB1}">
            <xm:f>Calculs!$B$1679&lt;&gt;""</xm:f>
            <x14:dxf>
              <fill>
                <patternFill>
                  <bgColor theme="0" tint="-0.24994659260841701"/>
                </patternFill>
              </fill>
            </x14:dxf>
          </x14:cfRule>
          <xm:sqref>B1277:B1278 C1277:I1277 I1276</xm:sqref>
        </x14:conditionalFormatting>
        <x14:conditionalFormatting xmlns:xm="http://schemas.microsoft.com/office/excel/2006/main">
          <x14:cfRule type="expression" priority="3944" id="{B9E7C071-5906-47E3-87BE-A0B17F39F360}">
            <xm:f>Calculs!$B$1687&lt;&gt;""</xm:f>
            <x14:dxf>
              <fill>
                <patternFill>
                  <bgColor theme="0" tint="-0.24994659260841701"/>
                </patternFill>
              </fill>
            </x14:dxf>
          </x14:cfRule>
          <xm:sqref>B1285:B1286 C1285:I1285 I1284</xm:sqref>
        </x14:conditionalFormatting>
        <x14:conditionalFormatting xmlns:xm="http://schemas.microsoft.com/office/excel/2006/main">
          <x14:cfRule type="expression" priority="3922" id="{EA96B1AC-E335-4E7D-A9A6-3AD7E8874675}">
            <xm:f>Calculs!$B$1631&lt;&gt;""</xm:f>
            <x14:dxf>
              <fill>
                <patternFill>
                  <bgColor theme="0" tint="-0.24994659260841701"/>
                </patternFill>
              </fill>
            </x14:dxf>
          </x14:cfRule>
          <xm:sqref>B1229:B1230 C1229:I1229 I1228</xm:sqref>
        </x14:conditionalFormatting>
        <x14:conditionalFormatting xmlns:xm="http://schemas.microsoft.com/office/excel/2006/main">
          <x14:cfRule type="expression" priority="3921" id="{CB69E787-C57C-4D6F-AC1F-5326CD3F56A2}">
            <xm:f>Calculs!$B$1623&lt;&gt;""</xm:f>
            <x14:dxf>
              <fill>
                <patternFill>
                  <bgColor theme="0" tint="-0.24994659260841701"/>
                </patternFill>
              </fill>
            </x14:dxf>
          </x14:cfRule>
          <xm:sqref>B1221:B1222 C1221:I1221 I1220</xm:sqref>
        </x14:conditionalFormatting>
        <x14:conditionalFormatting xmlns:xm="http://schemas.microsoft.com/office/excel/2006/main">
          <x14:cfRule type="expression" priority="3879" id="{B5AC31A5-823B-4335-9F13-B78AA2CFB345}">
            <xm:f>Calculs!$B3851&lt;&gt;""</xm:f>
            <x14:dxf>
              <fill>
                <patternFill>
                  <bgColor theme="0" tint="-0.24994659260841701"/>
                </patternFill>
              </fill>
            </x14:dxf>
          </x14:cfRule>
          <xm:sqref>C2937:H2937 B2937:B2938 C2945:H2945 B2945:B2946 C2993:I2993 I2992 C3001:I3001 I3000 C3021:I3021 I3020 C3029:I3029 I3028 C2973:I2973 I2972 C2965:I2965 I2964 I2936:I2937 I2944:I2945 B2993:B2994 B3001:B3002 B3021:B3022 B3029:B3030 B2973:B2974 B2965:B2966</xm:sqref>
        </x14:conditionalFormatting>
        <x14:conditionalFormatting xmlns:xm="http://schemas.microsoft.com/office/excel/2006/main">
          <x14:cfRule type="expression" priority="3895" id="{72B28399-364C-4406-AC83-D3D4270DCA17}">
            <xm:f>Calculs!$B3823&lt;&gt;""</xm:f>
            <x14:dxf>
              <fill>
                <patternFill>
                  <bgColor theme="0" tint="-0.24994659260841701"/>
                </patternFill>
              </fill>
            </x14:dxf>
          </x14:cfRule>
          <xm:sqref>C2917:H2917 B2917:B2918 I2916:I2917</xm:sqref>
        </x14:conditionalFormatting>
        <x14:conditionalFormatting xmlns:xm="http://schemas.microsoft.com/office/excel/2006/main">
          <x14:cfRule type="expression" priority="461" id="{45285FDC-04EF-417D-84CD-A11BA579CE6E}">
            <xm:f>Calculs!B3843&lt;&gt;""</xm:f>
            <x14:dxf>
              <fill>
                <patternFill>
                  <bgColor rgb="FF0000FF"/>
                </patternFill>
              </fill>
              <border>
                <left style="thin">
                  <color rgb="FFFF0000"/>
                </left>
                <right style="thin">
                  <color rgb="FFFF0000"/>
                </right>
                <top/>
                <bottom/>
                <vertical/>
                <horizontal/>
              </border>
            </x14:dxf>
          </x14:cfRule>
          <xm:sqref>D2947:D2951 D2939:D2943 B2939:B2943 F2939:F2943 H2939:H2943 F2931:F2935 H2931:H2935 B2947:B2951 F2947:F2951 H2947:H2951 D2975:D2979 D2967:D2971 B2967:B2971 F2967:F2971 H2967:H2971 F2959:F2963 H2959:H2963 B2975:B2979 F2975:F2979 H2975:H2979 D3003:D3007 D2995:D2999 B2995:B2999 F2995:F2999 H2995:H2999 F2987:F2991 H2987:H2991 B3003:B3007 F3003:F3007 H3003:H3007 D3031:D3035 D3023:D3027 B3023:B3027 F3023:F3027 H3023:H3027 F3015:F3019 H3015:H3019 B3031:B3035 F3031:F3035 H3031:H3035</xm:sqref>
        </x14:conditionalFormatting>
        <x14:conditionalFormatting xmlns:xm="http://schemas.microsoft.com/office/excel/2006/main">
          <x14:cfRule type="expression" priority="460" id="{0D67389E-0AB5-4CAD-A098-16A9E8D1D57B}">
            <xm:f>Calculs!B3843&lt;&gt;""</xm:f>
            <x14:dxf>
              <border>
                <top style="thin">
                  <color rgb="FFFF0000"/>
                </top>
                <vertical/>
                <horizontal/>
              </border>
            </x14:dxf>
          </x14:cfRule>
          <xm:sqref>D2947 D2939 B2939 F2939 H2939 F2931 H2931 B2947 F2947 H2947 B2931 D2931 D2975 D2967 B2967 F2967 H2967 F2959 H2959 B2975 F2975 H2975 D3003 D2995 B2995 F2995 H2995 F2987 H2987 B3003 F3003 H3003 D3031 D3023 B3023 F3023 H3023 F3015 H3015 B3031 F3031 H3031 B2959 D2959 B2987 D2987 B3015 D3015</xm:sqref>
        </x14:conditionalFormatting>
        <x14:conditionalFormatting xmlns:xm="http://schemas.microsoft.com/office/excel/2006/main">
          <x14:cfRule type="expression" priority="459" id="{B9C6A057-83E7-4AC1-9A46-6853770119C4}">
            <xm:f>Calculs!B3843&lt;&gt;""</xm:f>
            <x14:dxf>
              <border>
                <bottom style="thin">
                  <color rgb="FFFF0000"/>
                </bottom>
                <vertical/>
                <horizontal/>
              </border>
            </x14:dxf>
          </x14:cfRule>
          <xm:sqref>D2951 D2943 B2943 F2943 H2943 F2935 H2935 B2951 F2951 H2951 B2935 D2935 D2979 D2971 B2971 F2971 H2971 F2963 H2963 B2979 F2979 H2979 D3007 D2999 B2999 F2999 H2999 F2991 H2991 B3007 F3007 H3007 D3035 D3027 B3027 F3027 H3027 F3019 H3019 B3035 F3035 H3035 B2963 D2963 B2991 D2991 B3019 D3019</xm:sqref>
        </x14:conditionalFormatting>
        <x14:conditionalFormatting xmlns:xm="http://schemas.microsoft.com/office/excel/2006/main">
          <x14:cfRule type="expression" priority="490" id="{555BC8D5-5F13-448D-A178-0FB1BA3C2F1E}">
            <xm:f>Calculs!D3843&lt;&gt;""</xm:f>
            <x14:dxf>
              <fill>
                <patternFill>
                  <bgColor theme="0" tint="-0.24994659260841701"/>
                </patternFill>
              </fill>
            </x14:dxf>
          </x14:cfRule>
          <xm:sqref>C2939:C2943 E2939:E2943 G2939:G2943 E2931:E2935 G2931:G2935 C2947:C2951 E2947:E2951 G2947:G2951 C2931:C2935 C2967:C2971 E2967:E2971 G2967:G2971 E2959:E2963 G2959:G2963 C2975:C2979 E2975:E2979 G2975:G2979 C2995:C2999 E2995:E2999 G2995:G2999 E2987:E2991 G2987:G2991 C3003:C3007 E3003:E3007 G3003:G3007 C3023:C3027 E3023:E3027 G3023:G3027 E3015:E3019 G3015:G3019 C3031:C3035 E3031:E3035 G3031:G3035 C2959:C2963 C2987:C2991 C3015:C3019</xm:sqref>
        </x14:conditionalFormatting>
        <x14:conditionalFormatting xmlns:xm="http://schemas.microsoft.com/office/excel/2006/main">
          <x14:cfRule type="expression" priority="487" id="{B6A09CB0-3054-4616-B397-374C7488A904}">
            <xm:f>Calculs!B3851&lt;&gt;""</xm:f>
            <x14:dxf>
              <fill>
                <patternFill>
                  <bgColor theme="0" tint="-0.24994659260841701"/>
                </patternFill>
              </fill>
            </x14:dxf>
          </x14:cfRule>
          <xm:sqref>I2939:I2943 I2931:I2935 I2967:I2971 I2959:I2963 I2995:I2999 I2987:I2991 I3023:I3027 I3015:I3019</xm:sqref>
        </x14:conditionalFormatting>
        <x14:conditionalFormatting xmlns:xm="http://schemas.microsoft.com/office/excel/2006/main">
          <x14:cfRule type="expression" priority="154" id="{8FBB0E39-3DA4-4FFD-B465-0CFC8B7F9E8D}">
            <xm:f>Calculs!B3843&lt;&gt;""</xm:f>
            <x14:dxf>
              <fill>
                <patternFill>
                  <bgColor rgb="FF0000FF"/>
                </patternFill>
              </fill>
              <border>
                <left style="thin">
                  <color rgb="FFFF0000"/>
                </left>
                <right style="thin">
                  <color rgb="FFFF0000"/>
                </right>
                <vertical/>
                <horizontal/>
              </border>
            </x14:dxf>
          </x14:cfRule>
          <xm:sqref>B2931:B2935 D2931:D2935 B2987:B2991 B3015:B3019 B2959:B2963 D2959:D2963 D2987:D2991 D3015:D3019</xm:sqref>
        </x14:conditionalFormatting>
        <x14:conditionalFormatting xmlns:xm="http://schemas.microsoft.com/office/excel/2006/main">
          <x14:cfRule type="expression" priority="7519" id="{8E2A9599-93B2-4C85-B723-E2C36000060E}">
            <xm:f>Calculs!B205&lt;&gt;""</xm:f>
            <x14:dxf>
              <fill>
                <patternFill>
                  <bgColor rgb="FF0000FF"/>
                </patternFill>
              </fill>
              <border>
                <left style="thin">
                  <color rgb="FFFF0000"/>
                </left>
                <right style="thin">
                  <color rgb="FFFF0000"/>
                </right>
                <top/>
                <bottom/>
                <vertical/>
                <horizontal/>
              </border>
            </x14:dxf>
          </x14:cfRule>
          <xm:sqref>F211:F215 H211:H215 D141:D145 D133:D137 B133:B137 F133:F137 H133:H137 F125:F129 H125:H129 B141:B145 F141:F145 H141:H145 D169:D173 D161:D165 B161:B165 F161:F165 H161:H165 F153:F157 H153:H157 B169:B173 F169:F173 H169:H173 D197:D201 D189:D193 B189:B193 F189:F193 H189:H193 F181:F185 H181:H185 B197:B201 F197:F201 H197:H201</xm:sqref>
        </x14:conditionalFormatting>
        <x14:conditionalFormatting xmlns:xm="http://schemas.microsoft.com/office/excel/2006/main">
          <x14:cfRule type="expression" priority="7568" id="{0202E95D-011D-45C7-863F-4B595F37413F}">
            <xm:f>Calculs!B205&lt;&gt;""</xm:f>
            <x14:dxf>
              <border>
                <top style="thin">
                  <color rgb="FFFF0000"/>
                </top>
                <vertical/>
                <horizontal/>
              </border>
            </x14:dxf>
          </x14:cfRule>
          <xm:sqref>F211 H211 D141 D133 B133 F133 H133 F125 H125 B141 F141 H141 D169 D161 B161 F161 H161 F153 H153 B169 F169 H169 D197 D189 B189 F189 H189 F181 H181 B197 F197 H197 B125 D125 B153 D153 B181 D181 B211 D211</xm:sqref>
        </x14:conditionalFormatting>
        <x14:conditionalFormatting xmlns:xm="http://schemas.microsoft.com/office/excel/2006/main">
          <x14:cfRule type="expression" priority="7626" id="{4F8EEA1B-B5AB-4EBC-8E54-7D50C90C9C9C}">
            <xm:f>Calculs!B205&lt;&gt;""</xm:f>
            <x14:dxf>
              <border>
                <bottom style="thin">
                  <color rgb="FFFF0000"/>
                </bottom>
                <vertical/>
                <horizontal/>
              </border>
            </x14:dxf>
          </x14:cfRule>
          <xm:sqref>F215 H215 D145 D137 B137 F137 H137 F129 H129 B145 F145 H145 D173 D165 B165 F165 H165 F157 H157 B173 F173 H173 D201 D193 B193 F193 H193 F185 H185 B201 F201 H201 B129 D129 B157 D157 B185 D185 B215 D215</xm:sqref>
        </x14:conditionalFormatting>
        <x14:conditionalFormatting xmlns:xm="http://schemas.microsoft.com/office/excel/2006/main">
          <x14:cfRule type="expression" priority="7684" id="{05A822CE-DC1A-4BC5-815B-281CEB1C065F}">
            <xm:f>Calculs!D205&lt;&gt;""</xm:f>
            <x14:dxf>
              <fill>
                <patternFill>
                  <bgColor theme="0" tint="-0.24994659260841701"/>
                </patternFill>
              </fill>
            </x14:dxf>
          </x14:cfRule>
          <xm:sqref>E211:E215 G211:G215 C133:C137 E133:E137 G133:G137 E125:E129 G125:G129 C141:C145 E141:E145 G141:G145 C161:C165 E161:E165 G161:G165 E153:E157 G153:G157 C169:C173 E169:E173 G169:G173 C189:C193 E189:E193 G189:G193 E181:E185 G181:G185 C197:C201 E197:E201 G197:G201 C125:C129 C153:C157 C181:C185 C211:C215</xm:sqref>
        </x14:conditionalFormatting>
        <x14:conditionalFormatting xmlns:xm="http://schemas.microsoft.com/office/excel/2006/main">
          <x14:cfRule type="expression" priority="7726" id="{B21D14D2-BB16-4746-BD0C-C224B28AC27A}">
            <xm:f>Calculs!B213&lt;&gt;""</xm:f>
            <x14:dxf>
              <fill>
                <patternFill>
                  <bgColor theme="0" tint="-0.24994659260841701"/>
                </patternFill>
              </fill>
            </x14:dxf>
          </x14:cfRule>
          <xm:sqref>I211:I215 I133:I137 I125:I129 I161:I165 I153:I157 I189:I193 I181:I185</xm:sqref>
        </x14:conditionalFormatting>
        <x14:conditionalFormatting xmlns:xm="http://schemas.microsoft.com/office/excel/2006/main">
          <x14:cfRule type="expression" priority="7892" id="{D904ECDA-D01E-448D-85C1-A9B99935171B}">
            <xm:f>Calculs!B177&lt;&gt;""</xm:f>
            <x14:dxf>
              <fill>
                <patternFill>
                  <bgColor rgb="FF0000FF"/>
                </patternFill>
              </fill>
              <border>
                <left style="thin">
                  <color rgb="FFFF0000"/>
                </left>
                <right style="thin">
                  <color rgb="FFFF0000"/>
                </right>
                <vertical/>
                <horizontal/>
              </border>
            </x14:dxf>
          </x14:cfRule>
          <xm:sqref>B105:B109 D105:D109</xm:sqref>
        </x14:conditionalFormatting>
        <x14:conditionalFormatting xmlns:xm="http://schemas.microsoft.com/office/excel/2006/main">
          <x14:cfRule type="expression" priority="8228" id="{8E2A9599-93B2-4C85-B723-E2C36000060E}">
            <xm:f>Calculs!B177&lt;&gt;""</xm:f>
            <x14:dxf>
              <fill>
                <patternFill>
                  <bgColor rgb="FF0000FF"/>
                </patternFill>
              </fill>
              <border>
                <left style="thin">
                  <color rgb="FFFF0000"/>
                </left>
                <right style="thin">
                  <color rgb="FFFF0000"/>
                </right>
                <top/>
                <bottom/>
                <vertical/>
                <horizontal/>
              </border>
            </x14:dxf>
          </x14:cfRule>
          <xm:sqref>D113:D117 B113:B117 F113:F117 H113:H117 F105:F109 H105:H109</xm:sqref>
        </x14:conditionalFormatting>
        <x14:conditionalFormatting xmlns:xm="http://schemas.microsoft.com/office/excel/2006/main">
          <x14:cfRule type="expression" priority="8265" id="{0202E95D-011D-45C7-863F-4B595F37413F}">
            <xm:f>Calculs!B177&lt;&gt;""</xm:f>
            <x14:dxf>
              <border>
                <top style="thin">
                  <color rgb="FFFF0000"/>
                </top>
                <vertical/>
                <horizontal/>
              </border>
            </x14:dxf>
          </x14:cfRule>
          <xm:sqref>D113 B113 F113 H113 F105 H105 D105</xm:sqref>
        </x14:conditionalFormatting>
        <x14:conditionalFormatting xmlns:xm="http://schemas.microsoft.com/office/excel/2006/main">
          <x14:cfRule type="expression" priority="8311" id="{4F8EEA1B-B5AB-4EBC-8E54-7D50C90C9C9C}">
            <xm:f>Calculs!B177&lt;&gt;""</xm:f>
            <x14:dxf>
              <border>
                <bottom style="thin">
                  <color rgb="FFFF0000"/>
                </bottom>
                <vertical/>
                <horizontal/>
              </border>
            </x14:dxf>
          </x14:cfRule>
          <xm:sqref>D117 B117 F117 H117 F109 H109 B109 D109</xm:sqref>
        </x14:conditionalFormatting>
        <x14:conditionalFormatting xmlns:xm="http://schemas.microsoft.com/office/excel/2006/main">
          <x14:cfRule type="expression" priority="8358" id="{05A822CE-DC1A-4BC5-815B-281CEB1C065F}">
            <xm:f>Calculs!D177&lt;&gt;""</xm:f>
            <x14:dxf>
              <fill>
                <patternFill>
                  <bgColor theme="0" tint="-0.24994659260841701"/>
                </patternFill>
              </fill>
            </x14:dxf>
          </x14:cfRule>
          <xm:sqref>C113:C117 E113:E117 G113:G117 E105:E109 G105:G109 C105:C109</xm:sqref>
        </x14:conditionalFormatting>
        <x14:conditionalFormatting xmlns:xm="http://schemas.microsoft.com/office/excel/2006/main">
          <x14:cfRule type="expression" priority="8392" id="{B21D14D2-BB16-4746-BD0C-C224B28AC27A}">
            <xm:f>Calculs!B185&lt;&gt;""</xm:f>
            <x14:dxf>
              <fill>
                <patternFill>
                  <bgColor theme="0" tint="-0.24994659260841701"/>
                </patternFill>
              </fill>
            </x14:dxf>
          </x14:cfRule>
          <xm:sqref>I113:I117 I105:I109</xm:sqref>
        </x14:conditionalFormatting>
        <x14:conditionalFormatting xmlns:xm="http://schemas.microsoft.com/office/excel/2006/main">
          <x14:cfRule type="expression" priority="8393" id="{C9A287EB-8A12-4865-AF04-B92FD38265CC}">
            <xm:f>Calculs!B3787&lt;&gt;""</xm:f>
            <x14:dxf>
              <fill>
                <patternFill>
                  <bgColor rgb="FF0000FF"/>
                </patternFill>
              </fill>
              <border>
                <left style="thin">
                  <color rgb="FFFF0000"/>
                </left>
                <right style="thin">
                  <color rgb="FFFF0000"/>
                </right>
                <top/>
                <bottom/>
                <vertical/>
                <horizontal/>
              </border>
            </x14:dxf>
          </x14:cfRule>
          <xm:sqref>D2899:D2903 B2899:B2903 F2899:F2903 H2899:H2903 F2891:F2895 H2891:H2895</xm:sqref>
        </x14:conditionalFormatting>
        <x14:conditionalFormatting xmlns:xm="http://schemas.microsoft.com/office/excel/2006/main">
          <x14:cfRule type="expression" priority="9614" id="{6CDDFE3E-6706-49F3-AA3C-26E2BF9D73B3}">
            <xm:f>Calculs!B3787&lt;&gt;""</xm:f>
            <x14:dxf>
              <border>
                <top style="thin">
                  <color rgb="FFFF0000"/>
                </top>
                <vertical/>
                <horizontal/>
              </border>
            </x14:dxf>
          </x14:cfRule>
          <xm:sqref>D2899 B2899 F2899 H2899 F2891 H2891 B2891 D2891</xm:sqref>
        </x14:conditionalFormatting>
        <x14:conditionalFormatting xmlns:xm="http://schemas.microsoft.com/office/excel/2006/main">
          <x14:cfRule type="expression" priority="11081" id="{A7186BC3-358F-4958-8BAB-1B6701711F9D}">
            <xm:f>Calculs!B3787&lt;&gt;""</xm:f>
            <x14:dxf>
              <border>
                <bottom style="thin">
                  <color rgb="FFFF0000"/>
                </bottom>
                <vertical/>
                <horizontal/>
              </border>
            </x14:dxf>
          </x14:cfRule>
          <xm:sqref>D2903 B2903 F2903 H2903 F2895 H2895 B2895 D2895</xm:sqref>
        </x14:conditionalFormatting>
        <x14:conditionalFormatting xmlns:xm="http://schemas.microsoft.com/office/excel/2006/main">
          <x14:cfRule type="expression" priority="12548" id="{51F54783-7A41-47BC-9B58-85EBA65CA6EB}">
            <xm:f>Calculs!D3787&lt;&gt;""</xm:f>
            <x14:dxf>
              <fill>
                <patternFill>
                  <bgColor theme="0" tint="-0.24994659260841701"/>
                </patternFill>
              </fill>
            </x14:dxf>
          </x14:cfRule>
          <xm:sqref>C2899:C2903 E2899:E2903 G2899:G2903 E2891:E2895 G2891:G2895 C2891:C2895</xm:sqref>
        </x14:conditionalFormatting>
        <x14:conditionalFormatting xmlns:xm="http://schemas.microsoft.com/office/excel/2006/main">
          <x14:cfRule type="expression" priority="13648" id="{6B52E6F6-7CAF-4C4D-8236-7017D2EBA393}">
            <xm:f>Calculs!B3795&lt;&gt;""</xm:f>
            <x14:dxf>
              <fill>
                <patternFill>
                  <bgColor theme="0" tint="-0.24994659260841701"/>
                </patternFill>
              </fill>
            </x14:dxf>
          </x14:cfRule>
          <xm:sqref>I2899:I2903 I2891:I2895</xm:sqref>
        </x14:conditionalFormatting>
        <x14:conditionalFormatting xmlns:xm="http://schemas.microsoft.com/office/excel/2006/main">
          <x14:cfRule type="expression" priority="14094" id="{40975834-13E7-48F0-8218-DBA286DC3D4E}">
            <xm:f>Calculs!B3787&lt;&gt;""</xm:f>
            <x14:dxf>
              <fill>
                <patternFill>
                  <bgColor rgb="FF0000FF"/>
                </patternFill>
              </fill>
              <border>
                <left style="thin">
                  <color rgb="FFFF0000"/>
                </left>
                <right style="thin">
                  <color rgb="FFFF0000"/>
                </right>
                <vertical/>
                <horizontal/>
              </border>
            </x14:dxf>
          </x14:cfRule>
          <xm:sqref>B2891:B2895 D2891:D2895</xm:sqref>
        </x14:conditionalFormatting>
        <x14:conditionalFormatting xmlns:xm="http://schemas.microsoft.com/office/excel/2006/main">
          <x14:cfRule type="expression" priority="14354" id="{72B28399-364C-4406-AC83-D3D4270DCA17}">
            <xm:f>Calculs!$B3795&lt;&gt;""</xm:f>
            <x14:dxf>
              <fill>
                <patternFill>
                  <bgColor theme="0" tint="-0.24994659260841701"/>
                </patternFill>
              </fill>
            </x14:dxf>
          </x14:cfRule>
          <xm:sqref>C2897:H2897 B2897:B2898 I2896:I2897</xm:sqref>
        </x14:conditionalFormatting>
        <x14:conditionalFormatting xmlns:xm="http://schemas.microsoft.com/office/excel/2006/main">
          <x14:cfRule type="expression" priority="14779" id="{C9A287EB-8A12-4865-AF04-B92FD38265CC}">
            <xm:f>Calculs!B3759&lt;&gt;""</xm:f>
            <x14:dxf>
              <fill>
                <patternFill>
                  <bgColor rgb="FF0000FF"/>
                </patternFill>
              </fill>
              <border>
                <left style="thin">
                  <color rgb="FFFF0000"/>
                </left>
                <right style="thin">
                  <color rgb="FFFF0000"/>
                </right>
                <top/>
                <bottom/>
                <vertical/>
                <horizontal/>
              </border>
            </x14:dxf>
          </x14:cfRule>
          <xm:sqref>D2879:D2883 B2879:B2883 F2879:F2883 H2879:H2883 F2871:F2875 H2871:H2875</xm:sqref>
        </x14:conditionalFormatting>
        <x14:conditionalFormatting xmlns:xm="http://schemas.microsoft.com/office/excel/2006/main">
          <x14:cfRule type="expression" priority="15990" id="{6CDDFE3E-6706-49F3-AA3C-26E2BF9D73B3}">
            <xm:f>Calculs!B3759&lt;&gt;""</xm:f>
            <x14:dxf>
              <border>
                <top style="thin">
                  <color rgb="FFFF0000"/>
                </top>
                <vertical/>
                <horizontal/>
              </border>
            </x14:dxf>
          </x14:cfRule>
          <xm:sqref>D2879 B2879 F2879 H2879 F2871 H2871 B2871 D2871</xm:sqref>
        </x14:conditionalFormatting>
        <x14:conditionalFormatting xmlns:xm="http://schemas.microsoft.com/office/excel/2006/main">
          <x14:cfRule type="expression" priority="17445" id="{A7186BC3-358F-4958-8BAB-1B6701711F9D}">
            <xm:f>Calculs!B3759&lt;&gt;""</xm:f>
            <x14:dxf>
              <border>
                <bottom style="thin">
                  <color rgb="FFFF0000"/>
                </bottom>
                <vertical/>
                <horizontal/>
              </border>
            </x14:dxf>
          </x14:cfRule>
          <xm:sqref>D2883 B2883 F2883 H2883 F2875 H2875 B2875 D2875</xm:sqref>
        </x14:conditionalFormatting>
        <x14:conditionalFormatting xmlns:xm="http://schemas.microsoft.com/office/excel/2006/main">
          <x14:cfRule type="expression" priority="18900" id="{51F54783-7A41-47BC-9B58-85EBA65CA6EB}">
            <xm:f>Calculs!D3759&lt;&gt;""</xm:f>
            <x14:dxf>
              <fill>
                <patternFill>
                  <bgColor theme="0" tint="-0.24994659260841701"/>
                </patternFill>
              </fill>
            </x14:dxf>
          </x14:cfRule>
          <xm:sqref>C2879:C2883 E2879:E2883 G2879:G2883 E2871:E2875 G2871:G2875 C2871:C2875</xm:sqref>
        </x14:conditionalFormatting>
        <x14:conditionalFormatting xmlns:xm="http://schemas.microsoft.com/office/excel/2006/main">
          <x14:cfRule type="expression" priority="19991" id="{6B52E6F6-7CAF-4C4D-8236-7017D2EBA393}">
            <xm:f>Calculs!B3767&lt;&gt;""</xm:f>
            <x14:dxf>
              <fill>
                <patternFill>
                  <bgColor theme="0" tint="-0.24994659260841701"/>
                </patternFill>
              </fill>
            </x14:dxf>
          </x14:cfRule>
          <xm:sqref>I2879:I2883 I2871:I2875</xm:sqref>
        </x14:conditionalFormatting>
        <x14:conditionalFormatting xmlns:xm="http://schemas.microsoft.com/office/excel/2006/main">
          <x14:cfRule type="expression" priority="20234" id="{40975834-13E7-48F0-8218-DBA286DC3D4E}">
            <xm:f>Calculs!B3759&lt;&gt;""</xm:f>
            <x14:dxf>
              <fill>
                <patternFill>
                  <bgColor rgb="FF0000FF"/>
                </patternFill>
              </fill>
              <border>
                <left style="thin">
                  <color rgb="FFFF0000"/>
                </left>
                <right style="thin">
                  <color rgb="FFFF0000"/>
                </right>
                <vertical/>
                <horizontal/>
              </border>
            </x14:dxf>
          </x14:cfRule>
          <xm:sqref>B2871:B2875 D2871:D2875</xm:sqref>
        </x14:conditionalFormatting>
        <x14:conditionalFormatting xmlns:xm="http://schemas.microsoft.com/office/excel/2006/main">
          <x14:cfRule type="expression" priority="20477" id="{72B28399-364C-4406-AC83-D3D4270DCA17}">
            <xm:f>Calculs!$B3767&lt;&gt;""</xm:f>
            <x14:dxf>
              <fill>
                <patternFill>
                  <bgColor theme="0" tint="-0.24994659260841701"/>
                </patternFill>
              </fill>
            </x14:dxf>
          </x14:cfRule>
          <xm:sqref>C2877:H2877 B2877:B2878 I2876:I2877</xm:sqref>
        </x14:conditionalFormatting>
        <x14:conditionalFormatting xmlns:xm="http://schemas.microsoft.com/office/excel/2006/main">
          <x14:cfRule type="expression" priority="20930" id="{C9A287EB-8A12-4865-AF04-B92FD38265CC}">
            <xm:f>Calculs!B3731&lt;&gt;""</xm:f>
            <x14:dxf>
              <fill>
                <patternFill>
                  <bgColor rgb="FF0000FF"/>
                </patternFill>
              </fill>
              <border>
                <left style="thin">
                  <color rgb="FFFF0000"/>
                </left>
                <right style="thin">
                  <color rgb="FFFF0000"/>
                </right>
                <top/>
                <bottom/>
                <vertical/>
                <horizontal/>
              </border>
            </x14:dxf>
          </x14:cfRule>
          <xm:sqref>D2859:D2863 B2859:B2863 F2859:F2863 H2859:H2863 F2851:F2855 H2851:H2855</xm:sqref>
        </x14:conditionalFormatting>
        <x14:conditionalFormatting xmlns:xm="http://schemas.microsoft.com/office/excel/2006/main">
          <x14:cfRule type="expression" priority="22131" id="{6CDDFE3E-6706-49F3-AA3C-26E2BF9D73B3}">
            <xm:f>Calculs!B3731&lt;&gt;""</xm:f>
            <x14:dxf>
              <border>
                <top style="thin">
                  <color rgb="FFFF0000"/>
                </top>
                <vertical/>
                <horizontal/>
              </border>
            </x14:dxf>
          </x14:cfRule>
          <xm:sqref>D2859 B2859 F2859 H2859 F2851 H2851 B2851 D2851</xm:sqref>
        </x14:conditionalFormatting>
        <x14:conditionalFormatting xmlns:xm="http://schemas.microsoft.com/office/excel/2006/main">
          <x14:cfRule type="expression" priority="23574" id="{A7186BC3-358F-4958-8BAB-1B6701711F9D}">
            <xm:f>Calculs!B3731&lt;&gt;""</xm:f>
            <x14:dxf>
              <border>
                <bottom style="thin">
                  <color rgb="FFFF0000"/>
                </bottom>
                <vertical/>
                <horizontal/>
              </border>
            </x14:dxf>
          </x14:cfRule>
          <xm:sqref>D2863 B2863 F2863 H2863 F2855 H2855 B2855 D2855</xm:sqref>
        </x14:conditionalFormatting>
        <x14:conditionalFormatting xmlns:xm="http://schemas.microsoft.com/office/excel/2006/main">
          <x14:cfRule type="expression" priority="25017" id="{51F54783-7A41-47BC-9B58-85EBA65CA6EB}">
            <xm:f>Calculs!D3731&lt;&gt;""</xm:f>
            <x14:dxf>
              <fill>
                <patternFill>
                  <bgColor theme="0" tint="-0.24994659260841701"/>
                </patternFill>
              </fill>
            </x14:dxf>
          </x14:cfRule>
          <xm:sqref>C2859:C2863 E2859:E2863 G2859:G2863 E2851:E2855 G2851:G2855 C2851:C2855</xm:sqref>
        </x14:conditionalFormatting>
        <x14:conditionalFormatting xmlns:xm="http://schemas.microsoft.com/office/excel/2006/main">
          <x14:cfRule type="expression" priority="26099" id="{6B52E6F6-7CAF-4C4D-8236-7017D2EBA393}">
            <xm:f>Calculs!B3739&lt;&gt;""</xm:f>
            <x14:dxf>
              <fill>
                <patternFill>
                  <bgColor theme="0" tint="-0.24994659260841701"/>
                </patternFill>
              </fill>
            </x14:dxf>
          </x14:cfRule>
          <xm:sqref>I2859:I2863 I2851:I2855</xm:sqref>
        </x14:conditionalFormatting>
        <x14:conditionalFormatting xmlns:xm="http://schemas.microsoft.com/office/excel/2006/main">
          <x14:cfRule type="expression" priority="26340" id="{40975834-13E7-48F0-8218-DBA286DC3D4E}">
            <xm:f>Calculs!B3731&lt;&gt;""</xm:f>
            <x14:dxf>
              <fill>
                <patternFill>
                  <bgColor rgb="FF0000FF"/>
                </patternFill>
              </fill>
              <border>
                <left style="thin">
                  <color rgb="FFFF0000"/>
                </left>
                <right style="thin">
                  <color rgb="FFFF0000"/>
                </right>
                <vertical/>
                <horizontal/>
              </border>
            </x14:dxf>
          </x14:cfRule>
          <xm:sqref>B2851:B2855 D2851:D2855</xm:sqref>
        </x14:conditionalFormatting>
        <x14:conditionalFormatting xmlns:xm="http://schemas.microsoft.com/office/excel/2006/main">
          <x14:cfRule type="expression" priority="26581" id="{72B28399-364C-4406-AC83-D3D4270DCA17}">
            <xm:f>Calculs!$B3739&lt;&gt;""</xm:f>
            <x14:dxf>
              <fill>
                <patternFill>
                  <bgColor theme="0" tint="-0.24994659260841701"/>
                </patternFill>
              </fill>
            </x14:dxf>
          </x14:cfRule>
          <xm:sqref>C2857:H2857 B2857:B2858 I2856:I2857</xm:sqref>
        </x14:conditionalFormatting>
        <x14:conditionalFormatting xmlns:xm="http://schemas.microsoft.com/office/excel/2006/main">
          <x14:cfRule type="expression" priority="27062" id="{C9A287EB-8A12-4865-AF04-B92FD38265CC}">
            <xm:f>Calculs!F3703&lt;&gt;""</xm:f>
            <x14:dxf>
              <fill>
                <patternFill>
                  <bgColor rgb="FF0000FF"/>
                </patternFill>
              </fill>
              <border>
                <left style="thin">
                  <color rgb="FFFF0000"/>
                </left>
                <right style="thin">
                  <color rgb="FFFF0000"/>
                </right>
                <top/>
                <bottom/>
                <vertical/>
                <horizontal/>
              </border>
            </x14:dxf>
          </x14:cfRule>
          <xm:sqref>F2839:F2843 H2839:H2843</xm:sqref>
        </x14:conditionalFormatting>
        <x14:conditionalFormatting xmlns:xm="http://schemas.microsoft.com/office/excel/2006/main">
          <x14:cfRule type="expression" priority="28249" id="{6CDDFE3E-6706-49F3-AA3C-26E2BF9D73B3}">
            <xm:f>Calculs!B3703&lt;&gt;""</xm:f>
            <x14:dxf>
              <border>
                <top style="thin">
                  <color rgb="FFFF0000"/>
                </top>
                <vertical/>
                <horizontal/>
              </border>
            </x14:dxf>
          </x14:cfRule>
          <xm:sqref>F2839 H2839 B2839 D2839</xm:sqref>
        </x14:conditionalFormatting>
        <x14:conditionalFormatting xmlns:xm="http://schemas.microsoft.com/office/excel/2006/main">
          <x14:cfRule type="expression" priority="29676" id="{A7186BC3-358F-4958-8BAB-1B6701711F9D}">
            <xm:f>Calculs!B3703&lt;&gt;""</xm:f>
            <x14:dxf>
              <border>
                <bottom style="thin">
                  <color rgb="FFFF0000"/>
                </bottom>
                <vertical/>
                <horizontal/>
              </border>
            </x14:dxf>
          </x14:cfRule>
          <xm:sqref>F2843 H2843 B2843 D2843</xm:sqref>
        </x14:conditionalFormatting>
        <x14:conditionalFormatting xmlns:xm="http://schemas.microsoft.com/office/excel/2006/main">
          <x14:cfRule type="expression" priority="31103" id="{51F54783-7A41-47BC-9B58-85EBA65CA6EB}">
            <xm:f>Calculs!D3703&lt;&gt;""</xm:f>
            <x14:dxf>
              <fill>
                <patternFill>
                  <bgColor theme="0" tint="-0.24994659260841701"/>
                </patternFill>
              </fill>
            </x14:dxf>
          </x14:cfRule>
          <xm:sqref>E2839:E2843 G2839:G2843 C2839:C2843</xm:sqref>
        </x14:conditionalFormatting>
        <x14:conditionalFormatting xmlns:xm="http://schemas.microsoft.com/office/excel/2006/main">
          <x14:cfRule type="expression" priority="32173" id="{6B52E6F6-7CAF-4C4D-8236-7017D2EBA393}">
            <xm:f>Calculs!B3711&lt;&gt;""</xm:f>
            <x14:dxf>
              <fill>
                <patternFill>
                  <bgColor theme="0" tint="-0.24994659260841701"/>
                </patternFill>
              </fill>
            </x14:dxf>
          </x14:cfRule>
          <xm:sqref>I2839:I2843</xm:sqref>
        </x14:conditionalFormatting>
        <x14:conditionalFormatting xmlns:xm="http://schemas.microsoft.com/office/excel/2006/main">
          <x14:cfRule type="expression" priority="32411" id="{40975834-13E7-48F0-8218-DBA286DC3D4E}">
            <xm:f>Calculs!B3703&lt;&gt;""</xm:f>
            <x14:dxf>
              <fill>
                <patternFill>
                  <bgColor rgb="FF0000FF"/>
                </patternFill>
              </fill>
              <border>
                <left style="thin">
                  <color rgb="FFFF0000"/>
                </left>
                <right style="thin">
                  <color rgb="FFFF0000"/>
                </right>
                <vertical/>
                <horizontal/>
              </border>
            </x14:dxf>
          </x14:cfRule>
          <xm:sqref>B2839:B2843 D2839:D2843</xm:sqref>
        </x14:conditionalFormatting>
        <x14:conditionalFormatting xmlns:xm="http://schemas.microsoft.com/office/excel/2006/main">
          <x14:cfRule type="expression" priority="32650" id="{72B28399-364C-4406-AC83-D3D4270DCA17}">
            <xm:f>Calculs!$B3711&lt;&gt;""</xm:f>
            <x14:dxf>
              <fill>
                <patternFill>
                  <bgColor theme="0" tint="-0.24994659260841701"/>
                </patternFill>
              </fill>
            </x14:dxf>
          </x14:cfRule>
          <xm:sqref>I2844</xm:sqref>
        </x14:conditionalFormatting>
        <x14:conditionalFormatting xmlns:xm="http://schemas.microsoft.com/office/excel/2006/main">
          <x14:cfRule type="expression" priority="33159" id="{C9A287EB-8A12-4865-AF04-B92FD38265CC}">
            <xm:f>Calculs!B3561&lt;&gt;""</xm:f>
            <x14:dxf>
              <fill>
                <patternFill>
                  <bgColor rgb="FF0000FF"/>
                </patternFill>
              </fill>
              <border>
                <left style="thin">
                  <color rgb="FFFF0000"/>
                </left>
                <right style="thin">
                  <color rgb="FFFF0000"/>
                </right>
                <top/>
                <bottom/>
                <vertical/>
                <horizontal/>
              </border>
            </x14:dxf>
          </x14:cfRule>
          <xm:sqref>D2729:D2733 D2721:D2725 B2721:B2725 F2721:F2725 H2721:H2725 F2713:F2717 H2713:H2717 B2729:B2733 F2729:F2733 H2729:H2733 D2757:D2761 D2749:D2753 B2749:B2753 F2749:F2753 H2749:H2753 F2741:F2745 H2741:H2745 B2757:B2761 F2757:F2761 H2757:H2761 D2785:D2789 D2777:D2781 B2777:B2781 F2777:F2781 H2777:H2781 F2769:F2773 H2769:H2773 B2785:B2789 F2785:F2789 H2785:H2789 D2813:D2817 D2805:D2809 B2805:B2809 F2805:F2809 H2805:H2809 F2797:F2801 H2797:H2801 B2813:B2817 F2813:F2817 H2813:H2817 F2827:F2831 H2827:H2831</xm:sqref>
        </x14:conditionalFormatting>
        <x14:conditionalFormatting xmlns:xm="http://schemas.microsoft.com/office/excel/2006/main">
          <x14:cfRule type="expression" priority="34332" id="{6CDDFE3E-6706-49F3-AA3C-26E2BF9D73B3}">
            <xm:f>Calculs!B3561&lt;&gt;""</xm:f>
            <x14:dxf>
              <border>
                <top style="thin">
                  <color rgb="FFFF0000"/>
                </top>
                <vertical/>
                <horizontal/>
              </border>
            </x14:dxf>
          </x14:cfRule>
          <xm:sqref>D2729 D2721 B2721 F2721 H2721 F2713 H2713 B2729 F2729 H2729 B2713 D2713 D2757 D2749 B2749 F2749 H2749 F2741 H2741 B2757 F2757 H2757 D2785 D2777 B2777 F2777 H2777 F2769 H2769 B2785 F2785 H2785 D2813 D2805 B2805 F2805 H2805 F2797 H2797 B2813 F2813 H2813 B2741 D2741 B2769 D2769 B2797 D2797 F2827 H2827 B2827 D2827</xm:sqref>
        </x14:conditionalFormatting>
        <x14:conditionalFormatting xmlns:xm="http://schemas.microsoft.com/office/excel/2006/main">
          <x14:cfRule type="expression" priority="35743" id="{A7186BC3-358F-4958-8BAB-1B6701711F9D}">
            <xm:f>Calculs!B3561&lt;&gt;""</xm:f>
            <x14:dxf>
              <border>
                <bottom style="thin">
                  <color rgb="FFFF0000"/>
                </bottom>
                <vertical/>
                <horizontal/>
              </border>
            </x14:dxf>
          </x14:cfRule>
          <xm:sqref>D2733 D2725 B2725 F2725 H2725 F2717 H2717 B2733 F2733 H2733 B2717 D2717 D2761 D2753 B2753 F2753 H2753 F2745 H2745 B2761 F2761 H2761 D2789 D2781 B2781 F2781 H2781 F2773 H2773 B2789 F2789 H2789 D2817 D2809 B2809 F2809 H2809 F2801 H2801 B2817 F2817 H2817 B2745 D2745 B2773 D2773 B2801 D2801 F2831 H2831 B2831 D2831</xm:sqref>
        </x14:conditionalFormatting>
        <x14:conditionalFormatting xmlns:xm="http://schemas.microsoft.com/office/excel/2006/main">
          <x14:cfRule type="expression" priority="37154" id="{51F54783-7A41-47BC-9B58-85EBA65CA6EB}">
            <xm:f>Calculs!D3561&lt;&gt;""</xm:f>
            <x14:dxf>
              <fill>
                <patternFill>
                  <bgColor theme="0" tint="-0.24994659260841701"/>
                </patternFill>
              </fill>
            </x14:dxf>
          </x14:cfRule>
          <xm:sqref>C2721:C2725 E2721:E2725 G2721:G2725 E2713:E2717 G2713:G2717 C2729:C2733 E2729:E2733 G2729:G2733 C2713:C2717 C2749:C2753 E2749:E2753 G2749:G2753 E2741:E2745 G2741:G2745 C2757:C2761 E2757:E2761 G2757:G2761 C2777:C2781 E2777:E2781 G2777:G2781 E2769:E2773 G2769:G2773 C2785:C2789 E2785:E2789 G2785:G2789 C2805:C2809 E2805:E2809 G2805:G2809 E2797:E2801 G2797:G2801 C2813:C2817 E2813:E2817 G2813:G2817 C2741:C2745 C2769:C2773 C2797:C2801 E2827:E2831 G2827:G2831 C2827:C2831</xm:sqref>
        </x14:conditionalFormatting>
        <x14:conditionalFormatting xmlns:xm="http://schemas.microsoft.com/office/excel/2006/main">
          <x14:cfRule type="expression" priority="38212" id="{6B52E6F6-7CAF-4C4D-8236-7017D2EBA393}">
            <xm:f>Calculs!B3569&lt;&gt;""</xm:f>
            <x14:dxf>
              <fill>
                <patternFill>
                  <bgColor theme="0" tint="-0.24994659260841701"/>
                </patternFill>
              </fill>
            </x14:dxf>
          </x14:cfRule>
          <xm:sqref>I2721:I2725 I2713:I2717 I2749:I2753 I2741:I2745 I2777:I2781 I2769:I2773 I2805:I2809 I2797:I2801 I2827:I2831</xm:sqref>
        </x14:conditionalFormatting>
        <x14:conditionalFormatting xmlns:xm="http://schemas.microsoft.com/office/excel/2006/main">
          <x14:cfRule type="expression" priority="38447" id="{40975834-13E7-48F0-8218-DBA286DC3D4E}">
            <xm:f>Calculs!B3561&lt;&gt;""</xm:f>
            <x14:dxf>
              <fill>
                <patternFill>
                  <bgColor rgb="FF0000FF"/>
                </patternFill>
              </fill>
              <border>
                <left style="thin">
                  <color rgb="FFFF0000"/>
                </left>
                <right style="thin">
                  <color rgb="FFFF0000"/>
                </right>
                <vertical/>
                <horizontal/>
              </border>
            </x14:dxf>
          </x14:cfRule>
          <xm:sqref>B2713:B2717 D2713:D2717 B2769:B2773 B2797:B2801 B2741:B2745 D2741:D2745 D2769:D2773 D2797:D2801 B2827:B2831 D2827:D2831</xm:sqref>
        </x14:conditionalFormatting>
        <x14:conditionalFormatting xmlns:xm="http://schemas.microsoft.com/office/excel/2006/main">
          <x14:cfRule type="expression" priority="38684" id="{72B28399-364C-4406-AC83-D3D4270DCA17}">
            <xm:f>Calculs!$B3569&lt;&gt;""</xm:f>
            <x14:dxf>
              <fill>
                <patternFill>
                  <bgColor theme="0" tint="-0.24994659260841701"/>
                </patternFill>
              </fill>
            </x14:dxf>
          </x14:cfRule>
          <xm:sqref>C2719:H2719 B2719:B2720 C2727:H2727 B2727:B2728 C2775:I2775 I2774 C2783:I2783 I2782 C2803:I2803 I2802 C2811:I2811 I2810 C2755:I2755 I2754 C2747:I2747 I2746 I2718:I2719 I2726:I2727 B2775:B2776 B2783:B2784 B2803:B2804 B2811:B2812 B2755:B2756 B2747:B2748 I2832</xm:sqref>
        </x14:conditionalFormatting>
        <x14:conditionalFormatting xmlns:xm="http://schemas.microsoft.com/office/excel/2006/main">
          <x14:cfRule type="expression" priority="39203" id="{C9A287EB-8A12-4865-AF04-B92FD38265CC}">
            <xm:f>Calculs!B3533&lt;&gt;""</xm:f>
            <x14:dxf>
              <fill>
                <patternFill>
                  <bgColor rgb="FF0000FF"/>
                </patternFill>
              </fill>
              <border>
                <left style="thin">
                  <color rgb="FFFF0000"/>
                </left>
                <right style="thin">
                  <color rgb="FFFF0000"/>
                </right>
                <top/>
                <bottom/>
                <vertical/>
                <horizontal/>
              </border>
            </x14:dxf>
          </x14:cfRule>
          <xm:sqref>D2701:D2705 B2701:B2705 F2701:F2705 H2701:H2705 F2693:F2697 H2693:H2697</xm:sqref>
        </x14:conditionalFormatting>
        <x14:conditionalFormatting xmlns:xm="http://schemas.microsoft.com/office/excel/2006/main">
          <x14:cfRule type="expression" priority="40370" id="{6CDDFE3E-6706-49F3-AA3C-26E2BF9D73B3}">
            <xm:f>Calculs!B3533&lt;&gt;""</xm:f>
            <x14:dxf>
              <border>
                <top style="thin">
                  <color rgb="FFFF0000"/>
                </top>
                <vertical/>
                <horizontal/>
              </border>
            </x14:dxf>
          </x14:cfRule>
          <xm:sqref>D2701 B2701 F2701 H2701 F2693 H2693 B2693 D2693</xm:sqref>
        </x14:conditionalFormatting>
        <x14:conditionalFormatting xmlns:xm="http://schemas.microsoft.com/office/excel/2006/main">
          <x14:cfRule type="expression" priority="41773" id="{A7186BC3-358F-4958-8BAB-1B6701711F9D}">
            <xm:f>Calculs!B3533&lt;&gt;""</xm:f>
            <x14:dxf>
              <border>
                <bottom style="thin">
                  <color rgb="FFFF0000"/>
                </bottom>
                <vertical/>
                <horizontal/>
              </border>
            </x14:dxf>
          </x14:cfRule>
          <xm:sqref>D2705 B2705 F2705 H2705 F2697 H2697 B2697 D2697</xm:sqref>
        </x14:conditionalFormatting>
        <x14:conditionalFormatting xmlns:xm="http://schemas.microsoft.com/office/excel/2006/main">
          <x14:cfRule type="expression" priority="43176" id="{51F54783-7A41-47BC-9B58-85EBA65CA6EB}">
            <xm:f>Calculs!D3533&lt;&gt;""</xm:f>
            <x14:dxf>
              <fill>
                <patternFill>
                  <bgColor theme="0" tint="-0.24994659260841701"/>
                </patternFill>
              </fill>
            </x14:dxf>
          </x14:cfRule>
          <xm:sqref>C2701:C2705 E2701:E2705 G2701:G2705 E2693:E2697 G2693:G2697 C2693:C2697</xm:sqref>
        </x14:conditionalFormatting>
        <x14:conditionalFormatting xmlns:xm="http://schemas.microsoft.com/office/excel/2006/main">
          <x14:cfRule type="expression" priority="44228" id="{6B52E6F6-7CAF-4C4D-8236-7017D2EBA393}">
            <xm:f>Calculs!B3541&lt;&gt;""</xm:f>
            <x14:dxf>
              <fill>
                <patternFill>
                  <bgColor theme="0" tint="-0.24994659260841701"/>
                </patternFill>
              </fill>
            </x14:dxf>
          </x14:cfRule>
          <xm:sqref>I2701:I2705 I2693:I2697</xm:sqref>
        </x14:conditionalFormatting>
        <x14:conditionalFormatting xmlns:xm="http://schemas.microsoft.com/office/excel/2006/main">
          <x14:cfRule type="expression" priority="44462" id="{40975834-13E7-48F0-8218-DBA286DC3D4E}">
            <xm:f>Calculs!B3533&lt;&gt;""</xm:f>
            <x14:dxf>
              <fill>
                <patternFill>
                  <bgColor rgb="FF0000FF"/>
                </patternFill>
              </fill>
              <border>
                <left style="thin">
                  <color rgb="FFFF0000"/>
                </left>
                <right style="thin">
                  <color rgb="FFFF0000"/>
                </right>
                <vertical/>
                <horizontal/>
              </border>
            </x14:dxf>
          </x14:cfRule>
          <xm:sqref>B2693:B2697 D2693:D2697</xm:sqref>
        </x14:conditionalFormatting>
        <x14:conditionalFormatting xmlns:xm="http://schemas.microsoft.com/office/excel/2006/main">
          <x14:cfRule type="expression" priority="44697" id="{72B28399-364C-4406-AC83-D3D4270DCA17}">
            <xm:f>Calculs!$B3541&lt;&gt;""</xm:f>
            <x14:dxf>
              <fill>
                <patternFill>
                  <bgColor theme="0" tint="-0.24994659260841701"/>
                </patternFill>
              </fill>
            </x14:dxf>
          </x14:cfRule>
          <xm:sqref>C2699:H2699 B2699:B2700 I2698:I2699 I2706</xm:sqref>
        </x14:conditionalFormatting>
        <x14:conditionalFormatting xmlns:xm="http://schemas.microsoft.com/office/excel/2006/main">
          <x14:cfRule type="expression" priority="45438" id="{C9A287EB-8A12-4865-AF04-B92FD38265CC}">
            <xm:f>Calculs!B3505&lt;&gt;""</xm:f>
            <x14:dxf>
              <fill>
                <patternFill>
                  <bgColor rgb="FF0000FF"/>
                </patternFill>
              </fill>
              <border>
                <left style="thin">
                  <color rgb="FFFF0000"/>
                </left>
                <right style="thin">
                  <color rgb="FFFF0000"/>
                </right>
                <top/>
                <bottom/>
                <vertical/>
                <horizontal/>
              </border>
            </x14:dxf>
          </x14:cfRule>
          <xm:sqref>D2681:D2685 B2681:B2685 F2681:F2685 H2681:H2685 F2673:F2677 H2673:H2677</xm:sqref>
        </x14:conditionalFormatting>
        <x14:conditionalFormatting xmlns:xm="http://schemas.microsoft.com/office/excel/2006/main">
          <x14:cfRule type="expression" priority="46559" id="{6CDDFE3E-6706-49F3-AA3C-26E2BF9D73B3}">
            <xm:f>Calculs!B3505&lt;&gt;""</xm:f>
            <x14:dxf>
              <border>
                <top style="thin">
                  <color rgb="FFFF0000"/>
                </top>
                <vertical/>
                <horizontal/>
              </border>
            </x14:dxf>
          </x14:cfRule>
          <xm:sqref>D2681 B2681 F2681 H2681 F2673 H2673 B2673 D2673</xm:sqref>
        </x14:conditionalFormatting>
        <x14:conditionalFormatting xmlns:xm="http://schemas.microsoft.com/office/excel/2006/main">
          <x14:cfRule type="expression" priority="47906" id="{A7186BC3-358F-4958-8BAB-1B6701711F9D}">
            <xm:f>Calculs!B3505&lt;&gt;""</xm:f>
            <x14:dxf>
              <border>
                <bottom style="thin">
                  <color rgb="FFFF0000"/>
                </bottom>
                <vertical/>
                <horizontal/>
              </border>
            </x14:dxf>
          </x14:cfRule>
          <xm:sqref>D2685 B2685 F2685 H2685 F2677 H2677 B2677 D2677</xm:sqref>
        </x14:conditionalFormatting>
        <x14:conditionalFormatting xmlns:xm="http://schemas.microsoft.com/office/excel/2006/main">
          <x14:cfRule type="expression" priority="49253" id="{51F54783-7A41-47BC-9B58-85EBA65CA6EB}">
            <xm:f>Calculs!D3505&lt;&gt;""</xm:f>
            <x14:dxf>
              <fill>
                <patternFill>
                  <bgColor theme="0" tint="-0.24994659260841701"/>
                </patternFill>
              </fill>
            </x14:dxf>
          </x14:cfRule>
          <xm:sqref>C2681:C2685 E2681:E2685 G2681:G2685 E2673:E2677 G2673:G2677 C2673:C2677</xm:sqref>
        </x14:conditionalFormatting>
        <x14:conditionalFormatting xmlns:xm="http://schemas.microsoft.com/office/excel/2006/main">
          <x14:cfRule type="expression" priority="50263" id="{6B52E6F6-7CAF-4C4D-8236-7017D2EBA393}">
            <xm:f>Calculs!B3513&lt;&gt;""</xm:f>
            <x14:dxf>
              <fill>
                <patternFill>
                  <bgColor theme="0" tint="-0.24994659260841701"/>
                </patternFill>
              </fill>
            </x14:dxf>
          </x14:cfRule>
          <xm:sqref>I2681:I2685 I2673:I2677</xm:sqref>
        </x14:conditionalFormatting>
        <x14:conditionalFormatting xmlns:xm="http://schemas.microsoft.com/office/excel/2006/main">
          <x14:cfRule type="expression" priority="50488" id="{40975834-13E7-48F0-8218-DBA286DC3D4E}">
            <xm:f>Calculs!B3505&lt;&gt;""</xm:f>
            <x14:dxf>
              <fill>
                <patternFill>
                  <bgColor rgb="FF0000FF"/>
                </patternFill>
              </fill>
              <border>
                <left style="thin">
                  <color rgb="FFFF0000"/>
                </left>
                <right style="thin">
                  <color rgb="FFFF0000"/>
                </right>
                <vertical/>
                <horizontal/>
              </border>
            </x14:dxf>
          </x14:cfRule>
          <xm:sqref>B2673:B2677 D2673:D2677</xm:sqref>
        </x14:conditionalFormatting>
        <x14:conditionalFormatting xmlns:xm="http://schemas.microsoft.com/office/excel/2006/main">
          <x14:cfRule type="expression" priority="50713" id="{72B28399-364C-4406-AC83-D3D4270DCA17}">
            <xm:f>Calculs!$B3513&lt;&gt;""</xm:f>
            <x14:dxf>
              <fill>
                <patternFill>
                  <bgColor theme="0" tint="-0.24994659260841701"/>
                </patternFill>
              </fill>
            </x14:dxf>
          </x14:cfRule>
          <xm:sqref>C2679:H2679 B2679:B2680 I2678:I2679 I2686</xm:sqref>
        </x14:conditionalFormatting>
        <x14:conditionalFormatting xmlns:xm="http://schemas.microsoft.com/office/excel/2006/main">
          <x14:cfRule type="expression" priority="51483" id="{C9A287EB-8A12-4865-AF04-B92FD38265CC}">
            <xm:f>Calculs!B3477&lt;&gt;""</xm:f>
            <x14:dxf>
              <fill>
                <patternFill>
                  <bgColor rgb="FF0000FF"/>
                </patternFill>
              </fill>
              <border>
                <left style="thin">
                  <color rgb="FFFF0000"/>
                </left>
                <right style="thin">
                  <color rgb="FFFF0000"/>
                </right>
                <top/>
                <bottom/>
                <vertical/>
                <horizontal/>
              </border>
            </x14:dxf>
          </x14:cfRule>
          <xm:sqref>D2661:D2665 B2661:B2665 F2661:F2665 H2661:H2665 F2653:F2657 H2653:H2657</xm:sqref>
        </x14:conditionalFormatting>
        <x14:conditionalFormatting xmlns:xm="http://schemas.microsoft.com/office/excel/2006/main">
          <x14:cfRule type="expression" priority="52594" id="{6CDDFE3E-6706-49F3-AA3C-26E2BF9D73B3}">
            <xm:f>Calculs!B3477&lt;&gt;""</xm:f>
            <x14:dxf>
              <border>
                <top style="thin">
                  <color rgb="FFFF0000"/>
                </top>
                <vertical/>
                <horizontal/>
              </border>
            </x14:dxf>
          </x14:cfRule>
          <xm:sqref>D2661 B2661 F2661 H2661 F2653 H2653 B2653 D2653</xm:sqref>
        </x14:conditionalFormatting>
        <x14:conditionalFormatting xmlns:xm="http://schemas.microsoft.com/office/excel/2006/main">
          <x14:cfRule type="expression" priority="53929" id="{A7186BC3-358F-4958-8BAB-1B6701711F9D}">
            <xm:f>Calculs!B3477&lt;&gt;""</xm:f>
            <x14:dxf>
              <border>
                <bottom style="thin">
                  <color rgb="FFFF0000"/>
                </bottom>
                <vertical/>
                <horizontal/>
              </border>
            </x14:dxf>
          </x14:cfRule>
          <xm:sqref>D2665 B2665 F2665 H2665 F2657 H2657 B2657 D2657</xm:sqref>
        </x14:conditionalFormatting>
        <x14:conditionalFormatting xmlns:xm="http://schemas.microsoft.com/office/excel/2006/main">
          <x14:cfRule type="expression" priority="55264" id="{51F54783-7A41-47BC-9B58-85EBA65CA6EB}">
            <xm:f>Calculs!D3477&lt;&gt;""</xm:f>
            <x14:dxf>
              <fill>
                <patternFill>
                  <bgColor theme="0" tint="-0.24994659260841701"/>
                </patternFill>
              </fill>
            </x14:dxf>
          </x14:cfRule>
          <xm:sqref>C2661:C2665 E2661:E2665 G2661:G2665 E2653:E2657 G2653:G2657 C2653:C2657</xm:sqref>
        </x14:conditionalFormatting>
        <x14:conditionalFormatting xmlns:xm="http://schemas.microsoft.com/office/excel/2006/main">
          <x14:cfRule type="expression" priority="56265" id="{6B52E6F6-7CAF-4C4D-8236-7017D2EBA393}">
            <xm:f>Calculs!B3485&lt;&gt;""</xm:f>
            <x14:dxf>
              <fill>
                <patternFill>
                  <bgColor theme="0" tint="-0.24994659260841701"/>
                </patternFill>
              </fill>
            </x14:dxf>
          </x14:cfRule>
          <xm:sqref>I2661:I2665 I2653:I2657</xm:sqref>
        </x14:conditionalFormatting>
        <x14:conditionalFormatting xmlns:xm="http://schemas.microsoft.com/office/excel/2006/main">
          <x14:cfRule type="expression" priority="56488" id="{40975834-13E7-48F0-8218-DBA286DC3D4E}">
            <xm:f>Calculs!B3477&lt;&gt;""</xm:f>
            <x14:dxf>
              <fill>
                <patternFill>
                  <bgColor rgb="FF0000FF"/>
                </patternFill>
              </fill>
              <border>
                <left style="thin">
                  <color rgb="FFFF0000"/>
                </left>
                <right style="thin">
                  <color rgb="FFFF0000"/>
                </right>
                <vertical/>
                <horizontal/>
              </border>
            </x14:dxf>
          </x14:cfRule>
          <xm:sqref>B2653:B2657 D2653:D2657</xm:sqref>
        </x14:conditionalFormatting>
        <x14:conditionalFormatting xmlns:xm="http://schemas.microsoft.com/office/excel/2006/main">
          <x14:cfRule type="expression" priority="56711" id="{72B28399-364C-4406-AC83-D3D4270DCA17}">
            <xm:f>Calculs!$B3485&lt;&gt;""</xm:f>
            <x14:dxf>
              <fill>
                <patternFill>
                  <bgColor theme="0" tint="-0.24994659260841701"/>
                </patternFill>
              </fill>
            </x14:dxf>
          </x14:cfRule>
          <xm:sqref>C2659:H2659 B2659:B2660 I2658:I2659 I2666</xm:sqref>
        </x14:conditionalFormatting>
        <x14:conditionalFormatting xmlns:xm="http://schemas.microsoft.com/office/excel/2006/main">
          <x14:cfRule type="expression" priority="57510" id="{C9A287EB-8A12-4865-AF04-B92FD38265CC}">
            <xm:f>Calculs!B3449&lt;&gt;""</xm:f>
            <x14:dxf>
              <fill>
                <patternFill>
                  <bgColor rgb="FF0000FF"/>
                </patternFill>
              </fill>
              <border>
                <left style="thin">
                  <color rgb="FFFF0000"/>
                </left>
                <right style="thin">
                  <color rgb="FFFF0000"/>
                </right>
                <top/>
                <bottom/>
                <vertical/>
                <horizontal/>
              </border>
            </x14:dxf>
          </x14:cfRule>
          <xm:sqref>D2641:D2645 B2641:B2645 F2641:F2645 H2641:H2645 F2633:F2637 H2633:H2637</xm:sqref>
        </x14:conditionalFormatting>
        <x14:conditionalFormatting xmlns:xm="http://schemas.microsoft.com/office/excel/2006/main">
          <x14:cfRule type="expression" priority="58611" id="{6CDDFE3E-6706-49F3-AA3C-26E2BF9D73B3}">
            <xm:f>Calculs!B3449&lt;&gt;""</xm:f>
            <x14:dxf>
              <border>
                <top style="thin">
                  <color rgb="FFFF0000"/>
                </top>
                <vertical/>
                <horizontal/>
              </border>
            </x14:dxf>
          </x14:cfRule>
          <xm:sqref>D2641 B2641 F2641 H2641 F2633 H2633 B2633 D2633</xm:sqref>
        </x14:conditionalFormatting>
        <x14:conditionalFormatting xmlns:xm="http://schemas.microsoft.com/office/excel/2006/main">
          <x14:cfRule type="expression" priority="59934" id="{A7186BC3-358F-4958-8BAB-1B6701711F9D}">
            <xm:f>Calculs!B3449&lt;&gt;""</xm:f>
            <x14:dxf>
              <border>
                <bottom style="thin">
                  <color rgb="FFFF0000"/>
                </bottom>
                <vertical/>
                <horizontal/>
              </border>
            </x14:dxf>
          </x14:cfRule>
          <xm:sqref>D2645 B2645 F2645 H2645 F2637 H2637 B2637 D2637</xm:sqref>
        </x14:conditionalFormatting>
        <x14:conditionalFormatting xmlns:xm="http://schemas.microsoft.com/office/excel/2006/main">
          <x14:cfRule type="expression" priority="61257" id="{51F54783-7A41-47BC-9B58-85EBA65CA6EB}">
            <xm:f>Calculs!D3449&lt;&gt;""</xm:f>
            <x14:dxf>
              <fill>
                <patternFill>
                  <bgColor theme="0" tint="-0.24994659260841701"/>
                </patternFill>
              </fill>
            </x14:dxf>
          </x14:cfRule>
          <xm:sqref>C2641:C2645 E2641:E2645 G2641:G2645 E2633:E2637 G2633:G2637 C2633:C2637</xm:sqref>
        </x14:conditionalFormatting>
        <x14:conditionalFormatting xmlns:xm="http://schemas.microsoft.com/office/excel/2006/main">
          <x14:cfRule type="expression" priority="62249" id="{6B52E6F6-7CAF-4C4D-8236-7017D2EBA393}">
            <xm:f>Calculs!B3457&lt;&gt;""</xm:f>
            <x14:dxf>
              <fill>
                <patternFill>
                  <bgColor theme="0" tint="-0.24994659260841701"/>
                </patternFill>
              </fill>
            </x14:dxf>
          </x14:cfRule>
          <xm:sqref>I2641:I2645 I2633:I2637</xm:sqref>
        </x14:conditionalFormatting>
        <x14:conditionalFormatting xmlns:xm="http://schemas.microsoft.com/office/excel/2006/main">
          <x14:cfRule type="expression" priority="62470" id="{40975834-13E7-48F0-8218-DBA286DC3D4E}">
            <xm:f>Calculs!B3449&lt;&gt;""</xm:f>
            <x14:dxf>
              <fill>
                <patternFill>
                  <bgColor rgb="FF0000FF"/>
                </patternFill>
              </fill>
              <border>
                <left style="thin">
                  <color rgb="FFFF0000"/>
                </left>
                <right style="thin">
                  <color rgb="FFFF0000"/>
                </right>
                <vertical/>
                <horizontal/>
              </border>
            </x14:dxf>
          </x14:cfRule>
          <xm:sqref>B2633:B2637 D2633:D2637</xm:sqref>
        </x14:conditionalFormatting>
        <x14:conditionalFormatting xmlns:xm="http://schemas.microsoft.com/office/excel/2006/main">
          <x14:cfRule type="expression" priority="62691" id="{72B28399-364C-4406-AC83-D3D4270DCA17}">
            <xm:f>Calculs!$B3457&lt;&gt;""</xm:f>
            <x14:dxf>
              <fill>
                <patternFill>
                  <bgColor theme="0" tint="-0.24994659260841701"/>
                </patternFill>
              </fill>
            </x14:dxf>
          </x14:cfRule>
          <xm:sqref>C2639:H2639 B2639:B2640 I2638:I2639 I2646</xm:sqref>
        </x14:conditionalFormatting>
        <x14:conditionalFormatting xmlns:xm="http://schemas.microsoft.com/office/excel/2006/main">
          <x14:cfRule type="expression" priority="63519" id="{C9A287EB-8A12-4865-AF04-B92FD38265CC}">
            <xm:f>Calculs!F3421&lt;&gt;""</xm:f>
            <x14:dxf>
              <fill>
                <patternFill>
                  <bgColor rgb="FF0000FF"/>
                </patternFill>
              </fill>
              <border>
                <left style="thin">
                  <color rgb="FFFF0000"/>
                </left>
                <right style="thin">
                  <color rgb="FFFF0000"/>
                </right>
                <top/>
                <bottom/>
                <vertical/>
                <horizontal/>
              </border>
            </x14:dxf>
          </x14:cfRule>
          <xm:sqref>F2621:F2625 H2621:H2625</xm:sqref>
        </x14:conditionalFormatting>
        <x14:conditionalFormatting xmlns:xm="http://schemas.microsoft.com/office/excel/2006/main">
          <x14:cfRule type="expression" priority="64606" id="{6CDDFE3E-6706-49F3-AA3C-26E2BF9D73B3}">
            <xm:f>Calculs!B3421&lt;&gt;""</xm:f>
            <x14:dxf>
              <border>
                <top style="thin">
                  <color rgb="FFFF0000"/>
                </top>
                <vertical/>
                <horizontal/>
              </border>
            </x14:dxf>
          </x14:cfRule>
          <xm:sqref>F2621 H2621 B2621 D2621</xm:sqref>
        </x14:conditionalFormatting>
        <x14:conditionalFormatting xmlns:xm="http://schemas.microsoft.com/office/excel/2006/main">
          <x14:cfRule type="expression" priority="65913" id="{A7186BC3-358F-4958-8BAB-1B6701711F9D}">
            <xm:f>Calculs!B3421&lt;&gt;""</xm:f>
            <x14:dxf>
              <border>
                <bottom style="thin">
                  <color rgb="FFFF0000"/>
                </bottom>
                <vertical/>
                <horizontal/>
              </border>
            </x14:dxf>
          </x14:cfRule>
          <xm:sqref>F2625 H2625 B2625 D2625</xm:sqref>
        </x14:conditionalFormatting>
        <x14:conditionalFormatting xmlns:xm="http://schemas.microsoft.com/office/excel/2006/main">
          <x14:cfRule type="expression" priority="67220" id="{51F54783-7A41-47BC-9B58-85EBA65CA6EB}">
            <xm:f>Calculs!D3421&lt;&gt;""</xm:f>
            <x14:dxf>
              <fill>
                <patternFill>
                  <bgColor theme="0" tint="-0.24994659260841701"/>
                </patternFill>
              </fill>
            </x14:dxf>
          </x14:cfRule>
          <xm:sqref>E2621:E2625 G2621:G2625 C2621:C2625</xm:sqref>
        </x14:conditionalFormatting>
        <x14:conditionalFormatting xmlns:xm="http://schemas.microsoft.com/office/excel/2006/main">
          <x14:cfRule type="expression" priority="68200" id="{6B52E6F6-7CAF-4C4D-8236-7017D2EBA393}">
            <xm:f>Calculs!B3429&lt;&gt;""</xm:f>
            <x14:dxf>
              <fill>
                <patternFill>
                  <bgColor theme="0" tint="-0.24994659260841701"/>
                </patternFill>
              </fill>
            </x14:dxf>
          </x14:cfRule>
          <xm:sqref>I2621:I2625</xm:sqref>
        </x14:conditionalFormatting>
        <x14:conditionalFormatting xmlns:xm="http://schemas.microsoft.com/office/excel/2006/main">
          <x14:cfRule type="expression" priority="68418" id="{40975834-13E7-48F0-8218-DBA286DC3D4E}">
            <xm:f>Calculs!B3421&lt;&gt;""</xm:f>
            <x14:dxf>
              <fill>
                <patternFill>
                  <bgColor rgb="FF0000FF"/>
                </patternFill>
              </fill>
              <border>
                <left style="thin">
                  <color rgb="FFFF0000"/>
                </left>
                <right style="thin">
                  <color rgb="FFFF0000"/>
                </right>
                <vertical/>
                <horizontal/>
              </border>
            </x14:dxf>
          </x14:cfRule>
          <xm:sqref>B2621:B2625 D2621:D2625</xm:sqref>
        </x14:conditionalFormatting>
        <x14:conditionalFormatting xmlns:xm="http://schemas.microsoft.com/office/excel/2006/main">
          <x14:cfRule type="expression" priority="68637" id="{72B28399-364C-4406-AC83-D3D4270DCA17}">
            <xm:f>Calculs!$B3429&lt;&gt;""</xm:f>
            <x14:dxf>
              <fill>
                <patternFill>
                  <bgColor theme="0" tint="-0.24994659260841701"/>
                </patternFill>
              </fill>
            </x14:dxf>
          </x14:cfRule>
          <xm:sqref>I2626</xm:sqref>
        </x14:conditionalFormatting>
        <x14:conditionalFormatting xmlns:xm="http://schemas.microsoft.com/office/excel/2006/main">
          <x14:cfRule type="expression" priority="69494" id="{C9A287EB-8A12-4865-AF04-B92FD38265CC}">
            <xm:f>Calculs!B3279&lt;&gt;""</xm:f>
            <x14:dxf>
              <fill>
                <patternFill>
                  <bgColor rgb="FF0000FF"/>
                </patternFill>
              </fill>
              <border>
                <left style="thin">
                  <color rgb="FFFF0000"/>
                </left>
                <right style="thin">
                  <color rgb="FFFF0000"/>
                </right>
                <top/>
                <bottom/>
                <vertical/>
                <horizontal/>
              </border>
            </x14:dxf>
          </x14:cfRule>
          <xm:sqref>D2511:D2515 D2503:D2507 B2503:B2507 F2503:F2507 H2503:H2507 F2495:F2499 H2495:H2499 B2511:B2515 F2511:F2515 H2511:H2515 D2539:D2543 D2531:D2535 B2531:B2535 F2531:F2535 H2531:H2535 F2523:F2527 H2523:H2527 B2539:B2543 F2539:F2543 H2539:H2543 D2567:D2571 D2559:D2563 B2559:B2563 F2559:F2563 H2559:H2563 F2551:F2555 H2551:H2555 B2567:B2571 F2567:F2571 H2567:H2571 D2595:D2599 D2587:D2591 B2587:B2591 F2587:F2591 H2587:H2591 F2579:F2583 H2579:H2583 B2595:B2599 F2595:F2599 H2595:H2599 F2609:F2613 H2609:H2613</xm:sqref>
        </x14:conditionalFormatting>
        <x14:conditionalFormatting xmlns:xm="http://schemas.microsoft.com/office/excel/2006/main">
          <x14:cfRule type="expression" priority="70567" id="{6CDDFE3E-6706-49F3-AA3C-26E2BF9D73B3}">
            <xm:f>Calculs!B3279&lt;&gt;""</xm:f>
            <x14:dxf>
              <border>
                <top style="thin">
                  <color rgb="FFFF0000"/>
                </top>
                <vertical/>
                <horizontal/>
              </border>
            </x14:dxf>
          </x14:cfRule>
          <xm:sqref>D2511 D2503 B2503 F2503 H2503 F2495 H2495 B2511 F2511 H2511 B2495 D2495 D2539 D2531 B2531 F2531 H2531 F2523 H2523 B2539 F2539 H2539 D2567 D2559 B2559 F2559 H2559 F2551 H2551 B2567 F2567 H2567 D2595 D2587 B2587 F2587 H2587 F2579 H2579 B2595 F2595 H2595 B2523 D2523 B2551 D2551 B2579 D2579 F2609 H2609 B2609 D2609</xm:sqref>
        </x14:conditionalFormatting>
        <x14:conditionalFormatting xmlns:xm="http://schemas.microsoft.com/office/excel/2006/main">
          <x14:cfRule type="expression" priority="71858" id="{A7186BC3-358F-4958-8BAB-1B6701711F9D}">
            <xm:f>Calculs!B3279&lt;&gt;""</xm:f>
            <x14:dxf>
              <border>
                <bottom style="thin">
                  <color rgb="FFFF0000"/>
                </bottom>
                <vertical/>
                <horizontal/>
              </border>
            </x14:dxf>
          </x14:cfRule>
          <xm:sqref>D2515 D2507 B2507 F2507 H2507 F2499 H2499 B2515 F2515 H2515 B2499 D2499 D2543 D2535 B2535 F2535 H2535 F2527 H2527 B2543 F2543 H2543 D2571 D2563 B2563 F2563 H2563 F2555 H2555 B2571 F2571 H2571 D2599 D2591 B2591 F2591 H2591 F2583 H2583 B2599 F2599 H2599 B2527 D2527 B2555 D2555 B2583 D2583 F2613 H2613 B2613 D2613</xm:sqref>
        </x14:conditionalFormatting>
        <x14:conditionalFormatting xmlns:xm="http://schemas.microsoft.com/office/excel/2006/main">
          <x14:cfRule type="expression" priority="73149" id="{51F54783-7A41-47BC-9B58-85EBA65CA6EB}">
            <xm:f>Calculs!D3279&lt;&gt;""</xm:f>
            <x14:dxf>
              <fill>
                <patternFill>
                  <bgColor theme="0" tint="-0.24994659260841701"/>
                </patternFill>
              </fill>
            </x14:dxf>
          </x14:cfRule>
          <xm:sqref>C2503:C2507 E2503:E2507 G2503:G2507 E2495:E2499 G2495:G2499 C2511:C2515 E2511:E2515 G2511:G2515 C2495:C2499 C2531:C2535 E2531:E2535 G2531:G2535 E2523:E2527 G2523:G2527 C2539:C2543 E2539:E2543 G2539:G2543 C2559:C2563 E2559:E2563 G2559:G2563 E2551:E2555 G2551:G2555 C2567:C2571 E2567:E2571 G2567:G2571 C2587:C2591 E2587:E2591 G2587:G2591 E2579:E2583 G2579:G2583 C2595:C2599 E2595:E2599 G2595:G2599 C2523:C2527 C2551:C2555 C2579:C2583 E2609:E2613 G2609:G2613 C2609:C2613</xm:sqref>
        </x14:conditionalFormatting>
        <x14:conditionalFormatting xmlns:xm="http://schemas.microsoft.com/office/excel/2006/main">
          <x14:cfRule type="expression" priority="74117" id="{6B52E6F6-7CAF-4C4D-8236-7017D2EBA393}">
            <xm:f>Calculs!B3287&lt;&gt;""</xm:f>
            <x14:dxf>
              <fill>
                <patternFill>
                  <bgColor theme="0" tint="-0.24994659260841701"/>
                </patternFill>
              </fill>
            </x14:dxf>
          </x14:cfRule>
          <xm:sqref>I2503:I2507 I2495:I2499 I2531:I2535 I2523:I2527 I2559:I2563 I2551:I2555 I2587:I2591 I2579:I2583 I2609:I2613</xm:sqref>
        </x14:conditionalFormatting>
        <x14:conditionalFormatting xmlns:xm="http://schemas.microsoft.com/office/excel/2006/main">
          <x14:cfRule type="expression" priority="74332" id="{40975834-13E7-48F0-8218-DBA286DC3D4E}">
            <xm:f>Calculs!B3279&lt;&gt;""</xm:f>
            <x14:dxf>
              <fill>
                <patternFill>
                  <bgColor rgb="FF0000FF"/>
                </patternFill>
              </fill>
              <border>
                <left style="thin">
                  <color rgb="FFFF0000"/>
                </left>
                <right style="thin">
                  <color rgb="FFFF0000"/>
                </right>
                <vertical/>
                <horizontal/>
              </border>
            </x14:dxf>
          </x14:cfRule>
          <xm:sqref>B2495:B2499 D2495:D2499 B2551:B2555 B2579:B2583 B2523:B2527 D2523:D2527 D2551:D2555 D2579:D2583 B2609:B2613 D2609:D2613</xm:sqref>
        </x14:conditionalFormatting>
        <x14:conditionalFormatting xmlns:xm="http://schemas.microsoft.com/office/excel/2006/main">
          <x14:cfRule type="expression" priority="74549" id="{72B28399-364C-4406-AC83-D3D4270DCA17}">
            <xm:f>Calculs!$B3287&lt;&gt;""</xm:f>
            <x14:dxf>
              <fill>
                <patternFill>
                  <bgColor theme="0" tint="-0.24994659260841701"/>
                </patternFill>
              </fill>
            </x14:dxf>
          </x14:cfRule>
          <xm:sqref>C2501:H2501 B2501:B2502 C2509:H2509 B2509:B2510 C2557:I2557 I2556 C2565:I2565 I2564 C2585:I2585 I2584 C2593:I2593 I2592 C2537:I2537 I2536 C2529:I2529 I2528 I2500:I2501 I2508:I2509 B2557:B2558 B2565:B2566 B2585:B2586 B2593:B2594 B2537:B2538 B2529:B2530 I2614</xm:sqref>
        </x14:conditionalFormatting>
        <x14:conditionalFormatting xmlns:xm="http://schemas.microsoft.com/office/excel/2006/main">
          <x14:cfRule type="expression" priority="75416" id="{C9A287EB-8A12-4865-AF04-B92FD38265CC}">
            <xm:f>Calculs!B3251&lt;&gt;""</xm:f>
            <x14:dxf>
              <fill>
                <patternFill>
                  <bgColor rgb="FF0000FF"/>
                </patternFill>
              </fill>
              <border>
                <left style="thin">
                  <color rgb="FFFF0000"/>
                </left>
                <right style="thin">
                  <color rgb="FFFF0000"/>
                </right>
                <top/>
                <bottom/>
                <vertical/>
                <horizontal/>
              </border>
            </x14:dxf>
          </x14:cfRule>
          <xm:sqref>D2483:D2487 B2483:B2487 F2483:F2487 H2483:H2487 F2475:F2479 H2475:H2479</xm:sqref>
        </x14:conditionalFormatting>
        <x14:conditionalFormatting xmlns:xm="http://schemas.microsoft.com/office/excel/2006/main">
          <x14:cfRule type="expression" priority="76483" id="{6CDDFE3E-6706-49F3-AA3C-26E2BF9D73B3}">
            <xm:f>Calculs!B3251&lt;&gt;""</xm:f>
            <x14:dxf>
              <border>
                <top style="thin">
                  <color rgb="FFFF0000"/>
                </top>
                <vertical/>
                <horizontal/>
              </border>
            </x14:dxf>
          </x14:cfRule>
          <xm:sqref>D2483 B2483 F2483 H2483 F2475 H2475 B2475 D2475</xm:sqref>
        </x14:conditionalFormatting>
        <x14:conditionalFormatting xmlns:xm="http://schemas.microsoft.com/office/excel/2006/main">
          <x14:cfRule type="expression" priority="77766" id="{A7186BC3-358F-4958-8BAB-1B6701711F9D}">
            <xm:f>Calculs!B3251&lt;&gt;""</xm:f>
            <x14:dxf>
              <border>
                <bottom style="thin">
                  <color rgb="FFFF0000"/>
                </bottom>
                <vertical/>
                <horizontal/>
              </border>
            </x14:dxf>
          </x14:cfRule>
          <xm:sqref>D2487 B2487 F2487 H2487 F2479 H2479 B2479 D2479</xm:sqref>
        </x14:conditionalFormatting>
        <x14:conditionalFormatting xmlns:xm="http://schemas.microsoft.com/office/excel/2006/main">
          <x14:cfRule type="expression" priority="79049" id="{51F54783-7A41-47BC-9B58-85EBA65CA6EB}">
            <xm:f>Calculs!D3251&lt;&gt;""</xm:f>
            <x14:dxf>
              <fill>
                <patternFill>
                  <bgColor theme="0" tint="-0.24994659260841701"/>
                </patternFill>
              </fill>
            </x14:dxf>
          </x14:cfRule>
          <xm:sqref>C2483:C2487 E2483:E2487 G2483:G2487 E2475:E2479 G2475:G2479 C2475:C2479</xm:sqref>
        </x14:conditionalFormatting>
        <x14:conditionalFormatting xmlns:xm="http://schemas.microsoft.com/office/excel/2006/main">
          <x14:cfRule type="expression" priority="80011" id="{6B52E6F6-7CAF-4C4D-8236-7017D2EBA393}">
            <xm:f>Calculs!B3259&lt;&gt;""</xm:f>
            <x14:dxf>
              <fill>
                <patternFill>
                  <bgColor theme="0" tint="-0.24994659260841701"/>
                </patternFill>
              </fill>
            </x14:dxf>
          </x14:cfRule>
          <xm:sqref>I2483:I2487 I2475:I2479</xm:sqref>
        </x14:conditionalFormatting>
        <x14:conditionalFormatting xmlns:xm="http://schemas.microsoft.com/office/excel/2006/main">
          <x14:cfRule type="expression" priority="80225" id="{40975834-13E7-48F0-8218-DBA286DC3D4E}">
            <xm:f>Calculs!B3251&lt;&gt;""</xm:f>
            <x14:dxf>
              <fill>
                <patternFill>
                  <bgColor rgb="FF0000FF"/>
                </patternFill>
              </fill>
              <border>
                <left style="thin">
                  <color rgb="FFFF0000"/>
                </left>
                <right style="thin">
                  <color rgb="FFFF0000"/>
                </right>
                <vertical/>
                <horizontal/>
              </border>
            </x14:dxf>
          </x14:cfRule>
          <xm:sqref>B2475:B2479 D2475:D2479</xm:sqref>
        </x14:conditionalFormatting>
        <x14:conditionalFormatting xmlns:xm="http://schemas.microsoft.com/office/excel/2006/main">
          <x14:cfRule type="expression" priority="80440" id="{72B28399-364C-4406-AC83-D3D4270DCA17}">
            <xm:f>Calculs!$B3259&lt;&gt;""</xm:f>
            <x14:dxf>
              <fill>
                <patternFill>
                  <bgColor theme="0" tint="-0.24994659260841701"/>
                </patternFill>
              </fill>
            </x14:dxf>
          </x14:cfRule>
          <xm:sqref>C2481:H2481 B2481:B2482 I2480:I2481 I2488</xm:sqref>
        </x14:conditionalFormatting>
        <x14:conditionalFormatting xmlns:xm="http://schemas.microsoft.com/office/excel/2006/main">
          <x14:cfRule type="expression" priority="81529" id="{C9A287EB-8A12-4865-AF04-B92FD38265CC}">
            <xm:f>Calculs!B3223&lt;&gt;""</xm:f>
            <x14:dxf>
              <fill>
                <patternFill>
                  <bgColor rgb="FF0000FF"/>
                </patternFill>
              </fill>
              <border>
                <left style="thin">
                  <color rgb="FFFF0000"/>
                </left>
                <right style="thin">
                  <color rgb="FFFF0000"/>
                </right>
                <top/>
                <bottom/>
                <vertical/>
                <horizontal/>
              </border>
            </x14:dxf>
          </x14:cfRule>
          <xm:sqref>D2463:D2467 B2463:B2467 F2463:F2467 H2463:H2467 F2455:F2459 H2455:H2459</xm:sqref>
        </x14:conditionalFormatting>
        <x14:conditionalFormatting xmlns:xm="http://schemas.microsoft.com/office/excel/2006/main">
          <x14:cfRule type="expression" priority="82550" id="{6CDDFE3E-6706-49F3-AA3C-26E2BF9D73B3}">
            <xm:f>Calculs!B3223&lt;&gt;""</xm:f>
            <x14:dxf>
              <border>
                <top style="thin">
                  <color rgb="FFFF0000"/>
                </top>
                <vertical/>
                <horizontal/>
              </border>
            </x14:dxf>
          </x14:cfRule>
          <xm:sqref>D2463 B2463 F2463 H2463 F2455 H2455 B2455 D2455</xm:sqref>
        </x14:conditionalFormatting>
        <x14:conditionalFormatting xmlns:xm="http://schemas.microsoft.com/office/excel/2006/main">
          <x14:cfRule type="expression" priority="83777" id="{A7186BC3-358F-4958-8BAB-1B6701711F9D}">
            <xm:f>Calculs!B3223&lt;&gt;""</xm:f>
            <x14:dxf>
              <border>
                <bottom style="thin">
                  <color rgb="FFFF0000"/>
                </bottom>
                <vertical/>
                <horizontal/>
              </border>
            </x14:dxf>
          </x14:cfRule>
          <xm:sqref>D2467 B2467 F2467 H2467 F2459 H2459 B2459 D2459</xm:sqref>
        </x14:conditionalFormatting>
        <x14:conditionalFormatting xmlns:xm="http://schemas.microsoft.com/office/excel/2006/main">
          <x14:cfRule type="expression" priority="85004" id="{51F54783-7A41-47BC-9B58-85EBA65CA6EB}">
            <xm:f>Calculs!D3223&lt;&gt;""</xm:f>
            <x14:dxf>
              <fill>
                <patternFill>
                  <bgColor theme="0" tint="-0.24994659260841701"/>
                </patternFill>
              </fill>
            </x14:dxf>
          </x14:cfRule>
          <xm:sqref>C2463:C2467 E2463:E2467 G2463:G2467 E2455:E2459 G2455:G2459 C2455:C2459</xm:sqref>
        </x14:conditionalFormatting>
        <x14:conditionalFormatting xmlns:xm="http://schemas.microsoft.com/office/excel/2006/main">
          <x14:cfRule type="expression" priority="85924" id="{6B52E6F6-7CAF-4C4D-8236-7017D2EBA393}">
            <xm:f>Calculs!B3231&lt;&gt;""</xm:f>
            <x14:dxf>
              <fill>
                <patternFill>
                  <bgColor theme="0" tint="-0.24994659260841701"/>
                </patternFill>
              </fill>
            </x14:dxf>
          </x14:cfRule>
          <xm:sqref>I2463:I2467 I2455:I2459</xm:sqref>
        </x14:conditionalFormatting>
        <x14:conditionalFormatting xmlns:xm="http://schemas.microsoft.com/office/excel/2006/main">
          <x14:cfRule type="expression" priority="86129" id="{40975834-13E7-48F0-8218-DBA286DC3D4E}">
            <xm:f>Calculs!B3223&lt;&gt;""</xm:f>
            <x14:dxf>
              <fill>
                <patternFill>
                  <bgColor rgb="FF0000FF"/>
                </patternFill>
              </fill>
              <border>
                <left style="thin">
                  <color rgb="FFFF0000"/>
                </left>
                <right style="thin">
                  <color rgb="FFFF0000"/>
                </right>
                <vertical/>
                <horizontal/>
              </border>
            </x14:dxf>
          </x14:cfRule>
          <xm:sqref>B2455:B2459 D2455:D2459</xm:sqref>
        </x14:conditionalFormatting>
        <x14:conditionalFormatting xmlns:xm="http://schemas.microsoft.com/office/excel/2006/main">
          <x14:cfRule type="expression" priority="86334" id="{72B28399-364C-4406-AC83-D3D4270DCA17}">
            <xm:f>Calculs!$B3231&lt;&gt;""</xm:f>
            <x14:dxf>
              <fill>
                <patternFill>
                  <bgColor theme="0" tint="-0.24994659260841701"/>
                </patternFill>
              </fill>
            </x14:dxf>
          </x14:cfRule>
          <xm:sqref>C2461:H2461 B2461:B2462 I2460:I2461 I2468</xm:sqref>
        </x14:conditionalFormatting>
        <x14:conditionalFormatting xmlns:xm="http://schemas.microsoft.com/office/excel/2006/main">
          <x14:cfRule type="expression" priority="87452" id="{C9A287EB-8A12-4865-AF04-B92FD38265CC}">
            <xm:f>Calculs!B3195&lt;&gt;""</xm:f>
            <x14:dxf>
              <fill>
                <patternFill>
                  <bgColor rgb="FF0000FF"/>
                </patternFill>
              </fill>
              <border>
                <left style="thin">
                  <color rgb="FFFF0000"/>
                </left>
                <right style="thin">
                  <color rgb="FFFF0000"/>
                </right>
                <top/>
                <bottom/>
                <vertical/>
                <horizontal/>
              </border>
            </x14:dxf>
          </x14:cfRule>
          <xm:sqref>D2443:D2447 B2443:B2447 F2443:F2447 H2443:H2447 F2435:F2439 H2435:H2439</xm:sqref>
        </x14:conditionalFormatting>
        <x14:conditionalFormatting xmlns:xm="http://schemas.microsoft.com/office/excel/2006/main">
          <x14:cfRule type="expression" priority="88463" id="{6CDDFE3E-6706-49F3-AA3C-26E2BF9D73B3}">
            <xm:f>Calculs!B3195&lt;&gt;""</xm:f>
            <x14:dxf>
              <border>
                <top style="thin">
                  <color rgb="FFFF0000"/>
                </top>
                <vertical/>
                <horizontal/>
              </border>
            </x14:dxf>
          </x14:cfRule>
          <xm:sqref>D2443 B2443 F2443 H2443 F2435 H2435 B2435 D2435</xm:sqref>
        </x14:conditionalFormatting>
        <x14:conditionalFormatting xmlns:xm="http://schemas.microsoft.com/office/excel/2006/main">
          <x14:cfRule type="expression" priority="89678" id="{A7186BC3-358F-4958-8BAB-1B6701711F9D}">
            <xm:f>Calculs!B3195&lt;&gt;""</xm:f>
            <x14:dxf>
              <border>
                <bottom style="thin">
                  <color rgb="FFFF0000"/>
                </bottom>
                <vertical/>
                <horizontal/>
              </border>
            </x14:dxf>
          </x14:cfRule>
          <xm:sqref>D2447 B2447 F2447 H2447 F2439 H2439 B2439 D2439</xm:sqref>
        </x14:conditionalFormatting>
        <x14:conditionalFormatting xmlns:xm="http://schemas.microsoft.com/office/excel/2006/main">
          <x14:cfRule type="expression" priority="90893" id="{51F54783-7A41-47BC-9B58-85EBA65CA6EB}">
            <xm:f>Calculs!D3195&lt;&gt;""</xm:f>
            <x14:dxf>
              <fill>
                <patternFill>
                  <bgColor theme="0" tint="-0.24994659260841701"/>
                </patternFill>
              </fill>
            </x14:dxf>
          </x14:cfRule>
          <xm:sqref>C2443:C2447 E2443:E2447 G2443:G2447 E2435:E2439 G2435:G2439 C2435:C2439</xm:sqref>
        </x14:conditionalFormatting>
        <x14:conditionalFormatting xmlns:xm="http://schemas.microsoft.com/office/excel/2006/main">
          <x14:cfRule type="expression" priority="91804" id="{6B52E6F6-7CAF-4C4D-8236-7017D2EBA393}">
            <xm:f>Calculs!B3203&lt;&gt;""</xm:f>
            <x14:dxf>
              <fill>
                <patternFill>
                  <bgColor theme="0" tint="-0.24994659260841701"/>
                </patternFill>
              </fill>
            </x14:dxf>
          </x14:cfRule>
          <xm:sqref>I2443:I2447 I2435:I2439</xm:sqref>
        </x14:conditionalFormatting>
        <x14:conditionalFormatting xmlns:xm="http://schemas.microsoft.com/office/excel/2006/main">
          <x14:cfRule type="expression" priority="92007" id="{40975834-13E7-48F0-8218-DBA286DC3D4E}">
            <xm:f>Calculs!B3195&lt;&gt;""</xm:f>
            <x14:dxf>
              <fill>
                <patternFill>
                  <bgColor rgb="FF0000FF"/>
                </patternFill>
              </fill>
              <border>
                <left style="thin">
                  <color rgb="FFFF0000"/>
                </left>
                <right style="thin">
                  <color rgb="FFFF0000"/>
                </right>
                <vertical/>
                <horizontal/>
              </border>
            </x14:dxf>
          </x14:cfRule>
          <xm:sqref>B2435:B2439 D2435:D2439</xm:sqref>
        </x14:conditionalFormatting>
        <x14:conditionalFormatting xmlns:xm="http://schemas.microsoft.com/office/excel/2006/main">
          <x14:cfRule type="expression" priority="92210" id="{72B28399-364C-4406-AC83-D3D4270DCA17}">
            <xm:f>Calculs!$B3203&lt;&gt;""</xm:f>
            <x14:dxf>
              <fill>
                <patternFill>
                  <bgColor theme="0" tint="-0.24994659260841701"/>
                </patternFill>
              </fill>
            </x14:dxf>
          </x14:cfRule>
          <xm:sqref>C2441:H2441 B2441:B2442 I2440:I2441 I2448</xm:sqref>
        </x14:conditionalFormatting>
        <x14:conditionalFormatting xmlns:xm="http://schemas.microsoft.com/office/excel/2006/main">
          <x14:cfRule type="expression" priority="93357" id="{C9A287EB-8A12-4865-AF04-B92FD38265CC}">
            <xm:f>Calculs!B3167&lt;&gt;""</xm:f>
            <x14:dxf>
              <fill>
                <patternFill>
                  <bgColor rgb="FF0000FF"/>
                </patternFill>
              </fill>
              <border>
                <left style="thin">
                  <color rgb="FFFF0000"/>
                </left>
                <right style="thin">
                  <color rgb="FFFF0000"/>
                </right>
                <top/>
                <bottom/>
                <vertical/>
                <horizontal/>
              </border>
            </x14:dxf>
          </x14:cfRule>
          <xm:sqref>D2423:D2427 B2423:B2427 F2423:F2427 H2423:H2427 F2415:F2419 H2415:H2419</xm:sqref>
        </x14:conditionalFormatting>
        <x14:conditionalFormatting xmlns:xm="http://schemas.microsoft.com/office/excel/2006/main">
          <x14:cfRule type="expression" priority="94358" id="{6CDDFE3E-6706-49F3-AA3C-26E2BF9D73B3}">
            <xm:f>Calculs!B3167&lt;&gt;""</xm:f>
            <x14:dxf>
              <border>
                <top style="thin">
                  <color rgb="FFFF0000"/>
                </top>
                <vertical/>
                <horizontal/>
              </border>
            </x14:dxf>
          </x14:cfRule>
          <xm:sqref>D2423 B2423 F2423 H2423 F2415 H2415 B2415 D2415</xm:sqref>
        </x14:conditionalFormatting>
        <x14:conditionalFormatting xmlns:xm="http://schemas.microsoft.com/office/excel/2006/main">
          <x14:cfRule type="expression" priority="95561" id="{A7186BC3-358F-4958-8BAB-1B6701711F9D}">
            <xm:f>Calculs!B3167&lt;&gt;""</xm:f>
            <x14:dxf>
              <border>
                <bottom style="thin">
                  <color rgb="FFFF0000"/>
                </bottom>
                <vertical/>
                <horizontal/>
              </border>
            </x14:dxf>
          </x14:cfRule>
          <xm:sqref>D2427 B2427 F2427 H2427 F2419 H2419 B2419 D2419</xm:sqref>
        </x14:conditionalFormatting>
        <x14:conditionalFormatting xmlns:xm="http://schemas.microsoft.com/office/excel/2006/main">
          <x14:cfRule type="expression" priority="96764" id="{51F54783-7A41-47BC-9B58-85EBA65CA6EB}">
            <xm:f>Calculs!D3167&lt;&gt;""</xm:f>
            <x14:dxf>
              <fill>
                <patternFill>
                  <bgColor theme="0" tint="-0.24994659260841701"/>
                </patternFill>
              </fill>
            </x14:dxf>
          </x14:cfRule>
          <xm:sqref>C2423:C2427 E2423:E2427 G2423:G2427 E2415:E2419 G2415:G2419 C2415:C2419</xm:sqref>
        </x14:conditionalFormatting>
        <x14:conditionalFormatting xmlns:xm="http://schemas.microsoft.com/office/excel/2006/main">
          <x14:cfRule type="expression" priority="97666" id="{6B52E6F6-7CAF-4C4D-8236-7017D2EBA393}">
            <xm:f>Calculs!B3175&lt;&gt;""</xm:f>
            <x14:dxf>
              <fill>
                <patternFill>
                  <bgColor theme="0" tint="-0.24994659260841701"/>
                </patternFill>
              </fill>
            </x14:dxf>
          </x14:cfRule>
          <xm:sqref>I2423:I2427 I2415:I2419</xm:sqref>
        </x14:conditionalFormatting>
        <x14:conditionalFormatting xmlns:xm="http://schemas.microsoft.com/office/excel/2006/main">
          <x14:cfRule type="expression" priority="97867" id="{40975834-13E7-48F0-8218-DBA286DC3D4E}">
            <xm:f>Calculs!B3167&lt;&gt;""</xm:f>
            <x14:dxf>
              <fill>
                <patternFill>
                  <bgColor rgb="FF0000FF"/>
                </patternFill>
              </fill>
              <border>
                <left style="thin">
                  <color rgb="FFFF0000"/>
                </left>
                <right style="thin">
                  <color rgb="FFFF0000"/>
                </right>
                <vertical/>
                <horizontal/>
              </border>
            </x14:dxf>
          </x14:cfRule>
          <xm:sqref>B2415:B2419 D2415:D2419</xm:sqref>
        </x14:conditionalFormatting>
        <x14:conditionalFormatting xmlns:xm="http://schemas.microsoft.com/office/excel/2006/main">
          <x14:cfRule type="expression" priority="98068" id="{72B28399-364C-4406-AC83-D3D4270DCA17}">
            <xm:f>Calculs!$B3175&lt;&gt;""</xm:f>
            <x14:dxf>
              <fill>
                <patternFill>
                  <bgColor theme="0" tint="-0.24994659260841701"/>
                </patternFill>
              </fill>
            </x14:dxf>
          </x14:cfRule>
          <xm:sqref>C2421:H2421 B2421:B2422 I2420:I2421 I2428</xm:sqref>
        </x14:conditionalFormatting>
        <x14:conditionalFormatting xmlns:xm="http://schemas.microsoft.com/office/excel/2006/main">
          <x14:cfRule type="expression" priority="99244" id="{C9A287EB-8A12-4865-AF04-B92FD38265CC}">
            <xm:f>Calculs!F3139&lt;&gt;""</xm:f>
            <x14:dxf>
              <fill>
                <patternFill>
                  <bgColor rgb="FF0000FF"/>
                </patternFill>
              </fill>
              <border>
                <left style="thin">
                  <color rgb="FFFF0000"/>
                </left>
                <right style="thin">
                  <color rgb="FFFF0000"/>
                </right>
                <top/>
                <bottom/>
                <vertical/>
                <horizontal/>
              </border>
            </x14:dxf>
          </x14:cfRule>
          <xm:sqref>F2403:F2407 H2403:H2407</xm:sqref>
        </x14:conditionalFormatting>
        <x14:conditionalFormatting xmlns:xm="http://schemas.microsoft.com/office/excel/2006/main">
          <x14:cfRule type="expression" priority="100231" id="{6CDDFE3E-6706-49F3-AA3C-26E2BF9D73B3}">
            <xm:f>Calculs!B3139&lt;&gt;""</xm:f>
            <x14:dxf>
              <border>
                <top style="thin">
                  <color rgb="FFFF0000"/>
                </top>
                <vertical/>
                <horizontal/>
              </border>
            </x14:dxf>
          </x14:cfRule>
          <xm:sqref>F2403 H2403 B2403 D2403</xm:sqref>
        </x14:conditionalFormatting>
        <x14:conditionalFormatting xmlns:xm="http://schemas.microsoft.com/office/excel/2006/main">
          <x14:cfRule type="expression" priority="101418" id="{A7186BC3-358F-4958-8BAB-1B6701711F9D}">
            <xm:f>Calculs!B3139&lt;&gt;""</xm:f>
            <x14:dxf>
              <border>
                <bottom style="thin">
                  <color rgb="FFFF0000"/>
                </bottom>
                <vertical/>
                <horizontal/>
              </border>
            </x14:dxf>
          </x14:cfRule>
          <xm:sqref>F2407 H2407 B2407 D2407</xm:sqref>
        </x14:conditionalFormatting>
        <x14:conditionalFormatting xmlns:xm="http://schemas.microsoft.com/office/excel/2006/main">
          <x14:cfRule type="expression" priority="102605" id="{51F54783-7A41-47BC-9B58-85EBA65CA6EB}">
            <xm:f>Calculs!D3139&lt;&gt;""</xm:f>
            <x14:dxf>
              <fill>
                <patternFill>
                  <bgColor theme="0" tint="-0.24994659260841701"/>
                </patternFill>
              </fill>
            </x14:dxf>
          </x14:cfRule>
          <xm:sqref>E2403:E2407 G2403:G2407 C2403:C2407</xm:sqref>
        </x14:conditionalFormatting>
        <x14:conditionalFormatting xmlns:xm="http://schemas.microsoft.com/office/excel/2006/main">
          <x14:cfRule type="expression" priority="103495" id="{6B52E6F6-7CAF-4C4D-8236-7017D2EBA393}">
            <xm:f>Calculs!B3147&lt;&gt;""</xm:f>
            <x14:dxf>
              <fill>
                <patternFill>
                  <bgColor theme="0" tint="-0.24994659260841701"/>
                </patternFill>
              </fill>
            </x14:dxf>
          </x14:cfRule>
          <xm:sqref>I2403:I2407</xm:sqref>
        </x14:conditionalFormatting>
        <x14:conditionalFormatting xmlns:xm="http://schemas.microsoft.com/office/excel/2006/main">
          <x14:cfRule type="expression" priority="103693" id="{40975834-13E7-48F0-8218-DBA286DC3D4E}">
            <xm:f>Calculs!B3139&lt;&gt;""</xm:f>
            <x14:dxf>
              <fill>
                <patternFill>
                  <bgColor rgb="FF0000FF"/>
                </patternFill>
              </fill>
              <border>
                <left style="thin">
                  <color rgb="FFFF0000"/>
                </left>
                <right style="thin">
                  <color rgb="FFFF0000"/>
                </right>
                <vertical/>
                <horizontal/>
              </border>
            </x14:dxf>
          </x14:cfRule>
          <xm:sqref>B2403:B2407 D2403:D2407</xm:sqref>
        </x14:conditionalFormatting>
        <x14:conditionalFormatting xmlns:xm="http://schemas.microsoft.com/office/excel/2006/main">
          <x14:cfRule type="expression" priority="103892" id="{72B28399-364C-4406-AC83-D3D4270DCA17}">
            <xm:f>Calculs!$B3147&lt;&gt;""</xm:f>
            <x14:dxf>
              <fill>
                <patternFill>
                  <bgColor theme="0" tint="-0.24994659260841701"/>
                </patternFill>
              </fill>
            </x14:dxf>
          </x14:cfRule>
          <xm:sqref>I2408</xm:sqref>
        </x14:conditionalFormatting>
        <x14:conditionalFormatting xmlns:xm="http://schemas.microsoft.com/office/excel/2006/main">
          <x14:cfRule type="expression" priority="105097" id="{C9A287EB-8A12-4865-AF04-B92FD38265CC}">
            <xm:f>Calculs!B2997&lt;&gt;""</xm:f>
            <x14:dxf>
              <fill>
                <patternFill>
                  <bgColor rgb="FF0000FF"/>
                </patternFill>
              </fill>
              <border>
                <left style="thin">
                  <color rgb="FFFF0000"/>
                </left>
                <right style="thin">
                  <color rgb="FFFF0000"/>
                </right>
                <top/>
                <bottom/>
                <vertical/>
                <horizontal/>
              </border>
            </x14:dxf>
          </x14:cfRule>
          <xm:sqref>D2293:D2297 D2285:D2289 B2285:B2289 F2285:F2289 H2285:H2289 F2277:F2281 H2277:H2281 B2293:B2297 F2293:F2297 H2293:H2297 D2321:D2325 D2313:D2317 B2313:B2317 F2313:F2317 H2313:H2317 F2305:F2309 H2305:H2309 B2321:B2325 F2321:F2325 H2321:H2325 D2349:D2353 D2341:D2345 B2341:B2345 F2341:F2345 H2341:H2345 F2333:F2337 H2333:H2337 B2349:B2353 F2349:F2353 H2349:H2353 D2377:D2381 D2369:D2373 B2369:B2373 F2369:F2373 H2369:H2373 F2361:F2365 H2361:H2365 B2377:B2381 F2377:F2381 H2377:H2381 F2391:F2395 H2391:H2395</xm:sqref>
        </x14:conditionalFormatting>
        <x14:conditionalFormatting xmlns:xm="http://schemas.microsoft.com/office/excel/2006/main">
          <x14:cfRule type="expression" priority="106070" id="{6CDDFE3E-6706-49F3-AA3C-26E2BF9D73B3}">
            <xm:f>Calculs!B2997&lt;&gt;""</xm:f>
            <x14:dxf>
              <border>
                <top style="thin">
                  <color rgb="FFFF0000"/>
                </top>
                <vertical/>
                <horizontal/>
              </border>
            </x14:dxf>
          </x14:cfRule>
          <xm:sqref>D2293 D2285 B2285 F2285 H2285 F2277 H2277 B2293 F2293 H2293 B2277 D2277 D2321 D2313 B2313 F2313 H2313 F2305 H2305 B2321 F2321 H2321 D2349 D2341 B2341 F2341 H2341 F2333 H2333 B2349 F2349 H2349 D2377 D2369 B2369 F2369 H2369 F2361 H2361 B2377 F2377 H2377 B2305 D2305 B2333 D2333 B2361 D2361 F2391 H2391 B2391 D2391</xm:sqref>
        </x14:conditionalFormatting>
        <x14:conditionalFormatting xmlns:xm="http://schemas.microsoft.com/office/excel/2006/main">
          <x14:cfRule type="expression" priority="107241" id="{A7186BC3-358F-4958-8BAB-1B6701711F9D}">
            <xm:f>Calculs!B2997&lt;&gt;""</xm:f>
            <x14:dxf>
              <border>
                <bottom style="thin">
                  <color rgb="FFFF0000"/>
                </bottom>
                <vertical/>
                <horizontal/>
              </border>
            </x14:dxf>
          </x14:cfRule>
          <xm:sqref>D2297 D2289 B2289 F2289 H2289 F2281 H2281 B2297 F2297 H2297 B2281 D2281 D2325 D2317 B2317 F2317 H2317 F2309 H2309 B2325 F2325 H2325 D2353 D2345 B2345 F2345 H2345 F2337 H2337 B2353 F2353 H2353 D2381 D2373 B2373 F2373 H2373 F2365 H2365 B2381 F2381 H2381 B2309 D2309 B2337 D2337 B2365 D2365 F2395 H2395 B2395 D2395</xm:sqref>
        </x14:conditionalFormatting>
        <x14:conditionalFormatting xmlns:xm="http://schemas.microsoft.com/office/excel/2006/main">
          <x14:cfRule type="expression" priority="108412" id="{51F54783-7A41-47BC-9B58-85EBA65CA6EB}">
            <xm:f>Calculs!D2997&lt;&gt;""</xm:f>
            <x14:dxf>
              <fill>
                <patternFill>
                  <bgColor theme="0" tint="-0.24994659260841701"/>
                </patternFill>
              </fill>
            </x14:dxf>
          </x14:cfRule>
          <xm:sqref>C2285:C2289 E2285:E2289 G2285:G2289 E2277:E2281 G2277:G2281 C2293:C2297 E2293:E2297 G2293:G2297 C2277:C2281 C2313:C2317 E2313:E2317 G2313:G2317 E2305:E2309 G2305:G2309 C2321:C2325 E2321:E2325 G2321:G2325 C2341:C2345 E2341:E2345 G2341:G2345 E2333:E2337 G2333:G2337 C2349:C2353 E2349:E2353 G2349:G2353 C2369:C2373 E2369:E2373 G2369:G2373 E2361:E2365 G2361:G2365 C2377:C2381 E2377:E2381 G2377:G2381 C2305:C2309 C2333:C2337 C2361:C2365 E2391:E2395 G2391:G2395 C2391:C2395</xm:sqref>
        </x14:conditionalFormatting>
        <x14:conditionalFormatting xmlns:xm="http://schemas.microsoft.com/office/excel/2006/main">
          <x14:cfRule type="expression" priority="109290" id="{6B52E6F6-7CAF-4C4D-8236-7017D2EBA393}">
            <xm:f>Calculs!B3005&lt;&gt;""</xm:f>
            <x14:dxf>
              <fill>
                <patternFill>
                  <bgColor theme="0" tint="-0.24994659260841701"/>
                </patternFill>
              </fill>
            </x14:dxf>
          </x14:cfRule>
          <xm:sqref>I2285:I2289 I2277:I2281 I2313:I2317 I2305:I2309 I2341:I2345 I2333:I2337 I2369:I2373 I2361:I2365 I2391:I2395</xm:sqref>
        </x14:conditionalFormatting>
        <x14:conditionalFormatting xmlns:xm="http://schemas.microsoft.com/office/excel/2006/main">
          <x14:cfRule type="expression" priority="109485" id="{40975834-13E7-48F0-8218-DBA286DC3D4E}">
            <xm:f>Calculs!B2997&lt;&gt;""</xm:f>
            <x14:dxf>
              <fill>
                <patternFill>
                  <bgColor rgb="FF0000FF"/>
                </patternFill>
              </fill>
              <border>
                <left style="thin">
                  <color rgb="FFFF0000"/>
                </left>
                <right style="thin">
                  <color rgb="FFFF0000"/>
                </right>
                <vertical/>
                <horizontal/>
              </border>
            </x14:dxf>
          </x14:cfRule>
          <xm:sqref>B2277:B2281 D2277:D2281 B2333:B2337 B2361:B2365 B2305:B2309 D2305:D2309 D2333:D2337 D2361:D2365 B2391:B2395 D2391:D2395</xm:sqref>
        </x14:conditionalFormatting>
        <x14:conditionalFormatting xmlns:xm="http://schemas.microsoft.com/office/excel/2006/main">
          <x14:cfRule type="expression" priority="109682" id="{72B28399-364C-4406-AC83-D3D4270DCA17}">
            <xm:f>Calculs!$B3005&lt;&gt;""</xm:f>
            <x14:dxf>
              <fill>
                <patternFill>
                  <bgColor theme="0" tint="-0.24994659260841701"/>
                </patternFill>
              </fill>
            </x14:dxf>
          </x14:cfRule>
          <xm:sqref>C2283:H2283 B2283:B2284 C2291:H2291 B2291:B2292 C2339:I2339 I2338 C2347:I2347 I2346 C2367:I2367 I2366 C2375:I2375 I2374 C2319:I2319 I2318 C2311:I2311 I2310 I2282:I2283 I2290:I2291 B2339:B2340 B2347:B2348 B2367:B2368 B2375:B2376 B2319:B2320 B2311:B2312 I2396</xm:sqref>
        </x14:conditionalFormatting>
        <x14:conditionalFormatting xmlns:xm="http://schemas.microsoft.com/office/excel/2006/main">
          <x14:cfRule type="expression" priority="110897" id="{C9A287EB-8A12-4865-AF04-B92FD38265CC}">
            <xm:f>Calculs!B2969&lt;&gt;""</xm:f>
            <x14:dxf>
              <fill>
                <patternFill>
                  <bgColor rgb="FF0000FF"/>
                </patternFill>
              </fill>
              <border>
                <left style="thin">
                  <color rgb="FFFF0000"/>
                </left>
                <right style="thin">
                  <color rgb="FFFF0000"/>
                </right>
                <top/>
                <bottom/>
                <vertical/>
                <horizontal/>
              </border>
            </x14:dxf>
          </x14:cfRule>
          <xm:sqref>D2265:D2269 B2265:B2269 F2265:F2269 H2265:H2269 F2257:F2261 H2257:H2261</xm:sqref>
        </x14:conditionalFormatting>
        <x14:conditionalFormatting xmlns:xm="http://schemas.microsoft.com/office/excel/2006/main">
          <x14:cfRule type="expression" priority="111864" id="{6CDDFE3E-6706-49F3-AA3C-26E2BF9D73B3}">
            <xm:f>Calculs!B2969&lt;&gt;""</xm:f>
            <x14:dxf>
              <border>
                <top style="thin">
                  <color rgb="FFFF0000"/>
                </top>
                <vertical/>
                <horizontal/>
              </border>
            </x14:dxf>
          </x14:cfRule>
          <xm:sqref>D2265 B2265 F2265 H2265 F2257 H2257 B2257 D2257</xm:sqref>
        </x14:conditionalFormatting>
        <x14:conditionalFormatting xmlns:xm="http://schemas.microsoft.com/office/excel/2006/main">
          <x14:cfRule type="expression" priority="113027" id="{A7186BC3-358F-4958-8BAB-1B6701711F9D}">
            <xm:f>Calculs!B2969&lt;&gt;""</xm:f>
            <x14:dxf>
              <border>
                <bottom style="thin">
                  <color rgb="FFFF0000"/>
                </bottom>
                <vertical/>
                <horizontal/>
              </border>
            </x14:dxf>
          </x14:cfRule>
          <xm:sqref>D2269 B2269 F2269 H2269 F2261 H2261 B2261 D2261</xm:sqref>
        </x14:conditionalFormatting>
        <x14:conditionalFormatting xmlns:xm="http://schemas.microsoft.com/office/excel/2006/main">
          <x14:cfRule type="expression" priority="114190" id="{51F54783-7A41-47BC-9B58-85EBA65CA6EB}">
            <xm:f>Calculs!D2969&lt;&gt;""</xm:f>
            <x14:dxf>
              <fill>
                <patternFill>
                  <bgColor theme="0" tint="-0.24994659260841701"/>
                </patternFill>
              </fill>
            </x14:dxf>
          </x14:cfRule>
          <xm:sqref>C2265:C2269 E2265:E2269 G2265:G2269 E2257:E2261 G2257:G2261 C2257:C2261</xm:sqref>
        </x14:conditionalFormatting>
        <x14:conditionalFormatting xmlns:xm="http://schemas.microsoft.com/office/excel/2006/main">
          <x14:cfRule type="expression" priority="115062" id="{6B52E6F6-7CAF-4C4D-8236-7017D2EBA393}">
            <xm:f>Calculs!B2977&lt;&gt;""</xm:f>
            <x14:dxf>
              <fill>
                <patternFill>
                  <bgColor theme="0" tint="-0.24994659260841701"/>
                </patternFill>
              </fill>
            </x14:dxf>
          </x14:cfRule>
          <xm:sqref>I2265:I2269 I2257:I2261</xm:sqref>
        </x14:conditionalFormatting>
        <x14:conditionalFormatting xmlns:xm="http://schemas.microsoft.com/office/excel/2006/main">
          <x14:cfRule type="expression" priority="115256" id="{40975834-13E7-48F0-8218-DBA286DC3D4E}">
            <xm:f>Calculs!B2969&lt;&gt;""</xm:f>
            <x14:dxf>
              <fill>
                <patternFill>
                  <bgColor rgb="FF0000FF"/>
                </patternFill>
              </fill>
              <border>
                <left style="thin">
                  <color rgb="FFFF0000"/>
                </left>
                <right style="thin">
                  <color rgb="FFFF0000"/>
                </right>
                <vertical/>
                <horizontal/>
              </border>
            </x14:dxf>
          </x14:cfRule>
          <xm:sqref>B2257:B2261 D2257:D2261</xm:sqref>
        </x14:conditionalFormatting>
        <x14:conditionalFormatting xmlns:xm="http://schemas.microsoft.com/office/excel/2006/main">
          <x14:cfRule type="expression" priority="115451" id="{72B28399-364C-4406-AC83-D3D4270DCA17}">
            <xm:f>Calculs!$B2977&lt;&gt;""</xm:f>
            <x14:dxf>
              <fill>
                <patternFill>
                  <bgColor theme="0" tint="-0.24994659260841701"/>
                </patternFill>
              </fill>
            </x14:dxf>
          </x14:cfRule>
          <xm:sqref>C2263:H2263 B2263:B2264 I2262:I2263 I2270</xm:sqref>
        </x14:conditionalFormatting>
        <x14:conditionalFormatting xmlns:xm="http://schemas.microsoft.com/office/excel/2006/main">
          <x14:cfRule type="expression" priority="117078" id="{C9A287EB-8A12-4865-AF04-B92FD38265CC}">
            <xm:f>Calculs!B2941&lt;&gt;""</xm:f>
            <x14:dxf>
              <fill>
                <patternFill>
                  <bgColor rgb="FF0000FF"/>
                </patternFill>
              </fill>
              <border>
                <left style="thin">
                  <color rgb="FFFF0000"/>
                </left>
                <right style="thin">
                  <color rgb="FFFF0000"/>
                </right>
                <top/>
                <bottom/>
                <vertical/>
                <horizontal/>
              </border>
            </x14:dxf>
          </x14:cfRule>
          <xm:sqref>D2245:D2249 B2245:B2249 F2245:F2249 H2245:H2249 F2237:F2241 H2237:H2241</xm:sqref>
        </x14:conditionalFormatting>
        <x14:conditionalFormatting xmlns:xm="http://schemas.microsoft.com/office/excel/2006/main">
          <x14:cfRule type="expression" priority="117999" id="{6CDDFE3E-6706-49F3-AA3C-26E2BF9D73B3}">
            <xm:f>Calculs!B2941&lt;&gt;""</xm:f>
            <x14:dxf>
              <border>
                <top style="thin">
                  <color rgb="FFFF0000"/>
                </top>
                <vertical/>
                <horizontal/>
              </border>
            </x14:dxf>
          </x14:cfRule>
          <xm:sqref>D2245 B2245 F2245 H2245 F2237 H2237 B2237 D2237</xm:sqref>
        </x14:conditionalFormatting>
        <x14:conditionalFormatting xmlns:xm="http://schemas.microsoft.com/office/excel/2006/main">
          <x14:cfRule type="expression" priority="119106" id="{A7186BC3-358F-4958-8BAB-1B6701711F9D}">
            <xm:f>Calculs!B2941&lt;&gt;""</xm:f>
            <x14:dxf>
              <border>
                <bottom style="thin">
                  <color rgb="FFFF0000"/>
                </bottom>
                <vertical/>
                <horizontal/>
              </border>
            </x14:dxf>
          </x14:cfRule>
          <xm:sqref>D2249 B2249 F2249 H2249 F2241 H2241 B2241 D2241</xm:sqref>
        </x14:conditionalFormatting>
        <x14:conditionalFormatting xmlns:xm="http://schemas.microsoft.com/office/excel/2006/main">
          <x14:cfRule type="expression" priority="120213" id="{51F54783-7A41-47BC-9B58-85EBA65CA6EB}">
            <xm:f>Calculs!D2941&lt;&gt;""</xm:f>
            <x14:dxf>
              <fill>
                <patternFill>
                  <bgColor theme="0" tint="-0.24994659260841701"/>
                </patternFill>
              </fill>
            </x14:dxf>
          </x14:cfRule>
          <xm:sqref>C2245:C2249 E2245:E2249 G2245:G2249 E2237:E2241 G2237:G2241 C2237:C2241</xm:sqref>
        </x14:conditionalFormatting>
        <x14:conditionalFormatting xmlns:xm="http://schemas.microsoft.com/office/excel/2006/main">
          <x14:cfRule type="expression" priority="121043" id="{6B52E6F6-7CAF-4C4D-8236-7017D2EBA393}">
            <xm:f>Calculs!B2949&lt;&gt;""</xm:f>
            <x14:dxf>
              <fill>
                <patternFill>
                  <bgColor theme="0" tint="-0.24994659260841701"/>
                </patternFill>
              </fill>
            </x14:dxf>
          </x14:cfRule>
          <xm:sqref>I2245:I2249 I2237:I2241</xm:sqref>
        </x14:conditionalFormatting>
        <x14:conditionalFormatting xmlns:xm="http://schemas.microsoft.com/office/excel/2006/main">
          <x14:cfRule type="expression" priority="121228" id="{40975834-13E7-48F0-8218-DBA286DC3D4E}">
            <xm:f>Calculs!B2941&lt;&gt;""</xm:f>
            <x14:dxf>
              <fill>
                <patternFill>
                  <bgColor rgb="FF0000FF"/>
                </patternFill>
              </fill>
              <border>
                <left style="thin">
                  <color rgb="FFFF0000"/>
                </left>
                <right style="thin">
                  <color rgb="FFFF0000"/>
                </right>
                <vertical/>
                <horizontal/>
              </border>
            </x14:dxf>
          </x14:cfRule>
          <xm:sqref>B2237:B2241 D2237:D2241</xm:sqref>
        </x14:conditionalFormatting>
        <x14:conditionalFormatting xmlns:xm="http://schemas.microsoft.com/office/excel/2006/main">
          <x14:cfRule type="expression" priority="121413" id="{72B28399-364C-4406-AC83-D3D4270DCA17}">
            <xm:f>Calculs!$B2949&lt;&gt;""</xm:f>
            <x14:dxf>
              <fill>
                <patternFill>
                  <bgColor theme="0" tint="-0.24994659260841701"/>
                </patternFill>
              </fill>
            </x14:dxf>
          </x14:cfRule>
          <xm:sqref>C2243:H2243 B2243:B2244 I2242:I2243 I2250</xm:sqref>
        </x14:conditionalFormatting>
        <x14:conditionalFormatting xmlns:xm="http://schemas.microsoft.com/office/excel/2006/main">
          <x14:cfRule type="expression" priority="123069" id="{C9A287EB-8A12-4865-AF04-B92FD38265CC}">
            <xm:f>Calculs!B2913&lt;&gt;""</xm:f>
            <x14:dxf>
              <fill>
                <patternFill>
                  <bgColor rgb="FF0000FF"/>
                </patternFill>
              </fill>
              <border>
                <left style="thin">
                  <color rgb="FFFF0000"/>
                </left>
                <right style="thin">
                  <color rgb="FFFF0000"/>
                </right>
                <top/>
                <bottom/>
                <vertical/>
                <horizontal/>
              </border>
            </x14:dxf>
          </x14:cfRule>
          <xm:sqref>D2225:D2229 B2225:B2229 F2225:F2229 H2225:H2229 F2217:F2221 H2217:H2221</xm:sqref>
        </x14:conditionalFormatting>
        <x14:conditionalFormatting xmlns:xm="http://schemas.microsoft.com/office/excel/2006/main">
          <x14:cfRule type="expression" priority="123980" id="{6CDDFE3E-6706-49F3-AA3C-26E2BF9D73B3}">
            <xm:f>Calculs!B2913&lt;&gt;""</xm:f>
            <x14:dxf>
              <border>
                <top style="thin">
                  <color rgb="FFFF0000"/>
                </top>
                <vertical/>
                <horizontal/>
              </border>
            </x14:dxf>
          </x14:cfRule>
          <xm:sqref>D2225 B2225 F2225 H2225 F2217 H2217 B2217 D2217</xm:sqref>
        </x14:conditionalFormatting>
        <x14:conditionalFormatting xmlns:xm="http://schemas.microsoft.com/office/excel/2006/main">
          <x14:cfRule type="expression" priority="125075" id="{A7186BC3-358F-4958-8BAB-1B6701711F9D}">
            <xm:f>Calculs!B2913&lt;&gt;""</xm:f>
            <x14:dxf>
              <border>
                <bottom style="thin">
                  <color rgb="FFFF0000"/>
                </bottom>
                <vertical/>
                <horizontal/>
              </border>
            </x14:dxf>
          </x14:cfRule>
          <xm:sqref>D2229 B2229 F2229 H2229 F2221 H2221 B2221 D2221</xm:sqref>
        </x14:conditionalFormatting>
        <x14:conditionalFormatting xmlns:xm="http://schemas.microsoft.com/office/excel/2006/main">
          <x14:cfRule type="expression" priority="126170" id="{51F54783-7A41-47BC-9B58-85EBA65CA6EB}">
            <xm:f>Calculs!D2913&lt;&gt;""</xm:f>
            <x14:dxf>
              <fill>
                <patternFill>
                  <bgColor theme="0" tint="-0.24994659260841701"/>
                </patternFill>
              </fill>
            </x14:dxf>
          </x14:cfRule>
          <xm:sqref>C2225:C2229 E2225:E2229 G2225:G2229 E2217:E2221 G2217:G2221 C2217:C2221</xm:sqref>
        </x14:conditionalFormatting>
        <x14:conditionalFormatting xmlns:xm="http://schemas.microsoft.com/office/excel/2006/main">
          <x14:cfRule type="expression" priority="126991" id="{6B52E6F6-7CAF-4C4D-8236-7017D2EBA393}">
            <xm:f>Calculs!B2921&lt;&gt;""</xm:f>
            <x14:dxf>
              <fill>
                <patternFill>
                  <bgColor theme="0" tint="-0.24994659260841701"/>
                </patternFill>
              </fill>
            </x14:dxf>
          </x14:cfRule>
          <xm:sqref>I2225:I2229 I2217:I2221</xm:sqref>
        </x14:conditionalFormatting>
        <x14:conditionalFormatting xmlns:xm="http://schemas.microsoft.com/office/excel/2006/main">
          <x14:cfRule type="expression" priority="127174" id="{40975834-13E7-48F0-8218-DBA286DC3D4E}">
            <xm:f>Calculs!B2913&lt;&gt;""</xm:f>
            <x14:dxf>
              <fill>
                <patternFill>
                  <bgColor rgb="FF0000FF"/>
                </patternFill>
              </fill>
              <border>
                <left style="thin">
                  <color rgb="FFFF0000"/>
                </left>
                <right style="thin">
                  <color rgb="FFFF0000"/>
                </right>
                <vertical/>
                <horizontal/>
              </border>
            </x14:dxf>
          </x14:cfRule>
          <xm:sqref>B2217:B2221 D2217:D2221</xm:sqref>
        </x14:conditionalFormatting>
        <x14:conditionalFormatting xmlns:xm="http://schemas.microsoft.com/office/excel/2006/main">
          <x14:cfRule type="expression" priority="127357" id="{72B28399-364C-4406-AC83-D3D4270DCA17}">
            <xm:f>Calculs!$B2921&lt;&gt;""</xm:f>
            <x14:dxf>
              <fill>
                <patternFill>
                  <bgColor theme="0" tint="-0.24994659260841701"/>
                </patternFill>
              </fill>
            </x14:dxf>
          </x14:cfRule>
          <xm:sqref>C2223:H2223 B2223:B2224 I2222:I2223 I2230</xm:sqref>
        </x14:conditionalFormatting>
        <x14:conditionalFormatting xmlns:xm="http://schemas.microsoft.com/office/excel/2006/main">
          <x14:cfRule type="expression" priority="129042" id="{C9A287EB-8A12-4865-AF04-B92FD38265CC}">
            <xm:f>Calculs!B2885&lt;&gt;""</xm:f>
            <x14:dxf>
              <fill>
                <patternFill>
                  <bgColor rgb="FF0000FF"/>
                </patternFill>
              </fill>
              <border>
                <left style="thin">
                  <color rgb="FFFF0000"/>
                </left>
                <right style="thin">
                  <color rgb="FFFF0000"/>
                </right>
                <top/>
                <bottom/>
                <vertical/>
                <horizontal/>
              </border>
            </x14:dxf>
          </x14:cfRule>
          <xm:sqref>D2205:D2209 B2205:B2209 F2205:F2209 H2205:H2209 F2197:F2201 H2197:H2201</xm:sqref>
        </x14:conditionalFormatting>
        <x14:conditionalFormatting xmlns:xm="http://schemas.microsoft.com/office/excel/2006/main">
          <x14:cfRule type="expression" priority="129943" id="{6CDDFE3E-6706-49F3-AA3C-26E2BF9D73B3}">
            <xm:f>Calculs!B2885&lt;&gt;""</xm:f>
            <x14:dxf>
              <border>
                <top style="thin">
                  <color rgb="FFFF0000"/>
                </top>
                <vertical/>
                <horizontal/>
              </border>
            </x14:dxf>
          </x14:cfRule>
          <xm:sqref>D2205 B2205 F2205 H2205 F2197 H2197 B2197 D2197</xm:sqref>
        </x14:conditionalFormatting>
        <x14:conditionalFormatting xmlns:xm="http://schemas.microsoft.com/office/excel/2006/main">
          <x14:cfRule type="expression" priority="131026" id="{A7186BC3-358F-4958-8BAB-1B6701711F9D}">
            <xm:f>Calculs!B2885&lt;&gt;""</xm:f>
            <x14:dxf>
              <border>
                <bottom style="thin">
                  <color rgb="FFFF0000"/>
                </bottom>
                <vertical/>
                <horizontal/>
              </border>
            </x14:dxf>
          </x14:cfRule>
          <xm:sqref>D2209 B2209 F2209 H2209 F2201 H2201 B2201 D2201</xm:sqref>
        </x14:conditionalFormatting>
        <x14:conditionalFormatting xmlns:xm="http://schemas.microsoft.com/office/excel/2006/main">
          <x14:cfRule type="expression" priority="132109" id="{51F54783-7A41-47BC-9B58-85EBA65CA6EB}">
            <xm:f>Calculs!D2885&lt;&gt;""</xm:f>
            <x14:dxf>
              <fill>
                <patternFill>
                  <bgColor theme="0" tint="-0.24994659260841701"/>
                </patternFill>
              </fill>
            </x14:dxf>
          </x14:cfRule>
          <xm:sqref>C2205:C2209 E2205:E2209 G2205:G2209 E2197:E2201 G2197:G2201 C2197:C2201</xm:sqref>
        </x14:conditionalFormatting>
        <x14:conditionalFormatting xmlns:xm="http://schemas.microsoft.com/office/excel/2006/main">
          <x14:cfRule type="expression" priority="132921" id="{6B52E6F6-7CAF-4C4D-8236-7017D2EBA393}">
            <xm:f>Calculs!B2893&lt;&gt;""</xm:f>
            <x14:dxf>
              <fill>
                <patternFill>
                  <bgColor theme="0" tint="-0.24994659260841701"/>
                </patternFill>
              </fill>
            </x14:dxf>
          </x14:cfRule>
          <xm:sqref>I2205:I2209 I2197:I2201</xm:sqref>
        </x14:conditionalFormatting>
        <x14:conditionalFormatting xmlns:xm="http://schemas.microsoft.com/office/excel/2006/main">
          <x14:cfRule type="expression" priority="133102" id="{40975834-13E7-48F0-8218-DBA286DC3D4E}">
            <xm:f>Calculs!B2885&lt;&gt;""</xm:f>
            <x14:dxf>
              <fill>
                <patternFill>
                  <bgColor rgb="FF0000FF"/>
                </patternFill>
              </fill>
              <border>
                <left style="thin">
                  <color rgb="FFFF0000"/>
                </left>
                <right style="thin">
                  <color rgb="FFFF0000"/>
                </right>
                <vertical/>
                <horizontal/>
              </border>
            </x14:dxf>
          </x14:cfRule>
          <xm:sqref>B2197:B2201 D2197:D2201</xm:sqref>
        </x14:conditionalFormatting>
        <x14:conditionalFormatting xmlns:xm="http://schemas.microsoft.com/office/excel/2006/main">
          <x14:cfRule type="expression" priority="133283" id="{72B28399-364C-4406-AC83-D3D4270DCA17}">
            <xm:f>Calculs!$B2893&lt;&gt;""</xm:f>
            <x14:dxf>
              <fill>
                <patternFill>
                  <bgColor theme="0" tint="-0.24994659260841701"/>
                </patternFill>
              </fill>
            </x14:dxf>
          </x14:cfRule>
          <xm:sqref>C2203:H2203 B2203:B2204 I2202:I2203 I2210</xm:sqref>
        </x14:conditionalFormatting>
        <x14:conditionalFormatting xmlns:xm="http://schemas.microsoft.com/office/excel/2006/main">
          <x14:cfRule type="expression" priority="134997" id="{C9A287EB-8A12-4865-AF04-B92FD38265CC}">
            <xm:f>Calculs!F2857&lt;&gt;""</xm:f>
            <x14:dxf>
              <fill>
                <patternFill>
                  <bgColor rgb="FF0000FF"/>
                </patternFill>
              </fill>
              <border>
                <left style="thin">
                  <color rgb="FFFF0000"/>
                </left>
                <right style="thin">
                  <color rgb="FFFF0000"/>
                </right>
                <top/>
                <bottom/>
                <vertical/>
                <horizontal/>
              </border>
            </x14:dxf>
          </x14:cfRule>
          <xm:sqref>F2185:F2189 H2185:H2189</xm:sqref>
        </x14:conditionalFormatting>
        <x14:conditionalFormatting xmlns:xm="http://schemas.microsoft.com/office/excel/2006/main">
          <x14:cfRule type="expression" priority="135884" id="{6CDDFE3E-6706-49F3-AA3C-26E2BF9D73B3}">
            <xm:f>Calculs!B2857&lt;&gt;""</xm:f>
            <x14:dxf>
              <border>
                <top style="thin">
                  <color rgb="FFFF0000"/>
                </top>
                <vertical/>
                <horizontal/>
              </border>
            </x14:dxf>
          </x14:cfRule>
          <xm:sqref>F2185 H2185 B2185 D2185</xm:sqref>
        </x14:conditionalFormatting>
        <x14:conditionalFormatting xmlns:xm="http://schemas.microsoft.com/office/excel/2006/main">
          <x14:cfRule type="expression" priority="136951" id="{A7186BC3-358F-4958-8BAB-1B6701711F9D}">
            <xm:f>Calculs!B2857&lt;&gt;""</xm:f>
            <x14:dxf>
              <border>
                <bottom style="thin">
                  <color rgb="FFFF0000"/>
                </bottom>
                <vertical/>
                <horizontal/>
              </border>
            </x14:dxf>
          </x14:cfRule>
          <xm:sqref>F2189 H2189 B2189 D2189</xm:sqref>
        </x14:conditionalFormatting>
        <x14:conditionalFormatting xmlns:xm="http://schemas.microsoft.com/office/excel/2006/main">
          <x14:cfRule type="expression" priority="138018" id="{51F54783-7A41-47BC-9B58-85EBA65CA6EB}">
            <xm:f>Calculs!D2857&lt;&gt;""</xm:f>
            <x14:dxf>
              <fill>
                <patternFill>
                  <bgColor theme="0" tint="-0.24994659260841701"/>
                </patternFill>
              </fill>
            </x14:dxf>
          </x14:cfRule>
          <xm:sqref>E2185:E2189 G2185:G2189 C2185:C2189</xm:sqref>
        </x14:conditionalFormatting>
        <x14:conditionalFormatting xmlns:xm="http://schemas.microsoft.com/office/excel/2006/main">
          <x14:cfRule type="expression" priority="138818" id="{6B52E6F6-7CAF-4C4D-8236-7017D2EBA393}">
            <xm:f>Calculs!B2865&lt;&gt;""</xm:f>
            <x14:dxf>
              <fill>
                <patternFill>
                  <bgColor theme="0" tint="-0.24994659260841701"/>
                </patternFill>
              </fill>
            </x14:dxf>
          </x14:cfRule>
          <xm:sqref>I2185:I2189</xm:sqref>
        </x14:conditionalFormatting>
        <x14:conditionalFormatting xmlns:xm="http://schemas.microsoft.com/office/excel/2006/main">
          <x14:cfRule type="expression" priority="138996" id="{40975834-13E7-48F0-8218-DBA286DC3D4E}">
            <xm:f>Calculs!B2857&lt;&gt;""</xm:f>
            <x14:dxf>
              <fill>
                <patternFill>
                  <bgColor rgb="FF0000FF"/>
                </patternFill>
              </fill>
              <border>
                <left style="thin">
                  <color rgb="FFFF0000"/>
                </left>
                <right style="thin">
                  <color rgb="FFFF0000"/>
                </right>
                <vertical/>
                <horizontal/>
              </border>
            </x14:dxf>
          </x14:cfRule>
          <xm:sqref>B2185:B2189 D2185:D2189</xm:sqref>
        </x14:conditionalFormatting>
        <x14:conditionalFormatting xmlns:xm="http://schemas.microsoft.com/office/excel/2006/main">
          <x14:cfRule type="expression" priority="139175" id="{72B28399-364C-4406-AC83-D3D4270DCA17}">
            <xm:f>Calculs!$B2865&lt;&gt;""</xm:f>
            <x14:dxf>
              <fill>
                <patternFill>
                  <bgColor theme="0" tint="-0.24994659260841701"/>
                </patternFill>
              </fill>
            </x14:dxf>
          </x14:cfRule>
          <xm:sqref>I2190</xm:sqref>
        </x14:conditionalFormatting>
        <x14:conditionalFormatting xmlns:xm="http://schemas.microsoft.com/office/excel/2006/main">
          <x14:cfRule type="expression" priority="140918" id="{C9A287EB-8A12-4865-AF04-B92FD38265CC}">
            <xm:f>Calculs!B2715&lt;&gt;""</xm:f>
            <x14:dxf>
              <fill>
                <patternFill>
                  <bgColor rgb="FF0000FF"/>
                </patternFill>
              </fill>
              <border>
                <left style="thin">
                  <color rgb="FFFF0000"/>
                </left>
                <right style="thin">
                  <color rgb="FFFF0000"/>
                </right>
                <top/>
                <bottom/>
                <vertical/>
                <horizontal/>
              </border>
            </x14:dxf>
          </x14:cfRule>
          <xm:sqref>D2075:D2079 D2067:D2071 B2067:B2071 F2067:F2071 H2067:H2071 F2059:F2063 H2059:H2063 B2075:B2079 F2075:F2079 H2075:H2079 D2103:D2107 D2095:D2099 B2095:B2099 F2095:F2099 H2095:H2099 F2087:F2091 H2087:H2091 B2103:B2107 F2103:F2107 H2103:H2107 D2131:D2135 D2123:D2127 B2123:B2127 F2123:F2127 H2123:H2127 F2115:F2119 H2115:H2119 B2131:B2135 F2131:F2135 H2131:H2135 D2159:D2163 D2151:D2155 B2151:B2155 F2151:F2155 H2151:H2155 F2143:F2147 H2143:H2147 B2159:B2163 F2159:F2163 H2159:H2163 F2173:F2177 H2173:H2177</xm:sqref>
        </x14:conditionalFormatting>
        <x14:conditionalFormatting xmlns:xm="http://schemas.microsoft.com/office/excel/2006/main">
          <x14:cfRule type="expression" priority="141791" id="{6CDDFE3E-6706-49F3-AA3C-26E2BF9D73B3}">
            <xm:f>Calculs!B2715&lt;&gt;""</xm:f>
            <x14:dxf>
              <border>
                <top style="thin">
                  <color rgb="FFFF0000"/>
                </top>
                <vertical/>
                <horizontal/>
              </border>
            </x14:dxf>
          </x14:cfRule>
          <xm:sqref>D2075 D2067 B2067 F2067 H2067 F2059 H2059 B2075 F2075 H2075 B2059 D2059 D2103 D2095 B2095 F2095 H2095 F2087 H2087 B2103 F2103 H2103 D2131 D2123 B2123 F2123 H2123 F2115 H2115 B2131 F2131 H2131 D2159 D2151 B2151 F2151 H2151 F2143 H2143 B2159 F2159 H2159 B2087 D2087 B2115 D2115 B2143 D2143 F2173 H2173 B2173 D2173</xm:sqref>
        </x14:conditionalFormatting>
        <x14:conditionalFormatting xmlns:xm="http://schemas.microsoft.com/office/excel/2006/main">
          <x14:cfRule type="expression" priority="142842" id="{A7186BC3-358F-4958-8BAB-1B6701711F9D}">
            <xm:f>Calculs!B2715&lt;&gt;""</xm:f>
            <x14:dxf>
              <border>
                <bottom style="thin">
                  <color rgb="FFFF0000"/>
                </bottom>
                <vertical/>
                <horizontal/>
              </border>
            </x14:dxf>
          </x14:cfRule>
          <xm:sqref>D2079 D2071 B2071 F2071 H2071 F2063 H2063 B2079 F2079 H2079 B2063 D2063 D2107 D2099 B2099 F2099 H2099 F2091 H2091 B2107 F2107 H2107 D2135 D2127 B2127 F2127 H2127 F2119 H2119 B2135 F2135 H2135 D2163 D2155 B2155 F2155 H2155 F2147 H2147 B2163 F2163 H2163 B2091 D2091 B2119 D2119 B2147 D2147 F2177 H2177 B2177 D2177</xm:sqref>
        </x14:conditionalFormatting>
        <x14:conditionalFormatting xmlns:xm="http://schemas.microsoft.com/office/excel/2006/main">
          <x14:cfRule type="expression" priority="143893" id="{51F54783-7A41-47BC-9B58-85EBA65CA6EB}">
            <xm:f>Calculs!D2715&lt;&gt;""</xm:f>
            <x14:dxf>
              <fill>
                <patternFill>
                  <bgColor theme="0" tint="-0.24994659260841701"/>
                </patternFill>
              </fill>
            </x14:dxf>
          </x14:cfRule>
          <xm:sqref>C2067:C2071 E2067:E2071 G2067:G2071 E2059:E2063 G2059:G2063 C2075:C2079 E2075:E2079 G2075:G2079 C2059:C2063 C2095:C2099 E2095:E2099 G2095:G2099 E2087:E2091 G2087:G2091 C2103:C2107 E2103:E2107 G2103:G2107 C2123:C2127 E2123:E2127 G2123:G2127 E2115:E2119 G2115:G2119 C2131:C2135 E2131:E2135 G2131:G2135 C2151:C2155 E2151:E2155 G2151:G2155 E2143:E2147 G2143:G2147 C2159:C2163 E2159:E2163 G2159:G2163 C2087:C2091 C2115:C2119 C2143:C2147 E2173:E2177 G2173:G2177 C2173:C2177</xm:sqref>
        </x14:conditionalFormatting>
        <x14:conditionalFormatting xmlns:xm="http://schemas.microsoft.com/office/excel/2006/main">
          <x14:cfRule type="expression" priority="144681" id="{6B52E6F6-7CAF-4C4D-8236-7017D2EBA393}">
            <xm:f>Calculs!B2723&lt;&gt;""</xm:f>
            <x14:dxf>
              <fill>
                <patternFill>
                  <bgColor theme="0" tint="-0.24994659260841701"/>
                </patternFill>
              </fill>
            </x14:dxf>
          </x14:cfRule>
          <xm:sqref>I2067:I2071 I2059:I2063 I2095:I2099 I2087:I2091 I2123:I2127 I2115:I2119 I2151:I2155 I2143:I2147 I2173:I2177</xm:sqref>
        </x14:conditionalFormatting>
        <x14:conditionalFormatting xmlns:xm="http://schemas.microsoft.com/office/excel/2006/main">
          <x14:cfRule type="expression" priority="144856" id="{40975834-13E7-48F0-8218-DBA286DC3D4E}">
            <xm:f>Calculs!B2715&lt;&gt;""</xm:f>
            <x14:dxf>
              <fill>
                <patternFill>
                  <bgColor rgb="FF0000FF"/>
                </patternFill>
              </fill>
              <border>
                <left style="thin">
                  <color rgb="FFFF0000"/>
                </left>
                <right style="thin">
                  <color rgb="FFFF0000"/>
                </right>
                <vertical/>
                <horizontal/>
              </border>
            </x14:dxf>
          </x14:cfRule>
          <xm:sqref>B2059:B2063 D2059:D2063 B2115:B2119 B2143:B2147 B2087:B2091 D2087:D2091 D2115:D2119 D2143:D2147 B2173:B2177 D2173:D2177</xm:sqref>
        </x14:conditionalFormatting>
        <x14:conditionalFormatting xmlns:xm="http://schemas.microsoft.com/office/excel/2006/main">
          <x14:cfRule type="expression" priority="145033" id="{72B28399-364C-4406-AC83-D3D4270DCA17}">
            <xm:f>Calculs!$B2723&lt;&gt;""</xm:f>
            <x14:dxf>
              <fill>
                <patternFill>
                  <bgColor theme="0" tint="-0.24994659260841701"/>
                </patternFill>
              </fill>
            </x14:dxf>
          </x14:cfRule>
          <xm:sqref>C2065:H2065 B2065:B2066 C2073:H2073 B2073:B2074 C2121:I2121 I2120 C2129:I2129 I2128 C2149:I2149 I2148 C2157:I2157 I2156 C2101:I2101 I2100 C2093:I2093 I2092 I2064:I2065 I2072:I2073 B2121:B2122 B2129:B2130 B2149:B2150 B2157:B2158 B2101:B2102 B2093:B2094 I2178</xm:sqref>
        </x14:conditionalFormatting>
        <x14:conditionalFormatting xmlns:xm="http://schemas.microsoft.com/office/excel/2006/main">
          <x14:cfRule type="expression" priority="146786" id="{C9A287EB-8A12-4865-AF04-B92FD38265CC}">
            <xm:f>Calculs!B2687&lt;&gt;""</xm:f>
            <x14:dxf>
              <fill>
                <patternFill>
                  <bgColor rgb="FF0000FF"/>
                </patternFill>
              </fill>
              <border>
                <left style="thin">
                  <color rgb="FFFF0000"/>
                </left>
                <right style="thin">
                  <color rgb="FFFF0000"/>
                </right>
                <top/>
                <bottom/>
                <vertical/>
                <horizontal/>
              </border>
            </x14:dxf>
          </x14:cfRule>
          <xm:sqref>D2047:D2051 B2047:B2051 F2047:F2051 H2047:H2051 F2039:F2043 H2039:H2043</xm:sqref>
        </x14:conditionalFormatting>
        <x14:conditionalFormatting xmlns:xm="http://schemas.microsoft.com/office/excel/2006/main">
          <x14:cfRule type="expression" priority="147653" id="{6CDDFE3E-6706-49F3-AA3C-26E2BF9D73B3}">
            <xm:f>Calculs!B2687&lt;&gt;""</xm:f>
            <x14:dxf>
              <border>
                <top style="thin">
                  <color rgb="FFFF0000"/>
                </top>
                <vertical/>
                <horizontal/>
              </border>
            </x14:dxf>
          </x14:cfRule>
          <xm:sqref>D2047 B2047 F2047 H2047 F2039 H2039 B2039 D2039</xm:sqref>
        </x14:conditionalFormatting>
        <x14:conditionalFormatting xmlns:xm="http://schemas.microsoft.com/office/excel/2006/main">
          <x14:cfRule type="expression" priority="148696" id="{A7186BC3-358F-4958-8BAB-1B6701711F9D}">
            <xm:f>Calculs!B2687&lt;&gt;""</xm:f>
            <x14:dxf>
              <border>
                <bottom style="thin">
                  <color rgb="FFFF0000"/>
                </bottom>
                <vertical/>
                <horizontal/>
              </border>
            </x14:dxf>
          </x14:cfRule>
          <xm:sqref>D2051 B2051 F2051 H2051 F2043 H2043 B2043 D2043</xm:sqref>
        </x14:conditionalFormatting>
        <x14:conditionalFormatting xmlns:xm="http://schemas.microsoft.com/office/excel/2006/main">
          <x14:cfRule type="expression" priority="149739" id="{51F54783-7A41-47BC-9B58-85EBA65CA6EB}">
            <xm:f>Calculs!D2687&lt;&gt;""</xm:f>
            <x14:dxf>
              <fill>
                <patternFill>
                  <bgColor theme="0" tint="-0.24994659260841701"/>
                </patternFill>
              </fill>
            </x14:dxf>
          </x14:cfRule>
          <xm:sqref>C2047:C2051 E2047:E2051 G2047:G2051 E2039:E2043 G2039:G2043 C2039:C2043</xm:sqref>
        </x14:conditionalFormatting>
        <x14:conditionalFormatting xmlns:xm="http://schemas.microsoft.com/office/excel/2006/main">
          <x14:cfRule type="expression" priority="150521" id="{6B52E6F6-7CAF-4C4D-8236-7017D2EBA393}">
            <xm:f>Calculs!B2695&lt;&gt;""</xm:f>
            <x14:dxf>
              <fill>
                <patternFill>
                  <bgColor theme="0" tint="-0.24994659260841701"/>
                </patternFill>
              </fill>
            </x14:dxf>
          </x14:cfRule>
          <xm:sqref>I2047:I2051 I2039:I2043</xm:sqref>
        </x14:conditionalFormatting>
        <x14:conditionalFormatting xmlns:xm="http://schemas.microsoft.com/office/excel/2006/main">
          <x14:cfRule type="expression" priority="150695" id="{40975834-13E7-48F0-8218-DBA286DC3D4E}">
            <xm:f>Calculs!B2687&lt;&gt;""</xm:f>
            <x14:dxf>
              <fill>
                <patternFill>
                  <bgColor rgb="FF0000FF"/>
                </patternFill>
              </fill>
              <border>
                <left style="thin">
                  <color rgb="FFFF0000"/>
                </left>
                <right style="thin">
                  <color rgb="FFFF0000"/>
                </right>
                <vertical/>
                <horizontal/>
              </border>
            </x14:dxf>
          </x14:cfRule>
          <xm:sqref>B2039:B2043 D2039:D2043</xm:sqref>
        </x14:conditionalFormatting>
        <x14:conditionalFormatting xmlns:xm="http://schemas.microsoft.com/office/excel/2006/main">
          <x14:cfRule type="expression" priority="150870" id="{72B28399-364C-4406-AC83-D3D4270DCA17}">
            <xm:f>Calculs!$B2695&lt;&gt;""</xm:f>
            <x14:dxf>
              <fill>
                <patternFill>
                  <bgColor theme="0" tint="-0.24994659260841701"/>
                </patternFill>
              </fill>
            </x14:dxf>
          </x14:cfRule>
          <xm:sqref>C2045:H2045 B2045:B2046 I2044:I2045 I2052</xm:sqref>
        </x14:conditionalFormatting>
        <x14:conditionalFormatting xmlns:xm="http://schemas.microsoft.com/office/excel/2006/main">
          <x14:cfRule type="expression" priority="152845" id="{C9A287EB-8A12-4865-AF04-B92FD38265CC}">
            <xm:f>Calculs!B2659&lt;&gt;""</xm:f>
            <x14:dxf>
              <fill>
                <patternFill>
                  <bgColor rgb="FF0000FF"/>
                </patternFill>
              </fill>
              <border>
                <left style="thin">
                  <color rgb="FFFF0000"/>
                </left>
                <right style="thin">
                  <color rgb="FFFF0000"/>
                </right>
                <top/>
                <bottom/>
                <vertical/>
                <horizontal/>
              </border>
            </x14:dxf>
          </x14:cfRule>
          <xm:sqref>D2027:D2031 B2027:B2031 F2027:F2031 H2027:H2031 F2019:F2023 H2019:H2023</xm:sqref>
        </x14:conditionalFormatting>
        <x14:conditionalFormatting xmlns:xm="http://schemas.microsoft.com/office/excel/2006/main">
          <x14:cfRule type="expression" priority="153666" id="{6CDDFE3E-6706-49F3-AA3C-26E2BF9D73B3}">
            <xm:f>Calculs!B2659&lt;&gt;""</xm:f>
            <x14:dxf>
              <border>
                <top style="thin">
                  <color rgb="FFFF0000"/>
                </top>
                <vertical/>
                <horizontal/>
              </border>
            </x14:dxf>
          </x14:cfRule>
          <xm:sqref>D2027 B2027 F2027 H2027 F2019 H2019 B2019 D2019</xm:sqref>
        </x14:conditionalFormatting>
        <x14:conditionalFormatting xmlns:xm="http://schemas.microsoft.com/office/excel/2006/main">
          <x14:cfRule type="expression" priority="154653" id="{A7186BC3-358F-4958-8BAB-1B6701711F9D}">
            <xm:f>Calculs!B2659&lt;&gt;""</xm:f>
            <x14:dxf>
              <border>
                <bottom style="thin">
                  <color rgb="FFFF0000"/>
                </bottom>
                <vertical/>
                <horizontal/>
              </border>
            </x14:dxf>
          </x14:cfRule>
          <xm:sqref>D2031 B2031 F2031 H2031 F2023 H2023 B2023 D2023</xm:sqref>
        </x14:conditionalFormatting>
        <x14:conditionalFormatting xmlns:xm="http://schemas.microsoft.com/office/excel/2006/main">
          <x14:cfRule type="expression" priority="155640" id="{51F54783-7A41-47BC-9B58-85EBA65CA6EB}">
            <xm:f>Calculs!D2659&lt;&gt;""</xm:f>
            <x14:dxf>
              <fill>
                <patternFill>
                  <bgColor theme="0" tint="-0.24994659260841701"/>
                </patternFill>
              </fill>
            </x14:dxf>
          </x14:cfRule>
          <xm:sqref>C2027:C2031 E2027:E2031 G2027:G2031 E2019:E2023 G2019:G2023 C2019:C2023</xm:sqref>
        </x14:conditionalFormatting>
        <x14:conditionalFormatting xmlns:xm="http://schemas.microsoft.com/office/excel/2006/main">
          <x14:cfRule type="expression" priority="156380" id="{6B52E6F6-7CAF-4C4D-8236-7017D2EBA393}">
            <xm:f>Calculs!B2667&lt;&gt;""</xm:f>
            <x14:dxf>
              <fill>
                <patternFill>
                  <bgColor theme="0" tint="-0.24994659260841701"/>
                </patternFill>
              </fill>
            </x14:dxf>
          </x14:cfRule>
          <xm:sqref>I2027:I2031 I2019:I2023</xm:sqref>
        </x14:conditionalFormatting>
        <x14:conditionalFormatting xmlns:xm="http://schemas.microsoft.com/office/excel/2006/main">
          <x14:cfRule type="expression" priority="156545" id="{40975834-13E7-48F0-8218-DBA286DC3D4E}">
            <xm:f>Calculs!B2659&lt;&gt;""</xm:f>
            <x14:dxf>
              <fill>
                <patternFill>
                  <bgColor rgb="FF0000FF"/>
                </patternFill>
              </fill>
              <border>
                <left style="thin">
                  <color rgb="FFFF0000"/>
                </left>
                <right style="thin">
                  <color rgb="FFFF0000"/>
                </right>
                <vertical/>
                <horizontal/>
              </border>
            </x14:dxf>
          </x14:cfRule>
          <xm:sqref>B2019:B2023 D2019:D2023</xm:sqref>
        </x14:conditionalFormatting>
        <x14:conditionalFormatting xmlns:xm="http://schemas.microsoft.com/office/excel/2006/main">
          <x14:cfRule type="expression" priority="156710" id="{72B28399-364C-4406-AC83-D3D4270DCA17}">
            <xm:f>Calculs!$B2667&lt;&gt;""</xm:f>
            <x14:dxf>
              <fill>
                <patternFill>
                  <bgColor theme="0" tint="-0.24994659260841701"/>
                </patternFill>
              </fill>
            </x14:dxf>
          </x14:cfRule>
          <xm:sqref>C2025:H2025 B2025:B2026 I2024:I2025 I2032</xm:sqref>
        </x14:conditionalFormatting>
        <x14:conditionalFormatting xmlns:xm="http://schemas.microsoft.com/office/excel/2006/main">
          <x14:cfRule type="expression" priority="158714" id="{C9A287EB-8A12-4865-AF04-B92FD38265CC}">
            <xm:f>Calculs!B2631&lt;&gt;""</xm:f>
            <x14:dxf>
              <fill>
                <patternFill>
                  <bgColor rgb="FF0000FF"/>
                </patternFill>
              </fill>
              <border>
                <left style="thin">
                  <color rgb="FFFF0000"/>
                </left>
                <right style="thin">
                  <color rgb="FFFF0000"/>
                </right>
                <top/>
                <bottom/>
                <vertical/>
                <horizontal/>
              </border>
            </x14:dxf>
          </x14:cfRule>
          <xm:sqref>D2007:D2011 B2007:B2011 F2007:F2011 H2007:H2011 F1999:F2003 H1999:H2003</xm:sqref>
        </x14:conditionalFormatting>
        <x14:conditionalFormatting xmlns:xm="http://schemas.microsoft.com/office/excel/2006/main">
          <x14:cfRule type="expression" priority="159525" id="{6CDDFE3E-6706-49F3-AA3C-26E2BF9D73B3}">
            <xm:f>Calculs!B2631&lt;&gt;""</xm:f>
            <x14:dxf>
              <border>
                <top style="thin">
                  <color rgb="FFFF0000"/>
                </top>
                <vertical/>
                <horizontal/>
              </border>
            </x14:dxf>
          </x14:cfRule>
          <xm:sqref>D2007 B2007 F2007 H2007 F1999 H1999 B1999 D1999</xm:sqref>
        </x14:conditionalFormatting>
        <x14:conditionalFormatting xmlns:xm="http://schemas.microsoft.com/office/excel/2006/main">
          <x14:cfRule type="expression" priority="160500" id="{A7186BC3-358F-4958-8BAB-1B6701711F9D}">
            <xm:f>Calculs!B2631&lt;&gt;""</xm:f>
            <x14:dxf>
              <border>
                <bottom style="thin">
                  <color rgb="FFFF0000"/>
                </bottom>
                <vertical/>
                <horizontal/>
              </border>
            </x14:dxf>
          </x14:cfRule>
          <xm:sqref>D2011 B2011 F2011 H2011 F2003 H2003 B2003 D2003</xm:sqref>
        </x14:conditionalFormatting>
        <x14:conditionalFormatting xmlns:xm="http://schemas.microsoft.com/office/excel/2006/main">
          <x14:cfRule type="expression" priority="161475" id="{51F54783-7A41-47BC-9B58-85EBA65CA6EB}">
            <xm:f>Calculs!D2631&lt;&gt;""</xm:f>
            <x14:dxf>
              <fill>
                <patternFill>
                  <bgColor theme="0" tint="-0.24994659260841701"/>
                </patternFill>
              </fill>
            </x14:dxf>
          </x14:cfRule>
          <xm:sqref>C2007:C2011 E2007:E2011 G2007:G2011 E1999:E2003 G1999:G2003 C1999:C2003</xm:sqref>
        </x14:conditionalFormatting>
        <x14:conditionalFormatting xmlns:xm="http://schemas.microsoft.com/office/excel/2006/main">
          <x14:cfRule type="expression" priority="162206" id="{6B52E6F6-7CAF-4C4D-8236-7017D2EBA393}">
            <xm:f>Calculs!B2639&lt;&gt;""</xm:f>
            <x14:dxf>
              <fill>
                <patternFill>
                  <bgColor theme="0" tint="-0.24994659260841701"/>
                </patternFill>
              </fill>
            </x14:dxf>
          </x14:cfRule>
          <xm:sqref>I2007:I2011 I1999:I2003</xm:sqref>
        </x14:conditionalFormatting>
        <x14:conditionalFormatting xmlns:xm="http://schemas.microsoft.com/office/excel/2006/main">
          <x14:cfRule type="expression" priority="162369" id="{40975834-13E7-48F0-8218-DBA286DC3D4E}">
            <xm:f>Calculs!B2631&lt;&gt;""</xm:f>
            <x14:dxf>
              <fill>
                <patternFill>
                  <bgColor rgb="FF0000FF"/>
                </patternFill>
              </fill>
              <border>
                <left style="thin">
                  <color rgb="FFFF0000"/>
                </left>
                <right style="thin">
                  <color rgb="FFFF0000"/>
                </right>
                <vertical/>
                <horizontal/>
              </border>
            </x14:dxf>
          </x14:cfRule>
          <xm:sqref>B1999:B2003 D1999:D2003</xm:sqref>
        </x14:conditionalFormatting>
        <x14:conditionalFormatting xmlns:xm="http://schemas.microsoft.com/office/excel/2006/main">
          <x14:cfRule type="expression" priority="162532" id="{72B28399-364C-4406-AC83-D3D4270DCA17}">
            <xm:f>Calculs!$B2639&lt;&gt;""</xm:f>
            <x14:dxf>
              <fill>
                <patternFill>
                  <bgColor theme="0" tint="-0.24994659260841701"/>
                </patternFill>
              </fill>
            </x14:dxf>
          </x14:cfRule>
          <xm:sqref>C2005:H2005 B2005:B2006 I2004:I2005 I2012</xm:sqref>
        </x14:conditionalFormatting>
        <x14:conditionalFormatting xmlns:xm="http://schemas.microsoft.com/office/excel/2006/main">
          <x14:cfRule type="expression" priority="164594" id="{C9A287EB-8A12-4865-AF04-B92FD38265CC}">
            <xm:f>Calculs!B375&lt;&gt;""</xm:f>
            <x14:dxf>
              <fill>
                <patternFill>
                  <bgColor rgb="FF0000FF"/>
                </patternFill>
              </fill>
              <border>
                <left style="thin">
                  <color rgb="FFFF0000"/>
                </left>
                <right style="thin">
                  <color rgb="FFFF0000"/>
                </right>
                <top/>
                <bottom/>
                <vertical/>
                <horizontal/>
              </border>
            </x14:dxf>
          </x14:cfRule>
          <xm:sqref>D263:D267 B263:B267 F263:F267 H263:H267 F255:F259 H255:H259</xm:sqref>
        </x14:conditionalFormatting>
        <x14:conditionalFormatting xmlns:xm="http://schemas.microsoft.com/office/excel/2006/main">
          <x14:cfRule type="expression" priority="165395" id="{6CDDFE3E-6706-49F3-AA3C-26E2BF9D73B3}">
            <xm:f>Calculs!B375&lt;&gt;""</xm:f>
            <x14:dxf>
              <border>
                <top style="thin">
                  <color rgb="FFFF0000"/>
                </top>
                <vertical/>
                <horizontal/>
              </border>
            </x14:dxf>
          </x14:cfRule>
          <xm:sqref>D263 B263 F263 H263 F255 H255 B255 D255</xm:sqref>
        </x14:conditionalFormatting>
        <x14:conditionalFormatting xmlns:xm="http://schemas.microsoft.com/office/excel/2006/main">
          <x14:cfRule type="expression" priority="166358" id="{A7186BC3-358F-4958-8BAB-1B6701711F9D}">
            <xm:f>Calculs!B375&lt;&gt;""</xm:f>
            <x14:dxf>
              <border>
                <bottom style="thin">
                  <color rgb="FFFF0000"/>
                </bottom>
                <vertical/>
                <horizontal/>
              </border>
            </x14:dxf>
          </x14:cfRule>
          <xm:sqref>D267 B267 F267 H267 F259 H259 B259 D259</xm:sqref>
        </x14:conditionalFormatting>
        <x14:conditionalFormatting xmlns:xm="http://schemas.microsoft.com/office/excel/2006/main">
          <x14:cfRule type="expression" priority="167315" id="{51F54783-7A41-47BC-9B58-85EBA65CA6EB}">
            <xm:f>Calculs!D375&lt;&gt;""</xm:f>
            <x14:dxf>
              <fill>
                <patternFill>
                  <bgColor theme="0" tint="-0.24994659260841701"/>
                </patternFill>
              </fill>
            </x14:dxf>
          </x14:cfRule>
          <xm:sqref>C263:C267 E263:E267 G263:G267 E255:E259 G255:G259 C255:C259</xm:sqref>
        </x14:conditionalFormatting>
        <x14:conditionalFormatting xmlns:xm="http://schemas.microsoft.com/office/excel/2006/main">
          <x14:cfRule type="expression" priority="168019" id="{6B52E6F6-7CAF-4C4D-8236-7017D2EBA393}">
            <xm:f>Calculs!B383&lt;&gt;""</xm:f>
            <x14:dxf>
              <fill>
                <patternFill>
                  <bgColor theme="0" tint="-0.24994659260841701"/>
                </patternFill>
              </fill>
            </x14:dxf>
          </x14:cfRule>
          <xm:sqref>I263:I267 I255:I259</xm:sqref>
        </x14:conditionalFormatting>
        <x14:conditionalFormatting xmlns:xm="http://schemas.microsoft.com/office/excel/2006/main">
          <x14:cfRule type="expression" priority="168175" id="{40975834-13E7-48F0-8218-DBA286DC3D4E}">
            <xm:f>Calculs!B375&lt;&gt;""</xm:f>
            <x14:dxf>
              <fill>
                <patternFill>
                  <bgColor rgb="FF0000FF"/>
                </patternFill>
              </fill>
              <border>
                <left style="thin">
                  <color rgb="FFFF0000"/>
                </left>
                <right style="thin">
                  <color rgb="FFFF0000"/>
                </right>
                <vertical/>
                <horizontal/>
              </border>
            </x14:dxf>
          </x14:cfRule>
          <xm:sqref>B255:B259 D255:D259</xm:sqref>
        </x14:conditionalFormatting>
        <x14:conditionalFormatting xmlns:xm="http://schemas.microsoft.com/office/excel/2006/main">
          <x14:cfRule type="expression" priority="170227" id="{C9A287EB-8A12-4865-AF04-B92FD38265CC}">
            <xm:f>Calculs!B403&lt;&gt;""</xm:f>
            <x14:dxf>
              <fill>
                <patternFill>
                  <bgColor rgb="FF0000FF"/>
                </patternFill>
              </fill>
              <border>
                <left style="thin">
                  <color rgb="FFFF0000"/>
                </left>
                <right style="thin">
                  <color rgb="FFFF0000"/>
                </right>
                <top/>
                <bottom/>
                <vertical/>
                <horizontal/>
              </border>
            </x14:dxf>
          </x14:cfRule>
          <xm:sqref>D283:D287 B283:B287 F283:F287 H283:H287 F275:F279 H275:H279</xm:sqref>
        </x14:conditionalFormatting>
        <x14:conditionalFormatting xmlns:xm="http://schemas.microsoft.com/office/excel/2006/main">
          <x14:cfRule type="expression" priority="171018" id="{6CDDFE3E-6706-49F3-AA3C-26E2BF9D73B3}">
            <xm:f>Calculs!B403&lt;&gt;""</xm:f>
            <x14:dxf>
              <border>
                <top style="thin">
                  <color rgb="FFFF0000"/>
                </top>
                <vertical/>
                <horizontal/>
              </border>
            </x14:dxf>
          </x14:cfRule>
          <xm:sqref>D283 B283 F283 H283 F275 H275 B275 D275</xm:sqref>
        </x14:conditionalFormatting>
        <x14:conditionalFormatting xmlns:xm="http://schemas.microsoft.com/office/excel/2006/main">
          <x14:cfRule type="expression" priority="171969" id="{A7186BC3-358F-4958-8BAB-1B6701711F9D}">
            <xm:f>Calculs!B403&lt;&gt;""</xm:f>
            <x14:dxf>
              <border>
                <bottom style="thin">
                  <color rgb="FFFF0000"/>
                </bottom>
                <vertical/>
                <horizontal/>
              </border>
            </x14:dxf>
          </x14:cfRule>
          <xm:sqref>D287 B287 F287 H287 F279 H279 B279 D279</xm:sqref>
        </x14:conditionalFormatting>
        <x14:conditionalFormatting xmlns:xm="http://schemas.microsoft.com/office/excel/2006/main">
          <x14:cfRule type="expression" priority="172916" id="{51F54783-7A41-47BC-9B58-85EBA65CA6EB}">
            <xm:f>Calculs!D403&lt;&gt;""</xm:f>
            <x14:dxf>
              <fill>
                <patternFill>
                  <bgColor theme="0" tint="-0.24994659260841701"/>
                </patternFill>
              </fill>
            </x14:dxf>
          </x14:cfRule>
          <xm:sqref>C283:C287 E283:E287 G283:G287 E275:E279 G275:G279 C275:C279</xm:sqref>
        </x14:conditionalFormatting>
        <x14:conditionalFormatting xmlns:xm="http://schemas.microsoft.com/office/excel/2006/main">
          <x14:cfRule type="expression" priority="173617" id="{6B52E6F6-7CAF-4C4D-8236-7017D2EBA393}">
            <xm:f>Calculs!B411&lt;&gt;""</xm:f>
            <x14:dxf>
              <fill>
                <patternFill>
                  <bgColor theme="0" tint="-0.24994659260841701"/>
                </patternFill>
              </fill>
            </x14:dxf>
          </x14:cfRule>
          <xm:sqref>I283:I287 I275:I279</xm:sqref>
        </x14:conditionalFormatting>
        <x14:conditionalFormatting xmlns:xm="http://schemas.microsoft.com/office/excel/2006/main">
          <x14:cfRule type="expression" priority="173773" id="{40975834-13E7-48F0-8218-DBA286DC3D4E}">
            <xm:f>Calculs!B403&lt;&gt;""</xm:f>
            <x14:dxf>
              <fill>
                <patternFill>
                  <bgColor rgb="FF0000FF"/>
                </patternFill>
              </fill>
              <border>
                <left style="thin">
                  <color rgb="FFFF0000"/>
                </left>
                <right style="thin">
                  <color rgb="FFFF0000"/>
                </right>
                <vertical/>
                <horizontal/>
              </border>
            </x14:dxf>
          </x14:cfRule>
          <xm:sqref>B275:B279 D275:D279</xm:sqref>
        </x14:conditionalFormatting>
        <x14:conditionalFormatting xmlns:xm="http://schemas.microsoft.com/office/excel/2006/main">
          <x14:cfRule type="expression" priority="175815" id="{C9A287EB-8A12-4865-AF04-B92FD38265CC}">
            <xm:f>Calculs!B431&lt;&gt;""</xm:f>
            <x14:dxf>
              <fill>
                <patternFill>
                  <bgColor rgb="FF0000FF"/>
                </patternFill>
              </fill>
              <border>
                <left style="thin">
                  <color rgb="FFFF0000"/>
                </left>
                <right style="thin">
                  <color rgb="FFFF0000"/>
                </right>
                <top/>
                <bottom/>
                <vertical/>
                <horizontal/>
              </border>
            </x14:dxf>
          </x14:cfRule>
          <xm:sqref>D303:D307 B303:B307 F303:F307 H303:H307 F295:F299 H295:H299</xm:sqref>
        </x14:conditionalFormatting>
        <x14:conditionalFormatting xmlns:xm="http://schemas.microsoft.com/office/excel/2006/main">
          <x14:cfRule type="expression" priority="176596" id="{6CDDFE3E-6706-49F3-AA3C-26E2BF9D73B3}">
            <xm:f>Calculs!B431&lt;&gt;""</xm:f>
            <x14:dxf>
              <border>
                <top style="thin">
                  <color rgb="FFFF0000"/>
                </top>
                <vertical/>
                <horizontal/>
              </border>
            </x14:dxf>
          </x14:cfRule>
          <xm:sqref>D303 B303 F303 H303 F295 H295 B295 D295</xm:sqref>
        </x14:conditionalFormatting>
        <x14:conditionalFormatting xmlns:xm="http://schemas.microsoft.com/office/excel/2006/main">
          <x14:cfRule type="expression" priority="177535" id="{A7186BC3-358F-4958-8BAB-1B6701711F9D}">
            <xm:f>Calculs!B431&lt;&gt;""</xm:f>
            <x14:dxf>
              <border>
                <bottom style="thin">
                  <color rgb="FFFF0000"/>
                </bottom>
                <vertical/>
                <horizontal/>
              </border>
            </x14:dxf>
          </x14:cfRule>
          <xm:sqref>D307 B307 F307 H307 F299 H299 B299 D299</xm:sqref>
        </x14:conditionalFormatting>
        <x14:conditionalFormatting xmlns:xm="http://schemas.microsoft.com/office/excel/2006/main">
          <x14:cfRule type="expression" priority="178472" id="{51F54783-7A41-47BC-9B58-85EBA65CA6EB}">
            <xm:f>Calculs!D431&lt;&gt;""</xm:f>
            <x14:dxf>
              <fill>
                <patternFill>
                  <bgColor theme="0" tint="-0.24994659260841701"/>
                </patternFill>
              </fill>
            </x14:dxf>
          </x14:cfRule>
          <xm:sqref>C303:C307 E303:E307 G303:G307 E295:E299 G295:G299 C295:C299</xm:sqref>
        </x14:conditionalFormatting>
        <x14:conditionalFormatting xmlns:xm="http://schemas.microsoft.com/office/excel/2006/main">
          <x14:cfRule type="expression" priority="179170" id="{6B52E6F6-7CAF-4C4D-8236-7017D2EBA393}">
            <xm:f>Calculs!B439&lt;&gt;""</xm:f>
            <x14:dxf>
              <fill>
                <patternFill>
                  <bgColor theme="0" tint="-0.24994659260841701"/>
                </patternFill>
              </fill>
            </x14:dxf>
          </x14:cfRule>
          <xm:sqref>I303:I307 I295:I299</xm:sqref>
        </x14:conditionalFormatting>
        <x14:conditionalFormatting xmlns:xm="http://schemas.microsoft.com/office/excel/2006/main">
          <x14:cfRule type="expression" priority="179326" id="{40975834-13E7-48F0-8218-DBA286DC3D4E}">
            <xm:f>Calculs!B431&lt;&gt;""</xm:f>
            <x14:dxf>
              <fill>
                <patternFill>
                  <bgColor rgb="FF0000FF"/>
                </patternFill>
              </fill>
              <border>
                <left style="thin">
                  <color rgb="FFFF0000"/>
                </left>
                <right style="thin">
                  <color rgb="FFFF0000"/>
                </right>
                <vertical/>
                <horizontal/>
              </border>
            </x14:dxf>
          </x14:cfRule>
          <xm:sqref>B295:B299 D295:D299</xm:sqref>
        </x14:conditionalFormatting>
        <x14:conditionalFormatting xmlns:xm="http://schemas.microsoft.com/office/excel/2006/main">
          <x14:cfRule type="expression" priority="181359" id="{C9A287EB-8A12-4865-AF04-B92FD38265CC}">
            <xm:f>Calculs!B459&lt;&gt;""</xm:f>
            <x14:dxf>
              <fill>
                <patternFill>
                  <bgColor rgb="FF0000FF"/>
                </patternFill>
              </fill>
              <border>
                <left style="thin">
                  <color rgb="FFFF0000"/>
                </left>
                <right style="thin">
                  <color rgb="FFFF0000"/>
                </right>
                <top/>
                <bottom/>
                <vertical/>
                <horizontal/>
              </border>
            </x14:dxf>
          </x14:cfRule>
          <xm:sqref>D331:D335 D323:D327 B323:B327 F323:F327 H323:H327 F315:F319 H315:H319 B331:B335 F331:F335 H331:H335 D359:D363 D351:D355 B351:B355 F351:F355 H351:H355 F343:F347 H343:H347 B359:B363 F359:F363 H359:H363 D387:D391 D379:D383 B379:B383 F379:F383 H379:H383 F371:F375 H371:H375 B387:B391 F387:F391 H387:H391 D415:D419 D407:D411 B407:B411 F407:F411 H407:H411 F399:F403 H399:H403 B415:B419 F415:F419 H415:H419 F429:F433 H429:H433</xm:sqref>
        </x14:conditionalFormatting>
        <x14:conditionalFormatting xmlns:xm="http://schemas.microsoft.com/office/excel/2006/main">
          <x14:cfRule type="expression" priority="182126" id="{6CDDFE3E-6706-49F3-AA3C-26E2BF9D73B3}">
            <xm:f>Calculs!B459&lt;&gt;""</xm:f>
            <x14:dxf>
              <border>
                <top style="thin">
                  <color rgb="FFFF0000"/>
                </top>
                <vertical/>
                <horizontal/>
              </border>
            </x14:dxf>
          </x14:cfRule>
          <xm:sqref>D331 D323 B323 F323 H323 F315 H315 B331 F331 H331 B315 D315 D359 D351 B351 F351 H351 F343 H343 B359 F359 H359 D387 D379 B379 F379 H379 F371 H371 B387 F387 H387 D415 D407 B407 F407 H407 F399 H399 B415 F415 H415 B343 D343 B371 D371 B399 D399 F429 H429 B429 D429</xm:sqref>
        </x14:conditionalFormatting>
        <x14:conditionalFormatting xmlns:xm="http://schemas.microsoft.com/office/excel/2006/main">
          <x14:cfRule type="expression" priority="183049" id="{A7186BC3-358F-4958-8BAB-1B6701711F9D}">
            <xm:f>Calculs!B459&lt;&gt;""</xm:f>
            <x14:dxf>
              <border>
                <bottom style="thin">
                  <color rgb="FFFF0000"/>
                </bottom>
                <vertical/>
                <horizontal/>
              </border>
            </x14:dxf>
          </x14:cfRule>
          <xm:sqref>D335 D327 B327 F327 H327 F319 H319 B335 F335 H335 B319 D319 D363 D355 B355 F355 H355 F347 H347 B363 F363 H363 D391 D383 B383 F383 H383 F375 H375 B391 F391 H391 D419 D411 B411 F411 H411 F403 H403 B419 F419 H419 B347 D347 B375 D375 B403 D403 F433 H433 B433 D433</xm:sqref>
        </x14:conditionalFormatting>
        <x14:conditionalFormatting xmlns:xm="http://schemas.microsoft.com/office/excel/2006/main">
          <x14:cfRule type="expression" priority="183972" id="{51F54783-7A41-47BC-9B58-85EBA65CA6EB}">
            <xm:f>Calculs!D459&lt;&gt;""</xm:f>
            <x14:dxf>
              <fill>
                <patternFill>
                  <bgColor theme="0" tint="-0.24994659260841701"/>
                </patternFill>
              </fill>
            </x14:dxf>
          </x14:cfRule>
          <xm:sqref>C323:C327 E323:E327 G323:G327 E315:E319 G315:G319 C331:C335 E331:E335 G331:G335 C315:C319 C351:C355 E351:E355 G351:G355 E343:E347 G343:G347 C359:C363 E359:E363 G359:G363 C379:C383 E379:E383 G379:G383 E371:E375 G371:G375 C387:C391 E387:E391 G387:G391 C407:C411 E407:E411 G407:G411 E399:E403 G399:G403 C415:C419 E415:E419 G415:G419 C343:C347 C371:C375 C399:C403 E429:E433 G429:G433 C429:C433</xm:sqref>
        </x14:conditionalFormatting>
        <x14:conditionalFormatting xmlns:xm="http://schemas.microsoft.com/office/excel/2006/main">
          <x14:cfRule type="expression" priority="184664" id="{6B52E6F6-7CAF-4C4D-8236-7017D2EBA393}">
            <xm:f>Calculs!B467&lt;&gt;""</xm:f>
            <x14:dxf>
              <fill>
                <patternFill>
                  <bgColor theme="0" tint="-0.24994659260841701"/>
                </patternFill>
              </fill>
            </x14:dxf>
          </x14:cfRule>
          <xm:sqref>I323:I327 I315:I319 I351:I355 I343:I347 I379:I383 I371:I375 I407:I411 I399:I403 I429:I433</xm:sqref>
        </x14:conditionalFormatting>
        <x14:conditionalFormatting xmlns:xm="http://schemas.microsoft.com/office/excel/2006/main">
          <x14:cfRule type="expression" priority="184818" id="{40975834-13E7-48F0-8218-DBA286DC3D4E}">
            <xm:f>Calculs!B459&lt;&gt;""</xm:f>
            <x14:dxf>
              <fill>
                <patternFill>
                  <bgColor rgb="FF0000FF"/>
                </patternFill>
              </fill>
              <border>
                <left style="thin">
                  <color rgb="FFFF0000"/>
                </left>
                <right style="thin">
                  <color rgb="FFFF0000"/>
                </right>
                <vertical/>
                <horizontal/>
              </border>
            </x14:dxf>
          </x14:cfRule>
          <xm:sqref>B315:B319 D315:D319 B371:B375 B399:B403 B343:B347 D343:D347 D371:D375 D399:D403 B429:B433 D429:D433</xm:sqref>
        </x14:conditionalFormatting>
        <x14:conditionalFormatting xmlns:xm="http://schemas.microsoft.com/office/excel/2006/main">
          <x14:cfRule type="expression" priority="186900" id="{C9A287EB-8A12-4865-AF04-B92FD38265CC}">
            <xm:f>Calculs!F601&lt;&gt;""</xm:f>
            <x14:dxf>
              <fill>
                <patternFill>
                  <bgColor rgb="FF0000FF"/>
                </patternFill>
              </fill>
              <border>
                <left style="thin">
                  <color rgb="FFFF0000"/>
                </left>
                <right style="thin">
                  <color rgb="FFFF0000"/>
                </right>
                <top/>
                <bottom/>
                <vertical/>
                <horizontal/>
              </border>
            </x14:dxf>
          </x14:cfRule>
          <xm:sqref>F441:F445 H441:H445</xm:sqref>
        </x14:conditionalFormatting>
        <x14:conditionalFormatting xmlns:xm="http://schemas.microsoft.com/office/excel/2006/main">
          <x14:cfRule type="expression" priority="187617" id="{6CDDFE3E-6706-49F3-AA3C-26E2BF9D73B3}">
            <xm:f>Calculs!B601&lt;&gt;""</xm:f>
            <x14:dxf>
              <border>
                <top style="thin">
                  <color rgb="FFFF0000"/>
                </top>
                <vertical/>
                <horizontal/>
              </border>
            </x14:dxf>
          </x14:cfRule>
          <xm:sqref>F441 H441 B441 D441</xm:sqref>
        </x14:conditionalFormatting>
        <x14:conditionalFormatting xmlns:xm="http://schemas.microsoft.com/office/excel/2006/main">
          <x14:cfRule type="expression" priority="188480" id="{A7186BC3-358F-4958-8BAB-1B6701711F9D}">
            <xm:f>Calculs!B601&lt;&gt;""</xm:f>
            <x14:dxf>
              <border>
                <bottom style="thin">
                  <color rgb="FFFF0000"/>
                </bottom>
                <vertical/>
                <horizontal/>
              </border>
            </x14:dxf>
          </x14:cfRule>
          <xm:sqref>F445 H445 B445 D445</xm:sqref>
        </x14:conditionalFormatting>
        <x14:conditionalFormatting xmlns:xm="http://schemas.microsoft.com/office/excel/2006/main">
          <x14:cfRule type="expression" priority="189333" id="{51F54783-7A41-47BC-9B58-85EBA65CA6EB}">
            <xm:f>Calculs!D601&lt;&gt;""</xm:f>
            <x14:dxf>
              <fill>
                <patternFill>
                  <bgColor theme="0" tint="-0.24994659260841701"/>
                </patternFill>
              </fill>
            </x14:dxf>
          </x14:cfRule>
          <xm:sqref>E441:E445 G441:G445 C441:C445</xm:sqref>
        </x14:conditionalFormatting>
        <x14:conditionalFormatting xmlns:xm="http://schemas.microsoft.com/office/excel/2006/main">
          <x14:cfRule type="expression" priority="189950" id="{6B52E6F6-7CAF-4C4D-8236-7017D2EBA393}">
            <xm:f>Calculs!B609&lt;&gt;""</xm:f>
            <x14:dxf>
              <fill>
                <patternFill>
                  <bgColor theme="0" tint="-0.24994659260841701"/>
                </patternFill>
              </fill>
            </x14:dxf>
          </x14:cfRule>
          <xm:sqref>I441:I445</xm:sqref>
        </x14:conditionalFormatting>
        <x14:conditionalFormatting xmlns:xm="http://schemas.microsoft.com/office/excel/2006/main">
          <x14:cfRule type="expression" priority="190085" id="{40975834-13E7-48F0-8218-DBA286DC3D4E}">
            <xm:f>Calculs!B601&lt;&gt;""</xm:f>
            <x14:dxf>
              <fill>
                <patternFill>
                  <bgColor rgb="FF0000FF"/>
                </patternFill>
              </fill>
              <border>
                <left style="thin">
                  <color rgb="FFFF0000"/>
                </left>
                <right style="thin">
                  <color rgb="FFFF0000"/>
                </right>
                <vertical/>
                <horizontal/>
              </border>
            </x14:dxf>
          </x14:cfRule>
          <xm:sqref>B441:B445 D441:D445</xm:sqref>
        </x14:conditionalFormatting>
        <x14:conditionalFormatting xmlns:xm="http://schemas.microsoft.com/office/excel/2006/main">
          <x14:cfRule type="expression" priority="192157" id="{C9A287EB-8A12-4865-AF04-B92FD38265CC}">
            <xm:f>Calculs!B629&lt;&gt;""</xm:f>
            <x14:dxf>
              <fill>
                <patternFill>
                  <bgColor rgb="FF0000FF"/>
                </patternFill>
              </fill>
              <border>
                <left style="thin">
                  <color rgb="FFFF0000"/>
                </left>
                <right style="thin">
                  <color rgb="FFFF0000"/>
                </right>
                <top/>
                <bottom/>
                <vertical/>
                <horizontal/>
              </border>
            </x14:dxf>
          </x14:cfRule>
          <xm:sqref>D461:D465 B461:B465 F461:F465 H461:H465 F453:F457 H453:H457</xm:sqref>
        </x14:conditionalFormatting>
        <x14:conditionalFormatting xmlns:xm="http://schemas.microsoft.com/office/excel/2006/main">
          <x14:cfRule type="expression" priority="192868" id="{6CDDFE3E-6706-49F3-AA3C-26E2BF9D73B3}">
            <xm:f>Calculs!B629&lt;&gt;""</xm:f>
            <x14:dxf>
              <border>
                <top style="thin">
                  <color rgb="FFFF0000"/>
                </top>
                <vertical/>
                <horizontal/>
              </border>
            </x14:dxf>
          </x14:cfRule>
          <xm:sqref>D461 B461 F461 H461 F453 H453 B453 D453</xm:sqref>
        </x14:conditionalFormatting>
        <x14:conditionalFormatting xmlns:xm="http://schemas.microsoft.com/office/excel/2006/main">
          <x14:cfRule type="expression" priority="193723" id="{A7186BC3-358F-4958-8BAB-1B6701711F9D}">
            <xm:f>Calculs!B629&lt;&gt;""</xm:f>
            <x14:dxf>
              <border>
                <bottom style="thin">
                  <color rgb="FFFF0000"/>
                </bottom>
                <vertical/>
                <horizontal/>
              </border>
            </x14:dxf>
          </x14:cfRule>
          <xm:sqref>D465 B465 F465 H465 F457 H457 B457 D457</xm:sqref>
        </x14:conditionalFormatting>
        <x14:conditionalFormatting xmlns:xm="http://schemas.microsoft.com/office/excel/2006/main">
          <x14:cfRule type="expression" priority="194570" id="{51F54783-7A41-47BC-9B58-85EBA65CA6EB}">
            <xm:f>Calculs!D629&lt;&gt;""</xm:f>
            <x14:dxf>
              <fill>
                <patternFill>
                  <bgColor theme="0" tint="-0.24994659260841701"/>
                </patternFill>
              </fill>
            </x14:dxf>
          </x14:cfRule>
          <xm:sqref>C461:C465 E461:E465 G461:G465 E453:E457 G453:G457 C453:C457</xm:sqref>
        </x14:conditionalFormatting>
        <x14:conditionalFormatting xmlns:xm="http://schemas.microsoft.com/office/excel/2006/main">
          <x14:cfRule type="expression" priority="195187" id="{6B52E6F6-7CAF-4C4D-8236-7017D2EBA393}">
            <xm:f>Calculs!B637&lt;&gt;""</xm:f>
            <x14:dxf>
              <fill>
                <patternFill>
                  <bgColor theme="0" tint="-0.24994659260841701"/>
                </patternFill>
              </fill>
            </x14:dxf>
          </x14:cfRule>
          <xm:sqref>I461:I465 I453:I457</xm:sqref>
        </x14:conditionalFormatting>
        <x14:conditionalFormatting xmlns:xm="http://schemas.microsoft.com/office/excel/2006/main">
          <x14:cfRule type="expression" priority="195323" id="{40975834-13E7-48F0-8218-DBA286DC3D4E}">
            <xm:f>Calculs!B629&lt;&gt;""</xm:f>
            <x14:dxf>
              <fill>
                <patternFill>
                  <bgColor rgb="FF0000FF"/>
                </patternFill>
              </fill>
              <border>
                <left style="thin">
                  <color rgb="FFFF0000"/>
                </left>
                <right style="thin">
                  <color rgb="FFFF0000"/>
                </right>
                <vertical/>
                <horizontal/>
              </border>
            </x14:dxf>
          </x14:cfRule>
          <xm:sqref>B453:B457 D453:D457</xm:sqref>
        </x14:conditionalFormatting>
        <x14:conditionalFormatting xmlns:xm="http://schemas.microsoft.com/office/excel/2006/main">
          <x14:cfRule type="expression" priority="197385" id="{C9A287EB-8A12-4865-AF04-B92FD38265CC}">
            <xm:f>Calculs!B657&lt;&gt;""</xm:f>
            <x14:dxf>
              <fill>
                <patternFill>
                  <bgColor rgb="FF0000FF"/>
                </patternFill>
              </fill>
              <border>
                <left style="thin">
                  <color rgb="FFFF0000"/>
                </left>
                <right style="thin">
                  <color rgb="FFFF0000"/>
                </right>
                <top/>
                <bottom/>
                <vertical/>
                <horizontal/>
              </border>
            </x14:dxf>
          </x14:cfRule>
          <xm:sqref>D481:D485 B481:B485 F481:F485 H481:H485 F473:F477 H473:H477</xm:sqref>
        </x14:conditionalFormatting>
        <x14:conditionalFormatting xmlns:xm="http://schemas.microsoft.com/office/excel/2006/main">
          <x14:cfRule type="expression" priority="198086" id="{6CDDFE3E-6706-49F3-AA3C-26E2BF9D73B3}">
            <xm:f>Calculs!B657&lt;&gt;""</xm:f>
            <x14:dxf>
              <border>
                <top style="thin">
                  <color rgb="FFFF0000"/>
                </top>
                <vertical/>
                <horizontal/>
              </border>
            </x14:dxf>
          </x14:cfRule>
          <xm:sqref>D481 B481 F481 H481 F473 H473 B473 D473</xm:sqref>
        </x14:conditionalFormatting>
        <x14:conditionalFormatting xmlns:xm="http://schemas.microsoft.com/office/excel/2006/main">
          <x14:cfRule type="expression" priority="198929" id="{A7186BC3-358F-4958-8BAB-1B6701711F9D}">
            <xm:f>Calculs!B657&lt;&gt;""</xm:f>
            <x14:dxf>
              <border>
                <bottom style="thin">
                  <color rgb="FFFF0000"/>
                </bottom>
                <vertical/>
                <horizontal/>
              </border>
            </x14:dxf>
          </x14:cfRule>
          <xm:sqref>D485 B485 F485 H485 F477 H477 B477 D477</xm:sqref>
        </x14:conditionalFormatting>
        <x14:conditionalFormatting xmlns:xm="http://schemas.microsoft.com/office/excel/2006/main">
          <x14:cfRule type="expression" priority="199766" id="{51F54783-7A41-47BC-9B58-85EBA65CA6EB}">
            <xm:f>Calculs!D657&lt;&gt;""</xm:f>
            <x14:dxf>
              <fill>
                <patternFill>
                  <bgColor theme="0" tint="-0.24994659260841701"/>
                </patternFill>
              </fill>
            </x14:dxf>
          </x14:cfRule>
          <xm:sqref>C481:C485 E481:E485 G481:G485 E473:E477 G473:G477 C473:C477</xm:sqref>
        </x14:conditionalFormatting>
        <x14:conditionalFormatting xmlns:xm="http://schemas.microsoft.com/office/excel/2006/main">
          <x14:cfRule type="expression" priority="200380" id="{6B52E6F6-7CAF-4C4D-8236-7017D2EBA393}">
            <xm:f>Calculs!B665&lt;&gt;""</xm:f>
            <x14:dxf>
              <fill>
                <patternFill>
                  <bgColor theme="0" tint="-0.24994659260841701"/>
                </patternFill>
              </fill>
            </x14:dxf>
          </x14:cfRule>
          <xm:sqref>I481:I485 I473:I477</xm:sqref>
        </x14:conditionalFormatting>
        <x14:conditionalFormatting xmlns:xm="http://schemas.microsoft.com/office/excel/2006/main">
          <x14:cfRule type="expression" priority="200516" id="{40975834-13E7-48F0-8218-DBA286DC3D4E}">
            <xm:f>Calculs!B657&lt;&gt;""</xm:f>
            <x14:dxf>
              <fill>
                <patternFill>
                  <bgColor rgb="FF0000FF"/>
                </patternFill>
              </fill>
              <border>
                <left style="thin">
                  <color rgb="FFFF0000"/>
                </left>
                <right style="thin">
                  <color rgb="FFFF0000"/>
                </right>
                <vertical/>
                <horizontal/>
              </border>
            </x14:dxf>
          </x14:cfRule>
          <xm:sqref>B473:B477 D473:D477</xm:sqref>
        </x14:conditionalFormatting>
        <x14:conditionalFormatting xmlns:xm="http://schemas.microsoft.com/office/excel/2006/main">
          <x14:cfRule type="expression" priority="202568" id="{C9A287EB-8A12-4865-AF04-B92FD38265CC}">
            <xm:f>Calculs!B685&lt;&gt;""</xm:f>
            <x14:dxf>
              <fill>
                <patternFill>
                  <bgColor rgb="FF0000FF"/>
                </patternFill>
              </fill>
              <border>
                <left style="thin">
                  <color rgb="FFFF0000"/>
                </left>
                <right style="thin">
                  <color rgb="FFFF0000"/>
                </right>
                <top/>
                <bottom/>
                <vertical/>
                <horizontal/>
              </border>
            </x14:dxf>
          </x14:cfRule>
          <xm:sqref>D501:D505 B501:B505 F501:F505 H501:H505 F493:F497 H493:H497</xm:sqref>
        </x14:conditionalFormatting>
        <x14:conditionalFormatting xmlns:xm="http://schemas.microsoft.com/office/excel/2006/main">
          <x14:cfRule type="expression" priority="203259" id="{6CDDFE3E-6706-49F3-AA3C-26E2BF9D73B3}">
            <xm:f>Calculs!B685&lt;&gt;""</xm:f>
            <x14:dxf>
              <border>
                <top style="thin">
                  <color rgb="FFFF0000"/>
                </top>
                <vertical/>
                <horizontal/>
              </border>
            </x14:dxf>
          </x14:cfRule>
          <xm:sqref>D501 B501 F501 H501 F493 H493 B493 D493</xm:sqref>
        </x14:conditionalFormatting>
        <x14:conditionalFormatting xmlns:xm="http://schemas.microsoft.com/office/excel/2006/main">
          <x14:cfRule type="expression" priority="204090" id="{A7186BC3-358F-4958-8BAB-1B6701711F9D}">
            <xm:f>Calculs!B685&lt;&gt;""</xm:f>
            <x14:dxf>
              <border>
                <bottom style="thin">
                  <color rgb="FFFF0000"/>
                </bottom>
                <vertical/>
                <horizontal/>
              </border>
            </x14:dxf>
          </x14:cfRule>
          <xm:sqref>D505 B505 F505 H505 F497 H497 B497 D497</xm:sqref>
        </x14:conditionalFormatting>
        <x14:conditionalFormatting xmlns:xm="http://schemas.microsoft.com/office/excel/2006/main">
          <x14:cfRule type="expression" priority="204917" id="{51F54783-7A41-47BC-9B58-85EBA65CA6EB}">
            <xm:f>Calculs!D685&lt;&gt;""</xm:f>
            <x14:dxf>
              <fill>
                <patternFill>
                  <bgColor theme="0" tint="-0.24994659260841701"/>
                </patternFill>
              </fill>
            </x14:dxf>
          </x14:cfRule>
          <xm:sqref>C501:C505 E501:E505 G501:G505 E493:E497 G493:G497 C493:C497</xm:sqref>
        </x14:conditionalFormatting>
        <x14:conditionalFormatting xmlns:xm="http://schemas.microsoft.com/office/excel/2006/main">
          <x14:cfRule type="expression" priority="205528" id="{6B52E6F6-7CAF-4C4D-8236-7017D2EBA393}">
            <xm:f>Calculs!B693&lt;&gt;""</xm:f>
            <x14:dxf>
              <fill>
                <patternFill>
                  <bgColor theme="0" tint="-0.24994659260841701"/>
                </patternFill>
              </fill>
            </x14:dxf>
          </x14:cfRule>
          <xm:sqref>I501:I505 I493:I497</xm:sqref>
        </x14:conditionalFormatting>
        <x14:conditionalFormatting xmlns:xm="http://schemas.microsoft.com/office/excel/2006/main">
          <x14:cfRule type="expression" priority="205664" id="{40975834-13E7-48F0-8218-DBA286DC3D4E}">
            <xm:f>Calculs!B685&lt;&gt;""</xm:f>
            <x14:dxf>
              <fill>
                <patternFill>
                  <bgColor rgb="FF0000FF"/>
                </patternFill>
              </fill>
              <border>
                <left style="thin">
                  <color rgb="FFFF0000"/>
                </left>
                <right style="thin">
                  <color rgb="FFFF0000"/>
                </right>
                <vertical/>
                <horizontal/>
              </border>
            </x14:dxf>
          </x14:cfRule>
          <xm:sqref>B493:B497 D493:D497</xm:sqref>
        </x14:conditionalFormatting>
        <x14:conditionalFormatting xmlns:xm="http://schemas.microsoft.com/office/excel/2006/main">
          <x14:cfRule type="expression" priority="207706" id="{C9A287EB-8A12-4865-AF04-B92FD38265CC}">
            <xm:f>Calculs!B713&lt;&gt;""</xm:f>
            <x14:dxf>
              <fill>
                <patternFill>
                  <bgColor rgb="FF0000FF"/>
                </patternFill>
              </fill>
              <border>
                <left style="thin">
                  <color rgb="FFFF0000"/>
                </left>
                <right style="thin">
                  <color rgb="FFFF0000"/>
                </right>
                <top/>
                <bottom/>
                <vertical/>
                <horizontal/>
              </border>
            </x14:dxf>
          </x14:cfRule>
          <xm:sqref>D521:D525 B521:B525 F521:F525 H521:H525 F513:F517 H513:H517</xm:sqref>
        </x14:conditionalFormatting>
        <x14:conditionalFormatting xmlns:xm="http://schemas.microsoft.com/office/excel/2006/main">
          <x14:cfRule type="expression" priority="208387" id="{6CDDFE3E-6706-49F3-AA3C-26E2BF9D73B3}">
            <xm:f>Calculs!B713&lt;&gt;""</xm:f>
            <x14:dxf>
              <border>
                <top style="thin">
                  <color rgb="FFFF0000"/>
                </top>
                <vertical/>
                <horizontal/>
              </border>
            </x14:dxf>
          </x14:cfRule>
          <xm:sqref>D521 B521 F521 H521 F513 H513 B513 D513</xm:sqref>
        </x14:conditionalFormatting>
        <x14:conditionalFormatting xmlns:xm="http://schemas.microsoft.com/office/excel/2006/main">
          <x14:cfRule type="expression" priority="209206" id="{A7186BC3-358F-4958-8BAB-1B6701711F9D}">
            <xm:f>Calculs!B713&lt;&gt;""</xm:f>
            <x14:dxf>
              <border>
                <bottom style="thin">
                  <color rgb="FFFF0000"/>
                </bottom>
                <vertical/>
                <horizontal/>
              </border>
            </x14:dxf>
          </x14:cfRule>
          <xm:sqref>D525 B525 F525 H525 F517 H517 B517 D517</xm:sqref>
        </x14:conditionalFormatting>
        <x14:conditionalFormatting xmlns:xm="http://schemas.microsoft.com/office/excel/2006/main">
          <x14:cfRule type="expression" priority="210023" id="{51F54783-7A41-47BC-9B58-85EBA65CA6EB}">
            <xm:f>Calculs!D713&lt;&gt;""</xm:f>
            <x14:dxf>
              <fill>
                <patternFill>
                  <bgColor theme="0" tint="-0.24994659260841701"/>
                </patternFill>
              </fill>
            </x14:dxf>
          </x14:cfRule>
          <xm:sqref>C521:C525 E521:E525 G521:G525 E513:E517 G513:G517 C513:C517</xm:sqref>
        </x14:conditionalFormatting>
        <x14:conditionalFormatting xmlns:xm="http://schemas.microsoft.com/office/excel/2006/main">
          <x14:cfRule type="expression" priority="210631" id="{6B52E6F6-7CAF-4C4D-8236-7017D2EBA393}">
            <xm:f>Calculs!B721&lt;&gt;""</xm:f>
            <x14:dxf>
              <fill>
                <patternFill>
                  <bgColor theme="0" tint="-0.24994659260841701"/>
                </patternFill>
              </fill>
            </x14:dxf>
          </x14:cfRule>
          <xm:sqref>I521:I525 I513:I517</xm:sqref>
        </x14:conditionalFormatting>
        <x14:conditionalFormatting xmlns:xm="http://schemas.microsoft.com/office/excel/2006/main">
          <x14:cfRule type="expression" priority="210767" id="{40975834-13E7-48F0-8218-DBA286DC3D4E}">
            <xm:f>Calculs!B713&lt;&gt;""</xm:f>
            <x14:dxf>
              <fill>
                <patternFill>
                  <bgColor rgb="FF0000FF"/>
                </patternFill>
              </fill>
              <border>
                <left style="thin">
                  <color rgb="FFFF0000"/>
                </left>
                <right style="thin">
                  <color rgb="FFFF0000"/>
                </right>
                <vertical/>
                <horizontal/>
              </border>
            </x14:dxf>
          </x14:cfRule>
          <xm:sqref>B513:B517 D513:D517</xm:sqref>
        </x14:conditionalFormatting>
        <x14:conditionalFormatting xmlns:xm="http://schemas.microsoft.com/office/excel/2006/main">
          <x14:cfRule type="expression" priority="212800" id="{C9A287EB-8A12-4865-AF04-B92FD38265CC}">
            <xm:f>Calculs!B741&lt;&gt;""</xm:f>
            <x14:dxf>
              <fill>
                <patternFill>
                  <bgColor rgb="FF0000FF"/>
                </patternFill>
              </fill>
              <border>
                <left style="thin">
                  <color rgb="FFFF0000"/>
                </left>
                <right style="thin">
                  <color rgb="FFFF0000"/>
                </right>
                <top/>
                <bottom/>
                <vertical/>
                <horizontal/>
              </border>
            </x14:dxf>
          </x14:cfRule>
          <xm:sqref>D549:D553 D541:D545 B541:B545 F541:F545 H541:H545 F533:F537 H533:H537 B549:B553 F549:F553 H549:H553 D577:D581 D569:D573 B569:B573 F569:F573 H569:H573 F561:F565 H561:H565 B577:B581 F577:F581 H577:H581 D605:D609 D597:D601 B597:B601 F597:F601 H597:H601 F589:F593 H589:H593 B605:B609 F605:F609 H605:H609 D633:D637 D625:D629 B625:B629 F625:F629 H625:H629 F617:F621 H617:H621 B633:B637 F633:F637 H633:H637 F647:F651 H647:H651</xm:sqref>
        </x14:conditionalFormatting>
        <x14:conditionalFormatting xmlns:xm="http://schemas.microsoft.com/office/excel/2006/main">
          <x14:cfRule type="expression" priority="213467" id="{6CDDFE3E-6706-49F3-AA3C-26E2BF9D73B3}">
            <xm:f>Calculs!B741&lt;&gt;""</xm:f>
            <x14:dxf>
              <border>
                <top style="thin">
                  <color rgb="FFFF0000"/>
                </top>
                <vertical/>
                <horizontal/>
              </border>
            </x14:dxf>
          </x14:cfRule>
          <xm:sqref>D549 D541 B541 F541 H541 F533 H533 B549 F549 H549 B533 D533 D577 D569 B569 F569 H569 F561 H561 B577 F577 H577 D605 D597 B597 F597 H597 F589 H589 B605 F605 H605 D633 D625 B625 F625 H625 F617 H617 B633 F633 H633 B561 D561 B589 D589 B617 D617 F647 H647 B647 D647</xm:sqref>
        </x14:conditionalFormatting>
        <x14:conditionalFormatting xmlns:xm="http://schemas.microsoft.com/office/excel/2006/main">
          <x14:cfRule type="expression" priority="214270" id="{A7186BC3-358F-4958-8BAB-1B6701711F9D}">
            <xm:f>Calculs!B741&lt;&gt;""</xm:f>
            <x14:dxf>
              <border>
                <bottom style="thin">
                  <color rgb="FFFF0000"/>
                </bottom>
                <vertical/>
                <horizontal/>
              </border>
            </x14:dxf>
          </x14:cfRule>
          <xm:sqref>D553 D545 B545 F545 H545 F537 H537 B553 F553 H553 B537 D537 D581 D573 B573 F573 H573 F565 H565 B581 F581 H581 D609 D601 B601 F601 H601 F593 H593 B609 F609 H609 D637 D629 B629 F629 H629 F621 H621 B637 F637 H637 B565 D565 B593 D593 B621 D621 F651 H651 B651 D651</xm:sqref>
        </x14:conditionalFormatting>
        <x14:conditionalFormatting xmlns:xm="http://schemas.microsoft.com/office/excel/2006/main">
          <x14:cfRule type="expression" priority="215073" id="{51F54783-7A41-47BC-9B58-85EBA65CA6EB}">
            <xm:f>Calculs!D741&lt;&gt;""</xm:f>
            <x14:dxf>
              <fill>
                <patternFill>
                  <bgColor theme="0" tint="-0.24994659260841701"/>
                </patternFill>
              </fill>
            </x14:dxf>
          </x14:cfRule>
          <xm:sqref>C541:C545 E541:E545 G541:G545 E533:E537 G533:G537 C549:C553 E549:E553 G549:G553 C533:C537 C569:C573 E569:E573 G569:G573 E561:E565 G561:G565 C577:C581 E577:E581 G577:G581 C597:C601 E597:E601 G597:G601 E589:E593 G589:G593 C605:C609 E605:E609 G605:G609 C625:C629 E625:E629 G625:G629 E617:E621 G617:G621 C633:C637 E633:E637 G633:G637 C561:C565 C589:C593 C617:C621 E647:E651 G647:G651 C647:C651</xm:sqref>
        </x14:conditionalFormatting>
        <x14:conditionalFormatting xmlns:xm="http://schemas.microsoft.com/office/excel/2006/main">
          <x14:cfRule type="expression" priority="215675" id="{6B52E6F6-7CAF-4C4D-8236-7017D2EBA393}">
            <xm:f>Calculs!B749&lt;&gt;""</xm:f>
            <x14:dxf>
              <fill>
                <patternFill>
                  <bgColor theme="0" tint="-0.24994659260841701"/>
                </patternFill>
              </fill>
            </x14:dxf>
          </x14:cfRule>
          <xm:sqref>I541:I545 I533:I537 I569:I573 I561:I565 I597:I601 I589:I593 I625:I629 I617:I621 I647:I651</xm:sqref>
        </x14:conditionalFormatting>
        <x14:conditionalFormatting xmlns:xm="http://schemas.microsoft.com/office/excel/2006/main">
          <x14:cfRule type="expression" priority="215809" id="{40975834-13E7-48F0-8218-DBA286DC3D4E}">
            <xm:f>Calculs!B741&lt;&gt;""</xm:f>
            <x14:dxf>
              <fill>
                <patternFill>
                  <bgColor rgb="FF0000FF"/>
                </patternFill>
              </fill>
              <border>
                <left style="thin">
                  <color rgb="FFFF0000"/>
                </left>
                <right style="thin">
                  <color rgb="FFFF0000"/>
                </right>
                <vertical/>
                <horizontal/>
              </border>
            </x14:dxf>
          </x14:cfRule>
          <xm:sqref>B533:B537 D533:D537 B589:B593 B617:B621 B561:B565 D561:D565 D589:D593 D617:D621 B647:B651 D647:D651</xm:sqref>
        </x14:conditionalFormatting>
        <x14:conditionalFormatting xmlns:xm="http://schemas.microsoft.com/office/excel/2006/main">
          <x14:cfRule type="expression" priority="217891" id="{C9A287EB-8A12-4865-AF04-B92FD38265CC}">
            <xm:f>Calculs!F883&lt;&gt;""</xm:f>
            <x14:dxf>
              <fill>
                <patternFill>
                  <bgColor rgb="FF0000FF"/>
                </patternFill>
              </fill>
              <border>
                <left style="thin">
                  <color rgb="FFFF0000"/>
                </left>
                <right style="thin">
                  <color rgb="FFFF0000"/>
                </right>
                <top/>
                <bottom/>
                <vertical/>
                <horizontal/>
              </border>
            </x14:dxf>
          </x14:cfRule>
          <xm:sqref>F659:F663 H659:H663</xm:sqref>
        </x14:conditionalFormatting>
        <x14:conditionalFormatting xmlns:xm="http://schemas.microsoft.com/office/excel/2006/main">
          <x14:cfRule type="expression" priority="218508" id="{6CDDFE3E-6706-49F3-AA3C-26E2BF9D73B3}">
            <xm:f>Calculs!B883&lt;&gt;""</xm:f>
            <x14:dxf>
              <border>
                <top style="thin">
                  <color rgb="FFFF0000"/>
                </top>
                <vertical/>
                <horizontal/>
              </border>
            </x14:dxf>
          </x14:cfRule>
          <xm:sqref>F659 H659 B659 D659</xm:sqref>
        </x14:conditionalFormatting>
        <x14:conditionalFormatting xmlns:xm="http://schemas.microsoft.com/office/excel/2006/main">
          <x14:cfRule type="expression" priority="219251" id="{A7186BC3-358F-4958-8BAB-1B6701711F9D}">
            <xm:f>Calculs!B883&lt;&gt;""</xm:f>
            <x14:dxf>
              <border>
                <bottom style="thin">
                  <color rgb="FFFF0000"/>
                </bottom>
                <vertical/>
                <horizontal/>
              </border>
            </x14:dxf>
          </x14:cfRule>
          <xm:sqref>F663 H663 B663 D663</xm:sqref>
        </x14:conditionalFormatting>
        <x14:conditionalFormatting xmlns:xm="http://schemas.microsoft.com/office/excel/2006/main">
          <x14:cfRule type="expression" priority="219984" id="{51F54783-7A41-47BC-9B58-85EBA65CA6EB}">
            <xm:f>Calculs!D883&lt;&gt;""</xm:f>
            <x14:dxf>
              <fill>
                <patternFill>
                  <bgColor theme="0" tint="-0.24994659260841701"/>
                </patternFill>
              </fill>
            </x14:dxf>
          </x14:cfRule>
          <xm:sqref>E659:E663 G659:G663 C659:C663</xm:sqref>
        </x14:conditionalFormatting>
        <x14:conditionalFormatting xmlns:xm="http://schemas.microsoft.com/office/excel/2006/main">
          <x14:cfRule type="expression" priority="220511" id="{6B52E6F6-7CAF-4C4D-8236-7017D2EBA393}">
            <xm:f>Calculs!B891&lt;&gt;""</xm:f>
            <x14:dxf>
              <fill>
                <patternFill>
                  <bgColor theme="0" tint="-0.24994659260841701"/>
                </patternFill>
              </fill>
            </x14:dxf>
          </x14:cfRule>
          <xm:sqref>I659:I663</xm:sqref>
        </x14:conditionalFormatting>
        <x14:conditionalFormatting xmlns:xm="http://schemas.microsoft.com/office/excel/2006/main">
          <x14:cfRule type="expression" priority="220626" id="{40975834-13E7-48F0-8218-DBA286DC3D4E}">
            <xm:f>Calculs!B883&lt;&gt;""</xm:f>
            <x14:dxf>
              <fill>
                <patternFill>
                  <bgColor rgb="FF0000FF"/>
                </patternFill>
              </fill>
              <border>
                <left style="thin">
                  <color rgb="FFFF0000"/>
                </left>
                <right style="thin">
                  <color rgb="FFFF0000"/>
                </right>
                <vertical/>
                <horizontal/>
              </border>
            </x14:dxf>
          </x14:cfRule>
          <xm:sqref>B659:B663 D659:D663</xm:sqref>
        </x14:conditionalFormatting>
        <x14:conditionalFormatting xmlns:xm="http://schemas.microsoft.com/office/excel/2006/main">
          <x14:cfRule type="expression" priority="222698" id="{C9A287EB-8A12-4865-AF04-B92FD38265CC}">
            <xm:f>Calculs!B911&lt;&gt;""</xm:f>
            <x14:dxf>
              <fill>
                <patternFill>
                  <bgColor rgb="FF0000FF"/>
                </patternFill>
              </fill>
              <border>
                <left style="thin">
                  <color rgb="FFFF0000"/>
                </left>
                <right style="thin">
                  <color rgb="FFFF0000"/>
                </right>
                <top/>
                <bottom/>
                <vertical/>
                <horizontal/>
              </border>
            </x14:dxf>
          </x14:cfRule>
          <xm:sqref>D679:D683 B679:B683 F679:F683 H679:H683 F671:F675 H671:H675</xm:sqref>
        </x14:conditionalFormatting>
        <x14:conditionalFormatting xmlns:xm="http://schemas.microsoft.com/office/excel/2006/main">
          <x14:cfRule type="expression" priority="223309" id="{6CDDFE3E-6706-49F3-AA3C-26E2BF9D73B3}">
            <xm:f>Calculs!B911&lt;&gt;""</xm:f>
            <x14:dxf>
              <border>
                <top style="thin">
                  <color rgb="FFFF0000"/>
                </top>
                <vertical/>
                <horizontal/>
              </border>
            </x14:dxf>
          </x14:cfRule>
          <xm:sqref>D679 B679 F679 H679 F671 H671 B671 D671</xm:sqref>
        </x14:conditionalFormatting>
        <x14:conditionalFormatting xmlns:xm="http://schemas.microsoft.com/office/excel/2006/main">
          <x14:cfRule type="expression" priority="224044" id="{A7186BC3-358F-4958-8BAB-1B6701711F9D}">
            <xm:f>Calculs!B911&lt;&gt;""</xm:f>
            <x14:dxf>
              <border>
                <bottom style="thin">
                  <color rgb="FFFF0000"/>
                </bottom>
                <vertical/>
                <horizontal/>
              </border>
            </x14:dxf>
          </x14:cfRule>
          <xm:sqref>D683 B683 F683 H683 F675 H675 B675 D675</xm:sqref>
        </x14:conditionalFormatting>
        <x14:conditionalFormatting xmlns:xm="http://schemas.microsoft.com/office/excel/2006/main">
          <x14:cfRule type="expression" priority="224771" id="{51F54783-7A41-47BC-9B58-85EBA65CA6EB}">
            <xm:f>Calculs!D911&lt;&gt;""</xm:f>
            <x14:dxf>
              <fill>
                <patternFill>
                  <bgColor theme="0" tint="-0.24994659260841701"/>
                </patternFill>
              </fill>
            </x14:dxf>
          </x14:cfRule>
          <xm:sqref>C679:C683 E679:E683 G679:G683 E671:E675 G671:G675 C671:C675</xm:sqref>
        </x14:conditionalFormatting>
        <x14:conditionalFormatting xmlns:xm="http://schemas.microsoft.com/office/excel/2006/main">
          <x14:cfRule type="expression" priority="225298" id="{6B52E6F6-7CAF-4C4D-8236-7017D2EBA393}">
            <xm:f>Calculs!B919&lt;&gt;""</xm:f>
            <x14:dxf>
              <fill>
                <patternFill>
                  <bgColor theme="0" tint="-0.24994659260841701"/>
                </patternFill>
              </fill>
            </x14:dxf>
          </x14:cfRule>
          <xm:sqref>I679:I683 I671:I675</xm:sqref>
        </x14:conditionalFormatting>
        <x14:conditionalFormatting xmlns:xm="http://schemas.microsoft.com/office/excel/2006/main">
          <x14:cfRule type="expression" priority="225414" id="{40975834-13E7-48F0-8218-DBA286DC3D4E}">
            <xm:f>Calculs!B911&lt;&gt;""</xm:f>
            <x14:dxf>
              <fill>
                <patternFill>
                  <bgColor rgb="FF0000FF"/>
                </patternFill>
              </fill>
              <border>
                <left style="thin">
                  <color rgb="FFFF0000"/>
                </left>
                <right style="thin">
                  <color rgb="FFFF0000"/>
                </right>
                <vertical/>
                <horizontal/>
              </border>
            </x14:dxf>
          </x14:cfRule>
          <xm:sqref>B671:B675 D671:D675</xm:sqref>
        </x14:conditionalFormatting>
        <x14:conditionalFormatting xmlns:xm="http://schemas.microsoft.com/office/excel/2006/main">
          <x14:cfRule type="expression" priority="227476" id="{C9A287EB-8A12-4865-AF04-B92FD38265CC}">
            <xm:f>Calculs!B939&lt;&gt;""</xm:f>
            <x14:dxf>
              <fill>
                <patternFill>
                  <bgColor rgb="FF0000FF"/>
                </patternFill>
              </fill>
              <border>
                <left style="thin">
                  <color rgb="FFFF0000"/>
                </left>
                <right style="thin">
                  <color rgb="FFFF0000"/>
                </right>
                <top/>
                <bottom/>
                <vertical/>
                <horizontal/>
              </border>
            </x14:dxf>
          </x14:cfRule>
          <xm:sqref>D699:D703 B699:B703 F699:F703 H699:H703 F691:F695 H691:H695</xm:sqref>
        </x14:conditionalFormatting>
        <x14:conditionalFormatting xmlns:xm="http://schemas.microsoft.com/office/excel/2006/main">
          <x14:cfRule type="expression" priority="228077" id="{6CDDFE3E-6706-49F3-AA3C-26E2BF9D73B3}">
            <xm:f>Calculs!B939&lt;&gt;""</xm:f>
            <x14:dxf>
              <border>
                <top style="thin">
                  <color rgb="FFFF0000"/>
                </top>
                <vertical/>
                <horizontal/>
              </border>
            </x14:dxf>
          </x14:cfRule>
          <xm:sqref>D699 B699 F699 H699 F691 H691 B691 D691</xm:sqref>
        </x14:conditionalFormatting>
        <x14:conditionalFormatting xmlns:xm="http://schemas.microsoft.com/office/excel/2006/main">
          <x14:cfRule type="expression" priority="228800" id="{A7186BC3-358F-4958-8BAB-1B6701711F9D}">
            <xm:f>Calculs!B939&lt;&gt;""</xm:f>
            <x14:dxf>
              <border>
                <bottom style="thin">
                  <color rgb="FFFF0000"/>
                </bottom>
                <vertical/>
                <horizontal/>
              </border>
            </x14:dxf>
          </x14:cfRule>
          <xm:sqref>D703 B703 F703 H703 F695 H695 B695 D695</xm:sqref>
        </x14:conditionalFormatting>
        <x14:conditionalFormatting xmlns:xm="http://schemas.microsoft.com/office/excel/2006/main">
          <x14:cfRule type="expression" priority="229517" id="{51F54783-7A41-47BC-9B58-85EBA65CA6EB}">
            <xm:f>Calculs!D939&lt;&gt;""</xm:f>
            <x14:dxf>
              <fill>
                <patternFill>
                  <bgColor theme="0" tint="-0.24994659260841701"/>
                </patternFill>
              </fill>
            </x14:dxf>
          </x14:cfRule>
          <xm:sqref>C699:C703 E699:E703 G699:G703 E691:E695 G691:G695 C691:C695</xm:sqref>
        </x14:conditionalFormatting>
        <x14:conditionalFormatting xmlns:xm="http://schemas.microsoft.com/office/excel/2006/main">
          <x14:cfRule type="expression" priority="230041" id="{6B52E6F6-7CAF-4C4D-8236-7017D2EBA393}">
            <xm:f>Calculs!B947&lt;&gt;""</xm:f>
            <x14:dxf>
              <fill>
                <patternFill>
                  <bgColor theme="0" tint="-0.24994659260841701"/>
                </patternFill>
              </fill>
            </x14:dxf>
          </x14:cfRule>
          <xm:sqref>I699:I703 I691:I695</xm:sqref>
        </x14:conditionalFormatting>
        <x14:conditionalFormatting xmlns:xm="http://schemas.microsoft.com/office/excel/2006/main">
          <x14:cfRule type="expression" priority="230157" id="{40975834-13E7-48F0-8218-DBA286DC3D4E}">
            <xm:f>Calculs!B939&lt;&gt;""</xm:f>
            <x14:dxf>
              <fill>
                <patternFill>
                  <bgColor rgb="FF0000FF"/>
                </patternFill>
              </fill>
              <border>
                <left style="thin">
                  <color rgb="FFFF0000"/>
                </left>
                <right style="thin">
                  <color rgb="FFFF0000"/>
                </right>
                <vertical/>
                <horizontal/>
              </border>
            </x14:dxf>
          </x14:cfRule>
          <xm:sqref>B691:B695 D691:D695</xm:sqref>
        </x14:conditionalFormatting>
        <x14:conditionalFormatting xmlns:xm="http://schemas.microsoft.com/office/excel/2006/main">
          <x14:cfRule type="expression" priority="232209" id="{C9A287EB-8A12-4865-AF04-B92FD38265CC}">
            <xm:f>Calculs!B967&lt;&gt;""</xm:f>
            <x14:dxf>
              <fill>
                <patternFill>
                  <bgColor rgb="FF0000FF"/>
                </patternFill>
              </fill>
              <border>
                <left style="thin">
                  <color rgb="FFFF0000"/>
                </left>
                <right style="thin">
                  <color rgb="FFFF0000"/>
                </right>
                <top/>
                <bottom/>
                <vertical/>
                <horizontal/>
              </border>
            </x14:dxf>
          </x14:cfRule>
          <xm:sqref>D719:D723 B719:B723 F719:F723 H719:H723 F711:F715 H711:H715</xm:sqref>
        </x14:conditionalFormatting>
        <x14:conditionalFormatting xmlns:xm="http://schemas.microsoft.com/office/excel/2006/main">
          <x14:cfRule type="expression" priority="232800" id="{6CDDFE3E-6706-49F3-AA3C-26E2BF9D73B3}">
            <xm:f>Calculs!B967&lt;&gt;""</xm:f>
            <x14:dxf>
              <border>
                <top style="thin">
                  <color rgb="FFFF0000"/>
                </top>
                <vertical/>
                <horizontal/>
              </border>
            </x14:dxf>
          </x14:cfRule>
          <xm:sqref>D719 B719 F719 H719 F711 H711 B711 D711</xm:sqref>
        </x14:conditionalFormatting>
        <x14:conditionalFormatting xmlns:xm="http://schemas.microsoft.com/office/excel/2006/main">
          <x14:cfRule type="expression" priority="233511" id="{A7186BC3-358F-4958-8BAB-1B6701711F9D}">
            <xm:f>Calculs!B967&lt;&gt;""</xm:f>
            <x14:dxf>
              <border>
                <bottom style="thin">
                  <color rgb="FFFF0000"/>
                </bottom>
                <vertical/>
                <horizontal/>
              </border>
            </x14:dxf>
          </x14:cfRule>
          <xm:sqref>D723 B723 F723 H723 F715 H715 B715 D715</xm:sqref>
        </x14:conditionalFormatting>
        <x14:conditionalFormatting xmlns:xm="http://schemas.microsoft.com/office/excel/2006/main">
          <x14:cfRule type="expression" priority="234218" id="{51F54783-7A41-47BC-9B58-85EBA65CA6EB}">
            <xm:f>Calculs!D967&lt;&gt;""</xm:f>
            <x14:dxf>
              <fill>
                <patternFill>
                  <bgColor theme="0" tint="-0.24994659260841701"/>
                </patternFill>
              </fill>
            </x14:dxf>
          </x14:cfRule>
          <xm:sqref>C719:C723 E719:E723 G719:G723 E711:E715 G711:G715 C711:C715</xm:sqref>
        </x14:conditionalFormatting>
        <x14:conditionalFormatting xmlns:xm="http://schemas.microsoft.com/office/excel/2006/main">
          <x14:cfRule type="expression" priority="234739" id="{6B52E6F6-7CAF-4C4D-8236-7017D2EBA393}">
            <xm:f>Calculs!B975&lt;&gt;""</xm:f>
            <x14:dxf>
              <fill>
                <patternFill>
                  <bgColor theme="0" tint="-0.24994659260841701"/>
                </patternFill>
              </fill>
            </x14:dxf>
          </x14:cfRule>
          <xm:sqref>I719:I723 I711:I715</xm:sqref>
        </x14:conditionalFormatting>
        <x14:conditionalFormatting xmlns:xm="http://schemas.microsoft.com/office/excel/2006/main">
          <x14:cfRule type="expression" priority="234855" id="{40975834-13E7-48F0-8218-DBA286DC3D4E}">
            <xm:f>Calculs!B967&lt;&gt;""</xm:f>
            <x14:dxf>
              <fill>
                <patternFill>
                  <bgColor rgb="FF0000FF"/>
                </patternFill>
              </fill>
              <border>
                <left style="thin">
                  <color rgb="FFFF0000"/>
                </left>
                <right style="thin">
                  <color rgb="FFFF0000"/>
                </right>
                <vertical/>
                <horizontal/>
              </border>
            </x14:dxf>
          </x14:cfRule>
          <xm:sqref>B711:B715 D711:D715</xm:sqref>
        </x14:conditionalFormatting>
        <x14:conditionalFormatting xmlns:xm="http://schemas.microsoft.com/office/excel/2006/main">
          <x14:cfRule type="expression" priority="236897" id="{C9A287EB-8A12-4865-AF04-B92FD38265CC}">
            <xm:f>Calculs!B995&lt;&gt;""</xm:f>
            <x14:dxf>
              <fill>
                <patternFill>
                  <bgColor rgb="FF0000FF"/>
                </patternFill>
              </fill>
              <border>
                <left style="thin">
                  <color rgb="FFFF0000"/>
                </left>
                <right style="thin">
                  <color rgb="FFFF0000"/>
                </right>
                <top/>
                <bottom/>
                <vertical/>
                <horizontal/>
              </border>
            </x14:dxf>
          </x14:cfRule>
          <xm:sqref>D739:D743 B739:B743 F739:F743 H739:H743 F731:F735 H731:H735</xm:sqref>
        </x14:conditionalFormatting>
        <x14:conditionalFormatting xmlns:xm="http://schemas.microsoft.com/office/excel/2006/main">
          <x14:cfRule type="expression" priority="237478" id="{6CDDFE3E-6706-49F3-AA3C-26E2BF9D73B3}">
            <xm:f>Calculs!B995&lt;&gt;""</xm:f>
            <x14:dxf>
              <border>
                <top style="thin">
                  <color rgb="FFFF0000"/>
                </top>
                <vertical/>
                <horizontal/>
              </border>
            </x14:dxf>
          </x14:cfRule>
          <xm:sqref>D739 B739 F739 H739 F731 H731 B731 D731</xm:sqref>
        </x14:conditionalFormatting>
        <x14:conditionalFormatting xmlns:xm="http://schemas.microsoft.com/office/excel/2006/main">
          <x14:cfRule type="expression" priority="238177" id="{A7186BC3-358F-4958-8BAB-1B6701711F9D}">
            <xm:f>Calculs!B995&lt;&gt;""</xm:f>
            <x14:dxf>
              <border>
                <bottom style="thin">
                  <color rgb="FFFF0000"/>
                </bottom>
                <vertical/>
                <horizontal/>
              </border>
            </x14:dxf>
          </x14:cfRule>
          <xm:sqref>D743 B743 F743 H743 F735 H735 B735 D735</xm:sqref>
        </x14:conditionalFormatting>
        <x14:conditionalFormatting xmlns:xm="http://schemas.microsoft.com/office/excel/2006/main">
          <x14:cfRule type="expression" priority="238874" id="{51F54783-7A41-47BC-9B58-85EBA65CA6EB}">
            <xm:f>Calculs!D995&lt;&gt;""</xm:f>
            <x14:dxf>
              <fill>
                <patternFill>
                  <bgColor theme="0" tint="-0.24994659260841701"/>
                </patternFill>
              </fill>
            </x14:dxf>
          </x14:cfRule>
          <xm:sqref>C739:C743 E739:E743 G739:G743 E731:E735 G731:G735 C731:C735</xm:sqref>
        </x14:conditionalFormatting>
        <x14:conditionalFormatting xmlns:xm="http://schemas.microsoft.com/office/excel/2006/main">
          <x14:cfRule type="expression" priority="239392" id="{6B52E6F6-7CAF-4C4D-8236-7017D2EBA393}">
            <xm:f>Calculs!B1003&lt;&gt;""</xm:f>
            <x14:dxf>
              <fill>
                <patternFill>
                  <bgColor theme="0" tint="-0.24994659260841701"/>
                </patternFill>
              </fill>
            </x14:dxf>
          </x14:cfRule>
          <xm:sqref>I739:I743 I731:I735</xm:sqref>
        </x14:conditionalFormatting>
        <x14:conditionalFormatting xmlns:xm="http://schemas.microsoft.com/office/excel/2006/main">
          <x14:cfRule type="expression" priority="239508" id="{40975834-13E7-48F0-8218-DBA286DC3D4E}">
            <xm:f>Calculs!B995&lt;&gt;""</xm:f>
            <x14:dxf>
              <fill>
                <patternFill>
                  <bgColor rgb="FF0000FF"/>
                </patternFill>
              </fill>
              <border>
                <left style="thin">
                  <color rgb="FFFF0000"/>
                </left>
                <right style="thin">
                  <color rgb="FFFF0000"/>
                </right>
                <vertical/>
                <horizontal/>
              </border>
            </x14:dxf>
          </x14:cfRule>
          <xm:sqref>B731:B735 D731:D735</xm:sqref>
        </x14:conditionalFormatting>
        <x14:conditionalFormatting xmlns:xm="http://schemas.microsoft.com/office/excel/2006/main">
          <x14:cfRule type="expression" priority="241541" id="{C9A287EB-8A12-4865-AF04-B92FD38265CC}">
            <xm:f>Calculs!B1023&lt;&gt;""</xm:f>
            <x14:dxf>
              <fill>
                <patternFill>
                  <bgColor rgb="FF0000FF"/>
                </patternFill>
              </fill>
              <border>
                <left style="thin">
                  <color rgb="FFFF0000"/>
                </left>
                <right style="thin">
                  <color rgb="FFFF0000"/>
                </right>
                <top/>
                <bottom/>
                <vertical/>
                <horizontal/>
              </border>
            </x14:dxf>
          </x14:cfRule>
          <xm:sqref>D767:D771 D759:D763 B759:B763 F759:F763 H759:H763 F751:F755 H751:H755 B767:B771 F767:F771 H767:H771 D795:D799 D787:D791 B787:B791 F787:F791 H787:H791 F779:F783 H779:H783 B795:B799 F795:F799 H795:H799 D823:D827 D815:D819 B815:B819 F815:F819 H815:H819 F807:F811 H807:H811 B823:B827 F823:F827 H823:H827 D851:D855 D843:D847 B843:B847 F843:F847 H843:H847 F835:F839 H835:H839 B851:B855 F851:F855 H851:H855 F865:F869 H865:H869</xm:sqref>
        </x14:conditionalFormatting>
        <x14:conditionalFormatting xmlns:xm="http://schemas.microsoft.com/office/excel/2006/main">
          <x14:cfRule type="expression" priority="242108" id="{6CDDFE3E-6706-49F3-AA3C-26E2BF9D73B3}">
            <xm:f>Calculs!B1023&lt;&gt;""</xm:f>
            <x14:dxf>
              <border>
                <top style="thin">
                  <color rgb="FFFF0000"/>
                </top>
                <vertical/>
                <horizontal/>
              </border>
            </x14:dxf>
          </x14:cfRule>
          <xm:sqref>D767 D759 B759 F759 H759 F751 H751 B767 F767 H767 B751 D751 D795 D787 B787 F787 H787 F779 H779 B795 F795 H795 D823 D815 B815 F815 H815 F807 H807 B823 F823 H823 D851 D843 B843 F843 H843 F835 H835 B851 F851 H851 B779 D779 B807 D807 B835 D835 F865 H865 B865 D865</xm:sqref>
        </x14:conditionalFormatting>
        <x14:conditionalFormatting xmlns:xm="http://schemas.microsoft.com/office/excel/2006/main">
          <x14:cfRule type="expression" priority="242791" id="{A7186BC3-358F-4958-8BAB-1B6701711F9D}">
            <xm:f>Calculs!B1023&lt;&gt;""</xm:f>
            <x14:dxf>
              <border>
                <bottom style="thin">
                  <color rgb="FFFF0000"/>
                </bottom>
                <vertical/>
                <horizontal/>
              </border>
            </x14:dxf>
          </x14:cfRule>
          <xm:sqref>D771 D763 B763 F763 H763 F755 H755 B771 F771 H771 B755 D755 D799 D791 B791 F791 H791 F783 H783 B799 F799 H799 D827 D819 B819 F819 H819 F811 H811 B827 F827 H827 D855 D847 B847 F847 H847 F839 H839 B855 F855 H855 B783 D783 B811 D811 B839 D839 F869 H869 B869 D869</xm:sqref>
        </x14:conditionalFormatting>
        <x14:conditionalFormatting xmlns:xm="http://schemas.microsoft.com/office/excel/2006/main">
          <x14:cfRule type="expression" priority="243474" id="{51F54783-7A41-47BC-9B58-85EBA65CA6EB}">
            <xm:f>Calculs!D1023&lt;&gt;""</xm:f>
            <x14:dxf>
              <fill>
                <patternFill>
                  <bgColor theme="0" tint="-0.24994659260841701"/>
                </patternFill>
              </fill>
            </x14:dxf>
          </x14:cfRule>
          <xm:sqref>C759:C763 E759:E763 G759:G763 E751:E755 G751:G755 C767:C771 E767:E771 G767:G771 C751:C755 C787:C791 E787:E791 G787:G791 E779:E783 G779:G783 C795:C799 E795:E799 G795:G799 C815:C819 E815:E819 G815:G819 E807:E811 G807:G811 C823:C827 E823:E827 G823:G827 C843:C847 E843:E847 G843:G847 E835:E839 G835:G839 C851:C855 E851:E855 G851:G855 C779:C783 C807:C811 C835:C839 E865:E869 G865:G869 C865:C869</xm:sqref>
        </x14:conditionalFormatting>
        <x14:conditionalFormatting xmlns:xm="http://schemas.microsoft.com/office/excel/2006/main">
          <x14:cfRule type="expression" priority="243986" id="{6B52E6F6-7CAF-4C4D-8236-7017D2EBA393}">
            <xm:f>Calculs!B1031&lt;&gt;""</xm:f>
            <x14:dxf>
              <fill>
                <patternFill>
                  <bgColor theme="0" tint="-0.24994659260841701"/>
                </patternFill>
              </fill>
            </x14:dxf>
          </x14:cfRule>
          <xm:sqref>I759:I763 I751:I755 I787:I791 I779:I783 I815:I819 I807:I811 I843:I847 I835:I839 I865:I869</xm:sqref>
        </x14:conditionalFormatting>
        <x14:conditionalFormatting xmlns:xm="http://schemas.microsoft.com/office/excel/2006/main">
          <x14:cfRule type="expression" priority="244100" id="{40975834-13E7-48F0-8218-DBA286DC3D4E}">
            <xm:f>Calculs!B1023&lt;&gt;""</xm:f>
            <x14:dxf>
              <fill>
                <patternFill>
                  <bgColor rgb="FF0000FF"/>
                </patternFill>
              </fill>
              <border>
                <left style="thin">
                  <color rgb="FFFF0000"/>
                </left>
                <right style="thin">
                  <color rgb="FFFF0000"/>
                </right>
                <vertical/>
                <horizontal/>
              </border>
            </x14:dxf>
          </x14:cfRule>
          <xm:sqref>B751:B755 D751:D755 B807:B811 B835:B839 B779:B783 D779:D783 D807:D811 D835:D839 B865:B869 D865:D869</xm:sqref>
        </x14:conditionalFormatting>
        <x14:conditionalFormatting xmlns:xm="http://schemas.microsoft.com/office/excel/2006/main">
          <x14:cfRule type="expression" priority="246182" id="{C9A287EB-8A12-4865-AF04-B92FD38265CC}">
            <xm:f>Calculs!F1165&lt;&gt;""</xm:f>
            <x14:dxf>
              <fill>
                <patternFill>
                  <bgColor rgb="FF0000FF"/>
                </patternFill>
              </fill>
              <border>
                <left style="thin">
                  <color rgb="FFFF0000"/>
                </left>
                <right style="thin">
                  <color rgb="FFFF0000"/>
                </right>
                <top/>
                <bottom/>
                <vertical/>
                <horizontal/>
              </border>
            </x14:dxf>
          </x14:cfRule>
          <xm:sqref>F877:F881 H877:H881</xm:sqref>
        </x14:conditionalFormatting>
        <x14:conditionalFormatting xmlns:xm="http://schemas.microsoft.com/office/excel/2006/main">
          <x14:cfRule type="expression" priority="246699" id="{6CDDFE3E-6706-49F3-AA3C-26E2BF9D73B3}">
            <xm:f>Calculs!B1165&lt;&gt;""</xm:f>
            <x14:dxf>
              <border>
                <top style="thin">
                  <color rgb="FFFF0000"/>
                </top>
                <vertical/>
                <horizontal/>
              </border>
            </x14:dxf>
          </x14:cfRule>
          <xm:sqref>F877 H877 B877 D877</xm:sqref>
        </x14:conditionalFormatting>
        <x14:conditionalFormatting xmlns:xm="http://schemas.microsoft.com/office/excel/2006/main">
          <x14:cfRule type="expression" priority="247322" id="{A7186BC3-358F-4958-8BAB-1B6701711F9D}">
            <xm:f>Calculs!B1165&lt;&gt;""</xm:f>
            <x14:dxf>
              <border>
                <bottom style="thin">
                  <color rgb="FFFF0000"/>
                </bottom>
                <vertical/>
                <horizontal/>
              </border>
            </x14:dxf>
          </x14:cfRule>
          <xm:sqref>F881 H881 B881 D881</xm:sqref>
        </x14:conditionalFormatting>
        <x14:conditionalFormatting xmlns:xm="http://schemas.microsoft.com/office/excel/2006/main">
          <x14:cfRule type="expression" priority="247935" id="{51F54783-7A41-47BC-9B58-85EBA65CA6EB}">
            <xm:f>Calculs!D1165&lt;&gt;""</xm:f>
            <x14:dxf>
              <fill>
                <patternFill>
                  <bgColor theme="0" tint="-0.24994659260841701"/>
                </patternFill>
              </fill>
            </x14:dxf>
          </x14:cfRule>
          <xm:sqref>E877:E881 G877:G881 C877:C881</xm:sqref>
        </x14:conditionalFormatting>
        <x14:conditionalFormatting xmlns:xm="http://schemas.microsoft.com/office/excel/2006/main">
          <x14:cfRule type="expression" priority="248372" id="{6B52E6F6-7CAF-4C4D-8236-7017D2EBA393}">
            <xm:f>Calculs!B1173&lt;&gt;""</xm:f>
            <x14:dxf>
              <fill>
                <patternFill>
                  <bgColor theme="0" tint="-0.24994659260841701"/>
                </patternFill>
              </fill>
            </x14:dxf>
          </x14:cfRule>
          <xm:sqref>I877:I881</xm:sqref>
        </x14:conditionalFormatting>
        <x14:conditionalFormatting xmlns:xm="http://schemas.microsoft.com/office/excel/2006/main">
          <x14:cfRule type="expression" priority="248467" id="{40975834-13E7-48F0-8218-DBA286DC3D4E}">
            <xm:f>Calculs!B1165&lt;&gt;""</xm:f>
            <x14:dxf>
              <fill>
                <patternFill>
                  <bgColor rgb="FF0000FF"/>
                </patternFill>
              </fill>
              <border>
                <left style="thin">
                  <color rgb="FFFF0000"/>
                </left>
                <right style="thin">
                  <color rgb="FFFF0000"/>
                </right>
                <vertical/>
                <horizontal/>
              </border>
            </x14:dxf>
          </x14:cfRule>
          <xm:sqref>B877:B881 D877:D881</xm:sqref>
        </x14:conditionalFormatting>
        <x14:conditionalFormatting xmlns:xm="http://schemas.microsoft.com/office/excel/2006/main">
          <x14:cfRule type="expression" priority="250539" id="{C9A287EB-8A12-4865-AF04-B92FD38265CC}">
            <xm:f>Calculs!B1193&lt;&gt;""</xm:f>
            <x14:dxf>
              <fill>
                <patternFill>
                  <bgColor rgb="FF0000FF"/>
                </patternFill>
              </fill>
              <border>
                <left style="thin">
                  <color rgb="FFFF0000"/>
                </left>
                <right style="thin">
                  <color rgb="FFFF0000"/>
                </right>
                <top/>
                <bottom/>
                <vertical/>
                <horizontal/>
              </border>
            </x14:dxf>
          </x14:cfRule>
          <xm:sqref>D897:D901 B897:B901 F897:F901 H897:H901 F889:F893 H889:H893</xm:sqref>
        </x14:conditionalFormatting>
        <x14:conditionalFormatting xmlns:xm="http://schemas.microsoft.com/office/excel/2006/main">
          <x14:cfRule type="expression" priority="251050" id="{6CDDFE3E-6706-49F3-AA3C-26E2BF9D73B3}">
            <xm:f>Calculs!B1193&lt;&gt;""</xm:f>
            <x14:dxf>
              <border>
                <top style="thin">
                  <color rgb="FFFF0000"/>
                </top>
                <vertical/>
                <horizontal/>
              </border>
            </x14:dxf>
          </x14:cfRule>
          <xm:sqref>D897 B897 F897 H897 F889 H889 B889 D889</xm:sqref>
        </x14:conditionalFormatting>
        <x14:conditionalFormatting xmlns:xm="http://schemas.microsoft.com/office/excel/2006/main">
          <x14:cfRule type="expression" priority="251665" id="{A7186BC3-358F-4958-8BAB-1B6701711F9D}">
            <xm:f>Calculs!B1193&lt;&gt;""</xm:f>
            <x14:dxf>
              <border>
                <bottom style="thin">
                  <color rgb="FFFF0000"/>
                </bottom>
                <vertical/>
                <horizontal/>
              </border>
            </x14:dxf>
          </x14:cfRule>
          <xm:sqref>D901 B901 F901 H901 F893 H893 B893 D893</xm:sqref>
        </x14:conditionalFormatting>
        <x14:conditionalFormatting xmlns:xm="http://schemas.microsoft.com/office/excel/2006/main">
          <x14:cfRule type="expression" priority="252272" id="{51F54783-7A41-47BC-9B58-85EBA65CA6EB}">
            <xm:f>Calculs!D1193&lt;&gt;""</xm:f>
            <x14:dxf>
              <fill>
                <patternFill>
                  <bgColor theme="0" tint="-0.24994659260841701"/>
                </patternFill>
              </fill>
            </x14:dxf>
          </x14:cfRule>
          <xm:sqref>C897:C901 E897:E901 G897:G901 E889:E893 G889:G893 C889:C893</xm:sqref>
        </x14:conditionalFormatting>
        <x14:conditionalFormatting xmlns:xm="http://schemas.microsoft.com/office/excel/2006/main">
          <x14:cfRule type="expression" priority="252709" id="{6B52E6F6-7CAF-4C4D-8236-7017D2EBA393}">
            <xm:f>Calculs!B1201&lt;&gt;""</xm:f>
            <x14:dxf>
              <fill>
                <patternFill>
                  <bgColor theme="0" tint="-0.24994659260841701"/>
                </patternFill>
              </fill>
            </x14:dxf>
          </x14:cfRule>
          <xm:sqref>I897:I901 I889:I893</xm:sqref>
        </x14:conditionalFormatting>
        <x14:conditionalFormatting xmlns:xm="http://schemas.microsoft.com/office/excel/2006/main">
          <x14:cfRule type="expression" priority="252805" id="{40975834-13E7-48F0-8218-DBA286DC3D4E}">
            <xm:f>Calculs!B1193&lt;&gt;""</xm:f>
            <x14:dxf>
              <fill>
                <patternFill>
                  <bgColor rgb="FF0000FF"/>
                </patternFill>
              </fill>
              <border>
                <left style="thin">
                  <color rgb="FFFF0000"/>
                </left>
                <right style="thin">
                  <color rgb="FFFF0000"/>
                </right>
                <vertical/>
                <horizontal/>
              </border>
            </x14:dxf>
          </x14:cfRule>
          <xm:sqref>B889:B893 D889:D893</xm:sqref>
        </x14:conditionalFormatting>
        <x14:conditionalFormatting xmlns:xm="http://schemas.microsoft.com/office/excel/2006/main">
          <x14:cfRule type="expression" priority="254867" id="{C9A287EB-8A12-4865-AF04-B92FD38265CC}">
            <xm:f>Calculs!B1221&lt;&gt;""</xm:f>
            <x14:dxf>
              <fill>
                <patternFill>
                  <bgColor rgb="FF0000FF"/>
                </patternFill>
              </fill>
              <border>
                <left style="thin">
                  <color rgb="FFFF0000"/>
                </left>
                <right style="thin">
                  <color rgb="FFFF0000"/>
                </right>
                <top/>
                <bottom/>
                <vertical/>
                <horizontal/>
              </border>
            </x14:dxf>
          </x14:cfRule>
          <xm:sqref>D917:D921 B917:B921 F917:F921 H917:H921 F909:F913 H909:H913</xm:sqref>
        </x14:conditionalFormatting>
        <x14:conditionalFormatting xmlns:xm="http://schemas.microsoft.com/office/excel/2006/main">
          <x14:cfRule type="expression" priority="255368" id="{6CDDFE3E-6706-49F3-AA3C-26E2BF9D73B3}">
            <xm:f>Calculs!B1221&lt;&gt;""</xm:f>
            <x14:dxf>
              <border>
                <top style="thin">
                  <color rgb="FFFF0000"/>
                </top>
                <vertical/>
                <horizontal/>
              </border>
            </x14:dxf>
          </x14:cfRule>
          <xm:sqref>D917 B917 F917 H917 F909 H909 B909 D909</xm:sqref>
        </x14:conditionalFormatting>
        <x14:conditionalFormatting xmlns:xm="http://schemas.microsoft.com/office/excel/2006/main">
          <x14:cfRule type="expression" priority="255971" id="{A7186BC3-358F-4958-8BAB-1B6701711F9D}">
            <xm:f>Calculs!B1221&lt;&gt;""</xm:f>
            <x14:dxf>
              <border>
                <bottom style="thin">
                  <color rgb="FFFF0000"/>
                </bottom>
                <vertical/>
                <horizontal/>
              </border>
            </x14:dxf>
          </x14:cfRule>
          <xm:sqref>D921 B921 F921 H921 F913 H913 B913 D913</xm:sqref>
        </x14:conditionalFormatting>
        <x14:conditionalFormatting xmlns:xm="http://schemas.microsoft.com/office/excel/2006/main">
          <x14:cfRule type="expression" priority="256568" id="{51F54783-7A41-47BC-9B58-85EBA65CA6EB}">
            <xm:f>Calculs!D1221&lt;&gt;""</xm:f>
            <x14:dxf>
              <fill>
                <patternFill>
                  <bgColor theme="0" tint="-0.24994659260841701"/>
                </patternFill>
              </fill>
            </x14:dxf>
          </x14:cfRule>
          <xm:sqref>C917:C921 E917:E921 G917:G921 E909:E913 G909:G913 C909:C913</xm:sqref>
        </x14:conditionalFormatting>
        <x14:conditionalFormatting xmlns:xm="http://schemas.microsoft.com/office/excel/2006/main">
          <x14:cfRule type="expression" priority="257002" id="{6B52E6F6-7CAF-4C4D-8236-7017D2EBA393}">
            <xm:f>Calculs!B1229&lt;&gt;""</xm:f>
            <x14:dxf>
              <fill>
                <patternFill>
                  <bgColor theme="0" tint="-0.24994659260841701"/>
                </patternFill>
              </fill>
            </x14:dxf>
          </x14:cfRule>
          <xm:sqref>I917:I921 I909:I913</xm:sqref>
        </x14:conditionalFormatting>
        <x14:conditionalFormatting xmlns:xm="http://schemas.microsoft.com/office/excel/2006/main">
          <x14:cfRule type="expression" priority="257098" id="{40975834-13E7-48F0-8218-DBA286DC3D4E}">
            <xm:f>Calculs!B1221&lt;&gt;""</xm:f>
            <x14:dxf>
              <fill>
                <patternFill>
                  <bgColor rgb="FF0000FF"/>
                </patternFill>
              </fill>
              <border>
                <left style="thin">
                  <color rgb="FFFF0000"/>
                </left>
                <right style="thin">
                  <color rgb="FFFF0000"/>
                </right>
                <vertical/>
                <horizontal/>
              </border>
            </x14:dxf>
          </x14:cfRule>
          <xm:sqref>B909:B913 D909:D913</xm:sqref>
        </x14:conditionalFormatting>
        <x14:conditionalFormatting xmlns:xm="http://schemas.microsoft.com/office/excel/2006/main">
          <x14:cfRule type="expression" priority="259150" id="{C9A287EB-8A12-4865-AF04-B92FD38265CC}">
            <xm:f>Calculs!B1249&lt;&gt;""</xm:f>
            <x14:dxf>
              <fill>
                <patternFill>
                  <bgColor rgb="FF0000FF"/>
                </patternFill>
              </fill>
              <border>
                <left style="thin">
                  <color rgb="FFFF0000"/>
                </left>
                <right style="thin">
                  <color rgb="FFFF0000"/>
                </right>
                <top/>
                <bottom/>
                <vertical/>
                <horizontal/>
              </border>
            </x14:dxf>
          </x14:cfRule>
          <xm:sqref>D937:D941 B937:B941 F937:F941 H937:H941 F929:F933 H929:H933</xm:sqref>
        </x14:conditionalFormatting>
        <x14:conditionalFormatting xmlns:xm="http://schemas.microsoft.com/office/excel/2006/main">
          <x14:cfRule type="expression" priority="259641" id="{6CDDFE3E-6706-49F3-AA3C-26E2BF9D73B3}">
            <xm:f>Calculs!B1249&lt;&gt;""</xm:f>
            <x14:dxf>
              <border>
                <top style="thin">
                  <color rgb="FFFF0000"/>
                </top>
                <vertical/>
                <horizontal/>
              </border>
            </x14:dxf>
          </x14:cfRule>
          <xm:sqref>D937 B937 F937 H937 F929 H929 B929 D929</xm:sqref>
        </x14:conditionalFormatting>
        <x14:conditionalFormatting xmlns:xm="http://schemas.microsoft.com/office/excel/2006/main">
          <x14:cfRule type="expression" priority="260232" id="{A7186BC3-358F-4958-8BAB-1B6701711F9D}">
            <xm:f>Calculs!B1249&lt;&gt;""</xm:f>
            <x14:dxf>
              <border>
                <bottom style="thin">
                  <color rgb="FFFF0000"/>
                </bottom>
                <vertical/>
                <horizontal/>
              </border>
            </x14:dxf>
          </x14:cfRule>
          <xm:sqref>D941 B941 F941 H941 F933 H933 B933 D933</xm:sqref>
        </x14:conditionalFormatting>
        <x14:conditionalFormatting xmlns:xm="http://schemas.microsoft.com/office/excel/2006/main">
          <x14:cfRule type="expression" priority="260819" id="{51F54783-7A41-47BC-9B58-85EBA65CA6EB}">
            <xm:f>Calculs!D1249&lt;&gt;""</xm:f>
            <x14:dxf>
              <fill>
                <patternFill>
                  <bgColor theme="0" tint="-0.24994659260841701"/>
                </patternFill>
              </fill>
            </x14:dxf>
          </x14:cfRule>
          <xm:sqref>C937:C941 E937:E941 G937:G941 E929:E933 G929:G933 C929:C933</xm:sqref>
        </x14:conditionalFormatting>
        <x14:conditionalFormatting xmlns:xm="http://schemas.microsoft.com/office/excel/2006/main">
          <x14:cfRule type="expression" priority="261250" id="{6B52E6F6-7CAF-4C4D-8236-7017D2EBA393}">
            <xm:f>Calculs!B1257&lt;&gt;""</xm:f>
            <x14:dxf>
              <fill>
                <patternFill>
                  <bgColor theme="0" tint="-0.24994659260841701"/>
                </patternFill>
              </fill>
            </x14:dxf>
          </x14:cfRule>
          <xm:sqref>I937:I941 I929:I933</xm:sqref>
        </x14:conditionalFormatting>
        <x14:conditionalFormatting xmlns:xm="http://schemas.microsoft.com/office/excel/2006/main">
          <x14:cfRule type="expression" priority="261346" id="{40975834-13E7-48F0-8218-DBA286DC3D4E}">
            <xm:f>Calculs!B1249&lt;&gt;""</xm:f>
            <x14:dxf>
              <fill>
                <patternFill>
                  <bgColor rgb="FF0000FF"/>
                </patternFill>
              </fill>
              <border>
                <left style="thin">
                  <color rgb="FFFF0000"/>
                </left>
                <right style="thin">
                  <color rgb="FFFF0000"/>
                </right>
                <vertical/>
                <horizontal/>
              </border>
            </x14:dxf>
          </x14:cfRule>
          <xm:sqref>B929:B933 D929:D933</xm:sqref>
        </x14:conditionalFormatting>
        <x14:conditionalFormatting xmlns:xm="http://schemas.microsoft.com/office/excel/2006/main">
          <x14:cfRule type="expression" priority="263388" id="{C9A287EB-8A12-4865-AF04-B92FD38265CC}">
            <xm:f>Calculs!B1277&lt;&gt;""</xm:f>
            <x14:dxf>
              <fill>
                <patternFill>
                  <bgColor rgb="FF0000FF"/>
                </patternFill>
              </fill>
              <border>
                <left style="thin">
                  <color rgb="FFFF0000"/>
                </left>
                <right style="thin">
                  <color rgb="FFFF0000"/>
                </right>
                <top/>
                <bottom/>
                <vertical/>
                <horizontal/>
              </border>
            </x14:dxf>
          </x14:cfRule>
          <xm:sqref>D957:D961 B957:B961 F957:F961 H957:H961 F949:F953 H949:H953</xm:sqref>
        </x14:conditionalFormatting>
        <x14:conditionalFormatting xmlns:xm="http://schemas.microsoft.com/office/excel/2006/main">
          <x14:cfRule type="expression" priority="263869" id="{6CDDFE3E-6706-49F3-AA3C-26E2BF9D73B3}">
            <xm:f>Calculs!B1277&lt;&gt;""</xm:f>
            <x14:dxf>
              <border>
                <top style="thin">
                  <color rgb="FFFF0000"/>
                </top>
                <vertical/>
                <horizontal/>
              </border>
            </x14:dxf>
          </x14:cfRule>
          <xm:sqref>D957 B957 F957 H957 F949 H949 B949 D949</xm:sqref>
        </x14:conditionalFormatting>
        <x14:conditionalFormatting xmlns:xm="http://schemas.microsoft.com/office/excel/2006/main">
          <x14:cfRule type="expression" priority="264448" id="{A7186BC3-358F-4958-8BAB-1B6701711F9D}">
            <xm:f>Calculs!B1277&lt;&gt;""</xm:f>
            <x14:dxf>
              <border>
                <bottom style="thin">
                  <color rgb="FFFF0000"/>
                </bottom>
                <vertical/>
                <horizontal/>
              </border>
            </x14:dxf>
          </x14:cfRule>
          <xm:sqref>D961 B961 F961 H961 F953 H953 B953 D953</xm:sqref>
        </x14:conditionalFormatting>
        <x14:conditionalFormatting xmlns:xm="http://schemas.microsoft.com/office/excel/2006/main">
          <x14:cfRule type="expression" priority="265025" id="{51F54783-7A41-47BC-9B58-85EBA65CA6EB}">
            <xm:f>Calculs!D1277&lt;&gt;""</xm:f>
            <x14:dxf>
              <fill>
                <patternFill>
                  <bgColor theme="0" tint="-0.24994659260841701"/>
                </patternFill>
              </fill>
            </x14:dxf>
          </x14:cfRule>
          <xm:sqref>C957:C961 E957:E961 G957:G961 E949:E953 G949:G953 C949:C953</xm:sqref>
        </x14:conditionalFormatting>
        <x14:conditionalFormatting xmlns:xm="http://schemas.microsoft.com/office/excel/2006/main">
          <x14:cfRule type="expression" priority="265453" id="{6B52E6F6-7CAF-4C4D-8236-7017D2EBA393}">
            <xm:f>Calculs!B1285&lt;&gt;""</xm:f>
            <x14:dxf>
              <fill>
                <patternFill>
                  <bgColor theme="0" tint="-0.24994659260841701"/>
                </patternFill>
              </fill>
            </x14:dxf>
          </x14:cfRule>
          <xm:sqref>I957:I961 I949:I953</xm:sqref>
        </x14:conditionalFormatting>
        <x14:conditionalFormatting xmlns:xm="http://schemas.microsoft.com/office/excel/2006/main">
          <x14:cfRule type="expression" priority="265549" id="{40975834-13E7-48F0-8218-DBA286DC3D4E}">
            <xm:f>Calculs!B1277&lt;&gt;""</xm:f>
            <x14:dxf>
              <fill>
                <patternFill>
                  <bgColor rgb="FF0000FF"/>
                </patternFill>
              </fill>
              <border>
                <left style="thin">
                  <color rgb="FFFF0000"/>
                </left>
                <right style="thin">
                  <color rgb="FFFF0000"/>
                </right>
                <vertical/>
                <horizontal/>
              </border>
            </x14:dxf>
          </x14:cfRule>
          <xm:sqref>B949:B953 D949:D953</xm:sqref>
        </x14:conditionalFormatting>
        <x14:conditionalFormatting xmlns:xm="http://schemas.microsoft.com/office/excel/2006/main">
          <x14:cfRule type="expression" priority="267582" id="{C9A287EB-8A12-4865-AF04-B92FD38265CC}">
            <xm:f>Calculs!B1305&lt;&gt;""</xm:f>
            <x14:dxf>
              <fill>
                <patternFill>
                  <bgColor rgb="FF0000FF"/>
                </patternFill>
              </fill>
              <border>
                <left style="thin">
                  <color rgb="FFFF0000"/>
                </left>
                <right style="thin">
                  <color rgb="FFFF0000"/>
                </right>
                <top/>
                <bottom/>
                <vertical/>
                <horizontal/>
              </border>
            </x14:dxf>
          </x14:cfRule>
          <xm:sqref>D985:D989 D977:D981 B977:B981 F977:F981 H977:H981 F969:F973 H969:H973 B985:B989 F985:F989 H985:H989 D1013:D1017 D1005:D1009 B1005:B1009 F1005:F1009 H1005:H1009 F997:F1001 H997:H1001 B1013:B1017 F1013:F1017 H1013:H1017 D1041:D1045 D1033:D1037 B1033:B1037 F1033:F1037 H1033:H1037 F1025:F1029 H1025:H1029 B1041:B1045 F1041:F1045 H1041:H1045 D1069:D1073 D1061:D1065 B1061:B1065 F1061:F1065 H1061:H1065 F1053:F1057 H1053:H1057 B1069:B1073 F1069:F1073 H1069:H1073 F1083:F1087 H1083:H1087</xm:sqref>
        </x14:conditionalFormatting>
        <x14:conditionalFormatting xmlns:xm="http://schemas.microsoft.com/office/excel/2006/main">
          <x14:cfRule type="expression" priority="268049" id="{6CDDFE3E-6706-49F3-AA3C-26E2BF9D73B3}">
            <xm:f>Calculs!B1305&lt;&gt;""</xm:f>
            <x14:dxf>
              <border>
                <top style="thin">
                  <color rgb="FFFF0000"/>
                </top>
                <vertical/>
                <horizontal/>
              </border>
            </x14:dxf>
          </x14:cfRule>
          <xm:sqref>D985 D977 B977 F977 H977 F969 H969 B985 F985 H985 B969 D969 D1013 D1005 B1005 F1005 H1005 F997 H997 B1013 F1013 H1013 D1041 D1033 B1033 F1033 H1033 F1025 H1025 B1041 F1041 H1041 D1069 D1061 B1061 F1061 H1061 F1053 H1053 B1069 F1069 H1069 B997 D997 B1025 D1025 B1053 D1053 F1083 H1083 B1083 D1083</xm:sqref>
        </x14:conditionalFormatting>
        <x14:conditionalFormatting xmlns:xm="http://schemas.microsoft.com/office/excel/2006/main">
          <x14:cfRule type="expression" priority="268612" id="{A7186BC3-358F-4958-8BAB-1B6701711F9D}">
            <xm:f>Calculs!B1305&lt;&gt;""</xm:f>
            <x14:dxf>
              <border>
                <bottom style="thin">
                  <color rgb="FFFF0000"/>
                </bottom>
                <vertical/>
                <horizontal/>
              </border>
            </x14:dxf>
          </x14:cfRule>
          <xm:sqref>D989 D981 B981 F981 H981 F973 H973 B989 F989 H989 B973 D973 D1017 D1009 B1009 F1009 H1009 F1001 H1001 B1017 F1017 H1017 D1045 D1037 B1037 F1037 H1037 F1029 H1029 B1045 F1045 H1045 D1073 D1065 B1065 F1065 H1065 F1057 H1057 B1073 F1073 H1073 B1001 D1001 B1029 D1029 B1057 D1057 F1087 H1087 B1087 D1087</xm:sqref>
        </x14:conditionalFormatting>
        <x14:conditionalFormatting xmlns:xm="http://schemas.microsoft.com/office/excel/2006/main">
          <x14:cfRule type="expression" priority="269175" id="{51F54783-7A41-47BC-9B58-85EBA65CA6EB}">
            <xm:f>Calculs!D1305&lt;&gt;""</xm:f>
            <x14:dxf>
              <fill>
                <patternFill>
                  <bgColor theme="0" tint="-0.24994659260841701"/>
                </patternFill>
              </fill>
            </x14:dxf>
          </x14:cfRule>
          <xm:sqref>C977:C981 E977:E981 G977:G981 E969:E973 G969:G973 C985:C989 E985:E989 G985:G989 C969:C973 C1005:C1009 E1005:E1009 G1005:G1009 E997:E1001 G997:G1001 C1013:C1017 E1013:E1017 G1013:G1017 C1033:C1037 E1033:E1037 G1033:G1037 E1025:E1029 G1025:G1029 C1041:C1045 E1041:E1045 G1041:G1045 C1061:C1065 E1061:E1065 G1061:G1065 E1053:E1057 G1053:G1057 C1069:C1073 E1069:E1073 G1069:G1073 C997:C1001 C1025:C1029 C1053:C1057 E1083:E1087 G1083:G1087 C1083:C1087</xm:sqref>
        </x14:conditionalFormatting>
        <x14:conditionalFormatting xmlns:xm="http://schemas.microsoft.com/office/excel/2006/main">
          <x14:cfRule type="expression" priority="269597" id="{6B52E6F6-7CAF-4C4D-8236-7017D2EBA393}">
            <xm:f>Calculs!B1313&lt;&gt;""</xm:f>
            <x14:dxf>
              <fill>
                <patternFill>
                  <bgColor theme="0" tint="-0.24994659260841701"/>
                </patternFill>
              </fill>
            </x14:dxf>
          </x14:cfRule>
          <xm:sqref>I977:I981 I969:I973 I1005:I1009 I997:I1001 I1033:I1037 I1025:I1029 I1061:I1065 I1053:I1057 I1083:I1087</xm:sqref>
        </x14:conditionalFormatting>
        <x14:conditionalFormatting xmlns:xm="http://schemas.microsoft.com/office/excel/2006/main">
          <x14:cfRule type="expression" priority="269691" id="{40975834-13E7-48F0-8218-DBA286DC3D4E}">
            <xm:f>Calculs!B1305&lt;&gt;""</xm:f>
            <x14:dxf>
              <fill>
                <patternFill>
                  <bgColor rgb="FF0000FF"/>
                </patternFill>
              </fill>
              <border>
                <left style="thin">
                  <color rgb="FFFF0000"/>
                </left>
                <right style="thin">
                  <color rgb="FFFF0000"/>
                </right>
                <vertical/>
                <horizontal/>
              </border>
            </x14:dxf>
          </x14:cfRule>
          <xm:sqref>B969:B973 D969:D973 B1025:B1029 B1053:B1057 B997:B1001 D997:D1001 D1025:D1029 D1053:D1057 B1083:B1087 D1083:D1087</xm:sqref>
        </x14:conditionalFormatting>
        <x14:conditionalFormatting xmlns:xm="http://schemas.microsoft.com/office/excel/2006/main">
          <x14:cfRule type="expression" priority="271773" id="{C9A287EB-8A12-4865-AF04-B92FD38265CC}">
            <xm:f>Calculs!F1447&lt;&gt;""</xm:f>
            <x14:dxf>
              <fill>
                <patternFill>
                  <bgColor rgb="FF0000FF"/>
                </patternFill>
              </fill>
              <border>
                <left style="thin">
                  <color rgb="FFFF0000"/>
                </left>
                <right style="thin">
                  <color rgb="FFFF0000"/>
                </right>
                <top/>
                <bottom/>
                <vertical/>
                <horizontal/>
              </border>
            </x14:dxf>
          </x14:cfRule>
          <xm:sqref>F1095:F1099 H1095:H1099</xm:sqref>
        </x14:conditionalFormatting>
        <x14:conditionalFormatting xmlns:xm="http://schemas.microsoft.com/office/excel/2006/main">
          <x14:cfRule type="expression" priority="272190" id="{6CDDFE3E-6706-49F3-AA3C-26E2BF9D73B3}">
            <xm:f>Calculs!B1447&lt;&gt;""</xm:f>
            <x14:dxf>
              <border>
                <top style="thin">
                  <color rgb="FFFF0000"/>
                </top>
                <vertical/>
                <horizontal/>
              </border>
            </x14:dxf>
          </x14:cfRule>
          <xm:sqref>F1095 H1095 B1095 D1095</xm:sqref>
        </x14:conditionalFormatting>
        <x14:conditionalFormatting xmlns:xm="http://schemas.microsoft.com/office/excel/2006/main">
          <x14:cfRule type="expression" priority="272693" id="{A7186BC3-358F-4958-8BAB-1B6701711F9D}">
            <xm:f>Calculs!B1447&lt;&gt;""</xm:f>
            <x14:dxf>
              <border>
                <bottom style="thin">
                  <color rgb="FFFF0000"/>
                </bottom>
                <vertical/>
                <horizontal/>
              </border>
            </x14:dxf>
          </x14:cfRule>
          <xm:sqref>F1099 H1099 B1099 D1099</xm:sqref>
        </x14:conditionalFormatting>
        <x14:conditionalFormatting xmlns:xm="http://schemas.microsoft.com/office/excel/2006/main">
          <x14:cfRule type="expression" priority="273186" id="{51F54783-7A41-47BC-9B58-85EBA65CA6EB}">
            <xm:f>Calculs!D1447&lt;&gt;""</xm:f>
            <x14:dxf>
              <fill>
                <patternFill>
                  <bgColor theme="0" tint="-0.24994659260841701"/>
                </patternFill>
              </fill>
            </x14:dxf>
          </x14:cfRule>
          <xm:sqref>E1095:E1099 G1095:G1099 C1095:C1099</xm:sqref>
        </x14:conditionalFormatting>
        <x14:conditionalFormatting xmlns:xm="http://schemas.microsoft.com/office/excel/2006/main">
          <x14:cfRule type="expression" priority="273533" id="{6B52E6F6-7CAF-4C4D-8236-7017D2EBA393}">
            <xm:f>Calculs!B1455&lt;&gt;""</xm:f>
            <x14:dxf>
              <fill>
                <patternFill>
                  <bgColor theme="0" tint="-0.24994659260841701"/>
                </patternFill>
              </fill>
            </x14:dxf>
          </x14:cfRule>
          <xm:sqref>I1095:I1099</xm:sqref>
        </x14:conditionalFormatting>
        <x14:conditionalFormatting xmlns:xm="http://schemas.microsoft.com/office/excel/2006/main">
          <x14:cfRule type="expression" priority="273608" id="{40975834-13E7-48F0-8218-DBA286DC3D4E}">
            <xm:f>Calculs!B1447&lt;&gt;""</xm:f>
            <x14:dxf>
              <fill>
                <patternFill>
                  <bgColor rgb="FF0000FF"/>
                </patternFill>
              </fill>
              <border>
                <left style="thin">
                  <color rgb="FFFF0000"/>
                </left>
                <right style="thin">
                  <color rgb="FFFF0000"/>
                </right>
                <vertical/>
                <horizontal/>
              </border>
            </x14:dxf>
          </x14:cfRule>
          <xm:sqref>B1095:B1099 D1095:D1099</xm:sqref>
        </x14:conditionalFormatting>
        <x14:conditionalFormatting xmlns:xm="http://schemas.microsoft.com/office/excel/2006/main">
          <x14:cfRule type="expression" priority="275680" id="{C9A287EB-8A12-4865-AF04-B92FD38265CC}">
            <xm:f>Calculs!B1475&lt;&gt;""</xm:f>
            <x14:dxf>
              <fill>
                <patternFill>
                  <bgColor rgb="FF0000FF"/>
                </patternFill>
              </fill>
              <border>
                <left style="thin">
                  <color rgb="FFFF0000"/>
                </left>
                <right style="thin">
                  <color rgb="FFFF0000"/>
                </right>
                <top/>
                <bottom/>
                <vertical/>
                <horizontal/>
              </border>
            </x14:dxf>
          </x14:cfRule>
          <xm:sqref>D1115:D1119 B1115:B1119 F1115:F1119 H1115:H1119 F1107:F1111 H1107:H1111</xm:sqref>
        </x14:conditionalFormatting>
        <x14:conditionalFormatting xmlns:xm="http://schemas.microsoft.com/office/excel/2006/main">
          <x14:cfRule type="expression" priority="276091" id="{6CDDFE3E-6706-49F3-AA3C-26E2BF9D73B3}">
            <xm:f>Calculs!B1475&lt;&gt;""</xm:f>
            <x14:dxf>
              <border>
                <top style="thin">
                  <color rgb="FFFF0000"/>
                </top>
                <vertical/>
                <horizontal/>
              </border>
            </x14:dxf>
          </x14:cfRule>
          <xm:sqref>D1115 B1115 F1115 H1115 F1107 H1107 B1107 D1107</xm:sqref>
        </x14:conditionalFormatting>
        <x14:conditionalFormatting xmlns:xm="http://schemas.microsoft.com/office/excel/2006/main">
          <x14:cfRule type="expression" priority="276586" id="{A7186BC3-358F-4958-8BAB-1B6701711F9D}">
            <xm:f>Calculs!B1475&lt;&gt;""</xm:f>
            <x14:dxf>
              <border>
                <bottom style="thin">
                  <color rgb="FFFF0000"/>
                </bottom>
                <vertical/>
                <horizontal/>
              </border>
            </x14:dxf>
          </x14:cfRule>
          <xm:sqref>D1119 B1119 F1119 H1119 F1111 H1111 B1111 D1111</xm:sqref>
        </x14:conditionalFormatting>
        <x14:conditionalFormatting xmlns:xm="http://schemas.microsoft.com/office/excel/2006/main">
          <x14:cfRule type="expression" priority="277073" id="{51F54783-7A41-47BC-9B58-85EBA65CA6EB}">
            <xm:f>Calculs!D1475&lt;&gt;""</xm:f>
            <x14:dxf>
              <fill>
                <patternFill>
                  <bgColor theme="0" tint="-0.24994659260841701"/>
                </patternFill>
              </fill>
            </x14:dxf>
          </x14:cfRule>
          <xm:sqref>C1115:C1119 E1115:E1119 G1115:G1119 E1107:E1111 G1107:G1111 C1107:C1111</xm:sqref>
        </x14:conditionalFormatting>
        <x14:conditionalFormatting xmlns:xm="http://schemas.microsoft.com/office/excel/2006/main">
          <x14:cfRule type="expression" priority="277420" id="{6B52E6F6-7CAF-4C4D-8236-7017D2EBA393}">
            <xm:f>Calculs!B1483&lt;&gt;""</xm:f>
            <x14:dxf>
              <fill>
                <patternFill>
                  <bgColor theme="0" tint="-0.24994659260841701"/>
                </patternFill>
              </fill>
            </x14:dxf>
          </x14:cfRule>
          <xm:sqref>I1115:I1119 I1107:I1111</xm:sqref>
        </x14:conditionalFormatting>
        <x14:conditionalFormatting xmlns:xm="http://schemas.microsoft.com/office/excel/2006/main">
          <x14:cfRule type="expression" priority="277496" id="{40975834-13E7-48F0-8218-DBA286DC3D4E}">
            <xm:f>Calculs!B1475&lt;&gt;""</xm:f>
            <x14:dxf>
              <fill>
                <patternFill>
                  <bgColor rgb="FF0000FF"/>
                </patternFill>
              </fill>
              <border>
                <left style="thin">
                  <color rgb="FFFF0000"/>
                </left>
                <right style="thin">
                  <color rgb="FFFF0000"/>
                </right>
                <vertical/>
                <horizontal/>
              </border>
            </x14:dxf>
          </x14:cfRule>
          <xm:sqref>B1107:B1111 D1107:D1111</xm:sqref>
        </x14:conditionalFormatting>
        <x14:conditionalFormatting xmlns:xm="http://schemas.microsoft.com/office/excel/2006/main">
          <x14:cfRule type="expression" priority="279558" id="{C9A287EB-8A12-4865-AF04-B92FD38265CC}">
            <xm:f>Calculs!B1503&lt;&gt;""</xm:f>
            <x14:dxf>
              <fill>
                <patternFill>
                  <bgColor rgb="FF0000FF"/>
                </patternFill>
              </fill>
              <border>
                <left style="thin">
                  <color rgb="FFFF0000"/>
                </left>
                <right style="thin">
                  <color rgb="FFFF0000"/>
                </right>
                <top/>
                <bottom/>
                <vertical/>
                <horizontal/>
              </border>
            </x14:dxf>
          </x14:cfRule>
          <xm:sqref>D1135:D1139 B1135:B1139 F1135:F1139 H1135:H1139 F1127:F1131 H1127:H1131</xm:sqref>
        </x14:conditionalFormatting>
        <x14:conditionalFormatting xmlns:xm="http://schemas.microsoft.com/office/excel/2006/main">
          <x14:cfRule type="expression" priority="279959" id="{6CDDFE3E-6706-49F3-AA3C-26E2BF9D73B3}">
            <xm:f>Calculs!B1503&lt;&gt;""</xm:f>
            <x14:dxf>
              <border>
                <top style="thin">
                  <color rgb="FFFF0000"/>
                </top>
                <vertical/>
                <horizontal/>
              </border>
            </x14:dxf>
          </x14:cfRule>
          <xm:sqref>D1135 B1135 F1135 H1135 F1127 H1127 B1127 D1127</xm:sqref>
        </x14:conditionalFormatting>
        <x14:conditionalFormatting xmlns:xm="http://schemas.microsoft.com/office/excel/2006/main">
          <x14:cfRule type="expression" priority="280442" id="{A7186BC3-358F-4958-8BAB-1B6701711F9D}">
            <xm:f>Calculs!B1503&lt;&gt;""</xm:f>
            <x14:dxf>
              <border>
                <bottom style="thin">
                  <color rgb="FFFF0000"/>
                </bottom>
                <vertical/>
                <horizontal/>
              </border>
            </x14:dxf>
          </x14:cfRule>
          <xm:sqref>D1139 B1139 F1139 H1139 F1131 H1131 B1131 D1131</xm:sqref>
        </x14:conditionalFormatting>
        <x14:conditionalFormatting xmlns:xm="http://schemas.microsoft.com/office/excel/2006/main">
          <x14:cfRule type="expression" priority="280919" id="{51F54783-7A41-47BC-9B58-85EBA65CA6EB}">
            <xm:f>Calculs!D1503&lt;&gt;""</xm:f>
            <x14:dxf>
              <fill>
                <patternFill>
                  <bgColor theme="0" tint="-0.24994659260841701"/>
                </patternFill>
              </fill>
            </x14:dxf>
          </x14:cfRule>
          <xm:sqref>C1135:C1139 E1135:E1139 G1135:G1139 E1127:E1131 G1127:G1131 C1127:C1131</xm:sqref>
        </x14:conditionalFormatting>
        <x14:conditionalFormatting xmlns:xm="http://schemas.microsoft.com/office/excel/2006/main">
          <x14:cfRule type="expression" priority="281263" id="{6B52E6F6-7CAF-4C4D-8236-7017D2EBA393}">
            <xm:f>Calculs!B1511&lt;&gt;""</xm:f>
            <x14:dxf>
              <fill>
                <patternFill>
                  <bgColor theme="0" tint="-0.24994659260841701"/>
                </patternFill>
              </fill>
            </x14:dxf>
          </x14:cfRule>
          <xm:sqref>I1135:I1139 I1127:I1131</xm:sqref>
        </x14:conditionalFormatting>
        <x14:conditionalFormatting xmlns:xm="http://schemas.microsoft.com/office/excel/2006/main">
          <x14:cfRule type="expression" priority="281339" id="{40975834-13E7-48F0-8218-DBA286DC3D4E}">
            <xm:f>Calculs!B1503&lt;&gt;""</xm:f>
            <x14:dxf>
              <fill>
                <patternFill>
                  <bgColor rgb="FF0000FF"/>
                </patternFill>
              </fill>
              <border>
                <left style="thin">
                  <color rgb="FFFF0000"/>
                </left>
                <right style="thin">
                  <color rgb="FFFF0000"/>
                </right>
                <vertical/>
                <horizontal/>
              </border>
            </x14:dxf>
          </x14:cfRule>
          <xm:sqref>B1127:B1131 D1127:D1131</xm:sqref>
        </x14:conditionalFormatting>
        <x14:conditionalFormatting xmlns:xm="http://schemas.microsoft.com/office/excel/2006/main">
          <x14:cfRule type="expression" priority="283391" id="{C9A287EB-8A12-4865-AF04-B92FD38265CC}">
            <xm:f>Calculs!B1531&lt;&gt;""</xm:f>
            <x14:dxf>
              <fill>
                <patternFill>
                  <bgColor rgb="FF0000FF"/>
                </patternFill>
              </fill>
              <border>
                <left style="thin">
                  <color rgb="FFFF0000"/>
                </left>
                <right style="thin">
                  <color rgb="FFFF0000"/>
                </right>
                <top/>
                <bottom/>
                <vertical/>
                <horizontal/>
              </border>
            </x14:dxf>
          </x14:cfRule>
          <xm:sqref>D1155:D1159 B1155:B1159 F1155:F1159 H1155:H1159 F1147:F1151 H1147:H1151</xm:sqref>
        </x14:conditionalFormatting>
        <x14:conditionalFormatting xmlns:xm="http://schemas.microsoft.com/office/excel/2006/main">
          <x14:cfRule type="expression" priority="283782" id="{6CDDFE3E-6706-49F3-AA3C-26E2BF9D73B3}">
            <xm:f>Calculs!B1531&lt;&gt;""</xm:f>
            <x14:dxf>
              <border>
                <top style="thin">
                  <color rgb="FFFF0000"/>
                </top>
                <vertical/>
                <horizontal/>
              </border>
            </x14:dxf>
          </x14:cfRule>
          <xm:sqref>D1155 B1155 F1155 H1155 F1147 H1147 B1147 D1147</xm:sqref>
        </x14:conditionalFormatting>
        <x14:conditionalFormatting xmlns:xm="http://schemas.microsoft.com/office/excel/2006/main">
          <x14:cfRule type="expression" priority="284253" id="{A7186BC3-358F-4958-8BAB-1B6701711F9D}">
            <xm:f>Calculs!B1531&lt;&gt;""</xm:f>
            <x14:dxf>
              <border>
                <bottom style="thin">
                  <color rgb="FFFF0000"/>
                </bottom>
                <vertical/>
                <horizontal/>
              </border>
            </x14:dxf>
          </x14:cfRule>
          <xm:sqref>D1159 B1159 F1159 H1159 F1151 H1151 B1151 D1151</xm:sqref>
        </x14:conditionalFormatting>
        <x14:conditionalFormatting xmlns:xm="http://schemas.microsoft.com/office/excel/2006/main">
          <x14:cfRule type="expression" priority="284720" id="{51F54783-7A41-47BC-9B58-85EBA65CA6EB}">
            <xm:f>Calculs!D1531&lt;&gt;""</xm:f>
            <x14:dxf>
              <fill>
                <patternFill>
                  <bgColor theme="0" tint="-0.24994659260841701"/>
                </patternFill>
              </fill>
            </x14:dxf>
          </x14:cfRule>
          <xm:sqref>C1155:C1159 E1155:E1159 G1155:G1159 E1147:E1151 G1147:G1151 C1147:C1151</xm:sqref>
        </x14:conditionalFormatting>
        <x14:conditionalFormatting xmlns:xm="http://schemas.microsoft.com/office/excel/2006/main">
          <x14:cfRule type="expression" priority="285061" id="{6B52E6F6-7CAF-4C4D-8236-7017D2EBA393}">
            <xm:f>Calculs!B1539&lt;&gt;""</xm:f>
            <x14:dxf>
              <fill>
                <patternFill>
                  <bgColor theme="0" tint="-0.24994659260841701"/>
                </patternFill>
              </fill>
            </x14:dxf>
          </x14:cfRule>
          <xm:sqref>I1155:I1159 I1147:I1151</xm:sqref>
        </x14:conditionalFormatting>
        <x14:conditionalFormatting xmlns:xm="http://schemas.microsoft.com/office/excel/2006/main">
          <x14:cfRule type="expression" priority="285137" id="{40975834-13E7-48F0-8218-DBA286DC3D4E}">
            <xm:f>Calculs!B1531&lt;&gt;""</xm:f>
            <x14:dxf>
              <fill>
                <patternFill>
                  <bgColor rgb="FF0000FF"/>
                </patternFill>
              </fill>
              <border>
                <left style="thin">
                  <color rgb="FFFF0000"/>
                </left>
                <right style="thin">
                  <color rgb="FFFF0000"/>
                </right>
                <vertical/>
                <horizontal/>
              </border>
            </x14:dxf>
          </x14:cfRule>
          <xm:sqref>B1147:B1151 D1147:D1151</xm:sqref>
        </x14:conditionalFormatting>
        <x14:conditionalFormatting xmlns:xm="http://schemas.microsoft.com/office/excel/2006/main">
          <x14:cfRule type="expression" priority="287179" id="{C9A287EB-8A12-4865-AF04-B92FD38265CC}">
            <xm:f>Calculs!B1559&lt;&gt;""</xm:f>
            <x14:dxf>
              <fill>
                <patternFill>
                  <bgColor rgb="FF0000FF"/>
                </patternFill>
              </fill>
              <border>
                <left style="thin">
                  <color rgb="FFFF0000"/>
                </left>
                <right style="thin">
                  <color rgb="FFFF0000"/>
                </right>
                <top/>
                <bottom/>
                <vertical/>
                <horizontal/>
              </border>
            </x14:dxf>
          </x14:cfRule>
          <xm:sqref>D1175:D1179 B1175:B1179 F1175:F1179 H1175:H1179 F1167:F1171 H1167:H1171</xm:sqref>
        </x14:conditionalFormatting>
        <x14:conditionalFormatting xmlns:xm="http://schemas.microsoft.com/office/excel/2006/main">
          <x14:cfRule type="expression" priority="287560" id="{6CDDFE3E-6706-49F3-AA3C-26E2BF9D73B3}">
            <xm:f>Calculs!B1559&lt;&gt;""</xm:f>
            <x14:dxf>
              <border>
                <top style="thin">
                  <color rgb="FFFF0000"/>
                </top>
                <vertical/>
                <horizontal/>
              </border>
            </x14:dxf>
          </x14:cfRule>
          <xm:sqref>D1175 B1175 F1175 H1175 F1167 H1167 B1167 D1167</xm:sqref>
        </x14:conditionalFormatting>
        <x14:conditionalFormatting xmlns:xm="http://schemas.microsoft.com/office/excel/2006/main">
          <x14:cfRule type="expression" priority="288019" id="{A7186BC3-358F-4958-8BAB-1B6701711F9D}">
            <xm:f>Calculs!B1559&lt;&gt;""</xm:f>
            <x14:dxf>
              <border>
                <bottom style="thin">
                  <color rgb="FFFF0000"/>
                </bottom>
                <vertical/>
                <horizontal/>
              </border>
            </x14:dxf>
          </x14:cfRule>
          <xm:sqref>D1179 B1179 F1179 H1179 F1171 H1171 B1171 D1171</xm:sqref>
        </x14:conditionalFormatting>
        <x14:conditionalFormatting xmlns:xm="http://schemas.microsoft.com/office/excel/2006/main">
          <x14:cfRule type="expression" priority="288476" id="{51F54783-7A41-47BC-9B58-85EBA65CA6EB}">
            <xm:f>Calculs!D1559&lt;&gt;""</xm:f>
            <x14:dxf>
              <fill>
                <patternFill>
                  <bgColor theme="0" tint="-0.24994659260841701"/>
                </patternFill>
              </fill>
            </x14:dxf>
          </x14:cfRule>
          <xm:sqref>C1175:C1179 E1175:E1179 G1175:G1179 E1167:E1171 G1167:G1171 C1167:C1171</xm:sqref>
        </x14:conditionalFormatting>
        <x14:conditionalFormatting xmlns:xm="http://schemas.microsoft.com/office/excel/2006/main">
          <x14:cfRule type="expression" priority="288814" id="{6B52E6F6-7CAF-4C4D-8236-7017D2EBA393}">
            <xm:f>Calculs!B1567&lt;&gt;""</xm:f>
            <x14:dxf>
              <fill>
                <patternFill>
                  <bgColor theme="0" tint="-0.24994659260841701"/>
                </patternFill>
              </fill>
            </x14:dxf>
          </x14:cfRule>
          <xm:sqref>I1175:I1179 I1167:I1171</xm:sqref>
        </x14:conditionalFormatting>
        <x14:conditionalFormatting xmlns:xm="http://schemas.microsoft.com/office/excel/2006/main">
          <x14:cfRule type="expression" priority="288890" id="{40975834-13E7-48F0-8218-DBA286DC3D4E}">
            <xm:f>Calculs!B1559&lt;&gt;""</xm:f>
            <x14:dxf>
              <fill>
                <patternFill>
                  <bgColor rgb="FF0000FF"/>
                </patternFill>
              </fill>
              <border>
                <left style="thin">
                  <color rgb="FFFF0000"/>
                </left>
                <right style="thin">
                  <color rgb="FFFF0000"/>
                </right>
                <vertical/>
                <horizontal/>
              </border>
            </x14:dxf>
          </x14:cfRule>
          <xm:sqref>B1167:B1171 D1167:D1171</xm:sqref>
        </x14:conditionalFormatting>
        <x14:conditionalFormatting xmlns:xm="http://schemas.microsoft.com/office/excel/2006/main">
          <x14:cfRule type="expression" priority="290923" id="{C9A287EB-8A12-4865-AF04-B92FD38265CC}">
            <xm:f>Calculs!B1587&lt;&gt;""</xm:f>
            <x14:dxf>
              <fill>
                <patternFill>
                  <bgColor rgb="FF0000FF"/>
                </patternFill>
              </fill>
              <border>
                <left style="thin">
                  <color rgb="FFFF0000"/>
                </left>
                <right style="thin">
                  <color rgb="FFFF0000"/>
                </right>
                <top/>
                <bottom/>
                <vertical/>
                <horizontal/>
              </border>
            </x14:dxf>
          </x14:cfRule>
          <xm:sqref>D1203:D1207 D1195:D1199 B1195:B1199 F1195:F1199 H1195:H1199 F1187:F1191 H1187:H1191 B1203:B1207 F1203:F1207 H1203:H1207 D1231:D1235 D1223:D1227 B1223:B1227 F1223:F1227 H1223:H1227 F1215:F1219 H1215:H1219 B1231:B1235 F1231:F1235 H1231:H1235 D1259:D1263 D1251:D1255 B1251:B1255 F1251:F1255 H1251:H1255 F1243:F1247 H1243:H1247 B1259:B1263 F1259:F1263 H1259:H1263 D1287:D1291 D1279:D1283 B1279:B1283 F1279:F1283 H1279:H1283 F1271:F1275 H1271:H1275 B1287:B1291 F1287:F1291 H1287:H1291 F1301:F1305 H1301:H1305</xm:sqref>
        </x14:conditionalFormatting>
        <x14:conditionalFormatting xmlns:xm="http://schemas.microsoft.com/office/excel/2006/main">
          <x14:cfRule type="expression" priority="291290" id="{6CDDFE3E-6706-49F3-AA3C-26E2BF9D73B3}">
            <xm:f>Calculs!B1587&lt;&gt;""</xm:f>
            <x14:dxf>
              <border>
                <top style="thin">
                  <color rgb="FFFF0000"/>
                </top>
                <vertical/>
                <horizontal/>
              </border>
            </x14:dxf>
          </x14:cfRule>
          <xm:sqref>D1203 D1195 B1195 F1195 H1195 F1187 H1187 B1203 F1203 H1203 B1187 D1187 D1231 D1223 B1223 F1223 H1223 F1215 H1215 B1231 F1231 H1231 D1259 D1251 B1251 F1251 H1251 F1243 H1243 B1259 F1259 H1259 D1287 D1279 B1279 F1279 H1279 F1271 H1271 B1287 F1287 H1287 B1215 D1215 B1243 D1243 B1271 D1271 F1301 H1301 B1301 D1301</xm:sqref>
        </x14:conditionalFormatting>
        <x14:conditionalFormatting xmlns:xm="http://schemas.microsoft.com/office/excel/2006/main">
          <x14:cfRule type="expression" priority="291733" id="{A7186BC3-358F-4958-8BAB-1B6701711F9D}">
            <xm:f>Calculs!B1587&lt;&gt;""</xm:f>
            <x14:dxf>
              <border>
                <bottom style="thin">
                  <color rgb="FFFF0000"/>
                </bottom>
                <vertical/>
                <horizontal/>
              </border>
            </x14:dxf>
          </x14:cfRule>
          <xm:sqref>D1207 D1199 B1199 F1199 H1199 F1191 H1191 B1207 F1207 H1207 B1191 D1191 D1235 D1227 B1227 F1227 H1227 F1219 H1219 B1235 F1235 H1235 D1263 D1255 B1255 F1255 H1255 F1247 H1247 B1263 F1263 H1263 D1291 D1283 B1283 F1283 H1283 F1275 H1275 B1291 F1291 H1291 B1219 D1219 B1247 D1247 B1275 D1275 F1305 H1305 B1305 D1305</xm:sqref>
        </x14:conditionalFormatting>
        <x14:conditionalFormatting xmlns:xm="http://schemas.microsoft.com/office/excel/2006/main">
          <x14:cfRule type="expression" priority="292176" id="{51F54783-7A41-47BC-9B58-85EBA65CA6EB}">
            <xm:f>Calculs!D1587&lt;&gt;""</xm:f>
            <x14:dxf>
              <fill>
                <patternFill>
                  <bgColor theme="0" tint="-0.24994659260841701"/>
                </patternFill>
              </fill>
            </x14:dxf>
          </x14:cfRule>
          <xm:sqref>C1195:C1199 E1195:E1199 G1195:G1199 E1187:E1191 G1187:G1191 C1203:C1207 E1203:E1207 G1203:G1207 C1187:C1191 C1223:C1227 E1223:E1227 G1223:G1227 E1215:E1219 G1215:G1219 C1231:C1235 E1231:E1235 G1231:G1235 C1251:C1255 E1251:E1255 G1251:G1255 E1243:E1247 G1243:G1247 C1259:C1263 E1259:E1263 G1259:G1263 C1279:C1283 E1279:E1283 G1279:G1283 E1271:E1275 G1271:G1275 C1287:C1291 E1287:E1291 G1287:G1291 C1215:C1219 C1243:C1247 C1271:C1275 E1301:E1305 G1301:G1305 C1301:C1305</xm:sqref>
        </x14:conditionalFormatting>
        <x14:conditionalFormatting xmlns:xm="http://schemas.microsoft.com/office/excel/2006/main">
          <x14:cfRule type="expression" priority="292508" id="{6B52E6F6-7CAF-4C4D-8236-7017D2EBA393}">
            <xm:f>Calculs!B1595&lt;&gt;""</xm:f>
            <x14:dxf>
              <fill>
                <patternFill>
                  <bgColor theme="0" tint="-0.24994659260841701"/>
                </patternFill>
              </fill>
            </x14:dxf>
          </x14:cfRule>
          <xm:sqref>I1195:I1199 I1187:I1191 I1223:I1227 I1215:I1219 I1251:I1255 I1243:I1247 I1279:I1283 I1271:I1275 I1301:I1305</xm:sqref>
        </x14:conditionalFormatting>
        <x14:conditionalFormatting xmlns:xm="http://schemas.microsoft.com/office/excel/2006/main">
          <x14:cfRule type="expression" priority="292582" id="{40975834-13E7-48F0-8218-DBA286DC3D4E}">
            <xm:f>Calculs!B1587&lt;&gt;""</xm:f>
            <x14:dxf>
              <fill>
                <patternFill>
                  <bgColor rgb="FF0000FF"/>
                </patternFill>
              </fill>
              <border>
                <left style="thin">
                  <color rgb="FFFF0000"/>
                </left>
                <right style="thin">
                  <color rgb="FFFF0000"/>
                </right>
                <vertical/>
                <horizontal/>
              </border>
            </x14:dxf>
          </x14:cfRule>
          <xm:sqref>B1187:B1191 D1187:D1191 B1243:B1247 B1271:B1275 B1215:B1219 D1215:D1219 D1243:D1247 D1271:D1275 B1301:B1305 D1301:D1305</xm:sqref>
        </x14:conditionalFormatting>
        <x14:conditionalFormatting xmlns:xm="http://schemas.microsoft.com/office/excel/2006/main">
          <x14:cfRule type="expression" priority="292798" id="{72B28399-364C-4406-AC83-D3D4270DCA17}">
            <xm:f>Calculs!$B1709&lt;&gt;""</xm:f>
            <x14:dxf>
              <fill>
                <patternFill>
                  <bgColor theme="0" tint="-0.24994659260841701"/>
                </patternFill>
              </fill>
            </x14:dxf>
          </x14:cfRule>
          <xm:sqref>I1306</xm:sqref>
        </x14:conditionalFormatting>
        <x14:conditionalFormatting xmlns:xm="http://schemas.microsoft.com/office/excel/2006/main">
          <x14:cfRule type="expression" priority="294880" id="{C9A287EB-8A12-4865-AF04-B92FD38265CC}">
            <xm:f>Calculs!F1729&lt;&gt;""</xm:f>
            <x14:dxf>
              <fill>
                <patternFill>
                  <bgColor rgb="FF0000FF"/>
                </patternFill>
              </fill>
              <border>
                <left style="thin">
                  <color rgb="FFFF0000"/>
                </left>
                <right style="thin">
                  <color rgb="FFFF0000"/>
                </right>
                <top/>
                <bottom/>
                <vertical/>
                <horizontal/>
              </border>
            </x14:dxf>
          </x14:cfRule>
          <xm:sqref>F1313:F1317 H1313:H1317</xm:sqref>
        </x14:conditionalFormatting>
        <x14:conditionalFormatting xmlns:xm="http://schemas.microsoft.com/office/excel/2006/main">
          <x14:cfRule type="expression" priority="295197" id="{6CDDFE3E-6706-49F3-AA3C-26E2BF9D73B3}">
            <xm:f>Calculs!B1729&lt;&gt;""</xm:f>
            <x14:dxf>
              <border>
                <top style="thin">
                  <color rgb="FFFF0000"/>
                </top>
                <vertical/>
                <horizontal/>
              </border>
            </x14:dxf>
          </x14:cfRule>
          <xm:sqref>F1313 H1313 B1313 D1313</xm:sqref>
        </x14:conditionalFormatting>
        <x14:conditionalFormatting xmlns:xm="http://schemas.microsoft.com/office/excel/2006/main">
          <x14:cfRule type="expression" priority="295580" id="{A7186BC3-358F-4958-8BAB-1B6701711F9D}">
            <xm:f>Calculs!B1729&lt;&gt;""</xm:f>
            <x14:dxf>
              <border>
                <bottom style="thin">
                  <color rgb="FFFF0000"/>
                </bottom>
                <vertical/>
                <horizontal/>
              </border>
            </x14:dxf>
          </x14:cfRule>
          <xm:sqref>F1317 H1317 B1317 D1317</xm:sqref>
        </x14:conditionalFormatting>
        <x14:conditionalFormatting xmlns:xm="http://schemas.microsoft.com/office/excel/2006/main">
          <x14:cfRule type="expression" priority="295953" id="{51F54783-7A41-47BC-9B58-85EBA65CA6EB}">
            <xm:f>Calculs!D1729&lt;&gt;""</xm:f>
            <x14:dxf>
              <fill>
                <patternFill>
                  <bgColor theme="0" tint="-0.24994659260841701"/>
                </patternFill>
              </fill>
            </x14:dxf>
          </x14:cfRule>
          <xm:sqref>E1313:E1317 G1313:G1317 C1313:C1317</xm:sqref>
        </x14:conditionalFormatting>
        <x14:conditionalFormatting xmlns:xm="http://schemas.microsoft.com/office/excel/2006/main">
          <x14:cfRule type="expression" priority="296210" id="{6B52E6F6-7CAF-4C4D-8236-7017D2EBA393}">
            <xm:f>Calculs!B1737&lt;&gt;""</xm:f>
            <x14:dxf>
              <fill>
                <patternFill>
                  <bgColor theme="0" tint="-0.24994659260841701"/>
                </patternFill>
              </fill>
            </x14:dxf>
          </x14:cfRule>
          <xm:sqref>I1313:I1317</xm:sqref>
        </x14:conditionalFormatting>
        <x14:conditionalFormatting xmlns:xm="http://schemas.microsoft.com/office/excel/2006/main">
          <x14:cfRule type="expression" priority="296265" id="{40975834-13E7-48F0-8218-DBA286DC3D4E}">
            <xm:f>Calculs!B1729&lt;&gt;""</xm:f>
            <x14:dxf>
              <fill>
                <patternFill>
                  <bgColor rgb="FF0000FF"/>
                </patternFill>
              </fill>
              <border>
                <left style="thin">
                  <color rgb="FFFF0000"/>
                </left>
                <right style="thin">
                  <color rgb="FFFF0000"/>
                </right>
                <vertical/>
                <horizontal/>
              </border>
            </x14:dxf>
          </x14:cfRule>
          <xm:sqref>B1313:B1317 D1313:D1317</xm:sqref>
        </x14:conditionalFormatting>
        <x14:conditionalFormatting xmlns:xm="http://schemas.microsoft.com/office/excel/2006/main">
          <x14:cfRule type="expression" priority="296465" id="{72B28399-364C-4406-AC83-D3D4270DCA17}">
            <xm:f>Calculs!$B1737&lt;&gt;""</xm:f>
            <x14:dxf>
              <fill>
                <patternFill>
                  <bgColor theme="0" tint="-0.24994659260841701"/>
                </patternFill>
              </fill>
            </x14:dxf>
          </x14:cfRule>
          <xm:sqref>I1318</xm:sqref>
        </x14:conditionalFormatting>
        <x14:conditionalFormatting xmlns:xm="http://schemas.microsoft.com/office/excel/2006/main">
          <x14:cfRule type="expression" priority="298537" id="{C9A287EB-8A12-4865-AF04-B92FD38265CC}">
            <xm:f>Calculs!B1757&lt;&gt;""</xm:f>
            <x14:dxf>
              <fill>
                <patternFill>
                  <bgColor rgb="FF0000FF"/>
                </patternFill>
              </fill>
              <border>
                <left style="thin">
                  <color rgb="FFFF0000"/>
                </left>
                <right style="thin">
                  <color rgb="FFFF0000"/>
                </right>
                <top/>
                <bottom/>
                <vertical/>
                <horizontal/>
              </border>
            </x14:dxf>
          </x14:cfRule>
          <xm:sqref>D1333:D1337 B1333:B1337 F1333:F1337 H1333:H1337 F1325:F1329 H1325:H1329</xm:sqref>
        </x14:conditionalFormatting>
        <x14:conditionalFormatting xmlns:xm="http://schemas.microsoft.com/office/excel/2006/main">
          <x14:cfRule type="expression" priority="298848" id="{6CDDFE3E-6706-49F3-AA3C-26E2BF9D73B3}">
            <xm:f>Calculs!B1757&lt;&gt;""</xm:f>
            <x14:dxf>
              <border>
                <top style="thin">
                  <color rgb="FFFF0000"/>
                </top>
                <vertical/>
                <horizontal/>
              </border>
            </x14:dxf>
          </x14:cfRule>
          <xm:sqref>D1333 B1333 F1333 H1333 F1325 H1325 B1325 D1325</xm:sqref>
        </x14:conditionalFormatting>
        <x14:conditionalFormatting xmlns:xm="http://schemas.microsoft.com/office/excel/2006/main">
          <x14:cfRule type="expression" priority="299223" id="{A7186BC3-358F-4958-8BAB-1B6701711F9D}">
            <xm:f>Calculs!B1757&lt;&gt;""</xm:f>
            <x14:dxf>
              <border>
                <bottom style="thin">
                  <color rgb="FFFF0000"/>
                </bottom>
                <vertical/>
                <horizontal/>
              </border>
            </x14:dxf>
          </x14:cfRule>
          <xm:sqref>D1337 B1337 F1337 H1337 F1329 H1329 B1329 D1329</xm:sqref>
        </x14:conditionalFormatting>
        <x14:conditionalFormatting xmlns:xm="http://schemas.microsoft.com/office/excel/2006/main">
          <x14:cfRule type="expression" priority="299590" id="{51F54783-7A41-47BC-9B58-85EBA65CA6EB}">
            <xm:f>Calculs!D1757&lt;&gt;""</xm:f>
            <x14:dxf>
              <fill>
                <patternFill>
                  <bgColor theme="0" tint="-0.24994659260841701"/>
                </patternFill>
              </fill>
            </x14:dxf>
          </x14:cfRule>
          <xm:sqref>C1333:C1337 E1333:E1337 G1333:G1337 E1325:E1329 G1325:G1329 C1325:C1329</xm:sqref>
        </x14:conditionalFormatting>
        <x14:conditionalFormatting xmlns:xm="http://schemas.microsoft.com/office/excel/2006/main">
          <x14:cfRule type="expression" priority="299847" id="{6B52E6F6-7CAF-4C4D-8236-7017D2EBA393}">
            <xm:f>Calculs!B1765&lt;&gt;""</xm:f>
            <x14:dxf>
              <fill>
                <patternFill>
                  <bgColor theme="0" tint="-0.24994659260841701"/>
                </patternFill>
              </fill>
            </x14:dxf>
          </x14:cfRule>
          <xm:sqref>I1333:I1337 I1325:I1329</xm:sqref>
        </x14:conditionalFormatting>
        <x14:conditionalFormatting xmlns:xm="http://schemas.microsoft.com/office/excel/2006/main">
          <x14:cfRule type="expression" priority="299903" id="{40975834-13E7-48F0-8218-DBA286DC3D4E}">
            <xm:f>Calculs!B1757&lt;&gt;""</xm:f>
            <x14:dxf>
              <fill>
                <patternFill>
                  <bgColor rgb="FF0000FF"/>
                </patternFill>
              </fill>
              <border>
                <left style="thin">
                  <color rgb="FFFF0000"/>
                </left>
                <right style="thin">
                  <color rgb="FFFF0000"/>
                </right>
                <vertical/>
                <horizontal/>
              </border>
            </x14:dxf>
          </x14:cfRule>
          <xm:sqref>B1325:B1329 D1325:D1329</xm:sqref>
        </x14:conditionalFormatting>
        <x14:conditionalFormatting xmlns:xm="http://schemas.microsoft.com/office/excel/2006/main">
          <x14:cfRule type="expression" priority="299982" id="{72B28399-364C-4406-AC83-D3D4270DCA17}">
            <xm:f>Calculs!$B1765&lt;&gt;""</xm:f>
            <x14:dxf>
              <fill>
                <patternFill>
                  <bgColor theme="0" tint="-0.24994659260841701"/>
                </patternFill>
              </fill>
            </x14:dxf>
          </x14:cfRule>
          <xm:sqref>C1331:H1331 B1331:B1332 I1330:I1331 I1338</xm:sqref>
        </x14:conditionalFormatting>
        <x14:conditionalFormatting xmlns:xm="http://schemas.microsoft.com/office/excel/2006/main">
          <x14:cfRule type="expression" priority="302044" id="{C9A287EB-8A12-4865-AF04-B92FD38265CC}">
            <xm:f>Calculs!B1785&lt;&gt;""</xm:f>
            <x14:dxf>
              <fill>
                <patternFill>
                  <bgColor rgb="FF0000FF"/>
                </patternFill>
              </fill>
              <border>
                <left style="thin">
                  <color rgb="FFFF0000"/>
                </left>
                <right style="thin">
                  <color rgb="FFFF0000"/>
                </right>
                <top/>
                <bottom/>
                <vertical/>
                <horizontal/>
              </border>
            </x14:dxf>
          </x14:cfRule>
          <xm:sqref>D1353:D1357 B1353:B1357 F1353:F1357 H1353:H1357 F1345:F1349 H1345:H1349</xm:sqref>
        </x14:conditionalFormatting>
        <x14:conditionalFormatting xmlns:xm="http://schemas.microsoft.com/office/excel/2006/main">
          <x14:cfRule type="expression" priority="302345" id="{6CDDFE3E-6706-49F3-AA3C-26E2BF9D73B3}">
            <xm:f>Calculs!B1785&lt;&gt;""</xm:f>
            <x14:dxf>
              <border>
                <top style="thin">
                  <color rgb="FFFF0000"/>
                </top>
                <vertical/>
                <horizontal/>
              </border>
            </x14:dxf>
          </x14:cfRule>
          <xm:sqref>D1353 B1353 F1353 H1353 F1345 H1345 B1345 D1345</xm:sqref>
        </x14:conditionalFormatting>
        <x14:conditionalFormatting xmlns:xm="http://schemas.microsoft.com/office/excel/2006/main">
          <x14:cfRule type="expression" priority="302708" id="{A7186BC3-358F-4958-8BAB-1B6701711F9D}">
            <xm:f>Calculs!B1785&lt;&gt;""</xm:f>
            <x14:dxf>
              <border>
                <bottom style="thin">
                  <color rgb="FFFF0000"/>
                </bottom>
                <vertical/>
                <horizontal/>
              </border>
            </x14:dxf>
          </x14:cfRule>
          <xm:sqref>D1357 B1357 F1357 H1357 F1349 H1349 B1349 D1349</xm:sqref>
        </x14:conditionalFormatting>
        <x14:conditionalFormatting xmlns:xm="http://schemas.microsoft.com/office/excel/2006/main">
          <x14:cfRule type="expression" priority="303065" id="{51F54783-7A41-47BC-9B58-85EBA65CA6EB}">
            <xm:f>Calculs!D1785&lt;&gt;""</xm:f>
            <x14:dxf>
              <fill>
                <patternFill>
                  <bgColor theme="0" tint="-0.24994659260841701"/>
                </patternFill>
              </fill>
            </x14:dxf>
          </x14:cfRule>
          <xm:sqref>C1353:C1357 E1353:E1357 G1353:G1357 E1345:E1349 G1345:G1349 C1345:C1349</xm:sqref>
        </x14:conditionalFormatting>
        <x14:conditionalFormatting xmlns:xm="http://schemas.microsoft.com/office/excel/2006/main">
          <x14:cfRule type="expression" priority="303319" id="{6B52E6F6-7CAF-4C4D-8236-7017D2EBA393}">
            <xm:f>Calculs!B1793&lt;&gt;""</xm:f>
            <x14:dxf>
              <fill>
                <patternFill>
                  <bgColor theme="0" tint="-0.24994659260841701"/>
                </patternFill>
              </fill>
            </x14:dxf>
          </x14:cfRule>
          <xm:sqref>I1353:I1357 I1345:I1349</xm:sqref>
        </x14:conditionalFormatting>
        <x14:conditionalFormatting xmlns:xm="http://schemas.microsoft.com/office/excel/2006/main">
          <x14:cfRule type="expression" priority="303375" id="{40975834-13E7-48F0-8218-DBA286DC3D4E}">
            <xm:f>Calculs!B1785&lt;&gt;""</xm:f>
            <x14:dxf>
              <fill>
                <patternFill>
                  <bgColor rgb="FF0000FF"/>
                </patternFill>
              </fill>
              <border>
                <left style="thin">
                  <color rgb="FFFF0000"/>
                </left>
                <right style="thin">
                  <color rgb="FFFF0000"/>
                </right>
                <vertical/>
                <horizontal/>
              </border>
            </x14:dxf>
          </x14:cfRule>
          <xm:sqref>B1345:B1349 D1345:D1349</xm:sqref>
        </x14:conditionalFormatting>
        <x14:conditionalFormatting xmlns:xm="http://schemas.microsoft.com/office/excel/2006/main">
          <x14:cfRule type="expression" priority="303448" id="{72B28399-364C-4406-AC83-D3D4270DCA17}">
            <xm:f>Calculs!$B1793&lt;&gt;""</xm:f>
            <x14:dxf>
              <fill>
                <patternFill>
                  <bgColor theme="0" tint="-0.24994659260841701"/>
                </patternFill>
              </fill>
            </x14:dxf>
          </x14:cfRule>
          <xm:sqref>C1351:H1351 B1351:B1352 I1350:I1351 I1358</xm:sqref>
        </x14:conditionalFormatting>
        <x14:conditionalFormatting xmlns:xm="http://schemas.microsoft.com/office/excel/2006/main">
          <x14:cfRule type="expression" priority="305500" id="{C9A287EB-8A12-4865-AF04-B92FD38265CC}">
            <xm:f>Calculs!B1813&lt;&gt;""</xm:f>
            <x14:dxf>
              <fill>
                <patternFill>
                  <bgColor rgb="FF0000FF"/>
                </patternFill>
              </fill>
              <border>
                <left style="thin">
                  <color rgb="FFFF0000"/>
                </left>
                <right style="thin">
                  <color rgb="FFFF0000"/>
                </right>
                <top/>
                <bottom/>
                <vertical/>
                <horizontal/>
              </border>
            </x14:dxf>
          </x14:cfRule>
          <xm:sqref>D1373:D1377 B1373:B1377 F1373:F1377 H1373:H1377 F1365:F1369 H1365:H1369</xm:sqref>
        </x14:conditionalFormatting>
        <x14:conditionalFormatting xmlns:xm="http://schemas.microsoft.com/office/excel/2006/main">
          <x14:cfRule type="expression" priority="305791" id="{6CDDFE3E-6706-49F3-AA3C-26E2BF9D73B3}">
            <xm:f>Calculs!B1813&lt;&gt;""</xm:f>
            <x14:dxf>
              <border>
                <top style="thin">
                  <color rgb="FFFF0000"/>
                </top>
                <vertical/>
                <horizontal/>
              </border>
            </x14:dxf>
          </x14:cfRule>
          <xm:sqref>D1373 B1373 F1373 H1373 F1365 H1365 B1365 D1365</xm:sqref>
        </x14:conditionalFormatting>
        <x14:conditionalFormatting xmlns:xm="http://schemas.microsoft.com/office/excel/2006/main">
          <x14:cfRule type="expression" priority="306142" id="{A7186BC3-358F-4958-8BAB-1B6701711F9D}">
            <xm:f>Calculs!B1813&lt;&gt;""</xm:f>
            <x14:dxf>
              <border>
                <bottom style="thin">
                  <color rgb="FFFF0000"/>
                </bottom>
                <vertical/>
                <horizontal/>
              </border>
            </x14:dxf>
          </x14:cfRule>
          <xm:sqref>D1377 B1377 F1377 H1377 F1369 H1369 B1369 D1369</xm:sqref>
        </x14:conditionalFormatting>
        <x14:conditionalFormatting xmlns:xm="http://schemas.microsoft.com/office/excel/2006/main">
          <x14:cfRule type="expression" priority="306489" id="{51F54783-7A41-47BC-9B58-85EBA65CA6EB}">
            <xm:f>Calculs!D1813&lt;&gt;""</xm:f>
            <x14:dxf>
              <fill>
                <patternFill>
                  <bgColor theme="0" tint="-0.24994659260841701"/>
                </patternFill>
              </fill>
            </x14:dxf>
          </x14:cfRule>
          <xm:sqref>C1373:C1377 E1373:E1377 G1373:G1377 E1365:E1369 G1365:G1369 C1365:C1369</xm:sqref>
        </x14:conditionalFormatting>
        <x14:conditionalFormatting xmlns:xm="http://schemas.microsoft.com/office/excel/2006/main">
          <x14:cfRule type="expression" priority="306740" id="{6B52E6F6-7CAF-4C4D-8236-7017D2EBA393}">
            <xm:f>Calculs!B1821&lt;&gt;""</xm:f>
            <x14:dxf>
              <fill>
                <patternFill>
                  <bgColor theme="0" tint="-0.24994659260841701"/>
                </patternFill>
              </fill>
            </x14:dxf>
          </x14:cfRule>
          <xm:sqref>I1373:I1377 I1365:I1369</xm:sqref>
        </x14:conditionalFormatting>
        <x14:conditionalFormatting xmlns:xm="http://schemas.microsoft.com/office/excel/2006/main">
          <x14:cfRule type="expression" priority="306796" id="{40975834-13E7-48F0-8218-DBA286DC3D4E}">
            <xm:f>Calculs!B1813&lt;&gt;""</xm:f>
            <x14:dxf>
              <fill>
                <patternFill>
                  <bgColor rgb="FF0000FF"/>
                </patternFill>
              </fill>
              <border>
                <left style="thin">
                  <color rgb="FFFF0000"/>
                </left>
                <right style="thin">
                  <color rgb="FFFF0000"/>
                </right>
                <vertical/>
                <horizontal/>
              </border>
            </x14:dxf>
          </x14:cfRule>
          <xm:sqref>B1365:B1369 D1365:D1369</xm:sqref>
        </x14:conditionalFormatting>
        <x14:conditionalFormatting xmlns:xm="http://schemas.microsoft.com/office/excel/2006/main">
          <x14:cfRule type="expression" priority="306863" id="{72B28399-364C-4406-AC83-D3D4270DCA17}">
            <xm:f>Calculs!$B1821&lt;&gt;""</xm:f>
            <x14:dxf>
              <fill>
                <patternFill>
                  <bgColor theme="0" tint="-0.24994659260841701"/>
                </patternFill>
              </fill>
            </x14:dxf>
          </x14:cfRule>
          <xm:sqref>C1371:H1371 B1371:B1372 I1370:I1371 I1378</xm:sqref>
        </x14:conditionalFormatting>
        <x14:conditionalFormatting xmlns:xm="http://schemas.microsoft.com/office/excel/2006/main">
          <x14:cfRule type="expression" priority="308905" id="{C9A287EB-8A12-4865-AF04-B92FD38265CC}">
            <xm:f>Calculs!B1841&lt;&gt;""</xm:f>
            <x14:dxf>
              <fill>
                <patternFill>
                  <bgColor rgb="FF0000FF"/>
                </patternFill>
              </fill>
              <border>
                <left style="thin">
                  <color rgb="FFFF0000"/>
                </left>
                <right style="thin">
                  <color rgb="FFFF0000"/>
                </right>
                <top/>
                <bottom/>
                <vertical/>
                <horizontal/>
              </border>
            </x14:dxf>
          </x14:cfRule>
          <xm:sqref>D1393:D1397 B1393:B1397 F1393:F1397 H1393:H1397 F1385:F1389 H1385:H1389</xm:sqref>
        </x14:conditionalFormatting>
        <x14:conditionalFormatting xmlns:xm="http://schemas.microsoft.com/office/excel/2006/main">
          <x14:cfRule type="expression" priority="309186" id="{6CDDFE3E-6706-49F3-AA3C-26E2BF9D73B3}">
            <xm:f>Calculs!B1841&lt;&gt;""</xm:f>
            <x14:dxf>
              <border>
                <top style="thin">
                  <color rgb="FFFF0000"/>
                </top>
                <vertical/>
                <horizontal/>
              </border>
            </x14:dxf>
          </x14:cfRule>
          <xm:sqref>D1393 B1393 F1393 H1393 F1385 H1385 B1385 D1385</xm:sqref>
        </x14:conditionalFormatting>
        <x14:conditionalFormatting xmlns:xm="http://schemas.microsoft.com/office/excel/2006/main">
          <x14:cfRule type="expression" priority="309525" id="{A7186BC3-358F-4958-8BAB-1B6701711F9D}">
            <xm:f>Calculs!B1841&lt;&gt;""</xm:f>
            <x14:dxf>
              <border>
                <bottom style="thin">
                  <color rgb="FFFF0000"/>
                </bottom>
                <vertical/>
                <horizontal/>
              </border>
            </x14:dxf>
          </x14:cfRule>
          <xm:sqref>D1397 B1397 F1397 H1397 F1389 H1389 B1389 D1389</xm:sqref>
        </x14:conditionalFormatting>
        <x14:conditionalFormatting xmlns:xm="http://schemas.microsoft.com/office/excel/2006/main">
          <x14:cfRule type="expression" priority="309862" id="{51F54783-7A41-47BC-9B58-85EBA65CA6EB}">
            <xm:f>Calculs!D1841&lt;&gt;""</xm:f>
            <x14:dxf>
              <fill>
                <patternFill>
                  <bgColor theme="0" tint="-0.24994659260841701"/>
                </patternFill>
              </fill>
            </x14:dxf>
          </x14:cfRule>
          <xm:sqref>C1393:C1397 E1393:E1397 G1393:G1397 E1385:E1389 G1385:G1389 C1385:C1389</xm:sqref>
        </x14:conditionalFormatting>
        <x14:conditionalFormatting xmlns:xm="http://schemas.microsoft.com/office/excel/2006/main">
          <x14:cfRule type="expression" priority="310110" id="{6B52E6F6-7CAF-4C4D-8236-7017D2EBA393}">
            <xm:f>Calculs!B1849&lt;&gt;""</xm:f>
            <x14:dxf>
              <fill>
                <patternFill>
                  <bgColor theme="0" tint="-0.24994659260841701"/>
                </patternFill>
              </fill>
            </x14:dxf>
          </x14:cfRule>
          <xm:sqref>I1393:I1397 I1385:I1389</xm:sqref>
        </x14:conditionalFormatting>
        <x14:conditionalFormatting xmlns:xm="http://schemas.microsoft.com/office/excel/2006/main">
          <x14:cfRule type="expression" priority="310166" id="{40975834-13E7-48F0-8218-DBA286DC3D4E}">
            <xm:f>Calculs!B1841&lt;&gt;""</xm:f>
            <x14:dxf>
              <fill>
                <patternFill>
                  <bgColor rgb="FF0000FF"/>
                </patternFill>
              </fill>
              <border>
                <left style="thin">
                  <color rgb="FFFF0000"/>
                </left>
                <right style="thin">
                  <color rgb="FFFF0000"/>
                </right>
                <vertical/>
                <horizontal/>
              </border>
            </x14:dxf>
          </x14:cfRule>
          <xm:sqref>B1385:B1389 D1385:D1389</xm:sqref>
        </x14:conditionalFormatting>
        <x14:conditionalFormatting xmlns:xm="http://schemas.microsoft.com/office/excel/2006/main">
          <x14:cfRule type="expression" priority="310227" id="{72B28399-364C-4406-AC83-D3D4270DCA17}">
            <xm:f>Calculs!$B1849&lt;&gt;""</xm:f>
            <x14:dxf>
              <fill>
                <patternFill>
                  <bgColor theme="0" tint="-0.24994659260841701"/>
                </patternFill>
              </fill>
            </x14:dxf>
          </x14:cfRule>
          <xm:sqref>C1391:H1391 B1391:B1392 I1390:I1391 I1398</xm:sqref>
        </x14:conditionalFormatting>
        <x14:conditionalFormatting xmlns:xm="http://schemas.microsoft.com/office/excel/2006/main">
          <x14:cfRule type="expression" priority="312260" id="{C9A287EB-8A12-4865-AF04-B92FD38265CC}">
            <xm:f>Calculs!B1869&lt;&gt;""</xm:f>
            <x14:dxf>
              <fill>
                <patternFill>
                  <bgColor rgb="FF0000FF"/>
                </patternFill>
              </fill>
              <border>
                <left style="thin">
                  <color rgb="FFFF0000"/>
                </left>
                <right style="thin">
                  <color rgb="FFFF0000"/>
                </right>
                <top/>
                <bottom/>
                <vertical/>
                <horizontal/>
              </border>
            </x14:dxf>
          </x14:cfRule>
          <xm:sqref>D1421:D1425 D1413:D1417 B1413:B1417 F1413:F1417 H1413:H1417 F1405:F1409 H1405:H1409 B1421:B1425 F1421:F1425 H1421:H1425 D1449:D1453 D1441:D1445 B1441:B1445 F1441:F1445 H1441:H1445 F1433:F1437 H1433:H1437 B1449:B1453 F1449:F1453 H1449:H1453 D1477:D1481 D1469:D1473 B1469:B1473 F1469:F1473 H1469:H1473 F1461:F1465 H1461:H1465 B1477:B1481 F1477:F1481 H1477:H1481 D1505:D1509 D1497:D1501 B1497:B1501 F1497:F1501 H1497:H1501 F1489:F1493 H1489:H1493 B1505:B1509 F1505:F1509 H1505:H1509 F1519:F1523 H1519:H1523</xm:sqref>
        </x14:conditionalFormatting>
        <x14:conditionalFormatting xmlns:xm="http://schemas.microsoft.com/office/excel/2006/main">
          <x14:cfRule type="expression" priority="312527" id="{6CDDFE3E-6706-49F3-AA3C-26E2BF9D73B3}">
            <xm:f>Calculs!B1869&lt;&gt;""</xm:f>
            <x14:dxf>
              <border>
                <top style="thin">
                  <color rgb="FFFF0000"/>
                </top>
                <vertical/>
                <horizontal/>
              </border>
            </x14:dxf>
          </x14:cfRule>
          <xm:sqref>D1421 D1413 B1413 F1413 H1413 F1405 H1405 B1421 F1421 H1421 B1405 D1405 D1449 D1441 B1441 F1441 H1441 F1433 H1433 B1449 F1449 H1449 D1477 D1469 B1469 F1469 H1469 F1461 H1461 B1477 F1477 H1477 D1505 D1497 B1497 F1497 H1497 F1489 H1489 B1505 F1505 H1505 B1433 D1433 B1461 D1461 B1489 D1489 F1519 H1519 B1519 D1519</xm:sqref>
        </x14:conditionalFormatting>
        <x14:conditionalFormatting xmlns:xm="http://schemas.microsoft.com/office/excel/2006/main">
          <x14:cfRule type="expression" priority="312850" id="{A7186BC3-358F-4958-8BAB-1B6701711F9D}">
            <xm:f>Calculs!B1869&lt;&gt;""</xm:f>
            <x14:dxf>
              <border>
                <bottom style="thin">
                  <color rgb="FFFF0000"/>
                </bottom>
                <vertical/>
                <horizontal/>
              </border>
            </x14:dxf>
          </x14:cfRule>
          <xm:sqref>D1425 D1417 B1417 F1417 H1417 F1409 H1409 B1425 F1425 H1425 B1409 D1409 D1453 D1445 B1445 F1445 H1445 F1437 H1437 B1453 F1453 H1453 D1481 D1473 B1473 F1473 H1473 F1465 H1465 B1481 F1481 H1481 D1509 D1501 B1501 F1501 H1501 F1493 H1493 B1509 F1509 H1509 B1437 D1437 B1465 D1465 B1493 D1493 F1523 H1523 B1523 D1523</xm:sqref>
        </x14:conditionalFormatting>
        <x14:conditionalFormatting xmlns:xm="http://schemas.microsoft.com/office/excel/2006/main">
          <x14:cfRule type="expression" priority="313173" id="{51F54783-7A41-47BC-9B58-85EBA65CA6EB}">
            <xm:f>Calculs!D1869&lt;&gt;""</xm:f>
            <x14:dxf>
              <fill>
                <patternFill>
                  <bgColor theme="0" tint="-0.24994659260841701"/>
                </patternFill>
              </fill>
            </x14:dxf>
          </x14:cfRule>
          <xm:sqref>C1413:C1417 E1413:E1417 G1413:G1417 E1405:E1409 G1405:G1409 C1421:C1425 E1421:E1425 G1421:G1425 C1405:C1409 C1441:C1445 E1441:E1445 G1441:G1445 E1433:E1437 G1433:G1437 C1449:C1453 E1449:E1453 G1449:G1453 C1469:C1473 E1469:E1473 G1469:G1473 E1461:E1465 G1461:G1465 C1477:C1481 E1477:E1481 G1477:G1481 C1497:C1501 E1497:E1501 G1497:G1501 E1489:E1493 G1489:G1493 C1505:C1509 E1505:E1509 G1505:G1509 C1433:C1437 C1461:C1465 C1489:C1493 E1519:E1523 G1519:G1523 C1519:C1523</xm:sqref>
        </x14:conditionalFormatting>
        <x14:conditionalFormatting xmlns:xm="http://schemas.microsoft.com/office/excel/2006/main">
          <x14:cfRule type="expression" priority="313415" id="{6B52E6F6-7CAF-4C4D-8236-7017D2EBA393}">
            <xm:f>Calculs!B1877&lt;&gt;""</xm:f>
            <x14:dxf>
              <fill>
                <patternFill>
                  <bgColor theme="0" tint="-0.24994659260841701"/>
                </patternFill>
              </fill>
            </x14:dxf>
          </x14:cfRule>
          <xm:sqref>I1413:I1417 I1405:I1409 I1441:I1445 I1433:I1437 I1469:I1473 I1461:I1465 I1497:I1501 I1489:I1493 I1519:I1523</xm:sqref>
        </x14:conditionalFormatting>
        <x14:conditionalFormatting xmlns:xm="http://schemas.microsoft.com/office/excel/2006/main">
          <x14:cfRule type="expression" priority="313469" id="{40975834-13E7-48F0-8218-DBA286DC3D4E}">
            <xm:f>Calculs!B1869&lt;&gt;""</xm:f>
            <x14:dxf>
              <fill>
                <patternFill>
                  <bgColor rgb="FF0000FF"/>
                </patternFill>
              </fill>
              <border>
                <left style="thin">
                  <color rgb="FFFF0000"/>
                </left>
                <right style="thin">
                  <color rgb="FFFF0000"/>
                </right>
                <vertical/>
                <horizontal/>
              </border>
            </x14:dxf>
          </x14:cfRule>
          <xm:sqref>B1405:B1409 D1405:D1409 B1461:B1465 B1489:B1493 B1433:B1437 D1433:D1437 D1461:D1465 D1489:D1493 B1519:B1523 D1519:D1523</xm:sqref>
        </x14:conditionalFormatting>
        <x14:conditionalFormatting xmlns:xm="http://schemas.microsoft.com/office/excel/2006/main">
          <x14:cfRule type="expression" priority="313524" id="{72B28399-364C-4406-AC83-D3D4270DCA17}">
            <xm:f>Calculs!$B1877&lt;&gt;""</xm:f>
            <x14:dxf>
              <fill>
                <patternFill>
                  <bgColor theme="0" tint="-0.24994659260841701"/>
                </patternFill>
              </fill>
            </x14:dxf>
          </x14:cfRule>
          <xm:sqref>I1410:I1411 C1411:H1411 B1411:B1412 C1419:H1419 B1419:B1420 C1467:I1467 I1466 C1475:I1475 I1474 C1495:I1495 I1494 C1503:I1503 I1502 C1447:I1447 I1446 C1439:I1439 I1438 I1418:I1419 B1467:B1468 B1475:B1476 B1495:B1496 B1503:B1504 B1447:B1448 B1439:B1440 I1524</xm:sqref>
        </x14:conditionalFormatting>
        <x14:conditionalFormatting xmlns:xm="http://schemas.microsoft.com/office/excel/2006/main">
          <x14:cfRule type="expression" priority="315606" id="{C9A287EB-8A12-4865-AF04-B92FD38265CC}">
            <xm:f>Calculs!F2011&lt;&gt;""</xm:f>
            <x14:dxf>
              <fill>
                <patternFill>
                  <bgColor rgb="FF0000FF"/>
                </patternFill>
              </fill>
              <border>
                <left style="thin">
                  <color rgb="FFFF0000"/>
                </left>
                <right style="thin">
                  <color rgb="FFFF0000"/>
                </right>
                <top/>
                <bottom/>
                <vertical/>
                <horizontal/>
              </border>
            </x14:dxf>
          </x14:cfRule>
          <xm:sqref>F1531:F1535 H1531:H1535</xm:sqref>
        </x14:conditionalFormatting>
        <x14:conditionalFormatting xmlns:xm="http://schemas.microsoft.com/office/excel/2006/main">
          <x14:cfRule type="expression" priority="315823" id="{6CDDFE3E-6706-49F3-AA3C-26E2BF9D73B3}">
            <xm:f>Calculs!B2011&lt;&gt;""</xm:f>
            <x14:dxf>
              <border>
                <top style="thin">
                  <color rgb="FFFF0000"/>
                </top>
                <vertical/>
                <horizontal/>
              </border>
            </x14:dxf>
          </x14:cfRule>
          <xm:sqref>F1531 H1531 B1531 D1531</xm:sqref>
        </x14:conditionalFormatting>
        <x14:conditionalFormatting xmlns:xm="http://schemas.microsoft.com/office/excel/2006/main">
          <x14:cfRule type="expression" priority="316086" id="{A7186BC3-358F-4958-8BAB-1B6701711F9D}">
            <xm:f>Calculs!B2011&lt;&gt;""</xm:f>
            <x14:dxf>
              <border>
                <bottom style="thin">
                  <color rgb="FFFF0000"/>
                </bottom>
                <vertical/>
                <horizontal/>
              </border>
            </x14:dxf>
          </x14:cfRule>
          <xm:sqref>F1535 H1535 B1535 D1535</xm:sqref>
        </x14:conditionalFormatting>
        <x14:conditionalFormatting xmlns:xm="http://schemas.microsoft.com/office/excel/2006/main">
          <x14:cfRule type="expression" priority="316339" id="{51F54783-7A41-47BC-9B58-85EBA65CA6EB}">
            <xm:f>Calculs!D2011&lt;&gt;""</xm:f>
            <x14:dxf>
              <fill>
                <patternFill>
                  <bgColor theme="0" tint="-0.24994659260841701"/>
                </patternFill>
              </fill>
            </x14:dxf>
          </x14:cfRule>
          <xm:sqref>E1531:E1535 G1531:G1535 C1531:C1535</xm:sqref>
        </x14:conditionalFormatting>
        <x14:conditionalFormatting xmlns:xm="http://schemas.microsoft.com/office/excel/2006/main">
          <x14:cfRule type="expression" priority="316506" id="{6B52E6F6-7CAF-4C4D-8236-7017D2EBA393}">
            <xm:f>Calculs!B2019&lt;&gt;""</xm:f>
            <x14:dxf>
              <fill>
                <patternFill>
                  <bgColor theme="0" tint="-0.24994659260841701"/>
                </patternFill>
              </fill>
            </x14:dxf>
          </x14:cfRule>
          <xm:sqref>I1531:I1535</xm:sqref>
        </x14:conditionalFormatting>
        <x14:conditionalFormatting xmlns:xm="http://schemas.microsoft.com/office/excel/2006/main">
          <x14:cfRule type="expression" priority="316541" id="{40975834-13E7-48F0-8218-DBA286DC3D4E}">
            <xm:f>Calculs!B2011&lt;&gt;""</xm:f>
            <x14:dxf>
              <fill>
                <patternFill>
                  <bgColor rgb="FF0000FF"/>
                </patternFill>
              </fill>
              <border>
                <left style="thin">
                  <color rgb="FFFF0000"/>
                </left>
                <right style="thin">
                  <color rgb="FFFF0000"/>
                </right>
                <vertical/>
                <horizontal/>
              </border>
            </x14:dxf>
          </x14:cfRule>
          <xm:sqref>B1531:B1535 D1531:D1535</xm:sqref>
        </x14:conditionalFormatting>
        <x14:conditionalFormatting xmlns:xm="http://schemas.microsoft.com/office/excel/2006/main">
          <x14:cfRule type="expression" priority="316681" id="{72B28399-364C-4406-AC83-D3D4270DCA17}">
            <xm:f>Calculs!$B2019&lt;&gt;""</xm:f>
            <x14:dxf>
              <fill>
                <patternFill>
                  <bgColor theme="0" tint="-0.24994659260841701"/>
                </patternFill>
              </fill>
            </x14:dxf>
          </x14:cfRule>
          <xm:sqref>I1536</xm:sqref>
        </x14:conditionalFormatting>
        <x14:conditionalFormatting xmlns:xm="http://schemas.microsoft.com/office/excel/2006/main">
          <x14:cfRule type="expression" priority="318753" id="{C9A287EB-8A12-4865-AF04-B92FD38265CC}">
            <xm:f>Calculs!B2039&lt;&gt;""</xm:f>
            <x14:dxf>
              <fill>
                <patternFill>
                  <bgColor rgb="FF0000FF"/>
                </patternFill>
              </fill>
              <border>
                <left style="thin">
                  <color rgb="FFFF0000"/>
                </left>
                <right style="thin">
                  <color rgb="FFFF0000"/>
                </right>
                <top/>
                <bottom/>
                <vertical/>
                <horizontal/>
              </border>
            </x14:dxf>
          </x14:cfRule>
          <xm:sqref>D1551:D1555 B1551:B1555 F1551:F1555 H1551:H1555 F1543:F1547 H1543:H1547</xm:sqref>
        </x14:conditionalFormatting>
        <x14:conditionalFormatting xmlns:xm="http://schemas.microsoft.com/office/excel/2006/main">
          <x14:cfRule type="expression" priority="318964" id="{6CDDFE3E-6706-49F3-AA3C-26E2BF9D73B3}">
            <xm:f>Calculs!B2039&lt;&gt;""</xm:f>
            <x14:dxf>
              <border>
                <top style="thin">
                  <color rgb="FFFF0000"/>
                </top>
                <vertical/>
                <horizontal/>
              </border>
            </x14:dxf>
          </x14:cfRule>
          <xm:sqref>D1551 B1551 F1551 H1551 F1543 H1543 B1543 D1543</xm:sqref>
        </x14:conditionalFormatting>
        <x14:conditionalFormatting xmlns:xm="http://schemas.microsoft.com/office/excel/2006/main">
          <x14:cfRule type="expression" priority="319219" id="{A7186BC3-358F-4958-8BAB-1B6701711F9D}">
            <xm:f>Calculs!B2039&lt;&gt;""</xm:f>
            <x14:dxf>
              <border>
                <bottom style="thin">
                  <color rgb="FFFF0000"/>
                </bottom>
                <vertical/>
                <horizontal/>
              </border>
            </x14:dxf>
          </x14:cfRule>
          <xm:sqref>D1555 B1555 F1555 H1555 F1547 H1547 B1547 D1547</xm:sqref>
        </x14:conditionalFormatting>
        <x14:conditionalFormatting xmlns:xm="http://schemas.microsoft.com/office/excel/2006/main">
          <x14:cfRule type="expression" priority="319466" id="{51F54783-7A41-47BC-9B58-85EBA65CA6EB}">
            <xm:f>Calculs!D2039&lt;&gt;""</xm:f>
            <x14:dxf>
              <fill>
                <patternFill>
                  <bgColor theme="0" tint="-0.24994659260841701"/>
                </patternFill>
              </fill>
            </x14:dxf>
          </x14:cfRule>
          <xm:sqref>C1551:C1555 E1551:E1555 G1551:G1555 E1543:E1547 G1543:G1547 C1543:C1547</xm:sqref>
        </x14:conditionalFormatting>
        <x14:conditionalFormatting xmlns:xm="http://schemas.microsoft.com/office/excel/2006/main">
          <x14:cfRule type="expression" priority="319633" id="{6B52E6F6-7CAF-4C4D-8236-7017D2EBA393}">
            <xm:f>Calculs!B2047&lt;&gt;""</xm:f>
            <x14:dxf>
              <fill>
                <patternFill>
                  <bgColor theme="0" tint="-0.24994659260841701"/>
                </patternFill>
              </fill>
            </x14:dxf>
          </x14:cfRule>
          <xm:sqref>I1551:I1555 I1543:I1547</xm:sqref>
        </x14:conditionalFormatting>
        <x14:conditionalFormatting xmlns:xm="http://schemas.microsoft.com/office/excel/2006/main">
          <x14:cfRule type="expression" priority="319669" id="{40975834-13E7-48F0-8218-DBA286DC3D4E}">
            <xm:f>Calculs!B2039&lt;&gt;""</xm:f>
            <x14:dxf>
              <fill>
                <patternFill>
                  <bgColor rgb="FF0000FF"/>
                </patternFill>
              </fill>
              <border>
                <left style="thin">
                  <color rgb="FFFF0000"/>
                </left>
                <right style="thin">
                  <color rgb="FFFF0000"/>
                </right>
                <vertical/>
                <horizontal/>
              </border>
            </x14:dxf>
          </x14:cfRule>
          <xm:sqref>B1543:B1547 D1543:D1547</xm:sqref>
        </x14:conditionalFormatting>
        <x14:conditionalFormatting xmlns:xm="http://schemas.microsoft.com/office/excel/2006/main">
          <x14:cfRule type="expression" priority="319727" id="{72B28399-364C-4406-AC83-D3D4270DCA17}">
            <xm:f>Calculs!$B2047&lt;&gt;""</xm:f>
            <x14:dxf>
              <fill>
                <patternFill>
                  <bgColor theme="0" tint="-0.24994659260841701"/>
                </patternFill>
              </fill>
            </x14:dxf>
          </x14:cfRule>
          <xm:sqref>C1549:H1549 B1549:B1550 I1548:I1549 I1556</xm:sqref>
        </x14:conditionalFormatting>
        <x14:conditionalFormatting xmlns:xm="http://schemas.microsoft.com/office/excel/2006/main">
          <x14:cfRule type="expression" priority="321789" id="{C9A287EB-8A12-4865-AF04-B92FD38265CC}">
            <xm:f>Calculs!B2067&lt;&gt;""</xm:f>
            <x14:dxf>
              <fill>
                <patternFill>
                  <bgColor rgb="FF0000FF"/>
                </patternFill>
              </fill>
              <border>
                <left style="thin">
                  <color rgb="FFFF0000"/>
                </left>
                <right style="thin">
                  <color rgb="FFFF0000"/>
                </right>
                <top/>
                <bottom/>
                <vertical/>
                <horizontal/>
              </border>
            </x14:dxf>
          </x14:cfRule>
          <xm:sqref>D1571:D1575 B1571:B1575 F1571:F1575 H1571:H1575 F1563:F1567 H1563:H1567</xm:sqref>
        </x14:conditionalFormatting>
        <x14:conditionalFormatting xmlns:xm="http://schemas.microsoft.com/office/excel/2006/main">
          <x14:cfRule type="expression" priority="321990" id="{6CDDFE3E-6706-49F3-AA3C-26E2BF9D73B3}">
            <xm:f>Calculs!B2067&lt;&gt;""</xm:f>
            <x14:dxf>
              <border>
                <top style="thin">
                  <color rgb="FFFF0000"/>
                </top>
                <vertical/>
                <horizontal/>
              </border>
            </x14:dxf>
          </x14:cfRule>
          <xm:sqref>D1571 B1571 F1571 H1571 F1563 H1563 B1563 D1563</xm:sqref>
        </x14:conditionalFormatting>
        <x14:conditionalFormatting xmlns:xm="http://schemas.microsoft.com/office/excel/2006/main">
          <x14:cfRule type="expression" priority="322233" id="{A7186BC3-358F-4958-8BAB-1B6701711F9D}">
            <xm:f>Calculs!B2067&lt;&gt;""</xm:f>
            <x14:dxf>
              <border>
                <bottom style="thin">
                  <color rgb="FFFF0000"/>
                </bottom>
                <vertical/>
                <horizontal/>
              </border>
            </x14:dxf>
          </x14:cfRule>
          <xm:sqref>D1575 B1575 F1575 H1575 F1567 H1567 B1567 D1567</xm:sqref>
        </x14:conditionalFormatting>
        <x14:conditionalFormatting xmlns:xm="http://schemas.microsoft.com/office/excel/2006/main">
          <x14:cfRule type="expression" priority="322470" id="{51F54783-7A41-47BC-9B58-85EBA65CA6EB}">
            <xm:f>Calculs!D2067&lt;&gt;""</xm:f>
            <x14:dxf>
              <fill>
                <patternFill>
                  <bgColor theme="0" tint="-0.24994659260841701"/>
                </patternFill>
              </fill>
            </x14:dxf>
          </x14:cfRule>
          <xm:sqref>C1571:C1575 E1571:E1575 G1571:G1575 E1563:E1567 G1563:G1567 C1563:C1567</xm:sqref>
        </x14:conditionalFormatting>
        <x14:conditionalFormatting xmlns:xm="http://schemas.microsoft.com/office/excel/2006/main">
          <x14:cfRule type="expression" priority="322634" id="{6B52E6F6-7CAF-4C4D-8236-7017D2EBA393}">
            <xm:f>Calculs!B2075&lt;&gt;""</xm:f>
            <x14:dxf>
              <fill>
                <patternFill>
                  <bgColor theme="0" tint="-0.24994659260841701"/>
                </patternFill>
              </fill>
            </x14:dxf>
          </x14:cfRule>
          <xm:sqref>I1571:I1575 I1563:I1567</xm:sqref>
        </x14:conditionalFormatting>
        <x14:conditionalFormatting xmlns:xm="http://schemas.microsoft.com/office/excel/2006/main">
          <x14:cfRule type="expression" priority="322670" id="{40975834-13E7-48F0-8218-DBA286DC3D4E}">
            <xm:f>Calculs!B2067&lt;&gt;""</xm:f>
            <x14:dxf>
              <fill>
                <patternFill>
                  <bgColor rgb="FF0000FF"/>
                </patternFill>
              </fill>
              <border>
                <left style="thin">
                  <color rgb="FFFF0000"/>
                </left>
                <right style="thin">
                  <color rgb="FFFF0000"/>
                </right>
                <vertical/>
                <horizontal/>
              </border>
            </x14:dxf>
          </x14:cfRule>
          <xm:sqref>B1563:B1567 D1563:D1567</xm:sqref>
        </x14:conditionalFormatting>
        <x14:conditionalFormatting xmlns:xm="http://schemas.microsoft.com/office/excel/2006/main">
          <x14:cfRule type="expression" priority="322722" id="{72B28399-364C-4406-AC83-D3D4270DCA17}">
            <xm:f>Calculs!$B2075&lt;&gt;""</xm:f>
            <x14:dxf>
              <fill>
                <patternFill>
                  <bgColor theme="0" tint="-0.24994659260841701"/>
                </patternFill>
              </fill>
            </x14:dxf>
          </x14:cfRule>
          <xm:sqref>C1569:H1569 B1569:B1570 I1568:I1569 I1576</xm:sqref>
        </x14:conditionalFormatting>
        <x14:conditionalFormatting xmlns:xm="http://schemas.microsoft.com/office/excel/2006/main">
          <x14:cfRule type="expression" priority="324774" id="{C9A287EB-8A12-4865-AF04-B92FD38265CC}">
            <xm:f>Calculs!B2095&lt;&gt;""</xm:f>
            <x14:dxf>
              <fill>
                <patternFill>
                  <bgColor rgb="FF0000FF"/>
                </patternFill>
              </fill>
              <border>
                <left style="thin">
                  <color rgb="FFFF0000"/>
                </left>
                <right style="thin">
                  <color rgb="FFFF0000"/>
                </right>
                <top/>
                <bottom/>
                <vertical/>
                <horizontal/>
              </border>
            </x14:dxf>
          </x14:cfRule>
          <xm:sqref>D1591:D1595 B1591:B1595 F1591:F1595 H1591:H1595 F1583:F1587 H1583:H1587</xm:sqref>
        </x14:conditionalFormatting>
        <x14:conditionalFormatting xmlns:xm="http://schemas.microsoft.com/office/excel/2006/main">
          <x14:cfRule type="expression" priority="324965" id="{6CDDFE3E-6706-49F3-AA3C-26E2BF9D73B3}">
            <xm:f>Calculs!B2095&lt;&gt;""</xm:f>
            <x14:dxf>
              <border>
                <top style="thin">
                  <color rgb="FFFF0000"/>
                </top>
                <vertical/>
                <horizontal/>
              </border>
            </x14:dxf>
          </x14:cfRule>
          <xm:sqref>D1591 B1591 F1591 H1591 F1583 H1583 B1583 D1583</xm:sqref>
        </x14:conditionalFormatting>
        <x14:conditionalFormatting xmlns:xm="http://schemas.microsoft.com/office/excel/2006/main">
          <x14:cfRule type="expression" priority="325196" id="{A7186BC3-358F-4958-8BAB-1B6701711F9D}">
            <xm:f>Calculs!B2095&lt;&gt;""</xm:f>
            <x14:dxf>
              <border>
                <bottom style="thin">
                  <color rgb="FFFF0000"/>
                </bottom>
                <vertical/>
                <horizontal/>
              </border>
            </x14:dxf>
          </x14:cfRule>
          <xm:sqref>D1595 B1595 F1595 H1595 F1587 H1587 B1587 D1587</xm:sqref>
        </x14:conditionalFormatting>
        <x14:conditionalFormatting xmlns:xm="http://schemas.microsoft.com/office/excel/2006/main">
          <x14:cfRule type="expression" priority="325423" id="{51F54783-7A41-47BC-9B58-85EBA65CA6EB}">
            <xm:f>Calculs!D2095&lt;&gt;""</xm:f>
            <x14:dxf>
              <fill>
                <patternFill>
                  <bgColor theme="0" tint="-0.24994659260841701"/>
                </patternFill>
              </fill>
            </x14:dxf>
          </x14:cfRule>
          <xm:sqref>C1591:C1595 E1591:E1595 G1591:G1595 E1583:E1587 G1583:G1587 C1583:C1587</xm:sqref>
        </x14:conditionalFormatting>
        <x14:conditionalFormatting xmlns:xm="http://schemas.microsoft.com/office/excel/2006/main">
          <x14:cfRule type="expression" priority="325584" id="{6B52E6F6-7CAF-4C4D-8236-7017D2EBA393}">
            <xm:f>Calculs!B2103&lt;&gt;""</xm:f>
            <x14:dxf>
              <fill>
                <patternFill>
                  <bgColor theme="0" tint="-0.24994659260841701"/>
                </patternFill>
              </fill>
            </x14:dxf>
          </x14:cfRule>
          <xm:sqref>I1591:I1595 I1583:I1587</xm:sqref>
        </x14:conditionalFormatting>
        <x14:conditionalFormatting xmlns:xm="http://schemas.microsoft.com/office/excel/2006/main">
          <x14:cfRule type="expression" priority="325620" id="{40975834-13E7-48F0-8218-DBA286DC3D4E}">
            <xm:f>Calculs!B2095&lt;&gt;""</xm:f>
            <x14:dxf>
              <fill>
                <patternFill>
                  <bgColor rgb="FF0000FF"/>
                </patternFill>
              </fill>
              <border>
                <left style="thin">
                  <color rgb="FFFF0000"/>
                </left>
                <right style="thin">
                  <color rgb="FFFF0000"/>
                </right>
                <vertical/>
                <horizontal/>
              </border>
            </x14:dxf>
          </x14:cfRule>
          <xm:sqref>B1583:B1587 D1583:D1587</xm:sqref>
        </x14:conditionalFormatting>
        <x14:conditionalFormatting xmlns:xm="http://schemas.microsoft.com/office/excel/2006/main">
          <x14:cfRule type="expression" priority="325666" id="{72B28399-364C-4406-AC83-D3D4270DCA17}">
            <xm:f>Calculs!$B2103&lt;&gt;""</xm:f>
            <x14:dxf>
              <fill>
                <patternFill>
                  <bgColor theme="0" tint="-0.24994659260841701"/>
                </patternFill>
              </fill>
            </x14:dxf>
          </x14:cfRule>
          <xm:sqref>C1589:H1589 B1589:B1590 I1588:I1589 I1596</xm:sqref>
        </x14:conditionalFormatting>
        <x14:conditionalFormatting xmlns:xm="http://schemas.microsoft.com/office/excel/2006/main">
          <x14:cfRule type="expression" priority="327708" id="{C9A287EB-8A12-4865-AF04-B92FD38265CC}">
            <xm:f>Calculs!B2123&lt;&gt;""</xm:f>
            <x14:dxf>
              <fill>
                <patternFill>
                  <bgColor rgb="FF0000FF"/>
                </patternFill>
              </fill>
              <border>
                <left style="thin">
                  <color rgb="FFFF0000"/>
                </left>
                <right style="thin">
                  <color rgb="FFFF0000"/>
                </right>
                <top/>
                <bottom/>
                <vertical/>
                <horizontal/>
              </border>
            </x14:dxf>
          </x14:cfRule>
          <xm:sqref>D1611:D1615 B1611:B1615 F1611:F1615 H1611:H1615 F1603:F1607 H1603:H1607</xm:sqref>
        </x14:conditionalFormatting>
        <x14:conditionalFormatting xmlns:xm="http://schemas.microsoft.com/office/excel/2006/main">
          <x14:cfRule type="expression" priority="327889" id="{6CDDFE3E-6706-49F3-AA3C-26E2BF9D73B3}">
            <xm:f>Calculs!B2123&lt;&gt;""</xm:f>
            <x14:dxf>
              <border>
                <top style="thin">
                  <color rgb="FFFF0000"/>
                </top>
                <vertical/>
                <horizontal/>
              </border>
            </x14:dxf>
          </x14:cfRule>
          <xm:sqref>D1611 B1611 F1611 H1611 F1603 H1603 B1603 D1603</xm:sqref>
        </x14:conditionalFormatting>
        <x14:conditionalFormatting xmlns:xm="http://schemas.microsoft.com/office/excel/2006/main">
          <x14:cfRule type="expression" priority="328108" id="{A7186BC3-358F-4958-8BAB-1B6701711F9D}">
            <xm:f>Calculs!B2123&lt;&gt;""</xm:f>
            <x14:dxf>
              <border>
                <bottom style="thin">
                  <color rgb="FFFF0000"/>
                </bottom>
                <vertical/>
                <horizontal/>
              </border>
            </x14:dxf>
          </x14:cfRule>
          <xm:sqref>D1615 B1615 F1615 H1615 F1607 H1607 B1607 D1607</xm:sqref>
        </x14:conditionalFormatting>
        <x14:conditionalFormatting xmlns:xm="http://schemas.microsoft.com/office/excel/2006/main">
          <x14:cfRule type="expression" priority="328325" id="{51F54783-7A41-47BC-9B58-85EBA65CA6EB}">
            <xm:f>Calculs!D2123&lt;&gt;""</xm:f>
            <x14:dxf>
              <fill>
                <patternFill>
                  <bgColor theme="0" tint="-0.24994659260841701"/>
                </patternFill>
              </fill>
            </x14:dxf>
          </x14:cfRule>
          <xm:sqref>C1611:C1615 E1611:E1615 G1611:G1615 E1603:E1607 G1603:G1607 C1603:C1607</xm:sqref>
        </x14:conditionalFormatting>
        <x14:conditionalFormatting xmlns:xm="http://schemas.microsoft.com/office/excel/2006/main">
          <x14:cfRule type="expression" priority="328483" id="{6B52E6F6-7CAF-4C4D-8236-7017D2EBA393}">
            <xm:f>Calculs!B2131&lt;&gt;""</xm:f>
            <x14:dxf>
              <fill>
                <patternFill>
                  <bgColor theme="0" tint="-0.24994659260841701"/>
                </patternFill>
              </fill>
            </x14:dxf>
          </x14:cfRule>
          <xm:sqref>I1611:I1615 I1603:I1607</xm:sqref>
        </x14:conditionalFormatting>
        <x14:conditionalFormatting xmlns:xm="http://schemas.microsoft.com/office/excel/2006/main">
          <x14:cfRule type="expression" priority="328519" id="{40975834-13E7-48F0-8218-DBA286DC3D4E}">
            <xm:f>Calculs!B2123&lt;&gt;""</xm:f>
            <x14:dxf>
              <fill>
                <patternFill>
                  <bgColor rgb="FF0000FF"/>
                </patternFill>
              </fill>
              <border>
                <left style="thin">
                  <color rgb="FFFF0000"/>
                </left>
                <right style="thin">
                  <color rgb="FFFF0000"/>
                </right>
                <vertical/>
                <horizontal/>
              </border>
            </x14:dxf>
          </x14:cfRule>
          <xm:sqref>B1603:B1607 D1603:D1607</xm:sqref>
        </x14:conditionalFormatting>
        <x14:conditionalFormatting xmlns:xm="http://schemas.microsoft.com/office/excel/2006/main">
          <x14:cfRule type="expression" priority="328559" id="{72B28399-364C-4406-AC83-D3D4270DCA17}">
            <xm:f>Calculs!$B2131&lt;&gt;""</xm:f>
            <x14:dxf>
              <fill>
                <patternFill>
                  <bgColor theme="0" tint="-0.24994659260841701"/>
                </patternFill>
              </fill>
            </x14:dxf>
          </x14:cfRule>
          <xm:sqref>C1609:H1609 B1609:B1610 I1608:I1609 I1616</xm:sqref>
        </x14:conditionalFormatting>
        <x14:conditionalFormatting xmlns:xm="http://schemas.microsoft.com/office/excel/2006/main">
          <x14:cfRule type="expression" priority="330592" id="{C9A287EB-8A12-4865-AF04-B92FD38265CC}">
            <xm:f>Calculs!B2151&lt;&gt;""</xm:f>
            <x14:dxf>
              <fill>
                <patternFill>
                  <bgColor rgb="FF0000FF"/>
                </patternFill>
              </fill>
              <border>
                <left style="thin">
                  <color rgb="FFFF0000"/>
                </left>
                <right style="thin">
                  <color rgb="FFFF0000"/>
                </right>
                <top/>
                <bottom/>
                <vertical/>
                <horizontal/>
              </border>
            </x14:dxf>
          </x14:cfRule>
          <xm:sqref>D1639:D1643 D1631:D1635 B1631:B1635 F1631:F1635 H1631:H1635 F1623:F1627 H1623:H1627 B1639:B1643 F1639:F1643 H1639:H1643 D1667:D1671 D1659:D1663 B1659:B1663 F1659:F1663 H1659:H1663 F1651:F1655 H1651:H1655 B1667:B1671 F1667:F1671 H1667:H1671 D1695:D1699 D1687:D1691 B1687:B1691 F1687:F1691 H1687:H1691 F1679:F1683 H1679:H1683 B1695:B1699 F1695:F1699 H1695:H1699 D1723:D1727 D1715:D1719 B1715:B1719 F1715:F1719 H1715:H1719 F1707:F1711 H1707:H1711 B1723:B1727 F1723:F1727 H1723:H1727 F1737:F1741 H1737:H1741</xm:sqref>
        </x14:conditionalFormatting>
        <x14:conditionalFormatting xmlns:xm="http://schemas.microsoft.com/office/excel/2006/main">
          <x14:cfRule type="expression" priority="330759" id="{6CDDFE3E-6706-49F3-AA3C-26E2BF9D73B3}">
            <xm:f>Calculs!B2151&lt;&gt;""</xm:f>
            <x14:dxf>
              <border>
                <top style="thin">
                  <color rgb="FFFF0000"/>
                </top>
                <vertical/>
                <horizontal/>
              </border>
            </x14:dxf>
          </x14:cfRule>
          <xm:sqref>D1639 D1631 B1631 F1631 H1631 F1623 H1623 B1639 F1639 H1639 B1623 D1623 D1667 D1659 B1659 F1659 H1659 F1651 H1651 B1667 F1667 H1667 D1695 D1687 B1687 F1687 H1687 F1679 H1679 B1695 F1695 H1695 D1723 D1715 B1715 F1715 H1715 F1707 H1707 B1723 F1723 H1723 B1651 D1651 B1679 D1679 B1707 D1707 F1737 H1737 B1737 D1737</xm:sqref>
        </x14:conditionalFormatting>
        <x14:conditionalFormatting xmlns:xm="http://schemas.microsoft.com/office/excel/2006/main">
          <x14:cfRule type="expression" priority="330962" id="{A7186BC3-358F-4958-8BAB-1B6701711F9D}">
            <xm:f>Calculs!B2151&lt;&gt;""</xm:f>
            <x14:dxf>
              <border>
                <bottom style="thin">
                  <color rgb="FFFF0000"/>
                </bottom>
                <vertical/>
                <horizontal/>
              </border>
            </x14:dxf>
          </x14:cfRule>
          <xm:sqref>D1643 D1635 B1635 F1635 H1635 F1627 H1627 B1643 F1643 H1643 B1627 D1627 D1671 D1663 B1663 F1663 H1663 F1655 H1655 B1671 F1671 H1671 D1699 D1691 B1691 F1691 H1691 F1683 H1683 B1699 F1699 H1699 D1727 D1719 B1719 F1719 H1719 F1711 H1711 B1727 F1727 H1727 B1655 D1655 B1683 D1683 B1711 D1711 F1741 H1741 B1741 D1741</xm:sqref>
        </x14:conditionalFormatting>
        <x14:conditionalFormatting xmlns:xm="http://schemas.microsoft.com/office/excel/2006/main">
          <x14:cfRule type="expression" priority="331165" id="{51F54783-7A41-47BC-9B58-85EBA65CA6EB}">
            <xm:f>Calculs!D2151&lt;&gt;""</xm:f>
            <x14:dxf>
              <fill>
                <patternFill>
                  <bgColor theme="0" tint="-0.24994659260841701"/>
                </patternFill>
              </fill>
            </x14:dxf>
          </x14:cfRule>
          <xm:sqref>C1631:C1635 E1631:E1635 G1631:G1635 E1623:E1627 G1623:G1627 C1639:C1643 E1639:E1643 G1639:G1643 C1623:C1627 C1659:C1663 E1659:E1663 G1659:G1663 E1651:E1655 G1651:G1655 C1667:C1671 E1667:E1671 G1667:G1671 C1687:C1691 E1687:E1691 G1687:G1691 E1679:E1683 G1679:G1683 C1695:C1699 E1695:E1699 G1695:G1699 C1715:C1719 E1715:E1719 G1715:G1719 E1707:E1711 G1707:G1711 C1723:C1727 E1723:E1727 G1723:G1727 C1651:C1655 C1679:C1683 C1707:C1711 E1737:E1741 G1737:G1741 C1737:C1741</xm:sqref>
        </x14:conditionalFormatting>
        <x14:conditionalFormatting xmlns:xm="http://schemas.microsoft.com/office/excel/2006/main">
          <x14:cfRule type="expression" priority="331317" id="{6B52E6F6-7CAF-4C4D-8236-7017D2EBA393}">
            <xm:f>Calculs!B2159&lt;&gt;""</xm:f>
            <x14:dxf>
              <fill>
                <patternFill>
                  <bgColor theme="0" tint="-0.24994659260841701"/>
                </patternFill>
              </fill>
            </x14:dxf>
          </x14:cfRule>
          <xm:sqref>I1631:I1635 I1623:I1627 I1659:I1663 I1651:I1655 I1687:I1691 I1679:I1683 I1715:I1719 I1707:I1711 I1737:I1741</xm:sqref>
        </x14:conditionalFormatting>
        <x14:conditionalFormatting xmlns:xm="http://schemas.microsoft.com/office/excel/2006/main">
          <x14:cfRule type="expression" priority="331351" id="{40975834-13E7-48F0-8218-DBA286DC3D4E}">
            <xm:f>Calculs!B2151&lt;&gt;""</xm:f>
            <x14:dxf>
              <fill>
                <patternFill>
                  <bgColor rgb="FF0000FF"/>
                </patternFill>
              </fill>
              <border>
                <left style="thin">
                  <color rgb="FFFF0000"/>
                </left>
                <right style="thin">
                  <color rgb="FFFF0000"/>
                </right>
                <vertical/>
                <horizontal/>
              </border>
            </x14:dxf>
          </x14:cfRule>
          <xm:sqref>B1623:B1627 D1623:D1627 B1679:B1683 B1707:B1711 B1651:B1655 D1651:D1655 D1679:D1683 D1707:D1711 B1737:B1741 D1737:D1741</xm:sqref>
        </x14:conditionalFormatting>
        <x14:conditionalFormatting xmlns:xm="http://schemas.microsoft.com/office/excel/2006/main">
          <x14:cfRule type="expression" priority="331386" id="{72B28399-364C-4406-AC83-D3D4270DCA17}">
            <xm:f>Calculs!$B2159&lt;&gt;""</xm:f>
            <x14:dxf>
              <fill>
                <patternFill>
                  <bgColor theme="0" tint="-0.24994659260841701"/>
                </patternFill>
              </fill>
            </x14:dxf>
          </x14:cfRule>
          <xm:sqref>C1629:H1629 B1629:B1630 C1637:H1637 B1637:B1638 C1685:I1685 I1684 C1693:I1693 I1692 C1713:I1713 I1712 C1721:I1721 I1720 C1665:I1665 I1664 C1657:I1657 I1656 I1628:I1629 I1636:I1637 B1685:B1686 B1693:B1694 B1713:B1714 B1721:B1722 B1665:B1666 B1657:B1658 I1742</xm:sqref>
        </x14:conditionalFormatting>
        <x14:conditionalFormatting xmlns:xm="http://schemas.microsoft.com/office/excel/2006/main">
          <x14:cfRule type="expression" priority="333468" id="{C9A287EB-8A12-4865-AF04-B92FD38265CC}">
            <xm:f>Calculs!F2293&lt;&gt;""</xm:f>
            <x14:dxf>
              <fill>
                <patternFill>
                  <bgColor rgb="FF0000FF"/>
                </patternFill>
              </fill>
              <border>
                <left style="thin">
                  <color rgb="FFFF0000"/>
                </left>
                <right style="thin">
                  <color rgb="FFFF0000"/>
                </right>
                <top/>
                <bottom/>
                <vertical/>
                <horizontal/>
              </border>
            </x14:dxf>
          </x14:cfRule>
          <xm:sqref>F1749:F1753 H1749:H1753</xm:sqref>
        </x14:conditionalFormatting>
        <x14:conditionalFormatting xmlns:xm="http://schemas.microsoft.com/office/excel/2006/main">
          <x14:cfRule type="expression" priority="333585" id="{6CDDFE3E-6706-49F3-AA3C-26E2BF9D73B3}">
            <xm:f>Calculs!B2293&lt;&gt;""</xm:f>
            <x14:dxf>
              <border>
                <top style="thin">
                  <color rgb="FFFF0000"/>
                </top>
                <vertical/>
                <horizontal/>
              </border>
            </x14:dxf>
          </x14:cfRule>
          <xm:sqref>F1749 H1749 B1749 D1749</xm:sqref>
        </x14:conditionalFormatting>
        <x14:conditionalFormatting xmlns:xm="http://schemas.microsoft.com/office/excel/2006/main">
          <x14:cfRule type="expression" priority="333728" id="{A7186BC3-358F-4958-8BAB-1B6701711F9D}">
            <xm:f>Calculs!B2293&lt;&gt;""</xm:f>
            <x14:dxf>
              <border>
                <bottom style="thin">
                  <color rgb="FFFF0000"/>
                </bottom>
                <vertical/>
                <horizontal/>
              </border>
            </x14:dxf>
          </x14:cfRule>
          <xm:sqref>F1753 H1753 B1753 D1753</xm:sqref>
        </x14:conditionalFormatting>
        <x14:conditionalFormatting xmlns:xm="http://schemas.microsoft.com/office/excel/2006/main">
          <x14:cfRule type="expression" priority="333861" id="{51F54783-7A41-47BC-9B58-85EBA65CA6EB}">
            <xm:f>Calculs!D2293&lt;&gt;""</xm:f>
            <x14:dxf>
              <fill>
                <patternFill>
                  <bgColor theme="0" tint="-0.24994659260841701"/>
                </patternFill>
              </fill>
            </x14:dxf>
          </x14:cfRule>
          <xm:sqref>E1749:E1753 G1749:G1753 C1749:C1753</xm:sqref>
        </x14:conditionalFormatting>
        <x14:conditionalFormatting xmlns:xm="http://schemas.microsoft.com/office/excel/2006/main">
          <x14:cfRule type="expression" priority="333938" id="{6B52E6F6-7CAF-4C4D-8236-7017D2EBA393}">
            <xm:f>Calculs!B2301&lt;&gt;""</xm:f>
            <x14:dxf>
              <fill>
                <patternFill>
                  <bgColor theme="0" tint="-0.24994659260841701"/>
                </patternFill>
              </fill>
            </x14:dxf>
          </x14:cfRule>
          <xm:sqref>I1749:I1753</xm:sqref>
        </x14:conditionalFormatting>
        <x14:conditionalFormatting xmlns:xm="http://schemas.microsoft.com/office/excel/2006/main">
          <x14:cfRule type="expression" priority="333953" id="{40975834-13E7-48F0-8218-DBA286DC3D4E}">
            <xm:f>Calculs!B2293&lt;&gt;""</xm:f>
            <x14:dxf>
              <fill>
                <patternFill>
                  <bgColor rgb="FF0000FF"/>
                </patternFill>
              </fill>
              <border>
                <left style="thin">
                  <color rgb="FFFF0000"/>
                </left>
                <right style="thin">
                  <color rgb="FFFF0000"/>
                </right>
                <vertical/>
                <horizontal/>
              </border>
            </x14:dxf>
          </x14:cfRule>
          <xm:sqref>B1749:B1753 D1749:D1753</xm:sqref>
        </x14:conditionalFormatting>
        <x14:conditionalFormatting xmlns:xm="http://schemas.microsoft.com/office/excel/2006/main">
          <x14:cfRule type="expression" priority="334033" id="{72B28399-364C-4406-AC83-D3D4270DCA17}">
            <xm:f>Calculs!$B2301&lt;&gt;""</xm:f>
            <x14:dxf>
              <fill>
                <patternFill>
                  <bgColor theme="0" tint="-0.24994659260841701"/>
                </patternFill>
              </fill>
            </x14:dxf>
          </x14:cfRule>
          <xm:sqref>I1754</xm:sqref>
        </x14:conditionalFormatting>
        <x14:conditionalFormatting xmlns:xm="http://schemas.microsoft.com/office/excel/2006/main">
          <x14:cfRule type="expression" priority="336105" id="{C9A287EB-8A12-4865-AF04-B92FD38265CC}">
            <xm:f>Calculs!B2321&lt;&gt;""</xm:f>
            <x14:dxf>
              <fill>
                <patternFill>
                  <bgColor rgb="FF0000FF"/>
                </patternFill>
              </fill>
              <border>
                <left style="thin">
                  <color rgb="FFFF0000"/>
                </left>
                <right style="thin">
                  <color rgb="FFFF0000"/>
                </right>
                <top/>
                <bottom/>
                <vertical/>
                <horizontal/>
              </border>
            </x14:dxf>
          </x14:cfRule>
          <xm:sqref>D1769:D1773 B1769:B1773 F1769:F1773 H1769:H1773 F1761:F1765 H1761:H1765</xm:sqref>
        </x14:conditionalFormatting>
        <x14:conditionalFormatting xmlns:xm="http://schemas.microsoft.com/office/excel/2006/main">
          <x14:cfRule type="expression" priority="336216" id="{6CDDFE3E-6706-49F3-AA3C-26E2BF9D73B3}">
            <xm:f>Calculs!B2321&lt;&gt;""</xm:f>
            <x14:dxf>
              <border>
                <top style="thin">
                  <color rgb="FFFF0000"/>
                </top>
                <vertical/>
                <horizontal/>
              </border>
            </x14:dxf>
          </x14:cfRule>
          <xm:sqref>D1769 B1769 F1769 H1769 F1761 H1761 B1761 D1761</xm:sqref>
        </x14:conditionalFormatting>
        <x14:conditionalFormatting xmlns:xm="http://schemas.microsoft.com/office/excel/2006/main">
          <x14:cfRule type="expression" priority="336351" id="{A7186BC3-358F-4958-8BAB-1B6701711F9D}">
            <xm:f>Calculs!B2321&lt;&gt;""</xm:f>
            <x14:dxf>
              <border>
                <bottom style="thin">
                  <color rgb="FFFF0000"/>
                </bottom>
                <vertical/>
                <horizontal/>
              </border>
            </x14:dxf>
          </x14:cfRule>
          <xm:sqref>D1773 B1773 F1773 H1773 F1765 H1765 B1765 D1765</xm:sqref>
        </x14:conditionalFormatting>
        <x14:conditionalFormatting xmlns:xm="http://schemas.microsoft.com/office/excel/2006/main">
          <x14:cfRule type="expression" priority="336478" id="{51F54783-7A41-47BC-9B58-85EBA65CA6EB}">
            <xm:f>Calculs!D2321&lt;&gt;""</xm:f>
            <x14:dxf>
              <fill>
                <patternFill>
                  <bgColor theme="0" tint="-0.24994659260841701"/>
                </patternFill>
              </fill>
            </x14:dxf>
          </x14:cfRule>
          <xm:sqref>C1769:C1773 E1769:E1773 G1769:G1773 E1761:E1765 G1761:G1765 C1761:C1765</xm:sqref>
        </x14:conditionalFormatting>
        <x14:conditionalFormatting xmlns:xm="http://schemas.microsoft.com/office/excel/2006/main">
          <x14:cfRule type="expression" priority="336555" id="{6B52E6F6-7CAF-4C4D-8236-7017D2EBA393}">
            <xm:f>Calculs!B2329&lt;&gt;""</xm:f>
            <x14:dxf>
              <fill>
                <patternFill>
                  <bgColor theme="0" tint="-0.24994659260841701"/>
                </patternFill>
              </fill>
            </x14:dxf>
          </x14:cfRule>
          <xm:sqref>I1769:I1773 I1761:I1765</xm:sqref>
        </x14:conditionalFormatting>
        <x14:conditionalFormatting xmlns:xm="http://schemas.microsoft.com/office/excel/2006/main">
          <x14:cfRule type="expression" priority="336571" id="{40975834-13E7-48F0-8218-DBA286DC3D4E}">
            <xm:f>Calculs!B2321&lt;&gt;""</xm:f>
            <x14:dxf>
              <fill>
                <patternFill>
                  <bgColor rgb="FF0000FF"/>
                </patternFill>
              </fill>
              <border>
                <left style="thin">
                  <color rgb="FFFF0000"/>
                </left>
                <right style="thin">
                  <color rgb="FFFF0000"/>
                </right>
                <vertical/>
                <horizontal/>
              </border>
            </x14:dxf>
          </x14:cfRule>
          <xm:sqref>B1761:B1765 D1761:D1765</xm:sqref>
        </x14:conditionalFormatting>
        <x14:conditionalFormatting xmlns:xm="http://schemas.microsoft.com/office/excel/2006/main">
          <x14:cfRule type="expression" priority="336609" id="{72B28399-364C-4406-AC83-D3D4270DCA17}">
            <xm:f>Calculs!$B2329&lt;&gt;""</xm:f>
            <x14:dxf>
              <fill>
                <patternFill>
                  <bgColor theme="0" tint="-0.24994659260841701"/>
                </patternFill>
              </fill>
            </x14:dxf>
          </x14:cfRule>
          <xm:sqref>C1767:H1767 B1767:B1768 I1766:I1767 I1774</xm:sqref>
        </x14:conditionalFormatting>
        <x14:conditionalFormatting xmlns:xm="http://schemas.microsoft.com/office/excel/2006/main">
          <x14:cfRule type="expression" priority="338671" id="{C9A287EB-8A12-4865-AF04-B92FD38265CC}">
            <xm:f>Calculs!B2349&lt;&gt;""</xm:f>
            <x14:dxf>
              <fill>
                <patternFill>
                  <bgColor rgb="FF0000FF"/>
                </patternFill>
              </fill>
              <border>
                <left style="thin">
                  <color rgb="FFFF0000"/>
                </left>
                <right style="thin">
                  <color rgb="FFFF0000"/>
                </right>
                <top/>
                <bottom/>
                <vertical/>
                <horizontal/>
              </border>
            </x14:dxf>
          </x14:cfRule>
          <xm:sqref>D1789:D1793 B1789:B1793 F1789:F1793 H1789:H1793 F1781:F1785 H1781:H1785</xm:sqref>
        </x14:conditionalFormatting>
        <x14:conditionalFormatting xmlns:xm="http://schemas.microsoft.com/office/excel/2006/main">
          <x14:cfRule type="expression" priority="338772" id="{6CDDFE3E-6706-49F3-AA3C-26E2BF9D73B3}">
            <xm:f>Calculs!B2349&lt;&gt;""</xm:f>
            <x14:dxf>
              <border>
                <top style="thin">
                  <color rgb="FFFF0000"/>
                </top>
                <vertical/>
                <horizontal/>
              </border>
            </x14:dxf>
          </x14:cfRule>
          <xm:sqref>D1789 B1789 F1789 H1789 F1781 H1781 B1781 D1781</xm:sqref>
        </x14:conditionalFormatting>
        <x14:conditionalFormatting xmlns:xm="http://schemas.microsoft.com/office/excel/2006/main">
          <x14:cfRule type="expression" priority="338895" id="{A7186BC3-358F-4958-8BAB-1B6701711F9D}">
            <xm:f>Calculs!B2349&lt;&gt;""</xm:f>
            <x14:dxf>
              <border>
                <bottom style="thin">
                  <color rgb="FFFF0000"/>
                </bottom>
                <vertical/>
                <horizontal/>
              </border>
            </x14:dxf>
          </x14:cfRule>
          <xm:sqref>D1793 B1793 F1793 H1793 F1785 H1785 B1785 D1785</xm:sqref>
        </x14:conditionalFormatting>
        <x14:conditionalFormatting xmlns:xm="http://schemas.microsoft.com/office/excel/2006/main">
          <x14:cfRule type="expression" priority="339012" id="{51F54783-7A41-47BC-9B58-85EBA65CA6EB}">
            <xm:f>Calculs!D2349&lt;&gt;""</xm:f>
            <x14:dxf>
              <fill>
                <patternFill>
                  <bgColor theme="0" tint="-0.24994659260841701"/>
                </patternFill>
              </fill>
            </x14:dxf>
          </x14:cfRule>
          <xm:sqref>C1789:C1793 E1789:E1793 G1789:G1793 E1781:E1785 G1781:G1785 C1781:C1785</xm:sqref>
        </x14:conditionalFormatting>
        <x14:conditionalFormatting xmlns:xm="http://schemas.microsoft.com/office/excel/2006/main">
          <x14:cfRule type="expression" priority="339086" id="{6B52E6F6-7CAF-4C4D-8236-7017D2EBA393}">
            <xm:f>Calculs!B2357&lt;&gt;""</xm:f>
            <x14:dxf>
              <fill>
                <patternFill>
                  <bgColor theme="0" tint="-0.24994659260841701"/>
                </patternFill>
              </fill>
            </x14:dxf>
          </x14:cfRule>
          <xm:sqref>I1789:I1793 I1781:I1785</xm:sqref>
        </x14:conditionalFormatting>
        <x14:conditionalFormatting xmlns:xm="http://schemas.microsoft.com/office/excel/2006/main">
          <x14:cfRule type="expression" priority="339102" id="{40975834-13E7-48F0-8218-DBA286DC3D4E}">
            <xm:f>Calculs!B2349&lt;&gt;""</xm:f>
            <x14:dxf>
              <fill>
                <patternFill>
                  <bgColor rgb="FF0000FF"/>
                </patternFill>
              </fill>
              <border>
                <left style="thin">
                  <color rgb="FFFF0000"/>
                </left>
                <right style="thin">
                  <color rgb="FFFF0000"/>
                </right>
                <vertical/>
                <horizontal/>
              </border>
            </x14:dxf>
          </x14:cfRule>
          <xm:sqref>B1781:B1785 D1781:D1785</xm:sqref>
        </x14:conditionalFormatting>
        <x14:conditionalFormatting xmlns:xm="http://schemas.microsoft.com/office/excel/2006/main">
          <x14:cfRule type="expression" priority="339134" id="{72B28399-364C-4406-AC83-D3D4270DCA17}">
            <xm:f>Calculs!$B2357&lt;&gt;""</xm:f>
            <x14:dxf>
              <fill>
                <patternFill>
                  <bgColor theme="0" tint="-0.24994659260841701"/>
                </patternFill>
              </fill>
            </x14:dxf>
          </x14:cfRule>
          <xm:sqref>C1787:H1787 B1787:B1788 I1786:I1787 I1794</xm:sqref>
        </x14:conditionalFormatting>
        <x14:conditionalFormatting xmlns:xm="http://schemas.microsoft.com/office/excel/2006/main">
          <x14:cfRule type="expression" priority="341186" id="{C9A287EB-8A12-4865-AF04-B92FD38265CC}">
            <xm:f>Calculs!B2377&lt;&gt;""</xm:f>
            <x14:dxf>
              <fill>
                <patternFill>
                  <bgColor rgb="FF0000FF"/>
                </patternFill>
              </fill>
              <border>
                <left style="thin">
                  <color rgb="FFFF0000"/>
                </left>
                <right style="thin">
                  <color rgb="FFFF0000"/>
                </right>
                <top/>
                <bottom/>
                <vertical/>
                <horizontal/>
              </border>
            </x14:dxf>
          </x14:cfRule>
          <xm:sqref>D1809:D1813 B1809:B1813 F1809:F1813 H1809:H1813 F1801:F1805 H1801:H1805</xm:sqref>
        </x14:conditionalFormatting>
        <x14:conditionalFormatting xmlns:xm="http://schemas.microsoft.com/office/excel/2006/main">
          <x14:cfRule type="expression" priority="341277" id="{6CDDFE3E-6706-49F3-AA3C-26E2BF9D73B3}">
            <xm:f>Calculs!B2377&lt;&gt;""</xm:f>
            <x14:dxf>
              <border>
                <top style="thin">
                  <color rgb="FFFF0000"/>
                </top>
                <vertical/>
                <horizontal/>
              </border>
            </x14:dxf>
          </x14:cfRule>
          <xm:sqref>D1809 B1809 F1809 H1809 F1801 H1801 B1801 D1801</xm:sqref>
        </x14:conditionalFormatting>
        <x14:conditionalFormatting xmlns:xm="http://schemas.microsoft.com/office/excel/2006/main">
          <x14:cfRule type="expression" priority="341388" id="{A7186BC3-358F-4958-8BAB-1B6701711F9D}">
            <xm:f>Calculs!B2377&lt;&gt;""</xm:f>
            <x14:dxf>
              <border>
                <bottom style="thin">
                  <color rgb="FFFF0000"/>
                </bottom>
                <vertical/>
                <horizontal/>
              </border>
            </x14:dxf>
          </x14:cfRule>
          <xm:sqref>D1813 B1813 F1813 H1813 F1805 H1805 B1805 D1805</xm:sqref>
        </x14:conditionalFormatting>
        <x14:conditionalFormatting xmlns:xm="http://schemas.microsoft.com/office/excel/2006/main">
          <x14:cfRule type="expression" priority="341495" id="{51F54783-7A41-47BC-9B58-85EBA65CA6EB}">
            <xm:f>Calculs!D2377&lt;&gt;""</xm:f>
            <x14:dxf>
              <fill>
                <patternFill>
                  <bgColor theme="0" tint="-0.24994659260841701"/>
                </patternFill>
              </fill>
            </x14:dxf>
          </x14:cfRule>
          <xm:sqref>C1809:C1813 E1809:E1813 G1809:G1813 E1801:E1805 G1801:G1805 C1801:C1805</xm:sqref>
        </x14:conditionalFormatting>
        <x14:conditionalFormatting xmlns:xm="http://schemas.microsoft.com/office/excel/2006/main">
          <x14:cfRule type="expression" priority="341566" id="{6B52E6F6-7CAF-4C4D-8236-7017D2EBA393}">
            <xm:f>Calculs!B2385&lt;&gt;""</xm:f>
            <x14:dxf>
              <fill>
                <patternFill>
                  <bgColor theme="0" tint="-0.24994659260841701"/>
                </patternFill>
              </fill>
            </x14:dxf>
          </x14:cfRule>
          <xm:sqref>I1809:I1813 I1801:I1805</xm:sqref>
        </x14:conditionalFormatting>
        <x14:conditionalFormatting xmlns:xm="http://schemas.microsoft.com/office/excel/2006/main">
          <x14:cfRule type="expression" priority="341582" id="{40975834-13E7-48F0-8218-DBA286DC3D4E}">
            <xm:f>Calculs!B2377&lt;&gt;""</xm:f>
            <x14:dxf>
              <fill>
                <patternFill>
                  <bgColor rgb="FF0000FF"/>
                </patternFill>
              </fill>
              <border>
                <left style="thin">
                  <color rgb="FFFF0000"/>
                </left>
                <right style="thin">
                  <color rgb="FFFF0000"/>
                </right>
                <vertical/>
                <horizontal/>
              </border>
            </x14:dxf>
          </x14:cfRule>
          <xm:sqref>B1801:B1805 D1801:D1805</xm:sqref>
        </x14:conditionalFormatting>
        <x14:conditionalFormatting xmlns:xm="http://schemas.microsoft.com/office/excel/2006/main">
          <x14:cfRule type="expression" priority="341608" id="{72B28399-364C-4406-AC83-D3D4270DCA17}">
            <xm:f>Calculs!$B2385&lt;&gt;""</xm:f>
            <x14:dxf>
              <fill>
                <patternFill>
                  <bgColor theme="0" tint="-0.24994659260841701"/>
                </patternFill>
              </fill>
            </x14:dxf>
          </x14:cfRule>
          <xm:sqref>C1807:H1807 B1807:B1808 I1806:I1807 I1814</xm:sqref>
        </x14:conditionalFormatting>
        <x14:conditionalFormatting xmlns:xm="http://schemas.microsoft.com/office/excel/2006/main">
          <x14:cfRule type="expression" priority="343650" id="{C9A287EB-8A12-4865-AF04-B92FD38265CC}">
            <xm:f>Calculs!B2405&lt;&gt;""</xm:f>
            <x14:dxf>
              <fill>
                <patternFill>
                  <bgColor rgb="FF0000FF"/>
                </patternFill>
              </fill>
              <border>
                <left style="thin">
                  <color rgb="FFFF0000"/>
                </left>
                <right style="thin">
                  <color rgb="FFFF0000"/>
                </right>
                <top/>
                <bottom/>
                <vertical/>
                <horizontal/>
              </border>
            </x14:dxf>
          </x14:cfRule>
          <xm:sqref>D1829:D1833 B1829:B1833 F1829:F1833 H1829:H1833 F1821:F1825 H1821:H1825</xm:sqref>
        </x14:conditionalFormatting>
        <x14:conditionalFormatting xmlns:xm="http://schemas.microsoft.com/office/excel/2006/main">
          <x14:cfRule type="expression" priority="343731" id="{6CDDFE3E-6706-49F3-AA3C-26E2BF9D73B3}">
            <xm:f>Calculs!B2405&lt;&gt;""</xm:f>
            <x14:dxf>
              <border>
                <top style="thin">
                  <color rgb="FFFF0000"/>
                </top>
                <vertical/>
                <horizontal/>
              </border>
            </x14:dxf>
          </x14:cfRule>
          <xm:sqref>D1829 B1829 F1829 H1829 F1821 H1821 B1821 D1821</xm:sqref>
        </x14:conditionalFormatting>
        <x14:conditionalFormatting xmlns:xm="http://schemas.microsoft.com/office/excel/2006/main">
          <x14:cfRule type="expression" priority="343830" id="{A7186BC3-358F-4958-8BAB-1B6701711F9D}">
            <xm:f>Calculs!B2405&lt;&gt;""</xm:f>
            <x14:dxf>
              <border>
                <bottom style="thin">
                  <color rgb="FFFF0000"/>
                </bottom>
                <vertical/>
                <horizontal/>
              </border>
            </x14:dxf>
          </x14:cfRule>
          <xm:sqref>D1833 B1833 F1833 H1833 F1825 H1825 B1825 D1825</xm:sqref>
        </x14:conditionalFormatting>
        <x14:conditionalFormatting xmlns:xm="http://schemas.microsoft.com/office/excel/2006/main">
          <x14:cfRule type="expression" priority="343927" id="{51F54783-7A41-47BC-9B58-85EBA65CA6EB}">
            <xm:f>Calculs!D2405&lt;&gt;""</xm:f>
            <x14:dxf>
              <fill>
                <patternFill>
                  <bgColor theme="0" tint="-0.24994659260841701"/>
                </patternFill>
              </fill>
            </x14:dxf>
          </x14:cfRule>
          <xm:sqref>C1829:C1833 E1829:E1833 G1829:G1833 E1821:E1825 G1821:G1825 C1821:C1825</xm:sqref>
        </x14:conditionalFormatting>
        <x14:conditionalFormatting xmlns:xm="http://schemas.microsoft.com/office/excel/2006/main">
          <x14:cfRule type="expression" priority="343995" id="{6B52E6F6-7CAF-4C4D-8236-7017D2EBA393}">
            <xm:f>Calculs!B2413&lt;&gt;""</xm:f>
            <x14:dxf>
              <fill>
                <patternFill>
                  <bgColor theme="0" tint="-0.24994659260841701"/>
                </patternFill>
              </fill>
            </x14:dxf>
          </x14:cfRule>
          <xm:sqref>I1829:I1833 I1821:I1825</xm:sqref>
        </x14:conditionalFormatting>
        <x14:conditionalFormatting xmlns:xm="http://schemas.microsoft.com/office/excel/2006/main">
          <x14:cfRule type="expression" priority="344011" id="{40975834-13E7-48F0-8218-DBA286DC3D4E}">
            <xm:f>Calculs!B2405&lt;&gt;""</xm:f>
            <x14:dxf>
              <fill>
                <patternFill>
                  <bgColor rgb="FF0000FF"/>
                </patternFill>
              </fill>
              <border>
                <left style="thin">
                  <color rgb="FFFF0000"/>
                </left>
                <right style="thin">
                  <color rgb="FFFF0000"/>
                </right>
                <vertical/>
                <horizontal/>
              </border>
            </x14:dxf>
          </x14:cfRule>
          <xm:sqref>B1821:B1825 D1821:D1825</xm:sqref>
        </x14:conditionalFormatting>
        <x14:conditionalFormatting xmlns:xm="http://schemas.microsoft.com/office/excel/2006/main">
          <x14:cfRule type="expression" priority="344031" id="{72B28399-364C-4406-AC83-D3D4270DCA17}">
            <xm:f>Calculs!$B2413&lt;&gt;""</xm:f>
            <x14:dxf>
              <fill>
                <patternFill>
                  <bgColor theme="0" tint="-0.24994659260841701"/>
                </patternFill>
              </fill>
            </x14:dxf>
          </x14:cfRule>
          <xm:sqref>C1827:H1827 B1827:B1828 I1826:I1827 I1834</xm:sqref>
        </x14:conditionalFormatting>
        <x14:conditionalFormatting xmlns:xm="http://schemas.microsoft.com/office/excel/2006/main">
          <x14:cfRule type="expression" priority="346064" id="{C9A287EB-8A12-4865-AF04-B92FD38265CC}">
            <xm:f>Calculs!B2433&lt;&gt;""</xm:f>
            <x14:dxf>
              <fill>
                <patternFill>
                  <bgColor rgb="FF0000FF"/>
                </patternFill>
              </fill>
              <border>
                <left style="thin">
                  <color rgb="FFFF0000"/>
                </left>
                <right style="thin">
                  <color rgb="FFFF0000"/>
                </right>
                <top/>
                <bottom/>
                <vertical/>
                <horizontal/>
              </border>
            </x14:dxf>
          </x14:cfRule>
          <xm:sqref>D1857:D1861 D1849:D1853 B1849:B1853 F1849:F1853 H1849:H1853 F1841:F1845 H1841:H1845 B1857:B1861 F1857:F1861 H1857:H1861 D1885:D1889 D1877:D1881 B1877:B1881 F1877:F1881 H1877:H1881 F1869:F1873 H1869:H1873 B1885:B1889 F1885:F1889 H1885:H1889 D1913:D1917 D1905:D1909 B1905:B1909 F1905:F1909 H1905:H1909 F1897:F1901 H1897:H1901 B1913:B1917 F1913:F1917 H1913:H1917 D1941:D1945 D1933:D1937 B1933:B1937 F1933:F1937 H1933:H1937 F1925:F1929 H1925:H1929 B1941:B1945 F1941:F1945 H1941:H1945 F1955:F1959 H1955:H1959</xm:sqref>
        </x14:conditionalFormatting>
        <x14:conditionalFormatting xmlns:xm="http://schemas.microsoft.com/office/excel/2006/main">
          <x14:cfRule type="expression" priority="346131" id="{6CDDFE3E-6706-49F3-AA3C-26E2BF9D73B3}">
            <xm:f>Calculs!B2433&lt;&gt;""</xm:f>
            <x14:dxf>
              <border>
                <top style="thin">
                  <color rgb="FFFF0000"/>
                </top>
                <vertical/>
                <horizontal/>
              </border>
            </x14:dxf>
          </x14:cfRule>
          <xm:sqref>D1857 D1849 B1849 F1849 H1849 F1841 H1841 B1857 F1857 H1857 B1841 D1841 D1885 D1877 B1877 F1877 H1877 F1869 H1869 B1885 F1885 H1885 D1913 D1905 B1905 F1905 H1905 F1897 H1897 B1913 F1913 H1913 D1941 D1933 B1933 F1933 H1933 F1925 H1925 B1941 F1941 H1941 B1869 D1869 B1897 D1897 B1925 D1925 F1955 H1955 B1955 D1955</xm:sqref>
        </x14:conditionalFormatting>
        <x14:conditionalFormatting xmlns:xm="http://schemas.microsoft.com/office/excel/2006/main">
          <x14:cfRule type="expression" priority="346214" id="{A7186BC3-358F-4958-8BAB-1B6701711F9D}">
            <xm:f>Calculs!B2433&lt;&gt;""</xm:f>
            <x14:dxf>
              <border>
                <bottom style="thin">
                  <color rgb="FFFF0000"/>
                </bottom>
                <vertical/>
                <horizontal/>
              </border>
            </x14:dxf>
          </x14:cfRule>
          <xm:sqref>D1861 D1853 B1853 F1853 H1853 F1845 H1845 B1861 F1861 H1861 B1845 D1845 D1889 D1881 B1881 F1881 H1881 F1873 H1873 B1889 F1889 H1889 D1917 D1909 B1909 F1909 H1909 F1901 H1901 B1917 F1917 H1917 D1945 D1937 B1937 F1937 H1937 F1929 H1929 B1945 F1945 H1945 B1873 D1873 B1901 D1901 B1929 D1929 F1959 H1959 B1959 D1959</xm:sqref>
        </x14:conditionalFormatting>
        <x14:conditionalFormatting xmlns:xm="http://schemas.microsoft.com/office/excel/2006/main">
          <x14:cfRule type="expression" priority="346297" id="{51F54783-7A41-47BC-9B58-85EBA65CA6EB}">
            <xm:f>Calculs!D2433&lt;&gt;""</xm:f>
            <x14:dxf>
              <fill>
                <patternFill>
                  <bgColor theme="0" tint="-0.24994659260841701"/>
                </patternFill>
              </fill>
            </x14:dxf>
          </x14:cfRule>
          <xm:sqref>C1849:C1853 E1849:E1853 G1849:G1853 E1841:E1845 G1841:G1845 C1857:C1861 E1857:E1861 G1857:G1861 C1841:C1845 C1877:C1881 E1877:E1881 G1877:G1881 E1869:E1873 G1869:G1873 C1885:C1889 E1885:E1889 G1885:G1889 C1905:C1909 E1905:E1909 G1905:G1909 E1897:E1901 G1897:G1901 C1913:C1917 E1913:E1917 G1913:G1917 C1933:C1937 E1933:E1937 G1933:G1937 E1925:E1929 G1925:G1929 C1941:C1945 E1941:E1945 G1941:G1945 C1869:C1873 C1897:C1901 C1925:C1929 E1955:E1959 G1955:G1959 C1955:C1959</xm:sqref>
        </x14:conditionalFormatting>
        <x14:conditionalFormatting xmlns:xm="http://schemas.microsoft.com/office/excel/2006/main">
          <x14:cfRule type="expression" priority="346359" id="{6B52E6F6-7CAF-4C4D-8236-7017D2EBA393}">
            <xm:f>Calculs!B2441&lt;&gt;""</xm:f>
            <x14:dxf>
              <fill>
                <patternFill>
                  <bgColor theme="0" tint="-0.24994659260841701"/>
                </patternFill>
              </fill>
            </x14:dxf>
          </x14:cfRule>
          <xm:sqref>I1849:I1853 I1841:I1845 I1877:I1881 I1869:I1873 I1905:I1909 I1897:I1901 I1933:I1937 I1925:I1929 I1955:I1959</xm:sqref>
        </x14:conditionalFormatting>
        <x14:conditionalFormatting xmlns:xm="http://schemas.microsoft.com/office/excel/2006/main">
          <x14:cfRule type="expression" priority="346373" id="{40975834-13E7-48F0-8218-DBA286DC3D4E}">
            <xm:f>Calculs!B2433&lt;&gt;""</xm:f>
            <x14:dxf>
              <fill>
                <patternFill>
                  <bgColor rgb="FF0000FF"/>
                </patternFill>
              </fill>
              <border>
                <left style="thin">
                  <color rgb="FFFF0000"/>
                </left>
                <right style="thin">
                  <color rgb="FFFF0000"/>
                </right>
                <vertical/>
                <horizontal/>
              </border>
            </x14:dxf>
          </x14:cfRule>
          <xm:sqref>B1841:B1845 D1841:D1845 B1897:B1901 B1925:B1929 B1869:B1873 D1869:D1873 D1897:D1901 D1925:D1929 B1955:B1959 D1955:D1959</xm:sqref>
        </x14:conditionalFormatting>
        <x14:conditionalFormatting xmlns:xm="http://schemas.microsoft.com/office/excel/2006/main">
          <x14:cfRule type="expression" priority="346388" id="{72B28399-364C-4406-AC83-D3D4270DCA17}">
            <xm:f>Calculs!$B2441&lt;&gt;""</xm:f>
            <x14:dxf>
              <fill>
                <patternFill>
                  <bgColor theme="0" tint="-0.24994659260841701"/>
                </patternFill>
              </fill>
            </x14:dxf>
          </x14:cfRule>
          <xm:sqref>C1847:H1847 B1847:B1848 C1855:H1855 B1855:B1856 C1903:I1903 I1902 C1911:I1911 I1910 C1931:I1931 I1930 C1939:I1939 I1938 C1883:I1883 I1882 C1875:I1875 I1874 I1846:I1847 I1854:I1855 B1903:B1904 B1911:B1912 B1931:B1932 B1939:B1940 B1883:B1884 B1875:B1876 I1960</xm:sqref>
        </x14:conditionalFormatting>
        <x14:conditionalFormatting xmlns:xm="http://schemas.microsoft.com/office/excel/2006/main">
          <x14:cfRule type="expression" priority="348436" id="{C9A287EB-8A12-4865-AF04-B92FD38265CC}">
            <xm:f>Calculs!F2575&lt;&gt;""</xm:f>
            <x14:dxf>
              <fill>
                <patternFill>
                  <bgColor rgb="FF0000FF"/>
                </patternFill>
              </fill>
              <border>
                <left style="thin">
                  <color rgb="FFFF0000"/>
                </left>
                <right style="thin">
                  <color rgb="FFFF0000"/>
                </right>
                <top/>
                <bottom/>
                <vertical/>
                <horizontal/>
              </border>
            </x14:dxf>
          </x14:cfRule>
          <xm:sqref>F1967:F1971 H1967:H1971</xm:sqref>
        </x14:conditionalFormatting>
        <x14:conditionalFormatting xmlns:xm="http://schemas.microsoft.com/office/excel/2006/main">
          <x14:cfRule type="expression" priority="348453" id="{6CDDFE3E-6706-49F3-AA3C-26E2BF9D73B3}">
            <xm:f>Calculs!B2575&lt;&gt;""</xm:f>
            <x14:dxf>
              <border>
                <top style="thin">
                  <color rgb="FFFF0000"/>
                </top>
                <vertical/>
                <horizontal/>
              </border>
            </x14:dxf>
          </x14:cfRule>
          <xm:sqref>F1967 H1967 B1967 D1967</xm:sqref>
        </x14:conditionalFormatting>
        <x14:conditionalFormatting xmlns:xm="http://schemas.microsoft.com/office/excel/2006/main">
          <x14:cfRule type="expression" priority="348476" id="{A7186BC3-358F-4958-8BAB-1B6701711F9D}">
            <xm:f>Calculs!B2575&lt;&gt;""</xm:f>
            <x14:dxf>
              <border>
                <bottom style="thin">
                  <color rgb="FFFF0000"/>
                </bottom>
                <vertical/>
                <horizontal/>
              </border>
            </x14:dxf>
          </x14:cfRule>
          <xm:sqref>F1971 H1971 B1971 D1971</xm:sqref>
        </x14:conditionalFormatting>
        <x14:conditionalFormatting xmlns:xm="http://schemas.microsoft.com/office/excel/2006/main">
          <x14:cfRule type="expression" priority="348496" id="{51F54783-7A41-47BC-9B58-85EBA65CA6EB}">
            <xm:f>Calculs!D2575&lt;&gt;""</xm:f>
            <x14:dxf>
              <fill>
                <patternFill>
                  <bgColor theme="0" tint="-0.24994659260841701"/>
                </patternFill>
              </fill>
            </x14:dxf>
          </x14:cfRule>
          <xm:sqref>E1967:E1971 G1967:G1971 C1967:C1971</xm:sqref>
        </x14:conditionalFormatting>
        <x14:conditionalFormatting xmlns:xm="http://schemas.microsoft.com/office/excel/2006/main">
          <x14:cfRule type="expression" priority="348504" id="{6B52E6F6-7CAF-4C4D-8236-7017D2EBA393}">
            <xm:f>Calculs!B2583&lt;&gt;""</xm:f>
            <x14:dxf>
              <fill>
                <patternFill>
                  <bgColor theme="0" tint="-0.24994659260841701"/>
                </patternFill>
              </fill>
            </x14:dxf>
          </x14:cfRule>
          <xm:sqref>I1967:I1971</xm:sqref>
        </x14:conditionalFormatting>
        <x14:conditionalFormatting xmlns:xm="http://schemas.microsoft.com/office/excel/2006/main">
          <x14:cfRule type="expression" priority="348505" id="{40975834-13E7-48F0-8218-DBA286DC3D4E}">
            <xm:f>Calculs!B2575&lt;&gt;""</xm:f>
            <x14:dxf>
              <fill>
                <patternFill>
                  <bgColor rgb="FF0000FF"/>
                </patternFill>
              </fill>
              <border>
                <left style="thin">
                  <color rgb="FFFF0000"/>
                </left>
                <right style="thin">
                  <color rgb="FFFF0000"/>
                </right>
                <vertical/>
                <horizontal/>
              </border>
            </x14:dxf>
          </x14:cfRule>
          <xm:sqref>B1967:B1971 D1967:D1971</xm:sqref>
        </x14:conditionalFormatting>
        <x14:conditionalFormatting xmlns:xm="http://schemas.microsoft.com/office/excel/2006/main">
          <x14:cfRule type="expression" priority="348519" id="{72B28399-364C-4406-AC83-D3D4270DCA17}">
            <xm:f>Calculs!$B2583&lt;&gt;""</xm:f>
            <x14:dxf>
              <fill>
                <patternFill>
                  <bgColor theme="0" tint="-0.24994659260841701"/>
                </patternFill>
              </fill>
            </x14:dxf>
          </x14:cfRule>
          <xm:sqref>I1972</xm:sqref>
        </x14:conditionalFormatting>
        <x14:conditionalFormatting xmlns:xm="http://schemas.microsoft.com/office/excel/2006/main">
          <x14:cfRule type="expression" priority="350557" id="{C9A287EB-8A12-4865-AF04-B92FD38265CC}">
            <xm:f>Calculs!B2603&lt;&gt;""</xm:f>
            <x14:dxf>
              <fill>
                <patternFill>
                  <bgColor rgb="FF0000FF"/>
                </patternFill>
              </fill>
              <border>
                <left style="thin">
                  <color rgb="FFFF0000"/>
                </left>
                <right style="thin">
                  <color rgb="FFFF0000"/>
                </right>
                <top/>
                <bottom/>
                <vertical/>
                <horizontal/>
              </border>
            </x14:dxf>
          </x14:cfRule>
          <xm:sqref>D1987:D1991 B1987:B1991 F1987:F1991 H1987:H1991 F1979:F1983 H1979:H1983</xm:sqref>
        </x14:conditionalFormatting>
        <x14:conditionalFormatting xmlns:xm="http://schemas.microsoft.com/office/excel/2006/main">
          <x14:cfRule type="expression" priority="350568" id="{6CDDFE3E-6706-49F3-AA3C-26E2BF9D73B3}">
            <xm:f>Calculs!B2603&lt;&gt;""</xm:f>
            <x14:dxf>
              <border>
                <top style="thin">
                  <color rgb="FFFF0000"/>
                </top>
                <vertical/>
                <horizontal/>
              </border>
            </x14:dxf>
          </x14:cfRule>
          <xm:sqref>D1987 B1987 F1987 H1987 F1979 H1979 B1979 D1979</xm:sqref>
        </x14:conditionalFormatting>
        <x14:conditionalFormatting xmlns:xm="http://schemas.microsoft.com/office/excel/2006/main">
          <x14:cfRule type="expression" priority="350583" id="{A7186BC3-358F-4958-8BAB-1B6701711F9D}">
            <xm:f>Calculs!B2603&lt;&gt;""</xm:f>
            <x14:dxf>
              <border>
                <bottom style="thin">
                  <color rgb="FFFF0000"/>
                </bottom>
                <vertical/>
                <horizontal/>
              </border>
            </x14:dxf>
          </x14:cfRule>
          <xm:sqref>D1991 B1991 F1991 H1991 F1983 H1983 B1983 D1983</xm:sqref>
        </x14:conditionalFormatting>
        <x14:conditionalFormatting xmlns:xm="http://schemas.microsoft.com/office/excel/2006/main">
          <x14:cfRule type="expression" priority="350597" id="{51F54783-7A41-47BC-9B58-85EBA65CA6EB}">
            <xm:f>Calculs!D2603&lt;&gt;""</xm:f>
            <x14:dxf>
              <fill>
                <patternFill>
                  <bgColor theme="0" tint="-0.24994659260841701"/>
                </patternFill>
              </fill>
            </x14:dxf>
          </x14:cfRule>
          <xm:sqref>C1987:C1991 E1987:E1991 G1987:G1991 E1979:E1983 G1979:G1983 C1979:C1983</xm:sqref>
        </x14:conditionalFormatting>
        <x14:conditionalFormatting xmlns:xm="http://schemas.microsoft.com/office/excel/2006/main">
          <x14:cfRule type="expression" priority="350605" id="{6B52E6F6-7CAF-4C4D-8236-7017D2EBA393}">
            <xm:f>Calculs!B2611&lt;&gt;""</xm:f>
            <x14:dxf>
              <fill>
                <patternFill>
                  <bgColor theme="0" tint="-0.24994659260841701"/>
                </patternFill>
              </fill>
            </x14:dxf>
          </x14:cfRule>
          <xm:sqref>I1987:I1991 I1979:I1983</xm:sqref>
        </x14:conditionalFormatting>
        <x14:conditionalFormatting xmlns:xm="http://schemas.microsoft.com/office/excel/2006/main">
          <x14:cfRule type="expression" priority="350607" id="{40975834-13E7-48F0-8218-DBA286DC3D4E}">
            <xm:f>Calculs!B2603&lt;&gt;""</xm:f>
            <x14:dxf>
              <fill>
                <patternFill>
                  <bgColor rgb="FF0000FF"/>
                </patternFill>
              </fill>
              <border>
                <left style="thin">
                  <color rgb="FFFF0000"/>
                </left>
                <right style="thin">
                  <color rgb="FFFF0000"/>
                </right>
                <vertical/>
                <horizontal/>
              </border>
            </x14:dxf>
          </x14:cfRule>
          <xm:sqref>B1979:B1983 D1979:D1983</xm:sqref>
        </x14:conditionalFormatting>
        <x14:conditionalFormatting xmlns:xm="http://schemas.microsoft.com/office/excel/2006/main">
          <x14:cfRule type="expression" priority="350611" id="{72B28399-364C-4406-AC83-D3D4270DCA17}">
            <xm:f>Calculs!$B2611&lt;&gt;""</xm:f>
            <x14:dxf>
              <fill>
                <patternFill>
                  <bgColor theme="0" tint="-0.24994659260841701"/>
                </patternFill>
              </fill>
            </x14:dxf>
          </x14:cfRule>
          <xm:sqref>C1985:H1985 B1985:B1986 I1984:I1985 I1992</xm:sqref>
        </x14:conditionalFormatting>
      </x14:conditionalFormattings>
    </ext>
  </extLst>
</worksheet>
</file>

<file path=xl/worksheets/sheet2.xml><?xml version="1.0" encoding="utf-8"?>
<worksheet xmlns="http://schemas.openxmlformats.org/spreadsheetml/2006/main" xmlns:r="http://schemas.openxmlformats.org/officeDocument/2006/relationships">
  <sheetPr codeName="Tabelle6"/>
  <dimension ref="B1:I3951"/>
  <sheetViews>
    <sheetView workbookViewId="0">
      <selection sqref="A1:I3951"/>
    </sheetView>
  </sheetViews>
  <sheetFormatPr baseColWidth="10" defaultRowHeight="15"/>
  <cols>
    <col min="2" max="2" width="50" customWidth="1"/>
    <col min="3" max="3" width="6.42578125" customWidth="1"/>
    <col min="4" max="4" width="50" customWidth="1"/>
    <col min="5" max="5" width="6.42578125" customWidth="1"/>
    <col min="6" max="6" width="50" customWidth="1"/>
    <col min="7" max="7" width="6.42578125" customWidth="1"/>
    <col min="8" max="8" width="50" customWidth="1"/>
    <col min="9" max="9" width="6.42578125" customWidth="1"/>
  </cols>
  <sheetData>
    <row r="1" spans="2:9" s="16" customFormat="1"/>
    <row r="2" spans="2:9" s="16" customFormat="1"/>
    <row r="3" spans="2:9" s="16" customFormat="1">
      <c r="B3" s="56" t="s">
        <v>1036</v>
      </c>
    </row>
    <row r="4" spans="2:9" s="16" customFormat="1"/>
    <row r="5" spans="2:9" s="16" customFormat="1">
      <c r="B5" s="41" t="str">
        <f ca="1">Liste!$D$4</f>
        <v>1. test1</v>
      </c>
    </row>
    <row r="6" spans="2:9" s="16" customFormat="1"/>
    <row r="7" spans="2:9" s="16" customFormat="1">
      <c r="B7" s="42" t="str">
        <f ca="1">IFERROR(IF(1&gt;COUNTIF(Data!$BP:$BP,CONCATENATE(Liste!$C$3,$B$5)),"",INDEX(Tab_DaBa[],MATCH(CONCATENATE(Liste!$C$3,$B$5),Data!$BP:$BP,0)-2,3)),"")</f>
        <v>0.0 test0 (E+A)</v>
      </c>
    </row>
    <row r="8" spans="2:9" s="16" customFormat="1"/>
    <row r="9" spans="2:9" s="16" customFormat="1" ht="15.75">
      <c r="B9" s="35" t="str">
        <f ca="1">IFERROR(INDEX(Tab_DaBa[],MATCH(CONCATENATE(Liste!$C$3,$B$5,$B$7),Data!$BO:$BO,0)-2,9),"")</f>
        <v>Eingang</v>
      </c>
      <c r="C9" s="54"/>
      <c r="D9" s="35" t="str">
        <f ca="1">IFERROR(IF(INDEX(Tab_DaBa[],MATCH(CONCATENATE(Liste!$C$3,$B$5,$B$7),Data!$BO:$BO,0)-2,18)=0,INDEX(Tab_DaBa[],MATCH(CONCATENATE(Liste!$C$3,$B$5,$B$7),Data!$BO:$BO,0)-2,14),INDEX(Tab_DaBa[],MATCH(CONCATENATE(Liste!$C$3,$B$5,$B$7),Data!$BO:$BO,0)-2,19)),"")</f>
        <v>Ausgang</v>
      </c>
      <c r="E9" s="33"/>
      <c r="F9" s="35" t="str">
        <f ca="1">IFERROR(IF(AND(INDEX(Tab_DaBa[],MATCH(CONCATENATE(Liste!$C$3,$B$5,$B$7),Data!$BO:$BO,0)-2,18)&lt;&gt;"",INDEX(Tab_DaBa[],MATCH(CONCATENATE(Liste!$C$3,$B$5,$B$7),Data!$BO:$BO,0)-2,23)=0),INDEX(Tab_DaBa[],MATCH(CONCATENATE(Liste!$C$3,$B$5,$B$7),Data!$BO:$BO,0)-2,14),IF(INDEX(Tab_DaBa[],MATCH(CONCATENATE(Liste!$C$3,$B$5,$B$7),Data!$BO:$BO,0)-2,23)&lt;&gt;"",INDEX(Tab_DaBa[],MATCH(CONCATENATE(Liste!$C$3,$B$5,$B$7),Data!$BO:$BO,0)-2,24),"")),"")</f>
        <v/>
      </c>
      <c r="G9" s="39"/>
      <c r="H9" s="35" t="str">
        <f ca="1">IFERROR(IF(AND(INDEX(Tab_DaBa[],MATCH(CONCATENATE(Liste!$C$3,$B$5,$B$7),Data!$BO:$BO,0)-2,23)&lt;&gt;"",INDEX(Tab_DaBa[],MATCH(CONCATENATE(Liste!$C$3,$B$5,$B$7),Data!$BO:$BO,0)-2,28)=0),INDEX(Tab_DaBa[],MATCH(CONCATENATE(Liste!$C$3,$B$5,$B$7),Data!$BO:$BO,0)-2,14),IF(INDEX(Tab_DaBa[],MATCH(CONCATENATE(Liste!$C$3,$B$5,$B$7),Data!$BO:$BO,0)-2,23)&lt;&gt;"",INDEX(Tab_DaBa[],MATCH(CONCATENATE(Liste!$C$3,$B$5,$B$7),Data!$BO:$BO,0)-2,29),"")),"")</f>
        <v/>
      </c>
      <c r="I9" s="39"/>
    </row>
    <row r="10" spans="2:9" s="16" customFormat="1" ht="15.75">
      <c r="B10" s="35" t="str">
        <f ca="1">IFERROR(INDEX(Tab_DaBa[],MATCH(CONCATENATE(Liste!$C$3,$B$5,$B$7),Data!$BO:$BO,0)-2,7),"")</f>
        <v>eeee-0000</v>
      </c>
      <c r="C10" s="54"/>
      <c r="D10" s="35" t="str">
        <f ca="1">IFERROR(IF(INDEX(Tab_DaBa[],MATCH(CONCATENATE(Liste!$C$3,$B$5,$B$7),Data!$BO:$BO,0)-2,18)="",INDEX(Tab_DaBa[],MATCH(CONCATENATE(Liste!$C$3,$B$5,$B$7),Data!$BO:$BO,0)-2,12),INDEX(Tab_DaBa[],MATCH(CONCATENATE(Liste!$C$3,$B$5,$B$7),Data!$BO:$BO,0)-2,17)),"")</f>
        <v>aaaa-0000</v>
      </c>
      <c r="E10" s="36"/>
      <c r="F10" s="35" t="str">
        <f ca="1">IFERROR(IF(AND(INDEX(Tab_DaBa[],MATCH(CONCATENATE(Liste!$C$3,$B$5,$B$7),Data!$BO:$BO,0)-2,18)&lt;&gt;"",INDEX(Tab_DaBa[],MATCH(CONCATENATE(Liste!$C$3,$B$5,$B$7),Data!$BO:$BO,0)-2,23)=0),INDEX(Tab_DaBa[],MATCH(CONCATENATE(Liste!$C$3,$B$5,$B$7),Data!$BO:$BO,0)-2,12),IF(INDEX(Tab_DaBa[],MATCH(CONCATENATE(Liste!$C$3,$B$5,$B$7),Data!$BO:$BO,0)-2,23)&lt;&gt;"",INDEX(Tab_DaBa[],MATCH(CONCATENATE(Liste!$C$3,$B$5,$B$7),Data!$BO:$BO,0)-2,22),"")),"")</f>
        <v/>
      </c>
      <c r="G10" s="39"/>
      <c r="H10" s="35" t="str">
        <f ca="1">IFERROR(IF(AND(INDEX(Tab_DaBa[],MATCH(CONCATENATE(Liste!$C$3,$B$5,$B$7),Data!$BO:$BO,0)-2,23)&lt;&gt;"",INDEX(Tab_DaBa[],MATCH(CONCATENATE(Liste!$C$3,$B$5,$B$7),Data!$BO:$BO,0)-2,28)=0),INDEX(Tab_DaBa[],MATCH(CONCATENATE(Liste!$C$3,$B$5,$B$7),Data!$BO:$BO,0)-2,12),IF(INDEX(Tab_DaBa[],MATCH(CONCATENATE(Liste!$C$3,$B$5,$B$7),Data!$BO:$BO,0)-2,23)&lt;&gt;"",INDEX(Tab_DaBa[],MATCH(CONCATENATE(Liste!$C$3,$B$5,$B$7),Data!$BO:$BO,0)-2,27),"")),"")</f>
        <v/>
      </c>
      <c r="I10" s="39"/>
    </row>
    <row r="11" spans="2:9" s="16" customFormat="1" ht="15.75">
      <c r="B11" s="35" t="str">
        <f ca="1">IFERROR(INDEX(Tab_DaBa[],MATCH(CONCATENATE(Liste!$C$3,$B$5,$B$7),Data!$BO:$BO,0)-2,8),"")</f>
        <v>Bez_Ein0</v>
      </c>
      <c r="C11" s="40">
        <f ca="1">IF(D9="","",4)</f>
        <v>4</v>
      </c>
      <c r="D11" s="35" t="str">
        <f ca="1">IFERROR(IF(INDEX(Tab_DaBa[],MATCH(CONCATENATE(Liste!$C$3,$B$5,$B$7),Data!$BO:$BO,0)-2,18)="",INDEX(Tab_DaBa[],MATCH(CONCATENATE(Liste!$C$3,$B$5,$B$7),Data!$BO:$BO,0)-2,13),INDEX(Tab_DaBa[],MATCH(CONCATENATE(Liste!$C$3,$B$5,$B$7),Data!$BO:$BO,0)-2,18)),"")</f>
        <v>Bez_Aus0</v>
      </c>
      <c r="E11" s="40" t="str">
        <f ca="1">IF(F9="","",4)</f>
        <v/>
      </c>
      <c r="F11" s="35" t="str">
        <f ca="1">IFERROR(IF(AND(INDEX(Tab_DaBa[],MATCH(CONCATENATE(Liste!$C$3,$B$5,$B$7),Data!$BO:$BO,0)-2,18)&lt;&gt;"",INDEX(Tab_DaBa[],MATCH(CONCATENATE(Liste!$C$3,$B$5,$B$7),Data!$BO:$BO,0)-2,23)=""),INDEX(Tab_DaBa[],MATCH(CONCATENATE(Liste!$C$3,$B$5,$B$7),Data!$BO:$BO,0)-2,13),IF(INDEX(Tab_DaBa[],MATCH(CONCATENATE(Liste!$C$3,$B$5,$B$7),Data!$BO:$BO,0)-2,23)&lt;&gt;"",INDEX(Tab_DaBa[],MATCH(CONCATENATE(Liste!$C$3,$B$5,$B$7),Data!$BO:$BO,0)-2,23),"")),"")</f>
        <v/>
      </c>
      <c r="G11" s="38" t="str">
        <f ca="1">IF(H9="","",4)</f>
        <v/>
      </c>
      <c r="H11" s="35" t="str">
        <f ca="1">IFERROR(IF(AND(INDEX(Tab_DaBa[],MATCH(CONCATENATE(Liste!$C$3,$B$5,$B$7),Data!$BO:$BO,0)-2,23)&lt;&gt;"",INDEX(Tab_DaBa[],MATCH(CONCATENATE(Liste!$C$3,$B$5,$B$7),Data!$BO:$BO,0)-2,28)=""),INDEX(Tab_DaBa[],MATCH(CONCATENATE(Liste!$C$3,$B$5,$B$7),Data!$BO:$BO,0)-2,13),IF(INDEX(Tab_DaBa[],MATCH(CONCATENATE(Liste!$C$3,$B$5,$B$7),Data!$BO:$BO,0)-2,23)&lt;&gt;"",INDEX(Tab_DaBa[],MATCH(CONCATENATE(Liste!$C$3,$B$5,$B$7),Data!$BO:$BO,0)-2,28),"")),"")</f>
        <v/>
      </c>
      <c r="I11" s="38" t="str">
        <f ca="1">IF(B17="","",6)</f>
        <v/>
      </c>
    </row>
    <row r="12" spans="2:9" s="16" customFormat="1" ht="15.75">
      <c r="B12" s="35" t="str">
        <f ca="1">IFERROR("Performance Level: "&amp;INDEX(Tab_DaBa[],MATCH(CONCATENATE(Liste!$C$3,$B$5,$B$7),Data!$BO:$BO,0)-2,10),"")</f>
        <v>Performance Level: PL_Ein0</v>
      </c>
      <c r="C12" s="54"/>
      <c r="D12" s="35" t="str">
        <f ca="1">IFERROR(IF(INDEX(Tab_DaBa[],MATCH(CONCATENATE(Liste!$C$3,$B$5,$B$7),Data!$BO:$BO,0)-2,18)="","Performance Level: "&amp;INDEX(Tab_DaBa[],MATCH(CONCATENATE(Liste!$C$3,$B$5,$B$7),Data!$BO:$BO,0)-2,15),"Performance Level: "&amp;INDEX(Tab_DaBa[],MATCH(CONCATENATE(Liste!$C$3,$B$5,$B$7),Data!$BO:$BO,0)-2,20)),"")</f>
        <v>Performance Level: PL_Aus0</v>
      </c>
      <c r="E12" s="36"/>
      <c r="F12" s="35" t="str">
        <f ca="1">IFERROR(IF(AND(INDEX(Tab_DaBa[],MATCH(CONCATENATE(Liste!$C$3,$B$5,$B$7),Data!$BO:$BO,0)-2,18)&lt;&gt;"",INDEX(Tab_DaBa[],MATCH(CONCATENATE(Liste!$C$3,$B$5,$B$7),Data!$BO:$BO,0)-2,23)=""),"Performance Level: "&amp;INDEX(Tab_DaBa[],MATCH(CONCATENATE(Liste!$C$3,$B$5,$B$7),Data!$BO:$BO,0)-2,15),IF(INDEX(Tab_DaBa[],MATCH(CONCATENATE(Liste!$C$3,$B$5,$B$7),Data!$BO:$BO,0)-2,23)&lt;&gt;"","Performance Level: "&amp;INDEX(Tab_DaBa[],MATCH(CONCATENATE(Liste!$C$3,$B$5,$B$7),Data!$BO:$BO,0)-2,25),"")),"")</f>
        <v/>
      </c>
      <c r="G12" s="39"/>
      <c r="H12" s="35" t="str">
        <f ca="1">IFERROR(IF(AND(INDEX(Tab_DaBa[],MATCH(CONCATENATE(Liste!$C$3,$B$5,$B$7),Data!$BO:$BO,0)-2,23)&lt;&gt;"",INDEX(Tab_DaBa[],MATCH(CONCATENATE(Liste!$C$3,$B$5,$B$7),Data!$BO:$BO,0)-2,28)=""),"Performance Level: "&amp;INDEX(Tab_DaBa[],MATCH(CONCATENATE(Liste!$C$3,$B$5,$B$7),Data!$BO:$BO,0)-2,15),IF(INDEX(Tab_DaBa[],MATCH(CONCATENATE(Liste!$C$3,$B$5,$B$7),Data!$BO:$BO,0)-2,23)&lt;&gt;"","Performance Level: "&amp;INDEX(Tab_DaBa[],MATCH(CONCATENATE(Liste!$C$3,$B$5,$B$7),Data!$BO:$BO,0)-2,30),"")),"")</f>
        <v/>
      </c>
      <c r="I12" s="38"/>
    </row>
    <row r="13" spans="2:9" s="16" customFormat="1" ht="15.75">
      <c r="B13" s="53" t="str">
        <f ca="1">IFERROR("PFH [1/h] = "&amp;10^9*INDEX(Tab_DaBa[],MATCH(CONCATENATE(Liste!$C$3,$B$5,$B$7),Data!$BO:$BO,0)-2,11)&amp;"E-9","")</f>
        <v>PFH [1/h] = 42,9E-9</v>
      </c>
      <c r="C13" s="54"/>
      <c r="D13" s="35" t="str">
        <f ca="1">IFERROR(IF(INDEX(Tab_DaBa[],MATCH(CONCATENATE(Liste!$C$3,$B$5,$B$7),Data!$BO:$BO,0)-2,18)="","PFH [1/h] = "&amp;10^9*INDEX(Tab_DaBa[],MATCH(CONCATENATE(Liste!$C$3,$B$5,$B$7),Data!$BO:$BO,0)-2,16)&amp;"E-9","PFH [1/h] = "&amp;10^9*INDEX(Tab_DaBa[],MATCH(CONCATENATE(Liste!$C$3,$B$5,$B$7),Data!$BO:$BO,0)-2,21)&amp;"E-9"),"")</f>
        <v>PFH [1/h] = 24,7E-9</v>
      </c>
      <c r="E13" s="36"/>
      <c r="F13" s="35" t="str">
        <f ca="1">IFERROR(IF(AND(INDEX(Tab_DaBa[],MATCH(CONCATENATE(Liste!$C$3,$B$5,$B$7),Data!$BO:$BO,0)-2,18)&lt;&gt;"",INDEX(Tab_DaBa[],MATCH(CONCATENATE(Liste!$C$3,$B$5,$B$7),Data!$BO:$BO,0)-2,23)=""),"PFH [1/h] = "&amp;10^9*INDEX(Tab_DaBa[],MATCH(CONCATENATE(Liste!$C$3,$B$5,$B$7),Data!$BO:$BO,0)-2,16)&amp;"E-9",IF(INDEX(Tab_DaBa[],MATCH(CONCATENATE(Liste!$C$3,$B$5,$B$7),Data!$BO:$BO,0)-2,23)&lt;&gt;"","PFH [1/h] = "&amp;10^9*INDEX(Tab_DaBa[],MATCH(CONCATENATE(Liste!$C$3,$B$5,$B$7),Data!$BO:$BO,0)-2,26)&amp;"E-9","")),"")</f>
        <v/>
      </c>
      <c r="G13" s="39"/>
      <c r="H13" s="35" t="str">
        <f ca="1">IFERROR(IF(AND(INDEX(Tab_DaBa[],MATCH(CONCATENATE(Liste!$C$3,$B$5,$B$7),Data!$BO:$BO,0)-2,23)&lt;&gt;"",INDEX(Tab_DaBa[],MATCH(CONCATENATE(Liste!$C$3,$B$5,$B$7),Data!$BO:$BO,0)-2,28)=""),"PFH [1/h] = "&amp;10^9*INDEX(Tab_DaBa[],MATCH(CONCATENATE(Liste!$C$3,$B$5,$B$7),Data!$BO:$BO,0)-2,16)&amp;"E-9",IF(INDEX(Tab_DaBa[],MATCH(CONCATENATE(Liste!$C$3,$B$5,$B$7),Data!$BO:$BO,0)-2,23)&lt;&gt;"","PFH [1/h] = "&amp;10^9*INDEX(Tab_DaBa[],MATCH(CONCATENATE(Liste!$C$3,$B$5,$B$7),Data!$BO:$BO,0)-2,31)&amp;"E-9","")),"")</f>
        <v/>
      </c>
      <c r="I13" s="39"/>
    </row>
    <row r="14" spans="2:9" s="16" customFormat="1">
      <c r="B14" s="33"/>
      <c r="C14" s="34"/>
      <c r="D14" s="33"/>
      <c r="E14" s="33"/>
      <c r="F14" s="33"/>
      <c r="G14" s="33"/>
      <c r="H14" s="33"/>
      <c r="I14" s="33"/>
    </row>
    <row r="15" spans="2:9" s="16" customFormat="1" ht="15.75">
      <c r="B15" s="38" t="str">
        <f ca="1">IF(B17="","",6)</f>
        <v/>
      </c>
      <c r="C15" s="34"/>
      <c r="D15" s="38" t="str">
        <f ca="1">IF(B17="","",3)</f>
        <v/>
      </c>
      <c r="E15" s="33"/>
      <c r="F15" s="38" t="str">
        <f ca="1">IF(B17="","",3)</f>
        <v/>
      </c>
      <c r="G15" s="33"/>
      <c r="H15" s="38" t="str">
        <f ca="1">IF(B17="","",3)</f>
        <v/>
      </c>
      <c r="I15" s="33"/>
    </row>
    <row r="16" spans="2:9" s="16" customFormat="1" ht="15.75">
      <c r="B16" s="39"/>
      <c r="C16" s="33"/>
      <c r="D16" s="33"/>
      <c r="E16" s="33"/>
      <c r="F16" s="33"/>
      <c r="G16" s="33"/>
      <c r="H16" s="33"/>
      <c r="I16" s="33"/>
    </row>
    <row r="17" spans="2:9" s="16" customFormat="1" ht="15.75">
      <c r="B17" s="35" t="str">
        <f ca="1">IFERROR(IF(AND(INDEX(Tab_DaBa[],MATCH(CONCATENATE(Liste!$C$3,$B$5,$B$7),Data!$BO:$BO,0)-2,28)&lt;&gt;"",INDEX(Tab_DaBa[],MATCH(CONCATENATE(Liste!$C$3,$B$5,$B$7),Data!$BO:$BO,0)-2,33)=0),INDEX(Tab_DaBa[],MATCH(CONCATENATE(Liste!$C$3,$B$5,$B$7),Data!$BO:$BO,0)-2,14),IF(INDEX(Tab_DaBa[],MATCH(CONCATENATE(Liste!$C$3,$B$5,$B$7),Data!$BO:$BO,0)-2,28)&lt;&gt;"",INDEX(Tab_DaBa[],MATCH(CONCATENATE(Liste!$C$3,$B$5,$B$7),Data!$BO:$BO,0)-2,34),"")),"")</f>
        <v/>
      </c>
      <c r="C17" s="39"/>
      <c r="D17" s="35" t="str">
        <f ca="1">IFERROR(IF(AND(INDEX(Tab_DaBa[],MATCH(CONCATENATE(Liste!$C$3,$B$5,$B$7),Data!$BO:$BO,0)-2,33)&lt;&gt;"",INDEX(Tab_DaBa[],MATCH(CONCATENATE(Liste!$C$3,$B$5,$B$7),Data!$BO:$BO,0)-2,38)=0),INDEX(Tab_DaBa[],MATCH(CONCATENATE(Liste!$C$3,$B$5,$B$7),Data!$BO:$BO,0)-2,14),IF(INDEX(Tab_DaBa[],MATCH(CONCATENATE(Liste!$C$3,$B$5,$B$7),Data!$BO:$BO,0)-2,33)&lt;&gt;"",INDEX(Tab_DaBa[],MATCH(CONCATENATE(Liste!$C$3,$B$5,$B$7),Data!$BO:$BO,0)-2,39),"")),"")</f>
        <v/>
      </c>
      <c r="E17" s="33"/>
      <c r="F17" s="35" t="str">
        <f ca="1">IFERROR(IF(AND(INDEX(Tab_DaBa[],MATCH(CONCATENATE(Liste!$C$3,$B$5,$B$7),Data!$BO:$BO,0)-2,38)&lt;&gt;"",INDEX(Tab_DaBa[],MATCH(CONCATENATE(Liste!$C$3,$B$5,$B$7),Data!$BO:$BO,0)-2,43)=0),INDEX(Tab_DaBa[],MATCH(CONCATENATE(Liste!$C$3,$B$5,$B$7),Data!$BO:$BO,0)-2,14),IF(INDEX(Tab_DaBa[],MATCH(CONCATENATE(Liste!$C$3,$B$5,$B$7),Data!$BO:$BO,0)-2,38)&lt;&gt;"",INDEX(Tab_DaBa[],MATCH(CONCATENATE(Liste!$C$3,$B$5,$B$7),Data!$BO:$BO,0)-2,44),"")),"")</f>
        <v/>
      </c>
      <c r="G17" s="39"/>
      <c r="H17" s="35" t="str">
        <f ca="1">IFERROR(IF(AND(INDEX(Tab_DaBa[],MATCH(CONCATENATE(Liste!$C$3,$B$5,$B$7),Data!$BO:$BO,0)-2,43)&lt;&gt;"",INDEX(Tab_DaBa[],MATCH(CONCATENATE(Liste!$C$3,$B$5,$B$7),Data!$BO:$BO,0)-2,48)=0),INDEX(Tab_DaBa[],MATCH(CONCATENATE(Liste!$C$3,$B$5,$B$7),Data!$BO:$BO,0)-2,14),IF(INDEX(Tab_DaBa[],MATCH(CONCATENATE(Liste!$C$3,$B$5,$B$7),Data!$BO:$BO,0)-2,43)&lt;&gt;"",INDEX(Tab_DaBa[],MATCH(CONCATENATE(Liste!$C$3,$B$5,$B$7),Data!$BO:$BO,0)-2,49),"")),"")</f>
        <v/>
      </c>
      <c r="I17" s="39"/>
    </row>
    <row r="18" spans="2:9" s="16" customFormat="1" ht="15.75">
      <c r="B18" s="35" t="str">
        <f ca="1">IFERROR(IF(AND(INDEX(Tab_DaBa[],MATCH(CONCATENATE(Liste!$C$3,$B$5,$B$7),Data!$BO:$BO,0)-2,28)&lt;&gt;"",INDEX(Tab_DaBa[],MATCH(CONCATENATE(Liste!$C$3,$B$5,$B$7),Data!$BO:$BO,0)-2,33)=0),INDEX(Tab_DaBa[],MATCH(CONCATENATE(Liste!$C$3,$B$5,$B$7),Data!$BO:$BO,0)-2,12),IF(INDEX(Tab_DaBa[],MATCH(CONCATENATE(Liste!$C$3,$B$5,$B$7),Data!$BO:$BO,0)-2,28)&lt;&gt;"",INDEX(Tab_DaBa[],MATCH(CONCATENATE(Liste!$C$3,$B$5,$B$7),Data!$BO:$BO,0)-2,32),"")),"")</f>
        <v/>
      </c>
      <c r="C18" s="39"/>
      <c r="D18" s="35" t="str">
        <f ca="1">IFERROR(IF(AND(INDEX(Tab_DaBa[],MATCH(CONCATENATE(Liste!$C$3,$B$5,$B$7),Data!$BO:$BO,0)-2,33)&lt;&gt;"",INDEX(Tab_DaBa[],MATCH(CONCATENATE(Liste!$C$3,$B$5,$B$7),Data!$BO:$BO,0)-2,38)=0),INDEX(Tab_DaBa[],MATCH(CONCATENATE(Liste!$C$3,$B$5,$B$7),Data!$BO:$BO,0)-2,12),IF(INDEX(Tab_DaBa[],MATCH(CONCATENATE(Liste!$C$3,$B$5,$B$7),Data!$BO:$BO,0)-2,33)&lt;&gt;"",INDEX(Tab_DaBa[],MATCH(CONCATENATE(Liste!$C$3,$B$5,$B$7),Data!$BO:$BO,0)-2,37),"")),"")</f>
        <v/>
      </c>
      <c r="E18" s="37"/>
      <c r="F18" s="35" t="str">
        <f ca="1">IFERROR(IF(AND(INDEX(Tab_DaBa[],MATCH(CONCATENATE(Liste!$C$3,$B$5,$B$7),Data!$BO:$BO,0)-2,38)&lt;&gt;"",INDEX(Tab_DaBa[],MATCH(CONCATENATE(Liste!$C$3,$B$5,$B$7),Data!$BO:$BO,0)-2,43)=0),INDEX(Tab_DaBa[],MATCH(CONCATENATE(Liste!$C$3,$B$5,$B$7),Data!$BO:$BO,0)-2,12),IF(INDEX(Tab_DaBa[],MATCH(CONCATENATE(Liste!$C$3,$B$5,$B$7),Data!$BO:$BO,0)-2,38)&lt;&gt;"",INDEX(Tab_DaBa[],MATCH(CONCATENATE(Liste!$C$3,$B$5,$B$7),Data!$BO:$BO,0)-2,42),"")),"")</f>
        <v/>
      </c>
      <c r="G18" s="39"/>
      <c r="H18" s="35" t="str">
        <f ca="1">IFERROR(IF(AND(INDEX(Tab_DaBa[],MATCH(CONCATENATE(Liste!$C$3,$B$5,$B$7),Data!$BO:$BO,0)-2,43)&lt;&gt;"",INDEX(Tab_DaBa[],MATCH(CONCATENATE(Liste!$C$3,$B$5,$B$7),Data!$BO:$BO,0)-2,48)=0),INDEX(Tab_DaBa[],MATCH(CONCATENATE(Liste!$C$3,$B$5,$B$7),Data!$BO:$BO,0)-2,12),IF(INDEX(Tab_DaBa[],MATCH(CONCATENATE(Liste!$C$3,$B$5,$B$7),Data!$BO:$BO,0)-2,43)&lt;&gt;"",INDEX(Tab_DaBa[],MATCH(CONCATENATE(Liste!$C$3,$B$5,$B$7),Data!$BO:$BO,0)-2,47),"")),"")</f>
        <v/>
      </c>
      <c r="I18" s="39"/>
    </row>
    <row r="19" spans="2:9" s="16" customFormat="1" ht="15.75">
      <c r="B19" s="35" t="str">
        <f ca="1">IFERROR(IF(AND(INDEX(Tab_DaBa[],MATCH(CONCATENATE(Liste!$C$3,$B$5,$B$7),Data!$BO:$BO,0)-2,28)&lt;&gt;"",INDEX(Tab_DaBa[],MATCH(CONCATENATE(Liste!$C$3,$B$5,$B$7),Data!$BO:$BO,0)-2,33)=""),INDEX(Tab_DaBa[],MATCH(CONCATENATE(Liste!$C$3,$B$5,$B$7),Data!$BO:$BO,0)-2,13),IF(INDEX(Tab_DaBa[],MATCH(CONCATENATE(Liste!$C$3,$B$5,$B$7),Data!$BO:$BO,0)-2,28)&lt;&gt;"",INDEX(Tab_DaBa[],MATCH(CONCATENATE(Liste!$C$3,$B$5,$B$7),Data!$BO:$BO,0)-2,33),"")),"")</f>
        <v/>
      </c>
      <c r="C19" s="38" t="str">
        <f ca="1">IF(D17="","",4)</f>
        <v/>
      </c>
      <c r="D19" s="35" t="str">
        <f ca="1">IFERROR(IF(AND(INDEX(Tab_DaBa[],MATCH(CONCATENATE(Liste!$C$3,$B$5,$B$7),Data!$BO:$BO,0)-2,33)&lt;&gt;"",INDEX(Tab_DaBa[],MATCH(CONCATENATE(Liste!$C$3,$B$5,$B$7),Data!$BO:$BO,0)-2,38)=""),INDEX(Tab_DaBa[],MATCH(CONCATENATE(Liste!$C$3,$B$5,$B$7),Data!$BO:$BO,0)-2,13),IF(INDEX(Tab_DaBa[],MATCH(CONCATENATE(Liste!$C$3,$B$5,$B$7),Data!$BO:$BO,0)-2,33)&lt;&gt;"",INDEX(Tab_DaBa[],MATCH(CONCATENATE(Liste!$C$3,$B$5,$B$7),Data!$BO:$BO,0)-2,38),"")),"")</f>
        <v/>
      </c>
      <c r="E19" s="38" t="str">
        <f ca="1">IF(F17="","",4)</f>
        <v/>
      </c>
      <c r="F19" s="35" t="str">
        <f ca="1">IFERROR(IF(AND(INDEX(Tab_DaBa[],MATCH(CONCATENATE(Liste!$C$3,$B$5,$B$7),Data!$BO:$BO,0)-2,38)&lt;&gt;"",INDEX(Tab_DaBa[],MATCH(CONCATENATE(Liste!$C$3,$B$5,$B$7),Data!$BO:$BO,0)-2,43)=""),INDEX(Tab_DaBa[],MATCH(CONCATENATE(Liste!$C$3,$B$5,$B$7),Data!$BO:$BO,0)-2,13),IF(INDEX(Tab_DaBa[],MATCH(CONCATENATE(Liste!$C$3,$B$5,$B$7),Data!$BO:$BO,0)-2,38)&lt;&gt;"",INDEX(Tab_DaBa[],MATCH(CONCATENATE(Liste!$C$3,$B$5,$B$7),Data!$BO:$BO,0)-2,43),"")),"")</f>
        <v/>
      </c>
      <c r="G19" s="38" t="str">
        <f ca="1">IF(H17="","",4)</f>
        <v/>
      </c>
      <c r="H19" s="35" t="str">
        <f ca="1">IFERROR(IF(AND(INDEX(Tab_DaBa[],MATCH(CONCATENATE(Liste!$C$3,$B$5,$B$7),Data!$BO:$BO,0)-2,43)&lt;&gt;"",INDEX(Tab_DaBa[],MATCH(CONCATENATE(Liste!$C$3,$B$5,$B$7),Data!$BO:$BO,0)-2,48)=""),INDEX(Tab_DaBa[],MATCH(CONCATENATE(Liste!$C$3,$B$5,$B$7),Data!$BO:$BO,0)-2,13),IF(INDEX(Tab_DaBa[],MATCH(CONCATENATE(Liste!$C$3,$B$5,$B$7),Data!$BO:$BO,0)-2,43)&lt;&gt;"",INDEX(Tab_DaBa[],MATCH(CONCATENATE(Liste!$C$3,$B$5,$B$7),Data!$BO:$BO,0)-2,48),"")),"")</f>
        <v/>
      </c>
      <c r="I19" s="38" t="str">
        <f ca="1">IF(B25="","",6)</f>
        <v/>
      </c>
    </row>
    <row r="20" spans="2:9" s="16" customFormat="1" ht="15.75">
      <c r="B20" s="35" t="str">
        <f ca="1">IFERROR(IF(AND(INDEX(Tab_DaBa[],MATCH(CONCATENATE(Liste!$C$3,$B$5,$B$7),Data!$BO:$BO,0)-2,28)&lt;&gt;"",INDEX(Tab_DaBa[],MATCH(CONCATENATE(Liste!$C$3,$B$5,$B$7),Data!$BO:$BO,0)-2,33)=""),"Performance Level: "&amp;INDEX(Tab_DaBa[],MATCH(CONCATENATE(Liste!$C$3,$B$5,$B$7),Data!$BO:$BO,0)-2,15),IF(INDEX(Tab_DaBa[],MATCH(CONCATENATE(Liste!$C$3,$B$5,$B$7),Data!$BO:$BO,0)-2,28)&lt;&gt;"","Performance Level: "&amp;INDEX(Tab_DaBa[],MATCH(CONCATENATE(Liste!$C$3,$B$5,$B$7),Data!$BO:$BO,0)-2,35),"")),"")</f>
        <v/>
      </c>
      <c r="C20" s="39"/>
      <c r="D20" s="35" t="str">
        <f ca="1">IFERROR(IF(AND(INDEX(Tab_DaBa[],MATCH(CONCATENATE(Liste!$C$3,$B$5,$B$7),Data!$BO:$BO,0)-2,33)&lt;&gt;"",INDEX(Tab_DaBa[],MATCH(CONCATENATE(Liste!$C$3,$B$5,$B$7),Data!$BO:$BO,0)-2,38)=""),"Performance Level: "&amp;INDEX(Tab_DaBa[],MATCH(CONCATENATE(Liste!$C$3,$B$5,$B$7),Data!$BO:$BO,0)-2,15),IF(INDEX(Tab_DaBa[],MATCH(CONCATENATE(Liste!$C$3,$B$5,$B$7),Data!$BO:$BO,0)-2,33)&lt;&gt;"","Performance Level: "&amp;INDEX(Tab_DaBa[],MATCH(CONCATENATE(Liste!$C$3,$B$5,$B$7),Data!$BO:$BO,0)-2,40),"")),"")</f>
        <v/>
      </c>
      <c r="E20" s="37"/>
      <c r="F20" s="35" t="str">
        <f ca="1">IFERROR(IF(AND(INDEX(Tab_DaBa[],MATCH(CONCATENATE(Liste!$C$3,$B$5,$B$7),Data!$BO:$BO,0)-2,38)&lt;&gt;"",INDEX(Tab_DaBa[],MATCH(CONCATENATE(Liste!$C$3,$B$5,$B$7),Data!$BO:$BO,0)-2,43)=""),"Performance Level: "&amp;INDEX(Tab_DaBa[],MATCH(CONCATENATE(Liste!$C$3,$B$5,$B$7),Data!$BO:$BO,0)-2,15),IF(INDEX(Tab_DaBa[],MATCH(CONCATENATE(Liste!$C$3,$B$5,$B$7),Data!$BO:$BO,0)-2,38)&lt;&gt;"","Performance Level: "&amp;INDEX(Tab_DaBa[],MATCH(CONCATENATE(Liste!$C$3,$B$5,$B$7),Data!$BO:$BO,0)-2,45),"")),"")</f>
        <v/>
      </c>
      <c r="G20" s="39"/>
      <c r="H20" s="35" t="str">
        <f ca="1">IFERROR(IF(AND(INDEX(Tab_DaBa[],MATCH(CONCATENATE(Liste!$C$3,$B$5,$B$7),Data!$BO:$BO,0)-2,43)&lt;&gt;"",INDEX(Tab_DaBa[],MATCH(CONCATENATE(Liste!$C$3,$B$5,$B$7),Data!$BO:$BO,0)-2,48)=""),"Performance Level: "&amp;INDEX(Tab_DaBa[],MATCH(CONCATENATE(Liste!$C$3,$B$5,$B$7),Data!$BO:$BO,0)-2,15),IF(INDEX(Tab_DaBa[],MATCH(CONCATENATE(Liste!$C$3,$B$5,$B$7),Data!$BO:$BO,0)-2,43)&lt;&gt;"","Performance Level: "&amp;INDEX(Tab_DaBa[],MATCH(CONCATENATE(Liste!$C$3,$B$5,$B$7),Data!$BO:$BO,0)-2,50),"")),"")</f>
        <v/>
      </c>
      <c r="I20" s="39"/>
    </row>
    <row r="21" spans="2:9" s="16" customFormat="1" ht="15.75">
      <c r="B21" s="35" t="str">
        <f ca="1">IFERROR(IF(AND(INDEX(Tab_DaBa[],MATCH(CONCATENATE(Liste!$C$3,$B$5,$B$7),Data!$BO:$BO,0)-2,28)&lt;&gt;"",INDEX(Tab_DaBa[],MATCH(CONCATENATE(Liste!$C$3,$B$5,$B$7),Data!$BO:$BO,0)-2,33)=""),"PFH [1/h] = "&amp;10^9*INDEX(Tab_DaBa[],MATCH(CONCATENATE(Liste!$C$3,$B$5,$B$7),Data!$BO:$BO,0)-2,16)&amp;"E-9",IF(INDEX(Tab_DaBa[],MATCH(CONCATENATE(Liste!$C$3,$B$5,$B$7),Data!$BO:$BO,0)-2,28)&lt;&gt;"","PFH [1/h] = "&amp;10^9*INDEX(Tab_DaBa[],MATCH(CONCATENATE(Liste!$C$3,$B$5,$B$7),Data!$BO:$BO,0)-2,36)&amp;"E-9","")),"")</f>
        <v/>
      </c>
      <c r="C21" s="39"/>
      <c r="D21" s="35" t="str">
        <f ca="1">IFERROR(IF(AND(INDEX(Tab_DaBa[],MATCH(CONCATENATE(Liste!$C$3,$B$5,$B$7),Data!$BO:$BO,0)-2,33)&lt;&gt;"",INDEX(Tab_DaBa[],MATCH(CONCATENATE(Liste!$C$3,$B$5,$B$7),Data!$BO:$BO,0)-2,38)=""),"PFH [1/h] = "&amp;10^9*INDEX(Tab_DaBa[],MATCH(CONCATENATE(Liste!$C$3,$B$5,$B$7),Data!$BO:$BO,0)-2,16)&amp;"E-9",IF(INDEX(Tab_DaBa[],MATCH(CONCATENATE(Liste!$C$3,$B$5,$B$7),Data!$BO:$BO,0)-2,33)&lt;&gt;"","PFH [1/h] = "&amp;10^9*INDEX(Tab_DaBa[],MATCH(CONCATENATE(Liste!$C$3,$B$5,$B$7),Data!$BO:$BO,0)-2,41)&amp;"E-9","")),"")</f>
        <v/>
      </c>
      <c r="E21" s="37"/>
      <c r="F21" s="35" t="str">
        <f ca="1">IFERROR(IF(AND(INDEX(Tab_DaBa[],MATCH(CONCATENATE(Liste!$C$3,$B$5,$B$7),Data!$BO:$BO,0)-2,38)&lt;&gt;"",INDEX(Tab_DaBa[],MATCH(CONCATENATE(Liste!$C$3,$B$5,$B$7),Data!$BO:$BO,0)-2,43)=""),"PFH [1/h] = "&amp;10^9*INDEX(Tab_DaBa[],MATCH(CONCATENATE(Liste!$C$3,$B$5,$B$7),Data!$BO:$BO,0)-2,16)&amp;"E-9",IF(INDEX(Tab_DaBa[],MATCH(CONCATENATE(Liste!$C$3,$B$5,$B$7),Data!$BO:$BO,0)-2,38)&lt;&gt;"","PFH [1/h] = "&amp;10^9*INDEX(Tab_DaBa[],MATCH(CONCATENATE(Liste!$C$3,$B$5,$B$7),Data!$BO:$BO,0)-2,46)&amp;"E-9","")),"")</f>
        <v/>
      </c>
      <c r="G21" s="39"/>
      <c r="H21" s="35" t="str">
        <f ca="1">IFERROR(IF(AND(INDEX(Tab_DaBa[],MATCH(CONCATENATE(Liste!$C$3,$B$5,$B$7),Data!$BO:$BO,0)-2,43)&lt;&gt;"",INDEX(Tab_DaBa[],MATCH(CONCATENATE(Liste!$C$3,$B$5,$B$7),Data!$BO:$BO,0)-2,48)=""),"PFH [1/h] = "&amp;10^9*INDEX(Tab_DaBa[],MATCH(CONCATENATE(Liste!$C$3,$B$5,$B$7),Data!$BO:$BO,0)-2,16)&amp;"E-9",IF(INDEX(Tab_DaBa[],MATCH(CONCATENATE(Liste!$C$3,$B$5,$B$7),Data!$BO:$BO,0)-2,43)&lt;&gt;"","PFH [1/h] = "&amp;10^9*INDEX(Tab_DaBa[],MATCH(CONCATENATE(Liste!$C$3,$B$5,$B$7),Data!$BO:$BO,0)-2,51)&amp;"E-9","")),"")</f>
        <v/>
      </c>
      <c r="I21" s="39"/>
    </row>
    <row r="22" spans="2:9" s="16" customFormat="1">
      <c r="B22" s="33"/>
      <c r="C22" s="33"/>
      <c r="D22" s="33"/>
      <c r="E22" s="33"/>
      <c r="F22" s="33"/>
      <c r="G22" s="33"/>
      <c r="H22" s="33"/>
      <c r="I22" s="33"/>
    </row>
    <row r="23" spans="2:9" s="16" customFormat="1" ht="15.75">
      <c r="B23" s="38" t="str">
        <f ca="1">IF(B25="","",6)</f>
        <v/>
      </c>
      <c r="C23" s="33"/>
      <c r="D23" s="38" t="str">
        <f ca="1">IF(B25="","",3)</f>
        <v/>
      </c>
      <c r="E23" s="33"/>
      <c r="F23" s="38" t="str">
        <f ca="1">IF(B25="","",3)</f>
        <v/>
      </c>
      <c r="G23" s="33"/>
      <c r="H23" s="38" t="str">
        <f ca="1">IF(B25="","",3)</f>
        <v/>
      </c>
      <c r="I23" s="33"/>
    </row>
    <row r="24" spans="2:9" s="16" customFormat="1" ht="15.75">
      <c r="B24" s="39"/>
      <c r="C24" s="33"/>
      <c r="D24" s="33"/>
      <c r="E24" s="33"/>
      <c r="F24" s="33"/>
      <c r="G24" s="33"/>
      <c r="H24" s="33"/>
      <c r="I24" s="33"/>
    </row>
    <row r="25" spans="2:9" s="16" customFormat="1" ht="15.75">
      <c r="B25" s="35" t="str">
        <f ca="1">IFERROR(IF(AND(INDEX(Tab_DaBa[],MATCH(CONCATENATE(Liste!$C$3,$B$5,$B$7),Data!$BO:$BO,0)-2,48)&lt;&gt;"",INDEX(Tab_DaBa[],MATCH(CONCATENATE(Liste!$C$3,$B$5,$B$7),Data!$BO:$BO,0)-2,53)=0),INDEX(Tab_DaBa[],MATCH(CONCATENATE(Liste!$C$3,$B$5,$B$7),Data!$BO:$BO,0)-2,14),IF(INDEX(Tab_DaBa[],MATCH(CONCATENATE(Liste!$C$3,$B$5,$B$7),Data!$BO:$BO,0)-2,48)&lt;&gt;"",INDEX(Tab_DaBa[],MATCH(CONCATENATE(Liste!$C$3,$B$5,$B$7),Data!$BO:$BO,0)-2,54),"")),"")</f>
        <v/>
      </c>
      <c r="C25" s="39"/>
      <c r="D25" s="35" t="str">
        <f ca="1">IFERROR(IF(AND(INDEX(Tab_DaBa[],MATCH(CONCATENATE(Liste!$C$3,$B$5,$B$7),Data!$BO:$BO,0)-2,53)&lt;&gt;"",INDEX(Tab_DaBa[],MATCH(CONCATENATE(Liste!$C$3,$B$5,$B$7),Data!$BO:$BO,0)-2,58)=0),INDEX(Tab_DaBa[],MATCH(CONCATENATE(Liste!$C$3,$B$5,$B$7),Data!$BO:$BO,0)-2,14),IF(INDEX(Tab_DaBa[],MATCH(CONCATENATE(Liste!$C$3,$B$5,$B$7),Data!$BO:$BO,0)-2,53)&lt;&gt;"",INDEX(Tab_DaBa[],MATCH(CONCATENATE(Liste!$C$3,$B$5,$B$7),Data!$BO:$BO,0)-2,59),"")),"")</f>
        <v/>
      </c>
      <c r="E25" s="33"/>
      <c r="F25" s="35" t="str">
        <f ca="1">IFERROR(IF(AND(INDEX(Tab_DaBa[],MATCH(CONCATENATE(Liste!$C$3,$B$5,$B$7),Data!$BO:$BO,0)-2,58)&lt;&gt;"",INDEX(Tab_DaBa[],MATCH(CONCATENATE(Liste!$C$3,$B$5,$B$7),Data!$BO:$BO,0)-2,63)=0),INDEX(Tab_DaBa[],MATCH(CONCATENATE(Liste!$C$3,$B$5,$B$7),Data!$BO:$BO,0)-2,14),IF(INDEX(Tab_DaBa[],MATCH(CONCATENATE(Liste!$C$3,$B$5,$B$7),Data!$BO:$BO,0)-2,58)&lt;&gt;"",INDEX(Tab_DaBa[],MATCH(CONCATENATE(Liste!$C$3,$B$5,$B$7),Data!$BO:$BO,0)-2,64),"")),"")</f>
        <v/>
      </c>
      <c r="G25" s="39"/>
      <c r="H25" s="35" t="str">
        <f ca="1">IFERROR(IF(INDEX(Tab_DaBa[],MATCH(CONCATENATE(Liste!$C$3,$B$5,$B$7),Data!$BO:$BO,0)-2,63)&lt;&gt;"",INDEX(Tab_DaBa[],MATCH(CONCATENATE(Liste!$C$3,$B$5,$B$7),Data!$BO:$BO,0)-2,14),""),"")</f>
        <v/>
      </c>
    </row>
    <row r="26" spans="2:9" s="16" customFormat="1" ht="15.75">
      <c r="B26" s="35" t="str">
        <f ca="1">IFERROR(IF(AND(INDEX(Tab_DaBa[],MATCH(CONCATENATE(Liste!$C$3,$B$5,$B$7),Data!$BO:$BO,0)-2,48)&lt;&gt;"",INDEX(Tab_DaBa[],MATCH(CONCATENATE(Liste!$C$3,$B$5,$B$7),Data!$BO:$BO,0)-2,53)=0),INDEX(Tab_DaBa[],MATCH(CONCATENATE(Liste!$C$3,$B$5,$B$7),Data!$BO:$BO,0)-2,12),IF(INDEX(Tab_DaBa[],MATCH(CONCATENATE(Liste!$C$3,$B$5,$B$7),Data!$BO:$BO,0)-2,48)&lt;&gt;"",INDEX(Tab_DaBa[],MATCH(CONCATENATE(Liste!$C$3,$B$5,$B$7),Data!$BO:$BO,0)-2,52),"")),"")</f>
        <v/>
      </c>
      <c r="C26" s="39"/>
      <c r="D26" s="35" t="str">
        <f ca="1">IFERROR(IF(AND(INDEX(Tab_DaBa[],MATCH(CONCATENATE(Liste!$C$3,$B$5,$B$7),Data!$BO:$BO,0)-2,53)&lt;&gt;"",INDEX(Tab_DaBa[],MATCH(CONCATENATE(Liste!$C$3,$B$5,$B$7),Data!$BO:$BO,0)-2,58)=0),INDEX(Tab_DaBa[],MATCH(CONCATENATE(Liste!$C$3,$B$5,$B$7),Data!$BO:$BO,0)-2,12),IF(INDEX(Tab_DaBa[],MATCH(CONCATENATE(Liste!$C$3,$B$5,$B$7),Data!$BO:$BO,0)-2,53)&lt;&gt;"",INDEX(Tab_DaBa[],MATCH(CONCATENATE(Liste!$C$3,$B$5,$B$7),Data!$BO:$BO,0)-2,57),"")),"")</f>
        <v/>
      </c>
      <c r="E26" s="37"/>
      <c r="F26" s="35" t="str">
        <f ca="1">IFERROR(IF(AND(INDEX(Tab_DaBa[],MATCH(CONCATENATE(Liste!$C$3,$B$5,$B$7),Data!$BO:$BO,0)-2,58)&lt;&gt;"",INDEX(Tab_DaBa[],MATCH(CONCATENATE(Liste!$C$3,$B$5,$B$7),Data!$BO:$BO,0)-2,63)=0),INDEX(Tab_DaBa[],MATCH(CONCATENATE(Liste!$C$3,$B$5,$B$7),Data!$BO:$BO,0)-2,12),IF(INDEX(Tab_DaBa[],MATCH(CONCATENATE(Liste!$C$3,$B$5,$B$7),Data!$BO:$BO,0)-2,58)&lt;&gt;"",INDEX(Tab_DaBa[],MATCH(CONCATENATE(Liste!$C$3,$B$5,$B$7),Data!$BO:$BO,0)-2,62),"")),"")</f>
        <v/>
      </c>
      <c r="G26" s="39"/>
      <c r="H26" s="35" t="str">
        <f ca="1">IFERROR(IF(INDEX(Tab_DaBa[],MATCH(CONCATENATE(Liste!$C$3,$B$5,$B$7),Data!$BO:$BO,0)-2,63)&lt;&gt;"",INDEX(Tab_DaBa[],MATCH(CONCATENATE(Liste!$C$3,$B$5,$B$7),Data!$BO:$BO,0)-2,12),""),"")</f>
        <v/>
      </c>
    </row>
    <row r="27" spans="2:9" s="16" customFormat="1" ht="15.75">
      <c r="B27" s="35" t="str">
        <f ca="1">IFERROR(IF(AND(INDEX(Tab_DaBa[],MATCH(CONCATENATE(Liste!$C$3,$B$5,$B$7),Data!$BO:$BO,0)-2,48)&lt;&gt;"",INDEX(Tab_DaBa[],MATCH(CONCATENATE(Liste!$C$3,$B$5,$B$7),Data!$BO:$BO,0)-2,53)=""),INDEX(Tab_DaBa[],MATCH(CONCATENATE(Liste!$C$3,$B$5,$B$7),Data!$BO:$BO,0)-2,13),IF(INDEX(Tab_DaBa[],MATCH(CONCATENATE(Liste!$C$3,$B$5,$B$7),Data!$BO:$BO,0)-2,48)&lt;&gt;"",INDEX(Tab_DaBa[],MATCH(CONCATENATE(Liste!$C$3,$B$5,$B$7),Data!$BO:$BO,0)-2,53),"")),"")</f>
        <v/>
      </c>
      <c r="C27" s="38" t="str">
        <f ca="1">IF(D25="","",4)</f>
        <v/>
      </c>
      <c r="D27" s="35" t="str">
        <f ca="1">IFERROR(IF(AND(INDEX(Tab_DaBa[],MATCH(CONCATENATE(Liste!$C$3,$B$5,$B$7),Data!$BO:$BO,0)-2,53)&lt;&gt;"",INDEX(Tab_DaBa[],MATCH(CONCATENATE(Liste!$C$3,$B$5,$B$7),Data!$BO:$BO,0)-2,58)=""),INDEX(Tab_DaBa[],MATCH(CONCATENATE(Liste!$C$3,$B$5,$B$7),Data!$BO:$BO,0)-2,13),IF(INDEX(Tab_DaBa[],MATCH(CONCATENATE(Liste!$C$3,$B$5,$B$7),Data!$BO:$BO,0)-2,53)&lt;&gt;"",INDEX(Tab_DaBa[],MATCH(CONCATENATE(Liste!$C$3,$B$5,$B$7),Data!$BO:$BO,0)-2,58),"")),"")</f>
        <v/>
      </c>
      <c r="E27" s="38" t="str">
        <f ca="1">IF(F25="","",4)</f>
        <v/>
      </c>
      <c r="F27" s="35" t="str">
        <f ca="1">IFERROR(IF(AND(INDEX(Tab_DaBa[],MATCH(CONCATENATE(Liste!$C$3,$B$5,$B$7),Data!$BO:$BO,0)-2,58)&lt;&gt;"",INDEX(Tab_DaBa[],MATCH(CONCATENATE(Liste!$C$3,$B$5,$B$7),Data!$BO:$BO,0)-2,63)=""),INDEX(Tab_DaBa[],MATCH(CONCATENATE(Liste!$C$3,$B$5,$B$7),Data!$BO:$BO,0)-2,13),IF(INDEX(Tab_DaBa[],MATCH(CONCATENATE(Liste!$C$3,$B$5,$B$7),Data!$BO:$BO,0)-2,58)&lt;&gt;"",INDEX(Tab_DaBa[],MATCH(CONCATENATE(Liste!$C$3,$B$5,$B$7),Data!$BO:$BO,0)-2,63),"")),"")</f>
        <v/>
      </c>
      <c r="G27" s="38" t="str">
        <f ca="1">IF(H25="","",4)</f>
        <v/>
      </c>
      <c r="H27" s="35" t="str">
        <f ca="1">IFERROR(IF(INDEX(Tab_DaBa[],MATCH(CONCATENATE(Liste!$C$3,$B$5,$B$7),Data!$BO:$BO,0)-2,63)&lt;&gt;"",INDEX(Tab_DaBa[],MATCH(CONCATENATE(Liste!$C$3,$B$5,$B$7),Data!$BO:$BO,0)-2,13),""),"")</f>
        <v/>
      </c>
    </row>
    <row r="28" spans="2:9" s="16" customFormat="1" ht="15.75">
      <c r="B28" s="35" t="str">
        <f ca="1">IFERROR(IF(AND(INDEX(Tab_DaBa[],MATCH(CONCATENATE(Liste!$C$3,$B$5,$B$7),Data!$BO:$BO,0)-2,48)&lt;&gt;"",INDEX(Tab_DaBa[],MATCH(CONCATENATE(Liste!$C$3,$B$5,$B$7),Data!$BO:$BO,0)-2,53)=""),"Performance Level: "&amp;INDEX(Tab_DaBa[],MATCH(CONCATENATE(Liste!$C$3,$B$5,$B$7),Data!$BO:$BO,0)-2,15),IF(INDEX(Tab_DaBa[],MATCH(CONCATENATE(Liste!$C$3,$B$5,$B$7),Data!$BO:$BO,0)-2,48)&lt;&gt;"","Performance Level: "&amp;INDEX(Tab_DaBa[],MATCH(CONCATENATE(Liste!$C$3,$B$5,$B$7),Data!$BO:$BO,0)-2,55),"")),"")</f>
        <v/>
      </c>
      <c r="C28" s="39"/>
      <c r="D28" s="35" t="str">
        <f ca="1">IFERROR(IF(AND(INDEX(Tab_DaBa[],MATCH(CONCATENATE(Liste!$C$3,$B$5,$B$7),Data!$BO:$BO,0)-2,53)&lt;&gt;"",INDEX(Tab_DaBa[],MATCH(CONCATENATE(Liste!$C$3,$B$5,$B$7),Data!$BO:$BO,0)-2,58)=""),"Performance Level: "&amp;INDEX(Tab_DaBa[],MATCH(CONCATENATE(Liste!$C$3,$B$5,$B$7),Data!$BO:$BO,0)-2,15),IF(INDEX(Tab_DaBa[],MATCH(CONCATENATE(Liste!$C$3,$B$5,$B$7),Data!$BO:$BO,0)-2,53)&lt;&gt;"","Performance Level: "&amp;INDEX(Tab_DaBa[],MATCH(CONCATENATE(Liste!$C$3,$B$5,$B$7),Data!$BO:$BO,0)-2,60),"")),"")</f>
        <v/>
      </c>
      <c r="E28" s="37"/>
      <c r="F28" s="35" t="str">
        <f ca="1">IFERROR(IF(AND(INDEX(Tab_DaBa[],MATCH(CONCATENATE(Liste!$C$3,$B$5,$B$7),Data!$BO:$BO,0)-2,58)&lt;&gt;"",INDEX(Tab_DaBa[],MATCH(CONCATENATE(Liste!$C$3,$B$5,$B$7),Data!$BO:$BO,0)-2,63)=""),"Performance Level: "&amp;INDEX(Tab_DaBa[],MATCH(CONCATENATE(Liste!$C$3,$B$5,$B$7),Data!$BO:$BO,0)-2,15),IF(INDEX(Tab_DaBa[],MATCH(CONCATENATE(Liste!$C$3,$B$5,$B$7),Data!$BO:$BO,0)-2,58)&lt;&gt;"","Performance Level: "&amp;INDEX(Tab_DaBa[],MATCH(CONCATENATE(Liste!$C$3,$B$5,$B$7),Data!$BO:$BO,0)-2,65),"")),"")</f>
        <v/>
      </c>
      <c r="G28" s="39"/>
      <c r="H28" s="35" t="str">
        <f ca="1">IFERROR(IF(INDEX(Tab_DaBa[],MATCH(CONCATENATE(Liste!$C$3,$B$5,$B$7),Data!$BO:$BO,0)-2,63)&lt;&gt;"","Performance Level: "&amp;INDEX(Tab_DaBa[],MATCH(CONCATENATE(Liste!$C$3,$B$5,$B$7),Data!$BO:$BO,0)-2,15),""),"")</f>
        <v/>
      </c>
    </row>
    <row r="29" spans="2:9" s="16" customFormat="1" ht="15.75">
      <c r="B29" s="35" t="str">
        <f ca="1">IFERROR(IF(AND(INDEX(Tab_DaBa[],MATCH(CONCATENATE(Liste!$C$3,$B$5,$B$7),Data!$BO:$BO,0)-2,48)&lt;&gt;"",INDEX(Tab_DaBa[],MATCH(CONCATENATE(Liste!$C$3,$B$5,$B$7),Data!$BO:$BO,0)-2,53)=""),"PFH [1/h] = "&amp;10^9*INDEX(Tab_DaBa[],MATCH(CONCATENATE(Liste!$C$3,$B$5,$B$7),Data!$BO:$BO,0)-2,16)&amp;"E-9",IF(INDEX(Tab_DaBa[],MATCH(CONCATENATE(Liste!$C$3,$B$5,$B$7),Data!$BO:$BO,0)-2,48)&lt;&gt;"","PFH [1/h] = "&amp;10^9*INDEX(Tab_DaBa[],MATCH(CONCATENATE(Liste!$C$3,$B$5,$B$7),Data!$BO:$BO,0)-2,56)&amp;"E-9","")),"")</f>
        <v/>
      </c>
      <c r="C29" s="39"/>
      <c r="D29" s="35" t="str">
        <f ca="1">IFERROR(IF(AND(INDEX(Tab_DaBa[],MATCH(CONCATENATE(Liste!$C$3,$B$5,$B$7),Data!$BO:$BO,0)-2,53)&lt;&gt;"",INDEX(Tab_DaBa[],MATCH(CONCATENATE(Liste!$C$3,$B$5,$B$7),Data!$BO:$BO,0)-2,58)=""),"PFH [1/h] = "&amp;10^9*INDEX(Tab_DaBa[],MATCH(CONCATENATE(Liste!$C$3,$B$5,$B$7),Data!$BO:$BO,0)-2,16)&amp;"E-9",IF(INDEX(Tab_DaBa[],MATCH(CONCATENATE(Liste!$C$3,$B$5,$B$7),Data!$BO:$BO,0)-2,53)&lt;&gt;"","PFH [1/h] = "&amp;10^9*INDEX(Tab_DaBa[],MATCH(CONCATENATE(Liste!$C$3,$B$5,$B$7),Data!$BO:$BO,0)-2,61)&amp;"E-9","")),"")</f>
        <v/>
      </c>
      <c r="E29" s="37"/>
      <c r="F29" s="35" t="str">
        <f ca="1">IFERROR(IF(AND(INDEX(Tab_DaBa[],MATCH(CONCATENATE(Liste!$C$3,$B$5,$B$7),Data!$BO:$BO,0)-2,58)&lt;&gt;"",INDEX(Tab_DaBa[],MATCH(CONCATENATE(Liste!$C$3,$B$5,$B$7),Data!$BO:$BO,0)-2,63)=""),"PFH [1/h] = "&amp;10^9*INDEX(Tab_DaBa[],MATCH(CONCATENATE(Liste!$C$3,$B$5,$B$7),Data!$BO:$BO,0)-2,16)&amp;"E-9",IF(INDEX(Tab_DaBa[],MATCH(CONCATENATE(Liste!$C$3,$B$5,$B$7),Data!$BO:$BO,0)-2,58)&lt;&gt;"","PFH [1/h] = "&amp;10^9*INDEX(Tab_DaBa[],MATCH(CONCATENATE(Liste!$C$3,$B$5,$B$7),Data!$BO:$BO,0)-2,66)&amp;"E-9","")),"")</f>
        <v/>
      </c>
      <c r="G29" s="39"/>
      <c r="H29" s="35" t="str">
        <f ca="1">IFERROR(IF(INDEX(Tab_DaBa[],MATCH(CONCATENATE(Liste!$C$3,$B$5,$B$7),Data!$BO:$BO,0)-2,63)&lt;&gt;"","PFH [1/h] = "&amp;10^9*INDEX(Tab_DaBa[],MATCH(CONCATENATE(Liste!$C$3,$B$5,$B$7),Data!$BO:$BO,0)-2,16)&amp;"E-9",""),"")</f>
        <v/>
      </c>
    </row>
    <row r="30" spans="2:9" s="16" customFormat="1"/>
    <row r="31" spans="2:9" s="16" customFormat="1">
      <c r="B31" s="43" t="str">
        <f ca="1">IF(D31="","","Erforderlich")</f>
        <v>Erforderlich</v>
      </c>
      <c r="D31" s="44" t="str">
        <f ca="1">IFERROR("Performance Level: "&amp;INDEX(Tab_DaBa[],MATCH(CONCATENATE(Liste!$C$3,$B$5,$B$7),Data!$BO:$BO,0)-2,4),"")</f>
        <v>Performance Level: PLr_ges0</v>
      </c>
    </row>
    <row r="32" spans="2:9" s="16" customFormat="1">
      <c r="B32" s="45"/>
    </row>
    <row r="33" spans="2:9" s="16" customFormat="1">
      <c r="B33" s="46" t="str">
        <f ca="1">IF(D33="","","Erreicht")</f>
        <v>Erreicht</v>
      </c>
      <c r="D33" s="47" t="str">
        <f ca="1">IFERROR("Performance Level: "&amp;INDEX(Tab_DaBa[],MATCH(CONCATENATE(Liste!$C$3,$B$5,$B$7),Data!$BO:$BO,0)-2,5)&amp;"          PFH [1/h] = "&amp;10^9*INDEX(Tab_DaBa[],MATCH(CONCATENATE(Liste!$C$3,$B$5,$B$7),Data!$BO:$BO,0)-2,6)&amp;"E-9","")</f>
        <v>Performance Level: Pl_ges0          PFH [1/h] = 0,7E-9</v>
      </c>
    </row>
    <row r="34" spans="2:9" s="16" customFormat="1"/>
    <row r="35" spans="2:9" s="16" customFormat="1">
      <c r="B35" s="42" t="str">
        <f ca="1">IFERROR(IF(2&gt;COUNTIF(Data!$BP:$BP,CONCATENATE(Liste!$C$3,$B$5)),"",INDEX(Tab_DaBa[],MATCH(CONCATENATE(Liste!$C$3,$B$5),Data!$BP:$BP,0)-1,3)),"")</f>
        <v>1.1 test1 (E+1L+A)</v>
      </c>
    </row>
    <row r="36" spans="2:9" s="16" customFormat="1"/>
    <row r="37" spans="2:9" s="16" customFormat="1" ht="15.75">
      <c r="B37" s="35" t="str">
        <f ca="1">IFERROR(INDEX(Tab_DaBa[],MATCH(CONCATENATE(Liste!$C$3,$B$5,$B$35),Data!$BO:$BO,0)-2,9),"")</f>
        <v>Eingang</v>
      </c>
      <c r="C37" s="40"/>
      <c r="D37" s="35" t="str">
        <f ca="1">IFERROR(IF(INDEX(Tab_DaBa[],MATCH(CONCATENATE(Liste!$C$3,$B$5,$B$35),Data!$BO:$BO,0)-2,18)=0,INDEX(Tab_DaBa[],MATCH(CONCATENATE(Liste!$C$3,$B$5,$B$35),Data!$BO:$BO,0)-2,14),INDEX(Tab_DaBa[],MATCH(CONCATENATE(Liste!$C$3,$B$5,$B$35),Data!$BO:$BO,0)-2,19)),"")</f>
        <v>Logik 01</v>
      </c>
      <c r="E37" s="33"/>
      <c r="F37" s="35" t="str">
        <f ca="1">IFERROR(IF(AND(INDEX(Tab_DaBa[],MATCH(CONCATENATE(Liste!$C$3,$B$5,$B$35),Data!$BO:$BO,0)-2,18)&lt;&gt;"",INDEX(Tab_DaBa[],MATCH(CONCATENATE(Liste!$C$3,$B$5,$B$35),Data!$BO:$BO,0)-2,23)=0),INDEX(Tab_DaBa[],MATCH(CONCATENATE(Liste!$C$3,$B$5,$B$35),Data!$BO:$BO,0)-2,14),IF(INDEX(Tab_DaBa[],MATCH(CONCATENATE(Liste!$C$3,$B$5,$B$35),Data!$BO:$BO,0)-2,23)&lt;&gt;"",INDEX(Tab_DaBa[],MATCH(CONCATENATE(Liste!$C$3,$B$5,$B$35),Data!$BO:$BO,0)-2,24),"")),"")</f>
        <v>Ausgang</v>
      </c>
      <c r="G37" s="39"/>
      <c r="H37" s="35" t="str">
        <f ca="1">IFERROR(IF(AND(INDEX(Tab_DaBa[],MATCH(CONCATENATE(Liste!$C$3,$B$5,$B$35),Data!$BO:$BO,0)-2,23)&lt;&gt;"",INDEX(Tab_DaBa[],MATCH(CONCATENATE(Liste!$C$3,$B$5,$B$35),Data!$BO:$BO,0)-2,28)=0),INDEX(Tab_DaBa[],MATCH(CONCATENATE(Liste!$C$3,$B$5,$B$35),Data!$BO:$BO,0)-2,14),IF(INDEX(Tab_DaBa[],MATCH(CONCATENATE(Liste!$C$3,$B$5,$B$35),Data!$BO:$BO,0)-2,23)&lt;&gt;"",INDEX(Tab_DaBa[],MATCH(CONCATENATE(Liste!$C$3,$B$5,$B$35),Data!$BO:$BO,0)-2,29),"")),"")</f>
        <v/>
      </c>
      <c r="I37" s="39"/>
    </row>
    <row r="38" spans="2:9" s="16" customFormat="1" ht="15.75">
      <c r="B38" s="35" t="str">
        <f ca="1">IFERROR(INDEX(Tab_DaBa[],MATCH(CONCATENATE(Liste!$C$3,$B$5,$B$35),Data!$BO:$BO,0)-2,7),"")</f>
        <v>eeee-11_1</v>
      </c>
      <c r="C38" s="40"/>
      <c r="D38" s="35" t="str">
        <f ca="1">IFERROR(IF(INDEX(Tab_DaBa[],MATCH(CONCATENATE(Liste!$C$3,$B$5,$B$35),Data!$BO:$BO,0)-2,18)="",INDEX(Tab_DaBa[],MATCH(CONCATENATE(Liste!$C$3,$B$5,$B$35),Data!$BO:$BO,0)-2,12),INDEX(Tab_DaBa[],MATCH(CONCATENATE(Liste!$C$3,$B$5,$B$35),Data!$BO:$BO,0)-2,17)),"")</f>
        <v>Log01-01_01</v>
      </c>
      <c r="E38" s="36"/>
      <c r="F38" s="35" t="str">
        <f ca="1">IFERROR(IF(AND(INDEX(Tab_DaBa[],MATCH(CONCATENATE(Liste!$C$3,$B$5,$B$35),Data!$BO:$BO,0)-2,18)&lt;&gt;"",INDEX(Tab_DaBa[],MATCH(CONCATENATE(Liste!$C$3,$B$5,$B$35),Data!$BO:$BO,0)-2,23)=0),INDEX(Tab_DaBa[],MATCH(CONCATENATE(Liste!$C$3,$B$5,$B$35),Data!$BO:$BO,0)-2,12),IF(INDEX(Tab_DaBa[],MATCH(CONCATENATE(Liste!$C$3,$B$5,$B$35),Data!$BO:$BO,0)-2,23)&lt;&gt;"",INDEX(Tab_DaBa[],MATCH(CONCATENATE(Liste!$C$3,$B$5,$B$35),Data!$BO:$BO,0)-2,22),"")),"")</f>
        <v>aaaa-11_1</v>
      </c>
      <c r="G38" s="39"/>
      <c r="H38" s="35" t="str">
        <f ca="1">IFERROR(IF(AND(INDEX(Tab_DaBa[],MATCH(CONCATENATE(Liste!$C$3,$B$5,$B$35),Data!$BO:$BO,0)-2,23)&lt;&gt;"",INDEX(Tab_DaBa[],MATCH(CONCATENATE(Liste!$C$3,$B$5,$B$35),Data!$BO:$BO,0)-2,28)=0),INDEX(Tab_DaBa[],MATCH(CONCATENATE(Liste!$C$3,$B$5,$B$35),Data!$BO:$BO,0)-2,12),IF(INDEX(Tab_DaBa[],MATCH(CONCATENATE(Liste!$C$3,$B$5,$B$35),Data!$BO:$BO,0)-2,23)&lt;&gt;"",INDEX(Tab_DaBa[],MATCH(CONCATENATE(Liste!$C$3,$B$5,$B$35),Data!$BO:$BO,0)-2,27),"")),"")</f>
        <v/>
      </c>
      <c r="I38" s="39"/>
    </row>
    <row r="39" spans="2:9" s="16" customFormat="1" ht="15.75">
      <c r="B39" s="35" t="str">
        <f ca="1">IFERROR(INDEX(Tab_DaBa[],MATCH(CONCATENATE(Liste!$C$3,$B$5,$B$35),Data!$BO:$BO,0)-2,8),"")</f>
        <v>Bez_Ein1_1</v>
      </c>
      <c r="C39" s="40">
        <f ca="1">IF(D37="","",4)</f>
        <v>4</v>
      </c>
      <c r="D39" s="35" t="str">
        <f ca="1">IFERROR(IF(INDEX(Tab_DaBa[],MATCH(CONCATENATE(Liste!$C$3,$B$5,$B$35),Data!$BO:$BO,0)-2,18)="",INDEX(Tab_DaBa[],MATCH(CONCATENATE(Liste!$C$3,$B$5,$B$35),Data!$BO:$BO,0)-2,13),INDEX(Tab_DaBa[],MATCH(CONCATENATE(Liste!$C$3,$B$5,$B$35),Data!$BO:$BO,0)-2,18)),"")</f>
        <v>Bez_Log01_01_01</v>
      </c>
      <c r="E39" s="40">
        <f ca="1">IF(F37="","",4)</f>
        <v>4</v>
      </c>
      <c r="F39" s="35" t="str">
        <f ca="1">IFERROR(IF(AND(INDEX(Tab_DaBa[],MATCH(CONCATENATE(Liste!$C$3,$B$5,$B$35),Data!$BO:$BO,0)-2,18)&lt;&gt;"",INDEX(Tab_DaBa[],MATCH(CONCATENATE(Liste!$C$3,$B$5,$B$35),Data!$BO:$BO,0)-2,23)=""),INDEX(Tab_DaBa[],MATCH(CONCATENATE(Liste!$C$3,$B$5,$B$35),Data!$BO:$BO,0)-2,13),IF(INDEX(Tab_DaBa[],MATCH(CONCATENATE(Liste!$C$3,$B$5,$B$35),Data!$BO:$BO,0)-2,23)&lt;&gt;"",INDEX(Tab_DaBa[],MATCH(CONCATENATE(Liste!$C$3,$B$5,$B$35),Data!$BO:$BO,0)-2,23),"")),"")</f>
        <v>Bez_Aus1</v>
      </c>
      <c r="G39" s="38" t="str">
        <f ca="1">IF(H37="","",4)</f>
        <v/>
      </c>
      <c r="H39" s="35" t="str">
        <f ca="1">IFERROR(IF(AND(INDEX(Tab_DaBa[],MATCH(CONCATENATE(Liste!$C$3,$B$5,$B$35),Data!$BO:$BO,0)-2,23)&lt;&gt;"",INDEX(Tab_DaBa[],MATCH(CONCATENATE(Liste!$C$3,$B$5,$B$35),Data!$BO:$BO,0)-2,28)=""),INDEX(Tab_DaBa[],MATCH(CONCATENATE(Liste!$C$3,$B$5,$B$35),Data!$BO:$BO,0)-2,13),IF(INDEX(Tab_DaBa[],MATCH(CONCATENATE(Liste!$C$3,$B$5,$B$35),Data!$BO:$BO,0)-2,23)&lt;&gt;"",INDEX(Tab_DaBa[],MATCH(CONCATENATE(Liste!$C$3,$B$5,$B$35),Data!$BO:$BO,0)-2,28),"")),"")</f>
        <v/>
      </c>
      <c r="I39" s="38" t="str">
        <f ca="1">IF(B45="","",6)</f>
        <v/>
      </c>
    </row>
    <row r="40" spans="2:9" s="16" customFormat="1" ht="15.75">
      <c r="B40" s="35" t="str">
        <f ca="1">IFERROR("Performance Level: "&amp;INDEX(Tab_DaBa[],MATCH(CONCATENATE(Liste!$C$3,$B$5,$B$35),Data!$BO:$BO,0)-2,10),"")</f>
        <v>Performance Level: PL_Ein1_1</v>
      </c>
      <c r="C40" s="40"/>
      <c r="D40" s="35" t="str">
        <f ca="1">IFERROR(IF(INDEX(Tab_DaBa[],MATCH(CONCATENATE(Liste!$C$3,$B$5,$B$35),Data!$BO:$BO,0)-2,18)="","Performance Level: "&amp;INDEX(Tab_DaBa[],MATCH(CONCATENATE(Liste!$C$3,$B$5,$B$35),Data!$BO:$BO,0)-2,15),"Performance Level: "&amp;INDEX(Tab_DaBa[],MATCH(CONCATENATE(Liste!$C$3,$B$5,$B$35),Data!$BO:$BO,0)-2,20)),"")</f>
        <v>Performance Level: PL_Log01_01_01</v>
      </c>
      <c r="E40" s="36"/>
      <c r="F40" s="35" t="str">
        <f ca="1">IFERROR(IF(AND(INDEX(Tab_DaBa[],MATCH(CONCATENATE(Liste!$C$3,$B$5,$B$35),Data!$BO:$BO,0)-2,18)&lt;&gt;"",INDEX(Tab_DaBa[],MATCH(CONCATENATE(Liste!$C$3,$B$5,$B$35),Data!$BO:$BO,0)-2,23)=""),"Performance Level: "&amp;INDEX(Tab_DaBa[],MATCH(CONCATENATE(Liste!$C$3,$B$5,$B$35),Data!$BO:$BO,0)-2,15),IF(INDEX(Tab_DaBa[],MATCH(CONCATENATE(Liste!$C$3,$B$5,$B$35),Data!$BO:$BO,0)-2,23)&lt;&gt;"","Performance Level: "&amp;INDEX(Tab_DaBa[],MATCH(CONCATENATE(Liste!$C$3,$B$5,$B$35),Data!$BO:$BO,0)-2,25),"")),"")</f>
        <v>Performance Level: PL_Aus1_1</v>
      </c>
      <c r="G40" s="39"/>
      <c r="H40" s="35" t="str">
        <f ca="1">IFERROR(IF(AND(INDEX(Tab_DaBa[],MATCH(CONCATENATE(Liste!$C$3,$B$5,$B$35),Data!$BO:$BO,0)-2,23)&lt;&gt;"",INDEX(Tab_DaBa[],MATCH(CONCATENATE(Liste!$C$3,$B$5,$B$35),Data!$BO:$BO,0)-2,28)=""),"Performance Level: "&amp;INDEX(Tab_DaBa[],MATCH(CONCATENATE(Liste!$C$3,$B$5,$B$35),Data!$BO:$BO,0)-2,15),IF(INDEX(Tab_DaBa[],MATCH(CONCATENATE(Liste!$C$3,$B$5,$B$35),Data!$BO:$BO,0)-2,23)&lt;&gt;"","Performance Level: "&amp;INDEX(Tab_DaBa[],MATCH(CONCATENATE(Liste!$C$3,$B$5,$B$35),Data!$BO:$BO,0)-2,30),"")),"")</f>
        <v/>
      </c>
      <c r="I40" s="38"/>
    </row>
    <row r="41" spans="2:9" s="16" customFormat="1" ht="15.75">
      <c r="B41" s="53" t="str">
        <f ca="1">IFERROR("PFH [1/h] = "&amp;10^9*INDEX(Tab_DaBa[],MATCH(CONCATENATE(Liste!$C$3,$B$5,$B$35),Data!$BO:$BO,0)-2,11)&amp;"E-9","")</f>
        <v>PFH [1/h] = 2,9E-9</v>
      </c>
      <c r="C41" s="40"/>
      <c r="D41" s="35" t="str">
        <f ca="1">IFERROR(IF(INDEX(Tab_DaBa[],MATCH(CONCATENATE(Liste!$C$3,$B$5,$B$35),Data!$BO:$BO,0)-2,18)="","PFH [1/h] = "&amp;10^9*INDEX(Tab_DaBa[],MATCH(CONCATENATE(Liste!$C$3,$B$5,$B$35),Data!$BO:$BO,0)-2,16)&amp;"E-9","PFH [1/h] = "&amp;10^9*INDEX(Tab_DaBa[],MATCH(CONCATENATE(Liste!$C$3,$B$5,$B$35),Data!$BO:$BO,0)-2,21)&amp;"E-9"),"")</f>
        <v>PFH [1/h] = 2,198E-9</v>
      </c>
      <c r="E41" s="36"/>
      <c r="F41" s="35" t="str">
        <f ca="1">IFERROR(IF(AND(INDEX(Tab_DaBa[],MATCH(CONCATENATE(Liste!$C$3,$B$5,$B$35),Data!$BO:$BO,0)-2,18)&lt;&gt;"",INDEX(Tab_DaBa[],MATCH(CONCATENATE(Liste!$C$3,$B$5,$B$35),Data!$BO:$BO,0)-2,23)=""),"PFH [1/h] = "&amp;10^9*INDEX(Tab_DaBa[],MATCH(CONCATENATE(Liste!$C$3,$B$5,$B$35),Data!$BO:$BO,0)-2,16)&amp;"E-9",IF(INDEX(Tab_DaBa[],MATCH(CONCATENATE(Liste!$C$3,$B$5,$B$35),Data!$BO:$BO,0)-2,23)&lt;&gt;"","PFH [1/h] = "&amp;10^9*INDEX(Tab_DaBa[],MATCH(CONCATENATE(Liste!$C$3,$B$5,$B$35),Data!$BO:$BO,0)-2,26)&amp;"E-9","")),"")</f>
        <v>PFH [1/h] = 24,7E-9</v>
      </c>
      <c r="G41" s="39"/>
      <c r="H41" s="35" t="str">
        <f ca="1">IFERROR(IF(AND(INDEX(Tab_DaBa[],MATCH(CONCATENATE(Liste!$C$3,$B$5,$B$35),Data!$BO:$BO,0)-2,23)&lt;&gt;"",INDEX(Tab_DaBa[],MATCH(CONCATENATE(Liste!$C$3,$B$5,$B$35),Data!$BO:$BO,0)-2,28)=""),"PFH [1/h] = "&amp;10^9*INDEX(Tab_DaBa[],MATCH(CONCATENATE(Liste!$C$3,$B$5,$B$35),Data!$BO:$BO,0)-2,16)&amp;"E-9",IF(INDEX(Tab_DaBa[],MATCH(CONCATENATE(Liste!$C$3,$B$5,$B$35),Data!$BO:$BO,0)-2,23)&lt;&gt;"","PFH [1/h] = "&amp;10^9*INDEX(Tab_DaBa[],MATCH(CONCATENATE(Liste!$C$3,$B$5,$B$35),Data!$BO:$BO,0)-2,31)&amp;"E-9","")),"")</f>
        <v/>
      </c>
      <c r="I41" s="39"/>
    </row>
    <row r="42" spans="2:9" s="16" customFormat="1">
      <c r="B42" s="33"/>
      <c r="C42" s="34"/>
      <c r="D42" s="33"/>
      <c r="E42" s="33"/>
      <c r="F42" s="33"/>
      <c r="G42" s="33"/>
      <c r="H42" s="33"/>
      <c r="I42" s="33"/>
    </row>
    <row r="43" spans="2:9" s="16" customFormat="1" ht="15.75">
      <c r="B43" s="38" t="str">
        <f ca="1">IF(B45="","",6)</f>
        <v/>
      </c>
      <c r="C43" s="34"/>
      <c r="D43" s="38" t="str">
        <f ca="1">IF(B45="","",3)</f>
        <v/>
      </c>
      <c r="E43" s="33"/>
      <c r="F43" s="38" t="str">
        <f ca="1">IF(B45="","",3)</f>
        <v/>
      </c>
      <c r="G43" s="33"/>
      <c r="H43" s="38" t="str">
        <f ca="1">IF(B45="","",3)</f>
        <v/>
      </c>
      <c r="I43" s="33"/>
    </row>
    <row r="44" spans="2:9" s="16" customFormat="1" ht="15.75">
      <c r="B44" s="39"/>
      <c r="C44" s="33"/>
      <c r="D44" s="33"/>
      <c r="E44" s="33"/>
      <c r="F44" s="33"/>
      <c r="G44" s="33"/>
      <c r="H44" s="33"/>
      <c r="I44" s="33"/>
    </row>
    <row r="45" spans="2:9" s="16" customFormat="1" ht="15.75">
      <c r="B45" s="35" t="str">
        <f ca="1">IFERROR(IF(AND(INDEX(Tab_DaBa[],MATCH(CONCATENATE(Liste!$C$3,$B$5,$B$35),Data!$BO:$BO,0)-2,28)&lt;&gt;"",INDEX(Tab_DaBa[],MATCH(CONCATENATE(Liste!$C$3,$B$5,$B$35),Data!$BO:$BO,0)-2,33)=0),INDEX(Tab_DaBa[],MATCH(CONCATENATE(Liste!$C$3,$B$5,$B$35),Data!$BO:$BO,0)-2,14),IF(INDEX(Tab_DaBa[],MATCH(CONCATENATE(Liste!$C$3,$B$5,$B$35),Data!$BO:$BO,0)-2,28)&lt;&gt;"",INDEX(Tab_DaBa[],MATCH(CONCATENATE(Liste!$C$3,$B$5,$B$35),Data!$BO:$BO,0)-2,34),"")),"")</f>
        <v/>
      </c>
      <c r="C45" s="39"/>
      <c r="D45" s="35" t="str">
        <f ca="1">IFERROR(IF(AND(INDEX(Tab_DaBa[],MATCH(CONCATENATE(Liste!$C$3,$B$5,$B$35),Data!$BO:$BO,0)-2,33)&lt;&gt;"",INDEX(Tab_DaBa[],MATCH(CONCATENATE(Liste!$C$3,$B$5,$B$35),Data!$BO:$BO,0)-2,38)=0),INDEX(Tab_DaBa[],MATCH(CONCATENATE(Liste!$C$3,$B$5,$B$35),Data!$BO:$BO,0)-2,14),IF(INDEX(Tab_DaBa[],MATCH(CONCATENATE(Liste!$C$3,$B$5,$B$35),Data!$BO:$BO,0)-2,33)&lt;&gt;"",INDEX(Tab_DaBa[],MATCH(CONCATENATE(Liste!$C$3,$B$5,$B$35),Data!$BO:$BO,0)-2,39),"")),"")</f>
        <v/>
      </c>
      <c r="E45" s="33"/>
      <c r="F45" s="35" t="str">
        <f ca="1">IFERROR(IF(AND(INDEX(Tab_DaBa[],MATCH(CONCATENATE(Liste!$C$3,$B$5,$B$35),Data!$BO:$BO,0)-2,38)&lt;&gt;"",INDEX(Tab_DaBa[],MATCH(CONCATENATE(Liste!$C$3,$B$5,$B$35),Data!$BO:$BO,0)-2,43)=0),INDEX(Tab_DaBa[],MATCH(CONCATENATE(Liste!$C$3,$B$5,$B$35),Data!$BO:$BO,0)-2,14),IF(INDEX(Tab_DaBa[],MATCH(CONCATENATE(Liste!$C$3,$B$5,$B$35),Data!$BO:$BO,0)-2,38)&lt;&gt;"",INDEX(Tab_DaBa[],MATCH(CONCATENATE(Liste!$C$3,$B$5,$B$35),Data!$BO:$BO,0)-2,44),"")),"")</f>
        <v/>
      </c>
      <c r="G45" s="39"/>
      <c r="H45" s="35" t="str">
        <f ca="1">IFERROR(IF(AND(INDEX(Tab_DaBa[],MATCH(CONCATENATE(Liste!$C$3,$B$5,$B$35),Data!$BO:$BO,0)-2,43)&lt;&gt;"",INDEX(Tab_DaBa[],MATCH(CONCATENATE(Liste!$C$3,$B$5,$B$35),Data!$BO:$BO,0)-2,48)=0),INDEX(Tab_DaBa[],MATCH(CONCATENATE(Liste!$C$3,$B$5,$B$35),Data!$BO:$BO,0)-2,14),IF(INDEX(Tab_DaBa[],MATCH(CONCATENATE(Liste!$C$3,$B$5,$B$35),Data!$BO:$BO,0)-2,43)&lt;&gt;"",INDEX(Tab_DaBa[],MATCH(CONCATENATE(Liste!$C$3,$B$5,$B$35),Data!$BO:$BO,0)-2,49),"")),"")</f>
        <v/>
      </c>
      <c r="I45" s="39"/>
    </row>
    <row r="46" spans="2:9" s="16" customFormat="1" ht="15.75">
      <c r="B46" s="35" t="str">
        <f ca="1">IFERROR(IF(AND(INDEX(Tab_DaBa[],MATCH(CONCATENATE(Liste!$C$3,$B$5,$B$35),Data!$BO:$BO,0)-2,28)&lt;&gt;"",INDEX(Tab_DaBa[],MATCH(CONCATENATE(Liste!$C$3,$B$5,$B$35),Data!$BO:$BO,0)-2,33)=0),INDEX(Tab_DaBa[],MATCH(CONCATENATE(Liste!$C$3,$B$5,$B$35),Data!$BO:$BO,0)-2,12),IF(INDEX(Tab_DaBa[],MATCH(CONCATENATE(Liste!$C$3,$B$5,$B$35),Data!$BO:$BO,0)-2,28)&lt;&gt;"",INDEX(Tab_DaBa[],MATCH(CONCATENATE(Liste!$C$3,$B$5,$B$35),Data!$BO:$BO,0)-2,32),"")),"")</f>
        <v/>
      </c>
      <c r="C46" s="39"/>
      <c r="D46" s="35" t="str">
        <f ca="1">IFERROR(IF(AND(INDEX(Tab_DaBa[],MATCH(CONCATENATE(Liste!$C$3,$B$5,$B$35),Data!$BO:$BO,0)-2,33)&lt;&gt;"",INDEX(Tab_DaBa[],MATCH(CONCATENATE(Liste!$C$3,$B$5,$B$35),Data!$BO:$BO,0)-2,38)=0),INDEX(Tab_DaBa[],MATCH(CONCATENATE(Liste!$C$3,$B$5,$B$35),Data!$BO:$BO,0)-2,12),IF(INDEX(Tab_DaBa[],MATCH(CONCATENATE(Liste!$C$3,$B$5,$B$35),Data!$BO:$BO,0)-2,33)&lt;&gt;"",INDEX(Tab_DaBa[],MATCH(CONCATENATE(Liste!$C$3,$B$5,$B$35),Data!$BO:$BO,0)-2,37),"")),"")</f>
        <v/>
      </c>
      <c r="E46" s="37"/>
      <c r="F46" s="35" t="str">
        <f ca="1">IFERROR(IF(AND(INDEX(Tab_DaBa[],MATCH(CONCATENATE(Liste!$C$3,$B$5,$B$35),Data!$BO:$BO,0)-2,38)&lt;&gt;"",INDEX(Tab_DaBa[],MATCH(CONCATENATE(Liste!$C$3,$B$5,$B$35),Data!$BO:$BO,0)-2,43)=0),INDEX(Tab_DaBa[],MATCH(CONCATENATE(Liste!$C$3,$B$5,$B$35),Data!$BO:$BO,0)-2,12),IF(INDEX(Tab_DaBa[],MATCH(CONCATENATE(Liste!$C$3,$B$5,$B$35),Data!$BO:$BO,0)-2,38)&lt;&gt;"",INDEX(Tab_DaBa[],MATCH(CONCATENATE(Liste!$C$3,$B$5,$B$35),Data!$BO:$BO,0)-2,42),"")),"")</f>
        <v/>
      </c>
      <c r="G46" s="39"/>
      <c r="H46" s="35" t="str">
        <f ca="1">IFERROR(IF(AND(INDEX(Tab_DaBa[],MATCH(CONCATENATE(Liste!$C$3,$B$5,$B$35),Data!$BO:$BO,0)-2,43)&lt;&gt;"",INDEX(Tab_DaBa[],MATCH(CONCATENATE(Liste!$C$3,$B$5,$B$35),Data!$BO:$BO,0)-2,48)=0),INDEX(Tab_DaBa[],MATCH(CONCATENATE(Liste!$C$3,$B$5,$B$35),Data!$BO:$BO,0)-2,12),IF(INDEX(Tab_DaBa[],MATCH(CONCATENATE(Liste!$C$3,$B$5,$B$35),Data!$BO:$BO,0)-2,43)&lt;&gt;"",INDEX(Tab_DaBa[],MATCH(CONCATENATE(Liste!$C$3,$B$5,$B$35),Data!$BO:$BO,0)-2,47),"")),"")</f>
        <v/>
      </c>
      <c r="I46" s="39"/>
    </row>
    <row r="47" spans="2:9" s="16" customFormat="1" ht="15.75">
      <c r="B47" s="35" t="str">
        <f ca="1">IFERROR(IF(AND(INDEX(Tab_DaBa[],MATCH(CONCATENATE(Liste!$C$3,$B$5,$B$35),Data!$BO:$BO,0)-2,28)&lt;&gt;"",INDEX(Tab_DaBa[],MATCH(CONCATENATE(Liste!$C$3,$B$5,$B$35),Data!$BO:$BO,0)-2,33)=""),INDEX(Tab_DaBa[],MATCH(CONCATENATE(Liste!$C$3,$B$5,$B$35),Data!$BO:$BO,0)-2,13),IF(INDEX(Tab_DaBa[],MATCH(CONCATENATE(Liste!$C$3,$B$5,$B$35),Data!$BO:$BO,0)-2,28)&lt;&gt;"",INDEX(Tab_DaBa[],MATCH(CONCATENATE(Liste!$C$3,$B$5,$B$35),Data!$BO:$BO,0)-2,33),"")),"")</f>
        <v/>
      </c>
      <c r="C47" s="38" t="str">
        <f ca="1">IF(D45="","",4)</f>
        <v/>
      </c>
      <c r="D47" s="35" t="str">
        <f ca="1">IFERROR(IF(AND(INDEX(Tab_DaBa[],MATCH(CONCATENATE(Liste!$C$3,$B$5,$B$35),Data!$BO:$BO,0)-2,33)&lt;&gt;"",INDEX(Tab_DaBa[],MATCH(CONCATENATE(Liste!$C$3,$B$5,$B$35),Data!$BO:$BO,0)-2,38)=""),INDEX(Tab_DaBa[],MATCH(CONCATENATE(Liste!$C$3,$B$5,$B$35),Data!$BO:$BO,0)-2,13),IF(INDEX(Tab_DaBa[],MATCH(CONCATENATE(Liste!$C$3,$B$5,$B$35),Data!$BO:$BO,0)-2,33)&lt;&gt;"",INDEX(Tab_DaBa[],MATCH(CONCATENATE(Liste!$C$3,$B$5,$B$35),Data!$BO:$BO,0)-2,38),"")),"")</f>
        <v/>
      </c>
      <c r="E47" s="38" t="str">
        <f ca="1">IF(F45="","",4)</f>
        <v/>
      </c>
      <c r="F47" s="35" t="str">
        <f ca="1">IFERROR(IF(AND(INDEX(Tab_DaBa[],MATCH(CONCATENATE(Liste!$C$3,$B$5,$B$35),Data!$BO:$BO,0)-2,38)&lt;&gt;"",INDEX(Tab_DaBa[],MATCH(CONCATENATE(Liste!$C$3,$B$5,$B$35),Data!$BO:$BO,0)-2,43)=""),INDEX(Tab_DaBa[],MATCH(CONCATENATE(Liste!$C$3,$B$5,$B$35),Data!$BO:$BO,0)-2,13),IF(INDEX(Tab_DaBa[],MATCH(CONCATENATE(Liste!$C$3,$B$5,$B$35),Data!$BO:$BO,0)-2,38)&lt;&gt;"",INDEX(Tab_DaBa[],MATCH(CONCATENATE(Liste!$C$3,$B$5,$B$35),Data!$BO:$BO,0)-2,43),"")),"")</f>
        <v/>
      </c>
      <c r="G47" s="38" t="str">
        <f ca="1">IF(H45="","",4)</f>
        <v/>
      </c>
      <c r="H47" s="35" t="str">
        <f ca="1">IFERROR(IF(AND(INDEX(Tab_DaBa[],MATCH(CONCATENATE(Liste!$C$3,$B$5,$B$35),Data!$BO:$BO,0)-2,43)&lt;&gt;"",INDEX(Tab_DaBa[],MATCH(CONCATENATE(Liste!$C$3,$B$5,$B$35),Data!$BO:$BO,0)-2,48)=""),INDEX(Tab_DaBa[],MATCH(CONCATENATE(Liste!$C$3,$B$5,$B$35),Data!$BO:$BO,0)-2,13),IF(INDEX(Tab_DaBa[],MATCH(CONCATENATE(Liste!$C$3,$B$5,$B$35),Data!$BO:$BO,0)-2,43)&lt;&gt;"",INDEX(Tab_DaBa[],MATCH(CONCATENATE(Liste!$C$3,$B$5,$B$35),Data!$BO:$BO,0)-2,48),"")),"")</f>
        <v/>
      </c>
      <c r="I47" s="38" t="str">
        <f ca="1">IF(B53="","",6)</f>
        <v/>
      </c>
    </row>
    <row r="48" spans="2:9" s="16" customFormat="1" ht="15.75">
      <c r="B48" s="35" t="str">
        <f ca="1">IFERROR(IF(AND(INDEX(Tab_DaBa[],MATCH(CONCATENATE(Liste!$C$3,$B$5,$B$35),Data!$BO:$BO,0)-2,28)&lt;&gt;"",INDEX(Tab_DaBa[],MATCH(CONCATENATE(Liste!$C$3,$B$5,$B$35),Data!$BO:$BO,0)-2,33)=""),"Performance Level: "&amp;INDEX(Tab_DaBa[],MATCH(CONCATENATE(Liste!$C$3,$B$5,$B$35),Data!$BO:$BO,0)-2,15),IF(INDEX(Tab_DaBa[],MATCH(CONCATENATE(Liste!$C$3,$B$5,$B$35),Data!$BO:$BO,0)-2,28)&lt;&gt;"","Performance Level: "&amp;INDEX(Tab_DaBa[],MATCH(CONCATENATE(Liste!$C$3,$B$5,$B$35),Data!$BO:$BO,0)-2,35),"")),"")</f>
        <v/>
      </c>
      <c r="C48" s="39"/>
      <c r="D48" s="35" t="str">
        <f ca="1">IFERROR(IF(AND(INDEX(Tab_DaBa[],MATCH(CONCATENATE(Liste!$C$3,$B$5,$B$35),Data!$BO:$BO,0)-2,33)&lt;&gt;"",INDEX(Tab_DaBa[],MATCH(CONCATENATE(Liste!$C$3,$B$5,$B$35),Data!$BO:$BO,0)-2,38)=""),"Performance Level: "&amp;INDEX(Tab_DaBa[],MATCH(CONCATENATE(Liste!$C$3,$B$5,$B$35),Data!$BO:$BO,0)-2,15),IF(INDEX(Tab_DaBa[],MATCH(CONCATENATE(Liste!$C$3,$B$5,$B$35),Data!$BO:$BO,0)-2,33)&lt;&gt;"","Performance Level: "&amp;INDEX(Tab_DaBa[],MATCH(CONCATENATE(Liste!$C$3,$B$5,$B$35),Data!$BO:$BO,0)-2,40),"")),"")</f>
        <v/>
      </c>
      <c r="E48" s="37"/>
      <c r="F48" s="35" t="str">
        <f ca="1">IFERROR(IF(AND(INDEX(Tab_DaBa[],MATCH(CONCATENATE(Liste!$C$3,$B$5,$B$35),Data!$BO:$BO,0)-2,38)&lt;&gt;"",INDEX(Tab_DaBa[],MATCH(CONCATENATE(Liste!$C$3,$B$5,$B$35),Data!$BO:$BO,0)-2,43)=""),"Performance Level: "&amp;INDEX(Tab_DaBa[],MATCH(CONCATENATE(Liste!$C$3,$B$5,$B$35),Data!$BO:$BO,0)-2,15),IF(INDEX(Tab_DaBa[],MATCH(CONCATENATE(Liste!$C$3,$B$5,$B$35),Data!$BO:$BO,0)-2,38)&lt;&gt;"","Performance Level: "&amp;INDEX(Tab_DaBa[],MATCH(CONCATENATE(Liste!$C$3,$B$5,$B$35),Data!$BO:$BO,0)-2,45),"")),"")</f>
        <v/>
      </c>
      <c r="G48" s="39"/>
      <c r="H48" s="35" t="str">
        <f ca="1">IFERROR(IF(AND(INDEX(Tab_DaBa[],MATCH(CONCATENATE(Liste!$C$3,$B$5,$B$35),Data!$BO:$BO,0)-2,43)&lt;&gt;"",INDEX(Tab_DaBa[],MATCH(CONCATENATE(Liste!$C$3,$B$5,$B$35),Data!$BO:$BO,0)-2,48)=""),"Performance Level: "&amp;INDEX(Tab_DaBa[],MATCH(CONCATENATE(Liste!$C$3,$B$5,$B$35),Data!$BO:$BO,0)-2,15),IF(INDEX(Tab_DaBa[],MATCH(CONCATENATE(Liste!$C$3,$B$5,$B$35),Data!$BO:$BO,0)-2,43)&lt;&gt;"","Performance Level: "&amp;INDEX(Tab_DaBa[],MATCH(CONCATENATE(Liste!$C$3,$B$5,$B$35),Data!$BO:$BO,0)-2,50),"")),"")</f>
        <v/>
      </c>
      <c r="I48" s="39"/>
    </row>
    <row r="49" spans="2:9" s="16" customFormat="1" ht="15.75">
      <c r="B49" s="35" t="str">
        <f ca="1">IFERROR(IF(AND(INDEX(Tab_DaBa[],MATCH(CONCATENATE(Liste!$C$3,$B$5,$B$35),Data!$BO:$BO,0)-2,28)&lt;&gt;"",INDEX(Tab_DaBa[],MATCH(CONCATENATE(Liste!$C$3,$B$5,$B$35),Data!$BO:$BO,0)-2,33)=""),"PFH [1/h] = "&amp;10^9*INDEX(Tab_DaBa[],MATCH(CONCATENATE(Liste!$C$3,$B$5,$B$35),Data!$BO:$BO,0)-2,16)&amp;"E-9",IF(INDEX(Tab_DaBa[],MATCH(CONCATENATE(Liste!$C$3,$B$5,$B$35),Data!$BO:$BO,0)-2,28)&lt;&gt;"","PFH [1/h] = "&amp;10^9*INDEX(Tab_DaBa[],MATCH(CONCATENATE(Liste!$C$3,$B$5,$B$35),Data!$BO:$BO,0)-2,36)&amp;"E-9","")),"")</f>
        <v/>
      </c>
      <c r="C49" s="39"/>
      <c r="D49" s="35" t="str">
        <f ca="1">IFERROR(IF(AND(INDEX(Tab_DaBa[],MATCH(CONCATENATE(Liste!$C$3,$B$5,$B$35),Data!$BO:$BO,0)-2,33)&lt;&gt;"",INDEX(Tab_DaBa[],MATCH(CONCATENATE(Liste!$C$3,$B$5,$B$35),Data!$BO:$BO,0)-2,38)=""),"PFH [1/h] = "&amp;10^9*INDEX(Tab_DaBa[],MATCH(CONCATENATE(Liste!$C$3,$B$5,$B$35),Data!$BO:$BO,0)-2,16)&amp;"E-9",IF(INDEX(Tab_DaBa[],MATCH(CONCATENATE(Liste!$C$3,$B$5,$B$35),Data!$BO:$BO,0)-2,33)&lt;&gt;"","PFH [1/h] = "&amp;10^9*INDEX(Tab_DaBa[],MATCH(CONCATENATE(Liste!$C$3,$B$5,$B$35),Data!$BO:$BO,0)-2,41)&amp;"E-9","")),"")</f>
        <v/>
      </c>
      <c r="E49" s="37"/>
      <c r="F49" s="35" t="str">
        <f ca="1">IFERROR(IF(AND(INDEX(Tab_DaBa[],MATCH(CONCATENATE(Liste!$C$3,$B$5,$B$35),Data!$BO:$BO,0)-2,38)&lt;&gt;"",INDEX(Tab_DaBa[],MATCH(CONCATENATE(Liste!$C$3,$B$5,$B$35),Data!$BO:$BO,0)-2,43)=""),"PFH [1/h] = "&amp;10^9*INDEX(Tab_DaBa[],MATCH(CONCATENATE(Liste!$C$3,$B$5,$B$35),Data!$BO:$BO,0)-2,16)&amp;"E-9",IF(INDEX(Tab_DaBa[],MATCH(CONCATENATE(Liste!$C$3,$B$5,$B$35),Data!$BO:$BO,0)-2,38)&lt;&gt;"","PFH [1/h] = "&amp;10^9*INDEX(Tab_DaBa[],MATCH(CONCATENATE(Liste!$C$3,$B$5,$B$35),Data!$BO:$BO,0)-2,46)&amp;"E-9","")),"")</f>
        <v/>
      </c>
      <c r="G49" s="39"/>
      <c r="H49" s="35" t="str">
        <f ca="1">IFERROR(IF(AND(INDEX(Tab_DaBa[],MATCH(CONCATENATE(Liste!$C$3,$B$5,$B$35),Data!$BO:$BO,0)-2,43)&lt;&gt;"",INDEX(Tab_DaBa[],MATCH(CONCATENATE(Liste!$C$3,$B$5,$B$35),Data!$BO:$BO,0)-2,48)=""),"PFH [1/h] = "&amp;10^9*INDEX(Tab_DaBa[],MATCH(CONCATENATE(Liste!$C$3,$B$5,$B$35),Data!$BO:$BO,0)-2,16)&amp;"E-9",IF(INDEX(Tab_DaBa[],MATCH(CONCATENATE(Liste!$C$3,$B$5,$B$35),Data!$BO:$BO,0)-2,43)&lt;&gt;"","PFH [1/h] = "&amp;10^9*INDEX(Tab_DaBa[],MATCH(CONCATENATE(Liste!$C$3,$B$5,$B$35),Data!$BO:$BO,0)-2,51)&amp;"E-9","")),"")</f>
        <v/>
      </c>
      <c r="I49" s="39"/>
    </row>
    <row r="50" spans="2:9" s="16" customFormat="1">
      <c r="B50" s="33"/>
      <c r="C50" s="33"/>
      <c r="D50" s="33"/>
      <c r="E50" s="33"/>
      <c r="F50" s="33"/>
      <c r="G50" s="33"/>
      <c r="H50" s="33"/>
      <c r="I50" s="33"/>
    </row>
    <row r="51" spans="2:9" s="16" customFormat="1" ht="15.75">
      <c r="B51" s="38" t="str">
        <f ca="1">IF(B53="","",6)</f>
        <v/>
      </c>
      <c r="C51" s="33"/>
      <c r="D51" s="38" t="str">
        <f ca="1">IF(B53="","",3)</f>
        <v/>
      </c>
      <c r="E51" s="33"/>
      <c r="F51" s="38" t="str">
        <f ca="1">IF(B53="","",3)</f>
        <v/>
      </c>
      <c r="G51" s="33"/>
      <c r="H51" s="38" t="str">
        <f ca="1">IF(B53="","",3)</f>
        <v/>
      </c>
      <c r="I51" s="33"/>
    </row>
    <row r="52" spans="2:9" s="16" customFormat="1" ht="15.75">
      <c r="B52" s="39"/>
      <c r="C52" s="33"/>
      <c r="D52" s="33"/>
      <c r="E52" s="33"/>
      <c r="F52" s="33"/>
      <c r="G52" s="33"/>
      <c r="H52" s="33"/>
      <c r="I52" s="33"/>
    </row>
    <row r="53" spans="2:9" s="16" customFormat="1" ht="15.75">
      <c r="B53" s="35" t="str">
        <f ca="1">IFERROR(IF(AND(INDEX(Tab_DaBa[],MATCH(CONCATENATE(Liste!$C$3,$B$5,$B$35),Data!$BO:$BO,0)-2,48)&lt;&gt;"",INDEX(Tab_DaBa[],MATCH(CONCATENATE(Liste!$C$3,$B$5,$B$35),Data!$BO:$BO,0)-2,53)=0),INDEX(Tab_DaBa[],MATCH(CONCATENATE(Liste!$C$3,$B$5,$B$35),Data!$BO:$BO,0)-2,14),IF(INDEX(Tab_DaBa[],MATCH(CONCATENATE(Liste!$C$3,$B$5,$B$35),Data!$BO:$BO,0)-2,48)&lt;&gt;"",INDEX(Tab_DaBa[],MATCH(CONCATENATE(Liste!$C$3,$B$5,$B$35),Data!$BO:$BO,0)-2,54),"")),"")</f>
        <v/>
      </c>
      <c r="C53" s="39"/>
      <c r="D53" s="35" t="str">
        <f ca="1">IFERROR(IF(AND(INDEX(Tab_DaBa[],MATCH(CONCATENATE(Liste!$C$3,$B$5,$B$35),Data!$BO:$BO,0)-2,53)&lt;&gt;"",INDEX(Tab_DaBa[],MATCH(CONCATENATE(Liste!$C$3,$B$5,$B$35),Data!$BO:$BO,0)-2,58)=0),INDEX(Tab_DaBa[],MATCH(CONCATENATE(Liste!$C$3,$B$5,$B$35),Data!$BO:$BO,0)-2,14),IF(INDEX(Tab_DaBa[],MATCH(CONCATENATE(Liste!$C$3,$B$5,$B$35),Data!$BO:$BO,0)-2,53)&lt;&gt;"",INDEX(Tab_DaBa[],MATCH(CONCATENATE(Liste!$C$3,$B$5,$B$35),Data!$BO:$BO,0)-2,59),"")),"")</f>
        <v/>
      </c>
      <c r="E53" s="33"/>
      <c r="F53" s="35" t="str">
        <f ca="1">IFERROR(IF(AND(INDEX(Tab_DaBa[],MATCH(CONCATENATE(Liste!$C$3,$B$5,$B$35),Data!$BO:$BO,0)-2,58)&lt;&gt;"",INDEX(Tab_DaBa[],MATCH(CONCATENATE(Liste!$C$3,$B$5,$B$35),Data!$BO:$BO,0)-2,63)=0),INDEX(Tab_DaBa[],MATCH(CONCATENATE(Liste!$C$3,$B$5,$B$35),Data!$BO:$BO,0)-2,14),IF(INDEX(Tab_DaBa[],MATCH(CONCATENATE(Liste!$C$3,$B$5,$B$35),Data!$BO:$BO,0)-2,58)&lt;&gt;"",INDEX(Tab_DaBa[],MATCH(CONCATENATE(Liste!$C$3,$B$5,$B$35),Data!$BO:$BO,0)-2,64),"")),"")</f>
        <v/>
      </c>
      <c r="G53" s="39"/>
      <c r="H53" s="35" t="str">
        <f ca="1">IFERROR(IF(INDEX(Tab_DaBa[],MATCH(CONCATENATE(Liste!$C$3,$B$5,$B$35),Data!$BO:$BO,0)-2,63)&lt;&gt;"",INDEX(Tab_DaBa[],MATCH(CONCATENATE(Liste!$C$3,$B$5,$B$35),Data!$BO:$BO,0)-2,14),""),"")</f>
        <v/>
      </c>
    </row>
    <row r="54" spans="2:9" s="16" customFormat="1" ht="15.75">
      <c r="B54" s="35" t="str">
        <f ca="1">IFERROR(IF(AND(INDEX(Tab_DaBa[],MATCH(CONCATENATE(Liste!$C$3,$B$5,$B$35),Data!$BO:$BO,0)-2,48)&lt;&gt;"",INDEX(Tab_DaBa[],MATCH(CONCATENATE(Liste!$C$3,$B$5,$B$35),Data!$BO:$BO,0)-2,53)=0),INDEX(Tab_DaBa[],MATCH(CONCATENATE(Liste!$C$3,$B$5,$B$35),Data!$BO:$BO,0)-2,12),IF(INDEX(Tab_DaBa[],MATCH(CONCATENATE(Liste!$C$3,$B$5,$B$35),Data!$BO:$BO,0)-2,48)&lt;&gt;"",INDEX(Tab_DaBa[],MATCH(CONCATENATE(Liste!$C$3,$B$5,$B$35),Data!$BO:$BO,0)-2,52),"")),"")</f>
        <v/>
      </c>
      <c r="C54" s="39"/>
      <c r="D54" s="35" t="str">
        <f ca="1">IFERROR(IF(AND(INDEX(Tab_DaBa[],MATCH(CONCATENATE(Liste!$C$3,$B$5,$B$35),Data!$BO:$BO,0)-2,53)&lt;&gt;"",INDEX(Tab_DaBa[],MATCH(CONCATENATE(Liste!$C$3,$B$5,$B$35),Data!$BO:$BO,0)-2,58)=0),INDEX(Tab_DaBa[],MATCH(CONCATENATE(Liste!$C$3,$B$5,$B$35),Data!$BO:$BO,0)-2,12),IF(INDEX(Tab_DaBa[],MATCH(CONCATENATE(Liste!$C$3,$B$5,$B$35),Data!$BO:$BO,0)-2,53)&lt;&gt;"",INDEX(Tab_DaBa[],MATCH(CONCATENATE(Liste!$C$3,$B$5,$B$35),Data!$BO:$BO,0)-2,57),"")),"")</f>
        <v/>
      </c>
      <c r="E54" s="37"/>
      <c r="F54" s="35" t="str">
        <f ca="1">IFERROR(IF(AND(INDEX(Tab_DaBa[],MATCH(CONCATENATE(Liste!$C$3,$B$5,$B$35),Data!$BO:$BO,0)-2,58)&lt;&gt;"",INDEX(Tab_DaBa[],MATCH(CONCATENATE(Liste!$C$3,$B$5,$B$35),Data!$BO:$BO,0)-2,63)=0),INDEX(Tab_DaBa[],MATCH(CONCATENATE(Liste!$C$3,$B$5,$B$35),Data!$BO:$BO,0)-2,12),IF(INDEX(Tab_DaBa[],MATCH(CONCATENATE(Liste!$C$3,$B$5,$B$35),Data!$BO:$BO,0)-2,58)&lt;&gt;"",INDEX(Tab_DaBa[],MATCH(CONCATENATE(Liste!$C$3,$B$5,$B$35),Data!$BO:$BO,0)-2,62),"")),"")</f>
        <v/>
      </c>
      <c r="G54" s="39"/>
      <c r="H54" s="35" t="str">
        <f ca="1">IFERROR(IF(INDEX(Tab_DaBa[],MATCH(CONCATENATE(Liste!$C$3,$B$5,$B$35),Data!$BO:$BO,0)-2,63)&lt;&gt;"",INDEX(Tab_DaBa[],MATCH(CONCATENATE(Liste!$C$3,$B$5,$B$35),Data!$BO:$BO,0)-2,12),""),"")</f>
        <v/>
      </c>
    </row>
    <row r="55" spans="2:9" s="16" customFormat="1" ht="15.75">
      <c r="B55" s="35" t="str">
        <f ca="1">IFERROR(IF(AND(INDEX(Tab_DaBa[],MATCH(CONCATENATE(Liste!$C$3,$B$5,$B$35),Data!$BO:$BO,0)-2,48)&lt;&gt;"",INDEX(Tab_DaBa[],MATCH(CONCATENATE(Liste!$C$3,$B$5,$B$35),Data!$BO:$BO,0)-2,53)=""),INDEX(Tab_DaBa[],MATCH(CONCATENATE(Liste!$C$3,$B$5,$B$35),Data!$BO:$BO,0)-2,13),IF(INDEX(Tab_DaBa[],MATCH(CONCATENATE(Liste!$C$3,$B$5,$B$35),Data!$BO:$BO,0)-2,48)&lt;&gt;"",INDEX(Tab_DaBa[],MATCH(CONCATENATE(Liste!$C$3,$B$5,$B$35),Data!$BO:$BO,0)-2,53),"")),"")</f>
        <v/>
      </c>
      <c r="C55" s="38" t="str">
        <f ca="1">IF(D53="","",4)</f>
        <v/>
      </c>
      <c r="D55" s="35" t="str">
        <f ca="1">IFERROR(IF(AND(INDEX(Tab_DaBa[],MATCH(CONCATENATE(Liste!$C$3,$B$5,$B$35),Data!$BO:$BO,0)-2,53)&lt;&gt;"",INDEX(Tab_DaBa[],MATCH(CONCATENATE(Liste!$C$3,$B$5,$B$35),Data!$BO:$BO,0)-2,58)=""),INDEX(Tab_DaBa[],MATCH(CONCATENATE(Liste!$C$3,$B$5,$B$35),Data!$BO:$BO,0)-2,13),IF(INDEX(Tab_DaBa[],MATCH(CONCATENATE(Liste!$C$3,$B$5,$B$35),Data!$BO:$BO,0)-2,53)&lt;&gt;"",INDEX(Tab_DaBa[],MATCH(CONCATENATE(Liste!$C$3,$B$5,$B$35),Data!$BO:$BO,0)-2,58),"")),"")</f>
        <v/>
      </c>
      <c r="E55" s="38" t="str">
        <f ca="1">IF(F53="","",4)</f>
        <v/>
      </c>
      <c r="F55" s="35" t="str">
        <f ca="1">IFERROR(IF(AND(INDEX(Tab_DaBa[],MATCH(CONCATENATE(Liste!$C$3,$B$5,$B$35),Data!$BO:$BO,0)-2,58)&lt;&gt;"",INDEX(Tab_DaBa[],MATCH(CONCATENATE(Liste!$C$3,$B$5,$B$35),Data!$BO:$BO,0)-2,63)=""),INDEX(Tab_DaBa[],MATCH(CONCATENATE(Liste!$C$3,$B$5,$B$35),Data!$BO:$BO,0)-2,13),IF(INDEX(Tab_DaBa[],MATCH(CONCATENATE(Liste!$C$3,$B$5,$B$35),Data!$BO:$BO,0)-2,58)&lt;&gt;"",INDEX(Tab_DaBa[],MATCH(CONCATENATE(Liste!$C$3,$B$5,$B$35),Data!$BO:$BO,0)-2,63),"")),"")</f>
        <v/>
      </c>
      <c r="G55" s="38" t="str">
        <f ca="1">IF(H53="","",4)</f>
        <v/>
      </c>
      <c r="H55" s="35" t="str">
        <f ca="1">IFERROR(IF(INDEX(Tab_DaBa[],MATCH(CONCATENATE(Liste!$C$3,$B$5,$B$35),Data!$BO:$BO,0)-2,63)&lt;&gt;"",INDEX(Tab_DaBa[],MATCH(CONCATENATE(Liste!$C$3,$B$5,$B$35),Data!$BO:$BO,0)-2,13),""),"")</f>
        <v/>
      </c>
    </row>
    <row r="56" spans="2:9" s="16" customFormat="1" ht="15.75">
      <c r="B56" s="35" t="str">
        <f ca="1">IFERROR(IF(AND(INDEX(Tab_DaBa[],MATCH(CONCATENATE(Liste!$C$3,$B$5,$B$35),Data!$BO:$BO,0)-2,48)&lt;&gt;"",INDEX(Tab_DaBa[],MATCH(CONCATENATE(Liste!$C$3,$B$5,$B$35),Data!$BO:$BO,0)-2,53)=""),"Performance Level: "&amp;INDEX(Tab_DaBa[],MATCH(CONCATENATE(Liste!$C$3,$B$5,$B$35),Data!$BO:$BO,0)-2,15),IF(INDEX(Tab_DaBa[],MATCH(CONCATENATE(Liste!$C$3,$B$5,$B$35),Data!$BO:$BO,0)-2,48)&lt;&gt;"","Performance Level: "&amp;INDEX(Tab_DaBa[],MATCH(CONCATENATE(Liste!$C$3,$B$5,$B$35),Data!$BO:$BO,0)-2,55),"")),"")</f>
        <v/>
      </c>
      <c r="C56" s="39"/>
      <c r="D56" s="35" t="str">
        <f ca="1">IFERROR(IF(AND(INDEX(Tab_DaBa[],MATCH(CONCATENATE(Liste!$C$3,$B$5,$B$35),Data!$BO:$BO,0)-2,53)&lt;&gt;"",INDEX(Tab_DaBa[],MATCH(CONCATENATE(Liste!$C$3,$B$5,$B$35),Data!$BO:$BO,0)-2,58)=""),"Performance Level: "&amp;INDEX(Tab_DaBa[],MATCH(CONCATENATE(Liste!$C$3,$B$5,$B$35),Data!$BO:$BO,0)-2,15),IF(INDEX(Tab_DaBa[],MATCH(CONCATENATE(Liste!$C$3,$B$5,$B$35),Data!$BO:$BO,0)-2,53)&lt;&gt;"","Performance Level: "&amp;INDEX(Tab_DaBa[],MATCH(CONCATENATE(Liste!$C$3,$B$5,$B$35),Data!$BO:$BO,0)-2,60),"")),"")</f>
        <v/>
      </c>
      <c r="E56" s="37"/>
      <c r="F56" s="35" t="str">
        <f ca="1">IFERROR(IF(AND(INDEX(Tab_DaBa[],MATCH(CONCATENATE(Liste!$C$3,$B$5,$B$35),Data!$BO:$BO,0)-2,58)&lt;&gt;"",INDEX(Tab_DaBa[],MATCH(CONCATENATE(Liste!$C$3,$B$5,$B$35),Data!$BO:$BO,0)-2,63)=""),"Performance Level: "&amp;INDEX(Tab_DaBa[],MATCH(CONCATENATE(Liste!$C$3,$B$5,$B$35),Data!$BO:$BO,0)-2,15),IF(INDEX(Tab_DaBa[],MATCH(CONCATENATE(Liste!$C$3,$B$5,$B$35),Data!$BO:$BO,0)-2,58)&lt;&gt;"","Performance Level: "&amp;INDEX(Tab_DaBa[],MATCH(CONCATENATE(Liste!$C$3,$B$5,$B$35),Data!$BO:$BO,0)-2,65),"")),"")</f>
        <v/>
      </c>
      <c r="G56" s="39"/>
      <c r="H56" s="35" t="str">
        <f ca="1">IFERROR(IF(INDEX(Tab_DaBa[],MATCH(CONCATENATE(Liste!$C$3,$B$5,$B$35),Data!$BO:$BO,0)-2,63)&lt;&gt;"","Performance Level: "&amp;INDEX(Tab_DaBa[],MATCH(CONCATENATE(Liste!$C$3,$B$5,$B$35),Data!$BO:$BO,0)-2,15),""),"")</f>
        <v/>
      </c>
    </row>
    <row r="57" spans="2:9" s="16" customFormat="1" ht="15.75">
      <c r="B57" s="35" t="str">
        <f ca="1">IFERROR(IF(AND(INDEX(Tab_DaBa[],MATCH(CONCATENATE(Liste!$C$3,$B$5,$B$35),Data!$BO:$BO,0)-2,48)&lt;&gt;"",INDEX(Tab_DaBa[],MATCH(CONCATENATE(Liste!$C$3,$B$5,$B$35),Data!$BO:$BO,0)-2,53)=""),"PFH [1/h] = "&amp;10^9*INDEX(Tab_DaBa[],MATCH(CONCATENATE(Liste!$C$3,$B$5,$B$35),Data!$BO:$BO,0)-2,16)&amp;"E-9",IF(INDEX(Tab_DaBa[],MATCH(CONCATENATE(Liste!$C$3,$B$5,$B$35),Data!$BO:$BO,0)-2,48)&lt;&gt;"","PFH [1/h] = "&amp;10^9*INDEX(Tab_DaBa[],MATCH(CONCATENATE(Liste!$C$3,$B$5,$B$35),Data!$BO:$BO,0)-2,56)&amp;"E-9","")),"")</f>
        <v/>
      </c>
      <c r="C57" s="39"/>
      <c r="D57" s="35" t="str">
        <f ca="1">IFERROR(IF(AND(INDEX(Tab_DaBa[],MATCH(CONCATENATE(Liste!$C$3,$B$5,$B$35),Data!$BO:$BO,0)-2,53)&lt;&gt;"",INDEX(Tab_DaBa[],MATCH(CONCATENATE(Liste!$C$3,$B$5,$B$35),Data!$BO:$BO,0)-2,58)=""),"PFH [1/h] = "&amp;10^9*INDEX(Tab_DaBa[],MATCH(CONCATENATE(Liste!$C$3,$B$5,$B$35),Data!$BO:$BO,0)-2,16)&amp;"E-9",IF(INDEX(Tab_DaBa[],MATCH(CONCATENATE(Liste!$C$3,$B$5,$B$35),Data!$BO:$BO,0)-2,53)&lt;&gt;"","PFH [1/h] = "&amp;10^9*INDEX(Tab_DaBa[],MATCH(CONCATENATE(Liste!$C$3,$B$5,$B$35),Data!$BO:$BO,0)-2,61)&amp;"E-9","")),"")</f>
        <v/>
      </c>
      <c r="E57" s="37"/>
      <c r="F57" s="35" t="str">
        <f ca="1">IFERROR(IF(AND(INDEX(Tab_DaBa[],MATCH(CONCATENATE(Liste!$C$3,$B$5,$B$35),Data!$BO:$BO,0)-2,58)&lt;&gt;"",INDEX(Tab_DaBa[],MATCH(CONCATENATE(Liste!$C$3,$B$5,$B$35),Data!$BO:$BO,0)-2,63)=""),"PFH [1/h] = "&amp;10^9*INDEX(Tab_DaBa[],MATCH(CONCATENATE(Liste!$C$3,$B$5,$B$35),Data!$BO:$BO,0)-2,16)&amp;"E-9",IF(INDEX(Tab_DaBa[],MATCH(CONCATENATE(Liste!$C$3,$B$5,$B$35),Data!$BO:$BO,0)-2,58)&lt;&gt;"","PFH [1/h] = "&amp;10^9*INDEX(Tab_DaBa[],MATCH(CONCATENATE(Liste!$C$3,$B$5,$B$35),Data!$BO:$BO,0)-2,66)&amp;"E-9","")),"")</f>
        <v/>
      </c>
      <c r="G57" s="39"/>
      <c r="H57" s="35" t="str">
        <f ca="1">IFERROR(IF(INDEX(Tab_DaBa[],MATCH(CONCATENATE(Liste!$C$3,$B$5,$B$35),Data!$BO:$BO,0)-2,63)&lt;&gt;"","PFH [1/h] = "&amp;10^9*INDEX(Tab_DaBa[],MATCH(CONCATENATE(Liste!$C$3,$B$5,$B$35),Data!$BO:$BO,0)-2,16)&amp;"E-9",""),"")</f>
        <v/>
      </c>
    </row>
    <row r="58" spans="2:9" s="16" customFormat="1"/>
    <row r="59" spans="2:9" s="16" customFormat="1">
      <c r="B59" s="43" t="str">
        <f ca="1">IF(D59="","","Erforderlich")</f>
        <v>Erforderlich</v>
      </c>
      <c r="D59" s="44" t="str">
        <f ca="1">IFERROR("Performance Level: "&amp;INDEX(Tab_DaBa[],MATCH(CONCATENATE(Liste!$C$3,$B$5,$B$35),Data!$BO:$BO,0)-2,4),"")</f>
        <v>Performance Level: PLr_ges1_1</v>
      </c>
    </row>
    <row r="60" spans="2:9" s="16" customFormat="1">
      <c r="B60" s="45"/>
    </row>
    <row r="61" spans="2:9" s="16" customFormat="1">
      <c r="B61" s="46" t="str">
        <f ca="1">IF(D61="","","Erreicht")</f>
        <v>Erreicht</v>
      </c>
      <c r="D61" s="47" t="str">
        <f ca="1">IFERROR("Performance Level: "&amp;INDEX(Tab_DaBa[],MATCH(CONCATENATE(Liste!$C$3,$B$5,$B$35),Data!$BO:$BO,0)-2,5)&amp;"          PFH [1/h] = "&amp;10^9*INDEX(Tab_DaBa[],MATCH(CONCATENATE(Liste!$C$3,$B$5,$B$35),Data!$BO:$BO,0)-2,6)&amp;"E-9","")</f>
        <v>Performance Level: Pl_ges1_1          PFH [1/h] = 2,7E-9</v>
      </c>
    </row>
    <row r="62" spans="2:9" s="16" customFormat="1"/>
    <row r="63" spans="2:9" s="16" customFormat="1">
      <c r="B63" s="42" t="str">
        <f ca="1">IFERROR(IF(3&gt;COUNTIF(Data!$BP:$BP,CONCATENATE(Liste!$C$3,$B$5)),"",INDEX(Tab_DaBa[],MATCH(CONCATENATE(Liste!$C$3,$B$5),Data!$BP:$BP,0),3)),"")</f>
        <v>1.2 test1 (E+2L+A)</v>
      </c>
    </row>
    <row r="64" spans="2:9" s="16" customFormat="1"/>
    <row r="65" spans="2:9" s="16" customFormat="1" ht="15.75">
      <c r="B65" s="35" t="str">
        <f ca="1">IFERROR(INDEX(Tab_DaBa[],MATCH(CONCATENATE(Liste!$C$3,$B$5,$B$63),Data!$BO:$BO,0)-2,9),"")</f>
        <v>Eingang</v>
      </c>
      <c r="C65" s="54"/>
      <c r="D65" s="35" t="str">
        <f ca="1">IFERROR(IF(INDEX(Tab_DaBa[],MATCH(CONCATENATE(Liste!$C$3,$B$5,$B$63),Data!$BO:$BO,0)-2,18)=0,INDEX(Tab_DaBa[],MATCH(CONCATENATE(Liste!$C$3,$B$5,$B$63),Data!$BO:$BO,0)-2,14),INDEX(Tab_DaBa[],MATCH(CONCATENATE(Liste!$C$3,$B$5,$B$63),Data!$BO:$BO,0)-2,19)),"")</f>
        <v>Logik 01</v>
      </c>
      <c r="E65" s="33"/>
      <c r="F65" s="35" t="str">
        <f ca="1">IFERROR(IF(AND(INDEX(Tab_DaBa[],MATCH(CONCATENATE(Liste!$C$3,$B$5,$B$63),Data!$BO:$BO,0)-2,18)&lt;&gt;"",INDEX(Tab_DaBa[],MATCH(CONCATENATE(Liste!$C$3,$B$5,$B$63),Data!$BO:$BO,0)-2,23)=0),INDEX(Tab_DaBa[],MATCH(CONCATENATE(Liste!$C$3,$B$5,$B$63),Data!$BO:$BO,0)-2,14),IF(INDEX(Tab_DaBa[],MATCH(CONCATENATE(Liste!$C$3,$B$5,$B$63),Data!$BO:$BO,0)-2,23)&lt;&gt;"",INDEX(Tab_DaBa[],MATCH(CONCATENATE(Liste!$C$3,$B$5,$B$63),Data!$BO:$BO,0)-2,24),"")),"")</f>
        <v>Logik 02</v>
      </c>
      <c r="G65" s="39"/>
      <c r="H65" s="35" t="str">
        <f ca="1">IFERROR(IF(AND(INDEX(Tab_DaBa[],MATCH(CONCATENATE(Liste!$C$3,$B$5,$B$63),Data!$BO:$BO,0)-2,23)&lt;&gt;"",INDEX(Tab_DaBa[],MATCH(CONCATENATE(Liste!$C$3,$B$5,$B$63),Data!$BO:$BO,0)-2,28)=0),INDEX(Tab_DaBa[],MATCH(CONCATENATE(Liste!$C$3,$B$5,$B$63),Data!$BO:$BO,0)-2,14),IF(INDEX(Tab_DaBa[],MATCH(CONCATENATE(Liste!$C$3,$B$5,$B$63),Data!$BO:$BO,0)-2,23)&lt;&gt;"",INDEX(Tab_DaBa[],MATCH(CONCATENATE(Liste!$C$3,$B$5,$B$63),Data!$BO:$BO,0)-2,29),"")),"")</f>
        <v>Ausgang</v>
      </c>
      <c r="I65" s="39"/>
    </row>
    <row r="66" spans="2:9" s="16" customFormat="1" ht="15.75">
      <c r="B66" s="35" t="str">
        <f ca="1">IFERROR(INDEX(Tab_DaBa[],MATCH(CONCATENATE(Liste!$C$3,$B$5,$B$63),Data!$BO:$BO,0)-2,7),"")</f>
        <v>eeee-11_2</v>
      </c>
      <c r="C66" s="54"/>
      <c r="D66" s="35" t="str">
        <f ca="1">IFERROR(IF(INDEX(Tab_DaBa[],MATCH(CONCATENATE(Liste!$C$3,$B$5,$B$63),Data!$BO:$BO,0)-2,18)="",INDEX(Tab_DaBa[],MATCH(CONCATENATE(Liste!$C$3,$B$5,$B$63),Data!$BO:$BO,0)-2,12),INDEX(Tab_DaBa[],MATCH(CONCATENATE(Liste!$C$3,$B$5,$B$63),Data!$BO:$BO,0)-2,17)),"")</f>
        <v>Log01-01_02</v>
      </c>
      <c r="E66" s="36"/>
      <c r="F66" s="35" t="str">
        <f ca="1">IFERROR(IF(AND(INDEX(Tab_DaBa[],MATCH(CONCATENATE(Liste!$C$3,$B$5,$B$63),Data!$BO:$BO,0)-2,18)&lt;&gt;"",INDEX(Tab_DaBa[],MATCH(CONCATENATE(Liste!$C$3,$B$5,$B$63),Data!$BO:$BO,0)-2,23)=0),INDEX(Tab_DaBa[],MATCH(CONCATENATE(Liste!$C$3,$B$5,$B$63),Data!$BO:$BO,0)-2,12),IF(INDEX(Tab_DaBa[],MATCH(CONCATENATE(Liste!$C$3,$B$5,$B$63),Data!$BO:$BO,0)-2,23)&lt;&gt;"",INDEX(Tab_DaBa[],MATCH(CONCATENATE(Liste!$C$3,$B$5,$B$63),Data!$BO:$BO,0)-2,22),"")),"")</f>
        <v>Lo01-22_2</v>
      </c>
      <c r="G66" s="39"/>
      <c r="H66" s="35" t="str">
        <f ca="1">IFERROR(IF(AND(INDEX(Tab_DaBa[],MATCH(CONCATENATE(Liste!$C$3,$B$5,$B$63),Data!$BO:$BO,0)-2,23)&lt;&gt;"",INDEX(Tab_DaBa[],MATCH(CONCATENATE(Liste!$C$3,$B$5,$B$63),Data!$BO:$BO,0)-2,28)=0),INDEX(Tab_DaBa[],MATCH(CONCATENATE(Liste!$C$3,$B$5,$B$63),Data!$BO:$BO,0)-2,12),IF(INDEX(Tab_DaBa[],MATCH(CONCATENATE(Liste!$C$3,$B$5,$B$63),Data!$BO:$BO,0)-2,23)&lt;&gt;"",INDEX(Tab_DaBa[],MATCH(CONCATENATE(Liste!$C$3,$B$5,$B$63),Data!$BO:$BO,0)-2,27),"")),"")</f>
        <v>aaaa-11_2</v>
      </c>
      <c r="I66" s="39"/>
    </row>
    <row r="67" spans="2:9" s="16" customFormat="1" ht="15.75">
      <c r="B67" s="35" t="str">
        <f ca="1">IFERROR(INDEX(Tab_DaBa[],MATCH(CONCATENATE(Liste!$C$3,$B$5,$B$63),Data!$BO:$BO,0)-2,8),"")</f>
        <v>Bez_Ein1_2</v>
      </c>
      <c r="C67" s="40">
        <f ca="1">IF(D65="","",4)</f>
        <v>4</v>
      </c>
      <c r="D67" s="35" t="str">
        <f ca="1">IFERROR(IF(INDEX(Tab_DaBa[],MATCH(CONCATENATE(Liste!$C$3,$B$5,$B$63),Data!$BO:$BO,0)-2,18)="",INDEX(Tab_DaBa[],MATCH(CONCATENATE(Liste!$C$3,$B$5,$B$63),Data!$BO:$BO,0)-2,13),INDEX(Tab_DaBa[],MATCH(CONCATENATE(Liste!$C$3,$B$5,$B$63),Data!$BO:$BO,0)-2,18)),"")</f>
        <v>Bez_Log01_01_02</v>
      </c>
      <c r="E67" s="40">
        <f ca="1">IF(F65="","",4)</f>
        <v>4</v>
      </c>
      <c r="F67" s="35" t="str">
        <f ca="1">IFERROR(IF(AND(INDEX(Tab_DaBa[],MATCH(CONCATENATE(Liste!$C$3,$B$5,$B$63),Data!$BO:$BO,0)-2,18)&lt;&gt;"",INDEX(Tab_DaBa[],MATCH(CONCATENATE(Liste!$C$3,$B$5,$B$63),Data!$BO:$BO,0)-2,23)=""),INDEX(Tab_DaBa[],MATCH(CONCATENATE(Liste!$C$3,$B$5,$B$63),Data!$BO:$BO,0)-2,13),IF(INDEX(Tab_DaBa[],MATCH(CONCATENATE(Liste!$C$3,$B$5,$B$63),Data!$BO:$BO,0)-2,23)&lt;&gt;"",INDEX(Tab_DaBa[],MATCH(CONCATENATE(Liste!$C$3,$B$5,$B$63),Data!$BO:$BO,0)-2,23),"")),"")</f>
        <v>Bez_Lo01_2</v>
      </c>
      <c r="G67" s="38">
        <f ca="1">IF(H65="","",4)</f>
        <v>4</v>
      </c>
      <c r="H67" s="35" t="str">
        <f ca="1">IFERROR(IF(AND(INDEX(Tab_DaBa[],MATCH(CONCATENATE(Liste!$C$3,$B$5,$B$63),Data!$BO:$BO,0)-2,23)&lt;&gt;"",INDEX(Tab_DaBa[],MATCH(CONCATENATE(Liste!$C$3,$B$5,$B$63),Data!$BO:$BO,0)-2,28)=""),INDEX(Tab_DaBa[],MATCH(CONCATENATE(Liste!$C$3,$B$5,$B$63),Data!$BO:$BO,0)-2,13),IF(INDEX(Tab_DaBa[],MATCH(CONCATENATE(Liste!$C$3,$B$5,$B$63),Data!$BO:$BO,0)-2,23)&lt;&gt;"",INDEX(Tab_DaBa[],MATCH(CONCATENATE(Liste!$C$3,$B$5,$B$63),Data!$BO:$BO,0)-2,28),"")),"")</f>
        <v>Bez_Aus2</v>
      </c>
      <c r="I67" s="38" t="str">
        <f ca="1">IF(B73="","",6)</f>
        <v/>
      </c>
    </row>
    <row r="68" spans="2:9" s="16" customFormat="1" ht="15.75">
      <c r="B68" s="35" t="str">
        <f ca="1">IFERROR("Performance Level: "&amp;INDEX(Tab_DaBa[],MATCH(CONCATENATE(Liste!$C$3,$B$5,$B$63),Data!$BO:$BO,0)-2,10),"")</f>
        <v>Performance Level: PL_Ein1_2</v>
      </c>
      <c r="C68" s="54"/>
      <c r="D68" s="35" t="str">
        <f ca="1">IFERROR(IF(INDEX(Tab_DaBa[],MATCH(CONCATENATE(Liste!$C$3,$B$5,$B$63),Data!$BO:$BO,0)-2,18)="","Performance Level: "&amp;INDEX(Tab_DaBa[],MATCH(CONCATENATE(Liste!$C$3,$B$5,$B$63),Data!$BO:$BO,0)-2,15),"Performance Level: "&amp;INDEX(Tab_DaBa[],MATCH(CONCATENATE(Liste!$C$3,$B$5,$B$63),Data!$BO:$BO,0)-2,20)),"")</f>
        <v>Performance Level: PL_Log01_01_02</v>
      </c>
      <c r="E68" s="36"/>
      <c r="F68" s="35" t="str">
        <f ca="1">IFERROR(IF(AND(INDEX(Tab_DaBa[],MATCH(CONCATENATE(Liste!$C$3,$B$5,$B$63),Data!$BO:$BO,0)-2,18)&lt;&gt;"",INDEX(Tab_DaBa[],MATCH(CONCATENATE(Liste!$C$3,$B$5,$B$63),Data!$BO:$BO,0)-2,23)=""),"Performance Level: "&amp;INDEX(Tab_DaBa[],MATCH(CONCATENATE(Liste!$C$3,$B$5,$B$63),Data!$BO:$BO,0)-2,15),IF(INDEX(Tab_DaBa[],MATCH(CONCATENATE(Liste!$C$3,$B$5,$B$63),Data!$BO:$BO,0)-2,23)&lt;&gt;"","Performance Level: "&amp;INDEX(Tab_DaBa[],MATCH(CONCATENATE(Liste!$C$3,$B$5,$B$63),Data!$BO:$BO,0)-2,25),"")),"")</f>
        <v>Performance Level: PL_Lo02_2</v>
      </c>
      <c r="G68" s="39"/>
      <c r="H68" s="35" t="str">
        <f ca="1">IFERROR(IF(AND(INDEX(Tab_DaBa[],MATCH(CONCATENATE(Liste!$C$3,$B$5,$B$63),Data!$BO:$BO,0)-2,23)&lt;&gt;"",INDEX(Tab_DaBa[],MATCH(CONCATENATE(Liste!$C$3,$B$5,$B$63),Data!$BO:$BO,0)-2,28)=""),"Performance Level: "&amp;INDEX(Tab_DaBa[],MATCH(CONCATENATE(Liste!$C$3,$B$5,$B$63),Data!$BO:$BO,0)-2,15),IF(INDEX(Tab_DaBa[],MATCH(CONCATENATE(Liste!$C$3,$B$5,$B$63),Data!$BO:$BO,0)-2,23)&lt;&gt;"","Performance Level: "&amp;INDEX(Tab_DaBa[],MATCH(CONCATENATE(Liste!$C$3,$B$5,$B$63),Data!$BO:$BO,0)-2,30),"")),"")</f>
        <v>Performance Level: PL_Aus1_2</v>
      </c>
      <c r="I68" s="38"/>
    </row>
    <row r="69" spans="2:9" s="16" customFormat="1" ht="15.75">
      <c r="B69" s="53" t="str">
        <f ca="1">IFERROR("PFH [1/h] = "&amp;10^9*INDEX(Tab_DaBa[],MATCH(CONCATENATE(Liste!$C$3,$B$5,$B$63),Data!$BO:$BO,0)-2,11)&amp;"E-9","")</f>
        <v>PFH [1/h] = 2,9E-9</v>
      </c>
      <c r="C69" s="54"/>
      <c r="D69" s="35" t="str">
        <f ca="1">IFERROR(IF(INDEX(Tab_DaBa[],MATCH(CONCATENATE(Liste!$C$3,$B$5,$B$63),Data!$BO:$BO,0)-2,18)="","PFH [1/h] = "&amp;10^9*INDEX(Tab_DaBa[],MATCH(CONCATENATE(Liste!$C$3,$B$5,$B$63),Data!$BO:$BO,0)-2,16)&amp;"E-9","PFH [1/h] = "&amp;10^9*INDEX(Tab_DaBa[],MATCH(CONCATENATE(Liste!$C$3,$B$5,$B$63),Data!$BO:$BO,0)-2,21)&amp;"E-9"),"")</f>
        <v>PFH [1/h] = 2,198E-9</v>
      </c>
      <c r="E69" s="36"/>
      <c r="F69" s="35" t="str">
        <f ca="1">IFERROR(IF(AND(INDEX(Tab_DaBa[],MATCH(CONCATENATE(Liste!$C$3,$B$5,$B$63),Data!$BO:$BO,0)-2,18)&lt;&gt;"",INDEX(Tab_DaBa[],MATCH(CONCATENATE(Liste!$C$3,$B$5,$B$63),Data!$BO:$BO,0)-2,23)=""),"PFH [1/h] = "&amp;10^9*INDEX(Tab_DaBa[],MATCH(CONCATENATE(Liste!$C$3,$B$5,$B$63),Data!$BO:$BO,0)-2,16)&amp;"E-9",IF(INDEX(Tab_DaBa[],MATCH(CONCATENATE(Liste!$C$3,$B$5,$B$63),Data!$BO:$BO,0)-2,23)&lt;&gt;"","PFH [1/h] = "&amp;10^9*INDEX(Tab_DaBa[],MATCH(CONCATENATE(Liste!$C$3,$B$5,$B$63),Data!$BO:$BO,0)-2,26)&amp;"E-9","")),"")</f>
        <v>PFH [1/h] = 4,19E-9</v>
      </c>
      <c r="G69" s="39"/>
      <c r="H69" s="35" t="str">
        <f ca="1">IFERROR(IF(AND(INDEX(Tab_DaBa[],MATCH(CONCATENATE(Liste!$C$3,$B$5,$B$63),Data!$BO:$BO,0)-2,23)&lt;&gt;"",INDEX(Tab_DaBa[],MATCH(CONCATENATE(Liste!$C$3,$B$5,$B$63),Data!$BO:$BO,0)-2,28)=""),"PFH [1/h] = "&amp;10^9*INDEX(Tab_DaBa[],MATCH(CONCATENATE(Liste!$C$3,$B$5,$B$63),Data!$BO:$BO,0)-2,16)&amp;"E-9",IF(INDEX(Tab_DaBa[],MATCH(CONCATENATE(Liste!$C$3,$B$5,$B$63),Data!$BO:$BO,0)-2,23)&lt;&gt;"","PFH [1/h] = "&amp;10^9*INDEX(Tab_DaBa[],MATCH(CONCATENATE(Liste!$C$3,$B$5,$B$63),Data!$BO:$BO,0)-2,31)&amp;"E-9","")),"")</f>
        <v>PFH [1/h] = 24,7E-9</v>
      </c>
      <c r="I69" s="39"/>
    </row>
    <row r="70" spans="2:9" s="16" customFormat="1">
      <c r="B70" s="33"/>
      <c r="C70" s="34"/>
      <c r="D70" s="33"/>
      <c r="E70" s="33"/>
      <c r="F70" s="33"/>
      <c r="G70" s="33"/>
      <c r="H70" s="33"/>
      <c r="I70" s="33"/>
    </row>
    <row r="71" spans="2:9" s="16" customFormat="1" ht="15.75">
      <c r="B71" s="38" t="str">
        <f ca="1">IF(B73="","",6)</f>
        <v/>
      </c>
      <c r="C71" s="34"/>
      <c r="D71" s="38" t="str">
        <f ca="1">IF(B73="","",3)</f>
        <v/>
      </c>
      <c r="E71" s="33"/>
      <c r="F71" s="38" t="str">
        <f ca="1">IF(B73="","",3)</f>
        <v/>
      </c>
      <c r="G71" s="33"/>
      <c r="H71" s="38" t="str">
        <f ca="1">IF(B73="","",3)</f>
        <v/>
      </c>
      <c r="I71" s="33"/>
    </row>
    <row r="72" spans="2:9" s="16" customFormat="1" ht="15.75">
      <c r="B72" s="39"/>
      <c r="C72" s="33"/>
      <c r="D72" s="33"/>
      <c r="E72" s="33"/>
      <c r="F72" s="33"/>
      <c r="G72" s="33"/>
      <c r="H72" s="33"/>
      <c r="I72" s="33"/>
    </row>
    <row r="73" spans="2:9" s="16" customFormat="1" ht="15.75">
      <c r="B73" s="35" t="str">
        <f ca="1">IFERROR(IF(AND(INDEX(Tab_DaBa[],MATCH(CONCATENATE(Liste!$C$3,$B$5,$B$63),Data!$BO:$BO,0)-2,28)&lt;&gt;"",INDEX(Tab_DaBa[],MATCH(CONCATENATE(Liste!$C$3,$B$5,$B$63),Data!$BO:$BO,0)-2,33)=0),INDEX(Tab_DaBa[],MATCH(CONCATENATE(Liste!$C$3,$B$5,$B$63),Data!$BO:$BO,0)-2,14),IF(INDEX(Tab_DaBa[],MATCH(CONCATENATE(Liste!$C$3,$B$5,$B$63),Data!$BO:$BO,0)-2,28)&lt;&gt;"",INDEX(Tab_DaBa[],MATCH(CONCATENATE(Liste!$C$3,$B$5,$B$63),Data!$BO:$BO,0)-2,34),"")),"")</f>
        <v/>
      </c>
      <c r="C73" s="39"/>
      <c r="D73" s="35" t="str">
        <f ca="1">IFERROR(IF(AND(INDEX(Tab_DaBa[],MATCH(CONCATENATE(Liste!$C$3,$B$5,$B$63),Data!$BO:$BO,0)-2,33)&lt;&gt;"",INDEX(Tab_DaBa[],MATCH(CONCATENATE(Liste!$C$3,$B$5,$B$63),Data!$BO:$BO,0)-2,38)=0),INDEX(Tab_DaBa[],MATCH(CONCATENATE(Liste!$C$3,$B$5,$B$63),Data!$BO:$BO,0)-2,14),IF(INDEX(Tab_DaBa[],MATCH(CONCATENATE(Liste!$C$3,$B$5,$B$63),Data!$BO:$BO,0)-2,33)&lt;&gt;"",INDEX(Tab_DaBa[],MATCH(CONCATENATE(Liste!$C$3,$B$5,$B$63),Data!$BO:$BO,0)-2,39),"")),"")</f>
        <v/>
      </c>
      <c r="E73" s="33"/>
      <c r="F73" s="35" t="str">
        <f ca="1">IFERROR(IF(AND(INDEX(Tab_DaBa[],MATCH(CONCATENATE(Liste!$C$3,$B$5,$B$63),Data!$BO:$BO,0)-2,38)&lt;&gt;"",INDEX(Tab_DaBa[],MATCH(CONCATENATE(Liste!$C$3,$B$5,$B$63),Data!$BO:$BO,0)-2,43)=0),INDEX(Tab_DaBa[],MATCH(CONCATENATE(Liste!$C$3,$B$5,$B$63),Data!$BO:$BO,0)-2,14),IF(INDEX(Tab_DaBa[],MATCH(CONCATENATE(Liste!$C$3,$B$5,$B$63),Data!$BO:$BO,0)-2,38)&lt;&gt;"",INDEX(Tab_DaBa[],MATCH(CONCATENATE(Liste!$C$3,$B$5,$B$63),Data!$BO:$BO,0)-2,44),"")),"")</f>
        <v/>
      </c>
      <c r="G73" s="39"/>
      <c r="H73" s="35" t="str">
        <f ca="1">IFERROR(IF(AND(INDEX(Tab_DaBa[],MATCH(CONCATENATE(Liste!$C$3,$B$5,$B$63),Data!$BO:$BO,0)-2,43)&lt;&gt;"",INDEX(Tab_DaBa[],MATCH(CONCATENATE(Liste!$C$3,$B$5,$B$63),Data!$BO:$BO,0)-2,48)=0),INDEX(Tab_DaBa[],MATCH(CONCATENATE(Liste!$C$3,$B$5,$B$63),Data!$BO:$BO,0)-2,14),IF(INDEX(Tab_DaBa[],MATCH(CONCATENATE(Liste!$C$3,$B$5,$B$63),Data!$BO:$BO,0)-2,43)&lt;&gt;"",INDEX(Tab_DaBa[],MATCH(CONCATENATE(Liste!$C$3,$B$5,$B$63),Data!$BO:$BO,0)-2,49),"")),"")</f>
        <v/>
      </c>
      <c r="I73" s="39"/>
    </row>
    <row r="74" spans="2:9" s="16" customFormat="1" ht="15.75">
      <c r="B74" s="35" t="str">
        <f ca="1">IFERROR(IF(AND(INDEX(Tab_DaBa[],MATCH(CONCATENATE(Liste!$C$3,$B$5,$B$63),Data!$BO:$BO,0)-2,28)&lt;&gt;"",INDEX(Tab_DaBa[],MATCH(CONCATENATE(Liste!$C$3,$B$5,$B$63),Data!$BO:$BO,0)-2,33)=0),INDEX(Tab_DaBa[],MATCH(CONCATENATE(Liste!$C$3,$B$5,$B$63),Data!$BO:$BO,0)-2,12),IF(INDEX(Tab_DaBa[],MATCH(CONCATENATE(Liste!$C$3,$B$5,$B$63),Data!$BO:$BO,0)-2,28)&lt;&gt;"",INDEX(Tab_DaBa[],MATCH(CONCATENATE(Liste!$C$3,$B$5,$B$63),Data!$BO:$BO,0)-2,32),"")),"")</f>
        <v/>
      </c>
      <c r="C74" s="39"/>
      <c r="D74" s="35" t="str">
        <f ca="1">IFERROR(IF(AND(INDEX(Tab_DaBa[],MATCH(CONCATENATE(Liste!$C$3,$B$5,$B$63),Data!$BO:$BO,0)-2,33)&lt;&gt;"",INDEX(Tab_DaBa[],MATCH(CONCATENATE(Liste!$C$3,$B$5,$B$63),Data!$BO:$BO,0)-2,38)=0),INDEX(Tab_DaBa[],MATCH(CONCATENATE(Liste!$C$3,$B$5,$B$63),Data!$BO:$BO,0)-2,12),IF(INDEX(Tab_DaBa[],MATCH(CONCATENATE(Liste!$C$3,$B$5,$B$63),Data!$BO:$BO,0)-2,33)&lt;&gt;"",INDEX(Tab_DaBa[],MATCH(CONCATENATE(Liste!$C$3,$B$5,$B$63),Data!$BO:$BO,0)-2,37),"")),"")</f>
        <v/>
      </c>
      <c r="E74" s="37"/>
      <c r="F74" s="35" t="str">
        <f ca="1">IFERROR(IF(AND(INDEX(Tab_DaBa[],MATCH(CONCATENATE(Liste!$C$3,$B$5,$B$63),Data!$BO:$BO,0)-2,38)&lt;&gt;"",INDEX(Tab_DaBa[],MATCH(CONCATENATE(Liste!$C$3,$B$5,$B$63),Data!$BO:$BO,0)-2,43)=0),INDEX(Tab_DaBa[],MATCH(CONCATENATE(Liste!$C$3,$B$5,$B$63),Data!$BO:$BO,0)-2,12),IF(INDEX(Tab_DaBa[],MATCH(CONCATENATE(Liste!$C$3,$B$5,$B$63),Data!$BO:$BO,0)-2,38)&lt;&gt;"",INDEX(Tab_DaBa[],MATCH(CONCATENATE(Liste!$C$3,$B$5,$B$63),Data!$BO:$BO,0)-2,42),"")),"")</f>
        <v/>
      </c>
      <c r="G74" s="39"/>
      <c r="H74" s="35" t="str">
        <f ca="1">IFERROR(IF(AND(INDEX(Tab_DaBa[],MATCH(CONCATENATE(Liste!$C$3,$B$5,$B$63),Data!$BO:$BO,0)-2,43)&lt;&gt;"",INDEX(Tab_DaBa[],MATCH(CONCATENATE(Liste!$C$3,$B$5,$B$63),Data!$BO:$BO,0)-2,48)=0),INDEX(Tab_DaBa[],MATCH(CONCATENATE(Liste!$C$3,$B$5,$B$63),Data!$BO:$BO,0)-2,12),IF(INDEX(Tab_DaBa[],MATCH(CONCATENATE(Liste!$C$3,$B$5,$B$63),Data!$BO:$BO,0)-2,43)&lt;&gt;"",INDEX(Tab_DaBa[],MATCH(CONCATENATE(Liste!$C$3,$B$5,$B$63),Data!$BO:$BO,0)-2,47),"")),"")</f>
        <v/>
      </c>
      <c r="I74" s="39"/>
    </row>
    <row r="75" spans="2:9" s="16" customFormat="1" ht="15.75">
      <c r="B75" s="35" t="str">
        <f ca="1">IFERROR(IF(AND(INDEX(Tab_DaBa[],MATCH(CONCATENATE(Liste!$C$3,$B$5,$B$63),Data!$BO:$BO,0)-2,28)&lt;&gt;"",INDEX(Tab_DaBa[],MATCH(CONCATENATE(Liste!$C$3,$B$5,$B$63),Data!$BO:$BO,0)-2,33)=""),INDEX(Tab_DaBa[],MATCH(CONCATENATE(Liste!$C$3,$B$5,$B$63),Data!$BO:$BO,0)-2,13),IF(INDEX(Tab_DaBa[],MATCH(CONCATENATE(Liste!$C$3,$B$5,$B$63),Data!$BO:$BO,0)-2,28)&lt;&gt;"",INDEX(Tab_DaBa[],MATCH(CONCATENATE(Liste!$C$3,$B$5,$B$63),Data!$BO:$BO,0)-2,33),"")),"")</f>
        <v/>
      </c>
      <c r="C75" s="38" t="str">
        <f ca="1">IF(D73="","",4)</f>
        <v/>
      </c>
      <c r="D75" s="35" t="str">
        <f ca="1">IFERROR(IF(AND(INDEX(Tab_DaBa[],MATCH(CONCATENATE(Liste!$C$3,$B$5,$B$63),Data!$BO:$BO,0)-2,33)&lt;&gt;"",INDEX(Tab_DaBa[],MATCH(CONCATENATE(Liste!$C$3,$B$5,$B$63),Data!$BO:$BO,0)-2,38)=""),INDEX(Tab_DaBa[],MATCH(CONCATENATE(Liste!$C$3,$B$5,$B$63),Data!$BO:$BO,0)-2,13),IF(INDEX(Tab_DaBa[],MATCH(CONCATENATE(Liste!$C$3,$B$5,$B$63),Data!$BO:$BO,0)-2,33)&lt;&gt;"",INDEX(Tab_DaBa[],MATCH(CONCATENATE(Liste!$C$3,$B$5,$B$63),Data!$BO:$BO,0)-2,38),"")),"")</f>
        <v/>
      </c>
      <c r="E75" s="38" t="str">
        <f ca="1">IF(F73="","",4)</f>
        <v/>
      </c>
      <c r="F75" s="35" t="str">
        <f ca="1">IFERROR(IF(AND(INDEX(Tab_DaBa[],MATCH(CONCATENATE(Liste!$C$3,$B$5,$B$63),Data!$BO:$BO,0)-2,38)&lt;&gt;"",INDEX(Tab_DaBa[],MATCH(CONCATENATE(Liste!$C$3,$B$5,$B$63),Data!$BO:$BO,0)-2,43)=""),INDEX(Tab_DaBa[],MATCH(CONCATENATE(Liste!$C$3,$B$5,$B$63),Data!$BO:$BO,0)-2,13),IF(INDEX(Tab_DaBa[],MATCH(CONCATENATE(Liste!$C$3,$B$5,$B$63),Data!$BO:$BO,0)-2,38)&lt;&gt;"",INDEX(Tab_DaBa[],MATCH(CONCATENATE(Liste!$C$3,$B$5,$B$63),Data!$BO:$BO,0)-2,43),"")),"")</f>
        <v/>
      </c>
      <c r="G75" s="38" t="str">
        <f ca="1">IF(H73="","",4)</f>
        <v/>
      </c>
      <c r="H75" s="35" t="str">
        <f ca="1">IFERROR(IF(AND(INDEX(Tab_DaBa[],MATCH(CONCATENATE(Liste!$C$3,$B$5,$B$63),Data!$BO:$BO,0)-2,43)&lt;&gt;"",INDEX(Tab_DaBa[],MATCH(CONCATENATE(Liste!$C$3,$B$5,$B$63),Data!$BO:$BO,0)-2,48)=""),INDEX(Tab_DaBa[],MATCH(CONCATENATE(Liste!$C$3,$B$5,$B$63),Data!$BO:$BO,0)-2,13),IF(INDEX(Tab_DaBa[],MATCH(CONCATENATE(Liste!$C$3,$B$5,$B$63),Data!$BO:$BO,0)-2,43)&lt;&gt;"",INDEX(Tab_DaBa[],MATCH(CONCATENATE(Liste!$C$3,$B$5,$B$63),Data!$BO:$BO,0)-2,48),"")),"")</f>
        <v/>
      </c>
      <c r="I75" s="38" t="str">
        <f ca="1">IF(B81="","",6)</f>
        <v/>
      </c>
    </row>
    <row r="76" spans="2:9" s="16" customFormat="1" ht="15.75">
      <c r="B76" s="35" t="str">
        <f ca="1">IFERROR(IF(AND(INDEX(Tab_DaBa[],MATCH(CONCATENATE(Liste!$C$3,$B$5,$B$63),Data!$BO:$BO,0)-2,28)&lt;&gt;"",INDEX(Tab_DaBa[],MATCH(CONCATENATE(Liste!$C$3,$B$5,$B$63),Data!$BO:$BO,0)-2,33)=""),"Performance Level: "&amp;INDEX(Tab_DaBa[],MATCH(CONCATENATE(Liste!$C$3,$B$5,$B$63),Data!$BO:$BO,0)-2,15),IF(INDEX(Tab_DaBa[],MATCH(CONCATENATE(Liste!$C$3,$B$5,$B$63),Data!$BO:$BO,0)-2,28)&lt;&gt;"","Performance Level: "&amp;INDEX(Tab_DaBa[],MATCH(CONCATENATE(Liste!$C$3,$B$5,$B$63),Data!$BO:$BO,0)-2,35),"")),"")</f>
        <v/>
      </c>
      <c r="C76" s="39"/>
      <c r="D76" s="35" t="str">
        <f ca="1">IFERROR(IF(AND(INDEX(Tab_DaBa[],MATCH(CONCATENATE(Liste!$C$3,$B$5,$B$63),Data!$BO:$BO,0)-2,33)&lt;&gt;"",INDEX(Tab_DaBa[],MATCH(CONCATENATE(Liste!$C$3,$B$5,$B$63),Data!$BO:$BO,0)-2,38)=""),"Performance Level: "&amp;INDEX(Tab_DaBa[],MATCH(CONCATENATE(Liste!$C$3,$B$5,$B$63),Data!$BO:$BO,0)-2,15),IF(INDEX(Tab_DaBa[],MATCH(CONCATENATE(Liste!$C$3,$B$5,$B$63),Data!$BO:$BO,0)-2,33)&lt;&gt;"","Performance Level: "&amp;INDEX(Tab_DaBa[],MATCH(CONCATENATE(Liste!$C$3,$B$5,$B$63),Data!$BO:$BO,0)-2,40),"")),"")</f>
        <v/>
      </c>
      <c r="E76" s="37"/>
      <c r="F76" s="35" t="str">
        <f ca="1">IFERROR(IF(AND(INDEX(Tab_DaBa[],MATCH(CONCATENATE(Liste!$C$3,$B$5,$B$63),Data!$BO:$BO,0)-2,38)&lt;&gt;"",INDEX(Tab_DaBa[],MATCH(CONCATENATE(Liste!$C$3,$B$5,$B$63),Data!$BO:$BO,0)-2,43)=""),"Performance Level: "&amp;INDEX(Tab_DaBa[],MATCH(CONCATENATE(Liste!$C$3,$B$5,$B$63),Data!$BO:$BO,0)-2,15),IF(INDEX(Tab_DaBa[],MATCH(CONCATENATE(Liste!$C$3,$B$5,$B$63),Data!$BO:$BO,0)-2,38)&lt;&gt;"","Performance Level: "&amp;INDEX(Tab_DaBa[],MATCH(CONCATENATE(Liste!$C$3,$B$5,$B$63),Data!$BO:$BO,0)-2,45),"")),"")</f>
        <v/>
      </c>
      <c r="G76" s="39"/>
      <c r="H76" s="35" t="str">
        <f ca="1">IFERROR(IF(AND(INDEX(Tab_DaBa[],MATCH(CONCATENATE(Liste!$C$3,$B$5,$B$63),Data!$BO:$BO,0)-2,43)&lt;&gt;"",INDEX(Tab_DaBa[],MATCH(CONCATENATE(Liste!$C$3,$B$5,$B$63),Data!$BO:$BO,0)-2,48)=""),"Performance Level: "&amp;INDEX(Tab_DaBa[],MATCH(CONCATENATE(Liste!$C$3,$B$5,$B$63),Data!$BO:$BO,0)-2,15),IF(INDEX(Tab_DaBa[],MATCH(CONCATENATE(Liste!$C$3,$B$5,$B$63),Data!$BO:$BO,0)-2,43)&lt;&gt;"","Performance Level: "&amp;INDEX(Tab_DaBa[],MATCH(CONCATENATE(Liste!$C$3,$B$5,$B$63),Data!$BO:$BO,0)-2,50),"")),"")</f>
        <v/>
      </c>
      <c r="I76" s="39"/>
    </row>
    <row r="77" spans="2:9" s="16" customFormat="1" ht="15.75">
      <c r="B77" s="35" t="str">
        <f ca="1">IFERROR(IF(AND(INDEX(Tab_DaBa[],MATCH(CONCATENATE(Liste!$C$3,$B$5,$B$63),Data!$BO:$BO,0)-2,28)&lt;&gt;"",INDEX(Tab_DaBa[],MATCH(CONCATENATE(Liste!$C$3,$B$5,$B$63),Data!$BO:$BO,0)-2,33)=""),"PFH [1/h] = "&amp;10^9*INDEX(Tab_DaBa[],MATCH(CONCATENATE(Liste!$C$3,$B$5,$B$63),Data!$BO:$BO,0)-2,16)&amp;"E-9",IF(INDEX(Tab_DaBa[],MATCH(CONCATENATE(Liste!$C$3,$B$5,$B$63),Data!$BO:$BO,0)-2,28)&lt;&gt;"","PFH [1/h] = "&amp;10^9*INDEX(Tab_DaBa[],MATCH(CONCATENATE(Liste!$C$3,$B$5,$B$63),Data!$BO:$BO,0)-2,36)&amp;"E-9","")),"")</f>
        <v/>
      </c>
      <c r="C77" s="39"/>
      <c r="D77" s="35" t="str">
        <f ca="1">IFERROR(IF(AND(INDEX(Tab_DaBa[],MATCH(CONCATENATE(Liste!$C$3,$B$5,$B$63),Data!$BO:$BO,0)-2,33)&lt;&gt;"",INDEX(Tab_DaBa[],MATCH(CONCATENATE(Liste!$C$3,$B$5,$B$63),Data!$BO:$BO,0)-2,38)=""),"PFH [1/h] = "&amp;10^9*INDEX(Tab_DaBa[],MATCH(CONCATENATE(Liste!$C$3,$B$5,$B$63),Data!$BO:$BO,0)-2,16)&amp;"E-9",IF(INDEX(Tab_DaBa[],MATCH(CONCATENATE(Liste!$C$3,$B$5,$B$63),Data!$BO:$BO,0)-2,33)&lt;&gt;"","PFH [1/h] = "&amp;10^9*INDEX(Tab_DaBa[],MATCH(CONCATENATE(Liste!$C$3,$B$5,$B$63),Data!$BO:$BO,0)-2,41)&amp;"E-9","")),"")</f>
        <v/>
      </c>
      <c r="E77" s="37"/>
      <c r="F77" s="35" t="str">
        <f ca="1">IFERROR(IF(AND(INDEX(Tab_DaBa[],MATCH(CONCATENATE(Liste!$C$3,$B$5,$B$63),Data!$BO:$BO,0)-2,38)&lt;&gt;"",INDEX(Tab_DaBa[],MATCH(CONCATENATE(Liste!$C$3,$B$5,$B$63),Data!$BO:$BO,0)-2,43)=""),"PFH [1/h] = "&amp;10^9*INDEX(Tab_DaBa[],MATCH(CONCATENATE(Liste!$C$3,$B$5,$B$63),Data!$BO:$BO,0)-2,16)&amp;"E-9",IF(INDEX(Tab_DaBa[],MATCH(CONCATENATE(Liste!$C$3,$B$5,$B$63),Data!$BO:$BO,0)-2,38)&lt;&gt;"","PFH [1/h] = "&amp;10^9*INDEX(Tab_DaBa[],MATCH(CONCATENATE(Liste!$C$3,$B$5,$B$63),Data!$BO:$BO,0)-2,46)&amp;"E-9","")),"")</f>
        <v/>
      </c>
      <c r="G77" s="39"/>
      <c r="H77" s="35" t="str">
        <f ca="1">IFERROR(IF(AND(INDEX(Tab_DaBa[],MATCH(CONCATENATE(Liste!$C$3,$B$5,$B$63),Data!$BO:$BO,0)-2,43)&lt;&gt;"",INDEX(Tab_DaBa[],MATCH(CONCATENATE(Liste!$C$3,$B$5,$B$63),Data!$BO:$BO,0)-2,48)=""),"PFH [1/h] = "&amp;10^9*INDEX(Tab_DaBa[],MATCH(CONCATENATE(Liste!$C$3,$B$5,$B$63),Data!$BO:$BO,0)-2,16)&amp;"E-9",IF(INDEX(Tab_DaBa[],MATCH(CONCATENATE(Liste!$C$3,$B$5,$B$63),Data!$BO:$BO,0)-2,43)&lt;&gt;"","PFH [1/h] = "&amp;10^9*INDEX(Tab_DaBa[],MATCH(CONCATENATE(Liste!$C$3,$B$5,$B$63),Data!$BO:$BO,0)-2,51)&amp;"E-9","")),"")</f>
        <v/>
      </c>
      <c r="I77" s="39"/>
    </row>
    <row r="78" spans="2:9" s="16" customFormat="1">
      <c r="B78" s="33"/>
      <c r="C78" s="33"/>
      <c r="D78" s="33"/>
      <c r="E78" s="33"/>
      <c r="F78" s="33"/>
      <c r="G78" s="33"/>
      <c r="H78" s="33"/>
      <c r="I78" s="33"/>
    </row>
    <row r="79" spans="2:9" s="16" customFormat="1" ht="15.75">
      <c r="B79" s="38" t="str">
        <f ca="1">IF(B81="","",6)</f>
        <v/>
      </c>
      <c r="C79" s="33"/>
      <c r="D79" s="38" t="str">
        <f ca="1">IF(B81="","",3)</f>
        <v/>
      </c>
      <c r="E79" s="33"/>
      <c r="F79" s="38" t="str">
        <f ca="1">IF(B81="","",3)</f>
        <v/>
      </c>
      <c r="G79" s="33"/>
      <c r="H79" s="38" t="str">
        <f ca="1">IF(B81="","",3)</f>
        <v/>
      </c>
      <c r="I79" s="33"/>
    </row>
    <row r="80" spans="2:9" s="16" customFormat="1" ht="15.75">
      <c r="B80" s="39"/>
      <c r="C80" s="33"/>
      <c r="D80" s="33"/>
      <c r="E80" s="33"/>
      <c r="F80" s="33"/>
      <c r="G80" s="33"/>
      <c r="H80" s="33"/>
      <c r="I80" s="33"/>
    </row>
    <row r="81" spans="2:9" s="16" customFormat="1" ht="15.75">
      <c r="B81" s="35" t="str">
        <f ca="1">IFERROR(IF(AND(INDEX(Tab_DaBa[],MATCH(CONCATENATE(Liste!$C$3,$B$5,$B$63),Data!$BO:$BO,0)-2,48)&lt;&gt;"",INDEX(Tab_DaBa[],MATCH(CONCATENATE(Liste!$C$3,$B$5,$B$63),Data!$BO:$BO,0)-2,53)=0),INDEX(Tab_DaBa[],MATCH(CONCATENATE(Liste!$C$3,$B$5,$B$63),Data!$BO:$BO,0)-2,14),IF(INDEX(Tab_DaBa[],MATCH(CONCATENATE(Liste!$C$3,$B$5,$B$63),Data!$BO:$BO,0)-2,48)&lt;&gt;"",INDEX(Tab_DaBa[],MATCH(CONCATENATE(Liste!$C$3,$B$5,$B$63),Data!$BO:$BO,0)-2,54),"")),"")</f>
        <v/>
      </c>
      <c r="C81" s="39"/>
      <c r="D81" s="35" t="str">
        <f ca="1">IFERROR(IF(AND(INDEX(Tab_DaBa[],MATCH(CONCATENATE(Liste!$C$3,$B$5,$B$63),Data!$BO:$BO,0)-2,53)&lt;&gt;"",INDEX(Tab_DaBa[],MATCH(CONCATENATE(Liste!$C$3,$B$5,$B$63),Data!$BO:$BO,0)-2,58)=0),INDEX(Tab_DaBa[],MATCH(CONCATENATE(Liste!$C$3,$B$5,$B$63),Data!$BO:$BO,0)-2,14),IF(INDEX(Tab_DaBa[],MATCH(CONCATENATE(Liste!$C$3,$B$5,$B$63),Data!$BO:$BO,0)-2,53)&lt;&gt;"",INDEX(Tab_DaBa[],MATCH(CONCATENATE(Liste!$C$3,$B$5,$B$63),Data!$BO:$BO,0)-2,59),"")),"")</f>
        <v/>
      </c>
      <c r="E81" s="33"/>
      <c r="F81" s="35" t="str">
        <f ca="1">IFERROR(IF(AND(INDEX(Tab_DaBa[],MATCH(CONCATENATE(Liste!$C$3,$B$5,$B$63),Data!$BO:$BO,0)-2,58)&lt;&gt;"",INDEX(Tab_DaBa[],MATCH(CONCATENATE(Liste!$C$3,$B$5,$B$63),Data!$BO:$BO,0)-2,63)=0),INDEX(Tab_DaBa[],MATCH(CONCATENATE(Liste!$C$3,$B$5,$B$63),Data!$BO:$BO,0)-2,14),IF(INDEX(Tab_DaBa[],MATCH(CONCATENATE(Liste!$C$3,$B$5,$B$63),Data!$BO:$BO,0)-2,58)&lt;&gt;"",INDEX(Tab_DaBa[],MATCH(CONCATENATE(Liste!$C$3,$B$5,$B$63),Data!$BO:$BO,0)-2,64),"")),"")</f>
        <v/>
      </c>
      <c r="G81" s="39"/>
      <c r="H81" s="35" t="str">
        <f ca="1">IFERROR(IF(INDEX(Tab_DaBa[],MATCH(CONCATENATE(Liste!$C$3,$B$5,$B$63),Data!$BO:$BO,0)-2,63)&lt;&gt;"",INDEX(Tab_DaBa[],MATCH(CONCATENATE(Liste!$C$3,$B$5,$B$63),Data!$BO:$BO,0)-2,14),""),"")</f>
        <v/>
      </c>
    </row>
    <row r="82" spans="2:9" s="16" customFormat="1" ht="15.75">
      <c r="B82" s="35" t="str">
        <f ca="1">IFERROR(IF(AND(INDEX(Tab_DaBa[],MATCH(CONCATENATE(Liste!$C$3,$B$5,$B$63),Data!$BO:$BO,0)-2,48)&lt;&gt;"",INDEX(Tab_DaBa[],MATCH(CONCATENATE(Liste!$C$3,$B$5,$B$63),Data!$BO:$BO,0)-2,53)=0),INDEX(Tab_DaBa[],MATCH(CONCATENATE(Liste!$C$3,$B$5,$B$63),Data!$BO:$BO,0)-2,12),IF(INDEX(Tab_DaBa[],MATCH(CONCATENATE(Liste!$C$3,$B$5,$B$63),Data!$BO:$BO,0)-2,48)&lt;&gt;"",INDEX(Tab_DaBa[],MATCH(CONCATENATE(Liste!$C$3,$B$5,$B$63),Data!$BO:$BO,0)-2,52),"")),"")</f>
        <v/>
      </c>
      <c r="C82" s="39"/>
      <c r="D82" s="35" t="str">
        <f ca="1">IFERROR(IF(AND(INDEX(Tab_DaBa[],MATCH(CONCATENATE(Liste!$C$3,$B$5,$B$63),Data!$BO:$BO,0)-2,53)&lt;&gt;"",INDEX(Tab_DaBa[],MATCH(CONCATENATE(Liste!$C$3,$B$5,$B$63),Data!$BO:$BO,0)-2,58)=0),INDEX(Tab_DaBa[],MATCH(CONCATENATE(Liste!$C$3,$B$5,$B$63),Data!$BO:$BO,0)-2,12),IF(INDEX(Tab_DaBa[],MATCH(CONCATENATE(Liste!$C$3,$B$5,$B$63),Data!$BO:$BO,0)-2,53)&lt;&gt;"",INDEX(Tab_DaBa[],MATCH(CONCATENATE(Liste!$C$3,$B$5,$B$63),Data!$BO:$BO,0)-2,57),"")),"")</f>
        <v/>
      </c>
      <c r="E82" s="37"/>
      <c r="F82" s="35" t="str">
        <f ca="1">IFERROR(IF(AND(INDEX(Tab_DaBa[],MATCH(CONCATENATE(Liste!$C$3,$B$5,$B$63),Data!$BO:$BO,0)-2,58)&lt;&gt;"",INDEX(Tab_DaBa[],MATCH(CONCATENATE(Liste!$C$3,$B$5,$B$63),Data!$BO:$BO,0)-2,63)=0),INDEX(Tab_DaBa[],MATCH(CONCATENATE(Liste!$C$3,$B$5,$B$63),Data!$BO:$BO,0)-2,12),IF(INDEX(Tab_DaBa[],MATCH(CONCATENATE(Liste!$C$3,$B$5,$B$63),Data!$BO:$BO,0)-2,58)&lt;&gt;"",INDEX(Tab_DaBa[],MATCH(CONCATENATE(Liste!$C$3,$B$5,$B$63),Data!$BO:$BO,0)-2,62),"")),"")</f>
        <v/>
      </c>
      <c r="G82" s="39"/>
      <c r="H82" s="35" t="str">
        <f ca="1">IFERROR(IF(INDEX(Tab_DaBa[],MATCH(CONCATENATE(Liste!$C$3,$B$5,$B$63),Data!$BO:$BO,0)-2,63)&lt;&gt;"",INDEX(Tab_DaBa[],MATCH(CONCATENATE(Liste!$C$3,$B$5,$B$63),Data!$BO:$BO,0)-2,12),""),"")</f>
        <v/>
      </c>
    </row>
    <row r="83" spans="2:9" s="16" customFormat="1" ht="15.75">
      <c r="B83" s="35" t="str">
        <f ca="1">IFERROR(IF(AND(INDEX(Tab_DaBa[],MATCH(CONCATENATE(Liste!$C$3,$B$5,$B$63),Data!$BO:$BO,0)-2,48)&lt;&gt;"",INDEX(Tab_DaBa[],MATCH(CONCATENATE(Liste!$C$3,$B$5,$B$63),Data!$BO:$BO,0)-2,53)=""),INDEX(Tab_DaBa[],MATCH(CONCATENATE(Liste!$C$3,$B$5,$B$63),Data!$BO:$BO,0)-2,13),IF(INDEX(Tab_DaBa[],MATCH(CONCATENATE(Liste!$C$3,$B$5,$B$63),Data!$BO:$BO,0)-2,48)&lt;&gt;"",INDEX(Tab_DaBa[],MATCH(CONCATENATE(Liste!$C$3,$B$5,$B$63),Data!$BO:$BO,0)-2,53),"")),"")</f>
        <v/>
      </c>
      <c r="C83" s="38" t="str">
        <f ca="1">IF(D81="","",4)</f>
        <v/>
      </c>
      <c r="D83" s="35" t="str">
        <f ca="1">IFERROR(IF(AND(INDEX(Tab_DaBa[],MATCH(CONCATENATE(Liste!$C$3,$B$5,$B$63),Data!$BO:$BO,0)-2,53)&lt;&gt;"",INDEX(Tab_DaBa[],MATCH(CONCATENATE(Liste!$C$3,$B$5,$B$63),Data!$BO:$BO,0)-2,58)=""),INDEX(Tab_DaBa[],MATCH(CONCATENATE(Liste!$C$3,$B$5,$B$63),Data!$BO:$BO,0)-2,13),IF(INDEX(Tab_DaBa[],MATCH(CONCATENATE(Liste!$C$3,$B$5,$B$63),Data!$BO:$BO,0)-2,53)&lt;&gt;"",INDEX(Tab_DaBa[],MATCH(CONCATENATE(Liste!$C$3,$B$5,$B$63),Data!$BO:$BO,0)-2,58),"")),"")</f>
        <v/>
      </c>
      <c r="E83" s="38" t="str">
        <f ca="1">IF(F81="","",4)</f>
        <v/>
      </c>
      <c r="F83" s="35" t="str">
        <f ca="1">IFERROR(IF(AND(INDEX(Tab_DaBa[],MATCH(CONCATENATE(Liste!$C$3,$B$5,$B$63),Data!$BO:$BO,0)-2,58)&lt;&gt;"",INDEX(Tab_DaBa[],MATCH(CONCATENATE(Liste!$C$3,$B$5,$B$63),Data!$BO:$BO,0)-2,63)=""),INDEX(Tab_DaBa[],MATCH(CONCATENATE(Liste!$C$3,$B$5,$B$63),Data!$BO:$BO,0)-2,13),IF(INDEX(Tab_DaBa[],MATCH(CONCATENATE(Liste!$C$3,$B$5,$B$63),Data!$BO:$BO,0)-2,58)&lt;&gt;"",INDEX(Tab_DaBa[],MATCH(CONCATENATE(Liste!$C$3,$B$5,$B$63),Data!$BO:$BO,0)-2,63),"")),"")</f>
        <v/>
      </c>
      <c r="G83" s="38" t="str">
        <f ca="1">IF(H81="","",4)</f>
        <v/>
      </c>
      <c r="H83" s="35" t="str">
        <f ca="1">IFERROR(IF(INDEX(Tab_DaBa[],MATCH(CONCATENATE(Liste!$C$3,$B$5,$B$63),Data!$BO:$BO,0)-2,63)&lt;&gt;"",INDEX(Tab_DaBa[],MATCH(CONCATENATE(Liste!$C$3,$B$5,$B$63),Data!$BO:$BO,0)-2,13),""),"")</f>
        <v/>
      </c>
    </row>
    <row r="84" spans="2:9" s="16" customFormat="1" ht="15.75">
      <c r="B84" s="35" t="str">
        <f ca="1">IFERROR(IF(AND(INDEX(Tab_DaBa[],MATCH(CONCATENATE(Liste!$C$3,$B$5,$B$63),Data!$BO:$BO,0)-2,48)&lt;&gt;"",INDEX(Tab_DaBa[],MATCH(CONCATENATE(Liste!$C$3,$B$5,$B$63),Data!$BO:$BO,0)-2,53)=""),"Performance Level: "&amp;INDEX(Tab_DaBa[],MATCH(CONCATENATE(Liste!$C$3,$B$5,$B$63),Data!$BO:$BO,0)-2,15),IF(INDEX(Tab_DaBa[],MATCH(CONCATENATE(Liste!$C$3,$B$5,$B$63),Data!$BO:$BO,0)-2,48)&lt;&gt;"","Performance Level: "&amp;INDEX(Tab_DaBa[],MATCH(CONCATENATE(Liste!$C$3,$B$5,$B$63),Data!$BO:$BO,0)-2,55),"")),"")</f>
        <v/>
      </c>
      <c r="C84" s="39"/>
      <c r="D84" s="35" t="str">
        <f ca="1">IFERROR(IF(AND(INDEX(Tab_DaBa[],MATCH(CONCATENATE(Liste!$C$3,$B$5,$B$63),Data!$BO:$BO,0)-2,53)&lt;&gt;"",INDEX(Tab_DaBa[],MATCH(CONCATENATE(Liste!$C$3,$B$5,$B$63),Data!$BO:$BO,0)-2,58)=""),"Performance Level: "&amp;INDEX(Tab_DaBa[],MATCH(CONCATENATE(Liste!$C$3,$B$5,$B$63),Data!$BO:$BO,0)-2,15),IF(INDEX(Tab_DaBa[],MATCH(CONCATENATE(Liste!$C$3,$B$5,$B$63),Data!$BO:$BO,0)-2,53)&lt;&gt;"","Performance Level: "&amp;INDEX(Tab_DaBa[],MATCH(CONCATENATE(Liste!$C$3,$B$5,$B$63),Data!$BO:$BO,0)-2,60),"")),"")</f>
        <v/>
      </c>
      <c r="E84" s="37"/>
      <c r="F84" s="35" t="str">
        <f ca="1">IFERROR(IF(AND(INDEX(Tab_DaBa[],MATCH(CONCATENATE(Liste!$C$3,$B$5,$B$63),Data!$BO:$BO,0)-2,58)&lt;&gt;"",INDEX(Tab_DaBa[],MATCH(CONCATENATE(Liste!$C$3,$B$5,$B$63),Data!$BO:$BO,0)-2,63)=""),"Performance Level: "&amp;INDEX(Tab_DaBa[],MATCH(CONCATENATE(Liste!$C$3,$B$5,$B$63),Data!$BO:$BO,0)-2,15),IF(INDEX(Tab_DaBa[],MATCH(CONCATENATE(Liste!$C$3,$B$5,$B$63),Data!$BO:$BO,0)-2,58)&lt;&gt;"","Performance Level: "&amp;INDEX(Tab_DaBa[],MATCH(CONCATENATE(Liste!$C$3,$B$5,$B$63),Data!$BO:$BO,0)-2,65),"")),"")</f>
        <v/>
      </c>
      <c r="G84" s="39"/>
      <c r="H84" s="35" t="str">
        <f ca="1">IFERROR(IF(INDEX(Tab_DaBa[],MATCH(CONCATENATE(Liste!$C$3,$B$5,$B$63),Data!$BO:$BO,0)-2,63)&lt;&gt;"","Performance Level: "&amp;INDEX(Tab_DaBa[],MATCH(CONCATENATE(Liste!$C$3,$B$5,$B$63),Data!$BO:$BO,0)-2,15),""),"")</f>
        <v/>
      </c>
    </row>
    <row r="85" spans="2:9" s="16" customFormat="1" ht="15.75">
      <c r="B85" s="35" t="str">
        <f ca="1">IFERROR(IF(AND(INDEX(Tab_DaBa[],MATCH(CONCATENATE(Liste!$C$3,$B$5,$B$63),Data!$BO:$BO,0)-2,48)&lt;&gt;"",INDEX(Tab_DaBa[],MATCH(CONCATENATE(Liste!$C$3,$B$5,$B$63),Data!$BO:$BO,0)-2,53)=""),"PFH [1/h] = "&amp;10^9*INDEX(Tab_DaBa[],MATCH(CONCATENATE(Liste!$C$3,$B$5,$B$63),Data!$BO:$BO,0)-2,16)&amp;"E-9",IF(INDEX(Tab_DaBa[],MATCH(CONCATENATE(Liste!$C$3,$B$5,$B$63),Data!$BO:$BO,0)-2,48)&lt;&gt;"","PFH [1/h] = "&amp;10^9*INDEX(Tab_DaBa[],MATCH(CONCATENATE(Liste!$C$3,$B$5,$B$63),Data!$BO:$BO,0)-2,56)&amp;"E-9","")),"")</f>
        <v/>
      </c>
      <c r="C85" s="39"/>
      <c r="D85" s="35" t="str">
        <f ca="1">IFERROR(IF(AND(INDEX(Tab_DaBa[],MATCH(CONCATENATE(Liste!$C$3,$B$5,$B$63),Data!$BO:$BO,0)-2,53)&lt;&gt;"",INDEX(Tab_DaBa[],MATCH(CONCATENATE(Liste!$C$3,$B$5,$B$63),Data!$BO:$BO,0)-2,58)=""),"PFH [1/h] = "&amp;10^9*INDEX(Tab_DaBa[],MATCH(CONCATENATE(Liste!$C$3,$B$5,$B$63),Data!$BO:$BO,0)-2,16)&amp;"E-9",IF(INDEX(Tab_DaBa[],MATCH(CONCATENATE(Liste!$C$3,$B$5,$B$63),Data!$BO:$BO,0)-2,53)&lt;&gt;"","PFH [1/h] = "&amp;10^9*INDEX(Tab_DaBa[],MATCH(CONCATENATE(Liste!$C$3,$B$5,$B$63),Data!$BO:$BO,0)-2,61)&amp;"E-9","")),"")</f>
        <v/>
      </c>
      <c r="E85" s="37"/>
      <c r="F85" s="35" t="str">
        <f ca="1">IFERROR(IF(AND(INDEX(Tab_DaBa[],MATCH(CONCATENATE(Liste!$C$3,$B$5,$B$63),Data!$BO:$BO,0)-2,58)&lt;&gt;"",INDEX(Tab_DaBa[],MATCH(CONCATENATE(Liste!$C$3,$B$5,$B$63),Data!$BO:$BO,0)-2,63)=""),"PFH [1/h] = "&amp;10^9*INDEX(Tab_DaBa[],MATCH(CONCATENATE(Liste!$C$3,$B$5,$B$63),Data!$BO:$BO,0)-2,16)&amp;"E-9",IF(INDEX(Tab_DaBa[],MATCH(CONCATENATE(Liste!$C$3,$B$5,$B$63),Data!$BO:$BO,0)-2,58)&lt;&gt;"","PFH [1/h] = "&amp;10^9*INDEX(Tab_DaBa[],MATCH(CONCATENATE(Liste!$C$3,$B$5,$B$63),Data!$BO:$BO,0)-2,66)&amp;"E-9","")),"")</f>
        <v/>
      </c>
      <c r="G85" s="39"/>
      <c r="H85" s="35" t="str">
        <f ca="1">IFERROR(IF(INDEX(Tab_DaBa[],MATCH(CONCATENATE(Liste!$C$3,$B$5,$B$63),Data!$BO:$BO,0)-2,63)&lt;&gt;"","PFH [1/h] = "&amp;10^9*INDEX(Tab_DaBa[],MATCH(CONCATENATE(Liste!$C$3,$B$5,$B$63),Data!$BO:$BO,0)-2,16)&amp;"E-9",""),"")</f>
        <v/>
      </c>
    </row>
    <row r="86" spans="2:9" s="16" customFormat="1"/>
    <row r="87" spans="2:9" s="16" customFormat="1">
      <c r="B87" s="43" t="str">
        <f ca="1">IF(D87="","","Erforderlich")</f>
        <v>Erforderlich</v>
      </c>
      <c r="D87" s="44" t="str">
        <f ca="1">IFERROR("Performance Level: "&amp;INDEX(Tab_DaBa[],MATCH(CONCATENATE(Liste!$C$3,$B$5,$B$63),Data!$BO:$BO,0)-2,4),"")</f>
        <v>Performance Level: PLr_ges1_2</v>
      </c>
    </row>
    <row r="88" spans="2:9" s="16" customFormat="1">
      <c r="B88" s="45"/>
    </row>
    <row r="89" spans="2:9" s="16" customFormat="1">
      <c r="B89" s="46" t="str">
        <f ca="1">IF(D89="","","Erreicht")</f>
        <v>Erreicht</v>
      </c>
      <c r="D89" s="47" t="str">
        <f ca="1">IFERROR("Performance Level: "&amp;INDEX(Tab_DaBa[],MATCH(CONCATENATE(Liste!$C$3,$B$5,$B$63),Data!$BO:$BO,0)-2,5)&amp;"          PFH [1/h] = "&amp;10^9*INDEX(Tab_DaBa[],MATCH(CONCATENATE(Liste!$C$3,$B$5,$B$63),Data!$BO:$BO,0)-2,6)&amp;"E-9","")</f>
        <v>Performance Level: Pl_ges1_2          PFH [1/h] = 2,7E-9</v>
      </c>
    </row>
    <row r="90" spans="2:9" s="16" customFormat="1"/>
    <row r="91" spans="2:9" s="16" customFormat="1">
      <c r="B91" s="42" t="str">
        <f ca="1">IFERROR(IF(4&gt;COUNTIF(Data!$BP:$BP,CONCATENATE(Liste!$C$3,$B$5)),"",INDEX(Tab_DaBa[],MATCH(CONCATENATE(Liste!$C$3,$B$5),Data!$BP:$BP,0)+1,3)),"")</f>
        <v>1.3 test1 (E+3L+A)</v>
      </c>
    </row>
    <row r="92" spans="2:9" s="16" customFormat="1"/>
    <row r="93" spans="2:9" s="16" customFormat="1" ht="15.75">
      <c r="B93" s="35" t="str">
        <f ca="1">IFERROR(INDEX(Tab_DaBa[],MATCH(CONCATENATE(Liste!$C$3,$B$5,$B$91),Data!$BO:$BO,0)-2,9),"")</f>
        <v>Eingang</v>
      </c>
      <c r="C93" s="54"/>
      <c r="D93" s="35" t="str">
        <f ca="1">IFERROR(IF(INDEX(Tab_DaBa[],MATCH(CONCATENATE(Liste!$C$3,$B$5,$B$91),Data!$BO:$BO,0)-2,18)=0,INDEX(Tab_DaBa[],MATCH(CONCATENATE(Liste!$C$3,$B$5,$B$91),Data!$BO:$BO,0)-2,14),INDEX(Tab_DaBa[],MATCH(CONCATENATE(Liste!$C$3,$B$5,$B$91),Data!$BO:$BO,0)-2,19)),"")</f>
        <v>Logik 01</v>
      </c>
      <c r="E93" s="33"/>
      <c r="F93" s="35" t="str">
        <f ca="1">IFERROR(IF(AND(INDEX(Tab_DaBa[],MATCH(CONCATENATE(Liste!$C$3,$B$5,$B$91),Data!$BO:$BO,0)-2,18)&lt;&gt;"",INDEX(Tab_DaBa[],MATCH(CONCATENATE(Liste!$C$3,$B$5,$B$91),Data!$BO:$BO,0)-2,23)=0),INDEX(Tab_DaBa[],MATCH(CONCATENATE(Liste!$C$3,$B$5,$B$91),Data!$BO:$BO,0)-2,14),IF(INDEX(Tab_DaBa[],MATCH(CONCATENATE(Liste!$C$3,$B$5,$B$91),Data!$BO:$BO,0)-2,23)&lt;&gt;"",INDEX(Tab_DaBa[],MATCH(CONCATENATE(Liste!$C$3,$B$5,$B$91),Data!$BO:$BO,0)-2,24),"")),"")</f>
        <v>Logik 02</v>
      </c>
      <c r="G93" s="39"/>
      <c r="H93" s="35" t="str">
        <f ca="1">IFERROR(IF(AND(INDEX(Tab_DaBa[],MATCH(CONCATENATE(Liste!$C$3,$B$5,$B$91),Data!$BO:$BO,0)-2,23)&lt;&gt;"",INDEX(Tab_DaBa[],MATCH(CONCATENATE(Liste!$C$3,$B$5,$B$91),Data!$BO:$BO,0)-2,28)=0),INDEX(Tab_DaBa[],MATCH(CONCATENATE(Liste!$C$3,$B$5,$B$91),Data!$BO:$BO,0)-2,14),IF(INDEX(Tab_DaBa[],MATCH(CONCATENATE(Liste!$C$3,$B$5,$B$91),Data!$BO:$BO,0)-2,23)&lt;&gt;"",INDEX(Tab_DaBa[],MATCH(CONCATENATE(Liste!$C$3,$B$5,$B$91),Data!$BO:$BO,0)-2,29),"")),"")</f>
        <v>Logik 03</v>
      </c>
      <c r="I93" s="39"/>
    </row>
    <row r="94" spans="2:9" s="16" customFormat="1" ht="15.75">
      <c r="B94" s="35" t="str">
        <f ca="1">IFERROR(INDEX(Tab_DaBa[],MATCH(CONCATENATE(Liste!$C$3,$B$5,$B$91),Data!$BO:$BO,0)-2,7),"")</f>
        <v>eeee-11_3</v>
      </c>
      <c r="C94" s="54"/>
      <c r="D94" s="35" t="str">
        <f ca="1">IFERROR(IF(INDEX(Tab_DaBa[],MATCH(CONCATENATE(Liste!$C$3,$B$5,$B$91),Data!$BO:$BO,0)-2,18)="",INDEX(Tab_DaBa[],MATCH(CONCATENATE(Liste!$C$3,$B$5,$B$91),Data!$BO:$BO,0)-2,12),INDEX(Tab_DaBa[],MATCH(CONCATENATE(Liste!$C$3,$B$5,$B$91),Data!$BO:$BO,0)-2,17)),"")</f>
        <v>Log01-01_03</v>
      </c>
      <c r="E94" s="36"/>
      <c r="F94" s="35" t="str">
        <f ca="1">IFERROR(IF(AND(INDEX(Tab_DaBa[],MATCH(CONCATENATE(Liste!$C$3,$B$5,$B$91),Data!$BO:$BO,0)-2,18)&lt;&gt;"",INDEX(Tab_DaBa[],MATCH(CONCATENATE(Liste!$C$3,$B$5,$B$91),Data!$BO:$BO,0)-2,23)=0),INDEX(Tab_DaBa[],MATCH(CONCATENATE(Liste!$C$3,$B$5,$B$91),Data!$BO:$BO,0)-2,12),IF(INDEX(Tab_DaBa[],MATCH(CONCATENATE(Liste!$C$3,$B$5,$B$91),Data!$BO:$BO,0)-2,23)&lt;&gt;"",INDEX(Tab_DaBa[],MATCH(CONCATENATE(Liste!$C$3,$B$5,$B$91),Data!$BO:$BO,0)-2,22),"")),"")</f>
        <v>Lo01-22_3</v>
      </c>
      <c r="G94" s="39"/>
      <c r="H94" s="35" t="str">
        <f ca="1">IFERROR(IF(AND(INDEX(Tab_DaBa[],MATCH(CONCATENATE(Liste!$C$3,$B$5,$B$91),Data!$BO:$BO,0)-2,23)&lt;&gt;"",INDEX(Tab_DaBa[],MATCH(CONCATENATE(Liste!$C$3,$B$5,$B$91),Data!$BO:$BO,0)-2,28)=0),INDEX(Tab_DaBa[],MATCH(CONCATENATE(Liste!$C$3,$B$5,$B$91),Data!$BO:$BO,0)-2,12),IF(INDEX(Tab_DaBa[],MATCH(CONCATENATE(Liste!$C$3,$B$5,$B$91),Data!$BO:$BO,0)-2,23)&lt;&gt;"",INDEX(Tab_DaBa[],MATCH(CONCATENATE(Liste!$C$3,$B$5,$B$91),Data!$BO:$BO,0)-2,27),"")),"")</f>
        <v>Lo01-33_3</v>
      </c>
      <c r="I94" s="39"/>
    </row>
    <row r="95" spans="2:9" s="16" customFormat="1" ht="15.75">
      <c r="B95" s="35" t="str">
        <f ca="1">IFERROR(INDEX(Tab_DaBa[],MATCH(CONCATENATE(Liste!$C$3,$B$5,$B$91),Data!$BO:$BO,0)-2,8),"")</f>
        <v>Bez_Ein1_3</v>
      </c>
      <c r="C95" s="40">
        <f ca="1">IF(D93="","",4)</f>
        <v>4</v>
      </c>
      <c r="D95" s="35" t="str">
        <f ca="1">IFERROR(IF(INDEX(Tab_DaBa[],MATCH(CONCATENATE(Liste!$C$3,$B$5,$B$91),Data!$BO:$BO,0)-2,18)="",INDEX(Tab_DaBa[],MATCH(CONCATENATE(Liste!$C$3,$B$5,$B$91),Data!$BO:$BO,0)-2,13),INDEX(Tab_DaBa[],MATCH(CONCATENATE(Liste!$C$3,$B$5,$B$91),Data!$BO:$BO,0)-2,18)),"")</f>
        <v>Bez_Log01_01_03</v>
      </c>
      <c r="E95" s="40">
        <f ca="1">IF(F93="","",4)</f>
        <v>4</v>
      </c>
      <c r="F95" s="35" t="str">
        <f ca="1">IFERROR(IF(AND(INDEX(Tab_DaBa[],MATCH(CONCATENATE(Liste!$C$3,$B$5,$B$91),Data!$BO:$BO,0)-2,18)&lt;&gt;"",INDEX(Tab_DaBa[],MATCH(CONCATENATE(Liste!$C$3,$B$5,$B$91),Data!$BO:$BO,0)-2,23)=""),INDEX(Tab_DaBa[],MATCH(CONCATENATE(Liste!$C$3,$B$5,$B$91),Data!$BO:$BO,0)-2,13),IF(INDEX(Tab_DaBa[],MATCH(CONCATENATE(Liste!$C$3,$B$5,$B$91),Data!$BO:$BO,0)-2,23)&lt;&gt;"",INDEX(Tab_DaBa[],MATCH(CONCATENATE(Liste!$C$3,$B$5,$B$91),Data!$BO:$BO,0)-2,23),"")),"")</f>
        <v>Bez_Lo01_3</v>
      </c>
      <c r="G95" s="38">
        <f ca="1">IF(H93="","",4)</f>
        <v>4</v>
      </c>
      <c r="H95" s="35" t="str">
        <f ca="1">IFERROR(IF(AND(INDEX(Tab_DaBa[],MATCH(CONCATENATE(Liste!$C$3,$B$5,$B$91),Data!$BO:$BO,0)-2,23)&lt;&gt;"",INDEX(Tab_DaBa[],MATCH(CONCATENATE(Liste!$C$3,$B$5,$B$91),Data!$BO:$BO,0)-2,28)=""),INDEX(Tab_DaBa[],MATCH(CONCATENATE(Liste!$C$3,$B$5,$B$91),Data!$BO:$BO,0)-2,13),IF(INDEX(Tab_DaBa[],MATCH(CONCATENATE(Liste!$C$3,$B$5,$B$91),Data!$BO:$BO,0)-2,23)&lt;&gt;"",INDEX(Tab_DaBa[],MATCH(CONCATENATE(Liste!$C$3,$B$5,$B$91),Data!$BO:$BO,0)-2,28),"")),"")</f>
        <v>Bez_Lo01_3</v>
      </c>
      <c r="I95" s="38">
        <f ca="1">IF(B101="","",6)</f>
        <v>6</v>
      </c>
    </row>
    <row r="96" spans="2:9" s="16" customFormat="1" ht="15.75">
      <c r="B96" s="35" t="str">
        <f ca="1">IFERROR("Performance Level: "&amp;INDEX(Tab_DaBa[],MATCH(CONCATENATE(Liste!$C$3,$B$5,$B$91),Data!$BO:$BO,0)-2,10),"")</f>
        <v>Performance Level: PL_Ein1_3</v>
      </c>
      <c r="C96" s="54"/>
      <c r="D96" s="35" t="str">
        <f ca="1">IFERROR(IF(INDEX(Tab_DaBa[],MATCH(CONCATENATE(Liste!$C$3,$B$5,$B$91),Data!$BO:$BO,0)-2,18)="","Performance Level: "&amp;INDEX(Tab_DaBa[],MATCH(CONCATENATE(Liste!$C$3,$B$5,$B$91),Data!$BO:$BO,0)-2,15),"Performance Level: "&amp;INDEX(Tab_DaBa[],MATCH(CONCATENATE(Liste!$C$3,$B$5,$B$91),Data!$BO:$BO,0)-2,20)),"")</f>
        <v>Performance Level: PL_Log01_01_03</v>
      </c>
      <c r="E96" s="36"/>
      <c r="F96" s="35" t="str">
        <f ca="1">IFERROR(IF(AND(INDEX(Tab_DaBa[],MATCH(CONCATENATE(Liste!$C$3,$B$5,$B$91),Data!$BO:$BO,0)-2,18)&lt;&gt;"",INDEX(Tab_DaBa[],MATCH(CONCATENATE(Liste!$C$3,$B$5,$B$91),Data!$BO:$BO,0)-2,23)=""),"Performance Level: "&amp;INDEX(Tab_DaBa[],MATCH(CONCATENATE(Liste!$C$3,$B$5,$B$91),Data!$BO:$BO,0)-2,15),IF(INDEX(Tab_DaBa[],MATCH(CONCATENATE(Liste!$C$3,$B$5,$B$91),Data!$BO:$BO,0)-2,23)&lt;&gt;"","Performance Level: "&amp;INDEX(Tab_DaBa[],MATCH(CONCATENATE(Liste!$C$3,$B$5,$B$91),Data!$BO:$BO,0)-2,25),"")),"")</f>
        <v>Performance Level: PL_Lo02_3</v>
      </c>
      <c r="G96" s="39"/>
      <c r="H96" s="35" t="str">
        <f ca="1">IFERROR(IF(AND(INDEX(Tab_DaBa[],MATCH(CONCATENATE(Liste!$C$3,$B$5,$B$91),Data!$BO:$BO,0)-2,23)&lt;&gt;"",INDEX(Tab_DaBa[],MATCH(CONCATENATE(Liste!$C$3,$B$5,$B$91),Data!$BO:$BO,0)-2,28)=""),"Performance Level: "&amp;INDEX(Tab_DaBa[],MATCH(CONCATENATE(Liste!$C$3,$B$5,$B$91),Data!$BO:$BO,0)-2,15),IF(INDEX(Tab_DaBa[],MATCH(CONCATENATE(Liste!$C$3,$B$5,$B$91),Data!$BO:$BO,0)-2,23)&lt;&gt;"","Performance Level: "&amp;INDEX(Tab_DaBa[],MATCH(CONCATENATE(Liste!$C$3,$B$5,$B$91),Data!$BO:$BO,0)-2,30),"")),"")</f>
        <v>Performance Level: PL_Lo01_3</v>
      </c>
      <c r="I96" s="38"/>
    </row>
    <row r="97" spans="2:9" s="16" customFormat="1" ht="15.75">
      <c r="B97" s="53" t="str">
        <f ca="1">IFERROR("PFH [1/h] = "&amp;10^9*INDEX(Tab_DaBa[],MATCH(CONCATENATE(Liste!$C$3,$B$5,$B$91),Data!$BO:$BO,0)-2,11)&amp;"E-9","")</f>
        <v>PFH [1/h] = 3,9E-9</v>
      </c>
      <c r="C97" s="54"/>
      <c r="D97" s="35" t="str">
        <f ca="1">IFERROR(IF(INDEX(Tab_DaBa[],MATCH(CONCATENATE(Liste!$C$3,$B$5,$B$91),Data!$BO:$BO,0)-2,18)="","PFH [1/h] = "&amp;10^9*INDEX(Tab_DaBa[],MATCH(CONCATENATE(Liste!$C$3,$B$5,$B$91),Data!$BO:$BO,0)-2,16)&amp;"E-9","PFH [1/h] = "&amp;10^9*INDEX(Tab_DaBa[],MATCH(CONCATENATE(Liste!$C$3,$B$5,$B$91),Data!$BO:$BO,0)-2,21)&amp;"E-9"),"")</f>
        <v>PFH [1/h] = 3,198E-9</v>
      </c>
      <c r="E97" s="36"/>
      <c r="F97" s="35" t="str">
        <f ca="1">IFERROR(IF(AND(INDEX(Tab_DaBa[],MATCH(CONCATENATE(Liste!$C$3,$B$5,$B$91),Data!$BO:$BO,0)-2,18)&lt;&gt;"",INDEX(Tab_DaBa[],MATCH(CONCATENATE(Liste!$C$3,$B$5,$B$91),Data!$BO:$BO,0)-2,23)=""),"PFH [1/h] = "&amp;10^9*INDEX(Tab_DaBa[],MATCH(CONCATENATE(Liste!$C$3,$B$5,$B$91),Data!$BO:$BO,0)-2,16)&amp;"E-9",IF(INDEX(Tab_DaBa[],MATCH(CONCATENATE(Liste!$C$3,$B$5,$B$91),Data!$BO:$BO,0)-2,23)&lt;&gt;"","PFH [1/h] = "&amp;10^9*INDEX(Tab_DaBa[],MATCH(CONCATENATE(Liste!$C$3,$B$5,$B$91),Data!$BO:$BO,0)-2,26)&amp;"E-9","")),"")</f>
        <v>PFH [1/h] = 4,195E-9</v>
      </c>
      <c r="G97" s="39"/>
      <c r="H97" s="35" t="str">
        <f ca="1">IFERROR(IF(AND(INDEX(Tab_DaBa[],MATCH(CONCATENATE(Liste!$C$3,$B$5,$B$91),Data!$BO:$BO,0)-2,23)&lt;&gt;"",INDEX(Tab_DaBa[],MATCH(CONCATENATE(Liste!$C$3,$B$5,$B$91),Data!$BO:$BO,0)-2,28)=""),"PFH [1/h] = "&amp;10^9*INDEX(Tab_DaBa[],MATCH(CONCATENATE(Liste!$C$3,$B$5,$B$91),Data!$BO:$BO,0)-2,16)&amp;"E-9",IF(INDEX(Tab_DaBa[],MATCH(CONCATENATE(Liste!$C$3,$B$5,$B$91),Data!$BO:$BO,0)-2,23)&lt;&gt;"","PFH [1/h] = "&amp;10^9*INDEX(Tab_DaBa[],MATCH(CONCATENATE(Liste!$C$3,$B$5,$B$91),Data!$BO:$BO,0)-2,31)&amp;"E-9","")),"")</f>
        <v>PFH [1/h] = 4,19E-9</v>
      </c>
      <c r="I97" s="39"/>
    </row>
    <row r="98" spans="2:9" s="16" customFormat="1">
      <c r="B98" s="33"/>
      <c r="C98" s="34"/>
      <c r="D98" s="33"/>
      <c r="E98" s="33"/>
      <c r="F98" s="33"/>
      <c r="G98" s="33"/>
      <c r="H98" s="33"/>
      <c r="I98" s="33"/>
    </row>
    <row r="99" spans="2:9" s="16" customFormat="1" ht="15.75">
      <c r="B99" s="38">
        <f ca="1">IF(B101="","",6)</f>
        <v>6</v>
      </c>
      <c r="C99" s="34"/>
      <c r="D99" s="38">
        <f ca="1">IF(B101="","",3)</f>
        <v>3</v>
      </c>
      <c r="E99" s="33"/>
      <c r="F99" s="38">
        <f ca="1">IF(B101="","",3)</f>
        <v>3</v>
      </c>
      <c r="G99" s="33"/>
      <c r="H99" s="38">
        <f ca="1">IF(B101="","",3)</f>
        <v>3</v>
      </c>
      <c r="I99" s="33"/>
    </row>
    <row r="100" spans="2:9" s="16" customFormat="1" ht="15.75">
      <c r="B100" s="39"/>
      <c r="C100" s="33"/>
      <c r="D100" s="33"/>
      <c r="E100" s="33"/>
      <c r="F100" s="33"/>
      <c r="G100" s="33"/>
      <c r="H100" s="33"/>
      <c r="I100" s="33"/>
    </row>
    <row r="101" spans="2:9" s="16" customFormat="1" ht="15.75">
      <c r="B101" s="35" t="str">
        <f ca="1">IFERROR(IF(AND(INDEX(Tab_DaBa[],MATCH(CONCATENATE(Liste!$C$3,$B$5,$B$91),Data!$BO:$BO,0)-2,28)&lt;&gt;"",INDEX(Tab_DaBa[],MATCH(CONCATENATE(Liste!$C$3,$B$5,$B$91),Data!$BO:$BO,0)-2,33)=0),INDEX(Tab_DaBa[],MATCH(CONCATENATE(Liste!$C$3,$B$5,$B$91),Data!$BO:$BO,0)-2,14),IF(INDEX(Tab_DaBa[],MATCH(CONCATENATE(Liste!$C$3,$B$5,$B$91),Data!$BO:$BO,0)-2,28)&lt;&gt;"",INDEX(Tab_DaBa[],MATCH(CONCATENATE(Liste!$C$3,$B$5,$B$91),Data!$BO:$BO,0)-2,34),"")),"")</f>
        <v>Ausgang</v>
      </c>
      <c r="C101" s="39"/>
      <c r="D101" s="35" t="str">
        <f ca="1">IFERROR(IF(AND(INDEX(Tab_DaBa[],MATCH(CONCATENATE(Liste!$C$3,$B$5,$B$91),Data!$BO:$BO,0)-2,33)&lt;&gt;"",INDEX(Tab_DaBa[],MATCH(CONCATENATE(Liste!$C$3,$B$5,$B$91),Data!$BO:$BO,0)-2,38)=0),INDEX(Tab_DaBa[],MATCH(CONCATENATE(Liste!$C$3,$B$5,$B$91),Data!$BO:$BO,0)-2,14),IF(INDEX(Tab_DaBa[],MATCH(CONCATENATE(Liste!$C$3,$B$5,$B$91),Data!$BO:$BO,0)-2,33)&lt;&gt;"",INDEX(Tab_DaBa[],MATCH(CONCATENATE(Liste!$C$3,$B$5,$B$91),Data!$BO:$BO,0)-2,39),"")),"")</f>
        <v/>
      </c>
      <c r="E101" s="33"/>
      <c r="F101" s="35" t="str">
        <f ca="1">IFERROR(IF(AND(INDEX(Tab_DaBa[],MATCH(CONCATENATE(Liste!$C$3,$B$5,$B$91),Data!$BO:$BO,0)-2,38)&lt;&gt;"",INDEX(Tab_DaBa[],MATCH(CONCATENATE(Liste!$C$3,$B$5,$B$91),Data!$BO:$BO,0)-2,43)=0),INDEX(Tab_DaBa[],MATCH(CONCATENATE(Liste!$C$3,$B$5,$B$91),Data!$BO:$BO,0)-2,14),IF(INDEX(Tab_DaBa[],MATCH(CONCATENATE(Liste!$C$3,$B$5,$B$91),Data!$BO:$BO,0)-2,38)&lt;&gt;"",INDEX(Tab_DaBa[],MATCH(CONCATENATE(Liste!$C$3,$B$5,$B$91),Data!$BO:$BO,0)-2,44),"")),"")</f>
        <v/>
      </c>
      <c r="G101" s="39"/>
      <c r="H101" s="35" t="str">
        <f ca="1">IFERROR(IF(AND(INDEX(Tab_DaBa[],MATCH(CONCATENATE(Liste!$C$3,$B$5,$B$91),Data!$BO:$BO,0)-2,43)&lt;&gt;"",INDEX(Tab_DaBa[],MATCH(CONCATENATE(Liste!$C$3,$B$5,$B$91),Data!$BO:$BO,0)-2,48)=0),INDEX(Tab_DaBa[],MATCH(CONCATENATE(Liste!$C$3,$B$5,$B$91),Data!$BO:$BO,0)-2,14),IF(INDEX(Tab_DaBa[],MATCH(CONCATENATE(Liste!$C$3,$B$5,$B$91),Data!$BO:$BO,0)-2,43)&lt;&gt;"",INDEX(Tab_DaBa[],MATCH(CONCATENATE(Liste!$C$3,$B$5,$B$91),Data!$BO:$BO,0)-2,49),"")),"")</f>
        <v/>
      </c>
      <c r="I101" s="39"/>
    </row>
    <row r="102" spans="2:9" s="16" customFormat="1" ht="15.75">
      <c r="B102" s="35" t="str">
        <f ca="1">IFERROR(IF(AND(INDEX(Tab_DaBa[],MATCH(CONCATENATE(Liste!$C$3,$B$5,$B$91),Data!$BO:$BO,0)-2,28)&lt;&gt;"",INDEX(Tab_DaBa[],MATCH(CONCATENATE(Liste!$C$3,$B$5,$B$91),Data!$BO:$BO,0)-2,33)=0),INDEX(Tab_DaBa[],MATCH(CONCATENATE(Liste!$C$3,$B$5,$B$91),Data!$BO:$BO,0)-2,12),IF(INDEX(Tab_DaBa[],MATCH(CONCATENATE(Liste!$C$3,$B$5,$B$91),Data!$BO:$BO,0)-2,28)&lt;&gt;"",INDEX(Tab_DaBa[],MATCH(CONCATENATE(Liste!$C$3,$B$5,$B$91),Data!$BO:$BO,0)-2,32),"")),"")</f>
        <v>aaaa-11_3</v>
      </c>
      <c r="C102" s="39"/>
      <c r="D102" s="35" t="str">
        <f ca="1">IFERROR(IF(AND(INDEX(Tab_DaBa[],MATCH(CONCATENATE(Liste!$C$3,$B$5,$B$91),Data!$BO:$BO,0)-2,33)&lt;&gt;"",INDEX(Tab_DaBa[],MATCH(CONCATENATE(Liste!$C$3,$B$5,$B$91),Data!$BO:$BO,0)-2,38)=0),INDEX(Tab_DaBa[],MATCH(CONCATENATE(Liste!$C$3,$B$5,$B$91),Data!$BO:$BO,0)-2,12),IF(INDEX(Tab_DaBa[],MATCH(CONCATENATE(Liste!$C$3,$B$5,$B$91),Data!$BO:$BO,0)-2,33)&lt;&gt;"",INDEX(Tab_DaBa[],MATCH(CONCATENATE(Liste!$C$3,$B$5,$B$91),Data!$BO:$BO,0)-2,37),"")),"")</f>
        <v/>
      </c>
      <c r="E102" s="37"/>
      <c r="F102" s="35" t="str">
        <f ca="1">IFERROR(IF(AND(INDEX(Tab_DaBa[],MATCH(CONCATENATE(Liste!$C$3,$B$5,$B$91),Data!$BO:$BO,0)-2,38)&lt;&gt;"",INDEX(Tab_DaBa[],MATCH(CONCATENATE(Liste!$C$3,$B$5,$B$91),Data!$BO:$BO,0)-2,43)=0),INDEX(Tab_DaBa[],MATCH(CONCATENATE(Liste!$C$3,$B$5,$B$91),Data!$BO:$BO,0)-2,12),IF(INDEX(Tab_DaBa[],MATCH(CONCATENATE(Liste!$C$3,$B$5,$B$91),Data!$BO:$BO,0)-2,38)&lt;&gt;"",INDEX(Tab_DaBa[],MATCH(CONCATENATE(Liste!$C$3,$B$5,$B$91),Data!$BO:$BO,0)-2,42),"")),"")</f>
        <v/>
      </c>
      <c r="G102" s="39"/>
      <c r="H102" s="35" t="str">
        <f ca="1">IFERROR(IF(AND(INDEX(Tab_DaBa[],MATCH(CONCATENATE(Liste!$C$3,$B$5,$B$91),Data!$BO:$BO,0)-2,43)&lt;&gt;"",INDEX(Tab_DaBa[],MATCH(CONCATENATE(Liste!$C$3,$B$5,$B$91),Data!$BO:$BO,0)-2,48)=0),INDEX(Tab_DaBa[],MATCH(CONCATENATE(Liste!$C$3,$B$5,$B$91),Data!$BO:$BO,0)-2,12),IF(INDEX(Tab_DaBa[],MATCH(CONCATENATE(Liste!$C$3,$B$5,$B$91),Data!$BO:$BO,0)-2,43)&lt;&gt;"",INDEX(Tab_DaBa[],MATCH(CONCATENATE(Liste!$C$3,$B$5,$B$91),Data!$BO:$BO,0)-2,47),"")),"")</f>
        <v/>
      </c>
      <c r="I102" s="39"/>
    </row>
    <row r="103" spans="2:9" s="16" customFormat="1" ht="15.75">
      <c r="B103" s="35" t="str">
        <f ca="1">IFERROR(IF(AND(INDEX(Tab_DaBa[],MATCH(CONCATENATE(Liste!$C$3,$B$5,$B$91),Data!$BO:$BO,0)-2,28)&lt;&gt;"",INDEX(Tab_DaBa[],MATCH(CONCATENATE(Liste!$C$3,$B$5,$B$91),Data!$BO:$BO,0)-2,33)=""),INDEX(Tab_DaBa[],MATCH(CONCATENATE(Liste!$C$3,$B$5,$B$91),Data!$BO:$BO,0)-2,13),IF(INDEX(Tab_DaBa[],MATCH(CONCATENATE(Liste!$C$3,$B$5,$B$91),Data!$BO:$BO,0)-2,28)&lt;&gt;"",INDEX(Tab_DaBa[],MATCH(CONCATENATE(Liste!$C$3,$B$5,$B$91),Data!$BO:$BO,0)-2,33),"")),"")</f>
        <v>Bez_Aus3</v>
      </c>
      <c r="C103" s="38" t="str">
        <f ca="1">IF(D101="","",4)</f>
        <v/>
      </c>
      <c r="D103" s="35" t="str">
        <f ca="1">IFERROR(IF(AND(INDEX(Tab_DaBa[],MATCH(CONCATENATE(Liste!$C$3,$B$5,$B$91),Data!$BO:$BO,0)-2,33)&lt;&gt;"",INDEX(Tab_DaBa[],MATCH(CONCATENATE(Liste!$C$3,$B$5,$B$91),Data!$BO:$BO,0)-2,38)=""),INDEX(Tab_DaBa[],MATCH(CONCATENATE(Liste!$C$3,$B$5,$B$91),Data!$BO:$BO,0)-2,13),IF(INDEX(Tab_DaBa[],MATCH(CONCATENATE(Liste!$C$3,$B$5,$B$91),Data!$BO:$BO,0)-2,33)&lt;&gt;"",INDEX(Tab_DaBa[],MATCH(CONCATENATE(Liste!$C$3,$B$5,$B$91),Data!$BO:$BO,0)-2,38),"")),"")</f>
        <v/>
      </c>
      <c r="E103" s="38" t="str">
        <f ca="1">IF(F101="","",4)</f>
        <v/>
      </c>
      <c r="F103" s="35" t="str">
        <f ca="1">IFERROR(IF(AND(INDEX(Tab_DaBa[],MATCH(CONCATENATE(Liste!$C$3,$B$5,$B$91),Data!$BO:$BO,0)-2,38)&lt;&gt;"",INDEX(Tab_DaBa[],MATCH(CONCATENATE(Liste!$C$3,$B$5,$B$91),Data!$BO:$BO,0)-2,43)=""),INDEX(Tab_DaBa[],MATCH(CONCATENATE(Liste!$C$3,$B$5,$B$91),Data!$BO:$BO,0)-2,13),IF(INDEX(Tab_DaBa[],MATCH(CONCATENATE(Liste!$C$3,$B$5,$B$91),Data!$BO:$BO,0)-2,38)&lt;&gt;"",INDEX(Tab_DaBa[],MATCH(CONCATENATE(Liste!$C$3,$B$5,$B$91),Data!$BO:$BO,0)-2,43),"")),"")</f>
        <v/>
      </c>
      <c r="G103" s="38" t="str">
        <f ca="1">IF(H101="","",4)</f>
        <v/>
      </c>
      <c r="H103" s="35" t="str">
        <f ca="1">IFERROR(IF(AND(INDEX(Tab_DaBa[],MATCH(CONCATENATE(Liste!$C$3,$B$5,$B$91),Data!$BO:$BO,0)-2,43)&lt;&gt;"",INDEX(Tab_DaBa[],MATCH(CONCATENATE(Liste!$C$3,$B$5,$B$91),Data!$BO:$BO,0)-2,48)=""),INDEX(Tab_DaBa[],MATCH(CONCATENATE(Liste!$C$3,$B$5,$B$91),Data!$BO:$BO,0)-2,13),IF(INDEX(Tab_DaBa[],MATCH(CONCATENATE(Liste!$C$3,$B$5,$B$91),Data!$BO:$BO,0)-2,43)&lt;&gt;"",INDEX(Tab_DaBa[],MATCH(CONCATENATE(Liste!$C$3,$B$5,$B$91),Data!$BO:$BO,0)-2,48),"")),"")</f>
        <v/>
      </c>
      <c r="I103" s="38" t="str">
        <f ca="1">IF(B109="","",6)</f>
        <v/>
      </c>
    </row>
    <row r="104" spans="2:9" s="16" customFormat="1" ht="15.75">
      <c r="B104" s="35" t="str">
        <f ca="1">IFERROR(IF(AND(INDEX(Tab_DaBa[],MATCH(CONCATENATE(Liste!$C$3,$B$5,$B$91),Data!$BO:$BO,0)-2,28)&lt;&gt;"",INDEX(Tab_DaBa[],MATCH(CONCATENATE(Liste!$C$3,$B$5,$B$91),Data!$BO:$BO,0)-2,33)=""),"Performance Level: "&amp;INDEX(Tab_DaBa[],MATCH(CONCATENATE(Liste!$C$3,$B$5,$B$91),Data!$BO:$BO,0)-2,15),IF(INDEX(Tab_DaBa[],MATCH(CONCATENATE(Liste!$C$3,$B$5,$B$91),Data!$BO:$BO,0)-2,28)&lt;&gt;"","Performance Level: "&amp;INDEX(Tab_DaBa[],MATCH(CONCATENATE(Liste!$C$3,$B$5,$B$91),Data!$BO:$BO,0)-2,35),"")),"")</f>
        <v>Performance Level: PL_Aus1_3</v>
      </c>
      <c r="C104" s="39"/>
      <c r="D104" s="35" t="str">
        <f ca="1">IFERROR(IF(AND(INDEX(Tab_DaBa[],MATCH(CONCATENATE(Liste!$C$3,$B$5,$B$91),Data!$BO:$BO,0)-2,33)&lt;&gt;"",INDEX(Tab_DaBa[],MATCH(CONCATENATE(Liste!$C$3,$B$5,$B$91),Data!$BO:$BO,0)-2,38)=""),"Performance Level: "&amp;INDEX(Tab_DaBa[],MATCH(CONCATENATE(Liste!$C$3,$B$5,$B$91),Data!$BO:$BO,0)-2,15),IF(INDEX(Tab_DaBa[],MATCH(CONCATENATE(Liste!$C$3,$B$5,$B$91),Data!$BO:$BO,0)-2,33)&lt;&gt;"","Performance Level: "&amp;INDEX(Tab_DaBa[],MATCH(CONCATENATE(Liste!$C$3,$B$5,$B$91),Data!$BO:$BO,0)-2,40),"")),"")</f>
        <v/>
      </c>
      <c r="E104" s="37"/>
      <c r="F104" s="35" t="str">
        <f ca="1">IFERROR(IF(AND(INDEX(Tab_DaBa[],MATCH(CONCATENATE(Liste!$C$3,$B$5,$B$91),Data!$BO:$BO,0)-2,38)&lt;&gt;"",INDEX(Tab_DaBa[],MATCH(CONCATENATE(Liste!$C$3,$B$5,$B$91),Data!$BO:$BO,0)-2,43)=""),"Performance Level: "&amp;INDEX(Tab_DaBa[],MATCH(CONCATENATE(Liste!$C$3,$B$5,$B$91),Data!$BO:$BO,0)-2,15),IF(INDEX(Tab_DaBa[],MATCH(CONCATENATE(Liste!$C$3,$B$5,$B$91),Data!$BO:$BO,0)-2,38)&lt;&gt;"","Performance Level: "&amp;INDEX(Tab_DaBa[],MATCH(CONCATENATE(Liste!$C$3,$B$5,$B$91),Data!$BO:$BO,0)-2,45),"")),"")</f>
        <v/>
      </c>
      <c r="G104" s="39"/>
      <c r="H104" s="35" t="str">
        <f ca="1">IFERROR(IF(AND(INDEX(Tab_DaBa[],MATCH(CONCATENATE(Liste!$C$3,$B$5,$B$91),Data!$BO:$BO,0)-2,43)&lt;&gt;"",INDEX(Tab_DaBa[],MATCH(CONCATENATE(Liste!$C$3,$B$5,$B$91),Data!$BO:$BO,0)-2,48)=""),"Performance Level: "&amp;INDEX(Tab_DaBa[],MATCH(CONCATENATE(Liste!$C$3,$B$5,$B$91),Data!$BO:$BO,0)-2,15),IF(INDEX(Tab_DaBa[],MATCH(CONCATENATE(Liste!$C$3,$B$5,$B$91),Data!$BO:$BO,0)-2,43)&lt;&gt;"","Performance Level: "&amp;INDEX(Tab_DaBa[],MATCH(CONCATENATE(Liste!$C$3,$B$5,$B$91),Data!$BO:$BO,0)-2,50),"")),"")</f>
        <v/>
      </c>
      <c r="I104" s="39"/>
    </row>
    <row r="105" spans="2:9" s="16" customFormat="1" ht="15.75">
      <c r="B105" s="35" t="str">
        <f ca="1">IFERROR(IF(AND(INDEX(Tab_DaBa[],MATCH(CONCATENATE(Liste!$C$3,$B$5,$B$91),Data!$BO:$BO,0)-2,28)&lt;&gt;"",INDEX(Tab_DaBa[],MATCH(CONCATENATE(Liste!$C$3,$B$5,$B$91),Data!$BO:$BO,0)-2,33)=""),"PFH [1/h] = "&amp;10^9*INDEX(Tab_DaBa[],MATCH(CONCATENATE(Liste!$C$3,$B$5,$B$91),Data!$BO:$BO,0)-2,16)&amp;"E-9",IF(INDEX(Tab_DaBa[],MATCH(CONCATENATE(Liste!$C$3,$B$5,$B$91),Data!$BO:$BO,0)-2,28)&lt;&gt;"","PFH [1/h] = "&amp;10^9*INDEX(Tab_DaBa[],MATCH(CONCATENATE(Liste!$C$3,$B$5,$B$91),Data!$BO:$BO,0)-2,36)&amp;"E-9","")),"")</f>
        <v>PFH [1/h] = 34,7E-9</v>
      </c>
      <c r="C105" s="39"/>
      <c r="D105" s="35" t="str">
        <f ca="1">IFERROR(IF(AND(INDEX(Tab_DaBa[],MATCH(CONCATENATE(Liste!$C$3,$B$5,$B$91),Data!$BO:$BO,0)-2,33)&lt;&gt;"",INDEX(Tab_DaBa[],MATCH(CONCATENATE(Liste!$C$3,$B$5,$B$91),Data!$BO:$BO,0)-2,38)=""),"PFH [1/h] = "&amp;10^9*INDEX(Tab_DaBa[],MATCH(CONCATENATE(Liste!$C$3,$B$5,$B$91),Data!$BO:$BO,0)-2,16)&amp;"E-9",IF(INDEX(Tab_DaBa[],MATCH(CONCATENATE(Liste!$C$3,$B$5,$B$91),Data!$BO:$BO,0)-2,33)&lt;&gt;"","PFH [1/h] = "&amp;10^9*INDEX(Tab_DaBa[],MATCH(CONCATENATE(Liste!$C$3,$B$5,$B$91),Data!$BO:$BO,0)-2,41)&amp;"E-9","")),"")</f>
        <v/>
      </c>
      <c r="E105" s="37"/>
      <c r="F105" s="35" t="str">
        <f ca="1">IFERROR(IF(AND(INDEX(Tab_DaBa[],MATCH(CONCATENATE(Liste!$C$3,$B$5,$B$91),Data!$BO:$BO,0)-2,38)&lt;&gt;"",INDEX(Tab_DaBa[],MATCH(CONCATENATE(Liste!$C$3,$B$5,$B$91),Data!$BO:$BO,0)-2,43)=""),"PFH [1/h] = "&amp;10^9*INDEX(Tab_DaBa[],MATCH(CONCATENATE(Liste!$C$3,$B$5,$B$91),Data!$BO:$BO,0)-2,16)&amp;"E-9",IF(INDEX(Tab_DaBa[],MATCH(CONCATENATE(Liste!$C$3,$B$5,$B$91),Data!$BO:$BO,0)-2,38)&lt;&gt;"","PFH [1/h] = "&amp;10^9*INDEX(Tab_DaBa[],MATCH(CONCATENATE(Liste!$C$3,$B$5,$B$91),Data!$BO:$BO,0)-2,46)&amp;"E-9","")),"")</f>
        <v/>
      </c>
      <c r="G105" s="39"/>
      <c r="H105" s="35" t="str">
        <f ca="1">IFERROR(IF(AND(INDEX(Tab_DaBa[],MATCH(CONCATENATE(Liste!$C$3,$B$5,$B$91),Data!$BO:$BO,0)-2,43)&lt;&gt;"",INDEX(Tab_DaBa[],MATCH(CONCATENATE(Liste!$C$3,$B$5,$B$91),Data!$BO:$BO,0)-2,48)=""),"PFH [1/h] = "&amp;10^9*INDEX(Tab_DaBa[],MATCH(CONCATENATE(Liste!$C$3,$B$5,$B$91),Data!$BO:$BO,0)-2,16)&amp;"E-9",IF(INDEX(Tab_DaBa[],MATCH(CONCATENATE(Liste!$C$3,$B$5,$B$91),Data!$BO:$BO,0)-2,43)&lt;&gt;"","PFH [1/h] = "&amp;10^9*INDEX(Tab_DaBa[],MATCH(CONCATENATE(Liste!$C$3,$B$5,$B$91),Data!$BO:$BO,0)-2,51)&amp;"E-9","")),"")</f>
        <v/>
      </c>
      <c r="I105" s="39"/>
    </row>
    <row r="106" spans="2:9" s="16" customFormat="1">
      <c r="B106" s="33"/>
      <c r="C106" s="33"/>
      <c r="D106" s="33"/>
      <c r="E106" s="33"/>
      <c r="F106" s="33"/>
      <c r="G106" s="33"/>
      <c r="H106" s="33"/>
      <c r="I106" s="33"/>
    </row>
    <row r="107" spans="2:9" s="16" customFormat="1" ht="15.75">
      <c r="B107" s="38" t="str">
        <f ca="1">IF(B109="","",6)</f>
        <v/>
      </c>
      <c r="C107" s="33"/>
      <c r="D107" s="38" t="str">
        <f ca="1">IF(B109="","",3)</f>
        <v/>
      </c>
      <c r="E107" s="33"/>
      <c r="F107" s="38" t="str">
        <f ca="1">IF(B109="","",3)</f>
        <v/>
      </c>
      <c r="G107" s="33"/>
      <c r="H107" s="38" t="str">
        <f ca="1">IF(B109="","",3)</f>
        <v/>
      </c>
      <c r="I107" s="33"/>
    </row>
    <row r="108" spans="2:9" s="16" customFormat="1" ht="15.75">
      <c r="B108" s="39"/>
      <c r="C108" s="33"/>
      <c r="D108" s="33"/>
      <c r="E108" s="33"/>
      <c r="F108" s="33"/>
      <c r="G108" s="33"/>
      <c r="H108" s="33"/>
      <c r="I108" s="33"/>
    </row>
    <row r="109" spans="2:9" s="16" customFormat="1" ht="15.75">
      <c r="B109" s="35" t="str">
        <f ca="1">IFERROR(IF(AND(INDEX(Tab_DaBa[],MATCH(CONCATENATE(Liste!$C$3,$B$5,$B$91),Data!$BO:$BO,0)-2,48)&lt;&gt;"",INDEX(Tab_DaBa[],MATCH(CONCATENATE(Liste!$C$3,$B$5,$B$91),Data!$BO:$BO,0)-2,53)=0),INDEX(Tab_DaBa[],MATCH(CONCATENATE(Liste!$C$3,$B$5,$B$91),Data!$BO:$BO,0)-2,14),IF(INDEX(Tab_DaBa[],MATCH(CONCATENATE(Liste!$C$3,$B$5,$B$91),Data!$BO:$BO,0)-2,48)&lt;&gt;"",INDEX(Tab_DaBa[],MATCH(CONCATENATE(Liste!$C$3,$B$5,$B$91),Data!$BO:$BO,0)-2,54),"")),"")</f>
        <v/>
      </c>
      <c r="C109" s="39"/>
      <c r="D109" s="35" t="str">
        <f ca="1">IFERROR(IF(AND(INDEX(Tab_DaBa[],MATCH(CONCATENATE(Liste!$C$3,$B$5,$B$91),Data!$BO:$BO,0)-2,53)&lt;&gt;"",INDEX(Tab_DaBa[],MATCH(CONCATENATE(Liste!$C$3,$B$5,$B$91),Data!$BO:$BO,0)-2,58)=0),INDEX(Tab_DaBa[],MATCH(CONCATENATE(Liste!$C$3,$B$5,$B$91),Data!$BO:$BO,0)-2,14),IF(INDEX(Tab_DaBa[],MATCH(CONCATENATE(Liste!$C$3,$B$5,$B$91),Data!$BO:$BO,0)-2,53)&lt;&gt;"",INDEX(Tab_DaBa[],MATCH(CONCATENATE(Liste!$C$3,$B$5,$B$91),Data!$BO:$BO,0)-2,59),"")),"")</f>
        <v/>
      </c>
      <c r="E109" s="33"/>
      <c r="F109" s="35" t="str">
        <f ca="1">IFERROR(IF(AND(INDEX(Tab_DaBa[],MATCH(CONCATENATE(Liste!$C$3,$B$5,$B$91),Data!$BO:$BO,0)-2,58)&lt;&gt;"",INDEX(Tab_DaBa[],MATCH(CONCATENATE(Liste!$C$3,$B$5,$B$91),Data!$BO:$BO,0)-2,63)=0),INDEX(Tab_DaBa[],MATCH(CONCATENATE(Liste!$C$3,$B$5,$B$91),Data!$BO:$BO,0)-2,14),IF(INDEX(Tab_DaBa[],MATCH(CONCATENATE(Liste!$C$3,$B$5,$B$91),Data!$BO:$BO,0)-2,58)&lt;&gt;"",INDEX(Tab_DaBa[],MATCH(CONCATENATE(Liste!$C$3,$B$5,$B$91),Data!$BO:$BO,0)-2,64),"")),"")</f>
        <v/>
      </c>
      <c r="G109" s="39"/>
      <c r="H109" s="35" t="str">
        <f ca="1">IFERROR(IF(INDEX(Tab_DaBa[],MATCH(CONCATENATE(Liste!$C$3,$B$5,$B$91),Data!$BO:$BO,0)-2,63)&lt;&gt;"",INDEX(Tab_DaBa[],MATCH(CONCATENATE(Liste!$C$3,$B$5,$B$91),Data!$BO:$BO,0)-2,14),""),"")</f>
        <v/>
      </c>
    </row>
    <row r="110" spans="2:9" s="16" customFormat="1" ht="15.75">
      <c r="B110" s="35" t="str">
        <f ca="1">IFERROR(IF(AND(INDEX(Tab_DaBa[],MATCH(CONCATENATE(Liste!$C$3,$B$5,$B$91),Data!$BO:$BO,0)-2,48)&lt;&gt;"",INDEX(Tab_DaBa[],MATCH(CONCATENATE(Liste!$C$3,$B$5,$B$91),Data!$BO:$BO,0)-2,53)=0),INDEX(Tab_DaBa[],MATCH(CONCATENATE(Liste!$C$3,$B$5,$B$91),Data!$BO:$BO,0)-2,12),IF(INDEX(Tab_DaBa[],MATCH(CONCATENATE(Liste!$C$3,$B$5,$B$91),Data!$BO:$BO,0)-2,48)&lt;&gt;"",INDEX(Tab_DaBa[],MATCH(CONCATENATE(Liste!$C$3,$B$5,$B$91),Data!$BO:$BO,0)-2,52),"")),"")</f>
        <v/>
      </c>
      <c r="C110" s="39"/>
      <c r="D110" s="35" t="str">
        <f ca="1">IFERROR(IF(AND(INDEX(Tab_DaBa[],MATCH(CONCATENATE(Liste!$C$3,$B$5,$B$91),Data!$BO:$BO,0)-2,53)&lt;&gt;"",INDEX(Tab_DaBa[],MATCH(CONCATENATE(Liste!$C$3,$B$5,$B$91),Data!$BO:$BO,0)-2,58)=0),INDEX(Tab_DaBa[],MATCH(CONCATENATE(Liste!$C$3,$B$5,$B$91),Data!$BO:$BO,0)-2,12),IF(INDEX(Tab_DaBa[],MATCH(CONCATENATE(Liste!$C$3,$B$5,$B$91),Data!$BO:$BO,0)-2,53)&lt;&gt;"",INDEX(Tab_DaBa[],MATCH(CONCATENATE(Liste!$C$3,$B$5,$B$91),Data!$BO:$BO,0)-2,57),"")),"")</f>
        <v/>
      </c>
      <c r="E110" s="37"/>
      <c r="F110" s="35" t="str">
        <f ca="1">IFERROR(IF(AND(INDEX(Tab_DaBa[],MATCH(CONCATENATE(Liste!$C$3,$B$5,$B$91),Data!$BO:$BO,0)-2,58)&lt;&gt;"",INDEX(Tab_DaBa[],MATCH(CONCATENATE(Liste!$C$3,$B$5,$B$91),Data!$BO:$BO,0)-2,63)=0),INDEX(Tab_DaBa[],MATCH(CONCATENATE(Liste!$C$3,$B$5,$B$91),Data!$BO:$BO,0)-2,12),IF(INDEX(Tab_DaBa[],MATCH(CONCATENATE(Liste!$C$3,$B$5,$B$91),Data!$BO:$BO,0)-2,58)&lt;&gt;"",INDEX(Tab_DaBa[],MATCH(CONCATENATE(Liste!$C$3,$B$5,$B$91),Data!$BO:$BO,0)-2,62),"")),"")</f>
        <v/>
      </c>
      <c r="G110" s="39"/>
      <c r="H110" s="35" t="str">
        <f ca="1">IFERROR(IF(INDEX(Tab_DaBa[],MATCH(CONCATENATE(Liste!$C$3,$B$5,$B$91),Data!$BO:$BO,0)-2,63)&lt;&gt;"",INDEX(Tab_DaBa[],MATCH(CONCATENATE(Liste!$C$3,$B$5,$B$91),Data!$BO:$BO,0)-2,12),""),"")</f>
        <v/>
      </c>
    </row>
    <row r="111" spans="2:9" s="16" customFormat="1" ht="15.75">
      <c r="B111" s="35" t="str">
        <f ca="1">IFERROR(IF(AND(INDEX(Tab_DaBa[],MATCH(CONCATENATE(Liste!$C$3,$B$5,$B$91),Data!$BO:$BO,0)-2,48)&lt;&gt;"",INDEX(Tab_DaBa[],MATCH(CONCATENATE(Liste!$C$3,$B$5,$B$91),Data!$BO:$BO,0)-2,53)=""),INDEX(Tab_DaBa[],MATCH(CONCATENATE(Liste!$C$3,$B$5,$B$91),Data!$BO:$BO,0)-2,13),IF(INDEX(Tab_DaBa[],MATCH(CONCATENATE(Liste!$C$3,$B$5,$B$91),Data!$BO:$BO,0)-2,48)&lt;&gt;"",INDEX(Tab_DaBa[],MATCH(CONCATENATE(Liste!$C$3,$B$5,$B$91),Data!$BO:$BO,0)-2,53),"")),"")</f>
        <v/>
      </c>
      <c r="C111" s="38" t="str">
        <f ca="1">IF(D109="","",4)</f>
        <v/>
      </c>
      <c r="D111" s="35" t="str">
        <f ca="1">IFERROR(IF(AND(INDEX(Tab_DaBa[],MATCH(CONCATENATE(Liste!$C$3,$B$5,$B$91),Data!$BO:$BO,0)-2,53)&lt;&gt;"",INDEX(Tab_DaBa[],MATCH(CONCATENATE(Liste!$C$3,$B$5,$B$91),Data!$BO:$BO,0)-2,58)=""),INDEX(Tab_DaBa[],MATCH(CONCATENATE(Liste!$C$3,$B$5,$B$91),Data!$BO:$BO,0)-2,13),IF(INDEX(Tab_DaBa[],MATCH(CONCATENATE(Liste!$C$3,$B$5,$B$91),Data!$BO:$BO,0)-2,53)&lt;&gt;"",INDEX(Tab_DaBa[],MATCH(CONCATENATE(Liste!$C$3,$B$5,$B$91),Data!$BO:$BO,0)-2,58),"")),"")</f>
        <v/>
      </c>
      <c r="E111" s="38" t="str">
        <f ca="1">IF(F109="","",4)</f>
        <v/>
      </c>
      <c r="F111" s="35" t="str">
        <f ca="1">IFERROR(IF(AND(INDEX(Tab_DaBa[],MATCH(CONCATENATE(Liste!$C$3,$B$5,$B$91),Data!$BO:$BO,0)-2,58)&lt;&gt;"",INDEX(Tab_DaBa[],MATCH(CONCATENATE(Liste!$C$3,$B$5,$B$91),Data!$BO:$BO,0)-2,63)=""),INDEX(Tab_DaBa[],MATCH(CONCATENATE(Liste!$C$3,$B$5,$B$91),Data!$BO:$BO,0)-2,13),IF(INDEX(Tab_DaBa[],MATCH(CONCATENATE(Liste!$C$3,$B$5,$B$91),Data!$BO:$BO,0)-2,58)&lt;&gt;"",INDEX(Tab_DaBa[],MATCH(CONCATENATE(Liste!$C$3,$B$5,$B$91),Data!$BO:$BO,0)-2,63),"")),"")</f>
        <v/>
      </c>
      <c r="G111" s="38" t="str">
        <f ca="1">IF(H109="","",4)</f>
        <v/>
      </c>
      <c r="H111" s="35" t="str">
        <f ca="1">IFERROR(IF(INDEX(Tab_DaBa[],MATCH(CONCATENATE(Liste!$C$3,$B$5,$B$91),Data!$BO:$BO,0)-2,63)&lt;&gt;"",INDEX(Tab_DaBa[],MATCH(CONCATENATE(Liste!$C$3,$B$5,$B$91),Data!$BO:$BO,0)-2,13),""),"")</f>
        <v/>
      </c>
    </row>
    <row r="112" spans="2:9" s="16" customFormat="1" ht="15.75">
      <c r="B112" s="35" t="str">
        <f ca="1">IFERROR(IF(AND(INDEX(Tab_DaBa[],MATCH(CONCATENATE(Liste!$C$3,$B$5,$B$91),Data!$BO:$BO,0)-2,48)&lt;&gt;"",INDEX(Tab_DaBa[],MATCH(CONCATENATE(Liste!$C$3,$B$5,$B$91),Data!$BO:$BO,0)-2,53)=""),"Performance Level: "&amp;INDEX(Tab_DaBa[],MATCH(CONCATENATE(Liste!$C$3,$B$5,$B$91),Data!$BO:$BO,0)-2,15),IF(INDEX(Tab_DaBa[],MATCH(CONCATENATE(Liste!$C$3,$B$5,$B$91),Data!$BO:$BO,0)-2,48)&lt;&gt;"","Performance Level: "&amp;INDEX(Tab_DaBa[],MATCH(CONCATENATE(Liste!$C$3,$B$5,$B$91),Data!$BO:$BO,0)-2,55),"")),"")</f>
        <v/>
      </c>
      <c r="C112" s="39"/>
      <c r="D112" s="35" t="str">
        <f ca="1">IFERROR(IF(AND(INDEX(Tab_DaBa[],MATCH(CONCATENATE(Liste!$C$3,$B$5,$B$91),Data!$BO:$BO,0)-2,53)&lt;&gt;"",INDEX(Tab_DaBa[],MATCH(CONCATENATE(Liste!$C$3,$B$5,$B$91),Data!$BO:$BO,0)-2,58)=""),"Performance Level: "&amp;INDEX(Tab_DaBa[],MATCH(CONCATENATE(Liste!$C$3,$B$5,$B$91),Data!$BO:$BO,0)-2,15),IF(INDEX(Tab_DaBa[],MATCH(CONCATENATE(Liste!$C$3,$B$5,$B$91),Data!$BO:$BO,0)-2,53)&lt;&gt;"","Performance Level: "&amp;INDEX(Tab_DaBa[],MATCH(CONCATENATE(Liste!$C$3,$B$5,$B$91),Data!$BO:$BO,0)-2,60),"")),"")</f>
        <v/>
      </c>
      <c r="E112" s="37"/>
      <c r="F112" s="35" t="str">
        <f ca="1">IFERROR(IF(AND(INDEX(Tab_DaBa[],MATCH(CONCATENATE(Liste!$C$3,$B$5,$B$91),Data!$BO:$BO,0)-2,58)&lt;&gt;"",INDEX(Tab_DaBa[],MATCH(CONCATENATE(Liste!$C$3,$B$5,$B$91),Data!$BO:$BO,0)-2,63)=""),"Performance Level: "&amp;INDEX(Tab_DaBa[],MATCH(CONCATENATE(Liste!$C$3,$B$5,$B$91),Data!$BO:$BO,0)-2,15),IF(INDEX(Tab_DaBa[],MATCH(CONCATENATE(Liste!$C$3,$B$5,$B$91),Data!$BO:$BO,0)-2,58)&lt;&gt;"","Performance Level: "&amp;INDEX(Tab_DaBa[],MATCH(CONCATENATE(Liste!$C$3,$B$5,$B$91),Data!$BO:$BO,0)-2,65),"")),"")</f>
        <v/>
      </c>
      <c r="G112" s="39"/>
      <c r="H112" s="35" t="str">
        <f ca="1">IFERROR(IF(INDEX(Tab_DaBa[],MATCH(CONCATENATE(Liste!$C$3,$B$5,$B$91),Data!$BO:$BO,0)-2,63)&lt;&gt;"","Performance Level: "&amp;INDEX(Tab_DaBa[],MATCH(CONCATENATE(Liste!$C$3,$B$5,$B$91),Data!$BO:$BO,0)-2,15),""),"")</f>
        <v/>
      </c>
    </row>
    <row r="113" spans="2:9" s="16" customFormat="1" ht="15.75">
      <c r="B113" s="35" t="str">
        <f ca="1">IFERROR(IF(AND(INDEX(Tab_DaBa[],MATCH(CONCATENATE(Liste!$C$3,$B$5,$B$91),Data!$BO:$BO,0)-2,48)&lt;&gt;"",INDEX(Tab_DaBa[],MATCH(CONCATENATE(Liste!$C$3,$B$5,$B$91),Data!$BO:$BO,0)-2,53)=""),"PFH [1/h] = "&amp;10^9*INDEX(Tab_DaBa[],MATCH(CONCATENATE(Liste!$C$3,$B$5,$B$91),Data!$BO:$BO,0)-2,16)&amp;"E-9",IF(INDEX(Tab_DaBa[],MATCH(CONCATENATE(Liste!$C$3,$B$5,$B$91),Data!$BO:$BO,0)-2,48)&lt;&gt;"","PFH [1/h] = "&amp;10^9*INDEX(Tab_DaBa[],MATCH(CONCATENATE(Liste!$C$3,$B$5,$B$91),Data!$BO:$BO,0)-2,56)&amp;"E-9","")),"")</f>
        <v/>
      </c>
      <c r="C113" s="39"/>
      <c r="D113" s="35" t="str">
        <f ca="1">IFERROR(IF(AND(INDEX(Tab_DaBa[],MATCH(CONCATENATE(Liste!$C$3,$B$5,$B$91),Data!$BO:$BO,0)-2,53)&lt;&gt;"",INDEX(Tab_DaBa[],MATCH(CONCATENATE(Liste!$C$3,$B$5,$B$91),Data!$BO:$BO,0)-2,58)=""),"PFH [1/h] = "&amp;10^9*INDEX(Tab_DaBa[],MATCH(CONCATENATE(Liste!$C$3,$B$5,$B$91),Data!$BO:$BO,0)-2,16)&amp;"E-9",IF(INDEX(Tab_DaBa[],MATCH(CONCATENATE(Liste!$C$3,$B$5,$B$91),Data!$BO:$BO,0)-2,53)&lt;&gt;"","PFH [1/h] = "&amp;10^9*INDEX(Tab_DaBa[],MATCH(CONCATENATE(Liste!$C$3,$B$5,$B$91),Data!$BO:$BO,0)-2,61)&amp;"E-9","")),"")</f>
        <v/>
      </c>
      <c r="E113" s="37"/>
      <c r="F113" s="35" t="str">
        <f ca="1">IFERROR(IF(AND(INDEX(Tab_DaBa[],MATCH(CONCATENATE(Liste!$C$3,$B$5,$B$91),Data!$BO:$BO,0)-2,58)&lt;&gt;"",INDEX(Tab_DaBa[],MATCH(CONCATENATE(Liste!$C$3,$B$5,$B$91),Data!$BO:$BO,0)-2,63)=""),"PFH [1/h] = "&amp;10^9*INDEX(Tab_DaBa[],MATCH(CONCATENATE(Liste!$C$3,$B$5,$B$91),Data!$BO:$BO,0)-2,16)&amp;"E-9",IF(INDEX(Tab_DaBa[],MATCH(CONCATENATE(Liste!$C$3,$B$5,$B$91),Data!$BO:$BO,0)-2,58)&lt;&gt;"","PFH [1/h] = "&amp;10^9*INDEX(Tab_DaBa[],MATCH(CONCATENATE(Liste!$C$3,$B$5,$B$91),Data!$BO:$BO,0)-2,66)&amp;"E-9","")),"")</f>
        <v/>
      </c>
      <c r="G113" s="39"/>
      <c r="H113" s="35" t="str">
        <f ca="1">IFERROR(IF(INDEX(Tab_DaBa[],MATCH(CONCATENATE(Liste!$C$3,$B$5,$B$91),Data!$BO:$BO,0)-2,63)&lt;&gt;"","PFH [1/h] = "&amp;10^9*INDEX(Tab_DaBa[],MATCH(CONCATENATE(Liste!$C$3,$B$5,$B$91),Data!$BO:$BO,0)-2,16)&amp;"E-9",""),"")</f>
        <v/>
      </c>
    </row>
    <row r="114" spans="2:9" s="16" customFormat="1"/>
    <row r="115" spans="2:9" s="16" customFormat="1">
      <c r="B115" s="43" t="str">
        <f ca="1">IF(D115="","","Erforderlich")</f>
        <v>Erforderlich</v>
      </c>
      <c r="D115" s="44" t="str">
        <f ca="1">IFERROR("Performance Level: "&amp;INDEX(Tab_DaBa[],MATCH(CONCATENATE(Liste!$C$3,$B$5,$B$91),Data!$BO:$BO,0)-2,4),"")</f>
        <v>Performance Level: PLr_ges1_3</v>
      </c>
    </row>
    <row r="116" spans="2:9" s="16" customFormat="1">
      <c r="B116" s="45"/>
    </row>
    <row r="117" spans="2:9" s="16" customFormat="1">
      <c r="B117" s="46" t="str">
        <f ca="1">IF(D117="","","Erreicht")</f>
        <v>Erreicht</v>
      </c>
      <c r="D117" s="47" t="str">
        <f ca="1">IFERROR("Performance Level: "&amp;INDEX(Tab_DaBa[],MATCH(CONCATENATE(Liste!$C$3,$B$5,$B$91),Data!$BO:$BO,0)-2,5)&amp;"          PFH [1/h] = "&amp;10^9*INDEX(Tab_DaBa[],MATCH(CONCATENATE(Liste!$C$3,$B$5,$B$91),Data!$BO:$BO,0)-2,6)&amp;"E-9","")</f>
        <v>Performance Level: Pl_ges1_3          PFH [1/h] = 3,7E-9</v>
      </c>
    </row>
    <row r="118" spans="2:9" s="16" customFormat="1">
      <c r="B118" s="48"/>
      <c r="D118" s="49"/>
    </row>
    <row r="119" spans="2:9" s="16" customFormat="1">
      <c r="B119" s="42" t="str">
        <f ca="1">IFERROR(IF(5&gt;COUNTIF(Data!$BP:$BP,CONCATENATE(Liste!$C$3,$B$5)),"",INDEX(Tab_DaBa[],MATCH(CONCATENATE(Liste!$C$3,$B$5),Data!$BP:$BP,0)+2,3)),"")</f>
        <v>1.4 test1 (E+4L+A)</v>
      </c>
    </row>
    <row r="120" spans="2:9" s="16" customFormat="1"/>
    <row r="121" spans="2:9" s="16" customFormat="1" ht="15.75">
      <c r="B121" s="35" t="str">
        <f ca="1">IFERROR(INDEX(Tab_DaBa[],MATCH(CONCATENATE(Liste!$C$3,$B$5,$B$119),Data!$BO:$BO,0)-2,9),"")</f>
        <v>Eingang</v>
      </c>
      <c r="C121" s="54"/>
      <c r="D121" s="35" t="str">
        <f ca="1">IFERROR(IF(INDEX(Tab_DaBa[],MATCH(CONCATENATE(Liste!$C$3,$B$5,$B$119),Data!$BO:$BO,0)-2,18)=0,INDEX(Tab_DaBa[],MATCH(CONCATENATE(Liste!$C$3,$B$5,$B$119),Data!$BO:$BO,0)-2,14),INDEX(Tab_DaBa[],MATCH(CONCATENATE(Liste!$C$3,$B$5,$B$119),Data!$BO:$BO,0)-2,19)),"")</f>
        <v>Logik 01</v>
      </c>
      <c r="E121" s="33"/>
      <c r="F121" s="35" t="str">
        <f ca="1">IFERROR(IF(AND(INDEX(Tab_DaBa[],MATCH(CONCATENATE(Liste!$C$3,$B$5,$B$119),Data!$BO:$BO,0)-2,18)&lt;&gt;"",INDEX(Tab_DaBa[],MATCH(CONCATENATE(Liste!$C$3,$B$5,$B$119),Data!$BO:$BO,0)-2,23)=0),INDEX(Tab_DaBa[],MATCH(CONCATENATE(Liste!$C$3,$B$5,$B$119),Data!$BO:$BO,0)-2,14),IF(INDEX(Tab_DaBa[],MATCH(CONCATENATE(Liste!$C$3,$B$5,$B$119),Data!$BO:$BO,0)-2,23)&lt;&gt;"",INDEX(Tab_DaBa[],MATCH(CONCATENATE(Liste!$C$3,$B$5,$B$119),Data!$BO:$BO,0)-2,24),"")),"")</f>
        <v>Logik 02</v>
      </c>
      <c r="G121" s="39"/>
      <c r="H121" s="35" t="str">
        <f ca="1">IFERROR(IF(AND(INDEX(Tab_DaBa[],MATCH(CONCATENATE(Liste!$C$3,$B$5,$B$119),Data!$BO:$BO,0)-2,23)&lt;&gt;"",INDEX(Tab_DaBa[],MATCH(CONCATENATE(Liste!$C$3,$B$5,$B$119),Data!$BO:$BO,0)-2,28)=0),INDEX(Tab_DaBa[],MATCH(CONCATENATE(Liste!$C$3,$B$5,$B$119),Data!$BO:$BO,0)-2,14),IF(INDEX(Tab_DaBa[],MATCH(CONCATENATE(Liste!$C$3,$B$5,$B$119),Data!$BO:$BO,0)-2,23)&lt;&gt;"",INDEX(Tab_DaBa[],MATCH(CONCATENATE(Liste!$C$3,$B$5,$B$119),Data!$BO:$BO,0)-2,29),"")),"")</f>
        <v>Logik 03</v>
      </c>
      <c r="I121" s="39"/>
    </row>
    <row r="122" spans="2:9" s="16" customFormat="1" ht="15.75">
      <c r="B122" s="35" t="str">
        <f ca="1">IFERROR(INDEX(Tab_DaBa[],MATCH(CONCATENATE(Liste!$C$3,$B$5,$B$119),Data!$BO:$BO,0)-2,7),"")</f>
        <v>eeee-11_4</v>
      </c>
      <c r="C122" s="54"/>
      <c r="D122" s="35" t="str">
        <f ca="1">IFERROR(IF(INDEX(Tab_DaBa[],MATCH(CONCATENATE(Liste!$C$3,$B$5,$B$119),Data!$BO:$BO,0)-2,18)="",INDEX(Tab_DaBa[],MATCH(CONCATENATE(Liste!$C$3,$B$5,$B$119),Data!$BO:$BO,0)-2,12),INDEX(Tab_DaBa[],MATCH(CONCATENATE(Liste!$C$3,$B$5,$B$119),Data!$BO:$BO,0)-2,17)),"")</f>
        <v>Log01-01_04</v>
      </c>
      <c r="E122" s="36"/>
      <c r="F122" s="35" t="str">
        <f ca="1">IFERROR(IF(AND(INDEX(Tab_DaBa[],MATCH(CONCATENATE(Liste!$C$3,$B$5,$B$119),Data!$BO:$BO,0)-2,18)&lt;&gt;"",INDEX(Tab_DaBa[],MATCH(CONCATENATE(Liste!$C$3,$B$5,$B$119),Data!$BO:$BO,0)-2,23)=0),INDEX(Tab_DaBa[],MATCH(CONCATENATE(Liste!$C$3,$B$5,$B$119),Data!$BO:$BO,0)-2,12),IF(INDEX(Tab_DaBa[],MATCH(CONCATENATE(Liste!$C$3,$B$5,$B$119),Data!$BO:$BO,0)-2,23)&lt;&gt;"",INDEX(Tab_DaBa[],MATCH(CONCATENATE(Liste!$C$3,$B$5,$B$119),Data!$BO:$BO,0)-2,22),"")),"")</f>
        <v>Lo01-22_4</v>
      </c>
      <c r="G122" s="39"/>
      <c r="H122" s="35" t="str">
        <f ca="1">IFERROR(IF(AND(INDEX(Tab_DaBa[],MATCH(CONCATENATE(Liste!$C$3,$B$5,$B$119),Data!$BO:$BO,0)-2,23)&lt;&gt;"",INDEX(Tab_DaBa[],MATCH(CONCATENATE(Liste!$C$3,$B$5,$B$119),Data!$BO:$BO,0)-2,28)=0),INDEX(Tab_DaBa[],MATCH(CONCATENATE(Liste!$C$3,$B$5,$B$119),Data!$BO:$BO,0)-2,12),IF(INDEX(Tab_DaBa[],MATCH(CONCATENATE(Liste!$C$3,$B$5,$B$119),Data!$BO:$BO,0)-2,23)&lt;&gt;"",INDEX(Tab_DaBa[],MATCH(CONCATENATE(Liste!$C$3,$B$5,$B$119),Data!$BO:$BO,0)-2,27),"")),"")</f>
        <v>Lo01-33_4</v>
      </c>
      <c r="I122" s="39"/>
    </row>
    <row r="123" spans="2:9" s="16" customFormat="1" ht="15.75">
      <c r="B123" s="35" t="str">
        <f ca="1">IFERROR(INDEX(Tab_DaBa[],MATCH(CONCATENATE(Liste!$C$3,$B$5,$B$119),Data!$BO:$BO,0)-2,8),"")</f>
        <v>Bez_Ein1_4</v>
      </c>
      <c r="C123" s="40">
        <f ca="1">IF(D121="","",4)</f>
        <v>4</v>
      </c>
      <c r="D123" s="35" t="str">
        <f ca="1">IFERROR(IF(INDEX(Tab_DaBa[],MATCH(CONCATENATE(Liste!$C$3,$B$5,$B$119),Data!$BO:$BO,0)-2,18)="",INDEX(Tab_DaBa[],MATCH(CONCATENATE(Liste!$C$3,$B$5,$B$119),Data!$BO:$BO,0)-2,13),INDEX(Tab_DaBa[],MATCH(CONCATENATE(Liste!$C$3,$B$5,$B$119),Data!$BO:$BO,0)-2,18)),"")</f>
        <v>Bez_Log01_01_04</v>
      </c>
      <c r="E123" s="40">
        <f ca="1">IF(F121="","",4)</f>
        <v>4</v>
      </c>
      <c r="F123" s="35" t="str">
        <f ca="1">IFERROR(IF(AND(INDEX(Tab_DaBa[],MATCH(CONCATENATE(Liste!$C$3,$B$5,$B$119),Data!$BO:$BO,0)-2,18)&lt;&gt;"",INDEX(Tab_DaBa[],MATCH(CONCATENATE(Liste!$C$3,$B$5,$B$119),Data!$BO:$BO,0)-2,23)=""),INDEX(Tab_DaBa[],MATCH(CONCATENATE(Liste!$C$3,$B$5,$B$119),Data!$BO:$BO,0)-2,13),IF(INDEX(Tab_DaBa[],MATCH(CONCATENATE(Liste!$C$3,$B$5,$B$119),Data!$BO:$BO,0)-2,23)&lt;&gt;"",INDEX(Tab_DaBa[],MATCH(CONCATENATE(Liste!$C$3,$B$5,$B$119),Data!$BO:$BO,0)-2,23),"")),"")</f>
        <v>Bez_Lo01_4</v>
      </c>
      <c r="G123" s="38">
        <f ca="1">IF(H121="","",4)</f>
        <v>4</v>
      </c>
      <c r="H123" s="35" t="str">
        <f ca="1">IFERROR(IF(AND(INDEX(Tab_DaBa[],MATCH(CONCATENATE(Liste!$C$3,$B$5,$B$119),Data!$BO:$BO,0)-2,23)&lt;&gt;"",INDEX(Tab_DaBa[],MATCH(CONCATENATE(Liste!$C$3,$B$5,$B$119),Data!$BO:$BO,0)-2,28)=""),INDEX(Tab_DaBa[],MATCH(CONCATENATE(Liste!$C$3,$B$5,$B$119),Data!$BO:$BO,0)-2,13),IF(INDEX(Tab_DaBa[],MATCH(CONCATENATE(Liste!$C$3,$B$5,$B$119),Data!$BO:$BO,0)-2,23)&lt;&gt;"",INDEX(Tab_DaBa[],MATCH(CONCATENATE(Liste!$C$3,$B$5,$B$119),Data!$BO:$BO,0)-2,28),"")),"")</f>
        <v>Bez_Lo01_4</v>
      </c>
      <c r="I123" s="38">
        <f ca="1">IF(B129="","",6)</f>
        <v>6</v>
      </c>
    </row>
    <row r="124" spans="2:9" s="16" customFormat="1" ht="15.75">
      <c r="B124" s="35" t="str">
        <f ca="1">IFERROR("Performance Level: "&amp;INDEX(Tab_DaBa[],MATCH(CONCATENATE(Liste!$C$3,$B$5,$B$119),Data!$BO:$BO,0)-2,10),"")</f>
        <v>Performance Level: PL_Ein1_4</v>
      </c>
      <c r="C124" s="54"/>
      <c r="D124" s="35" t="str">
        <f ca="1">IFERROR(IF(INDEX(Tab_DaBa[],MATCH(CONCATENATE(Liste!$C$3,$B$5,$B$119),Data!$BO:$BO,0)-2,18)="","Performance Level: "&amp;INDEX(Tab_DaBa[],MATCH(CONCATENATE(Liste!$C$3,$B$5,$B$119),Data!$BO:$BO,0)-2,15),"Performance Level: "&amp;INDEX(Tab_DaBa[],MATCH(CONCATENATE(Liste!$C$3,$B$5,$B$119),Data!$BO:$BO,0)-2,20)),"")</f>
        <v>Performance Level: PL_Log01_01_04</v>
      </c>
      <c r="E124" s="36"/>
      <c r="F124" s="35" t="str">
        <f ca="1">IFERROR(IF(AND(INDEX(Tab_DaBa[],MATCH(CONCATENATE(Liste!$C$3,$B$5,$B$119),Data!$BO:$BO,0)-2,18)&lt;&gt;"",INDEX(Tab_DaBa[],MATCH(CONCATENATE(Liste!$C$3,$B$5,$B$119),Data!$BO:$BO,0)-2,23)=""),"Performance Level: "&amp;INDEX(Tab_DaBa[],MATCH(CONCATENATE(Liste!$C$3,$B$5,$B$119),Data!$BO:$BO,0)-2,15),IF(INDEX(Tab_DaBa[],MATCH(CONCATENATE(Liste!$C$3,$B$5,$B$119),Data!$BO:$BO,0)-2,23)&lt;&gt;"","Performance Level: "&amp;INDEX(Tab_DaBa[],MATCH(CONCATENATE(Liste!$C$3,$B$5,$B$119),Data!$BO:$BO,0)-2,25),"")),"")</f>
        <v>Performance Level: PL_Lo02_4</v>
      </c>
      <c r="G124" s="39"/>
      <c r="H124" s="35" t="str">
        <f ca="1">IFERROR(IF(AND(INDEX(Tab_DaBa[],MATCH(CONCATENATE(Liste!$C$3,$B$5,$B$119),Data!$BO:$BO,0)-2,23)&lt;&gt;"",INDEX(Tab_DaBa[],MATCH(CONCATENATE(Liste!$C$3,$B$5,$B$119),Data!$BO:$BO,0)-2,28)=""),"Performance Level: "&amp;INDEX(Tab_DaBa[],MATCH(CONCATENATE(Liste!$C$3,$B$5,$B$119),Data!$BO:$BO,0)-2,15),IF(INDEX(Tab_DaBa[],MATCH(CONCATENATE(Liste!$C$3,$B$5,$B$119),Data!$BO:$BO,0)-2,23)&lt;&gt;"","Performance Level: "&amp;INDEX(Tab_DaBa[],MATCH(CONCATENATE(Liste!$C$3,$B$5,$B$119),Data!$BO:$BO,0)-2,30),"")),"")</f>
        <v>Performance Level: PL_Lo01_4</v>
      </c>
      <c r="I124" s="38"/>
    </row>
    <row r="125" spans="2:9" s="16" customFormat="1" ht="15.75">
      <c r="B125" s="53" t="str">
        <f ca="1">IFERROR("PFH [1/h] = "&amp;10^9*INDEX(Tab_DaBa[],MATCH(CONCATENATE(Liste!$C$3,$B$5,$B$119),Data!$BO:$BO,0)-2,11)&amp;"E-9","")</f>
        <v>PFH [1/h] = 4,9E-9</v>
      </c>
      <c r="C125" s="54"/>
      <c r="D125" s="35" t="str">
        <f ca="1">IFERROR(IF(INDEX(Tab_DaBa[],MATCH(CONCATENATE(Liste!$C$3,$B$5,$B$119),Data!$BO:$BO,0)-2,18)="","PFH [1/h] = "&amp;10^9*INDEX(Tab_DaBa[],MATCH(CONCATENATE(Liste!$C$3,$B$5,$B$119),Data!$BO:$BO,0)-2,16)&amp;"E-9","PFH [1/h] = "&amp;10^9*INDEX(Tab_DaBa[],MATCH(CONCATENATE(Liste!$C$3,$B$5,$B$119),Data!$BO:$BO,0)-2,21)&amp;"E-9"),"")</f>
        <v>PFH [1/h] = 4,198E-9</v>
      </c>
      <c r="E125" s="36"/>
      <c r="F125" s="35" t="str">
        <f ca="1">IFERROR(IF(AND(INDEX(Tab_DaBa[],MATCH(CONCATENATE(Liste!$C$3,$B$5,$B$119),Data!$BO:$BO,0)-2,18)&lt;&gt;"",INDEX(Tab_DaBa[],MATCH(CONCATENATE(Liste!$C$3,$B$5,$B$119),Data!$BO:$BO,0)-2,23)=""),"PFH [1/h] = "&amp;10^9*INDEX(Tab_DaBa[],MATCH(CONCATENATE(Liste!$C$3,$B$5,$B$119),Data!$BO:$BO,0)-2,16)&amp;"E-9",IF(INDEX(Tab_DaBa[],MATCH(CONCATENATE(Liste!$C$3,$B$5,$B$119),Data!$BO:$BO,0)-2,23)&lt;&gt;"","PFH [1/h] = "&amp;10^9*INDEX(Tab_DaBa[],MATCH(CONCATENATE(Liste!$C$3,$B$5,$B$119),Data!$BO:$BO,0)-2,26)&amp;"E-9","")),"")</f>
        <v>PFH [1/h] = 4,195E-9</v>
      </c>
      <c r="G125" s="39"/>
      <c r="H125" s="35" t="str">
        <f ca="1">IFERROR(IF(AND(INDEX(Tab_DaBa[],MATCH(CONCATENATE(Liste!$C$3,$B$5,$B$119),Data!$BO:$BO,0)-2,23)&lt;&gt;"",INDEX(Tab_DaBa[],MATCH(CONCATENATE(Liste!$C$3,$B$5,$B$119),Data!$BO:$BO,0)-2,28)=""),"PFH [1/h] = "&amp;10^9*INDEX(Tab_DaBa[],MATCH(CONCATENATE(Liste!$C$3,$B$5,$B$119),Data!$BO:$BO,0)-2,16)&amp;"E-9",IF(INDEX(Tab_DaBa[],MATCH(CONCATENATE(Liste!$C$3,$B$5,$B$119),Data!$BO:$BO,0)-2,23)&lt;&gt;"","PFH [1/h] = "&amp;10^9*INDEX(Tab_DaBa[],MATCH(CONCATENATE(Liste!$C$3,$B$5,$B$119),Data!$BO:$BO,0)-2,31)&amp;"E-9","")),"")</f>
        <v>PFH [1/h] = 4,19E-9</v>
      </c>
      <c r="I125" s="39"/>
    </row>
    <row r="126" spans="2:9" s="16" customFormat="1">
      <c r="B126" s="33"/>
      <c r="C126" s="34"/>
      <c r="D126" s="33"/>
      <c r="E126" s="33"/>
      <c r="F126" s="33"/>
      <c r="G126" s="33"/>
      <c r="H126" s="33"/>
      <c r="I126" s="33"/>
    </row>
    <row r="127" spans="2:9" s="16" customFormat="1" ht="15.75">
      <c r="B127" s="38">
        <f ca="1">IF(B129="","",6)</f>
        <v>6</v>
      </c>
      <c r="C127" s="34"/>
      <c r="D127" s="38">
        <f ca="1">IF(B129="","",3)</f>
        <v>3</v>
      </c>
      <c r="E127" s="33"/>
      <c r="F127" s="38">
        <f ca="1">IF(B129="","",3)</f>
        <v>3</v>
      </c>
      <c r="G127" s="33"/>
      <c r="H127" s="38">
        <f ca="1">IF(B129="","",3)</f>
        <v>3</v>
      </c>
      <c r="I127" s="33"/>
    </row>
    <row r="128" spans="2:9" s="16" customFormat="1" ht="15.75">
      <c r="B128" s="39"/>
      <c r="C128" s="33"/>
      <c r="D128" s="33"/>
      <c r="E128" s="33"/>
      <c r="F128" s="33"/>
      <c r="G128" s="33"/>
      <c r="H128" s="33"/>
      <c r="I128" s="33"/>
    </row>
    <row r="129" spans="2:9" s="16" customFormat="1" ht="15.75">
      <c r="B129" s="35" t="str">
        <f ca="1">IFERROR(IF(AND(INDEX(Tab_DaBa[],MATCH(CONCATENATE(Liste!$C$3,$B$5,$B$119),Data!$BO:$BO,0)-2,28)&lt;&gt;"",INDEX(Tab_DaBa[],MATCH(CONCATENATE(Liste!$C$3,$B$5,$B$119),Data!$BO:$BO,0)-2,33)=0),INDEX(Tab_DaBa[],MATCH(CONCATENATE(Liste!$C$3,$B$5,$B$119),Data!$BO:$BO,0)-2,14),IF(INDEX(Tab_DaBa[],MATCH(CONCATENATE(Liste!$C$3,$B$5,$B$119),Data!$BO:$BO,0)-2,28)&lt;&gt;"",INDEX(Tab_DaBa[],MATCH(CONCATENATE(Liste!$C$3,$B$5,$B$119),Data!$BO:$BO,0)-2,34),"")),"")</f>
        <v>Logik 04</v>
      </c>
      <c r="C129" s="39"/>
      <c r="D129" s="35" t="str">
        <f ca="1">IFERROR(IF(AND(INDEX(Tab_DaBa[],MATCH(CONCATENATE(Liste!$C$3,$B$5,$B$119),Data!$BO:$BO,0)-2,33)&lt;&gt;"",INDEX(Tab_DaBa[],MATCH(CONCATENATE(Liste!$C$3,$B$5,$B$119),Data!$BO:$BO,0)-2,38)=0),INDEX(Tab_DaBa[],MATCH(CONCATENATE(Liste!$C$3,$B$5,$B$119),Data!$BO:$BO,0)-2,14),IF(INDEX(Tab_DaBa[],MATCH(CONCATENATE(Liste!$C$3,$B$5,$B$119),Data!$BO:$BO,0)-2,33)&lt;&gt;"",INDEX(Tab_DaBa[],MATCH(CONCATENATE(Liste!$C$3,$B$5,$B$119),Data!$BO:$BO,0)-2,39),"")),"")</f>
        <v>Ausgang</v>
      </c>
      <c r="E129" s="33"/>
      <c r="F129" s="35" t="str">
        <f ca="1">IFERROR(IF(AND(INDEX(Tab_DaBa[],MATCH(CONCATENATE(Liste!$C$3,$B$5,$B$119),Data!$BO:$BO,0)-2,38)&lt;&gt;"",INDEX(Tab_DaBa[],MATCH(CONCATENATE(Liste!$C$3,$B$5,$B$119),Data!$BO:$BO,0)-2,43)=0),INDEX(Tab_DaBa[],MATCH(CONCATENATE(Liste!$C$3,$B$5,$B$119),Data!$BO:$BO,0)-2,14),IF(INDEX(Tab_DaBa[],MATCH(CONCATENATE(Liste!$C$3,$B$5,$B$119),Data!$BO:$BO,0)-2,38)&lt;&gt;"",INDEX(Tab_DaBa[],MATCH(CONCATENATE(Liste!$C$3,$B$5,$B$119),Data!$BO:$BO,0)-2,44),"")),"")</f>
        <v/>
      </c>
      <c r="G129" s="39"/>
      <c r="H129" s="35" t="str">
        <f ca="1">IFERROR(IF(AND(INDEX(Tab_DaBa[],MATCH(CONCATENATE(Liste!$C$3,$B$5,$B$119),Data!$BO:$BO,0)-2,43)&lt;&gt;"",INDEX(Tab_DaBa[],MATCH(CONCATENATE(Liste!$C$3,$B$5,$B$119),Data!$BO:$BO,0)-2,48)=0),INDEX(Tab_DaBa[],MATCH(CONCATENATE(Liste!$C$3,$B$5,$B$119),Data!$BO:$BO,0)-2,14),IF(INDEX(Tab_DaBa[],MATCH(CONCATENATE(Liste!$C$3,$B$5,$B$119),Data!$BO:$BO,0)-2,43)&lt;&gt;"",INDEX(Tab_DaBa[],MATCH(CONCATENATE(Liste!$C$3,$B$5,$B$119),Data!$BO:$BO,0)-2,49),"")),"")</f>
        <v/>
      </c>
      <c r="I129" s="39"/>
    </row>
    <row r="130" spans="2:9" s="16" customFormat="1" ht="15.75">
      <c r="B130" s="35" t="str">
        <f ca="1">IFERROR(IF(AND(INDEX(Tab_DaBa[],MATCH(CONCATENATE(Liste!$C$3,$B$5,$B$119),Data!$BO:$BO,0)-2,28)&lt;&gt;"",INDEX(Tab_DaBa[],MATCH(CONCATENATE(Liste!$C$3,$B$5,$B$119),Data!$BO:$BO,0)-2,33)=0),INDEX(Tab_DaBa[],MATCH(CONCATENATE(Liste!$C$3,$B$5,$B$119),Data!$BO:$BO,0)-2,12),IF(INDEX(Tab_DaBa[],MATCH(CONCATENATE(Liste!$C$3,$B$5,$B$119),Data!$BO:$BO,0)-2,28)&lt;&gt;"",INDEX(Tab_DaBa[],MATCH(CONCATENATE(Liste!$C$3,$B$5,$B$119),Data!$BO:$BO,0)-2,32),"")),"")</f>
        <v>Lo01_44_4</v>
      </c>
      <c r="C130" s="39"/>
      <c r="D130" s="35" t="str">
        <f ca="1">IFERROR(IF(AND(INDEX(Tab_DaBa[],MATCH(CONCATENATE(Liste!$C$3,$B$5,$B$119),Data!$BO:$BO,0)-2,33)&lt;&gt;"",INDEX(Tab_DaBa[],MATCH(CONCATENATE(Liste!$C$3,$B$5,$B$119),Data!$BO:$BO,0)-2,38)=0),INDEX(Tab_DaBa[],MATCH(CONCATENATE(Liste!$C$3,$B$5,$B$119),Data!$BO:$BO,0)-2,12),IF(INDEX(Tab_DaBa[],MATCH(CONCATENATE(Liste!$C$3,$B$5,$B$119),Data!$BO:$BO,0)-2,33)&lt;&gt;"",INDEX(Tab_DaBa[],MATCH(CONCATENATE(Liste!$C$3,$B$5,$B$119),Data!$BO:$BO,0)-2,37),"")),"")</f>
        <v>aaaa-11_4</v>
      </c>
      <c r="E130" s="37"/>
      <c r="F130" s="35" t="str">
        <f ca="1">IFERROR(IF(AND(INDEX(Tab_DaBa[],MATCH(CONCATENATE(Liste!$C$3,$B$5,$B$119),Data!$BO:$BO,0)-2,38)&lt;&gt;"",INDEX(Tab_DaBa[],MATCH(CONCATENATE(Liste!$C$3,$B$5,$B$119),Data!$BO:$BO,0)-2,43)=0),INDEX(Tab_DaBa[],MATCH(CONCATENATE(Liste!$C$3,$B$5,$B$119),Data!$BO:$BO,0)-2,12),IF(INDEX(Tab_DaBa[],MATCH(CONCATENATE(Liste!$C$3,$B$5,$B$119),Data!$BO:$BO,0)-2,38)&lt;&gt;"",INDEX(Tab_DaBa[],MATCH(CONCATENATE(Liste!$C$3,$B$5,$B$119),Data!$BO:$BO,0)-2,42),"")),"")</f>
        <v/>
      </c>
      <c r="G130" s="39"/>
      <c r="H130" s="35" t="str">
        <f ca="1">IFERROR(IF(AND(INDEX(Tab_DaBa[],MATCH(CONCATENATE(Liste!$C$3,$B$5,$B$119),Data!$BO:$BO,0)-2,43)&lt;&gt;"",INDEX(Tab_DaBa[],MATCH(CONCATENATE(Liste!$C$3,$B$5,$B$119),Data!$BO:$BO,0)-2,48)=0),INDEX(Tab_DaBa[],MATCH(CONCATENATE(Liste!$C$3,$B$5,$B$119),Data!$BO:$BO,0)-2,12),IF(INDEX(Tab_DaBa[],MATCH(CONCATENATE(Liste!$C$3,$B$5,$B$119),Data!$BO:$BO,0)-2,43)&lt;&gt;"",INDEX(Tab_DaBa[],MATCH(CONCATENATE(Liste!$C$3,$B$5,$B$119),Data!$BO:$BO,0)-2,47),"")),"")</f>
        <v/>
      </c>
      <c r="I130" s="39"/>
    </row>
    <row r="131" spans="2:9" s="16" customFormat="1" ht="15.75">
      <c r="B131" s="35" t="str">
        <f ca="1">IFERROR(IF(AND(INDEX(Tab_DaBa[],MATCH(CONCATENATE(Liste!$C$3,$B$5,$B$119),Data!$BO:$BO,0)-2,28)&lt;&gt;"",INDEX(Tab_DaBa[],MATCH(CONCATENATE(Liste!$C$3,$B$5,$B$119),Data!$BO:$BO,0)-2,33)=""),INDEX(Tab_DaBa[],MATCH(CONCATENATE(Liste!$C$3,$B$5,$B$119),Data!$BO:$BO,0)-2,13),IF(INDEX(Tab_DaBa[],MATCH(CONCATENATE(Liste!$C$3,$B$5,$B$119),Data!$BO:$BO,0)-2,28)&lt;&gt;"",INDEX(Tab_DaBa[],MATCH(CONCATENATE(Liste!$C$3,$B$5,$B$119),Data!$BO:$BO,0)-2,33),"")),"")</f>
        <v>Bez_Lo01_4</v>
      </c>
      <c r="C131" s="38">
        <f ca="1">IF(D129="","",4)</f>
        <v>4</v>
      </c>
      <c r="D131" s="35" t="str">
        <f ca="1">IFERROR(IF(AND(INDEX(Tab_DaBa[],MATCH(CONCATENATE(Liste!$C$3,$B$5,$B$119),Data!$BO:$BO,0)-2,33)&lt;&gt;"",INDEX(Tab_DaBa[],MATCH(CONCATENATE(Liste!$C$3,$B$5,$B$119),Data!$BO:$BO,0)-2,38)=""),INDEX(Tab_DaBa[],MATCH(CONCATENATE(Liste!$C$3,$B$5,$B$119),Data!$BO:$BO,0)-2,13),IF(INDEX(Tab_DaBa[],MATCH(CONCATENATE(Liste!$C$3,$B$5,$B$119),Data!$BO:$BO,0)-2,33)&lt;&gt;"",INDEX(Tab_DaBa[],MATCH(CONCATENATE(Liste!$C$3,$B$5,$B$119),Data!$BO:$BO,0)-2,38),"")),"")</f>
        <v>Bez_Aus4</v>
      </c>
      <c r="E131" s="38" t="str">
        <f ca="1">IF(F129="","",4)</f>
        <v/>
      </c>
      <c r="F131" s="35" t="str">
        <f ca="1">IFERROR(IF(AND(INDEX(Tab_DaBa[],MATCH(CONCATENATE(Liste!$C$3,$B$5,$B$119),Data!$BO:$BO,0)-2,38)&lt;&gt;"",INDEX(Tab_DaBa[],MATCH(CONCATENATE(Liste!$C$3,$B$5,$B$119),Data!$BO:$BO,0)-2,43)=""),INDEX(Tab_DaBa[],MATCH(CONCATENATE(Liste!$C$3,$B$5,$B$119),Data!$BO:$BO,0)-2,13),IF(INDEX(Tab_DaBa[],MATCH(CONCATENATE(Liste!$C$3,$B$5,$B$119),Data!$BO:$BO,0)-2,38)&lt;&gt;"",INDEX(Tab_DaBa[],MATCH(CONCATENATE(Liste!$C$3,$B$5,$B$119),Data!$BO:$BO,0)-2,43),"")),"")</f>
        <v/>
      </c>
      <c r="G131" s="38" t="str">
        <f ca="1">IF(H129="","",4)</f>
        <v/>
      </c>
      <c r="H131" s="35" t="str">
        <f ca="1">IFERROR(IF(AND(INDEX(Tab_DaBa[],MATCH(CONCATENATE(Liste!$C$3,$B$5,$B$119),Data!$BO:$BO,0)-2,43)&lt;&gt;"",INDEX(Tab_DaBa[],MATCH(CONCATENATE(Liste!$C$3,$B$5,$B$119),Data!$BO:$BO,0)-2,48)=""),INDEX(Tab_DaBa[],MATCH(CONCATENATE(Liste!$C$3,$B$5,$B$119),Data!$BO:$BO,0)-2,13),IF(INDEX(Tab_DaBa[],MATCH(CONCATENATE(Liste!$C$3,$B$5,$B$119),Data!$BO:$BO,0)-2,43)&lt;&gt;"",INDEX(Tab_DaBa[],MATCH(CONCATENATE(Liste!$C$3,$B$5,$B$119),Data!$BO:$BO,0)-2,48),"")),"")</f>
        <v/>
      </c>
      <c r="I131" s="38" t="str">
        <f ca="1">IF(B137="","",6)</f>
        <v/>
      </c>
    </row>
    <row r="132" spans="2:9" s="16" customFormat="1" ht="15.75">
      <c r="B132" s="35" t="str">
        <f ca="1">IFERROR(IF(AND(INDEX(Tab_DaBa[],MATCH(CONCATENATE(Liste!$C$3,$B$5,$B$119),Data!$BO:$BO,0)-2,28)&lt;&gt;"",INDEX(Tab_DaBa[],MATCH(CONCATENATE(Liste!$C$3,$B$5,$B$119),Data!$BO:$BO,0)-2,33)=""),"Performance Level: "&amp;INDEX(Tab_DaBa[],MATCH(CONCATENATE(Liste!$C$3,$B$5,$B$119),Data!$BO:$BO,0)-2,15),IF(INDEX(Tab_DaBa[],MATCH(CONCATENATE(Liste!$C$3,$B$5,$B$119),Data!$BO:$BO,0)-2,28)&lt;&gt;"","Performance Level: "&amp;INDEX(Tab_DaBa[],MATCH(CONCATENATE(Liste!$C$3,$B$5,$B$119),Data!$BO:$BO,0)-2,35),"")),"")</f>
        <v>Performance Level: PL_Lo01_4</v>
      </c>
      <c r="C132" s="39"/>
      <c r="D132" s="35" t="str">
        <f ca="1">IFERROR(IF(AND(INDEX(Tab_DaBa[],MATCH(CONCATENATE(Liste!$C$3,$B$5,$B$119),Data!$BO:$BO,0)-2,33)&lt;&gt;"",INDEX(Tab_DaBa[],MATCH(CONCATENATE(Liste!$C$3,$B$5,$B$119),Data!$BO:$BO,0)-2,38)=""),"Performance Level: "&amp;INDEX(Tab_DaBa[],MATCH(CONCATENATE(Liste!$C$3,$B$5,$B$119),Data!$BO:$BO,0)-2,15),IF(INDEX(Tab_DaBa[],MATCH(CONCATENATE(Liste!$C$3,$B$5,$B$119),Data!$BO:$BO,0)-2,33)&lt;&gt;"","Performance Level: "&amp;INDEX(Tab_DaBa[],MATCH(CONCATENATE(Liste!$C$3,$B$5,$B$119),Data!$BO:$BO,0)-2,40),"")),"")</f>
        <v>Performance Level: PL_Aus1_4</v>
      </c>
      <c r="E132" s="37"/>
      <c r="F132" s="35" t="str">
        <f ca="1">IFERROR(IF(AND(INDEX(Tab_DaBa[],MATCH(CONCATENATE(Liste!$C$3,$B$5,$B$119),Data!$BO:$BO,0)-2,38)&lt;&gt;"",INDEX(Tab_DaBa[],MATCH(CONCATENATE(Liste!$C$3,$B$5,$B$119),Data!$BO:$BO,0)-2,43)=""),"Performance Level: "&amp;INDEX(Tab_DaBa[],MATCH(CONCATENATE(Liste!$C$3,$B$5,$B$119),Data!$BO:$BO,0)-2,15),IF(INDEX(Tab_DaBa[],MATCH(CONCATENATE(Liste!$C$3,$B$5,$B$119),Data!$BO:$BO,0)-2,38)&lt;&gt;"","Performance Level: "&amp;INDEX(Tab_DaBa[],MATCH(CONCATENATE(Liste!$C$3,$B$5,$B$119),Data!$BO:$BO,0)-2,45),"")),"")</f>
        <v/>
      </c>
      <c r="G132" s="39"/>
      <c r="H132" s="35" t="str">
        <f ca="1">IFERROR(IF(AND(INDEX(Tab_DaBa[],MATCH(CONCATENATE(Liste!$C$3,$B$5,$B$119),Data!$BO:$BO,0)-2,43)&lt;&gt;"",INDEX(Tab_DaBa[],MATCH(CONCATENATE(Liste!$C$3,$B$5,$B$119),Data!$BO:$BO,0)-2,48)=""),"Performance Level: "&amp;INDEX(Tab_DaBa[],MATCH(CONCATENATE(Liste!$C$3,$B$5,$B$119),Data!$BO:$BO,0)-2,15),IF(INDEX(Tab_DaBa[],MATCH(CONCATENATE(Liste!$C$3,$B$5,$B$119),Data!$BO:$BO,0)-2,43)&lt;&gt;"","Performance Level: "&amp;INDEX(Tab_DaBa[],MATCH(CONCATENATE(Liste!$C$3,$B$5,$B$119),Data!$BO:$BO,0)-2,50),"")),"")</f>
        <v/>
      </c>
      <c r="I132" s="39"/>
    </row>
    <row r="133" spans="2:9" s="16" customFormat="1" ht="15.75">
      <c r="B133" s="35" t="str">
        <f ca="1">IFERROR(IF(AND(INDEX(Tab_DaBa[],MATCH(CONCATENATE(Liste!$C$3,$B$5,$B$119),Data!$BO:$BO,0)-2,28)&lt;&gt;"",INDEX(Tab_DaBa[],MATCH(CONCATENATE(Liste!$C$3,$B$5,$B$119),Data!$BO:$BO,0)-2,33)=""),"PFH [1/h] = "&amp;10^9*INDEX(Tab_DaBa[],MATCH(CONCATENATE(Liste!$C$3,$B$5,$B$119),Data!$BO:$BO,0)-2,16)&amp;"E-9",IF(INDEX(Tab_DaBa[],MATCH(CONCATENATE(Liste!$C$3,$B$5,$B$119),Data!$BO:$BO,0)-2,28)&lt;&gt;"","PFH [1/h] = "&amp;10^9*INDEX(Tab_DaBa[],MATCH(CONCATENATE(Liste!$C$3,$B$5,$B$119),Data!$BO:$BO,0)-2,36)&amp;"E-9","")),"")</f>
        <v>PFH [1/h] = 4,19E-9</v>
      </c>
      <c r="C133" s="39"/>
      <c r="D133" s="35" t="str">
        <f ca="1">IFERROR(IF(AND(INDEX(Tab_DaBa[],MATCH(CONCATENATE(Liste!$C$3,$B$5,$B$119),Data!$BO:$BO,0)-2,33)&lt;&gt;"",INDEX(Tab_DaBa[],MATCH(CONCATENATE(Liste!$C$3,$B$5,$B$119),Data!$BO:$BO,0)-2,38)=""),"PFH [1/h] = "&amp;10^9*INDEX(Tab_DaBa[],MATCH(CONCATENATE(Liste!$C$3,$B$5,$B$119),Data!$BO:$BO,0)-2,16)&amp;"E-9",IF(INDEX(Tab_DaBa[],MATCH(CONCATENATE(Liste!$C$3,$B$5,$B$119),Data!$BO:$BO,0)-2,33)&lt;&gt;"","PFH [1/h] = "&amp;10^9*INDEX(Tab_DaBa[],MATCH(CONCATENATE(Liste!$C$3,$B$5,$B$119),Data!$BO:$BO,0)-2,41)&amp;"E-9","")),"")</f>
        <v>PFH [1/h] = 44,7E-9</v>
      </c>
      <c r="E133" s="37"/>
      <c r="F133" s="35" t="str">
        <f ca="1">IFERROR(IF(AND(INDEX(Tab_DaBa[],MATCH(CONCATENATE(Liste!$C$3,$B$5,$B$119),Data!$BO:$BO,0)-2,38)&lt;&gt;"",INDEX(Tab_DaBa[],MATCH(CONCATENATE(Liste!$C$3,$B$5,$B$119),Data!$BO:$BO,0)-2,43)=""),"PFH [1/h] = "&amp;10^9*INDEX(Tab_DaBa[],MATCH(CONCATENATE(Liste!$C$3,$B$5,$B$119),Data!$BO:$BO,0)-2,16)&amp;"E-9",IF(INDEX(Tab_DaBa[],MATCH(CONCATENATE(Liste!$C$3,$B$5,$B$119),Data!$BO:$BO,0)-2,38)&lt;&gt;"","PFH [1/h] = "&amp;10^9*INDEX(Tab_DaBa[],MATCH(CONCATENATE(Liste!$C$3,$B$5,$B$119),Data!$BO:$BO,0)-2,46)&amp;"E-9","")),"")</f>
        <v/>
      </c>
      <c r="G133" s="39"/>
      <c r="H133" s="35" t="str">
        <f ca="1">IFERROR(IF(AND(INDEX(Tab_DaBa[],MATCH(CONCATENATE(Liste!$C$3,$B$5,$B$119),Data!$BO:$BO,0)-2,43)&lt;&gt;"",INDEX(Tab_DaBa[],MATCH(CONCATENATE(Liste!$C$3,$B$5,$B$119),Data!$BO:$BO,0)-2,48)=""),"PFH [1/h] = "&amp;10^9*INDEX(Tab_DaBa[],MATCH(CONCATENATE(Liste!$C$3,$B$5,$B$119),Data!$BO:$BO,0)-2,16)&amp;"E-9",IF(INDEX(Tab_DaBa[],MATCH(CONCATENATE(Liste!$C$3,$B$5,$B$119),Data!$BO:$BO,0)-2,43)&lt;&gt;"","PFH [1/h] = "&amp;10^9*INDEX(Tab_DaBa[],MATCH(CONCATENATE(Liste!$C$3,$B$5,$B$119),Data!$BO:$BO,0)-2,51)&amp;"E-9","")),"")</f>
        <v/>
      </c>
      <c r="I133" s="39"/>
    </row>
    <row r="134" spans="2:9" s="16" customFormat="1">
      <c r="B134" s="33"/>
      <c r="C134" s="33"/>
      <c r="D134" s="33"/>
      <c r="E134" s="33"/>
      <c r="F134" s="33"/>
      <c r="G134" s="33"/>
      <c r="H134" s="33"/>
      <c r="I134" s="33"/>
    </row>
    <row r="135" spans="2:9" s="16" customFormat="1" ht="15.75">
      <c r="B135" s="38" t="str">
        <f ca="1">IF(B137="","",6)</f>
        <v/>
      </c>
      <c r="C135" s="33"/>
      <c r="D135" s="38" t="str">
        <f ca="1">IF(B137="","",3)</f>
        <v/>
      </c>
      <c r="E135" s="33"/>
      <c r="F135" s="38" t="str">
        <f ca="1">IF(B137="","",3)</f>
        <v/>
      </c>
      <c r="G135" s="33"/>
      <c r="H135" s="38" t="str">
        <f ca="1">IF(B137="","",3)</f>
        <v/>
      </c>
      <c r="I135" s="33"/>
    </row>
    <row r="136" spans="2:9" s="16" customFormat="1" ht="15.75">
      <c r="B136" s="39"/>
      <c r="C136" s="33"/>
      <c r="D136" s="33"/>
      <c r="E136" s="33"/>
      <c r="F136" s="33"/>
      <c r="G136" s="33"/>
      <c r="H136" s="33"/>
      <c r="I136" s="33"/>
    </row>
    <row r="137" spans="2:9" s="16" customFormat="1" ht="15.75">
      <c r="B137" s="35" t="str">
        <f ca="1">IFERROR(IF(AND(INDEX(Tab_DaBa[],MATCH(CONCATENATE(Liste!$C$3,$B$5,$B$119),Data!$BO:$BO,0)-2,48)&lt;&gt;"",INDEX(Tab_DaBa[],MATCH(CONCATENATE(Liste!$C$3,$B$5,$B$119),Data!$BO:$BO,0)-2,53)=0),INDEX(Tab_DaBa[],MATCH(CONCATENATE(Liste!$C$3,$B$5,$B$119),Data!$BO:$BO,0)-2,14),IF(INDEX(Tab_DaBa[],MATCH(CONCATENATE(Liste!$C$3,$B$5,$B$119),Data!$BO:$BO,0)-2,48)&lt;&gt;"",INDEX(Tab_DaBa[],MATCH(CONCATENATE(Liste!$C$3,$B$5,$B$119),Data!$BO:$BO,0)-2,54),"")),"")</f>
        <v/>
      </c>
      <c r="C137" s="39"/>
      <c r="D137" s="35" t="str">
        <f ca="1">IFERROR(IF(AND(INDEX(Tab_DaBa[],MATCH(CONCATENATE(Liste!$C$3,$B$5,$B$119),Data!$BO:$BO,0)-2,53)&lt;&gt;"",INDEX(Tab_DaBa[],MATCH(CONCATENATE(Liste!$C$3,$B$5,$B$119),Data!$BO:$BO,0)-2,58)=0),INDEX(Tab_DaBa[],MATCH(CONCATENATE(Liste!$C$3,$B$5,$B$119),Data!$BO:$BO,0)-2,14),IF(INDEX(Tab_DaBa[],MATCH(CONCATENATE(Liste!$C$3,$B$5,$B$119),Data!$BO:$BO,0)-2,53)&lt;&gt;"",INDEX(Tab_DaBa[],MATCH(CONCATENATE(Liste!$C$3,$B$5,$B$119),Data!$BO:$BO,0)-2,59),"")),"")</f>
        <v/>
      </c>
      <c r="E137" s="33"/>
      <c r="F137" s="35" t="str">
        <f ca="1">IFERROR(IF(AND(INDEX(Tab_DaBa[],MATCH(CONCATENATE(Liste!$C$3,$B$5,$B$119),Data!$BO:$BO,0)-2,58)&lt;&gt;"",INDEX(Tab_DaBa[],MATCH(CONCATENATE(Liste!$C$3,$B$5,$B$119),Data!$BO:$BO,0)-2,63)=0),INDEX(Tab_DaBa[],MATCH(CONCATENATE(Liste!$C$3,$B$5,$B$119),Data!$BO:$BO,0)-2,14),IF(INDEX(Tab_DaBa[],MATCH(CONCATENATE(Liste!$C$3,$B$5,$B$119),Data!$BO:$BO,0)-2,58)&lt;&gt;"",INDEX(Tab_DaBa[],MATCH(CONCATENATE(Liste!$C$3,$B$5,$B$119),Data!$BO:$BO,0)-2,64),"")),"")</f>
        <v/>
      </c>
      <c r="G137" s="39"/>
      <c r="H137" s="35" t="str">
        <f ca="1">IFERROR(IF(INDEX(Tab_DaBa[],MATCH(CONCATENATE(Liste!$C$3,$B$5,$B$119),Data!$BO:$BO,0)-2,63)&lt;&gt;"",INDEX(Tab_DaBa[],MATCH(CONCATENATE(Liste!$C$3,$B$5,$B$119),Data!$BO:$BO,0)-2,14),""),"")</f>
        <v/>
      </c>
    </row>
    <row r="138" spans="2:9" s="16" customFormat="1" ht="15.75">
      <c r="B138" s="35" t="str">
        <f ca="1">IFERROR(IF(AND(INDEX(Tab_DaBa[],MATCH(CONCATENATE(Liste!$C$3,$B$5,$B$119),Data!$BO:$BO,0)-2,48)&lt;&gt;"",INDEX(Tab_DaBa[],MATCH(CONCATENATE(Liste!$C$3,$B$5,$B$119),Data!$BO:$BO,0)-2,53)=0),INDEX(Tab_DaBa[],MATCH(CONCATENATE(Liste!$C$3,$B$5,$B$119),Data!$BO:$BO,0)-2,12),IF(INDEX(Tab_DaBa[],MATCH(CONCATENATE(Liste!$C$3,$B$5,$B$119),Data!$BO:$BO,0)-2,48)&lt;&gt;"",INDEX(Tab_DaBa[],MATCH(CONCATENATE(Liste!$C$3,$B$5,$B$119),Data!$BO:$BO,0)-2,52),"")),"")</f>
        <v/>
      </c>
      <c r="C138" s="39"/>
      <c r="D138" s="35" t="str">
        <f ca="1">IFERROR(IF(AND(INDEX(Tab_DaBa[],MATCH(CONCATENATE(Liste!$C$3,$B$5,$B$119),Data!$BO:$BO,0)-2,53)&lt;&gt;"",INDEX(Tab_DaBa[],MATCH(CONCATENATE(Liste!$C$3,$B$5,$B$119),Data!$BO:$BO,0)-2,58)=0),INDEX(Tab_DaBa[],MATCH(CONCATENATE(Liste!$C$3,$B$5,$B$119),Data!$BO:$BO,0)-2,12),IF(INDEX(Tab_DaBa[],MATCH(CONCATENATE(Liste!$C$3,$B$5,$B$119),Data!$BO:$BO,0)-2,53)&lt;&gt;"",INDEX(Tab_DaBa[],MATCH(CONCATENATE(Liste!$C$3,$B$5,$B$119),Data!$BO:$BO,0)-2,57),"")),"")</f>
        <v/>
      </c>
      <c r="E138" s="37"/>
      <c r="F138" s="35" t="str">
        <f ca="1">IFERROR(IF(AND(INDEX(Tab_DaBa[],MATCH(CONCATENATE(Liste!$C$3,$B$5,$B$119),Data!$BO:$BO,0)-2,58)&lt;&gt;"",INDEX(Tab_DaBa[],MATCH(CONCATENATE(Liste!$C$3,$B$5,$B$119),Data!$BO:$BO,0)-2,63)=0),INDEX(Tab_DaBa[],MATCH(CONCATENATE(Liste!$C$3,$B$5,$B$119),Data!$BO:$BO,0)-2,12),IF(INDEX(Tab_DaBa[],MATCH(CONCATENATE(Liste!$C$3,$B$5,$B$119),Data!$BO:$BO,0)-2,58)&lt;&gt;"",INDEX(Tab_DaBa[],MATCH(CONCATENATE(Liste!$C$3,$B$5,$B$119),Data!$BO:$BO,0)-2,62),"")),"")</f>
        <v/>
      </c>
      <c r="G138" s="39"/>
      <c r="H138" s="35" t="str">
        <f ca="1">IFERROR(IF(INDEX(Tab_DaBa[],MATCH(CONCATENATE(Liste!$C$3,$B$5,$B$119),Data!$BO:$BO,0)-2,63)&lt;&gt;"",INDEX(Tab_DaBa[],MATCH(CONCATENATE(Liste!$C$3,$B$5,$B$119),Data!$BO:$BO,0)-2,12),""),"")</f>
        <v/>
      </c>
    </row>
    <row r="139" spans="2:9" s="16" customFormat="1" ht="15.75">
      <c r="B139" s="35" t="str">
        <f ca="1">IFERROR(IF(AND(INDEX(Tab_DaBa[],MATCH(CONCATENATE(Liste!$C$3,$B$5,$B$119),Data!$BO:$BO,0)-2,48)&lt;&gt;"",INDEX(Tab_DaBa[],MATCH(CONCATENATE(Liste!$C$3,$B$5,$B$119),Data!$BO:$BO,0)-2,53)=""),INDEX(Tab_DaBa[],MATCH(CONCATENATE(Liste!$C$3,$B$5,$B$119),Data!$BO:$BO,0)-2,13),IF(INDEX(Tab_DaBa[],MATCH(CONCATENATE(Liste!$C$3,$B$5,$B$119),Data!$BO:$BO,0)-2,48)&lt;&gt;"",INDEX(Tab_DaBa[],MATCH(CONCATENATE(Liste!$C$3,$B$5,$B$119),Data!$BO:$BO,0)-2,53),"")),"")</f>
        <v/>
      </c>
      <c r="C139" s="38" t="str">
        <f ca="1">IF(D137="","",4)</f>
        <v/>
      </c>
      <c r="D139" s="35" t="str">
        <f ca="1">IFERROR(IF(AND(INDEX(Tab_DaBa[],MATCH(CONCATENATE(Liste!$C$3,$B$5,$B$119),Data!$BO:$BO,0)-2,53)&lt;&gt;"",INDEX(Tab_DaBa[],MATCH(CONCATENATE(Liste!$C$3,$B$5,$B$119),Data!$BO:$BO,0)-2,58)=""),INDEX(Tab_DaBa[],MATCH(CONCATENATE(Liste!$C$3,$B$5,$B$119),Data!$BO:$BO,0)-2,13),IF(INDEX(Tab_DaBa[],MATCH(CONCATENATE(Liste!$C$3,$B$5,$B$119),Data!$BO:$BO,0)-2,53)&lt;&gt;"",INDEX(Tab_DaBa[],MATCH(CONCATENATE(Liste!$C$3,$B$5,$B$119),Data!$BO:$BO,0)-2,58),"")),"")</f>
        <v/>
      </c>
      <c r="E139" s="38" t="str">
        <f ca="1">IF(F137="","",4)</f>
        <v/>
      </c>
      <c r="F139" s="35" t="str">
        <f ca="1">IFERROR(IF(AND(INDEX(Tab_DaBa[],MATCH(CONCATENATE(Liste!$C$3,$B$5,$B$119),Data!$BO:$BO,0)-2,58)&lt;&gt;"",INDEX(Tab_DaBa[],MATCH(CONCATENATE(Liste!$C$3,$B$5,$B$119),Data!$BO:$BO,0)-2,63)=""),INDEX(Tab_DaBa[],MATCH(CONCATENATE(Liste!$C$3,$B$5,$B$119),Data!$BO:$BO,0)-2,13),IF(INDEX(Tab_DaBa[],MATCH(CONCATENATE(Liste!$C$3,$B$5,$B$119),Data!$BO:$BO,0)-2,58)&lt;&gt;"",INDEX(Tab_DaBa[],MATCH(CONCATENATE(Liste!$C$3,$B$5,$B$119),Data!$BO:$BO,0)-2,63),"")),"")</f>
        <v/>
      </c>
      <c r="G139" s="38" t="str">
        <f ca="1">IF(H137="","",4)</f>
        <v/>
      </c>
      <c r="H139" s="35" t="str">
        <f ca="1">IFERROR(IF(INDEX(Tab_DaBa[],MATCH(CONCATENATE(Liste!$C$3,$B$5,$B$119),Data!$BO:$BO,0)-2,63)&lt;&gt;"",INDEX(Tab_DaBa[],MATCH(CONCATENATE(Liste!$C$3,$B$5,$B$119),Data!$BO:$BO,0)-2,13),""),"")</f>
        <v/>
      </c>
    </row>
    <row r="140" spans="2:9" s="16" customFormat="1" ht="15.75">
      <c r="B140" s="35" t="str">
        <f ca="1">IFERROR(IF(AND(INDEX(Tab_DaBa[],MATCH(CONCATENATE(Liste!$C$3,$B$5,$B$119),Data!$BO:$BO,0)-2,48)&lt;&gt;"",INDEX(Tab_DaBa[],MATCH(CONCATENATE(Liste!$C$3,$B$5,$B$119),Data!$BO:$BO,0)-2,53)=""),"Performance Level: "&amp;INDEX(Tab_DaBa[],MATCH(CONCATENATE(Liste!$C$3,$B$5,$B$119),Data!$BO:$BO,0)-2,15),IF(INDEX(Tab_DaBa[],MATCH(CONCATENATE(Liste!$C$3,$B$5,$B$119),Data!$BO:$BO,0)-2,48)&lt;&gt;"","Performance Level: "&amp;INDEX(Tab_DaBa[],MATCH(CONCATENATE(Liste!$C$3,$B$5,$B$119),Data!$BO:$BO,0)-2,55),"")),"")</f>
        <v/>
      </c>
      <c r="C140" s="39"/>
      <c r="D140" s="35" t="str">
        <f ca="1">IFERROR(IF(AND(INDEX(Tab_DaBa[],MATCH(CONCATENATE(Liste!$C$3,$B$5,$B$119),Data!$BO:$BO,0)-2,53)&lt;&gt;"",INDEX(Tab_DaBa[],MATCH(CONCATENATE(Liste!$C$3,$B$5,$B$119),Data!$BO:$BO,0)-2,58)=""),"Performance Level: "&amp;INDEX(Tab_DaBa[],MATCH(CONCATENATE(Liste!$C$3,$B$5,$B$119),Data!$BO:$BO,0)-2,15),IF(INDEX(Tab_DaBa[],MATCH(CONCATENATE(Liste!$C$3,$B$5,$B$119),Data!$BO:$BO,0)-2,53)&lt;&gt;"","Performance Level: "&amp;INDEX(Tab_DaBa[],MATCH(CONCATENATE(Liste!$C$3,$B$5,$B$119),Data!$BO:$BO,0)-2,60),"")),"")</f>
        <v/>
      </c>
      <c r="E140" s="37"/>
      <c r="F140" s="35" t="str">
        <f ca="1">IFERROR(IF(AND(INDEX(Tab_DaBa[],MATCH(CONCATENATE(Liste!$C$3,$B$5,$B$119),Data!$BO:$BO,0)-2,58)&lt;&gt;"",INDEX(Tab_DaBa[],MATCH(CONCATENATE(Liste!$C$3,$B$5,$B$119),Data!$BO:$BO,0)-2,63)=""),"Performance Level: "&amp;INDEX(Tab_DaBa[],MATCH(CONCATENATE(Liste!$C$3,$B$5,$B$119),Data!$BO:$BO,0)-2,15),IF(INDEX(Tab_DaBa[],MATCH(CONCATENATE(Liste!$C$3,$B$5,$B$119),Data!$BO:$BO,0)-2,58)&lt;&gt;"","Performance Level: "&amp;INDEX(Tab_DaBa[],MATCH(CONCATENATE(Liste!$C$3,$B$5,$B$119),Data!$BO:$BO,0)-2,65),"")),"")</f>
        <v/>
      </c>
      <c r="G140" s="39"/>
      <c r="H140" s="35" t="str">
        <f ca="1">IFERROR(IF(INDEX(Tab_DaBa[],MATCH(CONCATENATE(Liste!$C$3,$B$5,$B$119),Data!$BO:$BO,0)-2,63)&lt;&gt;"","Performance Level: "&amp;INDEX(Tab_DaBa[],MATCH(CONCATENATE(Liste!$C$3,$B$5,$B$119),Data!$BO:$BO,0)-2,15),""),"")</f>
        <v/>
      </c>
    </row>
    <row r="141" spans="2:9" s="16" customFormat="1" ht="15.75">
      <c r="B141" s="35" t="str">
        <f ca="1">IFERROR(IF(AND(INDEX(Tab_DaBa[],MATCH(CONCATENATE(Liste!$C$3,$B$5,$B$119),Data!$BO:$BO,0)-2,48)&lt;&gt;"",INDEX(Tab_DaBa[],MATCH(CONCATENATE(Liste!$C$3,$B$5,$B$119),Data!$BO:$BO,0)-2,53)=""),"PFH [1/h] = "&amp;10^9*INDEX(Tab_DaBa[],MATCH(CONCATENATE(Liste!$C$3,$B$5,$B$119),Data!$BO:$BO,0)-2,16)&amp;"E-9",IF(INDEX(Tab_DaBa[],MATCH(CONCATENATE(Liste!$C$3,$B$5,$B$119),Data!$BO:$BO,0)-2,48)&lt;&gt;"","PFH [1/h] = "&amp;10^9*INDEX(Tab_DaBa[],MATCH(CONCATENATE(Liste!$C$3,$B$5,$B$119),Data!$BO:$BO,0)-2,56)&amp;"E-9","")),"")</f>
        <v/>
      </c>
      <c r="C141" s="39"/>
      <c r="D141" s="35" t="str">
        <f ca="1">IFERROR(IF(AND(INDEX(Tab_DaBa[],MATCH(CONCATENATE(Liste!$C$3,$B$5,$B$119),Data!$BO:$BO,0)-2,53)&lt;&gt;"",INDEX(Tab_DaBa[],MATCH(CONCATENATE(Liste!$C$3,$B$5,$B$119),Data!$BO:$BO,0)-2,58)=""),"PFH [1/h] = "&amp;10^9*INDEX(Tab_DaBa[],MATCH(CONCATENATE(Liste!$C$3,$B$5,$B$119),Data!$BO:$BO,0)-2,16)&amp;"E-9",IF(INDEX(Tab_DaBa[],MATCH(CONCATENATE(Liste!$C$3,$B$5,$B$119),Data!$BO:$BO,0)-2,53)&lt;&gt;"","PFH [1/h] = "&amp;10^9*INDEX(Tab_DaBa[],MATCH(CONCATENATE(Liste!$C$3,$B$5,$B$119),Data!$BO:$BO,0)-2,61)&amp;"E-9","")),"")</f>
        <v/>
      </c>
      <c r="E141" s="37"/>
      <c r="F141" s="35" t="str">
        <f ca="1">IFERROR(IF(AND(INDEX(Tab_DaBa[],MATCH(CONCATENATE(Liste!$C$3,$B$5,$B$119),Data!$BO:$BO,0)-2,58)&lt;&gt;"",INDEX(Tab_DaBa[],MATCH(CONCATENATE(Liste!$C$3,$B$5,$B$119),Data!$BO:$BO,0)-2,63)=""),"PFH [1/h] = "&amp;10^9*INDEX(Tab_DaBa[],MATCH(CONCATENATE(Liste!$C$3,$B$5,$B$119),Data!$BO:$BO,0)-2,16)&amp;"E-9",IF(INDEX(Tab_DaBa[],MATCH(CONCATENATE(Liste!$C$3,$B$5,$B$119),Data!$BO:$BO,0)-2,58)&lt;&gt;"","PFH [1/h] = "&amp;10^9*INDEX(Tab_DaBa[],MATCH(CONCATENATE(Liste!$C$3,$B$5,$B$119),Data!$BO:$BO,0)-2,66)&amp;"E-9","")),"")</f>
        <v/>
      </c>
      <c r="G141" s="39"/>
      <c r="H141" s="35" t="str">
        <f ca="1">IFERROR(IF(INDEX(Tab_DaBa[],MATCH(CONCATENATE(Liste!$C$3,$B$5,$B$119),Data!$BO:$BO,0)-2,63)&lt;&gt;"","PFH [1/h] = "&amp;10^9*INDEX(Tab_DaBa[],MATCH(CONCATENATE(Liste!$C$3,$B$5,$B$119),Data!$BO:$BO,0)-2,16)&amp;"E-9",""),"")</f>
        <v/>
      </c>
    </row>
    <row r="142" spans="2:9" s="16" customFormat="1"/>
    <row r="143" spans="2:9" s="16" customFormat="1">
      <c r="B143" s="43" t="str">
        <f ca="1">IF(D143="","","Erforderlich")</f>
        <v>Erforderlich</v>
      </c>
      <c r="D143" s="44" t="str">
        <f ca="1">IFERROR("Performance Level: "&amp;INDEX(Tab_DaBa[],MATCH(CONCATENATE(Liste!$C$3,$B$5,$B$119),Data!$BO:$BO,0)-2,4),"")</f>
        <v>Performance Level: PLr_ges1_4</v>
      </c>
    </row>
    <row r="144" spans="2:9" s="16" customFormat="1">
      <c r="B144" s="45"/>
    </row>
    <row r="145" spans="2:9" s="16" customFormat="1">
      <c r="B145" s="46" t="str">
        <f ca="1">IF(D145="","","Erreicht")</f>
        <v>Erreicht</v>
      </c>
      <c r="D145" s="47" t="str">
        <f ca="1">IFERROR("Performance Level: "&amp;INDEX(Tab_DaBa[],MATCH(CONCATENATE(Liste!$C$3,$B$5,$B$119),Data!$BO:$BO,0)-2,5)&amp;"          PFH [1/h] = "&amp;10^9*INDEX(Tab_DaBa[],MATCH(CONCATENATE(Liste!$C$3,$B$5,$B$119),Data!$BO:$BO,0)-2,6)&amp;"E-9","")</f>
        <v>Performance Level: Pl_ges1_4          PFH [1/h] = 0,47E-9</v>
      </c>
    </row>
    <row r="146" spans="2:9" s="16" customFormat="1">
      <c r="B146" s="50"/>
      <c r="D146" s="51"/>
    </row>
    <row r="147" spans="2:9" s="16" customFormat="1">
      <c r="B147" s="42" t="str">
        <f ca="1">IFERROR(IF(6&gt;COUNTIF(Data!$BP:$BP,CONCATENATE(Liste!$C$3,$B$5)),"",INDEX(Tab_DaBa[],MATCH(CONCATENATE(Liste!$C$3,$B$5),Data!$BP:$BP,0)+3,3)),"")</f>
        <v>1.5 test1 (E+5L+A)</v>
      </c>
    </row>
    <row r="148" spans="2:9" s="16" customFormat="1"/>
    <row r="149" spans="2:9" s="16" customFormat="1" ht="15.75">
      <c r="B149" s="35" t="str">
        <f ca="1">IFERROR(INDEX(Tab_DaBa[],MATCH(CONCATENATE(Liste!$C$3,$B$5,$B$147),Data!$BO:$BO,0)-2,9),"")</f>
        <v>Eingang</v>
      </c>
      <c r="C149" s="54"/>
      <c r="D149" s="35" t="str">
        <f ca="1">IFERROR(IF(INDEX(Tab_DaBa[],MATCH(CONCATENATE(Liste!$C$3,$B$5,$B$147),Data!$BO:$BO,0)-2,18)=0,INDEX(Tab_DaBa[],MATCH(CONCATENATE(Liste!$C$3,$B$5,$B$147),Data!$BO:$BO,0)-2,14),INDEX(Tab_DaBa[],MATCH(CONCATENATE(Liste!$C$3,$B$5,$B$147),Data!$BO:$BO,0)-2,19)),"")</f>
        <v>Logik 01</v>
      </c>
      <c r="E149" s="33"/>
      <c r="F149" s="35" t="str">
        <f ca="1">IFERROR(IF(AND(INDEX(Tab_DaBa[],MATCH(CONCATENATE(Liste!$C$3,$B$5,$B$147),Data!$BO:$BO,0)-2,18)&lt;&gt;"",INDEX(Tab_DaBa[],MATCH(CONCATENATE(Liste!$C$3,$B$5,$B$147),Data!$BO:$BO,0)-2,23)=0),INDEX(Tab_DaBa[],MATCH(CONCATENATE(Liste!$C$3,$B$5,$B$147),Data!$BO:$BO,0)-2,14),IF(INDEX(Tab_DaBa[],MATCH(CONCATENATE(Liste!$C$3,$B$5,$B$147),Data!$BO:$BO,0)-2,23)&lt;&gt;"",INDEX(Tab_DaBa[],MATCH(CONCATENATE(Liste!$C$3,$B$5,$B$147),Data!$BO:$BO,0)-2,24),"")),"")</f>
        <v>Logik 02</v>
      </c>
      <c r="G149" s="39"/>
      <c r="H149" s="35" t="str">
        <f ca="1">IFERROR(IF(AND(INDEX(Tab_DaBa[],MATCH(CONCATENATE(Liste!$C$3,$B$5,$B$147),Data!$BO:$BO,0)-2,23)&lt;&gt;"",INDEX(Tab_DaBa[],MATCH(CONCATENATE(Liste!$C$3,$B$5,$B$147),Data!$BO:$BO,0)-2,28)=0),INDEX(Tab_DaBa[],MATCH(CONCATENATE(Liste!$C$3,$B$5,$B$147),Data!$BO:$BO,0)-2,14),IF(INDEX(Tab_DaBa[],MATCH(CONCATENATE(Liste!$C$3,$B$5,$B$147),Data!$BO:$BO,0)-2,23)&lt;&gt;"",INDEX(Tab_DaBa[],MATCH(CONCATENATE(Liste!$C$3,$B$5,$B$147),Data!$BO:$BO,0)-2,29),"")),"")</f>
        <v>Logik 03</v>
      </c>
      <c r="I149" s="39"/>
    </row>
    <row r="150" spans="2:9" s="16" customFormat="1" ht="15.75">
      <c r="B150" s="35" t="str">
        <f ca="1">IFERROR(INDEX(Tab_DaBa[],MATCH(CONCATENATE(Liste!$C$3,$B$5,$B$147),Data!$BO:$BO,0)-2,7),"")</f>
        <v>eeee-11_5</v>
      </c>
      <c r="C150" s="54"/>
      <c r="D150" s="35" t="str">
        <f ca="1">IFERROR(IF(INDEX(Tab_DaBa[],MATCH(CONCATENATE(Liste!$C$3,$B$5,$B$147),Data!$BO:$BO,0)-2,18)="",INDEX(Tab_DaBa[],MATCH(CONCATENATE(Liste!$C$3,$B$5,$B$147),Data!$BO:$BO,0)-2,12),INDEX(Tab_DaBa[],MATCH(CONCATENATE(Liste!$C$3,$B$5,$B$147),Data!$BO:$BO,0)-2,17)),"")</f>
        <v>Log01-01_05</v>
      </c>
      <c r="E150" s="36"/>
      <c r="F150" s="35" t="str">
        <f ca="1">IFERROR(IF(AND(INDEX(Tab_DaBa[],MATCH(CONCATENATE(Liste!$C$3,$B$5,$B$147),Data!$BO:$BO,0)-2,18)&lt;&gt;"",INDEX(Tab_DaBa[],MATCH(CONCATENATE(Liste!$C$3,$B$5,$B$147),Data!$BO:$BO,0)-2,23)=0),INDEX(Tab_DaBa[],MATCH(CONCATENATE(Liste!$C$3,$B$5,$B$147),Data!$BO:$BO,0)-2,12),IF(INDEX(Tab_DaBa[],MATCH(CONCATENATE(Liste!$C$3,$B$5,$B$147),Data!$BO:$BO,0)-2,23)&lt;&gt;"",INDEX(Tab_DaBa[],MATCH(CONCATENATE(Liste!$C$3,$B$5,$B$147),Data!$BO:$BO,0)-2,22),"")),"")</f>
        <v>Lo01-22_5</v>
      </c>
      <c r="G150" s="39"/>
      <c r="H150" s="35" t="str">
        <f ca="1">IFERROR(IF(AND(INDEX(Tab_DaBa[],MATCH(CONCATENATE(Liste!$C$3,$B$5,$B$147),Data!$BO:$BO,0)-2,23)&lt;&gt;"",INDEX(Tab_DaBa[],MATCH(CONCATENATE(Liste!$C$3,$B$5,$B$147),Data!$BO:$BO,0)-2,28)=0),INDEX(Tab_DaBa[],MATCH(CONCATENATE(Liste!$C$3,$B$5,$B$147),Data!$BO:$BO,0)-2,12),IF(INDEX(Tab_DaBa[],MATCH(CONCATENATE(Liste!$C$3,$B$5,$B$147),Data!$BO:$BO,0)-2,23)&lt;&gt;"",INDEX(Tab_DaBa[],MATCH(CONCATENATE(Liste!$C$3,$B$5,$B$147),Data!$BO:$BO,0)-2,27),"")),"")</f>
        <v>Lo01-33_5</v>
      </c>
      <c r="I150" s="39"/>
    </row>
    <row r="151" spans="2:9" s="16" customFormat="1" ht="15.75">
      <c r="B151" s="35" t="str">
        <f ca="1">IFERROR(INDEX(Tab_DaBa[],MATCH(CONCATENATE(Liste!$C$3,$B$5,$B$147),Data!$BO:$BO,0)-2,8),"")</f>
        <v>Bez_Ein1_5</v>
      </c>
      <c r="C151" s="40">
        <f ca="1">IF(D149="","",4)</f>
        <v>4</v>
      </c>
      <c r="D151" s="35" t="str">
        <f ca="1">IFERROR(IF(INDEX(Tab_DaBa[],MATCH(CONCATENATE(Liste!$C$3,$B$5,$B$147),Data!$BO:$BO,0)-2,18)="",INDEX(Tab_DaBa[],MATCH(CONCATENATE(Liste!$C$3,$B$5,$B$147),Data!$BO:$BO,0)-2,13),INDEX(Tab_DaBa[],MATCH(CONCATENATE(Liste!$C$3,$B$5,$B$147),Data!$BO:$BO,0)-2,18)),"")</f>
        <v>Bez_Log01_01_05</v>
      </c>
      <c r="E151" s="40">
        <f ca="1">IF(F149="","",4)</f>
        <v>4</v>
      </c>
      <c r="F151" s="35" t="str">
        <f ca="1">IFERROR(IF(AND(INDEX(Tab_DaBa[],MATCH(CONCATENATE(Liste!$C$3,$B$5,$B$147),Data!$BO:$BO,0)-2,18)&lt;&gt;"",INDEX(Tab_DaBa[],MATCH(CONCATENATE(Liste!$C$3,$B$5,$B$147),Data!$BO:$BO,0)-2,23)=""),INDEX(Tab_DaBa[],MATCH(CONCATENATE(Liste!$C$3,$B$5,$B$147),Data!$BO:$BO,0)-2,13),IF(INDEX(Tab_DaBa[],MATCH(CONCATENATE(Liste!$C$3,$B$5,$B$147),Data!$BO:$BO,0)-2,23)&lt;&gt;"",INDEX(Tab_DaBa[],MATCH(CONCATENATE(Liste!$C$3,$B$5,$B$147),Data!$BO:$BO,0)-2,23),"")),"")</f>
        <v>Bez_Lo01_5</v>
      </c>
      <c r="G151" s="38">
        <f ca="1">IF(H149="","",4)</f>
        <v>4</v>
      </c>
      <c r="H151" s="35" t="str">
        <f ca="1">IFERROR(IF(AND(INDEX(Tab_DaBa[],MATCH(CONCATENATE(Liste!$C$3,$B$5,$B$147),Data!$BO:$BO,0)-2,23)&lt;&gt;"",INDEX(Tab_DaBa[],MATCH(CONCATENATE(Liste!$C$3,$B$5,$B$147),Data!$BO:$BO,0)-2,28)=""),INDEX(Tab_DaBa[],MATCH(CONCATENATE(Liste!$C$3,$B$5,$B$147),Data!$BO:$BO,0)-2,13),IF(INDEX(Tab_DaBa[],MATCH(CONCATENATE(Liste!$C$3,$B$5,$B$147),Data!$BO:$BO,0)-2,23)&lt;&gt;"",INDEX(Tab_DaBa[],MATCH(CONCATENATE(Liste!$C$3,$B$5,$B$147),Data!$BO:$BO,0)-2,28),"")),"")</f>
        <v>Bez_Lo01_5</v>
      </c>
      <c r="I151" s="38">
        <f ca="1">IF(B157="","",6)</f>
        <v>6</v>
      </c>
    </row>
    <row r="152" spans="2:9" s="16" customFormat="1" ht="15.75">
      <c r="B152" s="35" t="str">
        <f ca="1">IFERROR("Performance Level: "&amp;INDEX(Tab_DaBa[],MATCH(CONCATENATE(Liste!$C$3,$B$5,$B$147),Data!$BO:$BO,0)-2,10),"")</f>
        <v>Performance Level: PL_Ein1_5</v>
      </c>
      <c r="C152" s="54"/>
      <c r="D152" s="35" t="str">
        <f ca="1">IFERROR(IF(INDEX(Tab_DaBa[],MATCH(CONCATENATE(Liste!$C$3,$B$5,$B$147),Data!$BO:$BO,0)-2,18)="","Performance Level: "&amp;INDEX(Tab_DaBa[],MATCH(CONCATENATE(Liste!$C$3,$B$5,$B$147),Data!$BO:$BO,0)-2,15),"Performance Level: "&amp;INDEX(Tab_DaBa[],MATCH(CONCATENATE(Liste!$C$3,$B$5,$B$147),Data!$BO:$BO,0)-2,20)),"")</f>
        <v>Performance Level: PL_Log01_01_05</v>
      </c>
      <c r="E152" s="36"/>
      <c r="F152" s="35" t="str">
        <f ca="1">IFERROR(IF(AND(INDEX(Tab_DaBa[],MATCH(CONCATENATE(Liste!$C$3,$B$5,$B$147),Data!$BO:$BO,0)-2,18)&lt;&gt;"",INDEX(Tab_DaBa[],MATCH(CONCATENATE(Liste!$C$3,$B$5,$B$147),Data!$BO:$BO,0)-2,23)=""),"Performance Level: "&amp;INDEX(Tab_DaBa[],MATCH(CONCATENATE(Liste!$C$3,$B$5,$B$147),Data!$BO:$BO,0)-2,15),IF(INDEX(Tab_DaBa[],MATCH(CONCATENATE(Liste!$C$3,$B$5,$B$147),Data!$BO:$BO,0)-2,23)&lt;&gt;"","Performance Level: "&amp;INDEX(Tab_DaBa[],MATCH(CONCATENATE(Liste!$C$3,$B$5,$B$147),Data!$BO:$BO,0)-2,25),"")),"")</f>
        <v>Performance Level: PL_Lo02_5</v>
      </c>
      <c r="G152" s="39"/>
      <c r="H152" s="35" t="str">
        <f ca="1">IFERROR(IF(AND(INDEX(Tab_DaBa[],MATCH(CONCATENATE(Liste!$C$3,$B$5,$B$147),Data!$BO:$BO,0)-2,23)&lt;&gt;"",INDEX(Tab_DaBa[],MATCH(CONCATENATE(Liste!$C$3,$B$5,$B$147),Data!$BO:$BO,0)-2,28)=""),"Performance Level: "&amp;INDEX(Tab_DaBa[],MATCH(CONCATENATE(Liste!$C$3,$B$5,$B$147),Data!$BO:$BO,0)-2,15),IF(INDEX(Tab_DaBa[],MATCH(CONCATENATE(Liste!$C$3,$B$5,$B$147),Data!$BO:$BO,0)-2,23)&lt;&gt;"","Performance Level: "&amp;INDEX(Tab_DaBa[],MATCH(CONCATENATE(Liste!$C$3,$B$5,$B$147),Data!$BO:$BO,0)-2,30),"")),"")</f>
        <v>Performance Level: PL_Lo01_5</v>
      </c>
      <c r="I152" s="38"/>
    </row>
    <row r="153" spans="2:9" s="16" customFormat="1" ht="15.75">
      <c r="B153" s="53" t="str">
        <f ca="1">IFERROR("PFH [1/h] = "&amp;10^9*INDEX(Tab_DaBa[],MATCH(CONCATENATE(Liste!$C$3,$B$5,$B$147),Data!$BO:$BO,0)-2,11)&amp;"E-9","")</f>
        <v>PFH [1/h] = 5,9E-9</v>
      </c>
      <c r="C153" s="54"/>
      <c r="D153" s="35" t="str">
        <f ca="1">IFERROR(IF(INDEX(Tab_DaBa[],MATCH(CONCATENATE(Liste!$C$3,$B$5,$B$147),Data!$BO:$BO,0)-2,18)="","PFH [1/h] = "&amp;10^9*INDEX(Tab_DaBa[],MATCH(CONCATENATE(Liste!$C$3,$B$5,$B$147),Data!$BO:$BO,0)-2,16)&amp;"E-9","PFH [1/h] = "&amp;10^9*INDEX(Tab_DaBa[],MATCH(CONCATENATE(Liste!$C$3,$B$5,$B$147),Data!$BO:$BO,0)-2,21)&amp;"E-9"),"")</f>
        <v>PFH [1/h] = 5,198E-9</v>
      </c>
      <c r="E153" s="36"/>
      <c r="F153" s="35" t="str">
        <f ca="1">IFERROR(IF(AND(INDEX(Tab_DaBa[],MATCH(CONCATENATE(Liste!$C$3,$B$5,$B$147),Data!$BO:$BO,0)-2,18)&lt;&gt;"",INDEX(Tab_DaBa[],MATCH(CONCATENATE(Liste!$C$3,$B$5,$B$147),Data!$BO:$BO,0)-2,23)=""),"PFH [1/h] = "&amp;10^9*INDEX(Tab_DaBa[],MATCH(CONCATENATE(Liste!$C$3,$B$5,$B$147),Data!$BO:$BO,0)-2,16)&amp;"E-9",IF(INDEX(Tab_DaBa[],MATCH(CONCATENATE(Liste!$C$3,$B$5,$B$147),Data!$BO:$BO,0)-2,23)&lt;&gt;"","PFH [1/h] = "&amp;10^9*INDEX(Tab_DaBa[],MATCH(CONCATENATE(Liste!$C$3,$B$5,$B$147),Data!$BO:$BO,0)-2,26)&amp;"E-9","")),"")</f>
        <v>PFH [1/h] = 4,195E-9</v>
      </c>
      <c r="G153" s="39"/>
      <c r="H153" s="35" t="str">
        <f ca="1">IFERROR(IF(AND(INDEX(Tab_DaBa[],MATCH(CONCATENATE(Liste!$C$3,$B$5,$B$147),Data!$BO:$BO,0)-2,23)&lt;&gt;"",INDEX(Tab_DaBa[],MATCH(CONCATENATE(Liste!$C$3,$B$5,$B$147),Data!$BO:$BO,0)-2,28)=""),"PFH [1/h] = "&amp;10^9*INDEX(Tab_DaBa[],MATCH(CONCATENATE(Liste!$C$3,$B$5,$B$147),Data!$BO:$BO,0)-2,16)&amp;"E-9",IF(INDEX(Tab_DaBa[],MATCH(CONCATENATE(Liste!$C$3,$B$5,$B$147),Data!$BO:$BO,0)-2,23)&lt;&gt;"","PFH [1/h] = "&amp;10^9*INDEX(Tab_DaBa[],MATCH(CONCATENATE(Liste!$C$3,$B$5,$B$147),Data!$BO:$BO,0)-2,31)&amp;"E-9","")),"")</f>
        <v>PFH [1/h] = 4,19E-9</v>
      </c>
      <c r="I153" s="39"/>
    </row>
    <row r="154" spans="2:9" s="16" customFormat="1">
      <c r="B154" s="33"/>
      <c r="C154" s="34"/>
      <c r="D154" s="33"/>
      <c r="E154" s="33"/>
      <c r="F154" s="33"/>
      <c r="G154" s="33"/>
      <c r="H154" s="33"/>
      <c r="I154" s="33"/>
    </row>
    <row r="155" spans="2:9" s="16" customFormat="1" ht="15.75">
      <c r="B155" s="38">
        <f ca="1">IF(B157="","",6)</f>
        <v>6</v>
      </c>
      <c r="C155" s="34"/>
      <c r="D155" s="38">
        <f ca="1">IF(B157="","",3)</f>
        <v>3</v>
      </c>
      <c r="E155" s="33"/>
      <c r="F155" s="38">
        <f ca="1">IF(B157="","",3)</f>
        <v>3</v>
      </c>
      <c r="G155" s="33"/>
      <c r="H155" s="38">
        <f ca="1">IF(B157="","",3)</f>
        <v>3</v>
      </c>
      <c r="I155" s="33"/>
    </row>
    <row r="156" spans="2:9" s="16" customFormat="1" ht="15.75">
      <c r="B156" s="39"/>
      <c r="C156" s="33"/>
      <c r="D156" s="33"/>
      <c r="E156" s="33"/>
      <c r="F156" s="33"/>
      <c r="G156" s="33"/>
      <c r="H156" s="33"/>
      <c r="I156" s="33"/>
    </row>
    <row r="157" spans="2:9" s="16" customFormat="1" ht="15.75">
      <c r="B157" s="35" t="str">
        <f ca="1">IFERROR(IF(AND(INDEX(Tab_DaBa[],MATCH(CONCATENATE(Liste!$C$3,$B$5,$B$147),Data!$BO:$BO,0)-2,28)&lt;&gt;"",INDEX(Tab_DaBa[],MATCH(CONCATENATE(Liste!$C$3,$B$5,$B$147),Data!$BO:$BO,0)-2,33)=0),INDEX(Tab_DaBa[],MATCH(CONCATENATE(Liste!$C$3,$B$5,$B$147),Data!$BO:$BO,0)-2,14),IF(INDEX(Tab_DaBa[],MATCH(CONCATENATE(Liste!$C$3,$B$5,$B$147),Data!$BO:$BO,0)-2,28)&lt;&gt;"",INDEX(Tab_DaBa[],MATCH(CONCATENATE(Liste!$C$3,$B$5,$B$147),Data!$BO:$BO,0)-2,34),"")),"")</f>
        <v>Logik 04</v>
      </c>
      <c r="C157" s="39"/>
      <c r="D157" s="35" t="str">
        <f ca="1">IFERROR(IF(AND(INDEX(Tab_DaBa[],MATCH(CONCATENATE(Liste!$C$3,$B$5,$B$147),Data!$BO:$BO,0)-2,33)&lt;&gt;"",INDEX(Tab_DaBa[],MATCH(CONCATENATE(Liste!$C$3,$B$5,$B$147),Data!$BO:$BO,0)-2,38)=0),INDEX(Tab_DaBa[],MATCH(CONCATENATE(Liste!$C$3,$B$5,$B$147),Data!$BO:$BO,0)-2,14),IF(INDEX(Tab_DaBa[],MATCH(CONCATENATE(Liste!$C$3,$B$5,$B$147),Data!$BO:$BO,0)-2,33)&lt;&gt;"",INDEX(Tab_DaBa[],MATCH(CONCATENATE(Liste!$C$3,$B$5,$B$147),Data!$BO:$BO,0)-2,39),"")),"")</f>
        <v>Logik 05</v>
      </c>
      <c r="E157" s="33"/>
      <c r="F157" s="35" t="str">
        <f ca="1">IFERROR(IF(AND(INDEX(Tab_DaBa[],MATCH(CONCATENATE(Liste!$C$3,$B$5,$B$147),Data!$BO:$BO,0)-2,38)&lt;&gt;"",INDEX(Tab_DaBa[],MATCH(CONCATENATE(Liste!$C$3,$B$5,$B$147),Data!$BO:$BO,0)-2,43)=0),INDEX(Tab_DaBa[],MATCH(CONCATENATE(Liste!$C$3,$B$5,$B$147),Data!$BO:$BO,0)-2,14),IF(INDEX(Tab_DaBa[],MATCH(CONCATENATE(Liste!$C$3,$B$5,$B$147),Data!$BO:$BO,0)-2,38)&lt;&gt;"",INDEX(Tab_DaBa[],MATCH(CONCATENATE(Liste!$C$3,$B$5,$B$147),Data!$BO:$BO,0)-2,44),"")),"")</f>
        <v>Ausgang</v>
      </c>
      <c r="G157" s="39"/>
      <c r="H157" s="35" t="str">
        <f ca="1">IFERROR(IF(AND(INDEX(Tab_DaBa[],MATCH(CONCATENATE(Liste!$C$3,$B$5,$B$147),Data!$BO:$BO,0)-2,43)&lt;&gt;"",INDEX(Tab_DaBa[],MATCH(CONCATENATE(Liste!$C$3,$B$5,$B$147),Data!$BO:$BO,0)-2,48)=0),INDEX(Tab_DaBa[],MATCH(CONCATENATE(Liste!$C$3,$B$5,$B$147),Data!$BO:$BO,0)-2,14),IF(INDEX(Tab_DaBa[],MATCH(CONCATENATE(Liste!$C$3,$B$5,$B$147),Data!$BO:$BO,0)-2,43)&lt;&gt;"",INDEX(Tab_DaBa[],MATCH(CONCATENATE(Liste!$C$3,$B$5,$B$147),Data!$BO:$BO,0)-2,49),"")),"")</f>
        <v/>
      </c>
      <c r="I157" s="39"/>
    </row>
    <row r="158" spans="2:9" s="16" customFormat="1" ht="15.75">
      <c r="B158" s="35" t="str">
        <f ca="1">IFERROR(IF(AND(INDEX(Tab_DaBa[],MATCH(CONCATENATE(Liste!$C$3,$B$5,$B$147),Data!$BO:$BO,0)-2,28)&lt;&gt;"",INDEX(Tab_DaBa[],MATCH(CONCATENATE(Liste!$C$3,$B$5,$B$147),Data!$BO:$BO,0)-2,33)=0),INDEX(Tab_DaBa[],MATCH(CONCATENATE(Liste!$C$3,$B$5,$B$147),Data!$BO:$BO,0)-2,12),IF(INDEX(Tab_DaBa[],MATCH(CONCATENATE(Liste!$C$3,$B$5,$B$147),Data!$BO:$BO,0)-2,28)&lt;&gt;"",INDEX(Tab_DaBa[],MATCH(CONCATENATE(Liste!$C$3,$B$5,$B$147),Data!$BO:$BO,0)-2,32),"")),"")</f>
        <v>Lo01_44_5</v>
      </c>
      <c r="C158" s="39"/>
      <c r="D158" s="35" t="str">
        <f ca="1">IFERROR(IF(AND(INDEX(Tab_DaBa[],MATCH(CONCATENATE(Liste!$C$3,$B$5,$B$147),Data!$BO:$BO,0)-2,33)&lt;&gt;"",INDEX(Tab_DaBa[],MATCH(CONCATENATE(Liste!$C$3,$B$5,$B$147),Data!$BO:$BO,0)-2,38)=0),INDEX(Tab_DaBa[],MATCH(CONCATENATE(Liste!$C$3,$B$5,$B$147),Data!$BO:$BO,0)-2,12),IF(INDEX(Tab_DaBa[],MATCH(CONCATENATE(Liste!$C$3,$B$5,$B$147),Data!$BO:$BO,0)-2,33)&lt;&gt;"",INDEX(Tab_DaBa[],MATCH(CONCATENATE(Liste!$C$3,$B$5,$B$147),Data!$BO:$BO,0)-2,37),"")),"")</f>
        <v>Lo01_55_5</v>
      </c>
      <c r="E158" s="37"/>
      <c r="F158" s="35" t="str">
        <f ca="1">IFERROR(IF(AND(INDEX(Tab_DaBa[],MATCH(CONCATENATE(Liste!$C$3,$B$5,$B$147),Data!$BO:$BO,0)-2,38)&lt;&gt;"",INDEX(Tab_DaBa[],MATCH(CONCATENATE(Liste!$C$3,$B$5,$B$147),Data!$BO:$BO,0)-2,43)=0),INDEX(Tab_DaBa[],MATCH(CONCATENATE(Liste!$C$3,$B$5,$B$147),Data!$BO:$BO,0)-2,12),IF(INDEX(Tab_DaBa[],MATCH(CONCATENATE(Liste!$C$3,$B$5,$B$147),Data!$BO:$BO,0)-2,38)&lt;&gt;"",INDEX(Tab_DaBa[],MATCH(CONCATENATE(Liste!$C$3,$B$5,$B$147),Data!$BO:$BO,0)-2,42),"")),"")</f>
        <v>aaaa-11_5</v>
      </c>
      <c r="G158" s="39"/>
      <c r="H158" s="35" t="str">
        <f ca="1">IFERROR(IF(AND(INDEX(Tab_DaBa[],MATCH(CONCATENATE(Liste!$C$3,$B$5,$B$147),Data!$BO:$BO,0)-2,43)&lt;&gt;"",INDEX(Tab_DaBa[],MATCH(CONCATENATE(Liste!$C$3,$B$5,$B$147),Data!$BO:$BO,0)-2,48)=0),INDEX(Tab_DaBa[],MATCH(CONCATENATE(Liste!$C$3,$B$5,$B$147),Data!$BO:$BO,0)-2,12),IF(INDEX(Tab_DaBa[],MATCH(CONCATENATE(Liste!$C$3,$B$5,$B$147),Data!$BO:$BO,0)-2,43)&lt;&gt;"",INDEX(Tab_DaBa[],MATCH(CONCATENATE(Liste!$C$3,$B$5,$B$147),Data!$BO:$BO,0)-2,47),"")),"")</f>
        <v/>
      </c>
      <c r="I158" s="39"/>
    </row>
    <row r="159" spans="2:9" s="16" customFormat="1" ht="15.75">
      <c r="B159" s="35" t="str">
        <f ca="1">IFERROR(IF(AND(INDEX(Tab_DaBa[],MATCH(CONCATENATE(Liste!$C$3,$B$5,$B$147),Data!$BO:$BO,0)-2,28)&lt;&gt;"",INDEX(Tab_DaBa[],MATCH(CONCATENATE(Liste!$C$3,$B$5,$B$147),Data!$BO:$BO,0)-2,33)=""),INDEX(Tab_DaBa[],MATCH(CONCATENATE(Liste!$C$3,$B$5,$B$147),Data!$BO:$BO,0)-2,13),IF(INDEX(Tab_DaBa[],MATCH(CONCATENATE(Liste!$C$3,$B$5,$B$147),Data!$BO:$BO,0)-2,28)&lt;&gt;"",INDEX(Tab_DaBa[],MATCH(CONCATENATE(Liste!$C$3,$B$5,$B$147),Data!$BO:$BO,0)-2,33),"")),"")</f>
        <v>Bez_Lo01_5</v>
      </c>
      <c r="C159" s="38">
        <f ca="1">IF(D157="","",4)</f>
        <v>4</v>
      </c>
      <c r="D159" s="35" t="str">
        <f ca="1">IFERROR(IF(AND(INDEX(Tab_DaBa[],MATCH(CONCATENATE(Liste!$C$3,$B$5,$B$147),Data!$BO:$BO,0)-2,33)&lt;&gt;"",INDEX(Tab_DaBa[],MATCH(CONCATENATE(Liste!$C$3,$B$5,$B$147),Data!$BO:$BO,0)-2,38)=""),INDEX(Tab_DaBa[],MATCH(CONCATENATE(Liste!$C$3,$B$5,$B$147),Data!$BO:$BO,0)-2,13),IF(INDEX(Tab_DaBa[],MATCH(CONCATENATE(Liste!$C$3,$B$5,$B$147),Data!$BO:$BO,0)-2,33)&lt;&gt;"",INDEX(Tab_DaBa[],MATCH(CONCATENATE(Liste!$C$3,$B$5,$B$147),Data!$BO:$BO,0)-2,38),"")),"")</f>
        <v>Bez_Lo01_5</v>
      </c>
      <c r="E159" s="38">
        <f ca="1">IF(F157="","",4)</f>
        <v>4</v>
      </c>
      <c r="F159" s="35" t="str">
        <f ca="1">IFERROR(IF(AND(INDEX(Tab_DaBa[],MATCH(CONCATENATE(Liste!$C$3,$B$5,$B$147),Data!$BO:$BO,0)-2,38)&lt;&gt;"",INDEX(Tab_DaBa[],MATCH(CONCATENATE(Liste!$C$3,$B$5,$B$147),Data!$BO:$BO,0)-2,43)=""),INDEX(Tab_DaBa[],MATCH(CONCATENATE(Liste!$C$3,$B$5,$B$147),Data!$BO:$BO,0)-2,13),IF(INDEX(Tab_DaBa[],MATCH(CONCATENATE(Liste!$C$3,$B$5,$B$147),Data!$BO:$BO,0)-2,38)&lt;&gt;"",INDEX(Tab_DaBa[],MATCH(CONCATENATE(Liste!$C$3,$B$5,$B$147),Data!$BO:$BO,0)-2,43),"")),"")</f>
        <v>Bez_Aus5</v>
      </c>
      <c r="G159" s="38" t="str">
        <f ca="1">IF(H157="","",4)</f>
        <v/>
      </c>
      <c r="H159" s="35" t="str">
        <f ca="1">IFERROR(IF(AND(INDEX(Tab_DaBa[],MATCH(CONCATENATE(Liste!$C$3,$B$5,$B$147),Data!$BO:$BO,0)-2,43)&lt;&gt;"",INDEX(Tab_DaBa[],MATCH(CONCATENATE(Liste!$C$3,$B$5,$B$147),Data!$BO:$BO,0)-2,48)=""),INDEX(Tab_DaBa[],MATCH(CONCATENATE(Liste!$C$3,$B$5,$B$147),Data!$BO:$BO,0)-2,13),IF(INDEX(Tab_DaBa[],MATCH(CONCATENATE(Liste!$C$3,$B$5,$B$147),Data!$BO:$BO,0)-2,43)&lt;&gt;"",INDEX(Tab_DaBa[],MATCH(CONCATENATE(Liste!$C$3,$B$5,$B$147),Data!$BO:$BO,0)-2,48),"")),"")</f>
        <v/>
      </c>
      <c r="I159" s="38" t="str">
        <f ca="1">IF(B165="","",6)</f>
        <v/>
      </c>
    </row>
    <row r="160" spans="2:9" s="16" customFormat="1" ht="15.75">
      <c r="B160" s="35" t="str">
        <f ca="1">IFERROR(IF(AND(INDEX(Tab_DaBa[],MATCH(CONCATENATE(Liste!$C$3,$B$5,$B$147),Data!$BO:$BO,0)-2,28)&lt;&gt;"",INDEX(Tab_DaBa[],MATCH(CONCATENATE(Liste!$C$3,$B$5,$B$147),Data!$BO:$BO,0)-2,33)=""),"Performance Level: "&amp;INDEX(Tab_DaBa[],MATCH(CONCATENATE(Liste!$C$3,$B$5,$B$147),Data!$BO:$BO,0)-2,15),IF(INDEX(Tab_DaBa[],MATCH(CONCATENATE(Liste!$C$3,$B$5,$B$147),Data!$BO:$BO,0)-2,28)&lt;&gt;"","Performance Level: "&amp;INDEX(Tab_DaBa[],MATCH(CONCATENATE(Liste!$C$3,$B$5,$B$147),Data!$BO:$BO,0)-2,35),"")),"")</f>
        <v>Performance Level: PL_Lo01_5</v>
      </c>
      <c r="C160" s="39"/>
      <c r="D160" s="35" t="str">
        <f ca="1">IFERROR(IF(AND(INDEX(Tab_DaBa[],MATCH(CONCATENATE(Liste!$C$3,$B$5,$B$147),Data!$BO:$BO,0)-2,33)&lt;&gt;"",INDEX(Tab_DaBa[],MATCH(CONCATENATE(Liste!$C$3,$B$5,$B$147),Data!$BO:$BO,0)-2,38)=""),"Performance Level: "&amp;INDEX(Tab_DaBa[],MATCH(CONCATENATE(Liste!$C$3,$B$5,$B$147),Data!$BO:$BO,0)-2,15),IF(INDEX(Tab_DaBa[],MATCH(CONCATENATE(Liste!$C$3,$B$5,$B$147),Data!$BO:$BO,0)-2,33)&lt;&gt;"","Performance Level: "&amp;INDEX(Tab_DaBa[],MATCH(CONCATENATE(Liste!$C$3,$B$5,$B$147),Data!$BO:$BO,0)-2,40),"")),"")</f>
        <v>Performance Level: PL_Lo01_5</v>
      </c>
      <c r="E160" s="37"/>
      <c r="F160" s="35" t="str">
        <f ca="1">IFERROR(IF(AND(INDEX(Tab_DaBa[],MATCH(CONCATENATE(Liste!$C$3,$B$5,$B$147),Data!$BO:$BO,0)-2,38)&lt;&gt;"",INDEX(Tab_DaBa[],MATCH(CONCATENATE(Liste!$C$3,$B$5,$B$147),Data!$BO:$BO,0)-2,43)=""),"Performance Level: "&amp;INDEX(Tab_DaBa[],MATCH(CONCATENATE(Liste!$C$3,$B$5,$B$147),Data!$BO:$BO,0)-2,15),IF(INDEX(Tab_DaBa[],MATCH(CONCATENATE(Liste!$C$3,$B$5,$B$147),Data!$BO:$BO,0)-2,38)&lt;&gt;"","Performance Level: "&amp;INDEX(Tab_DaBa[],MATCH(CONCATENATE(Liste!$C$3,$B$5,$B$147),Data!$BO:$BO,0)-2,45),"")),"")</f>
        <v>Performance Level: PL_Aus1_5</v>
      </c>
      <c r="G160" s="39"/>
      <c r="H160" s="35" t="str">
        <f ca="1">IFERROR(IF(AND(INDEX(Tab_DaBa[],MATCH(CONCATENATE(Liste!$C$3,$B$5,$B$147),Data!$BO:$BO,0)-2,43)&lt;&gt;"",INDEX(Tab_DaBa[],MATCH(CONCATENATE(Liste!$C$3,$B$5,$B$147),Data!$BO:$BO,0)-2,48)=""),"Performance Level: "&amp;INDEX(Tab_DaBa[],MATCH(CONCATENATE(Liste!$C$3,$B$5,$B$147),Data!$BO:$BO,0)-2,15),IF(INDEX(Tab_DaBa[],MATCH(CONCATENATE(Liste!$C$3,$B$5,$B$147),Data!$BO:$BO,0)-2,43)&lt;&gt;"","Performance Level: "&amp;INDEX(Tab_DaBa[],MATCH(CONCATENATE(Liste!$C$3,$B$5,$B$147),Data!$BO:$BO,0)-2,50),"")),"")</f>
        <v/>
      </c>
      <c r="I160" s="39"/>
    </row>
    <row r="161" spans="2:9" s="16" customFormat="1" ht="15.75">
      <c r="B161" s="35" t="str">
        <f ca="1">IFERROR(IF(AND(INDEX(Tab_DaBa[],MATCH(CONCATENATE(Liste!$C$3,$B$5,$B$147),Data!$BO:$BO,0)-2,28)&lt;&gt;"",INDEX(Tab_DaBa[],MATCH(CONCATENATE(Liste!$C$3,$B$5,$B$147),Data!$BO:$BO,0)-2,33)=""),"PFH [1/h] = "&amp;10^9*INDEX(Tab_DaBa[],MATCH(CONCATENATE(Liste!$C$3,$B$5,$B$147),Data!$BO:$BO,0)-2,16)&amp;"E-9",IF(INDEX(Tab_DaBa[],MATCH(CONCATENATE(Liste!$C$3,$B$5,$B$147),Data!$BO:$BO,0)-2,28)&lt;&gt;"","PFH [1/h] = "&amp;10^9*INDEX(Tab_DaBa[],MATCH(CONCATENATE(Liste!$C$3,$B$5,$B$147),Data!$BO:$BO,0)-2,36)&amp;"E-9","")),"")</f>
        <v>PFH [1/h] = 4,19E-9</v>
      </c>
      <c r="C161" s="39"/>
      <c r="D161" s="35" t="str">
        <f ca="1">IFERROR(IF(AND(INDEX(Tab_DaBa[],MATCH(CONCATENATE(Liste!$C$3,$B$5,$B$147),Data!$BO:$BO,0)-2,33)&lt;&gt;"",INDEX(Tab_DaBa[],MATCH(CONCATENATE(Liste!$C$3,$B$5,$B$147),Data!$BO:$BO,0)-2,38)=""),"PFH [1/h] = "&amp;10^9*INDEX(Tab_DaBa[],MATCH(CONCATENATE(Liste!$C$3,$B$5,$B$147),Data!$BO:$BO,0)-2,16)&amp;"E-9",IF(INDEX(Tab_DaBa[],MATCH(CONCATENATE(Liste!$C$3,$B$5,$B$147),Data!$BO:$BO,0)-2,33)&lt;&gt;"","PFH [1/h] = "&amp;10^9*INDEX(Tab_DaBa[],MATCH(CONCATENATE(Liste!$C$3,$B$5,$B$147),Data!$BO:$BO,0)-2,41)&amp;"E-9","")),"")</f>
        <v>PFH [1/h] = 4,19E-9</v>
      </c>
      <c r="E161" s="37"/>
      <c r="F161" s="35" t="str">
        <f ca="1">IFERROR(IF(AND(INDEX(Tab_DaBa[],MATCH(CONCATENATE(Liste!$C$3,$B$5,$B$147),Data!$BO:$BO,0)-2,38)&lt;&gt;"",INDEX(Tab_DaBa[],MATCH(CONCATENATE(Liste!$C$3,$B$5,$B$147),Data!$BO:$BO,0)-2,43)=""),"PFH [1/h] = "&amp;10^9*INDEX(Tab_DaBa[],MATCH(CONCATENATE(Liste!$C$3,$B$5,$B$147),Data!$BO:$BO,0)-2,16)&amp;"E-9",IF(INDEX(Tab_DaBa[],MATCH(CONCATENATE(Liste!$C$3,$B$5,$B$147),Data!$BO:$BO,0)-2,38)&lt;&gt;"","PFH [1/h] = "&amp;10^9*INDEX(Tab_DaBa[],MATCH(CONCATENATE(Liste!$C$3,$B$5,$B$147),Data!$BO:$BO,0)-2,46)&amp;"E-9","")),"")</f>
        <v>PFH [1/h] = 54,7E-9</v>
      </c>
      <c r="G161" s="39"/>
      <c r="H161" s="35" t="str">
        <f ca="1">IFERROR(IF(AND(INDEX(Tab_DaBa[],MATCH(CONCATENATE(Liste!$C$3,$B$5,$B$147),Data!$BO:$BO,0)-2,43)&lt;&gt;"",INDEX(Tab_DaBa[],MATCH(CONCATENATE(Liste!$C$3,$B$5,$B$147),Data!$BO:$BO,0)-2,48)=""),"PFH [1/h] = "&amp;10^9*INDEX(Tab_DaBa[],MATCH(CONCATENATE(Liste!$C$3,$B$5,$B$147),Data!$BO:$BO,0)-2,16)&amp;"E-9",IF(INDEX(Tab_DaBa[],MATCH(CONCATENATE(Liste!$C$3,$B$5,$B$147),Data!$BO:$BO,0)-2,43)&lt;&gt;"","PFH [1/h] = "&amp;10^9*INDEX(Tab_DaBa[],MATCH(CONCATENATE(Liste!$C$3,$B$5,$B$147),Data!$BO:$BO,0)-2,51)&amp;"E-9","")),"")</f>
        <v/>
      </c>
      <c r="I161" s="39"/>
    </row>
    <row r="162" spans="2:9" s="16" customFormat="1">
      <c r="B162" s="33"/>
      <c r="C162" s="33"/>
      <c r="D162" s="33"/>
      <c r="E162" s="33"/>
      <c r="F162" s="33"/>
      <c r="G162" s="33"/>
      <c r="H162" s="33"/>
      <c r="I162" s="33"/>
    </row>
    <row r="163" spans="2:9" s="16" customFormat="1" ht="15.75">
      <c r="B163" s="38" t="str">
        <f ca="1">IF(B165="","",6)</f>
        <v/>
      </c>
      <c r="C163" s="33"/>
      <c r="D163" s="38" t="str">
        <f ca="1">IF(B165="","",3)</f>
        <v/>
      </c>
      <c r="E163" s="33"/>
      <c r="F163" s="38" t="str">
        <f ca="1">IF(B165="","",3)</f>
        <v/>
      </c>
      <c r="G163" s="33"/>
      <c r="H163" s="38" t="str">
        <f ca="1">IF(B165="","",3)</f>
        <v/>
      </c>
      <c r="I163" s="33"/>
    </row>
    <row r="164" spans="2:9" s="16" customFormat="1" ht="15.75">
      <c r="B164" s="39"/>
      <c r="C164" s="33"/>
      <c r="D164" s="33"/>
      <c r="E164" s="33"/>
      <c r="F164" s="33"/>
      <c r="G164" s="33"/>
      <c r="H164" s="33"/>
      <c r="I164" s="33"/>
    </row>
    <row r="165" spans="2:9" s="16" customFormat="1" ht="15.75">
      <c r="B165" s="35" t="str">
        <f ca="1">IFERROR(IF(AND(INDEX(Tab_DaBa[],MATCH(CONCATENATE(Liste!$C$3,$B$5,$B$147),Data!$BO:$BO,0)-2,48)&lt;&gt;"",INDEX(Tab_DaBa[],MATCH(CONCATENATE(Liste!$C$3,$B$5,$B$147),Data!$BO:$BO,0)-2,53)=0),INDEX(Tab_DaBa[],MATCH(CONCATENATE(Liste!$C$3,$B$5,$B$147),Data!$BO:$BO,0)-2,14),IF(INDEX(Tab_DaBa[],MATCH(CONCATENATE(Liste!$C$3,$B$5,$B$147),Data!$BO:$BO,0)-2,48)&lt;&gt;"",INDEX(Tab_DaBa[],MATCH(CONCATENATE(Liste!$C$3,$B$5,$B$147),Data!$BO:$BO,0)-2,54),"")),"")</f>
        <v/>
      </c>
      <c r="C165" s="39"/>
      <c r="D165" s="35" t="str">
        <f ca="1">IFERROR(IF(AND(INDEX(Tab_DaBa[],MATCH(CONCATENATE(Liste!$C$3,$B$5,$B$147),Data!$BO:$BO,0)-2,53)&lt;&gt;"",INDEX(Tab_DaBa[],MATCH(CONCATENATE(Liste!$C$3,$B$5,$B$147),Data!$BO:$BO,0)-2,58)=0),INDEX(Tab_DaBa[],MATCH(CONCATENATE(Liste!$C$3,$B$5,$B$147),Data!$BO:$BO,0)-2,14),IF(INDEX(Tab_DaBa[],MATCH(CONCATENATE(Liste!$C$3,$B$5,$B$147),Data!$BO:$BO,0)-2,53)&lt;&gt;"",INDEX(Tab_DaBa[],MATCH(CONCATENATE(Liste!$C$3,$B$5,$B$147),Data!$BO:$BO,0)-2,59),"")),"")</f>
        <v/>
      </c>
      <c r="E165" s="33"/>
      <c r="F165" s="35" t="str">
        <f ca="1">IFERROR(IF(AND(INDEX(Tab_DaBa[],MATCH(CONCATENATE(Liste!$C$3,$B$5,$B$147),Data!$BO:$BO,0)-2,58)&lt;&gt;"",INDEX(Tab_DaBa[],MATCH(CONCATENATE(Liste!$C$3,$B$5,$B$147),Data!$BO:$BO,0)-2,63)=0),INDEX(Tab_DaBa[],MATCH(CONCATENATE(Liste!$C$3,$B$5,$B$147),Data!$BO:$BO,0)-2,14),IF(INDEX(Tab_DaBa[],MATCH(CONCATENATE(Liste!$C$3,$B$5,$B$147),Data!$BO:$BO,0)-2,58)&lt;&gt;"",INDEX(Tab_DaBa[],MATCH(CONCATENATE(Liste!$C$3,$B$5,$B$147),Data!$BO:$BO,0)-2,64),"")),"")</f>
        <v/>
      </c>
      <c r="G165" s="39"/>
      <c r="H165" s="35" t="str">
        <f ca="1">IFERROR(IF(INDEX(Tab_DaBa[],MATCH(CONCATENATE(Liste!$C$3,$B$5,$B$147),Data!$BO:$BO,0)-2,63)&lt;&gt;"",INDEX(Tab_DaBa[],MATCH(CONCATENATE(Liste!$C$3,$B$5,$B$147),Data!$BO:$BO,0)-2,14),""),"")</f>
        <v/>
      </c>
    </row>
    <row r="166" spans="2:9" s="16" customFormat="1" ht="15.75">
      <c r="B166" s="35" t="str">
        <f ca="1">IFERROR(IF(AND(INDEX(Tab_DaBa[],MATCH(CONCATENATE(Liste!$C$3,$B$5,$B$147),Data!$BO:$BO,0)-2,48)&lt;&gt;"",INDEX(Tab_DaBa[],MATCH(CONCATENATE(Liste!$C$3,$B$5,$B$147),Data!$BO:$BO,0)-2,53)=0),INDEX(Tab_DaBa[],MATCH(CONCATENATE(Liste!$C$3,$B$5,$B$147),Data!$BO:$BO,0)-2,12),IF(INDEX(Tab_DaBa[],MATCH(CONCATENATE(Liste!$C$3,$B$5,$B$147),Data!$BO:$BO,0)-2,48)&lt;&gt;"",INDEX(Tab_DaBa[],MATCH(CONCATENATE(Liste!$C$3,$B$5,$B$147),Data!$BO:$BO,0)-2,52),"")),"")</f>
        <v/>
      </c>
      <c r="C166" s="39"/>
      <c r="D166" s="35" t="str">
        <f ca="1">IFERROR(IF(AND(INDEX(Tab_DaBa[],MATCH(CONCATENATE(Liste!$C$3,$B$5,$B$147),Data!$BO:$BO,0)-2,53)&lt;&gt;"",INDEX(Tab_DaBa[],MATCH(CONCATENATE(Liste!$C$3,$B$5,$B$147),Data!$BO:$BO,0)-2,58)=0),INDEX(Tab_DaBa[],MATCH(CONCATENATE(Liste!$C$3,$B$5,$B$147),Data!$BO:$BO,0)-2,12),IF(INDEX(Tab_DaBa[],MATCH(CONCATENATE(Liste!$C$3,$B$5,$B$147),Data!$BO:$BO,0)-2,53)&lt;&gt;"",INDEX(Tab_DaBa[],MATCH(CONCATENATE(Liste!$C$3,$B$5,$B$147),Data!$BO:$BO,0)-2,57),"")),"")</f>
        <v/>
      </c>
      <c r="E166" s="37"/>
      <c r="F166" s="35" t="str">
        <f ca="1">IFERROR(IF(AND(INDEX(Tab_DaBa[],MATCH(CONCATENATE(Liste!$C$3,$B$5,$B$147),Data!$BO:$BO,0)-2,58)&lt;&gt;"",INDEX(Tab_DaBa[],MATCH(CONCATENATE(Liste!$C$3,$B$5,$B$147),Data!$BO:$BO,0)-2,63)=0),INDEX(Tab_DaBa[],MATCH(CONCATENATE(Liste!$C$3,$B$5,$B$147),Data!$BO:$BO,0)-2,12),IF(INDEX(Tab_DaBa[],MATCH(CONCATENATE(Liste!$C$3,$B$5,$B$147),Data!$BO:$BO,0)-2,58)&lt;&gt;"",INDEX(Tab_DaBa[],MATCH(CONCATENATE(Liste!$C$3,$B$5,$B$147),Data!$BO:$BO,0)-2,62),"")),"")</f>
        <v/>
      </c>
      <c r="G166" s="39"/>
      <c r="H166" s="35" t="str">
        <f ca="1">IFERROR(IF(INDEX(Tab_DaBa[],MATCH(CONCATENATE(Liste!$C$3,$B$5,$B$147),Data!$BO:$BO,0)-2,63)&lt;&gt;"",INDEX(Tab_DaBa[],MATCH(CONCATENATE(Liste!$C$3,$B$5,$B$147),Data!$BO:$BO,0)-2,12),""),"")</f>
        <v/>
      </c>
    </row>
    <row r="167" spans="2:9" s="16" customFormat="1" ht="15.75">
      <c r="B167" s="35" t="str">
        <f ca="1">IFERROR(IF(AND(INDEX(Tab_DaBa[],MATCH(CONCATENATE(Liste!$C$3,$B$5,$B$147),Data!$BO:$BO,0)-2,48)&lt;&gt;"",INDEX(Tab_DaBa[],MATCH(CONCATENATE(Liste!$C$3,$B$5,$B$147),Data!$BO:$BO,0)-2,53)=""),INDEX(Tab_DaBa[],MATCH(CONCATENATE(Liste!$C$3,$B$5,$B$147),Data!$BO:$BO,0)-2,13),IF(INDEX(Tab_DaBa[],MATCH(CONCATENATE(Liste!$C$3,$B$5,$B$147),Data!$BO:$BO,0)-2,48)&lt;&gt;"",INDEX(Tab_DaBa[],MATCH(CONCATENATE(Liste!$C$3,$B$5,$B$147),Data!$BO:$BO,0)-2,53),"")),"")</f>
        <v/>
      </c>
      <c r="C167" s="38" t="str">
        <f ca="1">IF(D165="","",4)</f>
        <v/>
      </c>
      <c r="D167" s="35" t="str">
        <f ca="1">IFERROR(IF(AND(INDEX(Tab_DaBa[],MATCH(CONCATENATE(Liste!$C$3,$B$5,$B$147),Data!$BO:$BO,0)-2,53)&lt;&gt;"",INDEX(Tab_DaBa[],MATCH(CONCATENATE(Liste!$C$3,$B$5,$B$147),Data!$BO:$BO,0)-2,58)=""),INDEX(Tab_DaBa[],MATCH(CONCATENATE(Liste!$C$3,$B$5,$B$147),Data!$BO:$BO,0)-2,13),IF(INDEX(Tab_DaBa[],MATCH(CONCATENATE(Liste!$C$3,$B$5,$B$147),Data!$BO:$BO,0)-2,53)&lt;&gt;"",INDEX(Tab_DaBa[],MATCH(CONCATENATE(Liste!$C$3,$B$5,$B$147),Data!$BO:$BO,0)-2,58),"")),"")</f>
        <v/>
      </c>
      <c r="E167" s="38" t="str">
        <f ca="1">IF(F165="","",4)</f>
        <v/>
      </c>
      <c r="F167" s="35" t="str">
        <f ca="1">IFERROR(IF(AND(INDEX(Tab_DaBa[],MATCH(CONCATENATE(Liste!$C$3,$B$5,$B$147),Data!$BO:$BO,0)-2,58)&lt;&gt;"",INDEX(Tab_DaBa[],MATCH(CONCATENATE(Liste!$C$3,$B$5,$B$147),Data!$BO:$BO,0)-2,63)=""),INDEX(Tab_DaBa[],MATCH(CONCATENATE(Liste!$C$3,$B$5,$B$147),Data!$BO:$BO,0)-2,13),IF(INDEX(Tab_DaBa[],MATCH(CONCATENATE(Liste!$C$3,$B$5,$B$147),Data!$BO:$BO,0)-2,58)&lt;&gt;"",INDEX(Tab_DaBa[],MATCH(CONCATENATE(Liste!$C$3,$B$5,$B$147),Data!$BO:$BO,0)-2,63),"")),"")</f>
        <v/>
      </c>
      <c r="G167" s="38" t="str">
        <f ca="1">IF(H165="","",4)</f>
        <v/>
      </c>
      <c r="H167" s="35" t="str">
        <f ca="1">IFERROR(IF(INDEX(Tab_DaBa[],MATCH(CONCATENATE(Liste!$C$3,$B$5,$B$147),Data!$BO:$BO,0)-2,63)&lt;&gt;"",INDEX(Tab_DaBa[],MATCH(CONCATENATE(Liste!$C$3,$B$5,$B$147),Data!$BO:$BO,0)-2,13),""),"")</f>
        <v/>
      </c>
    </row>
    <row r="168" spans="2:9" s="16" customFormat="1" ht="15.75">
      <c r="B168" s="35" t="str">
        <f ca="1">IFERROR(IF(AND(INDEX(Tab_DaBa[],MATCH(CONCATENATE(Liste!$C$3,$B$5,$B$147),Data!$BO:$BO,0)-2,48)&lt;&gt;"",INDEX(Tab_DaBa[],MATCH(CONCATENATE(Liste!$C$3,$B$5,$B$147),Data!$BO:$BO,0)-2,53)=""),"Performance Level: "&amp;INDEX(Tab_DaBa[],MATCH(CONCATENATE(Liste!$C$3,$B$5,$B$147),Data!$BO:$BO,0)-2,15),IF(INDEX(Tab_DaBa[],MATCH(CONCATENATE(Liste!$C$3,$B$5,$B$147),Data!$BO:$BO,0)-2,48)&lt;&gt;"","Performance Level: "&amp;INDEX(Tab_DaBa[],MATCH(CONCATENATE(Liste!$C$3,$B$5,$B$147),Data!$BO:$BO,0)-2,55),"")),"")</f>
        <v/>
      </c>
      <c r="C168" s="39"/>
      <c r="D168" s="35" t="str">
        <f ca="1">IFERROR(IF(AND(INDEX(Tab_DaBa[],MATCH(CONCATENATE(Liste!$C$3,$B$5,$B$147),Data!$BO:$BO,0)-2,53)&lt;&gt;"",INDEX(Tab_DaBa[],MATCH(CONCATENATE(Liste!$C$3,$B$5,$B$147),Data!$BO:$BO,0)-2,58)=""),"Performance Level: "&amp;INDEX(Tab_DaBa[],MATCH(CONCATENATE(Liste!$C$3,$B$5,$B$147),Data!$BO:$BO,0)-2,15),IF(INDEX(Tab_DaBa[],MATCH(CONCATENATE(Liste!$C$3,$B$5,$B$147),Data!$BO:$BO,0)-2,53)&lt;&gt;"","Performance Level: "&amp;INDEX(Tab_DaBa[],MATCH(CONCATENATE(Liste!$C$3,$B$5,$B$147),Data!$BO:$BO,0)-2,60),"")),"")</f>
        <v/>
      </c>
      <c r="E168" s="37"/>
      <c r="F168" s="35" t="str">
        <f ca="1">IFERROR(IF(AND(INDEX(Tab_DaBa[],MATCH(CONCATENATE(Liste!$C$3,$B$5,$B$147),Data!$BO:$BO,0)-2,58)&lt;&gt;"",INDEX(Tab_DaBa[],MATCH(CONCATENATE(Liste!$C$3,$B$5,$B$147),Data!$BO:$BO,0)-2,63)=""),"Performance Level: "&amp;INDEX(Tab_DaBa[],MATCH(CONCATENATE(Liste!$C$3,$B$5,$B$147),Data!$BO:$BO,0)-2,15),IF(INDEX(Tab_DaBa[],MATCH(CONCATENATE(Liste!$C$3,$B$5,$B$147),Data!$BO:$BO,0)-2,58)&lt;&gt;"","Performance Level: "&amp;INDEX(Tab_DaBa[],MATCH(CONCATENATE(Liste!$C$3,$B$5,$B$147),Data!$BO:$BO,0)-2,65),"")),"")</f>
        <v/>
      </c>
      <c r="G168" s="39"/>
      <c r="H168" s="35" t="str">
        <f ca="1">IFERROR(IF(INDEX(Tab_DaBa[],MATCH(CONCATENATE(Liste!$C$3,$B$5,$B$147),Data!$BO:$BO,0)-2,63)&lt;&gt;"","Performance Level: "&amp;INDEX(Tab_DaBa[],MATCH(CONCATENATE(Liste!$C$3,$B$5,$B$147),Data!$BO:$BO,0)-2,15),""),"")</f>
        <v/>
      </c>
    </row>
    <row r="169" spans="2:9" s="16" customFormat="1" ht="15.75">
      <c r="B169" s="35" t="str">
        <f ca="1">IFERROR(IF(AND(INDEX(Tab_DaBa[],MATCH(CONCATENATE(Liste!$C$3,$B$5,$B$147),Data!$BO:$BO,0)-2,48)&lt;&gt;"",INDEX(Tab_DaBa[],MATCH(CONCATENATE(Liste!$C$3,$B$5,$B$147),Data!$BO:$BO,0)-2,53)=""),"PFH [1/h] = "&amp;10^9*INDEX(Tab_DaBa[],MATCH(CONCATENATE(Liste!$C$3,$B$5,$B$147),Data!$BO:$BO,0)-2,16)&amp;"E-9",IF(INDEX(Tab_DaBa[],MATCH(CONCATENATE(Liste!$C$3,$B$5,$B$147),Data!$BO:$BO,0)-2,48)&lt;&gt;"","PFH [1/h] = "&amp;10^9*INDEX(Tab_DaBa[],MATCH(CONCATENATE(Liste!$C$3,$B$5,$B$147),Data!$BO:$BO,0)-2,56)&amp;"E-9","")),"")</f>
        <v/>
      </c>
      <c r="C169" s="39"/>
      <c r="D169" s="35" t="str">
        <f ca="1">IFERROR(IF(AND(INDEX(Tab_DaBa[],MATCH(CONCATENATE(Liste!$C$3,$B$5,$B$147),Data!$BO:$BO,0)-2,53)&lt;&gt;"",INDEX(Tab_DaBa[],MATCH(CONCATENATE(Liste!$C$3,$B$5,$B$147),Data!$BO:$BO,0)-2,58)=""),"PFH [1/h] = "&amp;10^9*INDEX(Tab_DaBa[],MATCH(CONCATENATE(Liste!$C$3,$B$5,$B$147),Data!$BO:$BO,0)-2,16)&amp;"E-9",IF(INDEX(Tab_DaBa[],MATCH(CONCATENATE(Liste!$C$3,$B$5,$B$147),Data!$BO:$BO,0)-2,53)&lt;&gt;"","PFH [1/h] = "&amp;10^9*INDEX(Tab_DaBa[],MATCH(CONCATENATE(Liste!$C$3,$B$5,$B$147),Data!$BO:$BO,0)-2,61)&amp;"E-9","")),"")</f>
        <v/>
      </c>
      <c r="E169" s="37"/>
      <c r="F169" s="35" t="str">
        <f ca="1">IFERROR(IF(AND(INDEX(Tab_DaBa[],MATCH(CONCATENATE(Liste!$C$3,$B$5,$B$147),Data!$BO:$BO,0)-2,58)&lt;&gt;"",INDEX(Tab_DaBa[],MATCH(CONCATENATE(Liste!$C$3,$B$5,$B$147),Data!$BO:$BO,0)-2,63)=""),"PFH [1/h] = "&amp;10^9*INDEX(Tab_DaBa[],MATCH(CONCATENATE(Liste!$C$3,$B$5,$B$147),Data!$BO:$BO,0)-2,16)&amp;"E-9",IF(INDEX(Tab_DaBa[],MATCH(CONCATENATE(Liste!$C$3,$B$5,$B$147),Data!$BO:$BO,0)-2,58)&lt;&gt;"","PFH [1/h] = "&amp;10^9*INDEX(Tab_DaBa[],MATCH(CONCATENATE(Liste!$C$3,$B$5,$B$147),Data!$BO:$BO,0)-2,66)&amp;"E-9","")),"")</f>
        <v/>
      </c>
      <c r="G169" s="39"/>
      <c r="H169" s="35" t="str">
        <f ca="1">IFERROR(IF(INDEX(Tab_DaBa[],MATCH(CONCATENATE(Liste!$C$3,$B$5,$B$147),Data!$BO:$BO,0)-2,63)&lt;&gt;"","PFH [1/h] = "&amp;10^9*INDEX(Tab_DaBa[],MATCH(CONCATENATE(Liste!$C$3,$B$5,$B$147),Data!$BO:$BO,0)-2,16)&amp;"E-9",""),"")</f>
        <v/>
      </c>
    </row>
    <row r="170" spans="2:9" s="16" customFormat="1"/>
    <row r="171" spans="2:9" s="16" customFormat="1">
      <c r="B171" s="43" t="str">
        <f ca="1">IF(D171="","","Erforderlich")</f>
        <v>Erforderlich</v>
      </c>
      <c r="D171" s="44" t="str">
        <f ca="1">IFERROR("Performance Level: "&amp;INDEX(Tab_DaBa[],MATCH(CONCATENATE(Liste!$C$3,$B$5,$B$147),Data!$BO:$BO,0)-2,4),"")</f>
        <v>Performance Level: PLr_ges1_5</v>
      </c>
    </row>
    <row r="172" spans="2:9" s="16" customFormat="1">
      <c r="B172" s="45"/>
    </row>
    <row r="173" spans="2:9" s="16" customFormat="1">
      <c r="B173" s="46" t="str">
        <f ca="1">IF(D173="","","Erreicht")</f>
        <v>Erreicht</v>
      </c>
      <c r="D173" s="47" t="str">
        <f ca="1">IFERROR("Performance Level: "&amp;INDEX(Tab_DaBa[],MATCH(CONCATENATE(Liste!$C$3,$B$5,$B$147),Data!$BO:$BO,0)-2,5)&amp;"          PFH [1/h] = "&amp;10^9*INDEX(Tab_DaBa[],MATCH(CONCATENATE(Liste!$C$3,$B$5,$B$147),Data!$BO:$BO,0)-2,6)&amp;"E-9","")</f>
        <v>Performance Level: Pl_ges1_5          PFH [1/h] = 0,57E-9</v>
      </c>
    </row>
    <row r="174" spans="2:9" s="16" customFormat="1">
      <c r="B174" s="50"/>
      <c r="D174" s="51"/>
    </row>
    <row r="175" spans="2:9" s="16" customFormat="1">
      <c r="B175" s="42" t="str">
        <f ca="1">IFERROR(IF(7&gt;COUNTIF(Data!$BP:$BP,CONCATENATE(Liste!$C$3,$B$5)),"",INDEX(Tab_DaBa[],MATCH(CONCATENATE(Liste!$C$3,$B$5),Data!$BP:$BP,0)+4,3)),"")</f>
        <v>1.6 test1 (E+6L+A)</v>
      </c>
    </row>
    <row r="176" spans="2:9" s="16" customFormat="1"/>
    <row r="177" spans="2:9" s="16" customFormat="1" ht="15.75">
      <c r="B177" s="35" t="str">
        <f ca="1">IFERROR(INDEX(Tab_DaBa[],MATCH(CONCATENATE(Liste!$C$3,$B$5,$B$175),Data!$BO:$BO,0)-2,9),"")</f>
        <v>Eingang</v>
      </c>
      <c r="C177" s="54"/>
      <c r="D177" s="35" t="str">
        <f ca="1">IFERROR(IF(INDEX(Tab_DaBa[],MATCH(CONCATENATE(Liste!$C$3,$B$5,$B$175),Data!$BO:$BO,0)-2,18)=0,INDEX(Tab_DaBa[],MATCH(CONCATENATE(Liste!$C$3,$B$5,$B$175),Data!$BO:$BO,0)-2,14),INDEX(Tab_DaBa[],MATCH(CONCATENATE(Liste!$C$3,$B$5,$B$175),Data!$BO:$BO,0)-2,19)),"")</f>
        <v>Logik 01</v>
      </c>
      <c r="E177" s="33"/>
      <c r="F177" s="35" t="str">
        <f ca="1">IFERROR(IF(AND(INDEX(Tab_DaBa[],MATCH(CONCATENATE(Liste!$C$3,$B$5,$B$175),Data!$BO:$BO,0)-2,18)&lt;&gt;"",INDEX(Tab_DaBa[],MATCH(CONCATENATE(Liste!$C$3,$B$5,$B$175),Data!$BO:$BO,0)-2,23)=0),INDEX(Tab_DaBa[],MATCH(CONCATENATE(Liste!$C$3,$B$5,$B$175),Data!$BO:$BO,0)-2,14),IF(INDEX(Tab_DaBa[],MATCH(CONCATENATE(Liste!$C$3,$B$5,$B$175),Data!$BO:$BO,0)-2,23)&lt;&gt;"",INDEX(Tab_DaBa[],MATCH(CONCATENATE(Liste!$C$3,$B$5,$B$175),Data!$BO:$BO,0)-2,24),"")),"")</f>
        <v>Logik 02</v>
      </c>
      <c r="G177" s="39"/>
      <c r="H177" s="35" t="str">
        <f ca="1">IFERROR(IF(AND(INDEX(Tab_DaBa[],MATCH(CONCATENATE(Liste!$C$3,$B$5,$B$175),Data!$BO:$BO,0)-2,23)&lt;&gt;"",INDEX(Tab_DaBa[],MATCH(CONCATENATE(Liste!$C$3,$B$5,$B$175),Data!$BO:$BO,0)-2,28)=0),INDEX(Tab_DaBa[],MATCH(CONCATENATE(Liste!$C$3,$B$5,$B$175),Data!$BO:$BO,0)-2,14),IF(INDEX(Tab_DaBa[],MATCH(CONCATENATE(Liste!$C$3,$B$5,$B$175),Data!$BO:$BO,0)-2,23)&lt;&gt;"",INDEX(Tab_DaBa[],MATCH(CONCATENATE(Liste!$C$3,$B$5,$B$175),Data!$BO:$BO,0)-2,29),"")),"")</f>
        <v>Logik 03</v>
      </c>
      <c r="I177" s="39"/>
    </row>
    <row r="178" spans="2:9" s="16" customFormat="1" ht="15.75">
      <c r="B178" s="35" t="str">
        <f ca="1">IFERROR(INDEX(Tab_DaBa[],MATCH(CONCATENATE(Liste!$C$3,$B$5,$B$175),Data!$BO:$BO,0)-2,7),"")</f>
        <v>eeee-11_6</v>
      </c>
      <c r="C178" s="54"/>
      <c r="D178" s="35" t="str">
        <f ca="1">IFERROR(IF(INDEX(Tab_DaBa[],MATCH(CONCATENATE(Liste!$C$3,$B$5,$B$175),Data!$BO:$BO,0)-2,18)="",INDEX(Tab_DaBa[],MATCH(CONCATENATE(Liste!$C$3,$B$5,$B$175),Data!$BO:$BO,0)-2,12),INDEX(Tab_DaBa[],MATCH(CONCATENATE(Liste!$C$3,$B$5,$B$175),Data!$BO:$BO,0)-2,17)),"")</f>
        <v>Log01-01_06</v>
      </c>
      <c r="E178" s="36"/>
      <c r="F178" s="35" t="str">
        <f ca="1">IFERROR(IF(AND(INDEX(Tab_DaBa[],MATCH(CONCATENATE(Liste!$C$3,$B$5,$B$175),Data!$BO:$BO,0)-2,18)&lt;&gt;"",INDEX(Tab_DaBa[],MATCH(CONCATENATE(Liste!$C$3,$B$5,$B$175),Data!$BO:$BO,0)-2,23)=0),INDEX(Tab_DaBa[],MATCH(CONCATENATE(Liste!$C$3,$B$5,$B$175),Data!$BO:$BO,0)-2,12),IF(INDEX(Tab_DaBa[],MATCH(CONCATENATE(Liste!$C$3,$B$5,$B$175),Data!$BO:$BO,0)-2,23)&lt;&gt;"",INDEX(Tab_DaBa[],MATCH(CONCATENATE(Liste!$C$3,$B$5,$B$175),Data!$BO:$BO,0)-2,22),"")),"")</f>
        <v>Lo01-22_6</v>
      </c>
      <c r="G178" s="39"/>
      <c r="H178" s="35" t="str">
        <f ca="1">IFERROR(IF(AND(INDEX(Tab_DaBa[],MATCH(CONCATENATE(Liste!$C$3,$B$5,$B$175),Data!$BO:$BO,0)-2,23)&lt;&gt;"",INDEX(Tab_DaBa[],MATCH(CONCATENATE(Liste!$C$3,$B$5,$B$175),Data!$BO:$BO,0)-2,28)=0),INDEX(Tab_DaBa[],MATCH(CONCATENATE(Liste!$C$3,$B$5,$B$175),Data!$BO:$BO,0)-2,12),IF(INDEX(Tab_DaBa[],MATCH(CONCATENATE(Liste!$C$3,$B$5,$B$175),Data!$BO:$BO,0)-2,23)&lt;&gt;"",INDEX(Tab_DaBa[],MATCH(CONCATENATE(Liste!$C$3,$B$5,$B$175),Data!$BO:$BO,0)-2,27),"")),"")</f>
        <v>Lo01-33_6</v>
      </c>
      <c r="I178" s="39"/>
    </row>
    <row r="179" spans="2:9" s="16" customFormat="1" ht="15.75">
      <c r="B179" s="35" t="str">
        <f ca="1">IFERROR(INDEX(Tab_DaBa[],MATCH(CONCATENATE(Liste!$C$3,$B$5,$B$175),Data!$BO:$BO,0)-2,8),"")</f>
        <v>Bez_Ein1_6</v>
      </c>
      <c r="C179" s="40">
        <f ca="1">IF(D177="","",4)</f>
        <v>4</v>
      </c>
      <c r="D179" s="35" t="str">
        <f ca="1">IFERROR(IF(INDEX(Tab_DaBa[],MATCH(CONCATENATE(Liste!$C$3,$B$5,$B$175),Data!$BO:$BO,0)-2,18)="",INDEX(Tab_DaBa[],MATCH(CONCATENATE(Liste!$C$3,$B$5,$B$175),Data!$BO:$BO,0)-2,13),INDEX(Tab_DaBa[],MATCH(CONCATENATE(Liste!$C$3,$B$5,$B$175),Data!$BO:$BO,0)-2,18)),"")</f>
        <v>Bez_Log01_01_06</v>
      </c>
      <c r="E179" s="40">
        <f ca="1">IF(F177="","",4)</f>
        <v>4</v>
      </c>
      <c r="F179" s="35" t="str">
        <f ca="1">IFERROR(IF(AND(INDEX(Tab_DaBa[],MATCH(CONCATENATE(Liste!$C$3,$B$5,$B$175),Data!$BO:$BO,0)-2,18)&lt;&gt;"",INDEX(Tab_DaBa[],MATCH(CONCATENATE(Liste!$C$3,$B$5,$B$175),Data!$BO:$BO,0)-2,23)=""),INDEX(Tab_DaBa[],MATCH(CONCATENATE(Liste!$C$3,$B$5,$B$175),Data!$BO:$BO,0)-2,13),IF(INDEX(Tab_DaBa[],MATCH(CONCATENATE(Liste!$C$3,$B$5,$B$175),Data!$BO:$BO,0)-2,23)&lt;&gt;"",INDEX(Tab_DaBa[],MATCH(CONCATENATE(Liste!$C$3,$B$5,$B$175),Data!$BO:$BO,0)-2,23),"")),"")</f>
        <v>Bez_Lo01_6</v>
      </c>
      <c r="G179" s="38">
        <f ca="1">IF(H177="","",4)</f>
        <v>4</v>
      </c>
      <c r="H179" s="35" t="str">
        <f ca="1">IFERROR(IF(AND(INDEX(Tab_DaBa[],MATCH(CONCATENATE(Liste!$C$3,$B$5,$B$175),Data!$BO:$BO,0)-2,23)&lt;&gt;"",INDEX(Tab_DaBa[],MATCH(CONCATENATE(Liste!$C$3,$B$5,$B$175),Data!$BO:$BO,0)-2,28)=""),INDEX(Tab_DaBa[],MATCH(CONCATENATE(Liste!$C$3,$B$5,$B$175),Data!$BO:$BO,0)-2,13),IF(INDEX(Tab_DaBa[],MATCH(CONCATENATE(Liste!$C$3,$B$5,$B$175),Data!$BO:$BO,0)-2,23)&lt;&gt;"",INDEX(Tab_DaBa[],MATCH(CONCATENATE(Liste!$C$3,$B$5,$B$175),Data!$BO:$BO,0)-2,28),"")),"")</f>
        <v>Bez_Lo01_6</v>
      </c>
      <c r="I179" s="38">
        <f ca="1">IF(B185="","",6)</f>
        <v>6</v>
      </c>
    </row>
    <row r="180" spans="2:9" s="16" customFormat="1" ht="15.75">
      <c r="B180" s="35" t="str">
        <f ca="1">IFERROR("Performance Level: "&amp;INDEX(Tab_DaBa[],MATCH(CONCATENATE(Liste!$C$3,$B$5,$B$175),Data!$BO:$BO,0)-2,10),"")</f>
        <v>Performance Level: PL_Ein1_6</v>
      </c>
      <c r="C180" s="54"/>
      <c r="D180" s="35" t="str">
        <f ca="1">IFERROR(IF(INDEX(Tab_DaBa[],MATCH(CONCATENATE(Liste!$C$3,$B$5,$B$175),Data!$BO:$BO,0)-2,18)="","Performance Level: "&amp;INDEX(Tab_DaBa[],MATCH(CONCATENATE(Liste!$C$3,$B$5,$B$175),Data!$BO:$BO,0)-2,15),"Performance Level: "&amp;INDEX(Tab_DaBa[],MATCH(CONCATENATE(Liste!$C$3,$B$5,$B$175),Data!$BO:$BO,0)-2,20)),"")</f>
        <v>Performance Level: PL_Log01_01_06</v>
      </c>
      <c r="E180" s="36"/>
      <c r="F180" s="35" t="str">
        <f ca="1">IFERROR(IF(AND(INDEX(Tab_DaBa[],MATCH(CONCATENATE(Liste!$C$3,$B$5,$B$175),Data!$BO:$BO,0)-2,18)&lt;&gt;"",INDEX(Tab_DaBa[],MATCH(CONCATENATE(Liste!$C$3,$B$5,$B$175),Data!$BO:$BO,0)-2,23)=""),"Performance Level: "&amp;INDEX(Tab_DaBa[],MATCH(CONCATENATE(Liste!$C$3,$B$5,$B$175),Data!$BO:$BO,0)-2,15),IF(INDEX(Tab_DaBa[],MATCH(CONCATENATE(Liste!$C$3,$B$5,$B$175),Data!$BO:$BO,0)-2,23)&lt;&gt;"","Performance Level: "&amp;INDEX(Tab_DaBa[],MATCH(CONCATENATE(Liste!$C$3,$B$5,$B$175),Data!$BO:$BO,0)-2,25),"")),"")</f>
        <v>Performance Level: PL_Lo02_6</v>
      </c>
      <c r="G180" s="39"/>
      <c r="H180" s="35" t="str">
        <f ca="1">IFERROR(IF(AND(INDEX(Tab_DaBa[],MATCH(CONCATENATE(Liste!$C$3,$B$5,$B$175),Data!$BO:$BO,0)-2,23)&lt;&gt;"",INDEX(Tab_DaBa[],MATCH(CONCATENATE(Liste!$C$3,$B$5,$B$175),Data!$BO:$BO,0)-2,28)=""),"Performance Level: "&amp;INDEX(Tab_DaBa[],MATCH(CONCATENATE(Liste!$C$3,$B$5,$B$175),Data!$BO:$BO,0)-2,15),IF(INDEX(Tab_DaBa[],MATCH(CONCATENATE(Liste!$C$3,$B$5,$B$175),Data!$BO:$BO,0)-2,23)&lt;&gt;"","Performance Level: "&amp;INDEX(Tab_DaBa[],MATCH(CONCATENATE(Liste!$C$3,$B$5,$B$175),Data!$BO:$BO,0)-2,30),"")),"")</f>
        <v>Performance Level: PL_Lo01_6</v>
      </c>
      <c r="I180" s="38"/>
    </row>
    <row r="181" spans="2:9" s="16" customFormat="1" ht="15.75">
      <c r="B181" s="53" t="str">
        <f ca="1">IFERROR("PFH [1/h] = "&amp;10^9*INDEX(Tab_DaBa[],MATCH(CONCATENATE(Liste!$C$3,$B$5,$B$175),Data!$BO:$BO,0)-2,11)&amp;"E-9","")</f>
        <v>PFH [1/h] = 6,9E-9</v>
      </c>
      <c r="C181" s="54"/>
      <c r="D181" s="35" t="str">
        <f ca="1">IFERROR(IF(INDEX(Tab_DaBa[],MATCH(CONCATENATE(Liste!$C$3,$B$5,$B$175),Data!$BO:$BO,0)-2,18)="","PFH [1/h] = "&amp;10^9*INDEX(Tab_DaBa[],MATCH(CONCATENATE(Liste!$C$3,$B$5,$B$175),Data!$BO:$BO,0)-2,16)&amp;"E-9","PFH [1/h] = "&amp;10^9*INDEX(Tab_DaBa[],MATCH(CONCATENATE(Liste!$C$3,$B$5,$B$175),Data!$BO:$BO,0)-2,21)&amp;"E-9"),"")</f>
        <v>PFH [1/h] = 6,198E-9</v>
      </c>
      <c r="E181" s="36"/>
      <c r="F181" s="35" t="str">
        <f ca="1">IFERROR(IF(AND(INDEX(Tab_DaBa[],MATCH(CONCATENATE(Liste!$C$3,$B$5,$B$175),Data!$BO:$BO,0)-2,18)&lt;&gt;"",INDEX(Tab_DaBa[],MATCH(CONCATENATE(Liste!$C$3,$B$5,$B$175),Data!$BO:$BO,0)-2,23)=""),"PFH [1/h] = "&amp;10^9*INDEX(Tab_DaBa[],MATCH(CONCATENATE(Liste!$C$3,$B$5,$B$175),Data!$BO:$BO,0)-2,16)&amp;"E-9",IF(INDEX(Tab_DaBa[],MATCH(CONCATENATE(Liste!$C$3,$B$5,$B$175),Data!$BO:$BO,0)-2,23)&lt;&gt;"","PFH [1/h] = "&amp;10^9*INDEX(Tab_DaBa[],MATCH(CONCATENATE(Liste!$C$3,$B$5,$B$175),Data!$BO:$BO,0)-2,26)&amp;"E-9","")),"")</f>
        <v>PFH [1/h] = 4,195E-9</v>
      </c>
      <c r="G181" s="39"/>
      <c r="H181" s="35" t="str">
        <f ca="1">IFERROR(IF(AND(INDEX(Tab_DaBa[],MATCH(CONCATENATE(Liste!$C$3,$B$5,$B$175),Data!$BO:$BO,0)-2,23)&lt;&gt;"",INDEX(Tab_DaBa[],MATCH(CONCATENATE(Liste!$C$3,$B$5,$B$175),Data!$BO:$BO,0)-2,28)=""),"PFH [1/h] = "&amp;10^9*INDEX(Tab_DaBa[],MATCH(CONCATENATE(Liste!$C$3,$B$5,$B$175),Data!$BO:$BO,0)-2,16)&amp;"E-9",IF(INDEX(Tab_DaBa[],MATCH(CONCATENATE(Liste!$C$3,$B$5,$B$175),Data!$BO:$BO,0)-2,23)&lt;&gt;"","PFH [1/h] = "&amp;10^9*INDEX(Tab_DaBa[],MATCH(CONCATENATE(Liste!$C$3,$B$5,$B$175),Data!$BO:$BO,0)-2,31)&amp;"E-9","")),"")</f>
        <v>PFH [1/h] = 4,19E-9</v>
      </c>
      <c r="I181" s="39"/>
    </row>
    <row r="182" spans="2:9" s="16" customFormat="1">
      <c r="B182" s="33"/>
      <c r="C182" s="34"/>
      <c r="D182" s="33"/>
      <c r="E182" s="33"/>
      <c r="F182" s="33"/>
      <c r="G182" s="33"/>
      <c r="H182" s="33"/>
      <c r="I182" s="33"/>
    </row>
    <row r="183" spans="2:9" s="16" customFormat="1" ht="15.75">
      <c r="B183" s="38">
        <f ca="1">IF(B185="","",6)</f>
        <v>6</v>
      </c>
      <c r="C183" s="34"/>
      <c r="D183" s="38">
        <f ca="1">IF(B185="","",3)</f>
        <v>3</v>
      </c>
      <c r="E183" s="33"/>
      <c r="F183" s="38">
        <f ca="1">IF(B185="","",3)</f>
        <v>3</v>
      </c>
      <c r="G183" s="33"/>
      <c r="H183" s="38">
        <f ca="1">IF(B185="","",3)</f>
        <v>3</v>
      </c>
      <c r="I183" s="33"/>
    </row>
    <row r="184" spans="2:9" s="16" customFormat="1" ht="15.75">
      <c r="B184" s="39"/>
      <c r="C184" s="33"/>
      <c r="D184" s="33"/>
      <c r="E184" s="33"/>
      <c r="F184" s="33"/>
      <c r="G184" s="33"/>
      <c r="H184" s="33"/>
      <c r="I184" s="33"/>
    </row>
    <row r="185" spans="2:9" s="16" customFormat="1" ht="15.75">
      <c r="B185" s="35" t="str">
        <f ca="1">IFERROR(IF(AND(INDEX(Tab_DaBa[],MATCH(CONCATENATE(Liste!$C$3,$B$5,$B$175),Data!$BO:$BO,0)-2,28)&lt;&gt;"",INDEX(Tab_DaBa[],MATCH(CONCATENATE(Liste!$C$3,$B$5,$B$175),Data!$BO:$BO,0)-2,33)=0),INDEX(Tab_DaBa[],MATCH(CONCATENATE(Liste!$C$3,$B$5,$B$175),Data!$BO:$BO,0)-2,14),IF(INDEX(Tab_DaBa[],MATCH(CONCATENATE(Liste!$C$3,$B$5,$B$175),Data!$BO:$BO,0)-2,28)&lt;&gt;"",INDEX(Tab_DaBa[],MATCH(CONCATENATE(Liste!$C$3,$B$5,$B$175),Data!$BO:$BO,0)-2,34),"")),"")</f>
        <v>Logik 04</v>
      </c>
      <c r="C185" s="39"/>
      <c r="D185" s="35" t="str">
        <f ca="1">IFERROR(IF(AND(INDEX(Tab_DaBa[],MATCH(CONCATENATE(Liste!$C$3,$B$5,$B$175),Data!$BO:$BO,0)-2,33)&lt;&gt;"",INDEX(Tab_DaBa[],MATCH(CONCATENATE(Liste!$C$3,$B$5,$B$175),Data!$BO:$BO,0)-2,38)=0),INDEX(Tab_DaBa[],MATCH(CONCATENATE(Liste!$C$3,$B$5,$B$175),Data!$BO:$BO,0)-2,14),IF(INDEX(Tab_DaBa[],MATCH(CONCATENATE(Liste!$C$3,$B$5,$B$175),Data!$BO:$BO,0)-2,33)&lt;&gt;"",INDEX(Tab_DaBa[],MATCH(CONCATENATE(Liste!$C$3,$B$5,$B$175),Data!$BO:$BO,0)-2,39),"")),"")</f>
        <v>Logik 05</v>
      </c>
      <c r="E185" s="33"/>
      <c r="F185" s="35" t="str">
        <f ca="1">IFERROR(IF(AND(INDEX(Tab_DaBa[],MATCH(CONCATENATE(Liste!$C$3,$B$5,$B$175),Data!$BO:$BO,0)-2,38)&lt;&gt;"",INDEX(Tab_DaBa[],MATCH(CONCATENATE(Liste!$C$3,$B$5,$B$175),Data!$BO:$BO,0)-2,43)=0),INDEX(Tab_DaBa[],MATCH(CONCATENATE(Liste!$C$3,$B$5,$B$175),Data!$BO:$BO,0)-2,14),IF(INDEX(Tab_DaBa[],MATCH(CONCATENATE(Liste!$C$3,$B$5,$B$175),Data!$BO:$BO,0)-2,38)&lt;&gt;"",INDEX(Tab_DaBa[],MATCH(CONCATENATE(Liste!$C$3,$B$5,$B$175),Data!$BO:$BO,0)-2,44),"")),"")</f>
        <v>Logik 06</v>
      </c>
      <c r="G185" s="39"/>
      <c r="H185" s="35" t="str">
        <f ca="1">IFERROR(IF(AND(INDEX(Tab_DaBa[],MATCH(CONCATENATE(Liste!$C$3,$B$5,$B$175),Data!$BO:$BO,0)-2,43)&lt;&gt;"",INDEX(Tab_DaBa[],MATCH(CONCATENATE(Liste!$C$3,$B$5,$B$175),Data!$BO:$BO,0)-2,48)=0),INDEX(Tab_DaBa[],MATCH(CONCATENATE(Liste!$C$3,$B$5,$B$175),Data!$BO:$BO,0)-2,14),IF(INDEX(Tab_DaBa[],MATCH(CONCATENATE(Liste!$C$3,$B$5,$B$175),Data!$BO:$BO,0)-2,43)&lt;&gt;"",INDEX(Tab_DaBa[],MATCH(CONCATENATE(Liste!$C$3,$B$5,$B$175),Data!$BO:$BO,0)-2,49),"")),"")</f>
        <v>Ausgang</v>
      </c>
      <c r="I185" s="39"/>
    </row>
    <row r="186" spans="2:9" s="16" customFormat="1" ht="15.75">
      <c r="B186" s="35" t="str">
        <f ca="1">IFERROR(IF(AND(INDEX(Tab_DaBa[],MATCH(CONCATENATE(Liste!$C$3,$B$5,$B$175),Data!$BO:$BO,0)-2,28)&lt;&gt;"",INDEX(Tab_DaBa[],MATCH(CONCATENATE(Liste!$C$3,$B$5,$B$175),Data!$BO:$BO,0)-2,33)=0),INDEX(Tab_DaBa[],MATCH(CONCATENATE(Liste!$C$3,$B$5,$B$175),Data!$BO:$BO,0)-2,12),IF(INDEX(Tab_DaBa[],MATCH(CONCATENATE(Liste!$C$3,$B$5,$B$175),Data!$BO:$BO,0)-2,28)&lt;&gt;"",INDEX(Tab_DaBa[],MATCH(CONCATENATE(Liste!$C$3,$B$5,$B$175),Data!$BO:$BO,0)-2,32),"")),"")</f>
        <v>Lo01_44_6</v>
      </c>
      <c r="C186" s="39"/>
      <c r="D186" s="35" t="str">
        <f ca="1">IFERROR(IF(AND(INDEX(Tab_DaBa[],MATCH(CONCATENATE(Liste!$C$3,$B$5,$B$175),Data!$BO:$BO,0)-2,33)&lt;&gt;"",INDEX(Tab_DaBa[],MATCH(CONCATENATE(Liste!$C$3,$B$5,$B$175),Data!$BO:$BO,0)-2,38)=0),INDEX(Tab_DaBa[],MATCH(CONCATENATE(Liste!$C$3,$B$5,$B$175),Data!$BO:$BO,0)-2,12),IF(INDEX(Tab_DaBa[],MATCH(CONCATENATE(Liste!$C$3,$B$5,$B$175),Data!$BO:$BO,0)-2,33)&lt;&gt;"",INDEX(Tab_DaBa[],MATCH(CONCATENATE(Liste!$C$3,$B$5,$B$175),Data!$BO:$BO,0)-2,37),"")),"")</f>
        <v>Lo01_55_6</v>
      </c>
      <c r="E186" s="37"/>
      <c r="F186" s="35" t="str">
        <f ca="1">IFERROR(IF(AND(INDEX(Tab_DaBa[],MATCH(CONCATENATE(Liste!$C$3,$B$5,$B$175),Data!$BO:$BO,0)-2,38)&lt;&gt;"",INDEX(Tab_DaBa[],MATCH(CONCATENATE(Liste!$C$3,$B$5,$B$175),Data!$BO:$BO,0)-2,43)=0),INDEX(Tab_DaBa[],MATCH(CONCATENATE(Liste!$C$3,$B$5,$B$175),Data!$BO:$BO,0)-2,12),IF(INDEX(Tab_DaBa[],MATCH(CONCATENATE(Liste!$C$3,$B$5,$B$175),Data!$BO:$BO,0)-2,38)&lt;&gt;"",INDEX(Tab_DaBa[],MATCH(CONCATENATE(Liste!$C$3,$B$5,$B$175),Data!$BO:$BO,0)-2,42),"")),"")</f>
        <v>Lo01-66_6</v>
      </c>
      <c r="G186" s="39"/>
      <c r="H186" s="35" t="str">
        <f ca="1">IFERROR(IF(AND(INDEX(Tab_DaBa[],MATCH(CONCATENATE(Liste!$C$3,$B$5,$B$175),Data!$BO:$BO,0)-2,43)&lt;&gt;"",INDEX(Tab_DaBa[],MATCH(CONCATENATE(Liste!$C$3,$B$5,$B$175),Data!$BO:$BO,0)-2,48)=0),INDEX(Tab_DaBa[],MATCH(CONCATENATE(Liste!$C$3,$B$5,$B$175),Data!$BO:$BO,0)-2,12),IF(INDEX(Tab_DaBa[],MATCH(CONCATENATE(Liste!$C$3,$B$5,$B$175),Data!$BO:$BO,0)-2,43)&lt;&gt;"",INDEX(Tab_DaBa[],MATCH(CONCATENATE(Liste!$C$3,$B$5,$B$175),Data!$BO:$BO,0)-2,47),"")),"")</f>
        <v>aaaa-11_6</v>
      </c>
      <c r="I186" s="39"/>
    </row>
    <row r="187" spans="2:9" s="16" customFormat="1" ht="15.75">
      <c r="B187" s="35" t="str">
        <f ca="1">IFERROR(IF(AND(INDEX(Tab_DaBa[],MATCH(CONCATENATE(Liste!$C$3,$B$5,$B$175),Data!$BO:$BO,0)-2,28)&lt;&gt;"",INDEX(Tab_DaBa[],MATCH(CONCATENATE(Liste!$C$3,$B$5,$B$175),Data!$BO:$BO,0)-2,33)=""),INDEX(Tab_DaBa[],MATCH(CONCATENATE(Liste!$C$3,$B$5,$B$175),Data!$BO:$BO,0)-2,13),IF(INDEX(Tab_DaBa[],MATCH(CONCATENATE(Liste!$C$3,$B$5,$B$175),Data!$BO:$BO,0)-2,28)&lt;&gt;"",INDEX(Tab_DaBa[],MATCH(CONCATENATE(Liste!$C$3,$B$5,$B$175),Data!$BO:$BO,0)-2,33),"")),"")</f>
        <v>Bez_Lo01_6</v>
      </c>
      <c r="C187" s="38">
        <f ca="1">IF(D185="","",4)</f>
        <v>4</v>
      </c>
      <c r="D187" s="35" t="str">
        <f ca="1">IFERROR(IF(AND(INDEX(Tab_DaBa[],MATCH(CONCATENATE(Liste!$C$3,$B$5,$B$175),Data!$BO:$BO,0)-2,33)&lt;&gt;"",INDEX(Tab_DaBa[],MATCH(CONCATENATE(Liste!$C$3,$B$5,$B$175),Data!$BO:$BO,0)-2,38)=""),INDEX(Tab_DaBa[],MATCH(CONCATENATE(Liste!$C$3,$B$5,$B$175),Data!$BO:$BO,0)-2,13),IF(INDEX(Tab_DaBa[],MATCH(CONCATENATE(Liste!$C$3,$B$5,$B$175),Data!$BO:$BO,0)-2,33)&lt;&gt;"",INDEX(Tab_DaBa[],MATCH(CONCATENATE(Liste!$C$3,$B$5,$B$175),Data!$BO:$BO,0)-2,38),"")),"")</f>
        <v>Bez_Lo01_6</v>
      </c>
      <c r="E187" s="38">
        <f ca="1">IF(F185="","",4)</f>
        <v>4</v>
      </c>
      <c r="F187" s="35" t="str">
        <f ca="1">IFERROR(IF(AND(INDEX(Tab_DaBa[],MATCH(CONCATENATE(Liste!$C$3,$B$5,$B$175),Data!$BO:$BO,0)-2,38)&lt;&gt;"",INDEX(Tab_DaBa[],MATCH(CONCATENATE(Liste!$C$3,$B$5,$B$175),Data!$BO:$BO,0)-2,43)=""),INDEX(Tab_DaBa[],MATCH(CONCATENATE(Liste!$C$3,$B$5,$B$175),Data!$BO:$BO,0)-2,13),IF(INDEX(Tab_DaBa[],MATCH(CONCATENATE(Liste!$C$3,$B$5,$B$175),Data!$BO:$BO,0)-2,38)&lt;&gt;"",INDEX(Tab_DaBa[],MATCH(CONCATENATE(Liste!$C$3,$B$5,$B$175),Data!$BO:$BO,0)-2,43),"")),"")</f>
        <v>Bez_Lo01_6</v>
      </c>
      <c r="G187" s="38">
        <f ca="1">IF(H185="","",4)</f>
        <v>4</v>
      </c>
      <c r="H187" s="35" t="str">
        <f ca="1">IFERROR(IF(AND(INDEX(Tab_DaBa[],MATCH(CONCATENATE(Liste!$C$3,$B$5,$B$175),Data!$BO:$BO,0)-2,43)&lt;&gt;"",INDEX(Tab_DaBa[],MATCH(CONCATENATE(Liste!$C$3,$B$5,$B$175),Data!$BO:$BO,0)-2,48)=""),INDEX(Tab_DaBa[],MATCH(CONCATENATE(Liste!$C$3,$B$5,$B$175),Data!$BO:$BO,0)-2,13),IF(INDEX(Tab_DaBa[],MATCH(CONCATENATE(Liste!$C$3,$B$5,$B$175),Data!$BO:$BO,0)-2,43)&lt;&gt;"",INDEX(Tab_DaBa[],MATCH(CONCATENATE(Liste!$C$3,$B$5,$B$175),Data!$BO:$BO,0)-2,48),"")),"")</f>
        <v>Bez_Aus6</v>
      </c>
      <c r="I187" s="38" t="str">
        <f ca="1">IF(B193="","",6)</f>
        <v/>
      </c>
    </row>
    <row r="188" spans="2:9" s="16" customFormat="1" ht="15.75">
      <c r="B188" s="35" t="str">
        <f ca="1">IFERROR(IF(AND(INDEX(Tab_DaBa[],MATCH(CONCATENATE(Liste!$C$3,$B$5,$B$175),Data!$BO:$BO,0)-2,28)&lt;&gt;"",INDEX(Tab_DaBa[],MATCH(CONCATENATE(Liste!$C$3,$B$5,$B$175),Data!$BO:$BO,0)-2,33)=""),"Performance Level: "&amp;INDEX(Tab_DaBa[],MATCH(CONCATENATE(Liste!$C$3,$B$5,$B$175),Data!$BO:$BO,0)-2,15),IF(INDEX(Tab_DaBa[],MATCH(CONCATENATE(Liste!$C$3,$B$5,$B$175),Data!$BO:$BO,0)-2,28)&lt;&gt;"","Performance Level: "&amp;INDEX(Tab_DaBa[],MATCH(CONCATENATE(Liste!$C$3,$B$5,$B$175),Data!$BO:$BO,0)-2,35),"")),"")</f>
        <v>Performance Level: PL_Lo01_6</v>
      </c>
      <c r="C188" s="39"/>
      <c r="D188" s="35" t="str">
        <f ca="1">IFERROR(IF(AND(INDEX(Tab_DaBa[],MATCH(CONCATENATE(Liste!$C$3,$B$5,$B$175),Data!$BO:$BO,0)-2,33)&lt;&gt;"",INDEX(Tab_DaBa[],MATCH(CONCATENATE(Liste!$C$3,$B$5,$B$175),Data!$BO:$BO,0)-2,38)=""),"Performance Level: "&amp;INDEX(Tab_DaBa[],MATCH(CONCATENATE(Liste!$C$3,$B$5,$B$175),Data!$BO:$BO,0)-2,15),IF(INDEX(Tab_DaBa[],MATCH(CONCATENATE(Liste!$C$3,$B$5,$B$175),Data!$BO:$BO,0)-2,33)&lt;&gt;"","Performance Level: "&amp;INDEX(Tab_DaBa[],MATCH(CONCATENATE(Liste!$C$3,$B$5,$B$175),Data!$BO:$BO,0)-2,40),"")),"")</f>
        <v>Performance Level: PL_Lo01_6</v>
      </c>
      <c r="E188" s="37"/>
      <c r="F188" s="35" t="str">
        <f ca="1">IFERROR(IF(AND(INDEX(Tab_DaBa[],MATCH(CONCATENATE(Liste!$C$3,$B$5,$B$175),Data!$BO:$BO,0)-2,38)&lt;&gt;"",INDEX(Tab_DaBa[],MATCH(CONCATENATE(Liste!$C$3,$B$5,$B$175),Data!$BO:$BO,0)-2,43)=""),"Performance Level: "&amp;INDEX(Tab_DaBa[],MATCH(CONCATENATE(Liste!$C$3,$B$5,$B$175),Data!$BO:$BO,0)-2,15),IF(INDEX(Tab_DaBa[],MATCH(CONCATENATE(Liste!$C$3,$B$5,$B$175),Data!$BO:$BO,0)-2,38)&lt;&gt;"","Performance Level: "&amp;INDEX(Tab_DaBa[],MATCH(CONCATENATE(Liste!$C$3,$B$5,$B$175),Data!$BO:$BO,0)-2,45),"")),"")</f>
        <v>Performance Level: PL_Lo01_6</v>
      </c>
      <c r="G188" s="39"/>
      <c r="H188" s="35" t="str">
        <f ca="1">IFERROR(IF(AND(INDEX(Tab_DaBa[],MATCH(CONCATENATE(Liste!$C$3,$B$5,$B$175),Data!$BO:$BO,0)-2,43)&lt;&gt;"",INDEX(Tab_DaBa[],MATCH(CONCATENATE(Liste!$C$3,$B$5,$B$175),Data!$BO:$BO,0)-2,48)=""),"Performance Level: "&amp;INDEX(Tab_DaBa[],MATCH(CONCATENATE(Liste!$C$3,$B$5,$B$175),Data!$BO:$BO,0)-2,15),IF(INDEX(Tab_DaBa[],MATCH(CONCATENATE(Liste!$C$3,$B$5,$B$175),Data!$BO:$BO,0)-2,43)&lt;&gt;"","Performance Level: "&amp;INDEX(Tab_DaBa[],MATCH(CONCATENATE(Liste!$C$3,$B$5,$B$175),Data!$BO:$BO,0)-2,50),"")),"")</f>
        <v>Performance Level: PL_Aus1_6</v>
      </c>
      <c r="I188" s="39"/>
    </row>
    <row r="189" spans="2:9" s="16" customFormat="1" ht="15.75">
      <c r="B189" s="35" t="str">
        <f ca="1">IFERROR(IF(AND(INDEX(Tab_DaBa[],MATCH(CONCATENATE(Liste!$C$3,$B$5,$B$175),Data!$BO:$BO,0)-2,28)&lt;&gt;"",INDEX(Tab_DaBa[],MATCH(CONCATENATE(Liste!$C$3,$B$5,$B$175),Data!$BO:$BO,0)-2,33)=""),"PFH [1/h] = "&amp;10^9*INDEX(Tab_DaBa[],MATCH(CONCATENATE(Liste!$C$3,$B$5,$B$175),Data!$BO:$BO,0)-2,16)&amp;"E-9",IF(INDEX(Tab_DaBa[],MATCH(CONCATENATE(Liste!$C$3,$B$5,$B$175),Data!$BO:$BO,0)-2,28)&lt;&gt;"","PFH [1/h] = "&amp;10^9*INDEX(Tab_DaBa[],MATCH(CONCATENATE(Liste!$C$3,$B$5,$B$175),Data!$BO:$BO,0)-2,36)&amp;"E-9","")),"")</f>
        <v>PFH [1/h] = 4,19E-9</v>
      </c>
      <c r="C189" s="39"/>
      <c r="D189" s="35" t="str">
        <f ca="1">IFERROR(IF(AND(INDEX(Tab_DaBa[],MATCH(CONCATENATE(Liste!$C$3,$B$5,$B$175),Data!$BO:$BO,0)-2,33)&lt;&gt;"",INDEX(Tab_DaBa[],MATCH(CONCATENATE(Liste!$C$3,$B$5,$B$175),Data!$BO:$BO,0)-2,38)=""),"PFH [1/h] = "&amp;10^9*INDEX(Tab_DaBa[],MATCH(CONCATENATE(Liste!$C$3,$B$5,$B$175),Data!$BO:$BO,0)-2,16)&amp;"E-9",IF(INDEX(Tab_DaBa[],MATCH(CONCATENATE(Liste!$C$3,$B$5,$B$175),Data!$BO:$BO,0)-2,33)&lt;&gt;"","PFH [1/h] = "&amp;10^9*INDEX(Tab_DaBa[],MATCH(CONCATENATE(Liste!$C$3,$B$5,$B$175),Data!$BO:$BO,0)-2,41)&amp;"E-9","")),"")</f>
        <v>PFH [1/h] = 4,19E-9</v>
      </c>
      <c r="E189" s="37"/>
      <c r="F189" s="35" t="str">
        <f ca="1">IFERROR(IF(AND(INDEX(Tab_DaBa[],MATCH(CONCATENATE(Liste!$C$3,$B$5,$B$175),Data!$BO:$BO,0)-2,38)&lt;&gt;"",INDEX(Tab_DaBa[],MATCH(CONCATENATE(Liste!$C$3,$B$5,$B$175),Data!$BO:$BO,0)-2,43)=""),"PFH [1/h] = "&amp;10^9*INDEX(Tab_DaBa[],MATCH(CONCATENATE(Liste!$C$3,$B$5,$B$175),Data!$BO:$BO,0)-2,16)&amp;"E-9",IF(INDEX(Tab_DaBa[],MATCH(CONCATENATE(Liste!$C$3,$B$5,$B$175),Data!$BO:$BO,0)-2,38)&lt;&gt;"","PFH [1/h] = "&amp;10^9*INDEX(Tab_DaBa[],MATCH(CONCATENATE(Liste!$C$3,$B$5,$B$175),Data!$BO:$BO,0)-2,46)&amp;"E-9","")),"")</f>
        <v>PFH [1/h] = 4,19E-9</v>
      </c>
      <c r="G189" s="39"/>
      <c r="H189" s="35" t="str">
        <f ca="1">IFERROR(IF(AND(INDEX(Tab_DaBa[],MATCH(CONCATENATE(Liste!$C$3,$B$5,$B$175),Data!$BO:$BO,0)-2,43)&lt;&gt;"",INDEX(Tab_DaBa[],MATCH(CONCATENATE(Liste!$C$3,$B$5,$B$175),Data!$BO:$BO,0)-2,48)=""),"PFH [1/h] = "&amp;10^9*INDEX(Tab_DaBa[],MATCH(CONCATENATE(Liste!$C$3,$B$5,$B$175),Data!$BO:$BO,0)-2,16)&amp;"E-9",IF(INDEX(Tab_DaBa[],MATCH(CONCATENATE(Liste!$C$3,$B$5,$B$175),Data!$BO:$BO,0)-2,43)&lt;&gt;"","PFH [1/h] = "&amp;10^9*INDEX(Tab_DaBa[],MATCH(CONCATENATE(Liste!$C$3,$B$5,$B$175),Data!$BO:$BO,0)-2,51)&amp;"E-9","")),"")</f>
        <v>PFH [1/h] = 64,7E-9</v>
      </c>
      <c r="I189" s="39"/>
    </row>
    <row r="190" spans="2:9" s="16" customFormat="1">
      <c r="B190" s="33"/>
      <c r="C190" s="33"/>
      <c r="D190" s="33"/>
      <c r="E190" s="33"/>
      <c r="F190" s="33"/>
      <c r="G190" s="33"/>
      <c r="H190" s="33"/>
      <c r="I190" s="33"/>
    </row>
    <row r="191" spans="2:9" s="16" customFormat="1" ht="15.75">
      <c r="B191" s="38" t="str">
        <f ca="1">IF(B193="","",6)</f>
        <v/>
      </c>
      <c r="C191" s="33"/>
      <c r="D191" s="38" t="str">
        <f ca="1">IF(B193="","",3)</f>
        <v/>
      </c>
      <c r="E191" s="33"/>
      <c r="F191" s="38" t="str">
        <f ca="1">IF(B193="","",3)</f>
        <v/>
      </c>
      <c r="G191" s="33"/>
      <c r="H191" s="38" t="str">
        <f ca="1">IF(B193="","",3)</f>
        <v/>
      </c>
      <c r="I191" s="33"/>
    </row>
    <row r="192" spans="2:9" s="16" customFormat="1" ht="15.75">
      <c r="B192" s="39"/>
      <c r="C192" s="33"/>
      <c r="D192" s="33"/>
      <c r="E192" s="33"/>
      <c r="F192" s="33"/>
      <c r="G192" s="33"/>
      <c r="H192" s="33"/>
      <c r="I192" s="33"/>
    </row>
    <row r="193" spans="2:9" s="16" customFormat="1" ht="15.75">
      <c r="B193" s="35" t="str">
        <f ca="1">IFERROR(IF(AND(INDEX(Tab_DaBa[],MATCH(CONCATENATE(Liste!$C$3,$B$5,$B$175),Data!$BO:$BO,0)-2,48)&lt;&gt;"",INDEX(Tab_DaBa[],MATCH(CONCATENATE(Liste!$C$3,$B$5,$B$175),Data!$BO:$BO,0)-2,53)=0),INDEX(Tab_DaBa[],MATCH(CONCATENATE(Liste!$C$3,$B$5,$B$175),Data!$BO:$BO,0)-2,14),IF(INDEX(Tab_DaBa[],MATCH(CONCATENATE(Liste!$C$3,$B$5,$B$175),Data!$BO:$BO,0)-2,48)&lt;&gt;"",INDEX(Tab_DaBa[],MATCH(CONCATENATE(Liste!$C$3,$B$5,$B$175),Data!$BO:$BO,0)-2,54),"")),"")</f>
        <v/>
      </c>
      <c r="C193" s="39"/>
      <c r="D193" s="35" t="str">
        <f ca="1">IFERROR(IF(AND(INDEX(Tab_DaBa[],MATCH(CONCATENATE(Liste!$C$3,$B$5,$B$175),Data!$BO:$BO,0)-2,53)&lt;&gt;"",INDEX(Tab_DaBa[],MATCH(CONCATENATE(Liste!$C$3,$B$5,$B$175),Data!$BO:$BO,0)-2,58)=0),INDEX(Tab_DaBa[],MATCH(CONCATENATE(Liste!$C$3,$B$5,$B$175),Data!$BO:$BO,0)-2,14),IF(INDEX(Tab_DaBa[],MATCH(CONCATENATE(Liste!$C$3,$B$5,$B$175),Data!$BO:$BO,0)-2,53)&lt;&gt;"",INDEX(Tab_DaBa[],MATCH(CONCATENATE(Liste!$C$3,$B$5,$B$175),Data!$BO:$BO,0)-2,59),"")),"")</f>
        <v/>
      </c>
      <c r="E193" s="33"/>
      <c r="F193" s="35" t="str">
        <f ca="1">IFERROR(IF(AND(INDEX(Tab_DaBa[],MATCH(CONCATENATE(Liste!$C$3,$B$5,$B$175),Data!$BO:$BO,0)-2,58)&lt;&gt;"",INDEX(Tab_DaBa[],MATCH(CONCATENATE(Liste!$C$3,$B$5,$B$175),Data!$BO:$BO,0)-2,63)=0),INDEX(Tab_DaBa[],MATCH(CONCATENATE(Liste!$C$3,$B$5,$B$175),Data!$BO:$BO,0)-2,14),IF(INDEX(Tab_DaBa[],MATCH(CONCATENATE(Liste!$C$3,$B$5,$B$175),Data!$BO:$BO,0)-2,58)&lt;&gt;"",INDEX(Tab_DaBa[],MATCH(CONCATENATE(Liste!$C$3,$B$5,$B$175),Data!$BO:$BO,0)-2,64),"")),"")</f>
        <v/>
      </c>
      <c r="G193" s="39"/>
      <c r="H193" s="35" t="str">
        <f ca="1">IFERROR(IF(INDEX(Tab_DaBa[],MATCH(CONCATENATE(Liste!$C$3,$B$5,$B$175),Data!$BO:$BO,0)-2,63)&lt;&gt;"",INDEX(Tab_DaBa[],MATCH(CONCATENATE(Liste!$C$3,$B$5,$B$175),Data!$BO:$BO,0)-2,14),""),"")</f>
        <v/>
      </c>
    </row>
    <row r="194" spans="2:9" s="16" customFormat="1" ht="15.75">
      <c r="B194" s="35" t="str">
        <f ca="1">IFERROR(IF(AND(INDEX(Tab_DaBa[],MATCH(CONCATENATE(Liste!$C$3,$B$5,$B$175),Data!$BO:$BO,0)-2,48)&lt;&gt;"",INDEX(Tab_DaBa[],MATCH(CONCATENATE(Liste!$C$3,$B$5,$B$175),Data!$BO:$BO,0)-2,53)=0),INDEX(Tab_DaBa[],MATCH(CONCATENATE(Liste!$C$3,$B$5,$B$175),Data!$BO:$BO,0)-2,12),IF(INDEX(Tab_DaBa[],MATCH(CONCATENATE(Liste!$C$3,$B$5,$B$175),Data!$BO:$BO,0)-2,48)&lt;&gt;"",INDEX(Tab_DaBa[],MATCH(CONCATENATE(Liste!$C$3,$B$5,$B$175),Data!$BO:$BO,0)-2,52),"")),"")</f>
        <v/>
      </c>
      <c r="C194" s="39"/>
      <c r="D194" s="35" t="str">
        <f ca="1">IFERROR(IF(AND(INDEX(Tab_DaBa[],MATCH(CONCATENATE(Liste!$C$3,$B$5,$B$175),Data!$BO:$BO,0)-2,53)&lt;&gt;"",INDEX(Tab_DaBa[],MATCH(CONCATENATE(Liste!$C$3,$B$5,$B$175),Data!$BO:$BO,0)-2,58)=0),INDEX(Tab_DaBa[],MATCH(CONCATENATE(Liste!$C$3,$B$5,$B$175),Data!$BO:$BO,0)-2,12),IF(INDEX(Tab_DaBa[],MATCH(CONCATENATE(Liste!$C$3,$B$5,$B$175),Data!$BO:$BO,0)-2,53)&lt;&gt;"",INDEX(Tab_DaBa[],MATCH(CONCATENATE(Liste!$C$3,$B$5,$B$175),Data!$BO:$BO,0)-2,57),"")),"")</f>
        <v/>
      </c>
      <c r="E194" s="37"/>
      <c r="F194" s="35" t="str">
        <f ca="1">IFERROR(IF(AND(INDEX(Tab_DaBa[],MATCH(CONCATENATE(Liste!$C$3,$B$5,$B$175),Data!$BO:$BO,0)-2,58)&lt;&gt;"",INDEX(Tab_DaBa[],MATCH(CONCATENATE(Liste!$C$3,$B$5,$B$175),Data!$BO:$BO,0)-2,63)=0),INDEX(Tab_DaBa[],MATCH(CONCATENATE(Liste!$C$3,$B$5,$B$175),Data!$BO:$BO,0)-2,12),IF(INDEX(Tab_DaBa[],MATCH(CONCATENATE(Liste!$C$3,$B$5,$B$175),Data!$BO:$BO,0)-2,58)&lt;&gt;"",INDEX(Tab_DaBa[],MATCH(CONCATENATE(Liste!$C$3,$B$5,$B$175),Data!$BO:$BO,0)-2,62),"")),"")</f>
        <v/>
      </c>
      <c r="G194" s="39"/>
      <c r="H194" s="35" t="str">
        <f ca="1">IFERROR(IF(INDEX(Tab_DaBa[],MATCH(CONCATENATE(Liste!$C$3,$B$5,$B$175),Data!$BO:$BO,0)-2,63)&lt;&gt;"",INDEX(Tab_DaBa[],MATCH(CONCATENATE(Liste!$C$3,$B$5,$B$175),Data!$BO:$BO,0)-2,12),""),"")</f>
        <v/>
      </c>
    </row>
    <row r="195" spans="2:9" s="16" customFormat="1" ht="15.75">
      <c r="B195" s="35" t="str">
        <f ca="1">IFERROR(IF(AND(INDEX(Tab_DaBa[],MATCH(CONCATENATE(Liste!$C$3,$B$5,$B$175),Data!$BO:$BO,0)-2,48)&lt;&gt;"",INDEX(Tab_DaBa[],MATCH(CONCATENATE(Liste!$C$3,$B$5,$B$175),Data!$BO:$BO,0)-2,53)=""),INDEX(Tab_DaBa[],MATCH(CONCATENATE(Liste!$C$3,$B$5,$B$175),Data!$BO:$BO,0)-2,13),IF(INDEX(Tab_DaBa[],MATCH(CONCATENATE(Liste!$C$3,$B$5,$B$175),Data!$BO:$BO,0)-2,48)&lt;&gt;"",INDEX(Tab_DaBa[],MATCH(CONCATENATE(Liste!$C$3,$B$5,$B$175),Data!$BO:$BO,0)-2,53),"")),"")</f>
        <v/>
      </c>
      <c r="C195" s="38" t="str">
        <f ca="1">IF(D193="","",4)</f>
        <v/>
      </c>
      <c r="D195" s="35" t="str">
        <f ca="1">IFERROR(IF(AND(INDEX(Tab_DaBa[],MATCH(CONCATENATE(Liste!$C$3,$B$5,$B$175),Data!$BO:$BO,0)-2,53)&lt;&gt;"",INDEX(Tab_DaBa[],MATCH(CONCATENATE(Liste!$C$3,$B$5,$B$175),Data!$BO:$BO,0)-2,58)=""),INDEX(Tab_DaBa[],MATCH(CONCATENATE(Liste!$C$3,$B$5,$B$175),Data!$BO:$BO,0)-2,13),IF(INDEX(Tab_DaBa[],MATCH(CONCATENATE(Liste!$C$3,$B$5,$B$175),Data!$BO:$BO,0)-2,53)&lt;&gt;"",INDEX(Tab_DaBa[],MATCH(CONCATENATE(Liste!$C$3,$B$5,$B$175),Data!$BO:$BO,0)-2,58),"")),"")</f>
        <v/>
      </c>
      <c r="E195" s="38" t="str">
        <f ca="1">IF(F193="","",4)</f>
        <v/>
      </c>
      <c r="F195" s="35" t="str">
        <f ca="1">IFERROR(IF(AND(INDEX(Tab_DaBa[],MATCH(CONCATENATE(Liste!$C$3,$B$5,$B$175),Data!$BO:$BO,0)-2,58)&lt;&gt;"",INDEX(Tab_DaBa[],MATCH(CONCATENATE(Liste!$C$3,$B$5,$B$175),Data!$BO:$BO,0)-2,63)=""),INDEX(Tab_DaBa[],MATCH(CONCATENATE(Liste!$C$3,$B$5,$B$175),Data!$BO:$BO,0)-2,13),IF(INDEX(Tab_DaBa[],MATCH(CONCATENATE(Liste!$C$3,$B$5,$B$175),Data!$BO:$BO,0)-2,58)&lt;&gt;"",INDEX(Tab_DaBa[],MATCH(CONCATENATE(Liste!$C$3,$B$5,$B$175),Data!$BO:$BO,0)-2,63),"")),"")</f>
        <v/>
      </c>
      <c r="G195" s="38" t="str">
        <f ca="1">IF(H193="","",4)</f>
        <v/>
      </c>
      <c r="H195" s="35" t="str">
        <f ca="1">IFERROR(IF(INDEX(Tab_DaBa[],MATCH(CONCATENATE(Liste!$C$3,$B$5,$B$175),Data!$BO:$BO,0)-2,63)&lt;&gt;"",INDEX(Tab_DaBa[],MATCH(CONCATENATE(Liste!$C$3,$B$5,$B$175),Data!$BO:$BO,0)-2,13),""),"")</f>
        <v/>
      </c>
    </row>
    <row r="196" spans="2:9" s="16" customFormat="1" ht="15.75">
      <c r="B196" s="35" t="str">
        <f ca="1">IFERROR(IF(AND(INDEX(Tab_DaBa[],MATCH(CONCATENATE(Liste!$C$3,$B$5,$B$175),Data!$BO:$BO,0)-2,48)&lt;&gt;"",INDEX(Tab_DaBa[],MATCH(CONCATENATE(Liste!$C$3,$B$5,$B$175),Data!$BO:$BO,0)-2,53)=""),"Performance Level: "&amp;INDEX(Tab_DaBa[],MATCH(CONCATENATE(Liste!$C$3,$B$5,$B$175),Data!$BO:$BO,0)-2,15),IF(INDEX(Tab_DaBa[],MATCH(CONCATENATE(Liste!$C$3,$B$5,$B$175),Data!$BO:$BO,0)-2,48)&lt;&gt;"","Performance Level: "&amp;INDEX(Tab_DaBa[],MATCH(CONCATENATE(Liste!$C$3,$B$5,$B$175),Data!$BO:$BO,0)-2,55),"")),"")</f>
        <v/>
      </c>
      <c r="C196" s="39"/>
      <c r="D196" s="35" t="str">
        <f ca="1">IFERROR(IF(AND(INDEX(Tab_DaBa[],MATCH(CONCATENATE(Liste!$C$3,$B$5,$B$175),Data!$BO:$BO,0)-2,53)&lt;&gt;"",INDEX(Tab_DaBa[],MATCH(CONCATENATE(Liste!$C$3,$B$5,$B$175),Data!$BO:$BO,0)-2,58)=""),"Performance Level: "&amp;INDEX(Tab_DaBa[],MATCH(CONCATENATE(Liste!$C$3,$B$5,$B$175),Data!$BO:$BO,0)-2,15),IF(INDEX(Tab_DaBa[],MATCH(CONCATENATE(Liste!$C$3,$B$5,$B$175),Data!$BO:$BO,0)-2,53)&lt;&gt;"","Performance Level: "&amp;INDEX(Tab_DaBa[],MATCH(CONCATENATE(Liste!$C$3,$B$5,$B$175),Data!$BO:$BO,0)-2,60),"")),"")</f>
        <v/>
      </c>
      <c r="E196" s="37"/>
      <c r="F196" s="35" t="str">
        <f ca="1">IFERROR(IF(AND(INDEX(Tab_DaBa[],MATCH(CONCATENATE(Liste!$C$3,$B$5,$B$175),Data!$BO:$BO,0)-2,58)&lt;&gt;"",INDEX(Tab_DaBa[],MATCH(CONCATENATE(Liste!$C$3,$B$5,$B$175),Data!$BO:$BO,0)-2,63)=""),"Performance Level: "&amp;INDEX(Tab_DaBa[],MATCH(CONCATENATE(Liste!$C$3,$B$5,$B$175),Data!$BO:$BO,0)-2,15),IF(INDEX(Tab_DaBa[],MATCH(CONCATENATE(Liste!$C$3,$B$5,$B$175),Data!$BO:$BO,0)-2,58)&lt;&gt;"","Performance Level: "&amp;INDEX(Tab_DaBa[],MATCH(CONCATENATE(Liste!$C$3,$B$5,$B$175),Data!$BO:$BO,0)-2,65),"")),"")</f>
        <v/>
      </c>
      <c r="G196" s="39"/>
      <c r="H196" s="35" t="str">
        <f ca="1">IFERROR(IF(INDEX(Tab_DaBa[],MATCH(CONCATENATE(Liste!$C$3,$B$5,$B$175),Data!$BO:$BO,0)-2,63)&lt;&gt;"","Performance Level: "&amp;INDEX(Tab_DaBa[],MATCH(CONCATENATE(Liste!$C$3,$B$5,$B$175),Data!$BO:$BO,0)-2,15),""),"")</f>
        <v/>
      </c>
    </row>
    <row r="197" spans="2:9" s="16" customFormat="1" ht="15.75">
      <c r="B197" s="35" t="str">
        <f ca="1">IFERROR(IF(AND(INDEX(Tab_DaBa[],MATCH(CONCATENATE(Liste!$C$3,$B$5,$B$175),Data!$BO:$BO,0)-2,48)&lt;&gt;"",INDEX(Tab_DaBa[],MATCH(CONCATENATE(Liste!$C$3,$B$5,$B$175),Data!$BO:$BO,0)-2,53)=""),"PFH [1/h] = "&amp;10^9*INDEX(Tab_DaBa[],MATCH(CONCATENATE(Liste!$C$3,$B$5,$B$175),Data!$BO:$BO,0)-2,16)&amp;"E-9",IF(INDEX(Tab_DaBa[],MATCH(CONCATENATE(Liste!$C$3,$B$5,$B$175),Data!$BO:$BO,0)-2,48)&lt;&gt;"","PFH [1/h] = "&amp;10^9*INDEX(Tab_DaBa[],MATCH(CONCATENATE(Liste!$C$3,$B$5,$B$175),Data!$BO:$BO,0)-2,56)&amp;"E-9","")),"")</f>
        <v/>
      </c>
      <c r="C197" s="39"/>
      <c r="D197" s="35" t="str">
        <f ca="1">IFERROR(IF(AND(INDEX(Tab_DaBa[],MATCH(CONCATENATE(Liste!$C$3,$B$5,$B$175),Data!$BO:$BO,0)-2,53)&lt;&gt;"",INDEX(Tab_DaBa[],MATCH(CONCATENATE(Liste!$C$3,$B$5,$B$175),Data!$BO:$BO,0)-2,58)=""),"PFH [1/h] = "&amp;10^9*INDEX(Tab_DaBa[],MATCH(CONCATENATE(Liste!$C$3,$B$5,$B$175),Data!$BO:$BO,0)-2,16)&amp;"E-9",IF(INDEX(Tab_DaBa[],MATCH(CONCATENATE(Liste!$C$3,$B$5,$B$175),Data!$BO:$BO,0)-2,53)&lt;&gt;"","PFH [1/h] = "&amp;10^9*INDEX(Tab_DaBa[],MATCH(CONCATENATE(Liste!$C$3,$B$5,$B$175),Data!$BO:$BO,0)-2,61)&amp;"E-9","")),"")</f>
        <v/>
      </c>
      <c r="E197" s="37"/>
      <c r="F197" s="35" t="str">
        <f ca="1">IFERROR(IF(AND(INDEX(Tab_DaBa[],MATCH(CONCATENATE(Liste!$C$3,$B$5,$B$175),Data!$BO:$BO,0)-2,58)&lt;&gt;"",INDEX(Tab_DaBa[],MATCH(CONCATENATE(Liste!$C$3,$B$5,$B$175),Data!$BO:$BO,0)-2,63)=""),"PFH [1/h] = "&amp;10^9*INDEX(Tab_DaBa[],MATCH(CONCATENATE(Liste!$C$3,$B$5,$B$175),Data!$BO:$BO,0)-2,16)&amp;"E-9",IF(INDEX(Tab_DaBa[],MATCH(CONCATENATE(Liste!$C$3,$B$5,$B$175),Data!$BO:$BO,0)-2,58)&lt;&gt;"","PFH [1/h] = "&amp;10^9*INDEX(Tab_DaBa[],MATCH(CONCATENATE(Liste!$C$3,$B$5,$B$175),Data!$BO:$BO,0)-2,66)&amp;"E-9","")),"")</f>
        <v/>
      </c>
      <c r="G197" s="39"/>
      <c r="H197" s="35" t="str">
        <f ca="1">IFERROR(IF(INDEX(Tab_DaBa[],MATCH(CONCATENATE(Liste!$C$3,$B$5,$B$175),Data!$BO:$BO,0)-2,63)&lt;&gt;"","PFH [1/h] = "&amp;10^9*INDEX(Tab_DaBa[],MATCH(CONCATENATE(Liste!$C$3,$B$5,$B$175),Data!$BO:$BO,0)-2,16)&amp;"E-9",""),"")</f>
        <v/>
      </c>
    </row>
    <row r="198" spans="2:9" s="16" customFormat="1"/>
    <row r="199" spans="2:9" s="16" customFormat="1">
      <c r="B199" s="43" t="str">
        <f ca="1">IF(D199="","","Erforderlich")</f>
        <v>Erforderlich</v>
      </c>
      <c r="D199" s="44" t="str">
        <f ca="1">IFERROR("Performance Level: "&amp;INDEX(Tab_DaBa[],MATCH(CONCATENATE(Liste!$C$3,$B$5,$B$175),Data!$BO:$BO,0)-2,4),"")</f>
        <v>Performance Level: PLr_ges1_6</v>
      </c>
    </row>
    <row r="200" spans="2:9" s="16" customFormat="1">
      <c r="B200" s="45"/>
    </row>
    <row r="201" spans="2:9" s="16" customFormat="1">
      <c r="B201" s="46" t="str">
        <f ca="1">IF(D201="","","Erreicht")</f>
        <v>Erreicht</v>
      </c>
      <c r="D201" s="47" t="str">
        <f ca="1">IFERROR("Performance Level: "&amp;INDEX(Tab_DaBa[],MATCH(CONCATENATE(Liste!$C$3,$B$5,$B$175),Data!$BO:$BO,0)-2,5)&amp;"          PFH [1/h] = "&amp;10^9*INDEX(Tab_DaBa[],MATCH(CONCATENATE(Liste!$C$3,$B$5,$B$175),Data!$BO:$BO,0)-2,6)&amp;"E-9","")</f>
        <v>Performance Level: Pl_ges1_6          PFH [1/h] = 0,67E-9</v>
      </c>
    </row>
    <row r="202" spans="2:9" s="16" customFormat="1">
      <c r="B202" s="52"/>
      <c r="D202" s="51"/>
    </row>
    <row r="203" spans="2:9" s="16" customFormat="1">
      <c r="B203" s="42" t="str">
        <f ca="1">IFERROR(IF(8&gt;COUNTIF(Data!$BP:$BP,CONCATENATE(Liste!$C$3,$B$5)),"",INDEX(Tab_DaBa[],MATCH(CONCATENATE(Liste!$C$3,$B$5),Data!$BP:$BP,0)+5,3)),"")</f>
        <v>1.7 test1 (E+7L+A)</v>
      </c>
    </row>
    <row r="204" spans="2:9" s="16" customFormat="1"/>
    <row r="205" spans="2:9" s="16" customFormat="1" ht="15.75">
      <c r="B205" s="35" t="str">
        <f ca="1">IFERROR(INDEX(Tab_DaBa[],MATCH(CONCATENATE(Liste!$C$3,$B$5,$B$203),Data!$BO:$BO,0)-2,9),"")</f>
        <v>Eingang</v>
      </c>
      <c r="C205" s="54"/>
      <c r="D205" s="35" t="str">
        <f ca="1">IFERROR(IF(INDEX(Tab_DaBa[],MATCH(CONCATENATE(Liste!$C$3,$B$5,$B$203),Data!$BO:$BO,0)-2,18)=0,INDEX(Tab_DaBa[],MATCH(CONCATENATE(Liste!$C$3,$B$5,$B$203),Data!$BO:$BO,0)-2,14),INDEX(Tab_DaBa[],MATCH(CONCATENATE(Liste!$C$3,$B$5,$B$203),Data!$BO:$BO,0)-2,19)),"")</f>
        <v>Logik 01</v>
      </c>
      <c r="E205" s="33"/>
      <c r="F205" s="35" t="str">
        <f ca="1">IFERROR(IF(AND(INDEX(Tab_DaBa[],MATCH(CONCATENATE(Liste!$C$3,$B$5,$B$203),Data!$BO:$BO,0)-2,18)&lt;&gt;"",INDEX(Tab_DaBa[],MATCH(CONCATENATE(Liste!$C$3,$B$5,$B$203),Data!$BO:$BO,0)-2,23)=0),INDEX(Tab_DaBa[],MATCH(CONCATENATE(Liste!$C$3,$B$5,$B$203),Data!$BO:$BO,0)-2,14),IF(INDEX(Tab_DaBa[],MATCH(CONCATENATE(Liste!$C$3,$B$5,$B$203),Data!$BO:$BO,0)-2,23)&lt;&gt;"",INDEX(Tab_DaBa[],MATCH(CONCATENATE(Liste!$C$3,$B$5,$B$203),Data!$BO:$BO,0)-2,24),"")),"")</f>
        <v>Logik 02</v>
      </c>
      <c r="G205" s="39"/>
      <c r="H205" s="35" t="str">
        <f ca="1">IFERROR(IF(AND(INDEX(Tab_DaBa[],MATCH(CONCATENATE(Liste!$C$3,$B$5,$B$203),Data!$BO:$BO,0)-2,23)&lt;&gt;"",INDEX(Tab_DaBa[],MATCH(CONCATENATE(Liste!$C$3,$B$5,$B$203),Data!$BO:$BO,0)-2,28)=0),INDEX(Tab_DaBa[],MATCH(CONCATENATE(Liste!$C$3,$B$5,$B$203),Data!$BO:$BO,0)-2,14),IF(INDEX(Tab_DaBa[],MATCH(CONCATENATE(Liste!$C$3,$B$5,$B$203),Data!$BO:$BO,0)-2,23)&lt;&gt;"",INDEX(Tab_DaBa[],MATCH(CONCATENATE(Liste!$C$3,$B$5,$B$203),Data!$BO:$BO,0)-2,29),"")),"")</f>
        <v>Logik 03</v>
      </c>
      <c r="I205" s="39"/>
    </row>
    <row r="206" spans="2:9" s="16" customFormat="1" ht="15.75">
      <c r="B206" s="35" t="str">
        <f ca="1">IFERROR(INDEX(Tab_DaBa[],MATCH(CONCATENATE(Liste!$C$3,$B$5,$B$203),Data!$BO:$BO,0)-2,7),"")</f>
        <v>eeee-11_7</v>
      </c>
      <c r="C206" s="54"/>
      <c r="D206" s="35" t="str">
        <f ca="1">IFERROR(IF(INDEX(Tab_DaBa[],MATCH(CONCATENATE(Liste!$C$3,$B$5,$B$203),Data!$BO:$BO,0)-2,18)="",INDEX(Tab_DaBa[],MATCH(CONCATENATE(Liste!$C$3,$B$5,$B$203),Data!$BO:$BO,0)-2,12),INDEX(Tab_DaBa[],MATCH(CONCATENATE(Liste!$C$3,$B$5,$B$203),Data!$BO:$BO,0)-2,17)),"")</f>
        <v>Log01-01_07</v>
      </c>
      <c r="E206" s="36"/>
      <c r="F206" s="35" t="str">
        <f ca="1">IFERROR(IF(AND(INDEX(Tab_DaBa[],MATCH(CONCATENATE(Liste!$C$3,$B$5,$B$203),Data!$BO:$BO,0)-2,18)&lt;&gt;"",INDEX(Tab_DaBa[],MATCH(CONCATENATE(Liste!$C$3,$B$5,$B$203),Data!$BO:$BO,0)-2,23)=0),INDEX(Tab_DaBa[],MATCH(CONCATENATE(Liste!$C$3,$B$5,$B$203),Data!$BO:$BO,0)-2,12),IF(INDEX(Tab_DaBa[],MATCH(CONCATENATE(Liste!$C$3,$B$5,$B$203),Data!$BO:$BO,0)-2,23)&lt;&gt;"",INDEX(Tab_DaBa[],MATCH(CONCATENATE(Liste!$C$3,$B$5,$B$203),Data!$BO:$BO,0)-2,22),"")),"")</f>
        <v>Lo01-22_7</v>
      </c>
      <c r="G206" s="39"/>
      <c r="H206" s="35" t="str">
        <f ca="1">IFERROR(IF(AND(INDEX(Tab_DaBa[],MATCH(CONCATENATE(Liste!$C$3,$B$5,$B$203),Data!$BO:$BO,0)-2,23)&lt;&gt;"",INDEX(Tab_DaBa[],MATCH(CONCATENATE(Liste!$C$3,$B$5,$B$203),Data!$BO:$BO,0)-2,28)=0),INDEX(Tab_DaBa[],MATCH(CONCATENATE(Liste!$C$3,$B$5,$B$203),Data!$BO:$BO,0)-2,12),IF(INDEX(Tab_DaBa[],MATCH(CONCATENATE(Liste!$C$3,$B$5,$B$203),Data!$BO:$BO,0)-2,23)&lt;&gt;"",INDEX(Tab_DaBa[],MATCH(CONCATENATE(Liste!$C$3,$B$5,$B$203),Data!$BO:$BO,0)-2,27),"")),"")</f>
        <v>Lo01-33_7</v>
      </c>
      <c r="I206" s="39"/>
    </row>
    <row r="207" spans="2:9" s="16" customFormat="1" ht="15.75">
      <c r="B207" s="35" t="str">
        <f ca="1">IFERROR(INDEX(Tab_DaBa[],MATCH(CONCATENATE(Liste!$C$3,$B$5,$B$203),Data!$BO:$BO,0)-2,8),"")</f>
        <v>Bez_Ein1_7</v>
      </c>
      <c r="C207" s="40">
        <f ca="1">IF(D205="","",4)</f>
        <v>4</v>
      </c>
      <c r="D207" s="35" t="str">
        <f ca="1">IFERROR(IF(INDEX(Tab_DaBa[],MATCH(CONCATENATE(Liste!$C$3,$B$5,$B$203),Data!$BO:$BO,0)-2,18)="",INDEX(Tab_DaBa[],MATCH(CONCATENATE(Liste!$C$3,$B$5,$B$203),Data!$BO:$BO,0)-2,13),INDEX(Tab_DaBa[],MATCH(CONCATENATE(Liste!$C$3,$B$5,$B$203),Data!$BO:$BO,0)-2,18)),"")</f>
        <v>Bez_Log01_01_07</v>
      </c>
      <c r="E207" s="40">
        <f ca="1">IF(F205="","",4)</f>
        <v>4</v>
      </c>
      <c r="F207" s="35" t="str">
        <f ca="1">IFERROR(IF(AND(INDEX(Tab_DaBa[],MATCH(CONCATENATE(Liste!$C$3,$B$5,$B$203),Data!$BO:$BO,0)-2,18)&lt;&gt;"",INDEX(Tab_DaBa[],MATCH(CONCATENATE(Liste!$C$3,$B$5,$B$203),Data!$BO:$BO,0)-2,23)=""),INDEX(Tab_DaBa[],MATCH(CONCATENATE(Liste!$C$3,$B$5,$B$203),Data!$BO:$BO,0)-2,13),IF(INDEX(Tab_DaBa[],MATCH(CONCATENATE(Liste!$C$3,$B$5,$B$203),Data!$BO:$BO,0)-2,23)&lt;&gt;"",INDEX(Tab_DaBa[],MATCH(CONCATENATE(Liste!$C$3,$B$5,$B$203),Data!$BO:$BO,0)-2,23),"")),"")</f>
        <v>Bez_Lo01_7</v>
      </c>
      <c r="G207" s="38">
        <f ca="1">IF(H205="","",4)</f>
        <v>4</v>
      </c>
      <c r="H207" s="35" t="str">
        <f ca="1">IFERROR(IF(AND(INDEX(Tab_DaBa[],MATCH(CONCATENATE(Liste!$C$3,$B$5,$B$203),Data!$BO:$BO,0)-2,23)&lt;&gt;"",INDEX(Tab_DaBa[],MATCH(CONCATENATE(Liste!$C$3,$B$5,$B$203),Data!$BO:$BO,0)-2,28)=""),INDEX(Tab_DaBa[],MATCH(CONCATENATE(Liste!$C$3,$B$5,$B$203),Data!$BO:$BO,0)-2,13),IF(INDEX(Tab_DaBa[],MATCH(CONCATENATE(Liste!$C$3,$B$5,$B$203),Data!$BO:$BO,0)-2,23)&lt;&gt;"",INDEX(Tab_DaBa[],MATCH(CONCATENATE(Liste!$C$3,$B$5,$B$203),Data!$BO:$BO,0)-2,28),"")),"")</f>
        <v>Bez_Lo01_7</v>
      </c>
      <c r="I207" s="38">
        <f ca="1">IF(B213="","",6)</f>
        <v>6</v>
      </c>
    </row>
    <row r="208" spans="2:9" s="16" customFormat="1" ht="15.75">
      <c r="B208" s="35" t="str">
        <f ca="1">IFERROR("Performance Level: "&amp;INDEX(Tab_DaBa[],MATCH(CONCATENATE(Liste!$C$3,$B$5,$B$203),Data!$BO:$BO,0)-2,10),"")</f>
        <v>Performance Level: PL_Ein1_7</v>
      </c>
      <c r="C208" s="54"/>
      <c r="D208" s="35" t="str">
        <f ca="1">IFERROR(IF(INDEX(Tab_DaBa[],MATCH(CONCATENATE(Liste!$C$3,$B$5,$B$203),Data!$BO:$BO,0)-2,18)="","Performance Level: "&amp;INDEX(Tab_DaBa[],MATCH(CONCATENATE(Liste!$C$3,$B$5,$B$203),Data!$BO:$BO,0)-2,15),"Performance Level: "&amp;INDEX(Tab_DaBa[],MATCH(CONCATENATE(Liste!$C$3,$B$5,$B$203),Data!$BO:$BO,0)-2,20)),"")</f>
        <v>Performance Level: PL_Log01_01_07</v>
      </c>
      <c r="E208" s="36"/>
      <c r="F208" s="35" t="str">
        <f ca="1">IFERROR(IF(AND(INDEX(Tab_DaBa[],MATCH(CONCATENATE(Liste!$C$3,$B$5,$B$203),Data!$BO:$BO,0)-2,18)&lt;&gt;"",INDEX(Tab_DaBa[],MATCH(CONCATENATE(Liste!$C$3,$B$5,$B$203),Data!$BO:$BO,0)-2,23)=""),"Performance Level: "&amp;INDEX(Tab_DaBa[],MATCH(CONCATENATE(Liste!$C$3,$B$5,$B$203),Data!$BO:$BO,0)-2,15),IF(INDEX(Tab_DaBa[],MATCH(CONCATENATE(Liste!$C$3,$B$5,$B$203),Data!$BO:$BO,0)-2,23)&lt;&gt;"","Performance Level: "&amp;INDEX(Tab_DaBa[],MATCH(CONCATENATE(Liste!$C$3,$B$5,$B$203),Data!$BO:$BO,0)-2,25),"")),"")</f>
        <v>Performance Level: PL_Lo02_7</v>
      </c>
      <c r="G208" s="39"/>
      <c r="H208" s="35" t="str">
        <f ca="1">IFERROR(IF(AND(INDEX(Tab_DaBa[],MATCH(CONCATENATE(Liste!$C$3,$B$5,$B$203),Data!$BO:$BO,0)-2,23)&lt;&gt;"",INDEX(Tab_DaBa[],MATCH(CONCATENATE(Liste!$C$3,$B$5,$B$203),Data!$BO:$BO,0)-2,28)=""),"Performance Level: "&amp;INDEX(Tab_DaBa[],MATCH(CONCATENATE(Liste!$C$3,$B$5,$B$203),Data!$BO:$BO,0)-2,15),IF(INDEX(Tab_DaBa[],MATCH(CONCATENATE(Liste!$C$3,$B$5,$B$203),Data!$BO:$BO,0)-2,23)&lt;&gt;"","Performance Level: "&amp;INDEX(Tab_DaBa[],MATCH(CONCATENATE(Liste!$C$3,$B$5,$B$203),Data!$BO:$BO,0)-2,30),"")),"")</f>
        <v>Performance Level: PL_Lo01_7</v>
      </c>
      <c r="I208" s="38"/>
    </row>
    <row r="209" spans="2:9" s="16" customFormat="1" ht="15.75">
      <c r="B209" s="53" t="str">
        <f ca="1">IFERROR("PFH [1/h] = "&amp;10^9*INDEX(Tab_DaBa[],MATCH(CONCATENATE(Liste!$C$3,$B$5,$B$203),Data!$BO:$BO,0)-2,11)&amp;"E-9","")</f>
        <v>PFH [1/h] = 7,9E-9</v>
      </c>
      <c r="C209" s="54"/>
      <c r="D209" s="35" t="str">
        <f ca="1">IFERROR(IF(INDEX(Tab_DaBa[],MATCH(CONCATENATE(Liste!$C$3,$B$5,$B$203),Data!$BO:$BO,0)-2,18)="","PFH [1/h] = "&amp;10^9*INDEX(Tab_DaBa[],MATCH(CONCATENATE(Liste!$C$3,$B$5,$B$203),Data!$BO:$BO,0)-2,16)&amp;"E-9","PFH [1/h] = "&amp;10^9*INDEX(Tab_DaBa[],MATCH(CONCATENATE(Liste!$C$3,$B$5,$B$203),Data!$BO:$BO,0)-2,21)&amp;"E-9"),"")</f>
        <v>PFH [1/h] = 7,198E-9</v>
      </c>
      <c r="E209" s="36"/>
      <c r="F209" s="35" t="str">
        <f ca="1">IFERROR(IF(AND(INDEX(Tab_DaBa[],MATCH(CONCATENATE(Liste!$C$3,$B$5,$B$203),Data!$BO:$BO,0)-2,18)&lt;&gt;"",INDEX(Tab_DaBa[],MATCH(CONCATENATE(Liste!$C$3,$B$5,$B$203),Data!$BO:$BO,0)-2,23)=""),"PFH [1/h] = "&amp;10^9*INDEX(Tab_DaBa[],MATCH(CONCATENATE(Liste!$C$3,$B$5,$B$203),Data!$BO:$BO,0)-2,16)&amp;"E-9",IF(INDEX(Tab_DaBa[],MATCH(CONCATENATE(Liste!$C$3,$B$5,$B$203),Data!$BO:$BO,0)-2,23)&lt;&gt;"","PFH [1/h] = "&amp;10^9*INDEX(Tab_DaBa[],MATCH(CONCATENATE(Liste!$C$3,$B$5,$B$203),Data!$BO:$BO,0)-2,26)&amp;"E-9","")),"")</f>
        <v>PFH [1/h] = 4,195E-9</v>
      </c>
      <c r="G209" s="39"/>
      <c r="H209" s="35" t="str">
        <f ca="1">IFERROR(IF(AND(INDEX(Tab_DaBa[],MATCH(CONCATENATE(Liste!$C$3,$B$5,$B$203),Data!$BO:$BO,0)-2,23)&lt;&gt;"",INDEX(Tab_DaBa[],MATCH(CONCATENATE(Liste!$C$3,$B$5,$B$203),Data!$BO:$BO,0)-2,28)=""),"PFH [1/h] = "&amp;10^9*INDEX(Tab_DaBa[],MATCH(CONCATENATE(Liste!$C$3,$B$5,$B$203),Data!$BO:$BO,0)-2,16)&amp;"E-9",IF(INDEX(Tab_DaBa[],MATCH(CONCATENATE(Liste!$C$3,$B$5,$B$203),Data!$BO:$BO,0)-2,23)&lt;&gt;"","PFH [1/h] = "&amp;10^9*INDEX(Tab_DaBa[],MATCH(CONCATENATE(Liste!$C$3,$B$5,$B$203),Data!$BO:$BO,0)-2,31)&amp;"E-9","")),"")</f>
        <v>PFH [1/h] = 4,19E-9</v>
      </c>
      <c r="I209" s="39"/>
    </row>
    <row r="210" spans="2:9" s="16" customFormat="1">
      <c r="B210" s="33"/>
      <c r="C210" s="34"/>
      <c r="D210" s="33"/>
      <c r="E210" s="33"/>
      <c r="F210" s="33"/>
      <c r="G210" s="33"/>
      <c r="H210" s="33"/>
      <c r="I210" s="33"/>
    </row>
    <row r="211" spans="2:9" s="16" customFormat="1" ht="15.75">
      <c r="B211" s="38">
        <f ca="1">IF(B213="","",6)</f>
        <v>6</v>
      </c>
      <c r="C211" s="34"/>
      <c r="D211" s="38">
        <f ca="1">IF(B213="","",3)</f>
        <v>3</v>
      </c>
      <c r="E211" s="33"/>
      <c r="F211" s="38">
        <f ca="1">IF(B213="","",3)</f>
        <v>3</v>
      </c>
      <c r="G211" s="33"/>
      <c r="H211" s="38">
        <f ca="1">IF(B213="","",3)</f>
        <v>3</v>
      </c>
      <c r="I211" s="33"/>
    </row>
    <row r="212" spans="2:9" s="16" customFormat="1" ht="15.75">
      <c r="B212" s="39"/>
      <c r="C212" s="33"/>
      <c r="D212" s="33"/>
      <c r="E212" s="33"/>
      <c r="F212" s="33"/>
      <c r="G212" s="33"/>
      <c r="H212" s="33"/>
      <c r="I212" s="33"/>
    </row>
    <row r="213" spans="2:9" s="16" customFormat="1" ht="15.75">
      <c r="B213" s="35" t="str">
        <f ca="1">IFERROR(IF(AND(INDEX(Tab_DaBa[],MATCH(CONCATENATE(Liste!$C$3,$B$5,$B$203),Data!$BO:$BO,0)-2,28)&lt;&gt;"",INDEX(Tab_DaBa[],MATCH(CONCATENATE(Liste!$C$3,$B$5,$B$203),Data!$BO:$BO,0)-2,33)=0),INDEX(Tab_DaBa[],MATCH(CONCATENATE(Liste!$C$3,$B$5,$B$203),Data!$BO:$BO,0)-2,14),IF(INDEX(Tab_DaBa[],MATCH(CONCATENATE(Liste!$C$3,$B$5,$B$203),Data!$BO:$BO,0)-2,28)&lt;&gt;"",INDEX(Tab_DaBa[],MATCH(CONCATENATE(Liste!$C$3,$B$5,$B$203),Data!$BO:$BO,0)-2,34),"")),"")</f>
        <v>Logik 04</v>
      </c>
      <c r="C213" s="39"/>
      <c r="D213" s="35" t="str">
        <f ca="1">IFERROR(IF(AND(INDEX(Tab_DaBa[],MATCH(CONCATENATE(Liste!$C$3,$B$5,$B$203),Data!$BO:$BO,0)-2,33)&lt;&gt;"",INDEX(Tab_DaBa[],MATCH(CONCATENATE(Liste!$C$3,$B$5,$B$203),Data!$BO:$BO,0)-2,38)=0),INDEX(Tab_DaBa[],MATCH(CONCATENATE(Liste!$C$3,$B$5,$B$203),Data!$BO:$BO,0)-2,14),IF(INDEX(Tab_DaBa[],MATCH(CONCATENATE(Liste!$C$3,$B$5,$B$203),Data!$BO:$BO,0)-2,33)&lt;&gt;"",INDEX(Tab_DaBa[],MATCH(CONCATENATE(Liste!$C$3,$B$5,$B$203),Data!$BO:$BO,0)-2,39),"")),"")</f>
        <v>Logik 05</v>
      </c>
      <c r="E213" s="33"/>
      <c r="F213" s="35" t="str">
        <f ca="1">IFERROR(IF(AND(INDEX(Tab_DaBa[],MATCH(CONCATENATE(Liste!$C$3,$B$5,$B$203),Data!$BO:$BO,0)-2,38)&lt;&gt;"",INDEX(Tab_DaBa[],MATCH(CONCATENATE(Liste!$C$3,$B$5,$B$203),Data!$BO:$BO,0)-2,43)=0),INDEX(Tab_DaBa[],MATCH(CONCATENATE(Liste!$C$3,$B$5,$B$203),Data!$BO:$BO,0)-2,14),IF(INDEX(Tab_DaBa[],MATCH(CONCATENATE(Liste!$C$3,$B$5,$B$203),Data!$BO:$BO,0)-2,38)&lt;&gt;"",INDEX(Tab_DaBa[],MATCH(CONCATENATE(Liste!$C$3,$B$5,$B$203),Data!$BO:$BO,0)-2,44),"")),"")</f>
        <v>Logik 06</v>
      </c>
      <c r="G213" s="39"/>
      <c r="H213" s="35" t="str">
        <f ca="1">IFERROR(IF(AND(INDEX(Tab_DaBa[],MATCH(CONCATENATE(Liste!$C$3,$B$5,$B$203),Data!$BO:$BO,0)-2,43)&lt;&gt;"",INDEX(Tab_DaBa[],MATCH(CONCATENATE(Liste!$C$3,$B$5,$B$203),Data!$BO:$BO,0)-2,48)=0),INDEX(Tab_DaBa[],MATCH(CONCATENATE(Liste!$C$3,$B$5,$B$203),Data!$BO:$BO,0)-2,14),IF(INDEX(Tab_DaBa[],MATCH(CONCATENATE(Liste!$C$3,$B$5,$B$203),Data!$BO:$BO,0)-2,43)&lt;&gt;"",INDEX(Tab_DaBa[],MATCH(CONCATENATE(Liste!$C$3,$B$5,$B$203),Data!$BO:$BO,0)-2,49),"")),"")</f>
        <v>Logik 07</v>
      </c>
      <c r="I213" s="39"/>
    </row>
    <row r="214" spans="2:9" s="16" customFormat="1" ht="15.75">
      <c r="B214" s="35" t="str">
        <f ca="1">IFERROR(IF(AND(INDEX(Tab_DaBa[],MATCH(CONCATENATE(Liste!$C$3,$B$5,$B$203),Data!$BO:$BO,0)-2,28)&lt;&gt;"",INDEX(Tab_DaBa[],MATCH(CONCATENATE(Liste!$C$3,$B$5,$B$203),Data!$BO:$BO,0)-2,33)=0),INDEX(Tab_DaBa[],MATCH(CONCATENATE(Liste!$C$3,$B$5,$B$203),Data!$BO:$BO,0)-2,12),IF(INDEX(Tab_DaBa[],MATCH(CONCATENATE(Liste!$C$3,$B$5,$B$203),Data!$BO:$BO,0)-2,28)&lt;&gt;"",INDEX(Tab_DaBa[],MATCH(CONCATENATE(Liste!$C$3,$B$5,$B$203),Data!$BO:$BO,0)-2,32),"")),"")</f>
        <v>Lo01_44_7</v>
      </c>
      <c r="C214" s="39"/>
      <c r="D214" s="35" t="str">
        <f ca="1">IFERROR(IF(AND(INDEX(Tab_DaBa[],MATCH(CONCATENATE(Liste!$C$3,$B$5,$B$203),Data!$BO:$BO,0)-2,33)&lt;&gt;"",INDEX(Tab_DaBa[],MATCH(CONCATENATE(Liste!$C$3,$B$5,$B$203),Data!$BO:$BO,0)-2,38)=0),INDEX(Tab_DaBa[],MATCH(CONCATENATE(Liste!$C$3,$B$5,$B$203),Data!$BO:$BO,0)-2,12),IF(INDEX(Tab_DaBa[],MATCH(CONCATENATE(Liste!$C$3,$B$5,$B$203),Data!$BO:$BO,0)-2,33)&lt;&gt;"",INDEX(Tab_DaBa[],MATCH(CONCATENATE(Liste!$C$3,$B$5,$B$203),Data!$BO:$BO,0)-2,37),"")),"")</f>
        <v>Lo01_55_7</v>
      </c>
      <c r="E214" s="37"/>
      <c r="F214" s="35" t="str">
        <f ca="1">IFERROR(IF(AND(INDEX(Tab_DaBa[],MATCH(CONCATENATE(Liste!$C$3,$B$5,$B$203),Data!$BO:$BO,0)-2,38)&lt;&gt;"",INDEX(Tab_DaBa[],MATCH(CONCATENATE(Liste!$C$3,$B$5,$B$203),Data!$BO:$BO,0)-2,43)=0),INDEX(Tab_DaBa[],MATCH(CONCATENATE(Liste!$C$3,$B$5,$B$203),Data!$BO:$BO,0)-2,12),IF(INDEX(Tab_DaBa[],MATCH(CONCATENATE(Liste!$C$3,$B$5,$B$203),Data!$BO:$BO,0)-2,38)&lt;&gt;"",INDEX(Tab_DaBa[],MATCH(CONCATENATE(Liste!$C$3,$B$5,$B$203),Data!$BO:$BO,0)-2,42),"")),"")</f>
        <v>Lo01-66_7</v>
      </c>
      <c r="G214" s="39"/>
      <c r="H214" s="35" t="str">
        <f ca="1">IFERROR(IF(AND(INDEX(Tab_DaBa[],MATCH(CONCATENATE(Liste!$C$3,$B$5,$B$203),Data!$BO:$BO,0)-2,43)&lt;&gt;"",INDEX(Tab_DaBa[],MATCH(CONCATENATE(Liste!$C$3,$B$5,$B$203),Data!$BO:$BO,0)-2,48)=0),INDEX(Tab_DaBa[],MATCH(CONCATENATE(Liste!$C$3,$B$5,$B$203),Data!$BO:$BO,0)-2,12),IF(INDEX(Tab_DaBa[],MATCH(CONCATENATE(Liste!$C$3,$B$5,$B$203),Data!$BO:$BO,0)-2,43)&lt;&gt;"",INDEX(Tab_DaBa[],MATCH(CONCATENATE(Liste!$C$3,$B$5,$B$203),Data!$BO:$BO,0)-2,47),"")),"")</f>
        <v>Lo01-77_7</v>
      </c>
      <c r="I214" s="39"/>
    </row>
    <row r="215" spans="2:9" s="16" customFormat="1" ht="15.75">
      <c r="B215" s="35" t="str">
        <f ca="1">IFERROR(IF(AND(INDEX(Tab_DaBa[],MATCH(CONCATENATE(Liste!$C$3,$B$5,$B$203),Data!$BO:$BO,0)-2,28)&lt;&gt;"",INDEX(Tab_DaBa[],MATCH(CONCATENATE(Liste!$C$3,$B$5,$B$203),Data!$BO:$BO,0)-2,33)=""),INDEX(Tab_DaBa[],MATCH(CONCATENATE(Liste!$C$3,$B$5,$B$203),Data!$BO:$BO,0)-2,13),IF(INDEX(Tab_DaBa[],MATCH(CONCATENATE(Liste!$C$3,$B$5,$B$203),Data!$BO:$BO,0)-2,28)&lt;&gt;"",INDEX(Tab_DaBa[],MATCH(CONCATENATE(Liste!$C$3,$B$5,$B$203),Data!$BO:$BO,0)-2,33),"")),"")</f>
        <v>Bez_Lo01_7</v>
      </c>
      <c r="C215" s="38">
        <f ca="1">IF(D213="","",4)</f>
        <v>4</v>
      </c>
      <c r="D215" s="35" t="str">
        <f ca="1">IFERROR(IF(AND(INDEX(Tab_DaBa[],MATCH(CONCATENATE(Liste!$C$3,$B$5,$B$203),Data!$BO:$BO,0)-2,33)&lt;&gt;"",INDEX(Tab_DaBa[],MATCH(CONCATENATE(Liste!$C$3,$B$5,$B$203),Data!$BO:$BO,0)-2,38)=""),INDEX(Tab_DaBa[],MATCH(CONCATENATE(Liste!$C$3,$B$5,$B$203),Data!$BO:$BO,0)-2,13),IF(INDEX(Tab_DaBa[],MATCH(CONCATENATE(Liste!$C$3,$B$5,$B$203),Data!$BO:$BO,0)-2,33)&lt;&gt;"",INDEX(Tab_DaBa[],MATCH(CONCATENATE(Liste!$C$3,$B$5,$B$203),Data!$BO:$BO,0)-2,38),"")),"")</f>
        <v>Bez_Lo01_7</v>
      </c>
      <c r="E215" s="38">
        <f ca="1">IF(F213="","",4)</f>
        <v>4</v>
      </c>
      <c r="F215" s="35" t="str">
        <f ca="1">IFERROR(IF(AND(INDEX(Tab_DaBa[],MATCH(CONCATENATE(Liste!$C$3,$B$5,$B$203),Data!$BO:$BO,0)-2,38)&lt;&gt;"",INDEX(Tab_DaBa[],MATCH(CONCATENATE(Liste!$C$3,$B$5,$B$203),Data!$BO:$BO,0)-2,43)=""),INDEX(Tab_DaBa[],MATCH(CONCATENATE(Liste!$C$3,$B$5,$B$203),Data!$BO:$BO,0)-2,13),IF(INDEX(Tab_DaBa[],MATCH(CONCATENATE(Liste!$C$3,$B$5,$B$203),Data!$BO:$BO,0)-2,38)&lt;&gt;"",INDEX(Tab_DaBa[],MATCH(CONCATENATE(Liste!$C$3,$B$5,$B$203),Data!$BO:$BO,0)-2,43),"")),"")</f>
        <v>Bez_Lo01_7</v>
      </c>
      <c r="G215" s="38">
        <f ca="1">IF(H213="","",4)</f>
        <v>4</v>
      </c>
      <c r="H215" s="35" t="str">
        <f ca="1">IFERROR(IF(AND(INDEX(Tab_DaBa[],MATCH(CONCATENATE(Liste!$C$3,$B$5,$B$203),Data!$BO:$BO,0)-2,43)&lt;&gt;"",INDEX(Tab_DaBa[],MATCH(CONCATENATE(Liste!$C$3,$B$5,$B$203),Data!$BO:$BO,0)-2,48)=""),INDEX(Tab_DaBa[],MATCH(CONCATENATE(Liste!$C$3,$B$5,$B$203),Data!$BO:$BO,0)-2,13),IF(INDEX(Tab_DaBa[],MATCH(CONCATENATE(Liste!$C$3,$B$5,$B$203),Data!$BO:$BO,0)-2,43)&lt;&gt;"",INDEX(Tab_DaBa[],MATCH(CONCATENATE(Liste!$C$3,$B$5,$B$203),Data!$BO:$BO,0)-2,48),"")),"")</f>
        <v>Bez_Lo01_7</v>
      </c>
      <c r="I215" s="38">
        <f ca="1">IF(B221="","",6)</f>
        <v>6</v>
      </c>
    </row>
    <row r="216" spans="2:9" s="16" customFormat="1" ht="15.75">
      <c r="B216" s="35" t="str">
        <f ca="1">IFERROR(IF(AND(INDEX(Tab_DaBa[],MATCH(CONCATENATE(Liste!$C$3,$B$5,$B$203),Data!$BO:$BO,0)-2,28)&lt;&gt;"",INDEX(Tab_DaBa[],MATCH(CONCATENATE(Liste!$C$3,$B$5,$B$203),Data!$BO:$BO,0)-2,33)=""),"Performance Level: "&amp;INDEX(Tab_DaBa[],MATCH(CONCATENATE(Liste!$C$3,$B$5,$B$203),Data!$BO:$BO,0)-2,15),IF(INDEX(Tab_DaBa[],MATCH(CONCATENATE(Liste!$C$3,$B$5,$B$203),Data!$BO:$BO,0)-2,28)&lt;&gt;"","Performance Level: "&amp;INDEX(Tab_DaBa[],MATCH(CONCATENATE(Liste!$C$3,$B$5,$B$203),Data!$BO:$BO,0)-2,35),"")),"")</f>
        <v>Performance Level: PL_Lo01_7</v>
      </c>
      <c r="C216" s="39"/>
      <c r="D216" s="35" t="str">
        <f ca="1">IFERROR(IF(AND(INDEX(Tab_DaBa[],MATCH(CONCATENATE(Liste!$C$3,$B$5,$B$203),Data!$BO:$BO,0)-2,33)&lt;&gt;"",INDEX(Tab_DaBa[],MATCH(CONCATENATE(Liste!$C$3,$B$5,$B$203),Data!$BO:$BO,0)-2,38)=""),"Performance Level: "&amp;INDEX(Tab_DaBa[],MATCH(CONCATENATE(Liste!$C$3,$B$5,$B$203),Data!$BO:$BO,0)-2,15),IF(INDEX(Tab_DaBa[],MATCH(CONCATENATE(Liste!$C$3,$B$5,$B$203),Data!$BO:$BO,0)-2,33)&lt;&gt;"","Performance Level: "&amp;INDEX(Tab_DaBa[],MATCH(CONCATENATE(Liste!$C$3,$B$5,$B$203),Data!$BO:$BO,0)-2,40),"")),"")</f>
        <v>Performance Level: PL_Lo01_7</v>
      </c>
      <c r="E216" s="37"/>
      <c r="F216" s="35" t="str">
        <f ca="1">IFERROR(IF(AND(INDEX(Tab_DaBa[],MATCH(CONCATENATE(Liste!$C$3,$B$5,$B$203),Data!$BO:$BO,0)-2,38)&lt;&gt;"",INDEX(Tab_DaBa[],MATCH(CONCATENATE(Liste!$C$3,$B$5,$B$203),Data!$BO:$BO,0)-2,43)=""),"Performance Level: "&amp;INDEX(Tab_DaBa[],MATCH(CONCATENATE(Liste!$C$3,$B$5,$B$203),Data!$BO:$BO,0)-2,15),IF(INDEX(Tab_DaBa[],MATCH(CONCATENATE(Liste!$C$3,$B$5,$B$203),Data!$BO:$BO,0)-2,38)&lt;&gt;"","Performance Level: "&amp;INDEX(Tab_DaBa[],MATCH(CONCATENATE(Liste!$C$3,$B$5,$B$203),Data!$BO:$BO,0)-2,45),"")),"")</f>
        <v>Performance Level: PL_Lo01_7</v>
      </c>
      <c r="G216" s="39"/>
      <c r="H216" s="35" t="str">
        <f ca="1">IFERROR(IF(AND(INDEX(Tab_DaBa[],MATCH(CONCATENATE(Liste!$C$3,$B$5,$B$203),Data!$BO:$BO,0)-2,43)&lt;&gt;"",INDEX(Tab_DaBa[],MATCH(CONCATENATE(Liste!$C$3,$B$5,$B$203),Data!$BO:$BO,0)-2,48)=""),"Performance Level: "&amp;INDEX(Tab_DaBa[],MATCH(CONCATENATE(Liste!$C$3,$B$5,$B$203),Data!$BO:$BO,0)-2,15),IF(INDEX(Tab_DaBa[],MATCH(CONCATENATE(Liste!$C$3,$B$5,$B$203),Data!$BO:$BO,0)-2,43)&lt;&gt;"","Performance Level: "&amp;INDEX(Tab_DaBa[],MATCH(CONCATENATE(Liste!$C$3,$B$5,$B$203),Data!$BO:$BO,0)-2,50),"")),"")</f>
        <v>Performance Level: PL_Lo01_7</v>
      </c>
      <c r="I216" s="39"/>
    </row>
    <row r="217" spans="2:9" s="16" customFormat="1" ht="15.75">
      <c r="B217" s="35" t="str">
        <f ca="1">IFERROR(IF(AND(INDEX(Tab_DaBa[],MATCH(CONCATENATE(Liste!$C$3,$B$5,$B$203),Data!$BO:$BO,0)-2,28)&lt;&gt;"",INDEX(Tab_DaBa[],MATCH(CONCATENATE(Liste!$C$3,$B$5,$B$203),Data!$BO:$BO,0)-2,33)=""),"PFH [1/h] = "&amp;10^9*INDEX(Tab_DaBa[],MATCH(CONCATENATE(Liste!$C$3,$B$5,$B$203),Data!$BO:$BO,0)-2,16)&amp;"E-9",IF(INDEX(Tab_DaBa[],MATCH(CONCATENATE(Liste!$C$3,$B$5,$B$203),Data!$BO:$BO,0)-2,28)&lt;&gt;"","PFH [1/h] = "&amp;10^9*INDEX(Tab_DaBa[],MATCH(CONCATENATE(Liste!$C$3,$B$5,$B$203),Data!$BO:$BO,0)-2,36)&amp;"E-9","")),"")</f>
        <v>PFH [1/h] = 4,19E-9</v>
      </c>
      <c r="C217" s="39"/>
      <c r="D217" s="35" t="str">
        <f ca="1">IFERROR(IF(AND(INDEX(Tab_DaBa[],MATCH(CONCATENATE(Liste!$C$3,$B$5,$B$203),Data!$BO:$BO,0)-2,33)&lt;&gt;"",INDEX(Tab_DaBa[],MATCH(CONCATENATE(Liste!$C$3,$B$5,$B$203),Data!$BO:$BO,0)-2,38)=""),"PFH [1/h] = "&amp;10^9*INDEX(Tab_DaBa[],MATCH(CONCATENATE(Liste!$C$3,$B$5,$B$203),Data!$BO:$BO,0)-2,16)&amp;"E-9",IF(INDEX(Tab_DaBa[],MATCH(CONCATENATE(Liste!$C$3,$B$5,$B$203),Data!$BO:$BO,0)-2,33)&lt;&gt;"","PFH [1/h] = "&amp;10^9*INDEX(Tab_DaBa[],MATCH(CONCATENATE(Liste!$C$3,$B$5,$B$203),Data!$BO:$BO,0)-2,41)&amp;"E-9","")),"")</f>
        <v>PFH [1/h] = 4,19E-9</v>
      </c>
      <c r="E217" s="37"/>
      <c r="F217" s="35" t="str">
        <f ca="1">IFERROR(IF(AND(INDEX(Tab_DaBa[],MATCH(CONCATENATE(Liste!$C$3,$B$5,$B$203),Data!$BO:$BO,0)-2,38)&lt;&gt;"",INDEX(Tab_DaBa[],MATCH(CONCATENATE(Liste!$C$3,$B$5,$B$203),Data!$BO:$BO,0)-2,43)=""),"PFH [1/h] = "&amp;10^9*INDEX(Tab_DaBa[],MATCH(CONCATENATE(Liste!$C$3,$B$5,$B$203),Data!$BO:$BO,0)-2,16)&amp;"E-9",IF(INDEX(Tab_DaBa[],MATCH(CONCATENATE(Liste!$C$3,$B$5,$B$203),Data!$BO:$BO,0)-2,38)&lt;&gt;"","PFH [1/h] = "&amp;10^9*INDEX(Tab_DaBa[],MATCH(CONCATENATE(Liste!$C$3,$B$5,$B$203),Data!$BO:$BO,0)-2,46)&amp;"E-9","")),"")</f>
        <v>PFH [1/h] = 4,19E-9</v>
      </c>
      <c r="G217" s="39"/>
      <c r="H217" s="35" t="str">
        <f ca="1">IFERROR(IF(AND(INDEX(Tab_DaBa[],MATCH(CONCATENATE(Liste!$C$3,$B$5,$B$203),Data!$BO:$BO,0)-2,43)&lt;&gt;"",INDEX(Tab_DaBa[],MATCH(CONCATENATE(Liste!$C$3,$B$5,$B$203),Data!$BO:$BO,0)-2,48)=""),"PFH [1/h] = "&amp;10^9*INDEX(Tab_DaBa[],MATCH(CONCATENATE(Liste!$C$3,$B$5,$B$203),Data!$BO:$BO,0)-2,16)&amp;"E-9",IF(INDEX(Tab_DaBa[],MATCH(CONCATENATE(Liste!$C$3,$B$5,$B$203),Data!$BO:$BO,0)-2,43)&lt;&gt;"","PFH [1/h] = "&amp;10^9*INDEX(Tab_DaBa[],MATCH(CONCATENATE(Liste!$C$3,$B$5,$B$203),Data!$BO:$BO,0)-2,51)&amp;"E-9","")),"")</f>
        <v>PFH [1/h] = 4,19E-9</v>
      </c>
      <c r="I217" s="39"/>
    </row>
    <row r="218" spans="2:9" s="16" customFormat="1">
      <c r="B218" s="33"/>
      <c r="C218" s="33"/>
      <c r="D218" s="33"/>
      <c r="E218" s="33"/>
      <c r="F218" s="33"/>
      <c r="G218" s="33"/>
      <c r="H218" s="33"/>
      <c r="I218" s="33"/>
    </row>
    <row r="219" spans="2:9" s="16" customFormat="1" ht="15.75">
      <c r="B219" s="38">
        <f ca="1">IF(B221="","",6)</f>
        <v>6</v>
      </c>
      <c r="C219" s="33"/>
      <c r="D219" s="38">
        <f ca="1">IF(B221="","",3)</f>
        <v>3</v>
      </c>
      <c r="E219" s="33"/>
      <c r="F219" s="38">
        <f ca="1">IF(B221="","",3)</f>
        <v>3</v>
      </c>
      <c r="G219" s="33"/>
      <c r="H219" s="38">
        <f ca="1">IF(B221="","",3)</f>
        <v>3</v>
      </c>
      <c r="I219" s="33"/>
    </row>
    <row r="220" spans="2:9" s="16" customFormat="1" ht="15.75">
      <c r="B220" s="39"/>
      <c r="C220" s="33"/>
      <c r="D220" s="33"/>
      <c r="E220" s="33"/>
      <c r="F220" s="33"/>
      <c r="G220" s="33"/>
      <c r="H220" s="33"/>
      <c r="I220" s="33"/>
    </row>
    <row r="221" spans="2:9" s="16" customFormat="1" ht="15.75">
      <c r="B221" s="35" t="str">
        <f ca="1">IFERROR(IF(AND(INDEX(Tab_DaBa[],MATCH(CONCATENATE(Liste!$C$3,$B$5,$B$203),Data!$BO:$BO,0)-2,48)&lt;&gt;"",INDEX(Tab_DaBa[],MATCH(CONCATENATE(Liste!$C$3,$B$5,$B$203),Data!$BO:$BO,0)-2,53)=0),INDEX(Tab_DaBa[],MATCH(CONCATENATE(Liste!$C$3,$B$5,$B$203),Data!$BO:$BO,0)-2,14),IF(INDEX(Tab_DaBa[],MATCH(CONCATENATE(Liste!$C$3,$B$5,$B$203),Data!$BO:$BO,0)-2,48)&lt;&gt;"",INDEX(Tab_DaBa[],MATCH(CONCATENATE(Liste!$C$3,$B$5,$B$203),Data!$BO:$BO,0)-2,54),"")),"")</f>
        <v>Ausgang</v>
      </c>
      <c r="C221" s="39"/>
      <c r="D221" s="35" t="str">
        <f ca="1">IFERROR(IF(AND(INDEX(Tab_DaBa[],MATCH(CONCATENATE(Liste!$C$3,$B$5,$B$203),Data!$BO:$BO,0)-2,53)&lt;&gt;"",INDEX(Tab_DaBa[],MATCH(CONCATENATE(Liste!$C$3,$B$5,$B$203),Data!$BO:$BO,0)-2,58)=0),INDEX(Tab_DaBa[],MATCH(CONCATENATE(Liste!$C$3,$B$5,$B$203),Data!$BO:$BO,0)-2,14),IF(INDEX(Tab_DaBa[],MATCH(CONCATENATE(Liste!$C$3,$B$5,$B$203),Data!$BO:$BO,0)-2,53)&lt;&gt;"",INDEX(Tab_DaBa[],MATCH(CONCATENATE(Liste!$C$3,$B$5,$B$203),Data!$BO:$BO,0)-2,59),"")),"")</f>
        <v/>
      </c>
      <c r="E221" s="33"/>
      <c r="F221" s="35" t="str">
        <f ca="1">IFERROR(IF(AND(INDEX(Tab_DaBa[],MATCH(CONCATENATE(Liste!$C$3,$B$5,$B$203),Data!$BO:$BO,0)-2,58)&lt;&gt;"",INDEX(Tab_DaBa[],MATCH(CONCATENATE(Liste!$C$3,$B$5,$B$203),Data!$BO:$BO,0)-2,63)=0),INDEX(Tab_DaBa[],MATCH(CONCATENATE(Liste!$C$3,$B$5,$B$203),Data!$BO:$BO,0)-2,14),IF(INDEX(Tab_DaBa[],MATCH(CONCATENATE(Liste!$C$3,$B$5,$B$203),Data!$BO:$BO,0)-2,58)&lt;&gt;"",INDEX(Tab_DaBa[],MATCH(CONCATENATE(Liste!$C$3,$B$5,$B$203),Data!$BO:$BO,0)-2,64),"")),"")</f>
        <v/>
      </c>
      <c r="G221" s="39"/>
      <c r="H221" s="35" t="str">
        <f ca="1">IFERROR(IF(INDEX(Tab_DaBa[],MATCH(CONCATENATE(Liste!$C$3,$B$5,$B$203),Data!$BO:$BO,0)-2,63)&lt;&gt;"",INDEX(Tab_DaBa[],MATCH(CONCATENATE(Liste!$C$3,$B$5,$B$203),Data!$BO:$BO,0)-2,14),""),"")</f>
        <v/>
      </c>
    </row>
    <row r="222" spans="2:9" s="16" customFormat="1" ht="15.75">
      <c r="B222" s="35" t="str">
        <f ca="1">IFERROR(IF(AND(INDEX(Tab_DaBa[],MATCH(CONCATENATE(Liste!$C$3,$B$5,$B$203),Data!$BO:$BO,0)-2,48)&lt;&gt;"",INDEX(Tab_DaBa[],MATCH(CONCATENATE(Liste!$C$3,$B$5,$B$203),Data!$BO:$BO,0)-2,53)=0),INDEX(Tab_DaBa[],MATCH(CONCATENATE(Liste!$C$3,$B$5,$B$203),Data!$BO:$BO,0)-2,12),IF(INDEX(Tab_DaBa[],MATCH(CONCATENATE(Liste!$C$3,$B$5,$B$203),Data!$BO:$BO,0)-2,48)&lt;&gt;"",INDEX(Tab_DaBa[],MATCH(CONCATENATE(Liste!$C$3,$B$5,$B$203),Data!$BO:$BO,0)-2,52),"")),"")</f>
        <v>aaaa-11_7</v>
      </c>
      <c r="C222" s="39"/>
      <c r="D222" s="35" t="str">
        <f ca="1">IFERROR(IF(AND(INDEX(Tab_DaBa[],MATCH(CONCATENATE(Liste!$C$3,$B$5,$B$203),Data!$BO:$BO,0)-2,53)&lt;&gt;"",INDEX(Tab_DaBa[],MATCH(CONCATENATE(Liste!$C$3,$B$5,$B$203),Data!$BO:$BO,0)-2,58)=0),INDEX(Tab_DaBa[],MATCH(CONCATENATE(Liste!$C$3,$B$5,$B$203),Data!$BO:$BO,0)-2,12),IF(INDEX(Tab_DaBa[],MATCH(CONCATENATE(Liste!$C$3,$B$5,$B$203),Data!$BO:$BO,0)-2,53)&lt;&gt;"",INDEX(Tab_DaBa[],MATCH(CONCATENATE(Liste!$C$3,$B$5,$B$203),Data!$BO:$BO,0)-2,57),"")),"")</f>
        <v/>
      </c>
      <c r="E222" s="37"/>
      <c r="F222" s="35" t="str">
        <f ca="1">IFERROR(IF(AND(INDEX(Tab_DaBa[],MATCH(CONCATENATE(Liste!$C$3,$B$5,$B$203),Data!$BO:$BO,0)-2,58)&lt;&gt;"",INDEX(Tab_DaBa[],MATCH(CONCATENATE(Liste!$C$3,$B$5,$B$203),Data!$BO:$BO,0)-2,63)=0),INDEX(Tab_DaBa[],MATCH(CONCATENATE(Liste!$C$3,$B$5,$B$203),Data!$BO:$BO,0)-2,12),IF(INDEX(Tab_DaBa[],MATCH(CONCATENATE(Liste!$C$3,$B$5,$B$203),Data!$BO:$BO,0)-2,58)&lt;&gt;"",INDEX(Tab_DaBa[],MATCH(CONCATENATE(Liste!$C$3,$B$5,$B$203),Data!$BO:$BO,0)-2,62),"")),"")</f>
        <v/>
      </c>
      <c r="G222" s="39"/>
      <c r="H222" s="35" t="str">
        <f ca="1">IFERROR(IF(INDEX(Tab_DaBa[],MATCH(CONCATENATE(Liste!$C$3,$B$5,$B$203),Data!$BO:$BO,0)-2,63)&lt;&gt;"",INDEX(Tab_DaBa[],MATCH(CONCATENATE(Liste!$C$3,$B$5,$B$203),Data!$BO:$BO,0)-2,12),""),"")</f>
        <v/>
      </c>
    </row>
    <row r="223" spans="2:9" s="16" customFormat="1" ht="15.75">
      <c r="B223" s="35" t="str">
        <f ca="1">IFERROR(IF(AND(INDEX(Tab_DaBa[],MATCH(CONCATENATE(Liste!$C$3,$B$5,$B$203),Data!$BO:$BO,0)-2,48)&lt;&gt;"",INDEX(Tab_DaBa[],MATCH(CONCATENATE(Liste!$C$3,$B$5,$B$203),Data!$BO:$BO,0)-2,53)=""),INDEX(Tab_DaBa[],MATCH(CONCATENATE(Liste!$C$3,$B$5,$B$203),Data!$BO:$BO,0)-2,13),IF(INDEX(Tab_DaBa[],MATCH(CONCATENATE(Liste!$C$3,$B$5,$B$203),Data!$BO:$BO,0)-2,48)&lt;&gt;"",INDEX(Tab_DaBa[],MATCH(CONCATENATE(Liste!$C$3,$B$5,$B$203),Data!$BO:$BO,0)-2,53),"")),"")</f>
        <v>Bez_Aus7</v>
      </c>
      <c r="C223" s="38" t="str">
        <f ca="1">IF(D221="","",4)</f>
        <v/>
      </c>
      <c r="D223" s="35" t="str">
        <f ca="1">IFERROR(IF(AND(INDEX(Tab_DaBa[],MATCH(CONCATENATE(Liste!$C$3,$B$5,$B$203),Data!$BO:$BO,0)-2,53)&lt;&gt;"",INDEX(Tab_DaBa[],MATCH(CONCATENATE(Liste!$C$3,$B$5,$B$203),Data!$BO:$BO,0)-2,58)=""),INDEX(Tab_DaBa[],MATCH(CONCATENATE(Liste!$C$3,$B$5,$B$203),Data!$BO:$BO,0)-2,13),IF(INDEX(Tab_DaBa[],MATCH(CONCATENATE(Liste!$C$3,$B$5,$B$203),Data!$BO:$BO,0)-2,53)&lt;&gt;"",INDEX(Tab_DaBa[],MATCH(CONCATENATE(Liste!$C$3,$B$5,$B$203),Data!$BO:$BO,0)-2,58),"")),"")</f>
        <v/>
      </c>
      <c r="E223" s="38" t="str">
        <f ca="1">IF(F221="","",4)</f>
        <v/>
      </c>
      <c r="F223" s="35" t="str">
        <f ca="1">IFERROR(IF(AND(INDEX(Tab_DaBa[],MATCH(CONCATENATE(Liste!$C$3,$B$5,$B$203),Data!$BO:$BO,0)-2,58)&lt;&gt;"",INDEX(Tab_DaBa[],MATCH(CONCATENATE(Liste!$C$3,$B$5,$B$203),Data!$BO:$BO,0)-2,63)=""),INDEX(Tab_DaBa[],MATCH(CONCATENATE(Liste!$C$3,$B$5,$B$203),Data!$BO:$BO,0)-2,13),IF(INDEX(Tab_DaBa[],MATCH(CONCATENATE(Liste!$C$3,$B$5,$B$203),Data!$BO:$BO,0)-2,58)&lt;&gt;"",INDEX(Tab_DaBa[],MATCH(CONCATENATE(Liste!$C$3,$B$5,$B$203),Data!$BO:$BO,0)-2,63),"")),"")</f>
        <v/>
      </c>
      <c r="G223" s="38" t="str">
        <f ca="1">IF(H221="","",4)</f>
        <v/>
      </c>
      <c r="H223" s="35" t="str">
        <f ca="1">IFERROR(IF(INDEX(Tab_DaBa[],MATCH(CONCATENATE(Liste!$C$3,$B$5,$B$203),Data!$BO:$BO,0)-2,63)&lt;&gt;"",INDEX(Tab_DaBa[],MATCH(CONCATENATE(Liste!$C$3,$B$5,$B$203),Data!$BO:$BO,0)-2,13),""),"")</f>
        <v/>
      </c>
    </row>
    <row r="224" spans="2:9" s="16" customFormat="1" ht="15.75">
      <c r="B224" s="35" t="str">
        <f ca="1">IFERROR(IF(AND(INDEX(Tab_DaBa[],MATCH(CONCATENATE(Liste!$C$3,$B$5,$B$203),Data!$BO:$BO,0)-2,48)&lt;&gt;"",INDEX(Tab_DaBa[],MATCH(CONCATENATE(Liste!$C$3,$B$5,$B$203),Data!$BO:$BO,0)-2,53)=""),"Performance Level: "&amp;INDEX(Tab_DaBa[],MATCH(CONCATENATE(Liste!$C$3,$B$5,$B$203),Data!$BO:$BO,0)-2,15),IF(INDEX(Tab_DaBa[],MATCH(CONCATENATE(Liste!$C$3,$B$5,$B$203),Data!$BO:$BO,0)-2,48)&lt;&gt;"","Performance Level: "&amp;INDEX(Tab_DaBa[],MATCH(CONCATENATE(Liste!$C$3,$B$5,$B$203),Data!$BO:$BO,0)-2,55),"")),"")</f>
        <v>Performance Level: PL_Aus1_7</v>
      </c>
      <c r="C224" s="39"/>
      <c r="D224" s="35" t="str">
        <f ca="1">IFERROR(IF(AND(INDEX(Tab_DaBa[],MATCH(CONCATENATE(Liste!$C$3,$B$5,$B$203),Data!$BO:$BO,0)-2,53)&lt;&gt;"",INDEX(Tab_DaBa[],MATCH(CONCATENATE(Liste!$C$3,$B$5,$B$203),Data!$BO:$BO,0)-2,58)=""),"Performance Level: "&amp;INDEX(Tab_DaBa[],MATCH(CONCATENATE(Liste!$C$3,$B$5,$B$203),Data!$BO:$BO,0)-2,15),IF(INDEX(Tab_DaBa[],MATCH(CONCATENATE(Liste!$C$3,$B$5,$B$203),Data!$BO:$BO,0)-2,53)&lt;&gt;"","Performance Level: "&amp;INDEX(Tab_DaBa[],MATCH(CONCATENATE(Liste!$C$3,$B$5,$B$203),Data!$BO:$BO,0)-2,60),"")),"")</f>
        <v/>
      </c>
      <c r="E224" s="37"/>
      <c r="F224" s="35" t="str">
        <f ca="1">IFERROR(IF(AND(INDEX(Tab_DaBa[],MATCH(CONCATENATE(Liste!$C$3,$B$5,$B$203),Data!$BO:$BO,0)-2,58)&lt;&gt;"",INDEX(Tab_DaBa[],MATCH(CONCATENATE(Liste!$C$3,$B$5,$B$203),Data!$BO:$BO,0)-2,63)=""),"Performance Level: "&amp;INDEX(Tab_DaBa[],MATCH(CONCATENATE(Liste!$C$3,$B$5,$B$203),Data!$BO:$BO,0)-2,15),IF(INDEX(Tab_DaBa[],MATCH(CONCATENATE(Liste!$C$3,$B$5,$B$203),Data!$BO:$BO,0)-2,58)&lt;&gt;"","Performance Level: "&amp;INDEX(Tab_DaBa[],MATCH(CONCATENATE(Liste!$C$3,$B$5,$B$203),Data!$BO:$BO,0)-2,65),"")),"")</f>
        <v/>
      </c>
      <c r="G224" s="39"/>
      <c r="H224" s="35" t="str">
        <f ca="1">IFERROR(IF(INDEX(Tab_DaBa[],MATCH(CONCATENATE(Liste!$C$3,$B$5,$B$203),Data!$BO:$BO,0)-2,63)&lt;&gt;"","Performance Level: "&amp;INDEX(Tab_DaBa[],MATCH(CONCATENATE(Liste!$C$3,$B$5,$B$203),Data!$BO:$BO,0)-2,15),""),"")</f>
        <v/>
      </c>
    </row>
    <row r="225" spans="2:9" s="16" customFormat="1" ht="15.75">
      <c r="B225" s="35" t="str">
        <f ca="1">IFERROR(IF(AND(INDEX(Tab_DaBa[],MATCH(CONCATENATE(Liste!$C$3,$B$5,$B$203),Data!$BO:$BO,0)-2,48)&lt;&gt;"",INDEX(Tab_DaBa[],MATCH(CONCATENATE(Liste!$C$3,$B$5,$B$203),Data!$BO:$BO,0)-2,53)=""),"PFH [1/h] = "&amp;10^9*INDEX(Tab_DaBa[],MATCH(CONCATENATE(Liste!$C$3,$B$5,$B$203),Data!$BO:$BO,0)-2,16)&amp;"E-9",IF(INDEX(Tab_DaBa[],MATCH(CONCATENATE(Liste!$C$3,$B$5,$B$203),Data!$BO:$BO,0)-2,48)&lt;&gt;"","PFH [1/h] = "&amp;10^9*INDEX(Tab_DaBa[],MATCH(CONCATENATE(Liste!$C$3,$B$5,$B$203),Data!$BO:$BO,0)-2,56)&amp;"E-9","")),"")</f>
        <v>PFH [1/h] = 74,7E-9</v>
      </c>
      <c r="C225" s="39"/>
      <c r="D225" s="35" t="str">
        <f ca="1">IFERROR(IF(AND(INDEX(Tab_DaBa[],MATCH(CONCATENATE(Liste!$C$3,$B$5,$B$203),Data!$BO:$BO,0)-2,53)&lt;&gt;"",INDEX(Tab_DaBa[],MATCH(CONCATENATE(Liste!$C$3,$B$5,$B$203),Data!$BO:$BO,0)-2,58)=""),"PFH [1/h] = "&amp;10^9*INDEX(Tab_DaBa[],MATCH(CONCATENATE(Liste!$C$3,$B$5,$B$203),Data!$BO:$BO,0)-2,16)&amp;"E-9",IF(INDEX(Tab_DaBa[],MATCH(CONCATENATE(Liste!$C$3,$B$5,$B$203),Data!$BO:$BO,0)-2,53)&lt;&gt;"","PFH [1/h] = "&amp;10^9*INDEX(Tab_DaBa[],MATCH(CONCATENATE(Liste!$C$3,$B$5,$B$203),Data!$BO:$BO,0)-2,61)&amp;"E-9","")),"")</f>
        <v/>
      </c>
      <c r="E225" s="37"/>
      <c r="F225" s="35" t="str">
        <f ca="1">IFERROR(IF(AND(INDEX(Tab_DaBa[],MATCH(CONCATENATE(Liste!$C$3,$B$5,$B$203),Data!$BO:$BO,0)-2,58)&lt;&gt;"",INDEX(Tab_DaBa[],MATCH(CONCATENATE(Liste!$C$3,$B$5,$B$203),Data!$BO:$BO,0)-2,63)=""),"PFH [1/h] = "&amp;10^9*INDEX(Tab_DaBa[],MATCH(CONCATENATE(Liste!$C$3,$B$5,$B$203),Data!$BO:$BO,0)-2,16)&amp;"E-9",IF(INDEX(Tab_DaBa[],MATCH(CONCATENATE(Liste!$C$3,$B$5,$B$203),Data!$BO:$BO,0)-2,58)&lt;&gt;"","PFH [1/h] = "&amp;10^9*INDEX(Tab_DaBa[],MATCH(CONCATENATE(Liste!$C$3,$B$5,$B$203),Data!$BO:$BO,0)-2,66)&amp;"E-9","")),"")</f>
        <v/>
      </c>
      <c r="G225" s="39"/>
      <c r="H225" s="35" t="str">
        <f ca="1">IFERROR(IF(INDEX(Tab_DaBa[],MATCH(CONCATENATE(Liste!$C$3,$B$5,$B$203),Data!$BO:$BO,0)-2,63)&lt;&gt;"","PFH [1/h] = "&amp;10^9*INDEX(Tab_DaBa[],MATCH(CONCATENATE(Liste!$C$3,$B$5,$B$203),Data!$BO:$BO,0)-2,16)&amp;"E-9",""),"")</f>
        <v/>
      </c>
    </row>
    <row r="226" spans="2:9" s="16" customFormat="1"/>
    <row r="227" spans="2:9" s="16" customFormat="1">
      <c r="B227" s="43" t="str">
        <f ca="1">IF(D227="","","Erforderlich")</f>
        <v>Erforderlich</v>
      </c>
      <c r="D227" s="44" t="str">
        <f ca="1">IFERROR("Performance Level: "&amp;INDEX(Tab_DaBa[],MATCH(CONCATENATE(Liste!$C$3,$B$5,$B$203),Data!$BO:$BO,0)-2,4),"")</f>
        <v>Performance Level: PLr_ges1_7</v>
      </c>
    </row>
    <row r="228" spans="2:9" s="16" customFormat="1">
      <c r="B228" s="45"/>
    </row>
    <row r="229" spans="2:9" s="16" customFormat="1">
      <c r="B229" s="46" t="str">
        <f ca="1">IF(D229="","","Erreicht")</f>
        <v>Erreicht</v>
      </c>
      <c r="D229" s="47" t="str">
        <f ca="1">IFERROR("Performance Level: "&amp;INDEX(Tab_DaBa[],MATCH(CONCATENATE(Liste!$C$3,$B$5,$B$203),Data!$BO:$BO,0)-2,5)&amp;"          PFH [1/h] = "&amp;10^9*INDEX(Tab_DaBa[],MATCH(CONCATENATE(Liste!$C$3,$B$5,$B$203),Data!$BO:$BO,0)-2,6)&amp;"E-9","")</f>
        <v>Performance Level: Pl_ges1_7          PFH [1/h] = 0,77E-9</v>
      </c>
    </row>
    <row r="230" spans="2:9" s="16" customFormat="1">
      <c r="B230" s="52"/>
      <c r="D230" s="51"/>
    </row>
    <row r="231" spans="2:9" s="16" customFormat="1">
      <c r="B231" s="42" t="str">
        <f ca="1">IFERROR(IF(9&gt;COUNTIF(Data!$BP:$BP,CONCATENATE(Liste!$C$3,$B$5)),"",INDEX(Tab_DaBa[],MATCH(CONCATENATE(Liste!$C$3,$B$5),Data!$BP:$BP,0)+6,3)),"")</f>
        <v>1.8 test1 (E+8L+A)</v>
      </c>
    </row>
    <row r="232" spans="2:9" s="16" customFormat="1"/>
    <row r="233" spans="2:9" s="16" customFormat="1" ht="15.75">
      <c r="B233" s="35" t="str">
        <f ca="1">IFERROR(INDEX(Tab_DaBa[],MATCH(CONCATENATE(Liste!$C$3,$B$5,$B$231),Data!$BO:$BO,0)-2,9),"")</f>
        <v>Eingang</v>
      </c>
      <c r="C233" s="54"/>
      <c r="D233" s="35" t="str">
        <f ca="1">IFERROR(IF(INDEX(Tab_DaBa[],MATCH(CONCATENATE(Liste!$C$3,$B$5,$B$231),Data!$BO:$BO,0)-2,18)=0,INDEX(Tab_DaBa[],MATCH(CONCATENATE(Liste!$C$3,$B$5,$B$231),Data!$BO:$BO,0)-2,14),INDEX(Tab_DaBa[],MATCH(CONCATENATE(Liste!$C$3,$B$5,$B$231),Data!$BO:$BO,0)-2,19)),"")</f>
        <v>Logik 01</v>
      </c>
      <c r="E233" s="33"/>
      <c r="F233" s="35" t="str">
        <f ca="1">IFERROR(IF(AND(INDEX(Tab_DaBa[],MATCH(CONCATENATE(Liste!$C$3,$B$5,$B$231),Data!$BO:$BO,0)-2,18)&lt;&gt;"",INDEX(Tab_DaBa[],MATCH(CONCATENATE(Liste!$C$3,$B$5,$B$231),Data!$BO:$BO,0)-2,23)=0),INDEX(Tab_DaBa[],MATCH(CONCATENATE(Liste!$C$3,$B$5,$B$231),Data!$BO:$BO,0)-2,14),IF(INDEX(Tab_DaBa[],MATCH(CONCATENATE(Liste!$C$3,$B$5,$B$231),Data!$BO:$BO,0)-2,23)&lt;&gt;"",INDEX(Tab_DaBa[],MATCH(CONCATENATE(Liste!$C$3,$B$5,$B$231),Data!$BO:$BO,0)-2,24),"")),"")</f>
        <v>Logik 02</v>
      </c>
      <c r="G233" s="39"/>
      <c r="H233" s="35" t="str">
        <f ca="1">IFERROR(IF(AND(INDEX(Tab_DaBa[],MATCH(CONCATENATE(Liste!$C$3,$B$5,$B$231),Data!$BO:$BO,0)-2,23)&lt;&gt;"",INDEX(Tab_DaBa[],MATCH(CONCATENATE(Liste!$C$3,$B$5,$B$231),Data!$BO:$BO,0)-2,28)=0),INDEX(Tab_DaBa[],MATCH(CONCATENATE(Liste!$C$3,$B$5,$B$231),Data!$BO:$BO,0)-2,14),IF(INDEX(Tab_DaBa[],MATCH(CONCATENATE(Liste!$C$3,$B$5,$B$231),Data!$BO:$BO,0)-2,23)&lt;&gt;"",INDEX(Tab_DaBa[],MATCH(CONCATENATE(Liste!$C$3,$B$5,$B$231),Data!$BO:$BO,0)-2,29),"")),"")</f>
        <v>Logik 03</v>
      </c>
      <c r="I233" s="39"/>
    </row>
    <row r="234" spans="2:9" s="16" customFormat="1" ht="15.75">
      <c r="B234" s="35" t="str">
        <f ca="1">IFERROR(INDEX(Tab_DaBa[],MATCH(CONCATENATE(Liste!$C$3,$B$5,$B$231),Data!$BO:$BO,0)-2,7),"")</f>
        <v>eeee-11_8</v>
      </c>
      <c r="C234" s="54"/>
      <c r="D234" s="35" t="str">
        <f ca="1">IFERROR(IF(INDEX(Tab_DaBa[],MATCH(CONCATENATE(Liste!$C$3,$B$5,$B$231),Data!$BO:$BO,0)-2,18)="",INDEX(Tab_DaBa[],MATCH(CONCATENATE(Liste!$C$3,$B$5,$B$231),Data!$BO:$BO,0)-2,12),INDEX(Tab_DaBa[],MATCH(CONCATENATE(Liste!$C$3,$B$5,$B$231),Data!$BO:$BO,0)-2,17)),"")</f>
        <v>Log01-01_08</v>
      </c>
      <c r="E234" s="36"/>
      <c r="F234" s="35" t="str">
        <f ca="1">IFERROR(IF(AND(INDEX(Tab_DaBa[],MATCH(CONCATENATE(Liste!$C$3,$B$5,$B$231),Data!$BO:$BO,0)-2,18)&lt;&gt;"",INDEX(Tab_DaBa[],MATCH(CONCATENATE(Liste!$C$3,$B$5,$B$231),Data!$BO:$BO,0)-2,23)=0),INDEX(Tab_DaBa[],MATCH(CONCATENATE(Liste!$C$3,$B$5,$B$231),Data!$BO:$BO,0)-2,12),IF(INDEX(Tab_DaBa[],MATCH(CONCATENATE(Liste!$C$3,$B$5,$B$231),Data!$BO:$BO,0)-2,23)&lt;&gt;"",INDEX(Tab_DaBa[],MATCH(CONCATENATE(Liste!$C$3,$B$5,$B$231),Data!$BO:$BO,0)-2,22),"")),"")</f>
        <v>Lo01-22_8</v>
      </c>
      <c r="G234" s="39"/>
      <c r="H234" s="35" t="str">
        <f ca="1">IFERROR(IF(AND(INDEX(Tab_DaBa[],MATCH(CONCATENATE(Liste!$C$3,$B$5,$B$231),Data!$BO:$BO,0)-2,23)&lt;&gt;"",INDEX(Tab_DaBa[],MATCH(CONCATENATE(Liste!$C$3,$B$5,$B$231),Data!$BO:$BO,0)-2,28)=0),INDEX(Tab_DaBa[],MATCH(CONCATENATE(Liste!$C$3,$B$5,$B$231),Data!$BO:$BO,0)-2,12),IF(INDEX(Tab_DaBa[],MATCH(CONCATENATE(Liste!$C$3,$B$5,$B$231),Data!$BO:$BO,0)-2,23)&lt;&gt;"",INDEX(Tab_DaBa[],MATCH(CONCATENATE(Liste!$C$3,$B$5,$B$231),Data!$BO:$BO,0)-2,27),"")),"")</f>
        <v>Lo01-33_8</v>
      </c>
      <c r="I234" s="39"/>
    </row>
    <row r="235" spans="2:9" s="16" customFormat="1" ht="15.75">
      <c r="B235" s="35" t="str">
        <f ca="1">IFERROR(INDEX(Tab_DaBa[],MATCH(CONCATENATE(Liste!$C$3,$B$5,$B$231),Data!$BO:$BO,0)-2,8),"")</f>
        <v>Bez_Ein1_8</v>
      </c>
      <c r="C235" s="40">
        <f ca="1">IF(D233="","",4)</f>
        <v>4</v>
      </c>
      <c r="D235" s="35" t="str">
        <f ca="1">IFERROR(IF(INDEX(Tab_DaBa[],MATCH(CONCATENATE(Liste!$C$3,$B$5,$B$231),Data!$BO:$BO,0)-2,18)="",INDEX(Tab_DaBa[],MATCH(CONCATENATE(Liste!$C$3,$B$5,$B$231),Data!$BO:$BO,0)-2,13),INDEX(Tab_DaBa[],MATCH(CONCATENATE(Liste!$C$3,$B$5,$B$231),Data!$BO:$BO,0)-2,18)),"")</f>
        <v>Bez_Log01_01_08</v>
      </c>
      <c r="E235" s="40">
        <f ca="1">IF(F233="","",4)</f>
        <v>4</v>
      </c>
      <c r="F235" s="35" t="str">
        <f ca="1">IFERROR(IF(AND(INDEX(Tab_DaBa[],MATCH(CONCATENATE(Liste!$C$3,$B$5,$B$231),Data!$BO:$BO,0)-2,18)&lt;&gt;"",INDEX(Tab_DaBa[],MATCH(CONCATENATE(Liste!$C$3,$B$5,$B$231),Data!$BO:$BO,0)-2,23)=""),INDEX(Tab_DaBa[],MATCH(CONCATENATE(Liste!$C$3,$B$5,$B$231),Data!$BO:$BO,0)-2,13),IF(INDEX(Tab_DaBa[],MATCH(CONCATENATE(Liste!$C$3,$B$5,$B$231),Data!$BO:$BO,0)-2,23)&lt;&gt;"",INDEX(Tab_DaBa[],MATCH(CONCATENATE(Liste!$C$3,$B$5,$B$231),Data!$BO:$BO,0)-2,23),"")),"")</f>
        <v>Bez_Lo01_8</v>
      </c>
      <c r="G235" s="38">
        <f ca="1">IF(H233="","",4)</f>
        <v>4</v>
      </c>
      <c r="H235" s="35" t="str">
        <f ca="1">IFERROR(IF(AND(INDEX(Tab_DaBa[],MATCH(CONCATENATE(Liste!$C$3,$B$5,$B$231),Data!$BO:$BO,0)-2,23)&lt;&gt;"",INDEX(Tab_DaBa[],MATCH(CONCATENATE(Liste!$C$3,$B$5,$B$231),Data!$BO:$BO,0)-2,28)=""),INDEX(Tab_DaBa[],MATCH(CONCATENATE(Liste!$C$3,$B$5,$B$231),Data!$BO:$BO,0)-2,13),IF(INDEX(Tab_DaBa[],MATCH(CONCATENATE(Liste!$C$3,$B$5,$B$231),Data!$BO:$BO,0)-2,23)&lt;&gt;"",INDEX(Tab_DaBa[],MATCH(CONCATENATE(Liste!$C$3,$B$5,$B$231),Data!$BO:$BO,0)-2,28),"")),"")</f>
        <v>Bez_Lo01_8</v>
      </c>
      <c r="I235" s="38">
        <f ca="1">IF(B241="","",6)</f>
        <v>6</v>
      </c>
    </row>
    <row r="236" spans="2:9" s="16" customFormat="1" ht="15.75">
      <c r="B236" s="35" t="str">
        <f ca="1">IFERROR("Performance Level: "&amp;INDEX(Tab_DaBa[],MATCH(CONCATENATE(Liste!$C$3,$B$5,$B$231),Data!$BO:$BO,0)-2,10),"")</f>
        <v>Performance Level: PL_Ein1_8</v>
      </c>
      <c r="C236" s="54"/>
      <c r="D236" s="35" t="str">
        <f ca="1">IFERROR(IF(INDEX(Tab_DaBa[],MATCH(CONCATENATE(Liste!$C$3,$B$5,$B$231),Data!$BO:$BO,0)-2,18)="","Performance Level: "&amp;INDEX(Tab_DaBa[],MATCH(CONCATENATE(Liste!$C$3,$B$5,$B$231),Data!$BO:$BO,0)-2,15),"Performance Level: "&amp;INDEX(Tab_DaBa[],MATCH(CONCATENATE(Liste!$C$3,$B$5,$B$231),Data!$BO:$BO,0)-2,20)),"")</f>
        <v>Performance Level: PL_Log01_01_08</v>
      </c>
      <c r="E236" s="36"/>
      <c r="F236" s="35" t="str">
        <f ca="1">IFERROR(IF(AND(INDEX(Tab_DaBa[],MATCH(CONCATENATE(Liste!$C$3,$B$5,$B$231),Data!$BO:$BO,0)-2,18)&lt;&gt;"",INDEX(Tab_DaBa[],MATCH(CONCATENATE(Liste!$C$3,$B$5,$B$231),Data!$BO:$BO,0)-2,23)=""),"Performance Level: "&amp;INDEX(Tab_DaBa[],MATCH(CONCATENATE(Liste!$C$3,$B$5,$B$231),Data!$BO:$BO,0)-2,15),IF(INDEX(Tab_DaBa[],MATCH(CONCATENATE(Liste!$C$3,$B$5,$B$231),Data!$BO:$BO,0)-2,23)&lt;&gt;"","Performance Level: "&amp;INDEX(Tab_DaBa[],MATCH(CONCATENATE(Liste!$C$3,$B$5,$B$231),Data!$BO:$BO,0)-2,25),"")),"")</f>
        <v>Performance Level: PL_Lo02_8</v>
      </c>
      <c r="G236" s="39"/>
      <c r="H236" s="35" t="str">
        <f ca="1">IFERROR(IF(AND(INDEX(Tab_DaBa[],MATCH(CONCATENATE(Liste!$C$3,$B$5,$B$231),Data!$BO:$BO,0)-2,23)&lt;&gt;"",INDEX(Tab_DaBa[],MATCH(CONCATENATE(Liste!$C$3,$B$5,$B$231),Data!$BO:$BO,0)-2,28)=""),"Performance Level: "&amp;INDEX(Tab_DaBa[],MATCH(CONCATENATE(Liste!$C$3,$B$5,$B$231),Data!$BO:$BO,0)-2,15),IF(INDEX(Tab_DaBa[],MATCH(CONCATENATE(Liste!$C$3,$B$5,$B$231),Data!$BO:$BO,0)-2,23)&lt;&gt;"","Performance Level: "&amp;INDEX(Tab_DaBa[],MATCH(CONCATENATE(Liste!$C$3,$B$5,$B$231),Data!$BO:$BO,0)-2,30),"")),"")</f>
        <v>Performance Level: PL_Lo01_8</v>
      </c>
      <c r="I236" s="38"/>
    </row>
    <row r="237" spans="2:9" s="16" customFormat="1" ht="15.75">
      <c r="B237" s="53" t="str">
        <f ca="1">IFERROR("PFH [1/h] = "&amp;10^9*INDEX(Tab_DaBa[],MATCH(CONCATENATE(Liste!$C$3,$B$5,$B$231),Data!$BO:$BO,0)-2,11)&amp;"E-9","")</f>
        <v>PFH [1/h] = 8,9E-9</v>
      </c>
      <c r="C237" s="54"/>
      <c r="D237" s="35" t="str">
        <f ca="1">IFERROR(IF(INDEX(Tab_DaBa[],MATCH(CONCATENATE(Liste!$C$3,$B$5,$B$231),Data!$BO:$BO,0)-2,18)="","PFH [1/h] = "&amp;10^9*INDEX(Tab_DaBa[],MATCH(CONCATENATE(Liste!$C$3,$B$5,$B$231),Data!$BO:$BO,0)-2,16)&amp;"E-9","PFH [1/h] = "&amp;10^9*INDEX(Tab_DaBa[],MATCH(CONCATENATE(Liste!$C$3,$B$5,$B$231),Data!$BO:$BO,0)-2,21)&amp;"E-9"),"")</f>
        <v>PFH [1/h] = 8,198E-9</v>
      </c>
      <c r="E237" s="36"/>
      <c r="F237" s="35" t="str">
        <f ca="1">IFERROR(IF(AND(INDEX(Tab_DaBa[],MATCH(CONCATENATE(Liste!$C$3,$B$5,$B$231),Data!$BO:$BO,0)-2,18)&lt;&gt;"",INDEX(Tab_DaBa[],MATCH(CONCATENATE(Liste!$C$3,$B$5,$B$231),Data!$BO:$BO,0)-2,23)=""),"PFH [1/h] = "&amp;10^9*INDEX(Tab_DaBa[],MATCH(CONCATENATE(Liste!$C$3,$B$5,$B$231),Data!$BO:$BO,0)-2,16)&amp;"E-9",IF(INDEX(Tab_DaBa[],MATCH(CONCATENATE(Liste!$C$3,$B$5,$B$231),Data!$BO:$BO,0)-2,23)&lt;&gt;"","PFH [1/h] = "&amp;10^9*INDEX(Tab_DaBa[],MATCH(CONCATENATE(Liste!$C$3,$B$5,$B$231),Data!$BO:$BO,0)-2,26)&amp;"E-9","")),"")</f>
        <v>PFH [1/h] = 4,195E-9</v>
      </c>
      <c r="G237" s="39"/>
      <c r="H237" s="35" t="str">
        <f ca="1">IFERROR(IF(AND(INDEX(Tab_DaBa[],MATCH(CONCATENATE(Liste!$C$3,$B$5,$B$231),Data!$BO:$BO,0)-2,23)&lt;&gt;"",INDEX(Tab_DaBa[],MATCH(CONCATENATE(Liste!$C$3,$B$5,$B$231),Data!$BO:$BO,0)-2,28)=""),"PFH [1/h] = "&amp;10^9*INDEX(Tab_DaBa[],MATCH(CONCATENATE(Liste!$C$3,$B$5,$B$231),Data!$BO:$BO,0)-2,16)&amp;"E-9",IF(INDEX(Tab_DaBa[],MATCH(CONCATENATE(Liste!$C$3,$B$5,$B$231),Data!$BO:$BO,0)-2,23)&lt;&gt;"","PFH [1/h] = "&amp;10^9*INDEX(Tab_DaBa[],MATCH(CONCATENATE(Liste!$C$3,$B$5,$B$231),Data!$BO:$BO,0)-2,31)&amp;"E-9","")),"")</f>
        <v>PFH [1/h] = 4,19E-9</v>
      </c>
      <c r="I237" s="39"/>
    </row>
    <row r="238" spans="2:9" s="16" customFormat="1">
      <c r="B238" s="33"/>
      <c r="C238" s="34"/>
      <c r="D238" s="33"/>
      <c r="E238" s="33"/>
      <c r="F238" s="33"/>
      <c r="G238" s="33"/>
      <c r="H238" s="33"/>
      <c r="I238" s="33"/>
    </row>
    <row r="239" spans="2:9" s="16" customFormat="1" ht="15.75">
      <c r="B239" s="38">
        <f ca="1">IF(B241="","",6)</f>
        <v>6</v>
      </c>
      <c r="C239" s="34"/>
      <c r="D239" s="38">
        <f ca="1">IF(B241="","",3)</f>
        <v>3</v>
      </c>
      <c r="E239" s="33"/>
      <c r="F239" s="38">
        <f ca="1">IF(B241="","",3)</f>
        <v>3</v>
      </c>
      <c r="G239" s="33"/>
      <c r="H239" s="38">
        <f ca="1">IF(B241="","",3)</f>
        <v>3</v>
      </c>
      <c r="I239" s="33"/>
    </row>
    <row r="240" spans="2:9" s="16" customFormat="1" ht="15.75">
      <c r="B240" s="39"/>
      <c r="C240" s="33"/>
      <c r="D240" s="33"/>
      <c r="E240" s="33"/>
      <c r="F240" s="33"/>
      <c r="G240" s="33"/>
      <c r="H240" s="33"/>
      <c r="I240" s="33"/>
    </row>
    <row r="241" spans="2:9" s="16" customFormat="1" ht="15.75">
      <c r="B241" s="35" t="str">
        <f ca="1">IFERROR(IF(AND(INDEX(Tab_DaBa[],MATCH(CONCATENATE(Liste!$C$3,$B$5,$B$231),Data!$BO:$BO,0)-2,28)&lt;&gt;"",INDEX(Tab_DaBa[],MATCH(CONCATENATE(Liste!$C$3,$B$5,$B$231),Data!$BO:$BO,0)-2,33)=0),INDEX(Tab_DaBa[],MATCH(CONCATENATE(Liste!$C$3,$B$5,$B$231),Data!$BO:$BO,0)-2,14),IF(INDEX(Tab_DaBa[],MATCH(CONCATENATE(Liste!$C$3,$B$5,$B$231),Data!$BO:$BO,0)-2,28)&lt;&gt;"",INDEX(Tab_DaBa[],MATCH(CONCATENATE(Liste!$C$3,$B$5,$B$231),Data!$BO:$BO,0)-2,34),"")),"")</f>
        <v>Logik 04</v>
      </c>
      <c r="C241" s="39"/>
      <c r="D241" s="35" t="str">
        <f ca="1">IFERROR(IF(AND(INDEX(Tab_DaBa[],MATCH(CONCATENATE(Liste!$C$3,$B$5,$B$231),Data!$BO:$BO,0)-2,33)&lt;&gt;"",INDEX(Tab_DaBa[],MATCH(CONCATENATE(Liste!$C$3,$B$5,$B$231),Data!$BO:$BO,0)-2,38)=0),INDEX(Tab_DaBa[],MATCH(CONCATENATE(Liste!$C$3,$B$5,$B$231),Data!$BO:$BO,0)-2,14),IF(INDEX(Tab_DaBa[],MATCH(CONCATENATE(Liste!$C$3,$B$5,$B$231),Data!$BO:$BO,0)-2,33)&lt;&gt;"",INDEX(Tab_DaBa[],MATCH(CONCATENATE(Liste!$C$3,$B$5,$B$231),Data!$BO:$BO,0)-2,39),"")),"")</f>
        <v>Logik 05</v>
      </c>
      <c r="E241" s="33"/>
      <c r="F241" s="35" t="str">
        <f ca="1">IFERROR(IF(AND(INDEX(Tab_DaBa[],MATCH(CONCATENATE(Liste!$C$3,$B$5,$B$231),Data!$BO:$BO,0)-2,38)&lt;&gt;"",INDEX(Tab_DaBa[],MATCH(CONCATENATE(Liste!$C$3,$B$5,$B$231),Data!$BO:$BO,0)-2,43)=0),INDEX(Tab_DaBa[],MATCH(CONCATENATE(Liste!$C$3,$B$5,$B$231),Data!$BO:$BO,0)-2,14),IF(INDEX(Tab_DaBa[],MATCH(CONCATENATE(Liste!$C$3,$B$5,$B$231),Data!$BO:$BO,0)-2,38)&lt;&gt;"",INDEX(Tab_DaBa[],MATCH(CONCATENATE(Liste!$C$3,$B$5,$B$231),Data!$BO:$BO,0)-2,44),"")),"")</f>
        <v>Logik 06</v>
      </c>
      <c r="G241" s="39"/>
      <c r="H241" s="35" t="str">
        <f ca="1">IFERROR(IF(AND(INDEX(Tab_DaBa[],MATCH(CONCATENATE(Liste!$C$3,$B$5,$B$231),Data!$BO:$BO,0)-2,43)&lt;&gt;"",INDEX(Tab_DaBa[],MATCH(CONCATENATE(Liste!$C$3,$B$5,$B$231),Data!$BO:$BO,0)-2,48)=0),INDEX(Tab_DaBa[],MATCH(CONCATENATE(Liste!$C$3,$B$5,$B$231),Data!$BO:$BO,0)-2,14),IF(INDEX(Tab_DaBa[],MATCH(CONCATENATE(Liste!$C$3,$B$5,$B$231),Data!$BO:$BO,0)-2,43)&lt;&gt;"",INDEX(Tab_DaBa[],MATCH(CONCATENATE(Liste!$C$3,$B$5,$B$231),Data!$BO:$BO,0)-2,49),"")),"")</f>
        <v>Logik 07</v>
      </c>
      <c r="I241" s="39"/>
    </row>
    <row r="242" spans="2:9" s="16" customFormat="1" ht="15.75">
      <c r="B242" s="35" t="str">
        <f ca="1">IFERROR(IF(AND(INDEX(Tab_DaBa[],MATCH(CONCATENATE(Liste!$C$3,$B$5,$B$231),Data!$BO:$BO,0)-2,28)&lt;&gt;"",INDEX(Tab_DaBa[],MATCH(CONCATENATE(Liste!$C$3,$B$5,$B$231),Data!$BO:$BO,0)-2,33)=0),INDEX(Tab_DaBa[],MATCH(CONCATENATE(Liste!$C$3,$B$5,$B$231),Data!$BO:$BO,0)-2,12),IF(INDEX(Tab_DaBa[],MATCH(CONCATENATE(Liste!$C$3,$B$5,$B$231),Data!$BO:$BO,0)-2,28)&lt;&gt;"",INDEX(Tab_DaBa[],MATCH(CONCATENATE(Liste!$C$3,$B$5,$B$231),Data!$BO:$BO,0)-2,32),"")),"")</f>
        <v>Lo01_44_8</v>
      </c>
      <c r="C242" s="39"/>
      <c r="D242" s="35" t="str">
        <f ca="1">IFERROR(IF(AND(INDEX(Tab_DaBa[],MATCH(CONCATENATE(Liste!$C$3,$B$5,$B$231),Data!$BO:$BO,0)-2,33)&lt;&gt;"",INDEX(Tab_DaBa[],MATCH(CONCATENATE(Liste!$C$3,$B$5,$B$231),Data!$BO:$BO,0)-2,38)=0),INDEX(Tab_DaBa[],MATCH(CONCATENATE(Liste!$C$3,$B$5,$B$231),Data!$BO:$BO,0)-2,12),IF(INDEX(Tab_DaBa[],MATCH(CONCATENATE(Liste!$C$3,$B$5,$B$231),Data!$BO:$BO,0)-2,33)&lt;&gt;"",INDEX(Tab_DaBa[],MATCH(CONCATENATE(Liste!$C$3,$B$5,$B$231),Data!$BO:$BO,0)-2,37),"")),"")</f>
        <v>Lo01_55_8</v>
      </c>
      <c r="E242" s="37"/>
      <c r="F242" s="35" t="str">
        <f ca="1">IFERROR(IF(AND(INDEX(Tab_DaBa[],MATCH(CONCATENATE(Liste!$C$3,$B$5,$B$231),Data!$BO:$BO,0)-2,38)&lt;&gt;"",INDEX(Tab_DaBa[],MATCH(CONCATENATE(Liste!$C$3,$B$5,$B$231),Data!$BO:$BO,0)-2,43)=0),INDEX(Tab_DaBa[],MATCH(CONCATENATE(Liste!$C$3,$B$5,$B$231),Data!$BO:$BO,0)-2,12),IF(INDEX(Tab_DaBa[],MATCH(CONCATENATE(Liste!$C$3,$B$5,$B$231),Data!$BO:$BO,0)-2,38)&lt;&gt;"",INDEX(Tab_DaBa[],MATCH(CONCATENATE(Liste!$C$3,$B$5,$B$231),Data!$BO:$BO,0)-2,42),"")),"")</f>
        <v>Lo01-66_8</v>
      </c>
      <c r="G242" s="39"/>
      <c r="H242" s="35" t="str">
        <f ca="1">IFERROR(IF(AND(INDEX(Tab_DaBa[],MATCH(CONCATENATE(Liste!$C$3,$B$5,$B$231),Data!$BO:$BO,0)-2,43)&lt;&gt;"",INDEX(Tab_DaBa[],MATCH(CONCATENATE(Liste!$C$3,$B$5,$B$231),Data!$BO:$BO,0)-2,48)=0),INDEX(Tab_DaBa[],MATCH(CONCATENATE(Liste!$C$3,$B$5,$B$231),Data!$BO:$BO,0)-2,12),IF(INDEX(Tab_DaBa[],MATCH(CONCATENATE(Liste!$C$3,$B$5,$B$231),Data!$BO:$BO,0)-2,43)&lt;&gt;"",INDEX(Tab_DaBa[],MATCH(CONCATENATE(Liste!$C$3,$B$5,$B$231),Data!$BO:$BO,0)-2,47),"")),"")</f>
        <v>Lo01-77_8</v>
      </c>
      <c r="I242" s="39"/>
    </row>
    <row r="243" spans="2:9" s="16" customFormat="1" ht="15.75">
      <c r="B243" s="35" t="str">
        <f ca="1">IFERROR(IF(AND(INDEX(Tab_DaBa[],MATCH(CONCATENATE(Liste!$C$3,$B$5,$B$231),Data!$BO:$BO,0)-2,28)&lt;&gt;"",INDEX(Tab_DaBa[],MATCH(CONCATENATE(Liste!$C$3,$B$5,$B$231),Data!$BO:$BO,0)-2,33)=""),INDEX(Tab_DaBa[],MATCH(CONCATENATE(Liste!$C$3,$B$5,$B$231),Data!$BO:$BO,0)-2,13),IF(INDEX(Tab_DaBa[],MATCH(CONCATENATE(Liste!$C$3,$B$5,$B$231),Data!$BO:$BO,0)-2,28)&lt;&gt;"",INDEX(Tab_DaBa[],MATCH(CONCATENATE(Liste!$C$3,$B$5,$B$231),Data!$BO:$BO,0)-2,33),"")),"")</f>
        <v>Bez_Lo01_8</v>
      </c>
      <c r="C243" s="38">
        <f ca="1">IF(D241="","",4)</f>
        <v>4</v>
      </c>
      <c r="D243" s="35" t="str">
        <f ca="1">IFERROR(IF(AND(INDEX(Tab_DaBa[],MATCH(CONCATENATE(Liste!$C$3,$B$5,$B$231),Data!$BO:$BO,0)-2,33)&lt;&gt;"",INDEX(Tab_DaBa[],MATCH(CONCATENATE(Liste!$C$3,$B$5,$B$231),Data!$BO:$BO,0)-2,38)=""),INDEX(Tab_DaBa[],MATCH(CONCATENATE(Liste!$C$3,$B$5,$B$231),Data!$BO:$BO,0)-2,13),IF(INDEX(Tab_DaBa[],MATCH(CONCATENATE(Liste!$C$3,$B$5,$B$231),Data!$BO:$BO,0)-2,33)&lt;&gt;"",INDEX(Tab_DaBa[],MATCH(CONCATENATE(Liste!$C$3,$B$5,$B$231),Data!$BO:$BO,0)-2,38),"")),"")</f>
        <v>Bez_Lo01_8</v>
      </c>
      <c r="E243" s="38">
        <f ca="1">IF(F241="","",4)</f>
        <v>4</v>
      </c>
      <c r="F243" s="35" t="str">
        <f ca="1">IFERROR(IF(AND(INDEX(Tab_DaBa[],MATCH(CONCATENATE(Liste!$C$3,$B$5,$B$231),Data!$BO:$BO,0)-2,38)&lt;&gt;"",INDEX(Tab_DaBa[],MATCH(CONCATENATE(Liste!$C$3,$B$5,$B$231),Data!$BO:$BO,0)-2,43)=""),INDEX(Tab_DaBa[],MATCH(CONCATENATE(Liste!$C$3,$B$5,$B$231),Data!$BO:$BO,0)-2,13),IF(INDEX(Tab_DaBa[],MATCH(CONCATENATE(Liste!$C$3,$B$5,$B$231),Data!$BO:$BO,0)-2,38)&lt;&gt;"",INDEX(Tab_DaBa[],MATCH(CONCATENATE(Liste!$C$3,$B$5,$B$231),Data!$BO:$BO,0)-2,43),"")),"")</f>
        <v>Bez_Lo01_8</v>
      </c>
      <c r="G243" s="38">
        <f ca="1">IF(H241="","",4)</f>
        <v>4</v>
      </c>
      <c r="H243" s="35" t="str">
        <f ca="1">IFERROR(IF(AND(INDEX(Tab_DaBa[],MATCH(CONCATENATE(Liste!$C$3,$B$5,$B$231),Data!$BO:$BO,0)-2,43)&lt;&gt;"",INDEX(Tab_DaBa[],MATCH(CONCATENATE(Liste!$C$3,$B$5,$B$231),Data!$BO:$BO,0)-2,48)=""),INDEX(Tab_DaBa[],MATCH(CONCATENATE(Liste!$C$3,$B$5,$B$231),Data!$BO:$BO,0)-2,13),IF(INDEX(Tab_DaBa[],MATCH(CONCATENATE(Liste!$C$3,$B$5,$B$231),Data!$BO:$BO,0)-2,43)&lt;&gt;"",INDEX(Tab_DaBa[],MATCH(CONCATENATE(Liste!$C$3,$B$5,$B$231),Data!$BO:$BO,0)-2,48),"")),"")</f>
        <v>Bez_Lo01_8</v>
      </c>
      <c r="I243" s="38">
        <f ca="1">IF(B249="","",6)</f>
        <v>6</v>
      </c>
    </row>
    <row r="244" spans="2:9" s="16" customFormat="1" ht="15.75">
      <c r="B244" s="35" t="str">
        <f ca="1">IFERROR(IF(AND(INDEX(Tab_DaBa[],MATCH(CONCATENATE(Liste!$C$3,$B$5,$B$231),Data!$BO:$BO,0)-2,28)&lt;&gt;"",INDEX(Tab_DaBa[],MATCH(CONCATENATE(Liste!$C$3,$B$5,$B$231),Data!$BO:$BO,0)-2,33)=""),"Performance Level: "&amp;INDEX(Tab_DaBa[],MATCH(CONCATENATE(Liste!$C$3,$B$5,$B$231),Data!$BO:$BO,0)-2,15),IF(INDEX(Tab_DaBa[],MATCH(CONCATENATE(Liste!$C$3,$B$5,$B$231),Data!$BO:$BO,0)-2,28)&lt;&gt;"","Performance Level: "&amp;INDEX(Tab_DaBa[],MATCH(CONCATENATE(Liste!$C$3,$B$5,$B$231),Data!$BO:$BO,0)-2,35),"")),"")</f>
        <v>Performance Level: PL_Lo01_8</v>
      </c>
      <c r="C244" s="39"/>
      <c r="D244" s="35" t="str">
        <f ca="1">IFERROR(IF(AND(INDEX(Tab_DaBa[],MATCH(CONCATENATE(Liste!$C$3,$B$5,$B$231),Data!$BO:$BO,0)-2,33)&lt;&gt;"",INDEX(Tab_DaBa[],MATCH(CONCATENATE(Liste!$C$3,$B$5,$B$231),Data!$BO:$BO,0)-2,38)=""),"Performance Level: "&amp;INDEX(Tab_DaBa[],MATCH(CONCATENATE(Liste!$C$3,$B$5,$B$231),Data!$BO:$BO,0)-2,15),IF(INDEX(Tab_DaBa[],MATCH(CONCATENATE(Liste!$C$3,$B$5,$B$231),Data!$BO:$BO,0)-2,33)&lt;&gt;"","Performance Level: "&amp;INDEX(Tab_DaBa[],MATCH(CONCATENATE(Liste!$C$3,$B$5,$B$231),Data!$BO:$BO,0)-2,40),"")),"")</f>
        <v>Performance Level: PL_Lo01_8</v>
      </c>
      <c r="E244" s="37"/>
      <c r="F244" s="35" t="str">
        <f ca="1">IFERROR(IF(AND(INDEX(Tab_DaBa[],MATCH(CONCATENATE(Liste!$C$3,$B$5,$B$231),Data!$BO:$BO,0)-2,38)&lt;&gt;"",INDEX(Tab_DaBa[],MATCH(CONCATENATE(Liste!$C$3,$B$5,$B$231),Data!$BO:$BO,0)-2,43)=""),"Performance Level: "&amp;INDEX(Tab_DaBa[],MATCH(CONCATENATE(Liste!$C$3,$B$5,$B$231),Data!$BO:$BO,0)-2,15),IF(INDEX(Tab_DaBa[],MATCH(CONCATENATE(Liste!$C$3,$B$5,$B$231),Data!$BO:$BO,0)-2,38)&lt;&gt;"","Performance Level: "&amp;INDEX(Tab_DaBa[],MATCH(CONCATENATE(Liste!$C$3,$B$5,$B$231),Data!$BO:$BO,0)-2,45),"")),"")</f>
        <v>Performance Level: PL_Lo01_8</v>
      </c>
      <c r="G244" s="39"/>
      <c r="H244" s="35" t="str">
        <f ca="1">IFERROR(IF(AND(INDEX(Tab_DaBa[],MATCH(CONCATENATE(Liste!$C$3,$B$5,$B$231),Data!$BO:$BO,0)-2,43)&lt;&gt;"",INDEX(Tab_DaBa[],MATCH(CONCATENATE(Liste!$C$3,$B$5,$B$231),Data!$BO:$BO,0)-2,48)=""),"Performance Level: "&amp;INDEX(Tab_DaBa[],MATCH(CONCATENATE(Liste!$C$3,$B$5,$B$231),Data!$BO:$BO,0)-2,15),IF(INDEX(Tab_DaBa[],MATCH(CONCATENATE(Liste!$C$3,$B$5,$B$231),Data!$BO:$BO,0)-2,43)&lt;&gt;"","Performance Level: "&amp;INDEX(Tab_DaBa[],MATCH(CONCATENATE(Liste!$C$3,$B$5,$B$231),Data!$BO:$BO,0)-2,50),"")),"")</f>
        <v>Performance Level: PL_Lo01_8</v>
      </c>
      <c r="I244" s="39"/>
    </row>
    <row r="245" spans="2:9" s="16" customFormat="1" ht="15.75">
      <c r="B245" s="35" t="str">
        <f ca="1">IFERROR(IF(AND(INDEX(Tab_DaBa[],MATCH(CONCATENATE(Liste!$C$3,$B$5,$B$231),Data!$BO:$BO,0)-2,28)&lt;&gt;"",INDEX(Tab_DaBa[],MATCH(CONCATENATE(Liste!$C$3,$B$5,$B$231),Data!$BO:$BO,0)-2,33)=""),"PFH [1/h] = "&amp;10^9*INDEX(Tab_DaBa[],MATCH(CONCATENATE(Liste!$C$3,$B$5,$B$231),Data!$BO:$BO,0)-2,16)&amp;"E-9",IF(INDEX(Tab_DaBa[],MATCH(CONCATENATE(Liste!$C$3,$B$5,$B$231),Data!$BO:$BO,0)-2,28)&lt;&gt;"","PFH [1/h] = "&amp;10^9*INDEX(Tab_DaBa[],MATCH(CONCATENATE(Liste!$C$3,$B$5,$B$231),Data!$BO:$BO,0)-2,36)&amp;"E-9","")),"")</f>
        <v>PFH [1/h] = 4,19E-9</v>
      </c>
      <c r="C245" s="39"/>
      <c r="D245" s="35" t="str">
        <f ca="1">IFERROR(IF(AND(INDEX(Tab_DaBa[],MATCH(CONCATENATE(Liste!$C$3,$B$5,$B$231),Data!$BO:$BO,0)-2,33)&lt;&gt;"",INDEX(Tab_DaBa[],MATCH(CONCATENATE(Liste!$C$3,$B$5,$B$231),Data!$BO:$BO,0)-2,38)=""),"PFH [1/h] = "&amp;10^9*INDEX(Tab_DaBa[],MATCH(CONCATENATE(Liste!$C$3,$B$5,$B$231),Data!$BO:$BO,0)-2,16)&amp;"E-9",IF(INDEX(Tab_DaBa[],MATCH(CONCATENATE(Liste!$C$3,$B$5,$B$231),Data!$BO:$BO,0)-2,33)&lt;&gt;"","PFH [1/h] = "&amp;10^9*INDEX(Tab_DaBa[],MATCH(CONCATENATE(Liste!$C$3,$B$5,$B$231),Data!$BO:$BO,0)-2,41)&amp;"E-9","")),"")</f>
        <v>PFH [1/h] = 4,19E-9</v>
      </c>
      <c r="E245" s="37"/>
      <c r="F245" s="35" t="str">
        <f ca="1">IFERROR(IF(AND(INDEX(Tab_DaBa[],MATCH(CONCATENATE(Liste!$C$3,$B$5,$B$231),Data!$BO:$BO,0)-2,38)&lt;&gt;"",INDEX(Tab_DaBa[],MATCH(CONCATENATE(Liste!$C$3,$B$5,$B$231),Data!$BO:$BO,0)-2,43)=""),"PFH [1/h] = "&amp;10^9*INDEX(Tab_DaBa[],MATCH(CONCATENATE(Liste!$C$3,$B$5,$B$231),Data!$BO:$BO,0)-2,16)&amp;"E-9",IF(INDEX(Tab_DaBa[],MATCH(CONCATENATE(Liste!$C$3,$B$5,$B$231),Data!$BO:$BO,0)-2,38)&lt;&gt;"","PFH [1/h] = "&amp;10^9*INDEX(Tab_DaBa[],MATCH(CONCATENATE(Liste!$C$3,$B$5,$B$231),Data!$BO:$BO,0)-2,46)&amp;"E-9","")),"")</f>
        <v>PFH [1/h] = 4,19E-9</v>
      </c>
      <c r="G245" s="39"/>
      <c r="H245" s="35" t="str">
        <f ca="1">IFERROR(IF(AND(INDEX(Tab_DaBa[],MATCH(CONCATENATE(Liste!$C$3,$B$5,$B$231),Data!$BO:$BO,0)-2,43)&lt;&gt;"",INDEX(Tab_DaBa[],MATCH(CONCATENATE(Liste!$C$3,$B$5,$B$231),Data!$BO:$BO,0)-2,48)=""),"PFH [1/h] = "&amp;10^9*INDEX(Tab_DaBa[],MATCH(CONCATENATE(Liste!$C$3,$B$5,$B$231),Data!$BO:$BO,0)-2,16)&amp;"E-9",IF(INDEX(Tab_DaBa[],MATCH(CONCATENATE(Liste!$C$3,$B$5,$B$231),Data!$BO:$BO,0)-2,43)&lt;&gt;"","PFH [1/h] = "&amp;10^9*INDEX(Tab_DaBa[],MATCH(CONCATENATE(Liste!$C$3,$B$5,$B$231),Data!$BO:$BO,0)-2,51)&amp;"E-9","")),"")</f>
        <v>PFH [1/h] = 4,19E-9</v>
      </c>
      <c r="I245" s="39"/>
    </row>
    <row r="246" spans="2:9" s="16" customFormat="1">
      <c r="B246" s="33"/>
      <c r="C246" s="33"/>
      <c r="D246" s="33"/>
      <c r="E246" s="33"/>
      <c r="F246" s="33"/>
      <c r="G246" s="33"/>
      <c r="H246" s="33"/>
      <c r="I246" s="33"/>
    </row>
    <row r="247" spans="2:9" s="16" customFormat="1" ht="15.75">
      <c r="B247" s="38">
        <f ca="1">IF(B249="","",6)</f>
        <v>6</v>
      </c>
      <c r="C247" s="33"/>
      <c r="D247" s="38">
        <f ca="1">IF(B249="","",3)</f>
        <v>3</v>
      </c>
      <c r="E247" s="33"/>
      <c r="F247" s="38">
        <f ca="1">IF(B249="","",3)</f>
        <v>3</v>
      </c>
      <c r="G247" s="33"/>
      <c r="H247" s="38">
        <f ca="1">IF(B249="","",3)</f>
        <v>3</v>
      </c>
      <c r="I247" s="33"/>
    </row>
    <row r="248" spans="2:9" s="16" customFormat="1" ht="15.75">
      <c r="B248" s="39"/>
      <c r="C248" s="33"/>
      <c r="D248" s="33"/>
      <c r="E248" s="33"/>
      <c r="F248" s="33"/>
      <c r="G248" s="33"/>
      <c r="H248" s="33"/>
      <c r="I248" s="33"/>
    </row>
    <row r="249" spans="2:9" s="16" customFormat="1" ht="15.75">
      <c r="B249" s="35" t="str">
        <f ca="1">IFERROR(IF(AND(INDEX(Tab_DaBa[],MATCH(CONCATENATE(Liste!$C$3,$B$5,$B$231),Data!$BO:$BO,0)-2,48)&lt;&gt;"",INDEX(Tab_DaBa[],MATCH(CONCATENATE(Liste!$C$3,$B$5,$B$231),Data!$BO:$BO,0)-2,53)=0),INDEX(Tab_DaBa[],MATCH(CONCATENATE(Liste!$C$3,$B$5,$B$231),Data!$BO:$BO,0)-2,14),IF(INDEX(Tab_DaBa[],MATCH(CONCATENATE(Liste!$C$3,$B$5,$B$231),Data!$BO:$BO,0)-2,48)&lt;&gt;"",INDEX(Tab_DaBa[],MATCH(CONCATENATE(Liste!$C$3,$B$5,$B$231),Data!$BO:$BO,0)-2,54),"")),"")</f>
        <v>Logik 08</v>
      </c>
      <c r="C249" s="39"/>
      <c r="D249" s="35" t="str">
        <f ca="1">IFERROR(IF(AND(INDEX(Tab_DaBa[],MATCH(CONCATENATE(Liste!$C$3,$B$5,$B$231),Data!$BO:$BO,0)-2,53)&lt;&gt;"",INDEX(Tab_DaBa[],MATCH(CONCATENATE(Liste!$C$3,$B$5,$B$231),Data!$BO:$BO,0)-2,58)=0),INDEX(Tab_DaBa[],MATCH(CONCATENATE(Liste!$C$3,$B$5,$B$231),Data!$BO:$BO,0)-2,14),IF(INDEX(Tab_DaBa[],MATCH(CONCATENATE(Liste!$C$3,$B$5,$B$231),Data!$BO:$BO,0)-2,53)&lt;&gt;"",INDEX(Tab_DaBa[],MATCH(CONCATENATE(Liste!$C$3,$B$5,$B$231),Data!$BO:$BO,0)-2,59),"")),"")</f>
        <v>Ausgang</v>
      </c>
      <c r="E249" s="33"/>
      <c r="F249" s="35" t="str">
        <f ca="1">IFERROR(IF(AND(INDEX(Tab_DaBa[],MATCH(CONCATENATE(Liste!$C$3,$B$5,$B$231),Data!$BO:$BO,0)-2,58)&lt;&gt;"",INDEX(Tab_DaBa[],MATCH(CONCATENATE(Liste!$C$3,$B$5,$B$231),Data!$BO:$BO,0)-2,63)=0),INDEX(Tab_DaBa[],MATCH(CONCATENATE(Liste!$C$3,$B$5,$B$231),Data!$BO:$BO,0)-2,14),IF(INDEX(Tab_DaBa[],MATCH(CONCATENATE(Liste!$C$3,$B$5,$B$231),Data!$BO:$BO,0)-2,58)&lt;&gt;"",INDEX(Tab_DaBa[],MATCH(CONCATENATE(Liste!$C$3,$B$5,$B$231),Data!$BO:$BO,0)-2,64),"")),"")</f>
        <v/>
      </c>
      <c r="G249" s="39"/>
      <c r="H249" s="35" t="str">
        <f ca="1">IFERROR(IF(INDEX(Tab_DaBa[],MATCH(CONCATENATE(Liste!$C$3,$B$5,$B$231),Data!$BO:$BO,0)-2,63)&lt;&gt;"",INDEX(Tab_DaBa[],MATCH(CONCATENATE(Liste!$C$3,$B$5,$B$231),Data!$BO:$BO,0)-2,14),""),"")</f>
        <v/>
      </c>
    </row>
    <row r="250" spans="2:9" s="16" customFormat="1" ht="15.75">
      <c r="B250" s="35" t="str">
        <f ca="1">IFERROR(IF(AND(INDEX(Tab_DaBa[],MATCH(CONCATENATE(Liste!$C$3,$B$5,$B$231),Data!$BO:$BO,0)-2,48)&lt;&gt;"",INDEX(Tab_DaBa[],MATCH(CONCATENATE(Liste!$C$3,$B$5,$B$231),Data!$BO:$BO,0)-2,53)=0),INDEX(Tab_DaBa[],MATCH(CONCATENATE(Liste!$C$3,$B$5,$B$231),Data!$BO:$BO,0)-2,12),IF(INDEX(Tab_DaBa[],MATCH(CONCATENATE(Liste!$C$3,$B$5,$B$231),Data!$BO:$BO,0)-2,48)&lt;&gt;"",INDEX(Tab_DaBa[],MATCH(CONCATENATE(Liste!$C$3,$B$5,$B$231),Data!$BO:$BO,0)-2,52),"")),"")</f>
        <v>Lo01-88_8</v>
      </c>
      <c r="C250" s="39"/>
      <c r="D250" s="35" t="str">
        <f ca="1">IFERROR(IF(AND(INDEX(Tab_DaBa[],MATCH(CONCATENATE(Liste!$C$3,$B$5,$B$231),Data!$BO:$BO,0)-2,53)&lt;&gt;"",INDEX(Tab_DaBa[],MATCH(CONCATENATE(Liste!$C$3,$B$5,$B$231),Data!$BO:$BO,0)-2,58)=0),INDEX(Tab_DaBa[],MATCH(CONCATENATE(Liste!$C$3,$B$5,$B$231),Data!$BO:$BO,0)-2,12),IF(INDEX(Tab_DaBa[],MATCH(CONCATENATE(Liste!$C$3,$B$5,$B$231),Data!$BO:$BO,0)-2,53)&lt;&gt;"",INDEX(Tab_DaBa[],MATCH(CONCATENATE(Liste!$C$3,$B$5,$B$231),Data!$BO:$BO,0)-2,57),"")),"")</f>
        <v>aaaa-11_8</v>
      </c>
      <c r="E250" s="37"/>
      <c r="F250" s="35" t="str">
        <f ca="1">IFERROR(IF(AND(INDEX(Tab_DaBa[],MATCH(CONCATENATE(Liste!$C$3,$B$5,$B$231),Data!$BO:$BO,0)-2,58)&lt;&gt;"",INDEX(Tab_DaBa[],MATCH(CONCATENATE(Liste!$C$3,$B$5,$B$231),Data!$BO:$BO,0)-2,63)=0),INDEX(Tab_DaBa[],MATCH(CONCATENATE(Liste!$C$3,$B$5,$B$231),Data!$BO:$BO,0)-2,12),IF(INDEX(Tab_DaBa[],MATCH(CONCATENATE(Liste!$C$3,$B$5,$B$231),Data!$BO:$BO,0)-2,58)&lt;&gt;"",INDEX(Tab_DaBa[],MATCH(CONCATENATE(Liste!$C$3,$B$5,$B$231),Data!$BO:$BO,0)-2,62),"")),"")</f>
        <v/>
      </c>
      <c r="G250" s="39"/>
      <c r="H250" s="35" t="str">
        <f ca="1">IFERROR(IF(INDEX(Tab_DaBa[],MATCH(CONCATENATE(Liste!$C$3,$B$5,$B$231),Data!$BO:$BO,0)-2,63)&lt;&gt;"",INDEX(Tab_DaBa[],MATCH(CONCATENATE(Liste!$C$3,$B$5,$B$231),Data!$BO:$BO,0)-2,12),""),"")</f>
        <v/>
      </c>
    </row>
    <row r="251" spans="2:9" s="16" customFormat="1" ht="15.75">
      <c r="B251" s="35" t="str">
        <f ca="1">IFERROR(IF(AND(INDEX(Tab_DaBa[],MATCH(CONCATENATE(Liste!$C$3,$B$5,$B$231),Data!$BO:$BO,0)-2,48)&lt;&gt;"",INDEX(Tab_DaBa[],MATCH(CONCATENATE(Liste!$C$3,$B$5,$B$231),Data!$BO:$BO,0)-2,53)=""),INDEX(Tab_DaBa[],MATCH(CONCATENATE(Liste!$C$3,$B$5,$B$231),Data!$BO:$BO,0)-2,13),IF(INDEX(Tab_DaBa[],MATCH(CONCATENATE(Liste!$C$3,$B$5,$B$231),Data!$BO:$BO,0)-2,48)&lt;&gt;"",INDEX(Tab_DaBa[],MATCH(CONCATENATE(Liste!$C$3,$B$5,$B$231),Data!$BO:$BO,0)-2,53),"")),"")</f>
        <v>Bez_Lo01_8</v>
      </c>
      <c r="C251" s="38">
        <f ca="1">IF(D249="","",4)</f>
        <v>4</v>
      </c>
      <c r="D251" s="35" t="str">
        <f ca="1">IFERROR(IF(AND(INDEX(Tab_DaBa[],MATCH(CONCATENATE(Liste!$C$3,$B$5,$B$231),Data!$BO:$BO,0)-2,53)&lt;&gt;"",INDEX(Tab_DaBa[],MATCH(CONCATENATE(Liste!$C$3,$B$5,$B$231),Data!$BO:$BO,0)-2,58)=""),INDEX(Tab_DaBa[],MATCH(CONCATENATE(Liste!$C$3,$B$5,$B$231),Data!$BO:$BO,0)-2,13),IF(INDEX(Tab_DaBa[],MATCH(CONCATENATE(Liste!$C$3,$B$5,$B$231),Data!$BO:$BO,0)-2,53)&lt;&gt;"",INDEX(Tab_DaBa[],MATCH(CONCATENATE(Liste!$C$3,$B$5,$B$231),Data!$BO:$BO,0)-2,58),"")),"")</f>
        <v>Bez_Aus8</v>
      </c>
      <c r="E251" s="38" t="str">
        <f ca="1">IF(F249="","",4)</f>
        <v/>
      </c>
      <c r="F251" s="35" t="str">
        <f ca="1">IFERROR(IF(AND(INDEX(Tab_DaBa[],MATCH(CONCATENATE(Liste!$C$3,$B$5,$B$231),Data!$BO:$BO,0)-2,58)&lt;&gt;"",INDEX(Tab_DaBa[],MATCH(CONCATENATE(Liste!$C$3,$B$5,$B$231),Data!$BO:$BO,0)-2,63)=""),INDEX(Tab_DaBa[],MATCH(CONCATENATE(Liste!$C$3,$B$5,$B$231),Data!$BO:$BO,0)-2,13),IF(INDEX(Tab_DaBa[],MATCH(CONCATENATE(Liste!$C$3,$B$5,$B$231),Data!$BO:$BO,0)-2,58)&lt;&gt;"",INDEX(Tab_DaBa[],MATCH(CONCATENATE(Liste!$C$3,$B$5,$B$231),Data!$BO:$BO,0)-2,63),"")),"")</f>
        <v/>
      </c>
      <c r="G251" s="38" t="str">
        <f ca="1">IF(H249="","",4)</f>
        <v/>
      </c>
      <c r="H251" s="35" t="str">
        <f ca="1">IFERROR(IF(INDEX(Tab_DaBa[],MATCH(CONCATENATE(Liste!$C$3,$B$5,$B$231),Data!$BO:$BO,0)-2,63)&lt;&gt;"",INDEX(Tab_DaBa[],MATCH(CONCATENATE(Liste!$C$3,$B$5,$B$231),Data!$BO:$BO,0)-2,13),""),"")</f>
        <v/>
      </c>
    </row>
    <row r="252" spans="2:9" s="16" customFormat="1" ht="15.75">
      <c r="B252" s="35" t="str">
        <f ca="1">IFERROR(IF(AND(INDEX(Tab_DaBa[],MATCH(CONCATENATE(Liste!$C$3,$B$5,$B$231),Data!$BO:$BO,0)-2,48)&lt;&gt;"",INDEX(Tab_DaBa[],MATCH(CONCATENATE(Liste!$C$3,$B$5,$B$231),Data!$BO:$BO,0)-2,53)=""),"Performance Level: "&amp;INDEX(Tab_DaBa[],MATCH(CONCATENATE(Liste!$C$3,$B$5,$B$231),Data!$BO:$BO,0)-2,15),IF(INDEX(Tab_DaBa[],MATCH(CONCATENATE(Liste!$C$3,$B$5,$B$231),Data!$BO:$BO,0)-2,48)&lt;&gt;"","Performance Level: "&amp;INDEX(Tab_DaBa[],MATCH(CONCATENATE(Liste!$C$3,$B$5,$B$231),Data!$BO:$BO,0)-2,55),"")),"")</f>
        <v>Performance Level: PL_Lo01_8</v>
      </c>
      <c r="C252" s="39"/>
      <c r="D252" s="35" t="str">
        <f ca="1">IFERROR(IF(AND(INDEX(Tab_DaBa[],MATCH(CONCATENATE(Liste!$C$3,$B$5,$B$231),Data!$BO:$BO,0)-2,53)&lt;&gt;"",INDEX(Tab_DaBa[],MATCH(CONCATENATE(Liste!$C$3,$B$5,$B$231),Data!$BO:$BO,0)-2,58)=""),"Performance Level: "&amp;INDEX(Tab_DaBa[],MATCH(CONCATENATE(Liste!$C$3,$B$5,$B$231),Data!$BO:$BO,0)-2,15),IF(INDEX(Tab_DaBa[],MATCH(CONCATENATE(Liste!$C$3,$B$5,$B$231),Data!$BO:$BO,0)-2,53)&lt;&gt;"","Performance Level: "&amp;INDEX(Tab_DaBa[],MATCH(CONCATENATE(Liste!$C$3,$B$5,$B$231),Data!$BO:$BO,0)-2,60),"")),"")</f>
        <v>Performance Level: PL_Aus1_8</v>
      </c>
      <c r="E252" s="37"/>
      <c r="F252" s="35" t="str">
        <f ca="1">IFERROR(IF(AND(INDEX(Tab_DaBa[],MATCH(CONCATENATE(Liste!$C$3,$B$5,$B$231),Data!$BO:$BO,0)-2,58)&lt;&gt;"",INDEX(Tab_DaBa[],MATCH(CONCATENATE(Liste!$C$3,$B$5,$B$231),Data!$BO:$BO,0)-2,63)=""),"Performance Level: "&amp;INDEX(Tab_DaBa[],MATCH(CONCATENATE(Liste!$C$3,$B$5,$B$231),Data!$BO:$BO,0)-2,15),IF(INDEX(Tab_DaBa[],MATCH(CONCATENATE(Liste!$C$3,$B$5,$B$231),Data!$BO:$BO,0)-2,58)&lt;&gt;"","Performance Level: "&amp;INDEX(Tab_DaBa[],MATCH(CONCATENATE(Liste!$C$3,$B$5,$B$231),Data!$BO:$BO,0)-2,65),"")),"")</f>
        <v/>
      </c>
      <c r="G252" s="39"/>
      <c r="H252" s="35" t="str">
        <f ca="1">IFERROR(IF(INDEX(Tab_DaBa[],MATCH(CONCATENATE(Liste!$C$3,$B$5,$B$231),Data!$BO:$BO,0)-2,63)&lt;&gt;"","Performance Level: "&amp;INDEX(Tab_DaBa[],MATCH(CONCATENATE(Liste!$C$3,$B$5,$B$231),Data!$BO:$BO,0)-2,15),""),"")</f>
        <v/>
      </c>
    </row>
    <row r="253" spans="2:9" s="16" customFormat="1" ht="15.75">
      <c r="B253" s="35" t="str">
        <f ca="1">IFERROR(IF(AND(INDEX(Tab_DaBa[],MATCH(CONCATENATE(Liste!$C$3,$B$5,$B$231),Data!$BO:$BO,0)-2,48)&lt;&gt;"",INDEX(Tab_DaBa[],MATCH(CONCATENATE(Liste!$C$3,$B$5,$B$231),Data!$BO:$BO,0)-2,53)=""),"PFH [1/h] = "&amp;10^9*INDEX(Tab_DaBa[],MATCH(CONCATENATE(Liste!$C$3,$B$5,$B$231),Data!$BO:$BO,0)-2,16)&amp;"E-9",IF(INDEX(Tab_DaBa[],MATCH(CONCATENATE(Liste!$C$3,$B$5,$B$231),Data!$BO:$BO,0)-2,48)&lt;&gt;"","PFH [1/h] = "&amp;10^9*INDEX(Tab_DaBa[],MATCH(CONCATENATE(Liste!$C$3,$B$5,$B$231),Data!$BO:$BO,0)-2,56)&amp;"E-9","")),"")</f>
        <v>PFH [1/h] = 4,19E-9</v>
      </c>
      <c r="C253" s="39"/>
      <c r="D253" s="35" t="str">
        <f ca="1">IFERROR(IF(AND(INDEX(Tab_DaBa[],MATCH(CONCATENATE(Liste!$C$3,$B$5,$B$231),Data!$BO:$BO,0)-2,53)&lt;&gt;"",INDEX(Tab_DaBa[],MATCH(CONCATENATE(Liste!$C$3,$B$5,$B$231),Data!$BO:$BO,0)-2,58)=""),"PFH [1/h] = "&amp;10^9*INDEX(Tab_DaBa[],MATCH(CONCATENATE(Liste!$C$3,$B$5,$B$231),Data!$BO:$BO,0)-2,16)&amp;"E-9",IF(INDEX(Tab_DaBa[],MATCH(CONCATENATE(Liste!$C$3,$B$5,$B$231),Data!$BO:$BO,0)-2,53)&lt;&gt;"","PFH [1/h] = "&amp;10^9*INDEX(Tab_DaBa[],MATCH(CONCATENATE(Liste!$C$3,$B$5,$B$231),Data!$BO:$BO,0)-2,61)&amp;"E-9","")),"")</f>
        <v>PFH [1/h] = 84,7E-9</v>
      </c>
      <c r="E253" s="37"/>
      <c r="F253" s="35" t="str">
        <f ca="1">IFERROR(IF(AND(INDEX(Tab_DaBa[],MATCH(CONCATENATE(Liste!$C$3,$B$5,$B$231),Data!$BO:$BO,0)-2,58)&lt;&gt;"",INDEX(Tab_DaBa[],MATCH(CONCATENATE(Liste!$C$3,$B$5,$B$231),Data!$BO:$BO,0)-2,63)=""),"PFH [1/h] = "&amp;10^9*INDEX(Tab_DaBa[],MATCH(CONCATENATE(Liste!$C$3,$B$5,$B$231),Data!$BO:$BO,0)-2,16)&amp;"E-9",IF(INDEX(Tab_DaBa[],MATCH(CONCATENATE(Liste!$C$3,$B$5,$B$231),Data!$BO:$BO,0)-2,58)&lt;&gt;"","PFH [1/h] = "&amp;10^9*INDEX(Tab_DaBa[],MATCH(CONCATENATE(Liste!$C$3,$B$5,$B$231),Data!$BO:$BO,0)-2,66)&amp;"E-9","")),"")</f>
        <v/>
      </c>
      <c r="G253" s="39"/>
      <c r="H253" s="35" t="str">
        <f ca="1">IFERROR(IF(INDEX(Tab_DaBa[],MATCH(CONCATENATE(Liste!$C$3,$B$5,$B$231),Data!$BO:$BO,0)-2,63)&lt;&gt;"","PFH [1/h] = "&amp;10^9*INDEX(Tab_DaBa[],MATCH(CONCATENATE(Liste!$C$3,$B$5,$B$231),Data!$BO:$BO,0)-2,16)&amp;"E-9",""),"")</f>
        <v/>
      </c>
    </row>
    <row r="254" spans="2:9" s="16" customFormat="1"/>
    <row r="255" spans="2:9" s="16" customFormat="1">
      <c r="B255" s="43" t="str">
        <f ca="1">IF(D255="","","Erforderlich")</f>
        <v>Erforderlich</v>
      </c>
      <c r="D255" s="44" t="str">
        <f ca="1">IFERROR("Performance Level: "&amp;INDEX(Tab_DaBa[],MATCH(CONCATENATE(Liste!$C$3,$B$5,$B$231),Data!$BO:$BO,0)-2,4),"")</f>
        <v>Performance Level: PLr_ges1_8</v>
      </c>
    </row>
    <row r="256" spans="2:9" s="16" customFormat="1">
      <c r="B256" s="45"/>
    </row>
    <row r="257" spans="2:9" s="16" customFormat="1">
      <c r="B257" s="46" t="str">
        <f ca="1">IF(D257="","","Erreicht")</f>
        <v>Erreicht</v>
      </c>
      <c r="D257" s="47" t="str">
        <f ca="1">IFERROR("Performance Level: "&amp;INDEX(Tab_DaBa[],MATCH(CONCATENATE(Liste!$C$3,$B$5,$B$231),Data!$BO:$BO,0)-2,5)&amp;"          PFH [1/h] = "&amp;10^9*INDEX(Tab_DaBa[],MATCH(CONCATENATE(Liste!$C$3,$B$5,$B$231),Data!$BO:$BO,0)-2,6)&amp;"E-9","")</f>
        <v>Performance Level: Pl_ges1_8          PFH [1/h] = 0,87E-9</v>
      </c>
    </row>
    <row r="258" spans="2:9" s="16" customFormat="1">
      <c r="B258" s="52"/>
      <c r="D258" s="51"/>
    </row>
    <row r="259" spans="2:9" s="16" customFormat="1">
      <c r="B259" s="42" t="str">
        <f ca="1">IFERROR(IF(10&gt;COUNTIF(Data!$BP:$BP,CONCATENATE(Liste!$C$3,$B$5)),"",INDEX(Tab_DaBa[],MATCH(CONCATENATE(Liste!$C$3,$B$5),Data!$BP:$BP,0)+7,3)),"")</f>
        <v>1.9 test1 (E+9L+A)</v>
      </c>
    </row>
    <row r="260" spans="2:9" s="16" customFormat="1"/>
    <row r="261" spans="2:9" s="16" customFormat="1" ht="15.75">
      <c r="B261" s="35" t="str">
        <f ca="1">IFERROR(INDEX(Tab_DaBa[],MATCH(CONCATENATE(Liste!$C$3,$B$5,$B$259),Data!$BO:$BO,0)-2,9),"")</f>
        <v>Eingang</v>
      </c>
      <c r="C261" s="54"/>
      <c r="D261" s="35" t="str">
        <f ca="1">IFERROR(IF(INDEX(Tab_DaBa[],MATCH(CONCATENATE(Liste!$C$3,$B$5,$B$259),Data!$BO:$BO,0)-2,18)=0,INDEX(Tab_DaBa[],MATCH(CONCATENATE(Liste!$C$3,$B$5,$B$259),Data!$BO:$BO,0)-2,14),INDEX(Tab_DaBa[],MATCH(CONCATENATE(Liste!$C$3,$B$5,$B$259),Data!$BO:$BO,0)-2,19)),"")</f>
        <v>Logik 01</v>
      </c>
      <c r="E261" s="33"/>
      <c r="F261" s="35" t="str">
        <f ca="1">IFERROR(IF(AND(INDEX(Tab_DaBa[],MATCH(CONCATENATE(Liste!$C$3,$B$5,$B$259),Data!$BO:$BO,0)-2,18)&lt;&gt;"",INDEX(Tab_DaBa[],MATCH(CONCATENATE(Liste!$C$3,$B$5,$B$259),Data!$BO:$BO,0)-2,23)=0),INDEX(Tab_DaBa[],MATCH(CONCATENATE(Liste!$C$3,$B$5,$B$259),Data!$BO:$BO,0)-2,14),IF(INDEX(Tab_DaBa[],MATCH(CONCATENATE(Liste!$C$3,$B$5,$B$259),Data!$BO:$BO,0)-2,23)&lt;&gt;"",INDEX(Tab_DaBa[],MATCH(CONCATENATE(Liste!$C$3,$B$5,$B$259),Data!$BO:$BO,0)-2,24),"")),"")</f>
        <v>Logik 02</v>
      </c>
      <c r="G261" s="39"/>
      <c r="H261" s="35" t="str">
        <f ca="1">IFERROR(IF(AND(INDEX(Tab_DaBa[],MATCH(CONCATENATE(Liste!$C$3,$B$5,$B$259),Data!$BO:$BO,0)-2,23)&lt;&gt;"",INDEX(Tab_DaBa[],MATCH(CONCATENATE(Liste!$C$3,$B$5,$B$259),Data!$BO:$BO,0)-2,28)=0),INDEX(Tab_DaBa[],MATCH(CONCATENATE(Liste!$C$3,$B$5,$B$259),Data!$BO:$BO,0)-2,14),IF(INDEX(Tab_DaBa[],MATCH(CONCATENATE(Liste!$C$3,$B$5,$B$259),Data!$BO:$BO,0)-2,23)&lt;&gt;"",INDEX(Tab_DaBa[],MATCH(CONCATENATE(Liste!$C$3,$B$5,$B$259),Data!$BO:$BO,0)-2,29),"")),"")</f>
        <v>Logik 03</v>
      </c>
      <c r="I261" s="39"/>
    </row>
    <row r="262" spans="2:9" s="16" customFormat="1" ht="15.75">
      <c r="B262" s="35" t="str">
        <f ca="1">IFERROR(INDEX(Tab_DaBa[],MATCH(CONCATENATE(Liste!$C$3,$B$5,$B$259),Data!$BO:$BO,0)-2,7),"")</f>
        <v>eeee-11_9</v>
      </c>
      <c r="C262" s="54"/>
      <c r="D262" s="35" t="str">
        <f ca="1">IFERROR(IF(INDEX(Tab_DaBa[],MATCH(CONCATENATE(Liste!$C$3,$B$5,$B$259),Data!$BO:$BO,0)-2,18)="",INDEX(Tab_DaBa[],MATCH(CONCATENATE(Liste!$C$3,$B$5,$B$259),Data!$BO:$BO,0)-2,12),INDEX(Tab_DaBa[],MATCH(CONCATENATE(Liste!$C$3,$B$5,$B$259),Data!$BO:$BO,0)-2,17)),"")</f>
        <v>Log01-01_09</v>
      </c>
      <c r="E262" s="36"/>
      <c r="F262" s="35" t="str">
        <f ca="1">IFERROR(IF(AND(INDEX(Tab_DaBa[],MATCH(CONCATENATE(Liste!$C$3,$B$5,$B$259),Data!$BO:$BO,0)-2,18)&lt;&gt;"",INDEX(Tab_DaBa[],MATCH(CONCATENATE(Liste!$C$3,$B$5,$B$259),Data!$BO:$BO,0)-2,23)=0),INDEX(Tab_DaBa[],MATCH(CONCATENATE(Liste!$C$3,$B$5,$B$259),Data!$BO:$BO,0)-2,12),IF(INDEX(Tab_DaBa[],MATCH(CONCATENATE(Liste!$C$3,$B$5,$B$259),Data!$BO:$BO,0)-2,23)&lt;&gt;"",INDEX(Tab_DaBa[],MATCH(CONCATENATE(Liste!$C$3,$B$5,$B$259),Data!$BO:$BO,0)-2,22),"")),"")</f>
        <v>Lo01-22_9</v>
      </c>
      <c r="G262" s="39"/>
      <c r="H262" s="35" t="str">
        <f ca="1">IFERROR(IF(AND(INDEX(Tab_DaBa[],MATCH(CONCATENATE(Liste!$C$3,$B$5,$B$259),Data!$BO:$BO,0)-2,23)&lt;&gt;"",INDEX(Tab_DaBa[],MATCH(CONCATENATE(Liste!$C$3,$B$5,$B$259),Data!$BO:$BO,0)-2,28)=0),INDEX(Tab_DaBa[],MATCH(CONCATENATE(Liste!$C$3,$B$5,$B$259),Data!$BO:$BO,0)-2,12),IF(INDEX(Tab_DaBa[],MATCH(CONCATENATE(Liste!$C$3,$B$5,$B$259),Data!$BO:$BO,0)-2,23)&lt;&gt;"",INDEX(Tab_DaBa[],MATCH(CONCATENATE(Liste!$C$3,$B$5,$B$259),Data!$BO:$BO,0)-2,27),"")),"")</f>
        <v>Lo01-33_9</v>
      </c>
      <c r="I262" s="39"/>
    </row>
    <row r="263" spans="2:9" s="16" customFormat="1" ht="15.75">
      <c r="B263" s="35" t="str">
        <f ca="1">IFERROR(INDEX(Tab_DaBa[],MATCH(CONCATENATE(Liste!$C$3,$B$5,$B$259),Data!$BO:$BO,0)-2,8),"")</f>
        <v>Bez_Ein1_9</v>
      </c>
      <c r="C263" s="40">
        <f ca="1">IF(D261="","",4)</f>
        <v>4</v>
      </c>
      <c r="D263" s="35" t="str">
        <f ca="1">IFERROR(IF(INDEX(Tab_DaBa[],MATCH(CONCATENATE(Liste!$C$3,$B$5,$B$259),Data!$BO:$BO,0)-2,18)="",INDEX(Tab_DaBa[],MATCH(CONCATENATE(Liste!$C$3,$B$5,$B$259),Data!$BO:$BO,0)-2,13),INDEX(Tab_DaBa[],MATCH(CONCATENATE(Liste!$C$3,$B$5,$B$259),Data!$BO:$BO,0)-2,18)),"")</f>
        <v>Bez_Log01_01_09</v>
      </c>
      <c r="E263" s="40">
        <f ca="1">IF(F261="","",4)</f>
        <v>4</v>
      </c>
      <c r="F263" s="35" t="str">
        <f ca="1">IFERROR(IF(AND(INDEX(Tab_DaBa[],MATCH(CONCATENATE(Liste!$C$3,$B$5,$B$259),Data!$BO:$BO,0)-2,18)&lt;&gt;"",INDEX(Tab_DaBa[],MATCH(CONCATENATE(Liste!$C$3,$B$5,$B$259),Data!$BO:$BO,0)-2,23)=""),INDEX(Tab_DaBa[],MATCH(CONCATENATE(Liste!$C$3,$B$5,$B$259),Data!$BO:$BO,0)-2,13),IF(INDEX(Tab_DaBa[],MATCH(CONCATENATE(Liste!$C$3,$B$5,$B$259),Data!$BO:$BO,0)-2,23)&lt;&gt;"",INDEX(Tab_DaBa[],MATCH(CONCATENATE(Liste!$C$3,$B$5,$B$259),Data!$BO:$BO,0)-2,23),"")),"")</f>
        <v>Bez_Lo01_9</v>
      </c>
      <c r="G263" s="38">
        <f ca="1">IF(H261="","",4)</f>
        <v>4</v>
      </c>
      <c r="H263" s="35" t="str">
        <f ca="1">IFERROR(IF(AND(INDEX(Tab_DaBa[],MATCH(CONCATENATE(Liste!$C$3,$B$5,$B$259),Data!$BO:$BO,0)-2,23)&lt;&gt;"",INDEX(Tab_DaBa[],MATCH(CONCATENATE(Liste!$C$3,$B$5,$B$259),Data!$BO:$BO,0)-2,28)=""),INDEX(Tab_DaBa[],MATCH(CONCATENATE(Liste!$C$3,$B$5,$B$259),Data!$BO:$BO,0)-2,13),IF(INDEX(Tab_DaBa[],MATCH(CONCATENATE(Liste!$C$3,$B$5,$B$259),Data!$BO:$BO,0)-2,23)&lt;&gt;"",INDEX(Tab_DaBa[],MATCH(CONCATENATE(Liste!$C$3,$B$5,$B$259),Data!$BO:$BO,0)-2,28),"")),"")</f>
        <v>Bez_Lo01_9</v>
      </c>
      <c r="I263" s="38">
        <f ca="1">IF(B269="","",6)</f>
        <v>6</v>
      </c>
    </row>
    <row r="264" spans="2:9" s="16" customFormat="1" ht="15.75">
      <c r="B264" s="35" t="str">
        <f ca="1">IFERROR("Performance Level: "&amp;INDEX(Tab_DaBa[],MATCH(CONCATENATE(Liste!$C$3,$B$5,$B$259),Data!$BO:$BO,0)-2,10),"")</f>
        <v>Performance Level: PL_Ein1_9</v>
      </c>
      <c r="C264" s="54"/>
      <c r="D264" s="35" t="str">
        <f ca="1">IFERROR(IF(INDEX(Tab_DaBa[],MATCH(CONCATENATE(Liste!$C$3,$B$5,$B$259),Data!$BO:$BO,0)-2,18)="","Performance Level: "&amp;INDEX(Tab_DaBa[],MATCH(CONCATENATE(Liste!$C$3,$B$5,$B$259),Data!$BO:$BO,0)-2,15),"Performance Level: "&amp;INDEX(Tab_DaBa[],MATCH(CONCATENATE(Liste!$C$3,$B$5,$B$259),Data!$BO:$BO,0)-2,20)),"")</f>
        <v>Performance Level: PL_Log01_01_09</v>
      </c>
      <c r="E264" s="36"/>
      <c r="F264" s="35" t="str">
        <f ca="1">IFERROR(IF(AND(INDEX(Tab_DaBa[],MATCH(CONCATENATE(Liste!$C$3,$B$5,$B$259),Data!$BO:$BO,0)-2,18)&lt;&gt;"",INDEX(Tab_DaBa[],MATCH(CONCATENATE(Liste!$C$3,$B$5,$B$259),Data!$BO:$BO,0)-2,23)=""),"Performance Level: "&amp;INDEX(Tab_DaBa[],MATCH(CONCATENATE(Liste!$C$3,$B$5,$B$259),Data!$BO:$BO,0)-2,15),IF(INDEX(Tab_DaBa[],MATCH(CONCATENATE(Liste!$C$3,$B$5,$B$259),Data!$BO:$BO,0)-2,23)&lt;&gt;"","Performance Level: "&amp;INDEX(Tab_DaBa[],MATCH(CONCATENATE(Liste!$C$3,$B$5,$B$259),Data!$BO:$BO,0)-2,25),"")),"")</f>
        <v>Performance Level: PL_Lo02_9</v>
      </c>
      <c r="G264" s="39"/>
      <c r="H264" s="35" t="str">
        <f ca="1">IFERROR(IF(AND(INDEX(Tab_DaBa[],MATCH(CONCATENATE(Liste!$C$3,$B$5,$B$259),Data!$BO:$BO,0)-2,23)&lt;&gt;"",INDEX(Tab_DaBa[],MATCH(CONCATENATE(Liste!$C$3,$B$5,$B$259),Data!$BO:$BO,0)-2,28)=""),"Performance Level: "&amp;INDEX(Tab_DaBa[],MATCH(CONCATENATE(Liste!$C$3,$B$5,$B$259),Data!$BO:$BO,0)-2,15),IF(INDEX(Tab_DaBa[],MATCH(CONCATENATE(Liste!$C$3,$B$5,$B$259),Data!$BO:$BO,0)-2,23)&lt;&gt;"","Performance Level: "&amp;INDEX(Tab_DaBa[],MATCH(CONCATENATE(Liste!$C$3,$B$5,$B$259),Data!$BO:$BO,0)-2,30),"")),"")</f>
        <v>Performance Level: PL_Lo01_9</v>
      </c>
      <c r="I264" s="38"/>
    </row>
    <row r="265" spans="2:9" s="16" customFormat="1" ht="15.75">
      <c r="B265" s="53" t="str">
        <f ca="1">IFERROR("PFH [1/h] = "&amp;10^9*INDEX(Tab_DaBa[],MATCH(CONCATENATE(Liste!$C$3,$B$5,$B$259),Data!$BO:$BO,0)-2,11)&amp;"E-9","")</f>
        <v>PFH [1/h] = 9,9E-9</v>
      </c>
      <c r="C265" s="54"/>
      <c r="D265" s="35" t="str">
        <f ca="1">IFERROR(IF(INDEX(Tab_DaBa[],MATCH(CONCATENATE(Liste!$C$3,$B$5,$B$259),Data!$BO:$BO,0)-2,18)="","PFH [1/h] = "&amp;10^9*INDEX(Tab_DaBa[],MATCH(CONCATENATE(Liste!$C$3,$B$5,$B$259),Data!$BO:$BO,0)-2,16)&amp;"E-9","PFH [1/h] = "&amp;10^9*INDEX(Tab_DaBa[],MATCH(CONCATENATE(Liste!$C$3,$B$5,$B$259),Data!$BO:$BO,0)-2,21)&amp;"E-9"),"")</f>
        <v>PFH [1/h] = 9,198E-9</v>
      </c>
      <c r="E265" s="36"/>
      <c r="F265" s="35" t="str">
        <f ca="1">IFERROR(IF(AND(INDEX(Tab_DaBa[],MATCH(CONCATENATE(Liste!$C$3,$B$5,$B$259),Data!$BO:$BO,0)-2,18)&lt;&gt;"",INDEX(Tab_DaBa[],MATCH(CONCATENATE(Liste!$C$3,$B$5,$B$259),Data!$BO:$BO,0)-2,23)=""),"PFH [1/h] = "&amp;10^9*INDEX(Tab_DaBa[],MATCH(CONCATENATE(Liste!$C$3,$B$5,$B$259),Data!$BO:$BO,0)-2,16)&amp;"E-9",IF(INDEX(Tab_DaBa[],MATCH(CONCATENATE(Liste!$C$3,$B$5,$B$259),Data!$BO:$BO,0)-2,23)&lt;&gt;"","PFH [1/h] = "&amp;10^9*INDEX(Tab_DaBa[],MATCH(CONCATENATE(Liste!$C$3,$B$5,$B$259),Data!$BO:$BO,0)-2,26)&amp;"E-9","")),"")</f>
        <v>PFH [1/h] = 4,195E-9</v>
      </c>
      <c r="G265" s="39"/>
      <c r="H265" s="35" t="str">
        <f ca="1">IFERROR(IF(AND(INDEX(Tab_DaBa[],MATCH(CONCATENATE(Liste!$C$3,$B$5,$B$259),Data!$BO:$BO,0)-2,23)&lt;&gt;"",INDEX(Tab_DaBa[],MATCH(CONCATENATE(Liste!$C$3,$B$5,$B$259),Data!$BO:$BO,0)-2,28)=""),"PFH [1/h] = "&amp;10^9*INDEX(Tab_DaBa[],MATCH(CONCATENATE(Liste!$C$3,$B$5,$B$259),Data!$BO:$BO,0)-2,16)&amp;"E-9",IF(INDEX(Tab_DaBa[],MATCH(CONCATENATE(Liste!$C$3,$B$5,$B$259),Data!$BO:$BO,0)-2,23)&lt;&gt;"","PFH [1/h] = "&amp;10^9*INDEX(Tab_DaBa[],MATCH(CONCATENATE(Liste!$C$3,$B$5,$B$259),Data!$BO:$BO,0)-2,31)&amp;"E-9","")),"")</f>
        <v>PFH [1/h] = 4,19E-9</v>
      </c>
      <c r="I265" s="39"/>
    </row>
    <row r="266" spans="2:9" s="16" customFormat="1">
      <c r="B266" s="33"/>
      <c r="C266" s="34"/>
      <c r="D266" s="33"/>
      <c r="E266" s="33"/>
      <c r="F266" s="33"/>
      <c r="G266" s="33"/>
      <c r="H266" s="33"/>
      <c r="I266" s="33"/>
    </row>
    <row r="267" spans="2:9" s="16" customFormat="1" ht="15.75">
      <c r="B267" s="38">
        <f ca="1">IF(B269="","",6)</f>
        <v>6</v>
      </c>
      <c r="C267" s="34"/>
      <c r="D267" s="38">
        <f ca="1">IF(B269="","",3)</f>
        <v>3</v>
      </c>
      <c r="E267" s="33"/>
      <c r="F267" s="38">
        <f ca="1">IF(B269="","",3)</f>
        <v>3</v>
      </c>
      <c r="G267" s="33"/>
      <c r="H267" s="38">
        <f ca="1">IF(B269="","",3)</f>
        <v>3</v>
      </c>
      <c r="I267" s="33"/>
    </row>
    <row r="268" spans="2:9" s="16" customFormat="1" ht="15.75">
      <c r="B268" s="39"/>
      <c r="C268" s="33"/>
      <c r="D268" s="33"/>
      <c r="E268" s="33"/>
      <c r="F268" s="33"/>
      <c r="G268" s="33"/>
      <c r="H268" s="33"/>
      <c r="I268" s="33"/>
    </row>
    <row r="269" spans="2:9" s="16" customFormat="1" ht="15.75">
      <c r="B269" s="35" t="str">
        <f ca="1">IFERROR(IF(AND(INDEX(Tab_DaBa[],MATCH(CONCATENATE(Liste!$C$3,$B$5,$B$259),Data!$BO:$BO,0)-2,28)&lt;&gt;"",INDEX(Tab_DaBa[],MATCH(CONCATENATE(Liste!$C$3,$B$5,$B$259),Data!$BO:$BO,0)-2,33)=0),INDEX(Tab_DaBa[],MATCH(CONCATENATE(Liste!$C$3,$B$5,$B$259),Data!$BO:$BO,0)-2,14),IF(INDEX(Tab_DaBa[],MATCH(CONCATENATE(Liste!$C$3,$B$5,$B$259),Data!$BO:$BO,0)-2,28)&lt;&gt;"",INDEX(Tab_DaBa[],MATCH(CONCATENATE(Liste!$C$3,$B$5,$B$259),Data!$BO:$BO,0)-2,34),"")),"")</f>
        <v>Logik 04</v>
      </c>
      <c r="C269" s="39"/>
      <c r="D269" s="35" t="str">
        <f ca="1">IFERROR(IF(AND(INDEX(Tab_DaBa[],MATCH(CONCATENATE(Liste!$C$3,$B$5,$B$259),Data!$BO:$BO,0)-2,33)&lt;&gt;"",INDEX(Tab_DaBa[],MATCH(CONCATENATE(Liste!$C$3,$B$5,$B$259),Data!$BO:$BO,0)-2,38)=0),INDEX(Tab_DaBa[],MATCH(CONCATENATE(Liste!$C$3,$B$5,$B$259),Data!$BO:$BO,0)-2,14),IF(INDEX(Tab_DaBa[],MATCH(CONCATENATE(Liste!$C$3,$B$5,$B$259),Data!$BO:$BO,0)-2,33)&lt;&gt;"",INDEX(Tab_DaBa[],MATCH(CONCATENATE(Liste!$C$3,$B$5,$B$259),Data!$BO:$BO,0)-2,39),"")),"")</f>
        <v>Logik 05</v>
      </c>
      <c r="E269" s="33"/>
      <c r="F269" s="35" t="str">
        <f ca="1">IFERROR(IF(AND(INDEX(Tab_DaBa[],MATCH(CONCATENATE(Liste!$C$3,$B$5,$B$259),Data!$BO:$BO,0)-2,38)&lt;&gt;"",INDEX(Tab_DaBa[],MATCH(CONCATENATE(Liste!$C$3,$B$5,$B$259),Data!$BO:$BO,0)-2,43)=0),INDEX(Tab_DaBa[],MATCH(CONCATENATE(Liste!$C$3,$B$5,$B$259),Data!$BO:$BO,0)-2,14),IF(INDEX(Tab_DaBa[],MATCH(CONCATENATE(Liste!$C$3,$B$5,$B$259),Data!$BO:$BO,0)-2,38)&lt;&gt;"",INDEX(Tab_DaBa[],MATCH(CONCATENATE(Liste!$C$3,$B$5,$B$259),Data!$BO:$BO,0)-2,44),"")),"")</f>
        <v>Logik 06</v>
      </c>
      <c r="G269" s="39"/>
      <c r="H269" s="35" t="str">
        <f ca="1">IFERROR(IF(AND(INDEX(Tab_DaBa[],MATCH(CONCATENATE(Liste!$C$3,$B$5,$B$259),Data!$BO:$BO,0)-2,43)&lt;&gt;"",INDEX(Tab_DaBa[],MATCH(CONCATENATE(Liste!$C$3,$B$5,$B$259),Data!$BO:$BO,0)-2,48)=0),INDEX(Tab_DaBa[],MATCH(CONCATENATE(Liste!$C$3,$B$5,$B$259),Data!$BO:$BO,0)-2,14),IF(INDEX(Tab_DaBa[],MATCH(CONCATENATE(Liste!$C$3,$B$5,$B$259),Data!$BO:$BO,0)-2,43)&lt;&gt;"",INDEX(Tab_DaBa[],MATCH(CONCATENATE(Liste!$C$3,$B$5,$B$259),Data!$BO:$BO,0)-2,49),"")),"")</f>
        <v>Logik 07</v>
      </c>
      <c r="I269" s="39"/>
    </row>
    <row r="270" spans="2:9" s="16" customFormat="1" ht="15.75">
      <c r="B270" s="35" t="str">
        <f ca="1">IFERROR(IF(AND(INDEX(Tab_DaBa[],MATCH(CONCATENATE(Liste!$C$3,$B$5,$B$259),Data!$BO:$BO,0)-2,28)&lt;&gt;"",INDEX(Tab_DaBa[],MATCH(CONCATENATE(Liste!$C$3,$B$5,$B$259),Data!$BO:$BO,0)-2,33)=0),INDEX(Tab_DaBa[],MATCH(CONCATENATE(Liste!$C$3,$B$5,$B$259),Data!$BO:$BO,0)-2,12),IF(INDEX(Tab_DaBa[],MATCH(CONCATENATE(Liste!$C$3,$B$5,$B$259),Data!$BO:$BO,0)-2,28)&lt;&gt;"",INDEX(Tab_DaBa[],MATCH(CONCATENATE(Liste!$C$3,$B$5,$B$259),Data!$BO:$BO,0)-2,32),"")),"")</f>
        <v>Lo01_44_9</v>
      </c>
      <c r="C270" s="39"/>
      <c r="D270" s="35" t="str">
        <f ca="1">IFERROR(IF(AND(INDEX(Tab_DaBa[],MATCH(CONCATENATE(Liste!$C$3,$B$5,$B$259),Data!$BO:$BO,0)-2,33)&lt;&gt;"",INDEX(Tab_DaBa[],MATCH(CONCATENATE(Liste!$C$3,$B$5,$B$259),Data!$BO:$BO,0)-2,38)=0),INDEX(Tab_DaBa[],MATCH(CONCATENATE(Liste!$C$3,$B$5,$B$259),Data!$BO:$BO,0)-2,12),IF(INDEX(Tab_DaBa[],MATCH(CONCATENATE(Liste!$C$3,$B$5,$B$259),Data!$BO:$BO,0)-2,33)&lt;&gt;"",INDEX(Tab_DaBa[],MATCH(CONCATENATE(Liste!$C$3,$B$5,$B$259),Data!$BO:$BO,0)-2,37),"")),"")</f>
        <v>Lo01_55_9</v>
      </c>
      <c r="E270" s="37"/>
      <c r="F270" s="35" t="str">
        <f ca="1">IFERROR(IF(AND(INDEX(Tab_DaBa[],MATCH(CONCATENATE(Liste!$C$3,$B$5,$B$259),Data!$BO:$BO,0)-2,38)&lt;&gt;"",INDEX(Tab_DaBa[],MATCH(CONCATENATE(Liste!$C$3,$B$5,$B$259),Data!$BO:$BO,0)-2,43)=0),INDEX(Tab_DaBa[],MATCH(CONCATENATE(Liste!$C$3,$B$5,$B$259),Data!$BO:$BO,0)-2,12),IF(INDEX(Tab_DaBa[],MATCH(CONCATENATE(Liste!$C$3,$B$5,$B$259),Data!$BO:$BO,0)-2,38)&lt;&gt;"",INDEX(Tab_DaBa[],MATCH(CONCATENATE(Liste!$C$3,$B$5,$B$259),Data!$BO:$BO,0)-2,42),"")),"")</f>
        <v>Lo01-66_9</v>
      </c>
      <c r="G270" s="39"/>
      <c r="H270" s="35" t="str">
        <f ca="1">IFERROR(IF(AND(INDEX(Tab_DaBa[],MATCH(CONCATENATE(Liste!$C$3,$B$5,$B$259),Data!$BO:$BO,0)-2,43)&lt;&gt;"",INDEX(Tab_DaBa[],MATCH(CONCATENATE(Liste!$C$3,$B$5,$B$259),Data!$BO:$BO,0)-2,48)=0),INDEX(Tab_DaBa[],MATCH(CONCATENATE(Liste!$C$3,$B$5,$B$259),Data!$BO:$BO,0)-2,12),IF(INDEX(Tab_DaBa[],MATCH(CONCATENATE(Liste!$C$3,$B$5,$B$259),Data!$BO:$BO,0)-2,43)&lt;&gt;"",INDEX(Tab_DaBa[],MATCH(CONCATENATE(Liste!$C$3,$B$5,$B$259),Data!$BO:$BO,0)-2,47),"")),"")</f>
        <v>Lo01-77_9</v>
      </c>
      <c r="I270" s="39"/>
    </row>
    <row r="271" spans="2:9" s="16" customFormat="1" ht="15.75">
      <c r="B271" s="35" t="str">
        <f ca="1">IFERROR(IF(AND(INDEX(Tab_DaBa[],MATCH(CONCATENATE(Liste!$C$3,$B$5,$B$259),Data!$BO:$BO,0)-2,28)&lt;&gt;"",INDEX(Tab_DaBa[],MATCH(CONCATENATE(Liste!$C$3,$B$5,$B$259),Data!$BO:$BO,0)-2,33)=""),INDEX(Tab_DaBa[],MATCH(CONCATENATE(Liste!$C$3,$B$5,$B$259),Data!$BO:$BO,0)-2,13),IF(INDEX(Tab_DaBa[],MATCH(CONCATENATE(Liste!$C$3,$B$5,$B$259),Data!$BO:$BO,0)-2,28)&lt;&gt;"",INDEX(Tab_DaBa[],MATCH(CONCATENATE(Liste!$C$3,$B$5,$B$259),Data!$BO:$BO,0)-2,33),"")),"")</f>
        <v>Bez_Lo01_9</v>
      </c>
      <c r="C271" s="38">
        <f ca="1">IF(D269="","",4)</f>
        <v>4</v>
      </c>
      <c r="D271" s="35" t="str">
        <f ca="1">IFERROR(IF(AND(INDEX(Tab_DaBa[],MATCH(CONCATENATE(Liste!$C$3,$B$5,$B$259),Data!$BO:$BO,0)-2,33)&lt;&gt;"",INDEX(Tab_DaBa[],MATCH(CONCATENATE(Liste!$C$3,$B$5,$B$259),Data!$BO:$BO,0)-2,38)=""),INDEX(Tab_DaBa[],MATCH(CONCATENATE(Liste!$C$3,$B$5,$B$259),Data!$BO:$BO,0)-2,13),IF(INDEX(Tab_DaBa[],MATCH(CONCATENATE(Liste!$C$3,$B$5,$B$259),Data!$BO:$BO,0)-2,33)&lt;&gt;"",INDEX(Tab_DaBa[],MATCH(CONCATENATE(Liste!$C$3,$B$5,$B$259),Data!$BO:$BO,0)-2,38),"")),"")</f>
        <v>Bez_Lo01_9</v>
      </c>
      <c r="E271" s="38">
        <f ca="1">IF(F269="","",4)</f>
        <v>4</v>
      </c>
      <c r="F271" s="35" t="str">
        <f ca="1">IFERROR(IF(AND(INDEX(Tab_DaBa[],MATCH(CONCATENATE(Liste!$C$3,$B$5,$B$259),Data!$BO:$BO,0)-2,38)&lt;&gt;"",INDEX(Tab_DaBa[],MATCH(CONCATENATE(Liste!$C$3,$B$5,$B$259),Data!$BO:$BO,0)-2,43)=""),INDEX(Tab_DaBa[],MATCH(CONCATENATE(Liste!$C$3,$B$5,$B$259),Data!$BO:$BO,0)-2,13),IF(INDEX(Tab_DaBa[],MATCH(CONCATENATE(Liste!$C$3,$B$5,$B$259),Data!$BO:$BO,0)-2,38)&lt;&gt;"",INDEX(Tab_DaBa[],MATCH(CONCATENATE(Liste!$C$3,$B$5,$B$259),Data!$BO:$BO,0)-2,43),"")),"")</f>
        <v>Bez_Lo01_9</v>
      </c>
      <c r="G271" s="38">
        <f ca="1">IF(H269="","",4)</f>
        <v>4</v>
      </c>
      <c r="H271" s="35" t="str">
        <f ca="1">IFERROR(IF(AND(INDEX(Tab_DaBa[],MATCH(CONCATENATE(Liste!$C$3,$B$5,$B$259),Data!$BO:$BO,0)-2,43)&lt;&gt;"",INDEX(Tab_DaBa[],MATCH(CONCATENATE(Liste!$C$3,$B$5,$B$259),Data!$BO:$BO,0)-2,48)=""),INDEX(Tab_DaBa[],MATCH(CONCATENATE(Liste!$C$3,$B$5,$B$259),Data!$BO:$BO,0)-2,13),IF(INDEX(Tab_DaBa[],MATCH(CONCATENATE(Liste!$C$3,$B$5,$B$259),Data!$BO:$BO,0)-2,43)&lt;&gt;"",INDEX(Tab_DaBa[],MATCH(CONCATENATE(Liste!$C$3,$B$5,$B$259),Data!$BO:$BO,0)-2,48),"")),"")</f>
        <v>Bez_Lo01_9</v>
      </c>
      <c r="I271" s="38">
        <f ca="1">IF(B277="","",6)</f>
        <v>6</v>
      </c>
    </row>
    <row r="272" spans="2:9" s="16" customFormat="1" ht="15.75">
      <c r="B272" s="35" t="str">
        <f ca="1">IFERROR(IF(AND(INDEX(Tab_DaBa[],MATCH(CONCATENATE(Liste!$C$3,$B$5,$B$259),Data!$BO:$BO,0)-2,28)&lt;&gt;"",INDEX(Tab_DaBa[],MATCH(CONCATENATE(Liste!$C$3,$B$5,$B$259),Data!$BO:$BO,0)-2,33)=""),"Performance Level: "&amp;INDEX(Tab_DaBa[],MATCH(CONCATENATE(Liste!$C$3,$B$5,$B$259),Data!$BO:$BO,0)-2,15),IF(INDEX(Tab_DaBa[],MATCH(CONCATENATE(Liste!$C$3,$B$5,$B$259),Data!$BO:$BO,0)-2,28)&lt;&gt;"","Performance Level: "&amp;INDEX(Tab_DaBa[],MATCH(CONCATENATE(Liste!$C$3,$B$5,$B$259),Data!$BO:$BO,0)-2,35),"")),"")</f>
        <v>Performance Level: PL_Lo01_9</v>
      </c>
      <c r="C272" s="39"/>
      <c r="D272" s="35" t="str">
        <f ca="1">IFERROR(IF(AND(INDEX(Tab_DaBa[],MATCH(CONCATENATE(Liste!$C$3,$B$5,$B$259),Data!$BO:$BO,0)-2,33)&lt;&gt;"",INDEX(Tab_DaBa[],MATCH(CONCATENATE(Liste!$C$3,$B$5,$B$259),Data!$BO:$BO,0)-2,38)=""),"Performance Level: "&amp;INDEX(Tab_DaBa[],MATCH(CONCATENATE(Liste!$C$3,$B$5,$B$259),Data!$BO:$BO,0)-2,15),IF(INDEX(Tab_DaBa[],MATCH(CONCATENATE(Liste!$C$3,$B$5,$B$259),Data!$BO:$BO,0)-2,33)&lt;&gt;"","Performance Level: "&amp;INDEX(Tab_DaBa[],MATCH(CONCATENATE(Liste!$C$3,$B$5,$B$259),Data!$BO:$BO,0)-2,40),"")),"")</f>
        <v>Performance Level: PL_Lo01_9</v>
      </c>
      <c r="E272" s="37"/>
      <c r="F272" s="35" t="str">
        <f ca="1">IFERROR(IF(AND(INDEX(Tab_DaBa[],MATCH(CONCATENATE(Liste!$C$3,$B$5,$B$259),Data!$BO:$BO,0)-2,38)&lt;&gt;"",INDEX(Tab_DaBa[],MATCH(CONCATENATE(Liste!$C$3,$B$5,$B$259),Data!$BO:$BO,0)-2,43)=""),"Performance Level: "&amp;INDEX(Tab_DaBa[],MATCH(CONCATENATE(Liste!$C$3,$B$5,$B$259),Data!$BO:$BO,0)-2,15),IF(INDEX(Tab_DaBa[],MATCH(CONCATENATE(Liste!$C$3,$B$5,$B$259),Data!$BO:$BO,0)-2,38)&lt;&gt;"","Performance Level: "&amp;INDEX(Tab_DaBa[],MATCH(CONCATENATE(Liste!$C$3,$B$5,$B$259),Data!$BO:$BO,0)-2,45),"")),"")</f>
        <v>Performance Level: PL_Lo01_9</v>
      </c>
      <c r="G272" s="39"/>
      <c r="H272" s="35" t="str">
        <f ca="1">IFERROR(IF(AND(INDEX(Tab_DaBa[],MATCH(CONCATENATE(Liste!$C$3,$B$5,$B$259),Data!$BO:$BO,0)-2,43)&lt;&gt;"",INDEX(Tab_DaBa[],MATCH(CONCATENATE(Liste!$C$3,$B$5,$B$259),Data!$BO:$BO,0)-2,48)=""),"Performance Level: "&amp;INDEX(Tab_DaBa[],MATCH(CONCATENATE(Liste!$C$3,$B$5,$B$259),Data!$BO:$BO,0)-2,15),IF(INDEX(Tab_DaBa[],MATCH(CONCATENATE(Liste!$C$3,$B$5,$B$259),Data!$BO:$BO,0)-2,43)&lt;&gt;"","Performance Level: "&amp;INDEX(Tab_DaBa[],MATCH(CONCATENATE(Liste!$C$3,$B$5,$B$259),Data!$BO:$BO,0)-2,50),"")),"")</f>
        <v>Performance Level: PL_Lo01_9</v>
      </c>
      <c r="I272" s="39"/>
    </row>
    <row r="273" spans="2:9" s="16" customFormat="1" ht="15.75">
      <c r="B273" s="35" t="str">
        <f ca="1">IFERROR(IF(AND(INDEX(Tab_DaBa[],MATCH(CONCATENATE(Liste!$C$3,$B$5,$B$259),Data!$BO:$BO,0)-2,28)&lt;&gt;"",INDEX(Tab_DaBa[],MATCH(CONCATENATE(Liste!$C$3,$B$5,$B$259),Data!$BO:$BO,0)-2,33)=""),"PFH [1/h] = "&amp;10^9*INDEX(Tab_DaBa[],MATCH(CONCATENATE(Liste!$C$3,$B$5,$B$259),Data!$BO:$BO,0)-2,16)&amp;"E-9",IF(INDEX(Tab_DaBa[],MATCH(CONCATENATE(Liste!$C$3,$B$5,$B$259),Data!$BO:$BO,0)-2,28)&lt;&gt;"","PFH [1/h] = "&amp;10^9*INDEX(Tab_DaBa[],MATCH(CONCATENATE(Liste!$C$3,$B$5,$B$259),Data!$BO:$BO,0)-2,36)&amp;"E-9","")),"")</f>
        <v>PFH [1/h] = 4,19E-9</v>
      </c>
      <c r="C273" s="39"/>
      <c r="D273" s="35" t="str">
        <f ca="1">IFERROR(IF(AND(INDEX(Tab_DaBa[],MATCH(CONCATENATE(Liste!$C$3,$B$5,$B$259),Data!$BO:$BO,0)-2,33)&lt;&gt;"",INDEX(Tab_DaBa[],MATCH(CONCATENATE(Liste!$C$3,$B$5,$B$259),Data!$BO:$BO,0)-2,38)=""),"PFH [1/h] = "&amp;10^9*INDEX(Tab_DaBa[],MATCH(CONCATENATE(Liste!$C$3,$B$5,$B$259),Data!$BO:$BO,0)-2,16)&amp;"E-9",IF(INDEX(Tab_DaBa[],MATCH(CONCATENATE(Liste!$C$3,$B$5,$B$259),Data!$BO:$BO,0)-2,33)&lt;&gt;"","PFH [1/h] = "&amp;10^9*INDEX(Tab_DaBa[],MATCH(CONCATENATE(Liste!$C$3,$B$5,$B$259),Data!$BO:$BO,0)-2,41)&amp;"E-9","")),"")</f>
        <v>PFH [1/h] = 4,19E-9</v>
      </c>
      <c r="E273" s="37"/>
      <c r="F273" s="35" t="str">
        <f ca="1">IFERROR(IF(AND(INDEX(Tab_DaBa[],MATCH(CONCATENATE(Liste!$C$3,$B$5,$B$259),Data!$BO:$BO,0)-2,38)&lt;&gt;"",INDEX(Tab_DaBa[],MATCH(CONCATENATE(Liste!$C$3,$B$5,$B$259),Data!$BO:$BO,0)-2,43)=""),"PFH [1/h] = "&amp;10^9*INDEX(Tab_DaBa[],MATCH(CONCATENATE(Liste!$C$3,$B$5,$B$259),Data!$BO:$BO,0)-2,16)&amp;"E-9",IF(INDEX(Tab_DaBa[],MATCH(CONCATENATE(Liste!$C$3,$B$5,$B$259),Data!$BO:$BO,0)-2,38)&lt;&gt;"","PFH [1/h] = "&amp;10^9*INDEX(Tab_DaBa[],MATCH(CONCATENATE(Liste!$C$3,$B$5,$B$259),Data!$BO:$BO,0)-2,46)&amp;"E-9","")),"")</f>
        <v>PFH [1/h] = 4,19E-9</v>
      </c>
      <c r="G273" s="39"/>
      <c r="H273" s="35" t="str">
        <f ca="1">IFERROR(IF(AND(INDEX(Tab_DaBa[],MATCH(CONCATENATE(Liste!$C$3,$B$5,$B$259),Data!$BO:$BO,0)-2,43)&lt;&gt;"",INDEX(Tab_DaBa[],MATCH(CONCATENATE(Liste!$C$3,$B$5,$B$259),Data!$BO:$BO,0)-2,48)=""),"PFH [1/h] = "&amp;10^9*INDEX(Tab_DaBa[],MATCH(CONCATENATE(Liste!$C$3,$B$5,$B$259),Data!$BO:$BO,0)-2,16)&amp;"E-9",IF(INDEX(Tab_DaBa[],MATCH(CONCATENATE(Liste!$C$3,$B$5,$B$259),Data!$BO:$BO,0)-2,43)&lt;&gt;"","PFH [1/h] = "&amp;10^9*INDEX(Tab_DaBa[],MATCH(CONCATENATE(Liste!$C$3,$B$5,$B$259),Data!$BO:$BO,0)-2,51)&amp;"E-9","")),"")</f>
        <v>PFH [1/h] = 4,19E-9</v>
      </c>
      <c r="I273" s="39"/>
    </row>
    <row r="274" spans="2:9" s="16" customFormat="1">
      <c r="B274" s="33"/>
      <c r="C274" s="33"/>
      <c r="D274" s="33"/>
      <c r="E274" s="33"/>
      <c r="F274" s="33"/>
      <c r="G274" s="33"/>
      <c r="H274" s="33"/>
      <c r="I274" s="33"/>
    </row>
    <row r="275" spans="2:9" s="16" customFormat="1" ht="15.75">
      <c r="B275" s="38">
        <f ca="1">IF(B277="","",6)</f>
        <v>6</v>
      </c>
      <c r="C275" s="33"/>
      <c r="D275" s="38">
        <f ca="1">IF(B277="","",3)</f>
        <v>3</v>
      </c>
      <c r="E275" s="33"/>
      <c r="F275" s="38">
        <f ca="1">IF(B277="","",3)</f>
        <v>3</v>
      </c>
      <c r="G275" s="33"/>
      <c r="H275" s="38">
        <f ca="1">IF(B277="","",3)</f>
        <v>3</v>
      </c>
      <c r="I275" s="33"/>
    </row>
    <row r="276" spans="2:9" s="16" customFormat="1" ht="15.75">
      <c r="B276" s="39"/>
      <c r="C276" s="33"/>
      <c r="D276" s="33"/>
      <c r="E276" s="33"/>
      <c r="F276" s="33"/>
      <c r="G276" s="33"/>
      <c r="H276" s="33"/>
      <c r="I276" s="33"/>
    </row>
    <row r="277" spans="2:9" s="16" customFormat="1" ht="15.75">
      <c r="B277" s="35" t="str">
        <f ca="1">IFERROR(IF(AND(INDEX(Tab_DaBa[],MATCH(CONCATENATE(Liste!$C$3,$B$5,$B$259),Data!$BO:$BO,0)-2,48)&lt;&gt;"",INDEX(Tab_DaBa[],MATCH(CONCATENATE(Liste!$C$3,$B$5,$B$259),Data!$BO:$BO,0)-2,53)=0),INDEX(Tab_DaBa[],MATCH(CONCATENATE(Liste!$C$3,$B$5,$B$259),Data!$BO:$BO,0)-2,14),IF(INDEX(Tab_DaBa[],MATCH(CONCATENATE(Liste!$C$3,$B$5,$B$259),Data!$BO:$BO,0)-2,48)&lt;&gt;"",INDEX(Tab_DaBa[],MATCH(CONCATENATE(Liste!$C$3,$B$5,$B$259),Data!$BO:$BO,0)-2,54),"")),"")</f>
        <v>Logik 08</v>
      </c>
      <c r="C277" s="39"/>
      <c r="D277" s="35" t="str">
        <f ca="1">IFERROR(IF(AND(INDEX(Tab_DaBa[],MATCH(CONCATENATE(Liste!$C$3,$B$5,$B$259),Data!$BO:$BO,0)-2,53)&lt;&gt;"",INDEX(Tab_DaBa[],MATCH(CONCATENATE(Liste!$C$3,$B$5,$B$259),Data!$BO:$BO,0)-2,58)=0),INDEX(Tab_DaBa[],MATCH(CONCATENATE(Liste!$C$3,$B$5,$B$259),Data!$BO:$BO,0)-2,14),IF(INDEX(Tab_DaBa[],MATCH(CONCATENATE(Liste!$C$3,$B$5,$B$259),Data!$BO:$BO,0)-2,53)&lt;&gt;"",INDEX(Tab_DaBa[],MATCH(CONCATENATE(Liste!$C$3,$B$5,$B$259),Data!$BO:$BO,0)-2,59),"")),"")</f>
        <v>Logik 09</v>
      </c>
      <c r="E277" s="33"/>
      <c r="F277" s="35" t="str">
        <f ca="1">IFERROR(IF(AND(INDEX(Tab_DaBa[],MATCH(CONCATENATE(Liste!$C$3,$B$5,$B$259),Data!$BO:$BO,0)-2,58)&lt;&gt;"",INDEX(Tab_DaBa[],MATCH(CONCATENATE(Liste!$C$3,$B$5,$B$259),Data!$BO:$BO,0)-2,63)=0),INDEX(Tab_DaBa[],MATCH(CONCATENATE(Liste!$C$3,$B$5,$B$259),Data!$BO:$BO,0)-2,14),IF(INDEX(Tab_DaBa[],MATCH(CONCATENATE(Liste!$C$3,$B$5,$B$259),Data!$BO:$BO,0)-2,58)&lt;&gt;"",INDEX(Tab_DaBa[],MATCH(CONCATENATE(Liste!$C$3,$B$5,$B$259),Data!$BO:$BO,0)-2,64),"")),"")</f>
        <v>Ausgang</v>
      </c>
      <c r="G277" s="39"/>
      <c r="H277" s="35" t="str">
        <f ca="1">IFERROR(IF(INDEX(Tab_DaBa[],MATCH(CONCATENATE(Liste!$C$3,$B$5,$B$259),Data!$BO:$BO,0)-2,63)&lt;&gt;"",INDEX(Tab_DaBa[],MATCH(CONCATENATE(Liste!$C$3,$B$5,$B$259),Data!$BO:$BO,0)-2,14),""),"")</f>
        <v/>
      </c>
    </row>
    <row r="278" spans="2:9" s="16" customFormat="1" ht="15.75">
      <c r="B278" s="35" t="str">
        <f ca="1">IFERROR(IF(AND(INDEX(Tab_DaBa[],MATCH(CONCATENATE(Liste!$C$3,$B$5,$B$259),Data!$BO:$BO,0)-2,48)&lt;&gt;"",INDEX(Tab_DaBa[],MATCH(CONCATENATE(Liste!$C$3,$B$5,$B$259),Data!$BO:$BO,0)-2,53)=0),INDEX(Tab_DaBa[],MATCH(CONCATENATE(Liste!$C$3,$B$5,$B$259),Data!$BO:$BO,0)-2,12),IF(INDEX(Tab_DaBa[],MATCH(CONCATENATE(Liste!$C$3,$B$5,$B$259),Data!$BO:$BO,0)-2,48)&lt;&gt;"",INDEX(Tab_DaBa[],MATCH(CONCATENATE(Liste!$C$3,$B$5,$B$259),Data!$BO:$BO,0)-2,52),"")),"")</f>
        <v>Lo01-88_9</v>
      </c>
      <c r="C278" s="39"/>
      <c r="D278" s="35" t="str">
        <f ca="1">IFERROR(IF(AND(INDEX(Tab_DaBa[],MATCH(CONCATENATE(Liste!$C$3,$B$5,$B$259),Data!$BO:$BO,0)-2,53)&lt;&gt;"",INDEX(Tab_DaBa[],MATCH(CONCATENATE(Liste!$C$3,$B$5,$B$259),Data!$BO:$BO,0)-2,58)=0),INDEX(Tab_DaBa[],MATCH(CONCATENATE(Liste!$C$3,$B$5,$B$259),Data!$BO:$BO,0)-2,12),IF(INDEX(Tab_DaBa[],MATCH(CONCATENATE(Liste!$C$3,$B$5,$B$259),Data!$BO:$BO,0)-2,53)&lt;&gt;"",INDEX(Tab_DaBa[],MATCH(CONCATENATE(Liste!$C$3,$B$5,$B$259),Data!$BO:$BO,0)-2,57),"")),"")</f>
        <v>Lo01_99_9</v>
      </c>
      <c r="E278" s="37"/>
      <c r="F278" s="35" t="str">
        <f ca="1">IFERROR(IF(AND(INDEX(Tab_DaBa[],MATCH(CONCATENATE(Liste!$C$3,$B$5,$B$259),Data!$BO:$BO,0)-2,58)&lt;&gt;"",INDEX(Tab_DaBa[],MATCH(CONCATENATE(Liste!$C$3,$B$5,$B$259),Data!$BO:$BO,0)-2,63)=0),INDEX(Tab_DaBa[],MATCH(CONCATENATE(Liste!$C$3,$B$5,$B$259),Data!$BO:$BO,0)-2,12),IF(INDEX(Tab_DaBa[],MATCH(CONCATENATE(Liste!$C$3,$B$5,$B$259),Data!$BO:$BO,0)-2,58)&lt;&gt;"",INDEX(Tab_DaBa[],MATCH(CONCATENATE(Liste!$C$3,$B$5,$B$259),Data!$BO:$BO,0)-2,62),"")),"")</f>
        <v>aaaa-11_9</v>
      </c>
      <c r="G278" s="39"/>
      <c r="H278" s="35" t="str">
        <f ca="1">IFERROR(IF(INDEX(Tab_DaBa[],MATCH(CONCATENATE(Liste!$C$3,$B$5,$B$259),Data!$BO:$BO,0)-2,63)&lt;&gt;"",INDEX(Tab_DaBa[],MATCH(CONCATENATE(Liste!$C$3,$B$5,$B$259),Data!$BO:$BO,0)-2,12),""),"")</f>
        <v/>
      </c>
    </row>
    <row r="279" spans="2:9" s="16" customFormat="1" ht="15.75">
      <c r="B279" s="35" t="str">
        <f ca="1">IFERROR(IF(AND(INDEX(Tab_DaBa[],MATCH(CONCATENATE(Liste!$C$3,$B$5,$B$259),Data!$BO:$BO,0)-2,48)&lt;&gt;"",INDEX(Tab_DaBa[],MATCH(CONCATENATE(Liste!$C$3,$B$5,$B$259),Data!$BO:$BO,0)-2,53)=""),INDEX(Tab_DaBa[],MATCH(CONCATENATE(Liste!$C$3,$B$5,$B$259),Data!$BO:$BO,0)-2,13),IF(INDEX(Tab_DaBa[],MATCH(CONCATENATE(Liste!$C$3,$B$5,$B$259),Data!$BO:$BO,0)-2,48)&lt;&gt;"",INDEX(Tab_DaBa[],MATCH(CONCATENATE(Liste!$C$3,$B$5,$B$259),Data!$BO:$BO,0)-2,53),"")),"")</f>
        <v>Bez_Lo01_9</v>
      </c>
      <c r="C279" s="38">
        <f ca="1">IF(D277="","",4)</f>
        <v>4</v>
      </c>
      <c r="D279" s="35" t="str">
        <f ca="1">IFERROR(IF(AND(INDEX(Tab_DaBa[],MATCH(CONCATENATE(Liste!$C$3,$B$5,$B$259),Data!$BO:$BO,0)-2,53)&lt;&gt;"",INDEX(Tab_DaBa[],MATCH(CONCATENATE(Liste!$C$3,$B$5,$B$259),Data!$BO:$BO,0)-2,58)=""),INDEX(Tab_DaBa[],MATCH(CONCATENATE(Liste!$C$3,$B$5,$B$259),Data!$BO:$BO,0)-2,13),IF(INDEX(Tab_DaBa[],MATCH(CONCATENATE(Liste!$C$3,$B$5,$B$259),Data!$BO:$BO,0)-2,53)&lt;&gt;"",INDEX(Tab_DaBa[],MATCH(CONCATENATE(Liste!$C$3,$B$5,$B$259),Data!$BO:$BO,0)-2,58),"")),"")</f>
        <v>Bez_Lo01_9</v>
      </c>
      <c r="E279" s="38">
        <f ca="1">IF(F277="","",4)</f>
        <v>4</v>
      </c>
      <c r="F279" s="35" t="str">
        <f ca="1">IFERROR(IF(AND(INDEX(Tab_DaBa[],MATCH(CONCATENATE(Liste!$C$3,$B$5,$B$259),Data!$BO:$BO,0)-2,58)&lt;&gt;"",INDEX(Tab_DaBa[],MATCH(CONCATENATE(Liste!$C$3,$B$5,$B$259),Data!$BO:$BO,0)-2,63)=""),INDEX(Tab_DaBa[],MATCH(CONCATENATE(Liste!$C$3,$B$5,$B$259),Data!$BO:$BO,0)-2,13),IF(INDEX(Tab_DaBa[],MATCH(CONCATENATE(Liste!$C$3,$B$5,$B$259),Data!$BO:$BO,0)-2,58)&lt;&gt;"",INDEX(Tab_DaBa[],MATCH(CONCATENATE(Liste!$C$3,$B$5,$B$259),Data!$BO:$BO,0)-2,63),"")),"")</f>
        <v>Bez_Aus9</v>
      </c>
      <c r="G279" s="38" t="str">
        <f ca="1">IF(H277="","",4)</f>
        <v/>
      </c>
      <c r="H279" s="35" t="str">
        <f ca="1">IFERROR(IF(INDEX(Tab_DaBa[],MATCH(CONCATENATE(Liste!$C$3,$B$5,$B$259),Data!$BO:$BO,0)-2,63)&lt;&gt;"",INDEX(Tab_DaBa[],MATCH(CONCATENATE(Liste!$C$3,$B$5,$B$259),Data!$BO:$BO,0)-2,13),""),"")</f>
        <v/>
      </c>
    </row>
    <row r="280" spans="2:9" s="16" customFormat="1" ht="15.75">
      <c r="B280" s="35" t="str">
        <f ca="1">IFERROR(IF(AND(INDEX(Tab_DaBa[],MATCH(CONCATENATE(Liste!$C$3,$B$5,$B$259),Data!$BO:$BO,0)-2,48)&lt;&gt;"",INDEX(Tab_DaBa[],MATCH(CONCATENATE(Liste!$C$3,$B$5,$B$259),Data!$BO:$BO,0)-2,53)=""),"Performance Level: "&amp;INDEX(Tab_DaBa[],MATCH(CONCATENATE(Liste!$C$3,$B$5,$B$259),Data!$BO:$BO,0)-2,15),IF(INDEX(Tab_DaBa[],MATCH(CONCATENATE(Liste!$C$3,$B$5,$B$259),Data!$BO:$BO,0)-2,48)&lt;&gt;"","Performance Level: "&amp;INDEX(Tab_DaBa[],MATCH(CONCATENATE(Liste!$C$3,$B$5,$B$259),Data!$BO:$BO,0)-2,55),"")),"")</f>
        <v>Performance Level: PL_Lo01_9</v>
      </c>
      <c r="C280" s="39"/>
      <c r="D280" s="35" t="str">
        <f ca="1">IFERROR(IF(AND(INDEX(Tab_DaBa[],MATCH(CONCATENATE(Liste!$C$3,$B$5,$B$259),Data!$BO:$BO,0)-2,53)&lt;&gt;"",INDEX(Tab_DaBa[],MATCH(CONCATENATE(Liste!$C$3,$B$5,$B$259),Data!$BO:$BO,0)-2,58)=""),"Performance Level: "&amp;INDEX(Tab_DaBa[],MATCH(CONCATENATE(Liste!$C$3,$B$5,$B$259),Data!$BO:$BO,0)-2,15),IF(INDEX(Tab_DaBa[],MATCH(CONCATENATE(Liste!$C$3,$B$5,$B$259),Data!$BO:$BO,0)-2,53)&lt;&gt;"","Performance Level: "&amp;INDEX(Tab_DaBa[],MATCH(CONCATENATE(Liste!$C$3,$B$5,$B$259),Data!$BO:$BO,0)-2,60),"")),"")</f>
        <v>Performance Level: PL_Lo01_9</v>
      </c>
      <c r="E280" s="37"/>
      <c r="F280" s="35" t="str">
        <f ca="1">IFERROR(IF(AND(INDEX(Tab_DaBa[],MATCH(CONCATENATE(Liste!$C$3,$B$5,$B$259),Data!$BO:$BO,0)-2,58)&lt;&gt;"",INDEX(Tab_DaBa[],MATCH(CONCATENATE(Liste!$C$3,$B$5,$B$259),Data!$BO:$BO,0)-2,63)=""),"Performance Level: "&amp;INDEX(Tab_DaBa[],MATCH(CONCATENATE(Liste!$C$3,$B$5,$B$259),Data!$BO:$BO,0)-2,15),IF(INDEX(Tab_DaBa[],MATCH(CONCATENATE(Liste!$C$3,$B$5,$B$259),Data!$BO:$BO,0)-2,58)&lt;&gt;"","Performance Level: "&amp;INDEX(Tab_DaBa[],MATCH(CONCATENATE(Liste!$C$3,$B$5,$B$259),Data!$BO:$BO,0)-2,65),"")),"")</f>
        <v>Performance Level: PL_Aus1_9</v>
      </c>
      <c r="G280" s="39"/>
      <c r="H280" s="35" t="str">
        <f ca="1">IFERROR(IF(INDEX(Tab_DaBa[],MATCH(CONCATENATE(Liste!$C$3,$B$5,$B$259),Data!$BO:$BO,0)-2,63)&lt;&gt;"","Performance Level: "&amp;INDEX(Tab_DaBa[],MATCH(CONCATENATE(Liste!$C$3,$B$5,$B$259),Data!$BO:$BO,0)-2,15),""),"")</f>
        <v/>
      </c>
    </row>
    <row r="281" spans="2:9" s="16" customFormat="1" ht="15.75">
      <c r="B281" s="35" t="str">
        <f ca="1">IFERROR(IF(AND(INDEX(Tab_DaBa[],MATCH(CONCATENATE(Liste!$C$3,$B$5,$B$259),Data!$BO:$BO,0)-2,48)&lt;&gt;"",INDEX(Tab_DaBa[],MATCH(CONCATENATE(Liste!$C$3,$B$5,$B$259),Data!$BO:$BO,0)-2,53)=""),"PFH [1/h] = "&amp;10^9*INDEX(Tab_DaBa[],MATCH(CONCATENATE(Liste!$C$3,$B$5,$B$259),Data!$BO:$BO,0)-2,16)&amp;"E-9",IF(INDEX(Tab_DaBa[],MATCH(CONCATENATE(Liste!$C$3,$B$5,$B$259),Data!$BO:$BO,0)-2,48)&lt;&gt;"","PFH [1/h] = "&amp;10^9*INDEX(Tab_DaBa[],MATCH(CONCATENATE(Liste!$C$3,$B$5,$B$259),Data!$BO:$BO,0)-2,56)&amp;"E-9","")),"")</f>
        <v>PFH [1/h] = 4,19E-9</v>
      </c>
      <c r="C281" s="39"/>
      <c r="D281" s="35" t="str">
        <f ca="1">IFERROR(IF(AND(INDEX(Tab_DaBa[],MATCH(CONCATENATE(Liste!$C$3,$B$5,$B$259),Data!$BO:$BO,0)-2,53)&lt;&gt;"",INDEX(Tab_DaBa[],MATCH(CONCATENATE(Liste!$C$3,$B$5,$B$259),Data!$BO:$BO,0)-2,58)=""),"PFH [1/h] = "&amp;10^9*INDEX(Tab_DaBa[],MATCH(CONCATENATE(Liste!$C$3,$B$5,$B$259),Data!$BO:$BO,0)-2,16)&amp;"E-9",IF(INDEX(Tab_DaBa[],MATCH(CONCATENATE(Liste!$C$3,$B$5,$B$259),Data!$BO:$BO,0)-2,53)&lt;&gt;"","PFH [1/h] = "&amp;10^9*INDEX(Tab_DaBa[],MATCH(CONCATENATE(Liste!$C$3,$B$5,$B$259),Data!$BO:$BO,0)-2,61)&amp;"E-9","")),"")</f>
        <v>PFH [1/h] = 4,19E-9</v>
      </c>
      <c r="E281" s="37"/>
      <c r="F281" s="35" t="str">
        <f ca="1">IFERROR(IF(AND(INDEX(Tab_DaBa[],MATCH(CONCATENATE(Liste!$C$3,$B$5,$B$259),Data!$BO:$BO,0)-2,58)&lt;&gt;"",INDEX(Tab_DaBa[],MATCH(CONCATENATE(Liste!$C$3,$B$5,$B$259),Data!$BO:$BO,0)-2,63)=""),"PFH [1/h] = "&amp;10^9*INDEX(Tab_DaBa[],MATCH(CONCATENATE(Liste!$C$3,$B$5,$B$259),Data!$BO:$BO,0)-2,16)&amp;"E-9",IF(INDEX(Tab_DaBa[],MATCH(CONCATENATE(Liste!$C$3,$B$5,$B$259),Data!$BO:$BO,0)-2,58)&lt;&gt;"","PFH [1/h] = "&amp;10^9*INDEX(Tab_DaBa[],MATCH(CONCATENATE(Liste!$C$3,$B$5,$B$259),Data!$BO:$BO,0)-2,66)&amp;"E-9","")),"")</f>
        <v>PFH [1/h] = 94,7E-9</v>
      </c>
      <c r="G281" s="39"/>
      <c r="H281" s="35" t="str">
        <f ca="1">IFERROR(IF(INDEX(Tab_DaBa[],MATCH(CONCATENATE(Liste!$C$3,$B$5,$B$259),Data!$BO:$BO,0)-2,63)&lt;&gt;"","PFH [1/h] = "&amp;10^9*INDEX(Tab_DaBa[],MATCH(CONCATENATE(Liste!$C$3,$B$5,$B$259),Data!$BO:$BO,0)-2,16)&amp;"E-9",""),"")</f>
        <v/>
      </c>
    </row>
    <row r="282" spans="2:9" s="16" customFormat="1"/>
    <row r="283" spans="2:9" s="16" customFormat="1">
      <c r="B283" s="43" t="str">
        <f ca="1">IF(D283="","","Erforderlich")</f>
        <v>Erforderlich</v>
      </c>
      <c r="D283" s="44" t="str">
        <f ca="1">IFERROR("Performance Level: "&amp;INDEX(Tab_DaBa[],MATCH(CONCATENATE(Liste!$C$3,$B$5,$B$259),Data!$BO:$BO,0)-2,4),"")</f>
        <v>Performance Level: PLr_ges1_9</v>
      </c>
    </row>
    <row r="284" spans="2:9" s="16" customFormat="1">
      <c r="B284" s="45"/>
    </row>
    <row r="285" spans="2:9" s="16" customFormat="1">
      <c r="B285" s="46" t="str">
        <f ca="1">IF(D285="","","Erreicht")</f>
        <v>Erreicht</v>
      </c>
      <c r="D285" s="47" t="str">
        <f ca="1">IFERROR("Performance Level: "&amp;INDEX(Tab_DaBa[],MATCH(CONCATENATE(Liste!$C$3,$B$5,$B$259),Data!$BO:$BO,0)-2,5)&amp;"          PFH [1/h] = "&amp;10^9*INDEX(Tab_DaBa[],MATCH(CONCATENATE(Liste!$C$3,$B$5,$B$259),Data!$BO:$BO,0)-2,6)&amp;"E-9","")</f>
        <v>Performance Level: Pl_ges1_9          PFH [1/h] = 0,97E-9</v>
      </c>
    </row>
    <row r="286" spans="2:9" s="16" customFormat="1">
      <c r="B286" s="52"/>
      <c r="D286" s="51"/>
    </row>
    <row r="287" spans="2:9" s="16" customFormat="1">
      <c r="B287" s="55" t="str">
        <f ca="1">Liste!$D$5</f>
        <v>2. test2</v>
      </c>
    </row>
    <row r="288" spans="2:9" s="16" customFormat="1"/>
    <row r="289" spans="2:9" s="16" customFormat="1">
      <c r="B289" s="42" t="str">
        <f ca="1">IFERROR(IF(1&gt;COUNTIF(Data!$BP:$BP,CONCATENATE(Liste!$C$3,$B$287)),"",INDEX(Tab_DaBa[],MATCH(CONCATENATE(Liste!$C$3,$B$287),Data!$BP:$BP,0)-2,3)),"")</f>
        <v>2.1 test2 (E+1L+A)</v>
      </c>
    </row>
    <row r="290" spans="2:9" s="16" customFormat="1"/>
    <row r="291" spans="2:9" s="16" customFormat="1" ht="15.75">
      <c r="B291" s="35" t="str">
        <f ca="1">IFERROR(INDEX(Tab_DaBa[],MATCH(CONCATENATE(Liste!$C$3,$B$287,$B$289),Data!$BO:$BO,0)-2,9),"")</f>
        <v>Eingang</v>
      </c>
      <c r="C291" s="54"/>
      <c r="D291" s="35" t="str">
        <f ca="1">IFERROR(IF(INDEX(Tab_DaBa[],MATCH(CONCATENATE(Liste!$C$3,$B$287,$B$289),Data!$BO:$BO,0)-2,18)=0,INDEX(Tab_DaBa[],MATCH(CONCATENATE(Liste!$C$3,$B$287,$B$289),Data!$BO:$BO,0)-2,14),INDEX(Tab_DaBa[],MATCH(CONCATENATE(Liste!$C$3,$B$287,$B$289),Data!$BO:$BO,0)-2,19)),"")</f>
        <v>Logik 01</v>
      </c>
      <c r="E291" s="33"/>
      <c r="F291" s="35" t="str">
        <f ca="1">IFERROR(IF(AND(INDEX(Tab_DaBa[],MATCH(CONCATENATE(Liste!$C$3,$B$287,$B$289),Data!$BO:$BO,0)-2,18)&lt;&gt;"",INDEX(Tab_DaBa[],MATCH(CONCATENATE(Liste!$C$3,$B$287,$B$289),Data!$BO:$BO,0)-2,23)=0),INDEX(Tab_DaBa[],MATCH(CONCATENATE(Liste!$C$3,$B$287,$B$289),Data!$BO:$BO,0)-2,14),IF(INDEX(Tab_DaBa[],MATCH(CONCATENATE(Liste!$C$3,$B$287,$B$289),Data!$BO:$BO,0)-2,23)&lt;&gt;"",INDEX(Tab_DaBa[],MATCH(CONCATENATE(Liste!$C$3,$B$287,$B$289),Data!$BO:$BO,0)-2,24),"")),"")</f>
        <v>Ausgang</v>
      </c>
      <c r="G291" s="39"/>
      <c r="H291" s="35" t="str">
        <f ca="1">IFERROR(IF(AND(INDEX(Tab_DaBa[],MATCH(CONCATENATE(Liste!$C$3,$B$287,$B$289),Data!$BO:$BO,0)-2,23)&lt;&gt;"",INDEX(Tab_DaBa[],MATCH(CONCATENATE(Liste!$C$3,$B$287,$B$289),Data!$BO:$BO,0)-2,28)=0),INDEX(Tab_DaBa[],MATCH(CONCATENATE(Liste!$C$3,$B$287,$B$289),Data!$BO:$BO,0)-2,14),IF(INDEX(Tab_DaBa[],MATCH(CONCATENATE(Liste!$C$3,$B$287,$B$289),Data!$BO:$BO,0)-2,23)&lt;&gt;"",INDEX(Tab_DaBa[],MATCH(CONCATENATE(Liste!$C$3,$B$287,$B$289),Data!$BO:$BO,0)-2,29),"")),"")</f>
        <v/>
      </c>
      <c r="I291" s="39"/>
    </row>
    <row r="292" spans="2:9" s="16" customFormat="1" ht="15.75">
      <c r="B292" s="35" t="str">
        <f ca="1">IFERROR(INDEX(Tab_DaBa[],MATCH(CONCATENATE(Liste!$C$3,$B$287,$B$289),Data!$BO:$BO,0)-2,7),"")</f>
        <v>eeee-22_1</v>
      </c>
      <c r="C292" s="54"/>
      <c r="D292" s="35" t="str">
        <f ca="1">IFERROR(IF(INDEX(Tab_DaBa[],MATCH(CONCATENATE(Liste!$C$3,$B$287,$B$289),Data!$BO:$BO,0)-2,18)="",INDEX(Tab_DaBa[],MATCH(CONCATENATE(Liste!$C$3,$B$287,$B$289),Data!$BO:$BO,0)-2,12),INDEX(Tab_DaBa[],MATCH(CONCATENATE(Liste!$C$3,$B$287,$B$289),Data!$BO:$BO,0)-2,17)),"")</f>
        <v>Log02-02_01</v>
      </c>
      <c r="E292" s="36"/>
      <c r="F292" s="35" t="str">
        <f ca="1">IFERROR(IF(AND(INDEX(Tab_DaBa[],MATCH(CONCATENATE(Liste!$C$3,$B$287,$B$289),Data!$BO:$BO,0)-2,18)&lt;&gt;"",INDEX(Tab_DaBa[],MATCH(CONCATENATE(Liste!$C$3,$B$287,$B$289),Data!$BO:$BO,0)-2,23)=0),INDEX(Tab_DaBa[],MATCH(CONCATENATE(Liste!$C$3,$B$287,$B$289),Data!$BO:$BO,0)-2,12),IF(INDEX(Tab_DaBa[],MATCH(CONCATENATE(Liste!$C$3,$B$287,$B$289),Data!$BO:$BO,0)-2,23)&lt;&gt;"",INDEX(Tab_DaBa[],MATCH(CONCATENATE(Liste!$C$3,$B$287,$B$289),Data!$BO:$BO,0)-2,22),"")),"")</f>
        <v>aaaa-22_1</v>
      </c>
      <c r="G292" s="39"/>
      <c r="H292" s="35" t="str">
        <f ca="1">IFERROR(IF(AND(INDEX(Tab_DaBa[],MATCH(CONCATENATE(Liste!$C$3,$B$287,$B$289),Data!$BO:$BO,0)-2,23)&lt;&gt;"",INDEX(Tab_DaBa[],MATCH(CONCATENATE(Liste!$C$3,$B$287,$B$289),Data!$BO:$BO,0)-2,28)=0),INDEX(Tab_DaBa[],MATCH(CONCATENATE(Liste!$C$3,$B$287,$B$289),Data!$BO:$BO,0)-2,12),IF(INDEX(Tab_DaBa[],MATCH(CONCATENATE(Liste!$C$3,$B$287,$B$289),Data!$BO:$BO,0)-2,23)&lt;&gt;"",INDEX(Tab_DaBa[],MATCH(CONCATENATE(Liste!$C$3,$B$287,$B$289),Data!$BO:$BO,0)-2,27),"")),"")</f>
        <v/>
      </c>
      <c r="I292" s="39"/>
    </row>
    <row r="293" spans="2:9" s="16" customFormat="1" ht="15.75">
      <c r="B293" s="35" t="str">
        <f ca="1">IFERROR(INDEX(Tab_DaBa[],MATCH(CONCATENATE(Liste!$C$3,$B$287,$B$289),Data!$BO:$BO,0)-2,8),"")</f>
        <v>Bez_Ein2_1</v>
      </c>
      <c r="C293" s="40">
        <f ca="1">IF(D291="","",4)</f>
        <v>4</v>
      </c>
      <c r="D293" s="35" t="str">
        <f ca="1">IFERROR(IF(INDEX(Tab_DaBa[],MATCH(CONCATENATE(Liste!$C$3,$B$287,$B$289),Data!$BO:$BO,0)-2,18)="",INDEX(Tab_DaBa[],MATCH(CONCATENATE(Liste!$C$3,$B$287,$B$289),Data!$BO:$BO,0)-2,13),INDEX(Tab_DaBa[],MATCH(CONCATENATE(Liste!$C$3,$B$287,$B$289),Data!$BO:$BO,0)-2,18)),"")</f>
        <v>Bez_Log01_02_01</v>
      </c>
      <c r="E293" s="40">
        <f ca="1">IF(F291="","",4)</f>
        <v>4</v>
      </c>
      <c r="F293" s="35" t="str">
        <f ca="1">IFERROR(IF(AND(INDEX(Tab_DaBa[],MATCH(CONCATENATE(Liste!$C$3,$B$287,$B$289),Data!$BO:$BO,0)-2,18)&lt;&gt;"",INDEX(Tab_DaBa[],MATCH(CONCATENATE(Liste!$C$3,$B$287,$B$289),Data!$BO:$BO,0)-2,23)=""),INDEX(Tab_DaBa[],MATCH(CONCATENATE(Liste!$C$3,$B$287,$B$289),Data!$BO:$BO,0)-2,13),IF(INDEX(Tab_DaBa[],MATCH(CONCATENATE(Liste!$C$3,$B$287,$B$289),Data!$BO:$BO,0)-2,23)&lt;&gt;"",INDEX(Tab_DaBa[],MATCH(CONCATENATE(Liste!$C$3,$B$287,$B$289),Data!$BO:$BO,0)-2,23),"")),"")</f>
        <v>Bez_Aus2_1</v>
      </c>
      <c r="G293" s="38" t="str">
        <f ca="1">IF(H291="","",4)</f>
        <v/>
      </c>
      <c r="H293" s="35" t="str">
        <f ca="1">IFERROR(IF(AND(INDEX(Tab_DaBa[],MATCH(CONCATENATE(Liste!$C$3,$B$287,$B$289),Data!$BO:$BO,0)-2,23)&lt;&gt;"",INDEX(Tab_DaBa[],MATCH(CONCATENATE(Liste!$C$3,$B$287,$B$289),Data!$BO:$BO,0)-2,28)=""),INDEX(Tab_DaBa[],MATCH(CONCATENATE(Liste!$C$3,$B$287,$B$289),Data!$BO:$BO,0)-2,13),IF(INDEX(Tab_DaBa[],MATCH(CONCATENATE(Liste!$C$3,$B$287,$B$289),Data!$BO:$BO,0)-2,23)&lt;&gt;"",INDEX(Tab_DaBa[],MATCH(CONCATENATE(Liste!$C$3,$B$287,$B$289),Data!$BO:$BO,0)-2,28),"")),"")</f>
        <v/>
      </c>
      <c r="I293" s="38" t="str">
        <f ca="1">IF(B299="","",6)</f>
        <v/>
      </c>
    </row>
    <row r="294" spans="2:9" s="16" customFormat="1" ht="15.75">
      <c r="B294" s="35" t="str">
        <f ca="1">IFERROR("Performance Level: "&amp;INDEX(Tab_DaBa[],MATCH(CONCATENATE(Liste!$C$3,$B$287,$B$289),Data!$BO:$BO,0)-2,10),"")</f>
        <v>Performance Level: PL_Ein2_1</v>
      </c>
      <c r="C294" s="54"/>
      <c r="D294" s="35" t="str">
        <f ca="1">IFERROR(IF(INDEX(Tab_DaBa[],MATCH(CONCATENATE(Liste!$C$3,$B$287,$B$289),Data!$BO:$BO,0)-2,18)="","Performance Level: "&amp;INDEX(Tab_DaBa[],MATCH(CONCATENATE(Liste!$C$3,$B$287,$B$289),Data!$BO:$BO,0)-2,15),"Performance Level: "&amp;INDEX(Tab_DaBa[],MATCH(CONCATENATE(Liste!$C$3,$B$287,$B$289),Data!$BO:$BO,0)-2,20)),"")</f>
        <v>Performance Level: PL_Log02_1</v>
      </c>
      <c r="E294" s="36"/>
      <c r="F294" s="35" t="str">
        <f ca="1">IFERROR(IF(AND(INDEX(Tab_DaBa[],MATCH(CONCATENATE(Liste!$C$3,$B$287,$B$289),Data!$BO:$BO,0)-2,18)&lt;&gt;"",INDEX(Tab_DaBa[],MATCH(CONCATENATE(Liste!$C$3,$B$287,$B$289),Data!$BO:$BO,0)-2,23)=""),"Performance Level: "&amp;INDEX(Tab_DaBa[],MATCH(CONCATENATE(Liste!$C$3,$B$287,$B$289),Data!$BO:$BO,0)-2,15),IF(INDEX(Tab_DaBa[],MATCH(CONCATENATE(Liste!$C$3,$B$287,$B$289),Data!$BO:$BO,0)-2,23)&lt;&gt;"","Performance Level: "&amp;INDEX(Tab_DaBa[],MATCH(CONCATENATE(Liste!$C$3,$B$287,$B$289),Data!$BO:$BO,0)-2,25),"")),"")</f>
        <v>Performance Level: PL_Aus2_1</v>
      </c>
      <c r="G294" s="39"/>
      <c r="H294" s="35" t="str">
        <f ca="1">IFERROR(IF(AND(INDEX(Tab_DaBa[],MATCH(CONCATENATE(Liste!$C$3,$B$287,$B$289),Data!$BO:$BO,0)-2,23)&lt;&gt;"",INDEX(Tab_DaBa[],MATCH(CONCATENATE(Liste!$C$3,$B$287,$B$289),Data!$BO:$BO,0)-2,28)=""),"Performance Level: "&amp;INDEX(Tab_DaBa[],MATCH(CONCATENATE(Liste!$C$3,$B$287,$B$289),Data!$BO:$BO,0)-2,15),IF(INDEX(Tab_DaBa[],MATCH(CONCATENATE(Liste!$C$3,$B$287,$B$289),Data!$BO:$BO,0)-2,23)&lt;&gt;"","Performance Level: "&amp;INDEX(Tab_DaBa[],MATCH(CONCATENATE(Liste!$C$3,$B$287,$B$289),Data!$BO:$BO,0)-2,30),"")),"")</f>
        <v/>
      </c>
      <c r="I294" s="38"/>
    </row>
    <row r="295" spans="2:9" s="16" customFormat="1" ht="15.75">
      <c r="B295" s="53" t="str">
        <f ca="1">IFERROR("PFH [1/h] = "&amp;10^9*INDEX(Tab_DaBa[],MATCH(CONCATENATE(Liste!$C$3,$B$287,$B$289),Data!$BO:$BO,0)-2,11)&amp;"E-9","")</f>
        <v>PFH [1/h] = 42,9E-9</v>
      </c>
      <c r="C295" s="54"/>
      <c r="D295" s="35" t="str">
        <f ca="1">IFERROR(IF(INDEX(Tab_DaBa[],MATCH(CONCATENATE(Liste!$C$3,$B$287,$B$289),Data!$BO:$BO,0)-2,18)="","PFH [1/h] = "&amp;10^9*INDEX(Tab_DaBa[],MATCH(CONCATENATE(Liste!$C$3,$B$287,$B$289),Data!$BO:$BO,0)-2,16)&amp;"E-9","PFH [1/h] = "&amp;10^9*INDEX(Tab_DaBa[],MATCH(CONCATENATE(Liste!$C$3,$B$287,$B$289),Data!$BO:$BO,0)-2,21)&amp;"E-9"),"")</f>
        <v>PFH [1/h] = 4,19E-9</v>
      </c>
      <c r="E295" s="36"/>
      <c r="F295" s="35" t="str">
        <f ca="1">IFERROR(IF(AND(INDEX(Tab_DaBa[],MATCH(CONCATENATE(Liste!$C$3,$B$287,$B$289),Data!$BO:$BO,0)-2,18)&lt;&gt;"",INDEX(Tab_DaBa[],MATCH(CONCATENATE(Liste!$C$3,$B$287,$B$289),Data!$BO:$BO,0)-2,23)=""),"PFH [1/h] = "&amp;10^9*INDEX(Tab_DaBa[],MATCH(CONCATENATE(Liste!$C$3,$B$287,$B$289),Data!$BO:$BO,0)-2,16)&amp;"E-9",IF(INDEX(Tab_DaBa[],MATCH(CONCATENATE(Liste!$C$3,$B$287,$B$289),Data!$BO:$BO,0)-2,23)&lt;&gt;"","PFH [1/h] = "&amp;10^9*INDEX(Tab_DaBa[],MATCH(CONCATENATE(Liste!$C$3,$B$287,$B$289),Data!$BO:$BO,0)-2,26)&amp;"E-9","")),"")</f>
        <v>PFH [1/h] = 24,7E-9</v>
      </c>
      <c r="G295" s="39"/>
      <c r="H295" s="35" t="str">
        <f ca="1">IFERROR(IF(AND(INDEX(Tab_DaBa[],MATCH(CONCATENATE(Liste!$C$3,$B$287,$B$289),Data!$BO:$BO,0)-2,23)&lt;&gt;"",INDEX(Tab_DaBa[],MATCH(CONCATENATE(Liste!$C$3,$B$287,$B$289),Data!$BO:$BO,0)-2,28)=""),"PFH [1/h] = "&amp;10^9*INDEX(Tab_DaBa[],MATCH(CONCATENATE(Liste!$C$3,$B$287,$B$289),Data!$BO:$BO,0)-2,16)&amp;"E-9",IF(INDEX(Tab_DaBa[],MATCH(CONCATENATE(Liste!$C$3,$B$287,$B$289),Data!$BO:$BO,0)-2,23)&lt;&gt;"","PFH [1/h] = "&amp;10^9*INDEX(Tab_DaBa[],MATCH(CONCATENATE(Liste!$C$3,$B$287,$B$289),Data!$BO:$BO,0)-2,31)&amp;"E-9","")),"")</f>
        <v/>
      </c>
      <c r="I295" s="39"/>
    </row>
    <row r="296" spans="2:9" s="16" customFormat="1">
      <c r="B296" s="33"/>
      <c r="C296" s="34"/>
      <c r="D296" s="33"/>
      <c r="E296" s="33"/>
      <c r="F296" s="33"/>
      <c r="G296" s="33"/>
      <c r="H296" s="33"/>
      <c r="I296" s="33"/>
    </row>
    <row r="297" spans="2:9" s="16" customFormat="1" ht="15.75">
      <c r="B297" s="38" t="str">
        <f ca="1">IF(B299="","",6)</f>
        <v/>
      </c>
      <c r="C297" s="34"/>
      <c r="D297" s="38" t="str">
        <f ca="1">IF(B299="","",3)</f>
        <v/>
      </c>
      <c r="E297" s="33"/>
      <c r="F297" s="38" t="str">
        <f ca="1">IF(B299="","",3)</f>
        <v/>
      </c>
      <c r="G297" s="33"/>
      <c r="H297" s="38" t="str">
        <f ca="1">IF(B299="","",3)</f>
        <v/>
      </c>
      <c r="I297" s="33"/>
    </row>
    <row r="298" spans="2:9" s="16" customFormat="1" ht="15.75">
      <c r="B298" s="39"/>
      <c r="C298" s="33"/>
      <c r="D298" s="33"/>
      <c r="E298" s="33"/>
      <c r="F298" s="33"/>
      <c r="G298" s="33"/>
      <c r="H298" s="33"/>
      <c r="I298" s="33"/>
    </row>
    <row r="299" spans="2:9" s="16" customFormat="1" ht="15.75">
      <c r="B299" s="35" t="str">
        <f ca="1">IFERROR(IF(AND(INDEX(Tab_DaBa[],MATCH(CONCATENATE(Liste!$C$3,$B$287,$B$289),Data!$BO:$BO,0)-2,28)&lt;&gt;"",INDEX(Tab_DaBa[],MATCH(CONCATENATE(Liste!$C$3,$B$287,$B$289),Data!$BO:$BO,0)-2,33)=0),INDEX(Tab_DaBa[],MATCH(CONCATENATE(Liste!$C$3,$B$287,$B$289),Data!$BO:$BO,0)-2,14),IF(INDEX(Tab_DaBa[],MATCH(CONCATENATE(Liste!$C$3,$B$287,$B$289),Data!$BO:$BO,0)-2,28)&lt;&gt;"",INDEX(Tab_DaBa[],MATCH(CONCATENATE(Liste!$C$3,$B$287,$B$289),Data!$BO:$BO,0)-2,34),"")),"")</f>
        <v/>
      </c>
      <c r="C299" s="39"/>
      <c r="D299" s="35" t="str">
        <f ca="1">IFERROR(IF(AND(INDEX(Tab_DaBa[],MATCH(CONCATENATE(Liste!$C$3,$B$287,$B$289),Data!$BO:$BO,0)-2,33)&lt;&gt;"",INDEX(Tab_DaBa[],MATCH(CONCATENATE(Liste!$C$3,$B$287,$B$289),Data!$BO:$BO,0)-2,38)=0),INDEX(Tab_DaBa[],MATCH(CONCATENATE(Liste!$C$3,$B$287,$B$289),Data!$BO:$BO,0)-2,14),IF(INDEX(Tab_DaBa[],MATCH(CONCATENATE(Liste!$C$3,$B$287,$B$289),Data!$BO:$BO,0)-2,33)&lt;&gt;"",INDEX(Tab_DaBa[],MATCH(CONCATENATE(Liste!$C$3,$B$287,$B$289),Data!$BO:$BO,0)-2,39),"")),"")</f>
        <v/>
      </c>
      <c r="E299" s="33"/>
      <c r="F299" s="35" t="str">
        <f ca="1">IFERROR(IF(AND(INDEX(Tab_DaBa[],MATCH(CONCATENATE(Liste!$C$3,$B$287,$B$289),Data!$BO:$BO,0)-2,38)&lt;&gt;"",INDEX(Tab_DaBa[],MATCH(CONCATENATE(Liste!$C$3,$B$287,$B$289),Data!$BO:$BO,0)-2,43)=0),INDEX(Tab_DaBa[],MATCH(CONCATENATE(Liste!$C$3,$B$287,$B$289),Data!$BO:$BO,0)-2,14),IF(INDEX(Tab_DaBa[],MATCH(CONCATENATE(Liste!$C$3,$B$287,$B$289),Data!$BO:$BO,0)-2,38)&lt;&gt;"",INDEX(Tab_DaBa[],MATCH(CONCATENATE(Liste!$C$3,$B$287,$B$289),Data!$BO:$BO,0)-2,44),"")),"")</f>
        <v/>
      </c>
      <c r="G299" s="39"/>
      <c r="H299" s="35" t="str">
        <f ca="1">IFERROR(IF(AND(INDEX(Tab_DaBa[],MATCH(CONCATENATE(Liste!$C$3,$B$287,$B$289),Data!$BO:$BO,0)-2,43)&lt;&gt;"",INDEX(Tab_DaBa[],MATCH(CONCATENATE(Liste!$C$3,$B$287,$B$289),Data!$BO:$BO,0)-2,48)=0),INDEX(Tab_DaBa[],MATCH(CONCATENATE(Liste!$C$3,$B$287,$B$289),Data!$BO:$BO,0)-2,14),IF(INDEX(Tab_DaBa[],MATCH(CONCATENATE(Liste!$C$3,$B$287,$B$289),Data!$BO:$BO,0)-2,43)&lt;&gt;"",INDEX(Tab_DaBa[],MATCH(CONCATENATE(Liste!$C$3,$B$287,$B$289),Data!$BO:$BO,0)-2,49),"")),"")</f>
        <v/>
      </c>
      <c r="I299" s="39"/>
    </row>
    <row r="300" spans="2:9" s="16" customFormat="1" ht="15.75">
      <c r="B300" s="35" t="str">
        <f ca="1">IFERROR(IF(AND(INDEX(Tab_DaBa[],MATCH(CONCATENATE(Liste!$C$3,$B$287,$B$289),Data!$BO:$BO,0)-2,28)&lt;&gt;"",INDEX(Tab_DaBa[],MATCH(CONCATENATE(Liste!$C$3,$B$287,$B$289),Data!$BO:$BO,0)-2,33)=0),INDEX(Tab_DaBa[],MATCH(CONCATENATE(Liste!$C$3,$B$287,$B$289),Data!$BO:$BO,0)-2,12),IF(INDEX(Tab_DaBa[],MATCH(CONCATENATE(Liste!$C$3,$B$287,$B$289),Data!$BO:$BO,0)-2,28)&lt;&gt;"",INDEX(Tab_DaBa[],MATCH(CONCATENATE(Liste!$C$3,$B$287,$B$289),Data!$BO:$BO,0)-2,32),"")),"")</f>
        <v/>
      </c>
      <c r="C300" s="39"/>
      <c r="D300" s="35" t="str">
        <f ca="1">IFERROR(IF(AND(INDEX(Tab_DaBa[],MATCH(CONCATENATE(Liste!$C$3,$B$287,$B$289),Data!$BO:$BO,0)-2,33)&lt;&gt;"",INDEX(Tab_DaBa[],MATCH(CONCATENATE(Liste!$C$3,$B$287,$B$289),Data!$BO:$BO,0)-2,38)=0),INDEX(Tab_DaBa[],MATCH(CONCATENATE(Liste!$C$3,$B$287,$B$289),Data!$BO:$BO,0)-2,12),IF(INDEX(Tab_DaBa[],MATCH(CONCATENATE(Liste!$C$3,$B$287,$B$289),Data!$BO:$BO,0)-2,33)&lt;&gt;"",INDEX(Tab_DaBa[],MATCH(CONCATENATE(Liste!$C$3,$B$287,$B$289),Data!$BO:$BO,0)-2,37),"")),"")</f>
        <v/>
      </c>
      <c r="E300" s="37"/>
      <c r="F300" s="35" t="str">
        <f ca="1">IFERROR(IF(AND(INDEX(Tab_DaBa[],MATCH(CONCATENATE(Liste!$C$3,$B$287,$B$289),Data!$BO:$BO,0)-2,38)&lt;&gt;"",INDEX(Tab_DaBa[],MATCH(CONCATENATE(Liste!$C$3,$B$287,$B$289),Data!$BO:$BO,0)-2,43)=0),INDEX(Tab_DaBa[],MATCH(CONCATENATE(Liste!$C$3,$B$287,$B$289),Data!$BO:$BO,0)-2,12),IF(INDEX(Tab_DaBa[],MATCH(CONCATENATE(Liste!$C$3,$B$287,$B$289),Data!$BO:$BO,0)-2,38)&lt;&gt;"",INDEX(Tab_DaBa[],MATCH(CONCATENATE(Liste!$C$3,$B$287,$B$289),Data!$BO:$BO,0)-2,42),"")),"")</f>
        <v/>
      </c>
      <c r="G300" s="39"/>
      <c r="H300" s="35" t="str">
        <f ca="1">IFERROR(IF(AND(INDEX(Tab_DaBa[],MATCH(CONCATENATE(Liste!$C$3,$B$287,$B$289),Data!$BO:$BO,0)-2,43)&lt;&gt;"",INDEX(Tab_DaBa[],MATCH(CONCATENATE(Liste!$C$3,$B$287,$B$289),Data!$BO:$BO,0)-2,48)=0),INDEX(Tab_DaBa[],MATCH(CONCATENATE(Liste!$C$3,$B$287,$B$289),Data!$BO:$BO,0)-2,12),IF(INDEX(Tab_DaBa[],MATCH(CONCATENATE(Liste!$C$3,$B$287,$B$289),Data!$BO:$BO,0)-2,43)&lt;&gt;"",INDEX(Tab_DaBa[],MATCH(CONCATENATE(Liste!$C$3,$B$287,$B$289),Data!$BO:$BO,0)-2,47),"")),"")</f>
        <v/>
      </c>
      <c r="I300" s="39"/>
    </row>
    <row r="301" spans="2:9" s="16" customFormat="1" ht="15.75">
      <c r="B301" s="35" t="str">
        <f ca="1">IFERROR(IF(AND(INDEX(Tab_DaBa[],MATCH(CONCATENATE(Liste!$C$3,$B$287,$B$289),Data!$BO:$BO,0)-2,28)&lt;&gt;"",INDEX(Tab_DaBa[],MATCH(CONCATENATE(Liste!$C$3,$B$287,$B$289),Data!$BO:$BO,0)-2,33)=""),INDEX(Tab_DaBa[],MATCH(CONCATENATE(Liste!$C$3,$B$287,$B$289),Data!$BO:$BO,0)-2,13),IF(INDEX(Tab_DaBa[],MATCH(CONCATENATE(Liste!$C$3,$B$287,$B$289),Data!$BO:$BO,0)-2,28)&lt;&gt;"",INDEX(Tab_DaBa[],MATCH(CONCATENATE(Liste!$C$3,$B$287,$B$289),Data!$BO:$BO,0)-2,33),"")),"")</f>
        <v/>
      </c>
      <c r="C301" s="38" t="str">
        <f ca="1">IF(D299="","",4)</f>
        <v/>
      </c>
      <c r="D301" s="35" t="str">
        <f ca="1">IFERROR(IF(AND(INDEX(Tab_DaBa[],MATCH(CONCATENATE(Liste!$C$3,$B$287,$B$289),Data!$BO:$BO,0)-2,33)&lt;&gt;"",INDEX(Tab_DaBa[],MATCH(CONCATENATE(Liste!$C$3,$B$287,$B$289),Data!$BO:$BO,0)-2,38)=""),INDEX(Tab_DaBa[],MATCH(CONCATENATE(Liste!$C$3,$B$287,$B$289),Data!$BO:$BO,0)-2,13),IF(INDEX(Tab_DaBa[],MATCH(CONCATENATE(Liste!$C$3,$B$287,$B$289),Data!$BO:$BO,0)-2,33)&lt;&gt;"",INDEX(Tab_DaBa[],MATCH(CONCATENATE(Liste!$C$3,$B$287,$B$289),Data!$BO:$BO,0)-2,38),"")),"")</f>
        <v/>
      </c>
      <c r="E301" s="38" t="str">
        <f ca="1">IF(F299="","",4)</f>
        <v/>
      </c>
      <c r="F301" s="35" t="str">
        <f ca="1">IFERROR(IF(AND(INDEX(Tab_DaBa[],MATCH(CONCATENATE(Liste!$C$3,$B$287,$B$289),Data!$BO:$BO,0)-2,38)&lt;&gt;"",INDEX(Tab_DaBa[],MATCH(CONCATENATE(Liste!$C$3,$B$287,$B$289),Data!$BO:$BO,0)-2,43)=""),INDEX(Tab_DaBa[],MATCH(CONCATENATE(Liste!$C$3,$B$287,$B$289),Data!$BO:$BO,0)-2,13),IF(INDEX(Tab_DaBa[],MATCH(CONCATENATE(Liste!$C$3,$B$287,$B$289),Data!$BO:$BO,0)-2,38)&lt;&gt;"",INDEX(Tab_DaBa[],MATCH(CONCATENATE(Liste!$C$3,$B$287,$B$289),Data!$BO:$BO,0)-2,43),"")),"")</f>
        <v/>
      </c>
      <c r="G301" s="38" t="str">
        <f ca="1">IF(H299="","",4)</f>
        <v/>
      </c>
      <c r="H301" s="35" t="str">
        <f ca="1">IFERROR(IF(AND(INDEX(Tab_DaBa[],MATCH(CONCATENATE(Liste!$C$3,$B$287,$B$289),Data!$BO:$BO,0)-2,43)&lt;&gt;"",INDEX(Tab_DaBa[],MATCH(CONCATENATE(Liste!$C$3,$B$287,$B$289),Data!$BO:$BO,0)-2,48)=""),INDEX(Tab_DaBa[],MATCH(CONCATENATE(Liste!$C$3,$B$287,$B$289),Data!$BO:$BO,0)-2,13),IF(INDEX(Tab_DaBa[],MATCH(CONCATENATE(Liste!$C$3,$B$287,$B$289),Data!$BO:$BO,0)-2,43)&lt;&gt;"",INDEX(Tab_DaBa[],MATCH(CONCATENATE(Liste!$C$3,$B$287,$B$289),Data!$BO:$BO,0)-2,48),"")),"")</f>
        <v/>
      </c>
      <c r="I301" s="38" t="str">
        <f ca="1">IF(B307="","",6)</f>
        <v/>
      </c>
    </row>
    <row r="302" spans="2:9" s="16" customFormat="1" ht="15.75">
      <c r="B302" s="35" t="str">
        <f ca="1">IFERROR(IF(AND(INDEX(Tab_DaBa[],MATCH(CONCATENATE(Liste!$C$3,$B$287,$B$289),Data!$BO:$BO,0)-2,28)&lt;&gt;"",INDEX(Tab_DaBa[],MATCH(CONCATENATE(Liste!$C$3,$B$287,$B$289),Data!$BO:$BO,0)-2,33)=""),"Performance Level: "&amp;INDEX(Tab_DaBa[],MATCH(CONCATENATE(Liste!$C$3,$B$287,$B$289),Data!$BO:$BO,0)-2,15),IF(INDEX(Tab_DaBa[],MATCH(CONCATENATE(Liste!$C$3,$B$287,$B$289),Data!$BO:$BO,0)-2,28)&lt;&gt;"","Performance Level: "&amp;INDEX(Tab_DaBa[],MATCH(CONCATENATE(Liste!$C$3,$B$287,$B$289),Data!$BO:$BO,0)-2,35),"")),"")</f>
        <v/>
      </c>
      <c r="C302" s="39"/>
      <c r="D302" s="35" t="str">
        <f ca="1">IFERROR(IF(AND(INDEX(Tab_DaBa[],MATCH(CONCATENATE(Liste!$C$3,$B$287,$B$289),Data!$BO:$BO,0)-2,33)&lt;&gt;"",INDEX(Tab_DaBa[],MATCH(CONCATENATE(Liste!$C$3,$B$287,$B$289),Data!$BO:$BO,0)-2,38)=""),"Performance Level: "&amp;INDEX(Tab_DaBa[],MATCH(CONCATENATE(Liste!$C$3,$B$287,$B$289),Data!$BO:$BO,0)-2,15),IF(INDEX(Tab_DaBa[],MATCH(CONCATENATE(Liste!$C$3,$B$287,$B$289),Data!$BO:$BO,0)-2,33)&lt;&gt;"","Performance Level: "&amp;INDEX(Tab_DaBa[],MATCH(CONCATENATE(Liste!$C$3,$B$287,$B$289),Data!$BO:$BO,0)-2,40),"")),"")</f>
        <v/>
      </c>
      <c r="E302" s="37"/>
      <c r="F302" s="35" t="str">
        <f ca="1">IFERROR(IF(AND(INDEX(Tab_DaBa[],MATCH(CONCATENATE(Liste!$C$3,$B$287,$B$289),Data!$BO:$BO,0)-2,38)&lt;&gt;"",INDEX(Tab_DaBa[],MATCH(CONCATENATE(Liste!$C$3,$B$287,$B$289),Data!$BO:$BO,0)-2,43)=""),"Performance Level: "&amp;INDEX(Tab_DaBa[],MATCH(CONCATENATE(Liste!$C$3,$B$287,$B$289),Data!$BO:$BO,0)-2,15),IF(INDEX(Tab_DaBa[],MATCH(CONCATENATE(Liste!$C$3,$B$287,$B$289),Data!$BO:$BO,0)-2,38)&lt;&gt;"","Performance Level: "&amp;INDEX(Tab_DaBa[],MATCH(CONCATENATE(Liste!$C$3,$B$287,$B$289),Data!$BO:$BO,0)-2,45),"")),"")</f>
        <v/>
      </c>
      <c r="G302" s="39"/>
      <c r="H302" s="35" t="str">
        <f ca="1">IFERROR(IF(AND(INDEX(Tab_DaBa[],MATCH(CONCATENATE(Liste!$C$3,$B$287,$B$289),Data!$BO:$BO,0)-2,43)&lt;&gt;"",INDEX(Tab_DaBa[],MATCH(CONCATENATE(Liste!$C$3,$B$287,$B$289),Data!$BO:$BO,0)-2,48)=""),"Performance Level: "&amp;INDEX(Tab_DaBa[],MATCH(CONCATENATE(Liste!$C$3,$B$287,$B$289),Data!$BO:$BO,0)-2,15),IF(INDEX(Tab_DaBa[],MATCH(CONCATENATE(Liste!$C$3,$B$287,$B$289),Data!$BO:$BO,0)-2,43)&lt;&gt;"","Performance Level: "&amp;INDEX(Tab_DaBa[],MATCH(CONCATENATE(Liste!$C$3,$B$287,$B$289),Data!$BO:$BO,0)-2,50),"")),"")</f>
        <v/>
      </c>
      <c r="I302" s="39"/>
    </row>
    <row r="303" spans="2:9" s="16" customFormat="1" ht="15.75">
      <c r="B303" s="35" t="str">
        <f ca="1">IFERROR(IF(AND(INDEX(Tab_DaBa[],MATCH(CONCATENATE(Liste!$C$3,$B$287,$B$289),Data!$BO:$BO,0)-2,28)&lt;&gt;"",INDEX(Tab_DaBa[],MATCH(CONCATENATE(Liste!$C$3,$B$287,$B$289),Data!$BO:$BO,0)-2,33)=""),"PFH [1/h] = "&amp;10^9*INDEX(Tab_DaBa[],MATCH(CONCATENATE(Liste!$C$3,$B$287,$B$289),Data!$BO:$BO,0)-2,16)&amp;"E-9",IF(INDEX(Tab_DaBa[],MATCH(CONCATENATE(Liste!$C$3,$B$287,$B$289),Data!$BO:$BO,0)-2,28)&lt;&gt;"","PFH [1/h] = "&amp;10^9*INDEX(Tab_DaBa[],MATCH(CONCATENATE(Liste!$C$3,$B$287,$B$289),Data!$BO:$BO,0)-2,36)&amp;"E-9","")),"")</f>
        <v/>
      </c>
      <c r="C303" s="39"/>
      <c r="D303" s="35" t="str">
        <f ca="1">IFERROR(IF(AND(INDEX(Tab_DaBa[],MATCH(CONCATENATE(Liste!$C$3,$B$287,$B$289),Data!$BO:$BO,0)-2,33)&lt;&gt;"",INDEX(Tab_DaBa[],MATCH(CONCATENATE(Liste!$C$3,$B$287,$B$289),Data!$BO:$BO,0)-2,38)=""),"PFH [1/h] = "&amp;10^9*INDEX(Tab_DaBa[],MATCH(CONCATENATE(Liste!$C$3,$B$287,$B$289),Data!$BO:$BO,0)-2,16)&amp;"E-9",IF(INDEX(Tab_DaBa[],MATCH(CONCATENATE(Liste!$C$3,$B$287,$B$289),Data!$BO:$BO,0)-2,33)&lt;&gt;"","PFH [1/h] = "&amp;10^9*INDEX(Tab_DaBa[],MATCH(CONCATENATE(Liste!$C$3,$B$287,$B$289),Data!$BO:$BO,0)-2,41)&amp;"E-9","")),"")</f>
        <v/>
      </c>
      <c r="E303" s="37"/>
      <c r="F303" s="35" t="str">
        <f ca="1">IFERROR(IF(AND(INDEX(Tab_DaBa[],MATCH(CONCATENATE(Liste!$C$3,$B$287,$B$289),Data!$BO:$BO,0)-2,38)&lt;&gt;"",INDEX(Tab_DaBa[],MATCH(CONCATENATE(Liste!$C$3,$B$287,$B$289),Data!$BO:$BO,0)-2,43)=""),"PFH [1/h] = "&amp;10^9*INDEX(Tab_DaBa[],MATCH(CONCATENATE(Liste!$C$3,$B$287,$B$289),Data!$BO:$BO,0)-2,16)&amp;"E-9",IF(INDEX(Tab_DaBa[],MATCH(CONCATENATE(Liste!$C$3,$B$287,$B$289),Data!$BO:$BO,0)-2,38)&lt;&gt;"","PFH [1/h] = "&amp;10^9*INDEX(Tab_DaBa[],MATCH(CONCATENATE(Liste!$C$3,$B$287,$B$289),Data!$BO:$BO,0)-2,46)&amp;"E-9","")),"")</f>
        <v/>
      </c>
      <c r="G303" s="39"/>
      <c r="H303" s="35" t="str">
        <f ca="1">IFERROR(IF(AND(INDEX(Tab_DaBa[],MATCH(CONCATENATE(Liste!$C$3,$B$287,$B$289),Data!$BO:$BO,0)-2,43)&lt;&gt;"",INDEX(Tab_DaBa[],MATCH(CONCATENATE(Liste!$C$3,$B$287,$B$289),Data!$BO:$BO,0)-2,48)=""),"PFH [1/h] = "&amp;10^9*INDEX(Tab_DaBa[],MATCH(CONCATENATE(Liste!$C$3,$B$287,$B$289),Data!$BO:$BO,0)-2,16)&amp;"E-9",IF(INDEX(Tab_DaBa[],MATCH(CONCATENATE(Liste!$C$3,$B$287,$B$289),Data!$BO:$BO,0)-2,43)&lt;&gt;"","PFH [1/h] = "&amp;10^9*INDEX(Tab_DaBa[],MATCH(CONCATENATE(Liste!$C$3,$B$287,$B$289),Data!$BO:$BO,0)-2,51)&amp;"E-9","")),"")</f>
        <v/>
      </c>
      <c r="I303" s="39"/>
    </row>
    <row r="304" spans="2:9" s="16" customFormat="1">
      <c r="B304" s="33"/>
      <c r="C304" s="33"/>
      <c r="D304" s="33"/>
      <c r="E304" s="33"/>
      <c r="F304" s="33"/>
      <c r="G304" s="33"/>
      <c r="H304" s="33"/>
      <c r="I304" s="33"/>
    </row>
    <row r="305" spans="2:9" s="16" customFormat="1" ht="15.75">
      <c r="B305" s="38" t="str">
        <f ca="1">IF(B307="","",6)</f>
        <v/>
      </c>
      <c r="C305" s="33"/>
      <c r="D305" s="38" t="str">
        <f ca="1">IF(B307="","",3)</f>
        <v/>
      </c>
      <c r="E305" s="33"/>
      <c r="F305" s="38" t="str">
        <f ca="1">IF(B307="","",3)</f>
        <v/>
      </c>
      <c r="G305" s="33"/>
      <c r="H305" s="38" t="str">
        <f ca="1">IF(B307="","",3)</f>
        <v/>
      </c>
      <c r="I305" s="33"/>
    </row>
    <row r="306" spans="2:9" s="16" customFormat="1" ht="15.75">
      <c r="B306" s="39"/>
      <c r="C306" s="33"/>
      <c r="D306" s="33"/>
      <c r="E306" s="33"/>
      <c r="F306" s="33"/>
      <c r="G306" s="33"/>
      <c r="H306" s="33"/>
      <c r="I306" s="33"/>
    </row>
    <row r="307" spans="2:9" s="16" customFormat="1" ht="15.75">
      <c r="B307" s="35" t="str">
        <f ca="1">IFERROR(IF(AND(INDEX(Tab_DaBa[],MATCH(CONCATENATE(Liste!$C$3,$B$287,$B$289),Data!$BO:$BO,0)-2,48)&lt;&gt;"",INDEX(Tab_DaBa[],MATCH(CONCATENATE(Liste!$C$3,$B$287,$B$289),Data!$BO:$BO,0)-2,53)=0),INDEX(Tab_DaBa[],MATCH(CONCATENATE(Liste!$C$3,$B$287,$B$289),Data!$BO:$BO,0)-2,14),IF(INDEX(Tab_DaBa[],MATCH(CONCATENATE(Liste!$C$3,$B$287,$B$289),Data!$BO:$BO,0)-2,48)&lt;&gt;"",INDEX(Tab_DaBa[],MATCH(CONCATENATE(Liste!$C$3,$B$287,$B$289),Data!$BO:$BO,0)-2,54),"")),"")</f>
        <v/>
      </c>
      <c r="C307" s="39"/>
      <c r="D307" s="35" t="str">
        <f ca="1">IFERROR(IF(AND(INDEX(Tab_DaBa[],MATCH(CONCATENATE(Liste!$C$3,$B$287,$B$289),Data!$BO:$BO,0)-2,53)&lt;&gt;"",INDEX(Tab_DaBa[],MATCH(CONCATENATE(Liste!$C$3,$B$287,$B$289),Data!$BO:$BO,0)-2,58)=0),INDEX(Tab_DaBa[],MATCH(CONCATENATE(Liste!$C$3,$B$287,$B$289),Data!$BO:$BO,0)-2,14),IF(INDEX(Tab_DaBa[],MATCH(CONCATENATE(Liste!$C$3,$B$287,$B$289),Data!$BO:$BO,0)-2,53)&lt;&gt;"",INDEX(Tab_DaBa[],MATCH(CONCATENATE(Liste!$C$3,$B$287,$B$289),Data!$BO:$BO,0)-2,59),"")),"")</f>
        <v/>
      </c>
      <c r="E307" s="33"/>
      <c r="F307" s="35" t="str">
        <f ca="1">IFERROR(IF(AND(INDEX(Tab_DaBa[],MATCH(CONCATENATE(Liste!$C$3,$B$287,$B$289),Data!$BO:$BO,0)-2,58)&lt;&gt;"",INDEX(Tab_DaBa[],MATCH(CONCATENATE(Liste!$C$3,$B$287,$B$289),Data!$BO:$BO,0)-2,63)=0),INDEX(Tab_DaBa[],MATCH(CONCATENATE(Liste!$C$3,$B$287,$B$289),Data!$BO:$BO,0)-2,14),IF(INDEX(Tab_DaBa[],MATCH(CONCATENATE(Liste!$C$3,$B$287,$B$289),Data!$BO:$BO,0)-2,58)&lt;&gt;"",INDEX(Tab_DaBa[],MATCH(CONCATENATE(Liste!$C$3,$B$287,$B$289),Data!$BO:$BO,0)-2,64),"")),"")</f>
        <v/>
      </c>
      <c r="G307" s="39"/>
      <c r="H307" s="35" t="str">
        <f ca="1">IFERROR(IF(INDEX(Tab_DaBa[],MATCH(CONCATENATE(Liste!$C$3,$B$287,$B$289),Data!$BO:$BO,0)-2,63)&lt;&gt;"",INDEX(Tab_DaBa[],MATCH(CONCATENATE(Liste!$C$3,$B$287,$B$289),Data!$BO:$BO,0)-2,14),""),"")</f>
        <v/>
      </c>
    </row>
    <row r="308" spans="2:9" s="16" customFormat="1" ht="15.75">
      <c r="B308" s="35" t="str">
        <f ca="1">IFERROR(IF(AND(INDEX(Tab_DaBa[],MATCH(CONCATENATE(Liste!$C$3,$B$287,$B$289),Data!$BO:$BO,0)-2,48)&lt;&gt;"",INDEX(Tab_DaBa[],MATCH(CONCATENATE(Liste!$C$3,$B$287,$B$289),Data!$BO:$BO,0)-2,53)=0),INDEX(Tab_DaBa[],MATCH(CONCATENATE(Liste!$C$3,$B$287,$B$289),Data!$BO:$BO,0)-2,12),IF(INDEX(Tab_DaBa[],MATCH(CONCATENATE(Liste!$C$3,$B$287,$B$289),Data!$BO:$BO,0)-2,48)&lt;&gt;"",INDEX(Tab_DaBa[],MATCH(CONCATENATE(Liste!$C$3,$B$287,$B$289),Data!$BO:$BO,0)-2,52),"")),"")</f>
        <v/>
      </c>
      <c r="C308" s="39"/>
      <c r="D308" s="35" t="str">
        <f ca="1">IFERROR(IF(AND(INDEX(Tab_DaBa[],MATCH(CONCATENATE(Liste!$C$3,$B$287,$B$289),Data!$BO:$BO,0)-2,53)&lt;&gt;"",INDEX(Tab_DaBa[],MATCH(CONCATENATE(Liste!$C$3,$B$287,$B$289),Data!$BO:$BO,0)-2,58)=0),INDEX(Tab_DaBa[],MATCH(CONCATENATE(Liste!$C$3,$B$287,$B$289),Data!$BO:$BO,0)-2,12),IF(INDEX(Tab_DaBa[],MATCH(CONCATENATE(Liste!$C$3,$B$287,$B$289),Data!$BO:$BO,0)-2,53)&lt;&gt;"",INDEX(Tab_DaBa[],MATCH(CONCATENATE(Liste!$C$3,$B$287,$B$289),Data!$BO:$BO,0)-2,57),"")),"")</f>
        <v/>
      </c>
      <c r="E308" s="37"/>
      <c r="F308" s="35" t="str">
        <f ca="1">IFERROR(IF(AND(INDEX(Tab_DaBa[],MATCH(CONCATENATE(Liste!$C$3,$B$287,$B$289),Data!$BO:$BO,0)-2,58)&lt;&gt;"",INDEX(Tab_DaBa[],MATCH(CONCATENATE(Liste!$C$3,$B$287,$B$289),Data!$BO:$BO,0)-2,63)=0),INDEX(Tab_DaBa[],MATCH(CONCATENATE(Liste!$C$3,$B$287,$B$289),Data!$BO:$BO,0)-2,12),IF(INDEX(Tab_DaBa[],MATCH(CONCATENATE(Liste!$C$3,$B$287,$B$289),Data!$BO:$BO,0)-2,58)&lt;&gt;"",INDEX(Tab_DaBa[],MATCH(CONCATENATE(Liste!$C$3,$B$287,$B$289),Data!$BO:$BO,0)-2,62),"")),"")</f>
        <v/>
      </c>
      <c r="G308" s="39"/>
      <c r="H308" s="35" t="str">
        <f ca="1">IFERROR(IF(INDEX(Tab_DaBa[],MATCH(CONCATENATE(Liste!$C$3,$B$287,$B$289),Data!$BO:$BO,0)-2,63)&lt;&gt;"",INDEX(Tab_DaBa[],MATCH(CONCATENATE(Liste!$C$3,$B$287,$B$289),Data!$BO:$BO,0)-2,12),""),"")</f>
        <v/>
      </c>
    </row>
    <row r="309" spans="2:9" s="16" customFormat="1" ht="15.75">
      <c r="B309" s="35" t="str">
        <f ca="1">IFERROR(IF(AND(INDEX(Tab_DaBa[],MATCH(CONCATENATE(Liste!$C$3,$B$287,$B$289),Data!$BO:$BO,0)-2,48)&lt;&gt;"",INDEX(Tab_DaBa[],MATCH(CONCATENATE(Liste!$C$3,$B$287,$B$289),Data!$BO:$BO,0)-2,53)=""),INDEX(Tab_DaBa[],MATCH(CONCATENATE(Liste!$C$3,$B$287,$B$289),Data!$BO:$BO,0)-2,13),IF(INDEX(Tab_DaBa[],MATCH(CONCATENATE(Liste!$C$3,$B$287,$B$289),Data!$BO:$BO,0)-2,48)&lt;&gt;"",INDEX(Tab_DaBa[],MATCH(CONCATENATE(Liste!$C$3,$B$287,$B$289),Data!$BO:$BO,0)-2,53),"")),"")</f>
        <v/>
      </c>
      <c r="C309" s="38" t="str">
        <f ca="1">IF(D307="","",4)</f>
        <v/>
      </c>
      <c r="D309" s="35" t="str">
        <f ca="1">IFERROR(IF(AND(INDEX(Tab_DaBa[],MATCH(CONCATENATE(Liste!$C$3,$B$287,$B$289),Data!$BO:$BO,0)-2,53)&lt;&gt;"",INDEX(Tab_DaBa[],MATCH(CONCATENATE(Liste!$C$3,$B$287,$B$289),Data!$BO:$BO,0)-2,58)=""),INDEX(Tab_DaBa[],MATCH(CONCATENATE(Liste!$C$3,$B$287,$B$289),Data!$BO:$BO,0)-2,13),IF(INDEX(Tab_DaBa[],MATCH(CONCATENATE(Liste!$C$3,$B$287,$B$289),Data!$BO:$BO,0)-2,53)&lt;&gt;"",INDEX(Tab_DaBa[],MATCH(CONCATENATE(Liste!$C$3,$B$287,$B$289),Data!$BO:$BO,0)-2,58),"")),"")</f>
        <v/>
      </c>
      <c r="E309" s="38" t="str">
        <f ca="1">IF(F307="","",4)</f>
        <v/>
      </c>
      <c r="F309" s="35" t="str">
        <f ca="1">IFERROR(IF(AND(INDEX(Tab_DaBa[],MATCH(CONCATENATE(Liste!$C$3,$B$287,$B$289),Data!$BO:$BO,0)-2,58)&lt;&gt;"",INDEX(Tab_DaBa[],MATCH(CONCATENATE(Liste!$C$3,$B$287,$B$289),Data!$BO:$BO,0)-2,63)=""),INDEX(Tab_DaBa[],MATCH(CONCATENATE(Liste!$C$3,$B$287,$B$289),Data!$BO:$BO,0)-2,13),IF(INDEX(Tab_DaBa[],MATCH(CONCATENATE(Liste!$C$3,$B$287,$B$289),Data!$BO:$BO,0)-2,58)&lt;&gt;"",INDEX(Tab_DaBa[],MATCH(CONCATENATE(Liste!$C$3,$B$287,$B$289),Data!$BO:$BO,0)-2,63),"")),"")</f>
        <v/>
      </c>
      <c r="G309" s="38" t="str">
        <f ca="1">IF(H307="","",4)</f>
        <v/>
      </c>
      <c r="H309" s="35" t="str">
        <f ca="1">IFERROR(IF(INDEX(Tab_DaBa[],MATCH(CONCATENATE(Liste!$C$3,$B$287,$B$289),Data!$BO:$BO,0)-2,63)&lt;&gt;"",INDEX(Tab_DaBa[],MATCH(CONCATENATE(Liste!$C$3,$B$287,$B$289),Data!$BO:$BO,0)-2,13),""),"")</f>
        <v/>
      </c>
    </row>
    <row r="310" spans="2:9" s="16" customFormat="1" ht="15.75">
      <c r="B310" s="35" t="str">
        <f ca="1">IFERROR(IF(AND(INDEX(Tab_DaBa[],MATCH(CONCATENATE(Liste!$C$3,$B$287,$B$289),Data!$BO:$BO,0)-2,48)&lt;&gt;"",INDEX(Tab_DaBa[],MATCH(CONCATENATE(Liste!$C$3,$B$287,$B$289),Data!$BO:$BO,0)-2,53)=""),"Performance Level: "&amp;INDEX(Tab_DaBa[],MATCH(CONCATENATE(Liste!$C$3,$B$287,$B$289),Data!$BO:$BO,0)-2,15),IF(INDEX(Tab_DaBa[],MATCH(CONCATENATE(Liste!$C$3,$B$287,$B$289),Data!$BO:$BO,0)-2,48)&lt;&gt;"","Performance Level: "&amp;INDEX(Tab_DaBa[],MATCH(CONCATENATE(Liste!$C$3,$B$287,$B$289),Data!$BO:$BO,0)-2,55),"")),"")</f>
        <v/>
      </c>
      <c r="C310" s="39"/>
      <c r="D310" s="35" t="str">
        <f ca="1">IFERROR(IF(AND(INDEX(Tab_DaBa[],MATCH(CONCATENATE(Liste!$C$3,$B$287,$B$289),Data!$BO:$BO,0)-2,53)&lt;&gt;"",INDEX(Tab_DaBa[],MATCH(CONCATENATE(Liste!$C$3,$B$287,$B$289),Data!$BO:$BO,0)-2,58)=""),"Performance Level: "&amp;INDEX(Tab_DaBa[],MATCH(CONCATENATE(Liste!$C$3,$B$287,$B$289),Data!$BO:$BO,0)-2,15),IF(INDEX(Tab_DaBa[],MATCH(CONCATENATE(Liste!$C$3,$B$287,$B$289),Data!$BO:$BO,0)-2,53)&lt;&gt;"","Performance Level: "&amp;INDEX(Tab_DaBa[],MATCH(CONCATENATE(Liste!$C$3,$B$287,$B$289),Data!$BO:$BO,0)-2,60),"")),"")</f>
        <v/>
      </c>
      <c r="E310" s="37"/>
      <c r="F310" s="35" t="str">
        <f ca="1">IFERROR(IF(AND(INDEX(Tab_DaBa[],MATCH(CONCATENATE(Liste!$C$3,$B$287,$B$289),Data!$BO:$BO,0)-2,58)&lt;&gt;"",INDEX(Tab_DaBa[],MATCH(CONCATENATE(Liste!$C$3,$B$287,$B$289),Data!$BO:$BO,0)-2,63)=""),"Performance Level: "&amp;INDEX(Tab_DaBa[],MATCH(CONCATENATE(Liste!$C$3,$B$287,$B$289),Data!$BO:$BO,0)-2,15),IF(INDEX(Tab_DaBa[],MATCH(CONCATENATE(Liste!$C$3,$B$287,$B$289),Data!$BO:$BO,0)-2,58)&lt;&gt;"","Performance Level: "&amp;INDEX(Tab_DaBa[],MATCH(CONCATENATE(Liste!$C$3,$B$287,$B$289),Data!$BO:$BO,0)-2,65),"")),"")</f>
        <v/>
      </c>
      <c r="G310" s="39"/>
      <c r="H310" s="35" t="str">
        <f ca="1">IFERROR(IF(INDEX(Tab_DaBa[],MATCH(CONCATENATE(Liste!$C$3,$B$287,$B$289),Data!$BO:$BO,0)-2,63)&lt;&gt;"","Performance Level: "&amp;INDEX(Tab_DaBa[],MATCH(CONCATENATE(Liste!$C$3,$B$287,$B$289),Data!$BO:$BO,0)-2,15),""),"")</f>
        <v/>
      </c>
    </row>
    <row r="311" spans="2:9" s="16" customFormat="1" ht="15.75">
      <c r="B311" s="35" t="str">
        <f ca="1">IFERROR(IF(AND(INDEX(Tab_DaBa[],MATCH(CONCATENATE(Liste!$C$3,$B$287,$B$289),Data!$BO:$BO,0)-2,48)&lt;&gt;"",INDEX(Tab_DaBa[],MATCH(CONCATENATE(Liste!$C$3,$B$287,$B$289),Data!$BO:$BO,0)-2,53)=""),"PFH [1/h] = "&amp;10^9*INDEX(Tab_DaBa[],MATCH(CONCATENATE(Liste!$C$3,$B$287,$B$289),Data!$BO:$BO,0)-2,16)&amp;"E-9",IF(INDEX(Tab_DaBa[],MATCH(CONCATENATE(Liste!$C$3,$B$287,$B$289),Data!$BO:$BO,0)-2,48)&lt;&gt;"","PFH [1/h] = "&amp;10^9*INDEX(Tab_DaBa[],MATCH(CONCATENATE(Liste!$C$3,$B$287,$B$289),Data!$BO:$BO,0)-2,56)&amp;"E-9","")),"")</f>
        <v/>
      </c>
      <c r="C311" s="39"/>
      <c r="D311" s="35" t="str">
        <f ca="1">IFERROR(IF(AND(INDEX(Tab_DaBa[],MATCH(CONCATENATE(Liste!$C$3,$B$287,$B$289),Data!$BO:$BO,0)-2,53)&lt;&gt;"",INDEX(Tab_DaBa[],MATCH(CONCATENATE(Liste!$C$3,$B$287,$B$289),Data!$BO:$BO,0)-2,58)=""),"PFH [1/h] = "&amp;10^9*INDEX(Tab_DaBa[],MATCH(CONCATENATE(Liste!$C$3,$B$287,$B$289),Data!$BO:$BO,0)-2,16)&amp;"E-9",IF(INDEX(Tab_DaBa[],MATCH(CONCATENATE(Liste!$C$3,$B$287,$B$289),Data!$BO:$BO,0)-2,53)&lt;&gt;"","PFH [1/h] = "&amp;10^9*INDEX(Tab_DaBa[],MATCH(CONCATENATE(Liste!$C$3,$B$287,$B$289),Data!$BO:$BO,0)-2,61)&amp;"E-9","")),"")</f>
        <v/>
      </c>
      <c r="E311" s="37"/>
      <c r="F311" s="35" t="str">
        <f ca="1">IFERROR(IF(AND(INDEX(Tab_DaBa[],MATCH(CONCATENATE(Liste!$C$3,$B$287,$B$289),Data!$BO:$BO,0)-2,58)&lt;&gt;"",INDEX(Tab_DaBa[],MATCH(CONCATENATE(Liste!$C$3,$B$287,$B$289),Data!$BO:$BO,0)-2,63)=""),"PFH [1/h] = "&amp;10^9*INDEX(Tab_DaBa[],MATCH(CONCATENATE(Liste!$C$3,$B$287,$B$289),Data!$BO:$BO,0)-2,16)&amp;"E-9",IF(INDEX(Tab_DaBa[],MATCH(CONCATENATE(Liste!$C$3,$B$287,$B$289),Data!$BO:$BO,0)-2,58)&lt;&gt;"","PFH [1/h] = "&amp;10^9*INDEX(Tab_DaBa[],MATCH(CONCATENATE(Liste!$C$3,$B$287,$B$289),Data!$BO:$BO,0)-2,66)&amp;"E-9","")),"")</f>
        <v/>
      </c>
      <c r="G311" s="39"/>
      <c r="H311" s="35" t="str">
        <f ca="1">IFERROR(IF(INDEX(Tab_DaBa[],MATCH(CONCATENATE(Liste!$C$3,$B$287,$B$289),Data!$BO:$BO,0)-2,63)&lt;&gt;"","PFH [1/h] = "&amp;10^9*INDEX(Tab_DaBa[],MATCH(CONCATENATE(Liste!$C$3,$B$287,$B$289),Data!$BO:$BO,0)-2,16)&amp;"E-9",""),"")</f>
        <v/>
      </c>
    </row>
    <row r="312" spans="2:9" s="16" customFormat="1"/>
    <row r="313" spans="2:9" s="16" customFormat="1">
      <c r="B313" s="43" t="str">
        <f ca="1">IF(D313="","","Erforderlich")</f>
        <v>Erforderlich</v>
      </c>
      <c r="D313" s="44" t="str">
        <f ca="1">IFERROR("Performance Level: "&amp;INDEX(Tab_DaBa[],MATCH(CONCATENATE(Liste!$C$3,$B$287,$B$289),Data!$BO:$BO,0)-2,4),"")</f>
        <v>Performance Level: PLr_ges2_1</v>
      </c>
    </row>
    <row r="314" spans="2:9" s="16" customFormat="1">
      <c r="B314" s="45"/>
    </row>
    <row r="315" spans="2:9" s="16" customFormat="1">
      <c r="B315" s="46" t="str">
        <f ca="1">IF(D315="","","Erreicht")</f>
        <v>Erreicht</v>
      </c>
      <c r="D315" s="47" t="str">
        <f ca="1">IFERROR("Performance Level: "&amp;INDEX(Tab_DaBa[],MATCH(CONCATENATE(Liste!$C$3,$B$287,$B$289),Data!$BO:$BO,0)-2,5)&amp;"          PFH [1/h] = "&amp;10^9*INDEX(Tab_DaBa[],MATCH(CONCATENATE(Liste!$C$3,$B$287,$B$289),Data!$BO:$BO,0)-2,6)&amp;"E-9","")</f>
        <v>Performance Level: Pl_ges2_1          PFH [1/h] = 71,7E-9</v>
      </c>
    </row>
    <row r="316" spans="2:9" s="16" customFormat="1"/>
    <row r="317" spans="2:9" s="16" customFormat="1">
      <c r="B317" s="42" t="str">
        <f ca="1">IFERROR(IF(2&gt;COUNTIF(Data!$BP:$BP,CONCATENATE(Liste!$C$3,$B$287)),"",INDEX(Tab_DaBa[],MATCH(CONCATENATE(Liste!$C$3,$B$287),Data!$BP:$BP,0)-1,3)),"")</f>
        <v>2.2 test2 (E+2L+A)</v>
      </c>
    </row>
    <row r="318" spans="2:9" s="16" customFormat="1"/>
    <row r="319" spans="2:9" s="16" customFormat="1" ht="15.75">
      <c r="B319" s="35" t="str">
        <f ca="1">IFERROR(INDEX(Tab_DaBa[],MATCH(CONCATENATE(Liste!$C$3,$B$287,$B$317),Data!$BO:$BO,0)-2,9),"")</f>
        <v>Eingang</v>
      </c>
      <c r="C319" s="54"/>
      <c r="D319" s="35" t="str">
        <f ca="1">IFERROR(IF(INDEX(Tab_DaBa[],MATCH(CONCATENATE(Liste!$C$3,$B$287,$B$317),Data!$BO:$BO,0)-2,18)=0,INDEX(Tab_DaBa[],MATCH(CONCATENATE(Liste!$C$3,$B$287,$B$317),Data!$BO:$BO,0)-2,14),INDEX(Tab_DaBa[],MATCH(CONCATENATE(Liste!$C$3,$B$287,$B$317),Data!$BO:$BO,0)-2,19)),"")</f>
        <v>Logik 01</v>
      </c>
      <c r="E319" s="33"/>
      <c r="F319" s="35" t="str">
        <f ca="1">IFERROR(IF(AND(INDEX(Tab_DaBa[],MATCH(CONCATENATE(Liste!$C$3,$B$287,$B$317),Data!$BO:$BO,0)-2,18)&lt;&gt;"",INDEX(Tab_DaBa[],MATCH(CONCATENATE(Liste!$C$3,$B$287,$B$317),Data!$BO:$BO,0)-2,23)=0),INDEX(Tab_DaBa[],MATCH(CONCATENATE(Liste!$C$3,$B$287,$B$317),Data!$BO:$BO,0)-2,14),IF(INDEX(Tab_DaBa[],MATCH(CONCATENATE(Liste!$C$3,$B$287,$B$317),Data!$BO:$BO,0)-2,23)&lt;&gt;"",INDEX(Tab_DaBa[],MATCH(CONCATENATE(Liste!$C$3,$B$287,$B$317),Data!$BO:$BO,0)-2,24),"")),"")</f>
        <v>Logik 02</v>
      </c>
      <c r="G319" s="39"/>
      <c r="H319" s="35" t="str">
        <f ca="1">IFERROR(IF(AND(INDEX(Tab_DaBa[],MATCH(CONCATENATE(Liste!$C$3,$B$287,$B$317),Data!$BO:$BO,0)-2,23)&lt;&gt;"",INDEX(Tab_DaBa[],MATCH(CONCATENATE(Liste!$C$3,$B$287,$B$317),Data!$BO:$BO,0)-2,28)=0),INDEX(Tab_DaBa[],MATCH(CONCATENATE(Liste!$C$3,$B$287,$B$317),Data!$BO:$BO,0)-2,14),IF(INDEX(Tab_DaBa[],MATCH(CONCATENATE(Liste!$C$3,$B$287,$B$317),Data!$BO:$BO,0)-2,23)&lt;&gt;"",INDEX(Tab_DaBa[],MATCH(CONCATENATE(Liste!$C$3,$B$287,$B$317),Data!$BO:$BO,0)-2,29),"")),"")</f>
        <v>Ausgang</v>
      </c>
      <c r="I319" s="39"/>
    </row>
    <row r="320" spans="2:9" s="16" customFormat="1" ht="15.75">
      <c r="B320" s="35" t="str">
        <f ca="1">IFERROR(INDEX(Tab_DaBa[],MATCH(CONCATENATE(Liste!$C$3,$B$287,$B$317),Data!$BO:$BO,0)-2,7),"")</f>
        <v>eeee-22_2</v>
      </c>
      <c r="C320" s="54"/>
      <c r="D320" s="35" t="str">
        <f ca="1">IFERROR(IF(INDEX(Tab_DaBa[],MATCH(CONCATENATE(Liste!$C$3,$B$287,$B$317),Data!$BO:$BO,0)-2,18)="",INDEX(Tab_DaBa[],MATCH(CONCATENATE(Liste!$C$3,$B$287,$B$317),Data!$BO:$BO,0)-2,12),INDEX(Tab_DaBa[],MATCH(CONCATENATE(Liste!$C$3,$B$287,$B$317),Data!$BO:$BO,0)-2,17)),"")</f>
        <v>Log02-02_02</v>
      </c>
      <c r="E320" s="36"/>
      <c r="F320" s="35" t="str">
        <f ca="1">IFERROR(IF(AND(INDEX(Tab_DaBa[],MATCH(CONCATENATE(Liste!$C$3,$B$287,$B$317),Data!$BO:$BO,0)-2,18)&lt;&gt;"",INDEX(Tab_DaBa[],MATCH(CONCATENATE(Liste!$C$3,$B$287,$B$317),Data!$BO:$BO,0)-2,23)=0),INDEX(Tab_DaBa[],MATCH(CONCATENATE(Liste!$C$3,$B$287,$B$317),Data!$BO:$BO,0)-2,12),IF(INDEX(Tab_DaBa[],MATCH(CONCATENATE(Liste!$C$3,$B$287,$B$317),Data!$BO:$BO,0)-2,23)&lt;&gt;"",INDEX(Tab_DaBa[],MATCH(CONCATENATE(Liste!$C$3,$B$287,$B$317),Data!$BO:$BO,0)-2,22),"")),"")</f>
        <v>Lo02-22_2</v>
      </c>
      <c r="G320" s="39"/>
      <c r="H320" s="35" t="str">
        <f ca="1">IFERROR(IF(AND(INDEX(Tab_DaBa[],MATCH(CONCATENATE(Liste!$C$3,$B$287,$B$317),Data!$BO:$BO,0)-2,23)&lt;&gt;"",INDEX(Tab_DaBa[],MATCH(CONCATENATE(Liste!$C$3,$B$287,$B$317),Data!$BO:$BO,0)-2,28)=0),INDEX(Tab_DaBa[],MATCH(CONCATENATE(Liste!$C$3,$B$287,$B$317),Data!$BO:$BO,0)-2,12),IF(INDEX(Tab_DaBa[],MATCH(CONCATENATE(Liste!$C$3,$B$287,$B$317),Data!$BO:$BO,0)-2,23)&lt;&gt;"",INDEX(Tab_DaBa[],MATCH(CONCATENATE(Liste!$C$3,$B$287,$B$317),Data!$BO:$BO,0)-2,27),"")),"")</f>
        <v>aaaa-22_2</v>
      </c>
      <c r="I320" s="39"/>
    </row>
    <row r="321" spans="2:9" s="16" customFormat="1" ht="15.75">
      <c r="B321" s="35" t="str">
        <f ca="1">IFERROR(INDEX(Tab_DaBa[],MATCH(CONCATENATE(Liste!$C$3,$B$287,$B$317),Data!$BO:$BO,0)-2,8),"")</f>
        <v>Bez_Ein2_2</v>
      </c>
      <c r="C321" s="40">
        <f ca="1">IF(D319="","",4)</f>
        <v>4</v>
      </c>
      <c r="D321" s="35" t="str">
        <f ca="1">IFERROR(IF(INDEX(Tab_DaBa[],MATCH(CONCATENATE(Liste!$C$3,$B$287,$B$317),Data!$BO:$BO,0)-2,18)="",INDEX(Tab_DaBa[],MATCH(CONCATENATE(Liste!$C$3,$B$287,$B$317),Data!$BO:$BO,0)-2,13),INDEX(Tab_DaBa[],MATCH(CONCATENATE(Liste!$C$3,$B$287,$B$317),Data!$BO:$BO,0)-2,18)),"")</f>
        <v>Bez_Log01_02_02</v>
      </c>
      <c r="E321" s="40">
        <f ca="1">IF(F319="","",4)</f>
        <v>4</v>
      </c>
      <c r="F321" s="35" t="str">
        <f ca="1">IFERROR(IF(AND(INDEX(Tab_DaBa[],MATCH(CONCATENATE(Liste!$C$3,$B$287,$B$317),Data!$BO:$BO,0)-2,18)&lt;&gt;"",INDEX(Tab_DaBa[],MATCH(CONCATENATE(Liste!$C$3,$B$287,$B$317),Data!$BO:$BO,0)-2,23)=""),INDEX(Tab_DaBa[],MATCH(CONCATENATE(Liste!$C$3,$B$287,$B$317),Data!$BO:$BO,0)-2,13),IF(INDEX(Tab_DaBa[],MATCH(CONCATENATE(Liste!$C$3,$B$287,$B$317),Data!$BO:$BO,0)-2,23)&lt;&gt;"",INDEX(Tab_DaBa[],MATCH(CONCATENATE(Liste!$C$3,$B$287,$B$317),Data!$BO:$BO,0)-2,23),"")),"")</f>
        <v>Bez_Lo02_2</v>
      </c>
      <c r="G321" s="38">
        <f ca="1">IF(H319="","",4)</f>
        <v>4</v>
      </c>
      <c r="H321" s="35" t="str">
        <f ca="1">IFERROR(IF(AND(INDEX(Tab_DaBa[],MATCH(CONCATENATE(Liste!$C$3,$B$287,$B$317),Data!$BO:$BO,0)-2,23)&lt;&gt;"",INDEX(Tab_DaBa[],MATCH(CONCATENATE(Liste!$C$3,$B$287,$B$317),Data!$BO:$BO,0)-2,28)=""),INDEX(Tab_DaBa[],MATCH(CONCATENATE(Liste!$C$3,$B$287,$B$317),Data!$BO:$BO,0)-2,13),IF(INDEX(Tab_DaBa[],MATCH(CONCATENATE(Liste!$C$3,$B$287,$B$317),Data!$BO:$BO,0)-2,23)&lt;&gt;"",INDEX(Tab_DaBa[],MATCH(CONCATENATE(Liste!$C$3,$B$287,$B$317),Data!$BO:$BO,0)-2,28),"")),"")</f>
        <v>Bez_Aus2_2</v>
      </c>
      <c r="I321" s="38" t="str">
        <f ca="1">IF(B327="","",6)</f>
        <v/>
      </c>
    </row>
    <row r="322" spans="2:9" s="16" customFormat="1" ht="15.75">
      <c r="B322" s="35" t="str">
        <f ca="1">IFERROR("Performance Level: "&amp;INDEX(Tab_DaBa[],MATCH(CONCATENATE(Liste!$C$3,$B$287,$B$317),Data!$BO:$BO,0)-2,10),"")</f>
        <v>Performance Level: PL_Ein2_2</v>
      </c>
      <c r="C322" s="54"/>
      <c r="D322" s="35" t="str">
        <f ca="1">IFERROR(IF(INDEX(Tab_DaBa[],MATCH(CONCATENATE(Liste!$C$3,$B$287,$B$317),Data!$BO:$BO,0)-2,18)="","Performance Level: "&amp;INDEX(Tab_DaBa[],MATCH(CONCATENATE(Liste!$C$3,$B$287,$B$317),Data!$BO:$BO,0)-2,15),"Performance Level: "&amp;INDEX(Tab_DaBa[],MATCH(CONCATENATE(Liste!$C$3,$B$287,$B$317),Data!$BO:$BO,0)-2,20)),"")</f>
        <v>Performance Level: PL_Lo02_2</v>
      </c>
      <c r="E322" s="36"/>
      <c r="F322" s="35" t="str">
        <f ca="1">IFERROR(IF(AND(INDEX(Tab_DaBa[],MATCH(CONCATENATE(Liste!$C$3,$B$287,$B$317),Data!$BO:$BO,0)-2,18)&lt;&gt;"",INDEX(Tab_DaBa[],MATCH(CONCATENATE(Liste!$C$3,$B$287,$B$317),Data!$BO:$BO,0)-2,23)=""),"Performance Level: "&amp;INDEX(Tab_DaBa[],MATCH(CONCATENATE(Liste!$C$3,$B$287,$B$317),Data!$BO:$BO,0)-2,15),IF(INDEX(Tab_DaBa[],MATCH(CONCATENATE(Liste!$C$3,$B$287,$B$317),Data!$BO:$BO,0)-2,23)&lt;&gt;"","Performance Level: "&amp;INDEX(Tab_DaBa[],MATCH(CONCATENATE(Liste!$C$3,$B$287,$B$317),Data!$BO:$BO,0)-2,25),"")),"")</f>
        <v>Performance Level: PL_Lo02_2</v>
      </c>
      <c r="G322" s="39"/>
      <c r="H322" s="35" t="str">
        <f ca="1">IFERROR(IF(AND(INDEX(Tab_DaBa[],MATCH(CONCATENATE(Liste!$C$3,$B$287,$B$317),Data!$BO:$BO,0)-2,23)&lt;&gt;"",INDEX(Tab_DaBa[],MATCH(CONCATENATE(Liste!$C$3,$B$287,$B$317),Data!$BO:$BO,0)-2,28)=""),"Performance Level: "&amp;INDEX(Tab_DaBa[],MATCH(CONCATENATE(Liste!$C$3,$B$287,$B$317),Data!$BO:$BO,0)-2,15),IF(INDEX(Tab_DaBa[],MATCH(CONCATENATE(Liste!$C$3,$B$287,$B$317),Data!$BO:$BO,0)-2,23)&lt;&gt;"","Performance Level: "&amp;INDEX(Tab_DaBa[],MATCH(CONCATENATE(Liste!$C$3,$B$287,$B$317),Data!$BO:$BO,0)-2,30),"")),"")</f>
        <v>Performance Level: PL_Aus2_2</v>
      </c>
      <c r="I322" s="38"/>
    </row>
    <row r="323" spans="2:9" s="16" customFormat="1" ht="15.75">
      <c r="B323" s="53" t="str">
        <f ca="1">IFERROR("PFH [1/h] = "&amp;10^9*INDEX(Tab_DaBa[],MATCH(CONCATENATE(Liste!$C$3,$B$287,$B$317),Data!$BO:$BO,0)-2,11)&amp;"E-9","")</f>
        <v>PFH [1/h] = 42,9E-9</v>
      </c>
      <c r="C323" s="54"/>
      <c r="D323" s="35" t="str">
        <f ca="1">IFERROR(IF(INDEX(Tab_DaBa[],MATCH(CONCATENATE(Liste!$C$3,$B$287,$B$317),Data!$BO:$BO,0)-2,18)="","PFH [1/h] = "&amp;10^9*INDEX(Tab_DaBa[],MATCH(CONCATENATE(Liste!$C$3,$B$287,$B$317),Data!$BO:$BO,0)-2,16)&amp;"E-9","PFH [1/h] = "&amp;10^9*INDEX(Tab_DaBa[],MATCH(CONCATENATE(Liste!$C$3,$B$287,$B$317),Data!$BO:$BO,0)-2,21)&amp;"E-9"),"")</f>
        <v>PFH [1/h] = 4,19E-9</v>
      </c>
      <c r="E323" s="36"/>
      <c r="F323" s="35" t="str">
        <f ca="1">IFERROR(IF(AND(INDEX(Tab_DaBa[],MATCH(CONCATENATE(Liste!$C$3,$B$287,$B$317),Data!$BO:$BO,0)-2,18)&lt;&gt;"",INDEX(Tab_DaBa[],MATCH(CONCATENATE(Liste!$C$3,$B$287,$B$317),Data!$BO:$BO,0)-2,23)=""),"PFH [1/h] = "&amp;10^9*INDEX(Tab_DaBa[],MATCH(CONCATENATE(Liste!$C$3,$B$287,$B$317),Data!$BO:$BO,0)-2,16)&amp;"E-9",IF(INDEX(Tab_DaBa[],MATCH(CONCATENATE(Liste!$C$3,$B$287,$B$317),Data!$BO:$BO,0)-2,23)&lt;&gt;"","PFH [1/h] = "&amp;10^9*INDEX(Tab_DaBa[],MATCH(CONCATENATE(Liste!$C$3,$B$287,$B$317),Data!$BO:$BO,0)-2,26)&amp;"E-9","")),"")</f>
        <v>PFH [1/h] = 4,19E-9</v>
      </c>
      <c r="G323" s="39"/>
      <c r="H323" s="35" t="str">
        <f ca="1">IFERROR(IF(AND(INDEX(Tab_DaBa[],MATCH(CONCATENATE(Liste!$C$3,$B$287,$B$317),Data!$BO:$BO,0)-2,23)&lt;&gt;"",INDEX(Tab_DaBa[],MATCH(CONCATENATE(Liste!$C$3,$B$287,$B$317),Data!$BO:$BO,0)-2,28)=""),"PFH [1/h] = "&amp;10^9*INDEX(Tab_DaBa[],MATCH(CONCATENATE(Liste!$C$3,$B$287,$B$317),Data!$BO:$BO,0)-2,16)&amp;"E-9",IF(INDEX(Tab_DaBa[],MATCH(CONCATENATE(Liste!$C$3,$B$287,$B$317),Data!$BO:$BO,0)-2,23)&lt;&gt;"","PFH [1/h] = "&amp;10^9*INDEX(Tab_DaBa[],MATCH(CONCATENATE(Liste!$C$3,$B$287,$B$317),Data!$BO:$BO,0)-2,31)&amp;"E-9","")),"")</f>
        <v>PFH [1/h] = 24,7E-9</v>
      </c>
      <c r="I323" s="39"/>
    </row>
    <row r="324" spans="2:9" s="16" customFormat="1">
      <c r="B324" s="33"/>
      <c r="C324" s="34"/>
      <c r="D324" s="33"/>
      <c r="E324" s="33"/>
      <c r="F324" s="33"/>
      <c r="G324" s="33"/>
      <c r="H324" s="33"/>
      <c r="I324" s="33"/>
    </row>
    <row r="325" spans="2:9" s="16" customFormat="1" ht="15.75">
      <c r="B325" s="38" t="str">
        <f ca="1">IF(B327="","",6)</f>
        <v/>
      </c>
      <c r="C325" s="34"/>
      <c r="D325" s="38" t="str">
        <f ca="1">IF(B327="","",3)</f>
        <v/>
      </c>
      <c r="E325" s="33"/>
      <c r="F325" s="38" t="str">
        <f ca="1">IF(B327="","",3)</f>
        <v/>
      </c>
      <c r="G325" s="33"/>
      <c r="H325" s="38" t="str">
        <f ca="1">IF(B327="","",3)</f>
        <v/>
      </c>
      <c r="I325" s="33"/>
    </row>
    <row r="326" spans="2:9" s="16" customFormat="1" ht="15.75">
      <c r="B326" s="39"/>
      <c r="C326" s="33"/>
      <c r="D326" s="33"/>
      <c r="E326" s="33"/>
      <c r="F326" s="33"/>
      <c r="G326" s="33"/>
      <c r="H326" s="33"/>
      <c r="I326" s="33"/>
    </row>
    <row r="327" spans="2:9" s="16" customFormat="1" ht="15.75">
      <c r="B327" s="35" t="str">
        <f ca="1">IFERROR(IF(AND(INDEX(Tab_DaBa[],MATCH(CONCATENATE(Liste!$C$3,$B$287,$B$317),Data!$BO:$BO,0)-2,28)&lt;&gt;"",INDEX(Tab_DaBa[],MATCH(CONCATENATE(Liste!$C$3,$B$287,$B$317),Data!$BO:$BO,0)-2,33)=0),INDEX(Tab_DaBa[],MATCH(CONCATENATE(Liste!$C$3,$B$287,$B$317),Data!$BO:$BO,0)-2,14),IF(INDEX(Tab_DaBa[],MATCH(CONCATENATE(Liste!$C$3,$B$287,$B$317),Data!$BO:$BO,0)-2,28)&lt;&gt;"",INDEX(Tab_DaBa[],MATCH(CONCATENATE(Liste!$C$3,$B$287,$B$317),Data!$BO:$BO,0)-2,34),"")),"")</f>
        <v/>
      </c>
      <c r="C327" s="39"/>
      <c r="D327" s="35" t="str">
        <f ca="1">IFERROR(IF(AND(INDEX(Tab_DaBa[],MATCH(CONCATENATE(Liste!$C$3,$B$287,$B$317),Data!$BO:$BO,0)-2,33)&lt;&gt;"",INDEX(Tab_DaBa[],MATCH(CONCATENATE(Liste!$C$3,$B$287,$B$317),Data!$BO:$BO,0)-2,38)=0),INDEX(Tab_DaBa[],MATCH(CONCATENATE(Liste!$C$3,$B$287,$B$317),Data!$BO:$BO,0)-2,14),IF(INDEX(Tab_DaBa[],MATCH(CONCATENATE(Liste!$C$3,$B$287,$B$317),Data!$BO:$BO,0)-2,33)&lt;&gt;"",INDEX(Tab_DaBa[],MATCH(CONCATENATE(Liste!$C$3,$B$287,$B$317),Data!$BO:$BO,0)-2,39),"")),"")</f>
        <v/>
      </c>
      <c r="E327" s="33"/>
      <c r="F327" s="35" t="str">
        <f ca="1">IFERROR(IF(AND(INDEX(Tab_DaBa[],MATCH(CONCATENATE(Liste!$C$3,$B$287,$B$317),Data!$BO:$BO,0)-2,38)&lt;&gt;"",INDEX(Tab_DaBa[],MATCH(CONCATENATE(Liste!$C$3,$B$287,$B$317),Data!$BO:$BO,0)-2,43)=0),INDEX(Tab_DaBa[],MATCH(CONCATENATE(Liste!$C$3,$B$287,$B$317),Data!$BO:$BO,0)-2,14),IF(INDEX(Tab_DaBa[],MATCH(CONCATENATE(Liste!$C$3,$B$287,$B$317),Data!$BO:$BO,0)-2,38)&lt;&gt;"",INDEX(Tab_DaBa[],MATCH(CONCATENATE(Liste!$C$3,$B$287,$B$317),Data!$BO:$BO,0)-2,44),"")),"")</f>
        <v/>
      </c>
      <c r="G327" s="39"/>
      <c r="H327" s="35" t="str">
        <f ca="1">IFERROR(IF(AND(INDEX(Tab_DaBa[],MATCH(CONCATENATE(Liste!$C$3,$B$287,$B$317),Data!$BO:$BO,0)-2,43)&lt;&gt;"",INDEX(Tab_DaBa[],MATCH(CONCATENATE(Liste!$C$3,$B$287,$B$317),Data!$BO:$BO,0)-2,48)=0),INDEX(Tab_DaBa[],MATCH(CONCATENATE(Liste!$C$3,$B$287,$B$317),Data!$BO:$BO,0)-2,14),IF(INDEX(Tab_DaBa[],MATCH(CONCATENATE(Liste!$C$3,$B$287,$B$317),Data!$BO:$BO,0)-2,43)&lt;&gt;"",INDEX(Tab_DaBa[],MATCH(CONCATENATE(Liste!$C$3,$B$287,$B$317),Data!$BO:$BO,0)-2,49),"")),"")</f>
        <v/>
      </c>
      <c r="I327" s="39"/>
    </row>
    <row r="328" spans="2:9" s="16" customFormat="1" ht="15.75">
      <c r="B328" s="35" t="str">
        <f ca="1">IFERROR(IF(AND(INDEX(Tab_DaBa[],MATCH(CONCATENATE(Liste!$C$3,$B$287,$B$317),Data!$BO:$BO,0)-2,28)&lt;&gt;"",INDEX(Tab_DaBa[],MATCH(CONCATENATE(Liste!$C$3,$B$287,$B$317),Data!$BO:$BO,0)-2,33)=0),INDEX(Tab_DaBa[],MATCH(CONCATENATE(Liste!$C$3,$B$287,$B$317),Data!$BO:$BO,0)-2,12),IF(INDEX(Tab_DaBa[],MATCH(CONCATENATE(Liste!$C$3,$B$287,$B$317),Data!$BO:$BO,0)-2,28)&lt;&gt;"",INDEX(Tab_DaBa[],MATCH(CONCATENATE(Liste!$C$3,$B$287,$B$317),Data!$BO:$BO,0)-2,32),"")),"")</f>
        <v/>
      </c>
      <c r="C328" s="39"/>
      <c r="D328" s="35" t="str">
        <f ca="1">IFERROR(IF(AND(INDEX(Tab_DaBa[],MATCH(CONCATENATE(Liste!$C$3,$B$287,$B$317),Data!$BO:$BO,0)-2,33)&lt;&gt;"",INDEX(Tab_DaBa[],MATCH(CONCATENATE(Liste!$C$3,$B$287,$B$317),Data!$BO:$BO,0)-2,38)=0),INDEX(Tab_DaBa[],MATCH(CONCATENATE(Liste!$C$3,$B$287,$B$317),Data!$BO:$BO,0)-2,12),IF(INDEX(Tab_DaBa[],MATCH(CONCATENATE(Liste!$C$3,$B$287,$B$317),Data!$BO:$BO,0)-2,33)&lt;&gt;"",INDEX(Tab_DaBa[],MATCH(CONCATENATE(Liste!$C$3,$B$287,$B$317),Data!$BO:$BO,0)-2,37),"")),"")</f>
        <v/>
      </c>
      <c r="E328" s="37"/>
      <c r="F328" s="35" t="str">
        <f ca="1">IFERROR(IF(AND(INDEX(Tab_DaBa[],MATCH(CONCATENATE(Liste!$C$3,$B$287,$B$317),Data!$BO:$BO,0)-2,38)&lt;&gt;"",INDEX(Tab_DaBa[],MATCH(CONCATENATE(Liste!$C$3,$B$287,$B$317),Data!$BO:$BO,0)-2,43)=0),INDEX(Tab_DaBa[],MATCH(CONCATENATE(Liste!$C$3,$B$287,$B$317),Data!$BO:$BO,0)-2,12),IF(INDEX(Tab_DaBa[],MATCH(CONCATENATE(Liste!$C$3,$B$287,$B$317),Data!$BO:$BO,0)-2,38)&lt;&gt;"",INDEX(Tab_DaBa[],MATCH(CONCATENATE(Liste!$C$3,$B$287,$B$317),Data!$BO:$BO,0)-2,42),"")),"")</f>
        <v/>
      </c>
      <c r="G328" s="39"/>
      <c r="H328" s="35" t="str">
        <f ca="1">IFERROR(IF(AND(INDEX(Tab_DaBa[],MATCH(CONCATENATE(Liste!$C$3,$B$287,$B$317),Data!$BO:$BO,0)-2,43)&lt;&gt;"",INDEX(Tab_DaBa[],MATCH(CONCATENATE(Liste!$C$3,$B$287,$B$317),Data!$BO:$BO,0)-2,48)=0),INDEX(Tab_DaBa[],MATCH(CONCATENATE(Liste!$C$3,$B$287,$B$317),Data!$BO:$BO,0)-2,12),IF(INDEX(Tab_DaBa[],MATCH(CONCATENATE(Liste!$C$3,$B$287,$B$317),Data!$BO:$BO,0)-2,43)&lt;&gt;"",INDEX(Tab_DaBa[],MATCH(CONCATENATE(Liste!$C$3,$B$287,$B$317),Data!$BO:$BO,0)-2,47),"")),"")</f>
        <v/>
      </c>
      <c r="I328" s="39"/>
    </row>
    <row r="329" spans="2:9" s="16" customFormat="1" ht="15.75">
      <c r="B329" s="35" t="str">
        <f ca="1">IFERROR(IF(AND(INDEX(Tab_DaBa[],MATCH(CONCATENATE(Liste!$C$3,$B$287,$B$317),Data!$BO:$BO,0)-2,28)&lt;&gt;"",INDEX(Tab_DaBa[],MATCH(CONCATENATE(Liste!$C$3,$B$287,$B$317),Data!$BO:$BO,0)-2,33)=""),INDEX(Tab_DaBa[],MATCH(CONCATENATE(Liste!$C$3,$B$287,$B$317),Data!$BO:$BO,0)-2,13),IF(INDEX(Tab_DaBa[],MATCH(CONCATENATE(Liste!$C$3,$B$287,$B$317),Data!$BO:$BO,0)-2,28)&lt;&gt;"",INDEX(Tab_DaBa[],MATCH(CONCATENATE(Liste!$C$3,$B$287,$B$317),Data!$BO:$BO,0)-2,33),"")),"")</f>
        <v/>
      </c>
      <c r="C329" s="38" t="str">
        <f ca="1">IF(D327="","",4)</f>
        <v/>
      </c>
      <c r="D329" s="35" t="str">
        <f ca="1">IFERROR(IF(AND(INDEX(Tab_DaBa[],MATCH(CONCATENATE(Liste!$C$3,$B$287,$B$317),Data!$BO:$BO,0)-2,33)&lt;&gt;"",INDEX(Tab_DaBa[],MATCH(CONCATENATE(Liste!$C$3,$B$287,$B$317),Data!$BO:$BO,0)-2,38)=""),INDEX(Tab_DaBa[],MATCH(CONCATENATE(Liste!$C$3,$B$287,$B$317),Data!$BO:$BO,0)-2,13),IF(INDEX(Tab_DaBa[],MATCH(CONCATENATE(Liste!$C$3,$B$287,$B$317),Data!$BO:$BO,0)-2,33)&lt;&gt;"",INDEX(Tab_DaBa[],MATCH(CONCATENATE(Liste!$C$3,$B$287,$B$317),Data!$BO:$BO,0)-2,38),"")),"")</f>
        <v/>
      </c>
      <c r="E329" s="38" t="str">
        <f ca="1">IF(F327="","",4)</f>
        <v/>
      </c>
      <c r="F329" s="35" t="str">
        <f ca="1">IFERROR(IF(AND(INDEX(Tab_DaBa[],MATCH(CONCATENATE(Liste!$C$3,$B$287,$B$317),Data!$BO:$BO,0)-2,38)&lt;&gt;"",INDEX(Tab_DaBa[],MATCH(CONCATENATE(Liste!$C$3,$B$287,$B$317),Data!$BO:$BO,0)-2,43)=""),INDEX(Tab_DaBa[],MATCH(CONCATENATE(Liste!$C$3,$B$287,$B$317),Data!$BO:$BO,0)-2,13),IF(INDEX(Tab_DaBa[],MATCH(CONCATENATE(Liste!$C$3,$B$287,$B$317),Data!$BO:$BO,0)-2,38)&lt;&gt;"",INDEX(Tab_DaBa[],MATCH(CONCATENATE(Liste!$C$3,$B$287,$B$317),Data!$BO:$BO,0)-2,43),"")),"")</f>
        <v/>
      </c>
      <c r="G329" s="38" t="str">
        <f ca="1">IF(H327="","",4)</f>
        <v/>
      </c>
      <c r="H329" s="35" t="str">
        <f ca="1">IFERROR(IF(AND(INDEX(Tab_DaBa[],MATCH(CONCATENATE(Liste!$C$3,$B$287,$B$317),Data!$BO:$BO,0)-2,43)&lt;&gt;"",INDEX(Tab_DaBa[],MATCH(CONCATENATE(Liste!$C$3,$B$287,$B$317),Data!$BO:$BO,0)-2,48)=""),INDEX(Tab_DaBa[],MATCH(CONCATENATE(Liste!$C$3,$B$287,$B$317),Data!$BO:$BO,0)-2,13),IF(INDEX(Tab_DaBa[],MATCH(CONCATENATE(Liste!$C$3,$B$287,$B$317),Data!$BO:$BO,0)-2,43)&lt;&gt;"",INDEX(Tab_DaBa[],MATCH(CONCATENATE(Liste!$C$3,$B$287,$B$317),Data!$BO:$BO,0)-2,48),"")),"")</f>
        <v/>
      </c>
      <c r="I329" s="38" t="str">
        <f ca="1">IF(B335="","",6)</f>
        <v/>
      </c>
    </row>
    <row r="330" spans="2:9" s="16" customFormat="1" ht="15.75">
      <c r="B330" s="35" t="str">
        <f ca="1">IFERROR(IF(AND(INDEX(Tab_DaBa[],MATCH(CONCATENATE(Liste!$C$3,$B$287,$B$317),Data!$BO:$BO,0)-2,28)&lt;&gt;"",INDEX(Tab_DaBa[],MATCH(CONCATENATE(Liste!$C$3,$B$287,$B$317),Data!$BO:$BO,0)-2,33)=""),"Performance Level: "&amp;INDEX(Tab_DaBa[],MATCH(CONCATENATE(Liste!$C$3,$B$287,$B$317),Data!$BO:$BO,0)-2,15),IF(INDEX(Tab_DaBa[],MATCH(CONCATENATE(Liste!$C$3,$B$287,$B$317),Data!$BO:$BO,0)-2,28)&lt;&gt;"","Performance Level: "&amp;INDEX(Tab_DaBa[],MATCH(CONCATENATE(Liste!$C$3,$B$287,$B$317),Data!$BO:$BO,0)-2,35),"")),"")</f>
        <v/>
      </c>
      <c r="C330" s="39"/>
      <c r="D330" s="35" t="str">
        <f ca="1">IFERROR(IF(AND(INDEX(Tab_DaBa[],MATCH(CONCATENATE(Liste!$C$3,$B$287,$B$317),Data!$BO:$BO,0)-2,33)&lt;&gt;"",INDEX(Tab_DaBa[],MATCH(CONCATENATE(Liste!$C$3,$B$287,$B$317),Data!$BO:$BO,0)-2,38)=""),"Performance Level: "&amp;INDEX(Tab_DaBa[],MATCH(CONCATENATE(Liste!$C$3,$B$287,$B$317),Data!$BO:$BO,0)-2,15),IF(INDEX(Tab_DaBa[],MATCH(CONCATENATE(Liste!$C$3,$B$287,$B$317),Data!$BO:$BO,0)-2,33)&lt;&gt;"","Performance Level: "&amp;INDEX(Tab_DaBa[],MATCH(CONCATENATE(Liste!$C$3,$B$287,$B$317),Data!$BO:$BO,0)-2,40),"")),"")</f>
        <v/>
      </c>
      <c r="E330" s="37"/>
      <c r="F330" s="35" t="str">
        <f ca="1">IFERROR(IF(AND(INDEX(Tab_DaBa[],MATCH(CONCATENATE(Liste!$C$3,$B$287,$B$317),Data!$BO:$BO,0)-2,38)&lt;&gt;"",INDEX(Tab_DaBa[],MATCH(CONCATENATE(Liste!$C$3,$B$287,$B$317),Data!$BO:$BO,0)-2,43)=""),"Performance Level: "&amp;INDEX(Tab_DaBa[],MATCH(CONCATENATE(Liste!$C$3,$B$287,$B$317),Data!$BO:$BO,0)-2,15),IF(INDEX(Tab_DaBa[],MATCH(CONCATENATE(Liste!$C$3,$B$287,$B$317),Data!$BO:$BO,0)-2,38)&lt;&gt;"","Performance Level: "&amp;INDEX(Tab_DaBa[],MATCH(CONCATENATE(Liste!$C$3,$B$287,$B$317),Data!$BO:$BO,0)-2,45),"")),"")</f>
        <v/>
      </c>
      <c r="G330" s="39"/>
      <c r="H330" s="35" t="str">
        <f ca="1">IFERROR(IF(AND(INDEX(Tab_DaBa[],MATCH(CONCATENATE(Liste!$C$3,$B$287,$B$317),Data!$BO:$BO,0)-2,43)&lt;&gt;"",INDEX(Tab_DaBa[],MATCH(CONCATENATE(Liste!$C$3,$B$287,$B$317),Data!$BO:$BO,0)-2,48)=""),"Performance Level: "&amp;INDEX(Tab_DaBa[],MATCH(CONCATENATE(Liste!$C$3,$B$287,$B$317),Data!$BO:$BO,0)-2,15),IF(INDEX(Tab_DaBa[],MATCH(CONCATENATE(Liste!$C$3,$B$287,$B$317),Data!$BO:$BO,0)-2,43)&lt;&gt;"","Performance Level: "&amp;INDEX(Tab_DaBa[],MATCH(CONCATENATE(Liste!$C$3,$B$287,$B$317),Data!$BO:$BO,0)-2,50),"")),"")</f>
        <v/>
      </c>
      <c r="I330" s="39"/>
    </row>
    <row r="331" spans="2:9" s="16" customFormat="1" ht="15.75">
      <c r="B331" s="35" t="str">
        <f ca="1">IFERROR(IF(AND(INDEX(Tab_DaBa[],MATCH(CONCATENATE(Liste!$C$3,$B$287,$B$317),Data!$BO:$BO,0)-2,28)&lt;&gt;"",INDEX(Tab_DaBa[],MATCH(CONCATENATE(Liste!$C$3,$B$287,$B$317),Data!$BO:$BO,0)-2,33)=""),"PFH [1/h] = "&amp;10^9*INDEX(Tab_DaBa[],MATCH(CONCATENATE(Liste!$C$3,$B$287,$B$317),Data!$BO:$BO,0)-2,16)&amp;"E-9",IF(INDEX(Tab_DaBa[],MATCH(CONCATENATE(Liste!$C$3,$B$287,$B$317),Data!$BO:$BO,0)-2,28)&lt;&gt;"","PFH [1/h] = "&amp;10^9*INDEX(Tab_DaBa[],MATCH(CONCATENATE(Liste!$C$3,$B$287,$B$317),Data!$BO:$BO,0)-2,36)&amp;"E-9","")),"")</f>
        <v/>
      </c>
      <c r="C331" s="39"/>
      <c r="D331" s="35" t="str">
        <f ca="1">IFERROR(IF(AND(INDEX(Tab_DaBa[],MATCH(CONCATENATE(Liste!$C$3,$B$287,$B$317),Data!$BO:$BO,0)-2,33)&lt;&gt;"",INDEX(Tab_DaBa[],MATCH(CONCATENATE(Liste!$C$3,$B$287,$B$317),Data!$BO:$BO,0)-2,38)=""),"PFH [1/h] = "&amp;10^9*INDEX(Tab_DaBa[],MATCH(CONCATENATE(Liste!$C$3,$B$287,$B$317),Data!$BO:$BO,0)-2,16)&amp;"E-9",IF(INDEX(Tab_DaBa[],MATCH(CONCATENATE(Liste!$C$3,$B$287,$B$317),Data!$BO:$BO,0)-2,33)&lt;&gt;"","PFH [1/h] = "&amp;10^9*INDEX(Tab_DaBa[],MATCH(CONCATENATE(Liste!$C$3,$B$287,$B$317),Data!$BO:$BO,0)-2,41)&amp;"E-9","")),"")</f>
        <v/>
      </c>
      <c r="E331" s="37"/>
      <c r="F331" s="35" t="str">
        <f ca="1">IFERROR(IF(AND(INDEX(Tab_DaBa[],MATCH(CONCATENATE(Liste!$C$3,$B$287,$B$317),Data!$BO:$BO,0)-2,38)&lt;&gt;"",INDEX(Tab_DaBa[],MATCH(CONCATENATE(Liste!$C$3,$B$287,$B$317),Data!$BO:$BO,0)-2,43)=""),"PFH [1/h] = "&amp;10^9*INDEX(Tab_DaBa[],MATCH(CONCATENATE(Liste!$C$3,$B$287,$B$317),Data!$BO:$BO,0)-2,16)&amp;"E-9",IF(INDEX(Tab_DaBa[],MATCH(CONCATENATE(Liste!$C$3,$B$287,$B$317),Data!$BO:$BO,0)-2,38)&lt;&gt;"","PFH [1/h] = "&amp;10^9*INDEX(Tab_DaBa[],MATCH(CONCATENATE(Liste!$C$3,$B$287,$B$317),Data!$BO:$BO,0)-2,46)&amp;"E-9","")),"")</f>
        <v/>
      </c>
      <c r="G331" s="39"/>
      <c r="H331" s="35" t="str">
        <f ca="1">IFERROR(IF(AND(INDEX(Tab_DaBa[],MATCH(CONCATENATE(Liste!$C$3,$B$287,$B$317),Data!$BO:$BO,0)-2,43)&lt;&gt;"",INDEX(Tab_DaBa[],MATCH(CONCATENATE(Liste!$C$3,$B$287,$B$317),Data!$BO:$BO,0)-2,48)=""),"PFH [1/h] = "&amp;10^9*INDEX(Tab_DaBa[],MATCH(CONCATENATE(Liste!$C$3,$B$287,$B$317),Data!$BO:$BO,0)-2,16)&amp;"E-9",IF(INDEX(Tab_DaBa[],MATCH(CONCATENATE(Liste!$C$3,$B$287,$B$317),Data!$BO:$BO,0)-2,43)&lt;&gt;"","PFH [1/h] = "&amp;10^9*INDEX(Tab_DaBa[],MATCH(CONCATENATE(Liste!$C$3,$B$287,$B$317),Data!$BO:$BO,0)-2,51)&amp;"E-9","")),"")</f>
        <v/>
      </c>
      <c r="I331" s="39"/>
    </row>
    <row r="332" spans="2:9" s="16" customFormat="1">
      <c r="B332" s="33"/>
      <c r="C332" s="33"/>
      <c r="D332" s="33"/>
      <c r="E332" s="33"/>
      <c r="F332" s="33"/>
      <c r="G332" s="33"/>
      <c r="H332" s="33"/>
      <c r="I332" s="33"/>
    </row>
    <row r="333" spans="2:9" s="16" customFormat="1" ht="15.75">
      <c r="B333" s="38" t="str">
        <f ca="1">IF(B335="","",6)</f>
        <v/>
      </c>
      <c r="C333" s="33"/>
      <c r="D333" s="38" t="str">
        <f ca="1">IF(B335="","",3)</f>
        <v/>
      </c>
      <c r="E333" s="33"/>
      <c r="F333" s="38" t="str">
        <f ca="1">IF(B335="","",3)</f>
        <v/>
      </c>
      <c r="G333" s="33"/>
      <c r="H333" s="38" t="str">
        <f ca="1">IF(B335="","",3)</f>
        <v/>
      </c>
      <c r="I333" s="33"/>
    </row>
    <row r="334" spans="2:9" s="16" customFormat="1" ht="15.75">
      <c r="B334" s="39"/>
      <c r="C334" s="33"/>
      <c r="D334" s="33"/>
      <c r="E334" s="33"/>
      <c r="F334" s="33"/>
      <c r="G334" s="33"/>
      <c r="H334" s="33"/>
      <c r="I334" s="33"/>
    </row>
    <row r="335" spans="2:9" s="16" customFormat="1" ht="15.75">
      <c r="B335" s="35" t="str">
        <f ca="1">IFERROR(IF(AND(INDEX(Tab_DaBa[],MATCH(CONCATENATE(Liste!$C$3,$B$287,$B$317),Data!$BO:$BO,0)-2,48)&lt;&gt;"",INDEX(Tab_DaBa[],MATCH(CONCATENATE(Liste!$C$3,$B$287,$B$317),Data!$BO:$BO,0)-2,53)=0),INDEX(Tab_DaBa[],MATCH(CONCATENATE(Liste!$C$3,$B$287,$B$317),Data!$BO:$BO,0)-2,14),IF(INDEX(Tab_DaBa[],MATCH(CONCATENATE(Liste!$C$3,$B$287,$B$317),Data!$BO:$BO,0)-2,48)&lt;&gt;"",INDEX(Tab_DaBa[],MATCH(CONCATENATE(Liste!$C$3,$B$287,$B$317),Data!$BO:$BO,0)-2,54),"")),"")</f>
        <v/>
      </c>
      <c r="C335" s="39"/>
      <c r="D335" s="35" t="str">
        <f ca="1">IFERROR(IF(AND(INDEX(Tab_DaBa[],MATCH(CONCATENATE(Liste!$C$3,$B$287,$B$317),Data!$BO:$BO,0)-2,53)&lt;&gt;"",INDEX(Tab_DaBa[],MATCH(CONCATENATE(Liste!$C$3,$B$287,$B$317),Data!$BO:$BO,0)-2,58)=0),INDEX(Tab_DaBa[],MATCH(CONCATENATE(Liste!$C$3,$B$287,$B$317),Data!$BO:$BO,0)-2,14),IF(INDEX(Tab_DaBa[],MATCH(CONCATENATE(Liste!$C$3,$B$287,$B$317),Data!$BO:$BO,0)-2,53)&lt;&gt;"",INDEX(Tab_DaBa[],MATCH(CONCATENATE(Liste!$C$3,$B$287,$B$317),Data!$BO:$BO,0)-2,59),"")),"")</f>
        <v/>
      </c>
      <c r="E335" s="33"/>
      <c r="F335" s="35" t="str">
        <f ca="1">IFERROR(IF(AND(INDEX(Tab_DaBa[],MATCH(CONCATENATE(Liste!$C$3,$B$287,$B$317),Data!$BO:$BO,0)-2,58)&lt;&gt;"",INDEX(Tab_DaBa[],MATCH(CONCATENATE(Liste!$C$3,$B$287,$B$317),Data!$BO:$BO,0)-2,63)=0),INDEX(Tab_DaBa[],MATCH(CONCATENATE(Liste!$C$3,$B$287,$B$317),Data!$BO:$BO,0)-2,14),IF(INDEX(Tab_DaBa[],MATCH(CONCATENATE(Liste!$C$3,$B$287,$B$317),Data!$BO:$BO,0)-2,58)&lt;&gt;"",INDEX(Tab_DaBa[],MATCH(CONCATENATE(Liste!$C$3,$B$287,$B$317),Data!$BO:$BO,0)-2,64),"")),"")</f>
        <v/>
      </c>
      <c r="G335" s="39"/>
      <c r="H335" s="35" t="str">
        <f ca="1">IFERROR(IF(INDEX(Tab_DaBa[],MATCH(CONCATENATE(Liste!$C$3,$B$287,$B$317),Data!$BO:$BO,0)-2,63)&lt;&gt;"",INDEX(Tab_DaBa[],MATCH(CONCATENATE(Liste!$C$3,$B$287,$B$317),Data!$BO:$BO,0)-2,14),""),"")</f>
        <v/>
      </c>
    </row>
    <row r="336" spans="2:9" s="16" customFormat="1" ht="15.75">
      <c r="B336" s="35" t="str">
        <f ca="1">IFERROR(IF(AND(INDEX(Tab_DaBa[],MATCH(CONCATENATE(Liste!$C$3,$B$287,$B$317),Data!$BO:$BO,0)-2,48)&lt;&gt;"",INDEX(Tab_DaBa[],MATCH(CONCATENATE(Liste!$C$3,$B$287,$B$317),Data!$BO:$BO,0)-2,53)=0),INDEX(Tab_DaBa[],MATCH(CONCATENATE(Liste!$C$3,$B$287,$B$317),Data!$BO:$BO,0)-2,12),IF(INDEX(Tab_DaBa[],MATCH(CONCATENATE(Liste!$C$3,$B$287,$B$317),Data!$BO:$BO,0)-2,48)&lt;&gt;"",INDEX(Tab_DaBa[],MATCH(CONCATENATE(Liste!$C$3,$B$287,$B$317),Data!$BO:$BO,0)-2,52),"")),"")</f>
        <v/>
      </c>
      <c r="C336" s="39"/>
      <c r="D336" s="35" t="str">
        <f ca="1">IFERROR(IF(AND(INDEX(Tab_DaBa[],MATCH(CONCATENATE(Liste!$C$3,$B$287,$B$317),Data!$BO:$BO,0)-2,53)&lt;&gt;"",INDEX(Tab_DaBa[],MATCH(CONCATENATE(Liste!$C$3,$B$287,$B$317),Data!$BO:$BO,0)-2,58)=0),INDEX(Tab_DaBa[],MATCH(CONCATENATE(Liste!$C$3,$B$287,$B$317),Data!$BO:$BO,0)-2,12),IF(INDEX(Tab_DaBa[],MATCH(CONCATENATE(Liste!$C$3,$B$287,$B$317),Data!$BO:$BO,0)-2,53)&lt;&gt;"",INDEX(Tab_DaBa[],MATCH(CONCATENATE(Liste!$C$3,$B$287,$B$317),Data!$BO:$BO,0)-2,57),"")),"")</f>
        <v/>
      </c>
      <c r="E336" s="37"/>
      <c r="F336" s="35" t="str">
        <f ca="1">IFERROR(IF(AND(INDEX(Tab_DaBa[],MATCH(CONCATENATE(Liste!$C$3,$B$287,$B$317),Data!$BO:$BO,0)-2,58)&lt;&gt;"",INDEX(Tab_DaBa[],MATCH(CONCATENATE(Liste!$C$3,$B$287,$B$317),Data!$BO:$BO,0)-2,63)=0),INDEX(Tab_DaBa[],MATCH(CONCATENATE(Liste!$C$3,$B$287,$B$317),Data!$BO:$BO,0)-2,12),IF(INDEX(Tab_DaBa[],MATCH(CONCATENATE(Liste!$C$3,$B$287,$B$317),Data!$BO:$BO,0)-2,58)&lt;&gt;"",INDEX(Tab_DaBa[],MATCH(CONCATENATE(Liste!$C$3,$B$287,$B$317),Data!$BO:$BO,0)-2,62),"")),"")</f>
        <v/>
      </c>
      <c r="G336" s="39"/>
      <c r="H336" s="35" t="str">
        <f ca="1">IFERROR(IF(INDEX(Tab_DaBa[],MATCH(CONCATENATE(Liste!$C$3,$B$287,$B$317),Data!$BO:$BO,0)-2,63)&lt;&gt;"",INDEX(Tab_DaBa[],MATCH(CONCATENATE(Liste!$C$3,$B$287,$B$317),Data!$BO:$BO,0)-2,12),""),"")</f>
        <v/>
      </c>
    </row>
    <row r="337" spans="2:9" s="16" customFormat="1" ht="15.75">
      <c r="B337" s="35" t="str">
        <f ca="1">IFERROR(IF(AND(INDEX(Tab_DaBa[],MATCH(CONCATENATE(Liste!$C$3,$B$287,$B$317),Data!$BO:$BO,0)-2,48)&lt;&gt;"",INDEX(Tab_DaBa[],MATCH(CONCATENATE(Liste!$C$3,$B$287,$B$317),Data!$BO:$BO,0)-2,53)=""),INDEX(Tab_DaBa[],MATCH(CONCATENATE(Liste!$C$3,$B$287,$B$317),Data!$BO:$BO,0)-2,13),IF(INDEX(Tab_DaBa[],MATCH(CONCATENATE(Liste!$C$3,$B$287,$B$317),Data!$BO:$BO,0)-2,48)&lt;&gt;"",INDEX(Tab_DaBa[],MATCH(CONCATENATE(Liste!$C$3,$B$287,$B$317),Data!$BO:$BO,0)-2,53),"")),"")</f>
        <v/>
      </c>
      <c r="C337" s="38" t="str">
        <f ca="1">IF(D335="","",4)</f>
        <v/>
      </c>
      <c r="D337" s="35" t="str">
        <f ca="1">IFERROR(IF(AND(INDEX(Tab_DaBa[],MATCH(CONCATENATE(Liste!$C$3,$B$287,$B$317),Data!$BO:$BO,0)-2,53)&lt;&gt;"",INDEX(Tab_DaBa[],MATCH(CONCATENATE(Liste!$C$3,$B$287,$B$317),Data!$BO:$BO,0)-2,58)=""),INDEX(Tab_DaBa[],MATCH(CONCATENATE(Liste!$C$3,$B$287,$B$317),Data!$BO:$BO,0)-2,13),IF(INDEX(Tab_DaBa[],MATCH(CONCATENATE(Liste!$C$3,$B$287,$B$317),Data!$BO:$BO,0)-2,53)&lt;&gt;"",INDEX(Tab_DaBa[],MATCH(CONCATENATE(Liste!$C$3,$B$287,$B$317),Data!$BO:$BO,0)-2,58),"")),"")</f>
        <v/>
      </c>
      <c r="E337" s="38" t="str">
        <f ca="1">IF(F335="","",4)</f>
        <v/>
      </c>
      <c r="F337" s="35" t="str">
        <f ca="1">IFERROR(IF(AND(INDEX(Tab_DaBa[],MATCH(CONCATENATE(Liste!$C$3,$B$287,$B$317),Data!$BO:$BO,0)-2,58)&lt;&gt;"",INDEX(Tab_DaBa[],MATCH(CONCATENATE(Liste!$C$3,$B$287,$B$317),Data!$BO:$BO,0)-2,63)=""),INDEX(Tab_DaBa[],MATCH(CONCATENATE(Liste!$C$3,$B$287,$B$317),Data!$BO:$BO,0)-2,13),IF(INDEX(Tab_DaBa[],MATCH(CONCATENATE(Liste!$C$3,$B$287,$B$317),Data!$BO:$BO,0)-2,58)&lt;&gt;"",INDEX(Tab_DaBa[],MATCH(CONCATENATE(Liste!$C$3,$B$287,$B$317),Data!$BO:$BO,0)-2,63),"")),"")</f>
        <v/>
      </c>
      <c r="G337" s="38" t="str">
        <f ca="1">IF(H335="","",4)</f>
        <v/>
      </c>
      <c r="H337" s="35" t="str">
        <f ca="1">IFERROR(IF(INDEX(Tab_DaBa[],MATCH(CONCATENATE(Liste!$C$3,$B$287,$B$317),Data!$BO:$BO,0)-2,63)&lt;&gt;"",INDEX(Tab_DaBa[],MATCH(CONCATENATE(Liste!$C$3,$B$287,$B$317),Data!$BO:$BO,0)-2,13),""),"")</f>
        <v/>
      </c>
    </row>
    <row r="338" spans="2:9" s="16" customFormat="1" ht="15.75">
      <c r="B338" s="35" t="str">
        <f ca="1">IFERROR(IF(AND(INDEX(Tab_DaBa[],MATCH(CONCATENATE(Liste!$C$3,$B$287,$B$317),Data!$BO:$BO,0)-2,48)&lt;&gt;"",INDEX(Tab_DaBa[],MATCH(CONCATENATE(Liste!$C$3,$B$287,$B$317),Data!$BO:$BO,0)-2,53)=""),"Performance Level: "&amp;INDEX(Tab_DaBa[],MATCH(CONCATENATE(Liste!$C$3,$B$287,$B$317),Data!$BO:$BO,0)-2,15),IF(INDEX(Tab_DaBa[],MATCH(CONCATENATE(Liste!$C$3,$B$287,$B$317),Data!$BO:$BO,0)-2,48)&lt;&gt;"","Performance Level: "&amp;INDEX(Tab_DaBa[],MATCH(CONCATENATE(Liste!$C$3,$B$287,$B$317),Data!$BO:$BO,0)-2,55),"")),"")</f>
        <v/>
      </c>
      <c r="C338" s="39"/>
      <c r="D338" s="35" t="str">
        <f ca="1">IFERROR(IF(AND(INDEX(Tab_DaBa[],MATCH(CONCATENATE(Liste!$C$3,$B$287,$B$317),Data!$BO:$BO,0)-2,53)&lt;&gt;"",INDEX(Tab_DaBa[],MATCH(CONCATENATE(Liste!$C$3,$B$287,$B$317),Data!$BO:$BO,0)-2,58)=""),"Performance Level: "&amp;INDEX(Tab_DaBa[],MATCH(CONCATENATE(Liste!$C$3,$B$287,$B$317),Data!$BO:$BO,0)-2,15),IF(INDEX(Tab_DaBa[],MATCH(CONCATENATE(Liste!$C$3,$B$287,$B$317),Data!$BO:$BO,0)-2,53)&lt;&gt;"","Performance Level: "&amp;INDEX(Tab_DaBa[],MATCH(CONCATENATE(Liste!$C$3,$B$287,$B$317),Data!$BO:$BO,0)-2,60),"")),"")</f>
        <v/>
      </c>
      <c r="E338" s="37"/>
      <c r="F338" s="35" t="str">
        <f ca="1">IFERROR(IF(AND(INDEX(Tab_DaBa[],MATCH(CONCATENATE(Liste!$C$3,$B$287,$B$317),Data!$BO:$BO,0)-2,58)&lt;&gt;"",INDEX(Tab_DaBa[],MATCH(CONCATENATE(Liste!$C$3,$B$287,$B$317),Data!$BO:$BO,0)-2,63)=""),"Performance Level: "&amp;INDEX(Tab_DaBa[],MATCH(CONCATENATE(Liste!$C$3,$B$287,$B$317),Data!$BO:$BO,0)-2,15),IF(INDEX(Tab_DaBa[],MATCH(CONCATENATE(Liste!$C$3,$B$287,$B$317),Data!$BO:$BO,0)-2,58)&lt;&gt;"","Performance Level: "&amp;INDEX(Tab_DaBa[],MATCH(CONCATENATE(Liste!$C$3,$B$287,$B$317),Data!$BO:$BO,0)-2,65),"")),"")</f>
        <v/>
      </c>
      <c r="G338" s="39"/>
      <c r="H338" s="35" t="str">
        <f ca="1">IFERROR(IF(INDEX(Tab_DaBa[],MATCH(CONCATENATE(Liste!$C$3,$B$287,$B$317),Data!$BO:$BO,0)-2,63)&lt;&gt;"","Performance Level: "&amp;INDEX(Tab_DaBa[],MATCH(CONCATENATE(Liste!$C$3,$B$287,$B$317),Data!$BO:$BO,0)-2,15),""),"")</f>
        <v/>
      </c>
    </row>
    <row r="339" spans="2:9" s="16" customFormat="1" ht="15.75">
      <c r="B339" s="35" t="str">
        <f ca="1">IFERROR(IF(AND(INDEX(Tab_DaBa[],MATCH(CONCATENATE(Liste!$C$3,$B$287,$B$317),Data!$BO:$BO,0)-2,48)&lt;&gt;"",INDEX(Tab_DaBa[],MATCH(CONCATENATE(Liste!$C$3,$B$287,$B$317),Data!$BO:$BO,0)-2,53)=""),"PFH [1/h] = "&amp;10^9*INDEX(Tab_DaBa[],MATCH(CONCATENATE(Liste!$C$3,$B$287,$B$317),Data!$BO:$BO,0)-2,16)&amp;"E-9",IF(INDEX(Tab_DaBa[],MATCH(CONCATENATE(Liste!$C$3,$B$287,$B$317),Data!$BO:$BO,0)-2,48)&lt;&gt;"","PFH [1/h] = "&amp;10^9*INDEX(Tab_DaBa[],MATCH(CONCATENATE(Liste!$C$3,$B$287,$B$317),Data!$BO:$BO,0)-2,56)&amp;"E-9","")),"")</f>
        <v/>
      </c>
      <c r="C339" s="39"/>
      <c r="D339" s="35" t="str">
        <f ca="1">IFERROR(IF(AND(INDEX(Tab_DaBa[],MATCH(CONCATENATE(Liste!$C$3,$B$287,$B$317),Data!$BO:$BO,0)-2,53)&lt;&gt;"",INDEX(Tab_DaBa[],MATCH(CONCATENATE(Liste!$C$3,$B$287,$B$317),Data!$BO:$BO,0)-2,58)=""),"PFH [1/h] = "&amp;10^9*INDEX(Tab_DaBa[],MATCH(CONCATENATE(Liste!$C$3,$B$287,$B$317),Data!$BO:$BO,0)-2,16)&amp;"E-9",IF(INDEX(Tab_DaBa[],MATCH(CONCATENATE(Liste!$C$3,$B$287,$B$317),Data!$BO:$BO,0)-2,53)&lt;&gt;"","PFH [1/h] = "&amp;10^9*INDEX(Tab_DaBa[],MATCH(CONCATENATE(Liste!$C$3,$B$287,$B$317),Data!$BO:$BO,0)-2,61)&amp;"E-9","")),"")</f>
        <v/>
      </c>
      <c r="E339" s="37"/>
      <c r="F339" s="35" t="str">
        <f ca="1">IFERROR(IF(AND(INDEX(Tab_DaBa[],MATCH(CONCATENATE(Liste!$C$3,$B$287,$B$317),Data!$BO:$BO,0)-2,58)&lt;&gt;"",INDEX(Tab_DaBa[],MATCH(CONCATENATE(Liste!$C$3,$B$287,$B$317),Data!$BO:$BO,0)-2,63)=""),"PFH [1/h] = "&amp;10^9*INDEX(Tab_DaBa[],MATCH(CONCATENATE(Liste!$C$3,$B$287,$B$317),Data!$BO:$BO,0)-2,16)&amp;"E-9",IF(INDEX(Tab_DaBa[],MATCH(CONCATENATE(Liste!$C$3,$B$287,$B$317),Data!$BO:$BO,0)-2,58)&lt;&gt;"","PFH [1/h] = "&amp;10^9*INDEX(Tab_DaBa[],MATCH(CONCATENATE(Liste!$C$3,$B$287,$B$317),Data!$BO:$BO,0)-2,66)&amp;"E-9","")),"")</f>
        <v/>
      </c>
      <c r="G339" s="39"/>
      <c r="H339" s="35" t="str">
        <f ca="1">IFERROR(IF(INDEX(Tab_DaBa[],MATCH(CONCATENATE(Liste!$C$3,$B$287,$B$317),Data!$BO:$BO,0)-2,63)&lt;&gt;"","PFH [1/h] = "&amp;10^9*INDEX(Tab_DaBa[],MATCH(CONCATENATE(Liste!$C$3,$B$287,$B$317),Data!$BO:$BO,0)-2,16)&amp;"E-9",""),"")</f>
        <v/>
      </c>
    </row>
    <row r="340" spans="2:9" s="16" customFormat="1"/>
    <row r="341" spans="2:9" s="16" customFormat="1">
      <c r="B341" s="43" t="str">
        <f ca="1">IF(D341="","","Erforderlich")</f>
        <v>Erforderlich</v>
      </c>
      <c r="D341" s="44" t="str">
        <f ca="1">IFERROR("Performance Level: "&amp;INDEX(Tab_DaBa[],MATCH(CONCATENATE(Liste!$C$3,$B$287,$B$317),Data!$BO:$BO,0)-2,4),"")</f>
        <v>Performance Level: PLr_ges2_2</v>
      </c>
    </row>
    <row r="342" spans="2:9" s="16" customFormat="1">
      <c r="B342" s="45"/>
    </row>
    <row r="343" spans="2:9" s="16" customFormat="1">
      <c r="B343" s="46" t="str">
        <f ca="1">IF(D343="","","Erreicht")</f>
        <v>Erreicht</v>
      </c>
      <c r="D343" s="47" t="str">
        <f ca="1">IFERROR("Performance Level: "&amp;INDEX(Tab_DaBa[],MATCH(CONCATENATE(Liste!$C$3,$B$287,$B$317),Data!$BO:$BO,0)-2,5)&amp;"          PFH [1/h] = "&amp;10^9*INDEX(Tab_DaBa[],MATCH(CONCATENATE(Liste!$C$3,$B$287,$B$317),Data!$BO:$BO,0)-2,6)&amp;"E-9","")</f>
        <v>Performance Level: Pl_ges2_2          PFH [1/h] = 71,7E-9</v>
      </c>
    </row>
    <row r="344" spans="2:9" s="16" customFormat="1"/>
    <row r="345" spans="2:9" s="16" customFormat="1">
      <c r="B345" s="42" t="str">
        <f ca="1">IFERROR(IF(3&gt;COUNTIF(Data!$BP:$BP,CONCATENATE(Liste!$C$3,$B$287)),"",INDEX(Tab_DaBa[],MATCH(CONCATENATE(Liste!$C$3,$B$287),Data!$BP:$BP,0),3)),"")</f>
        <v>2.3 test2 (E+3L+A)</v>
      </c>
    </row>
    <row r="346" spans="2:9" s="16" customFormat="1"/>
    <row r="347" spans="2:9" s="16" customFormat="1" ht="15.75">
      <c r="B347" s="35" t="str">
        <f ca="1">IFERROR(INDEX(Tab_DaBa[],MATCH(CONCATENATE(Liste!$C$3,$B$287,$B$345),Data!$BO:$BO,0)-2,9),"")</f>
        <v>Eingang</v>
      </c>
      <c r="C347" s="54"/>
      <c r="D347" s="35" t="str">
        <f ca="1">IFERROR(IF(INDEX(Tab_DaBa[],MATCH(CONCATENATE(Liste!$C$3,$B$287,$B$345),Data!$BO:$BO,0)-2,18)=0,INDEX(Tab_DaBa[],MATCH(CONCATENATE(Liste!$C$3,$B$287,$B$345),Data!$BO:$BO,0)-2,14),INDEX(Tab_DaBa[],MATCH(CONCATENATE(Liste!$C$3,$B$287,$B$345),Data!$BO:$BO,0)-2,19)),"")</f>
        <v>Logik 01</v>
      </c>
      <c r="E347" s="33"/>
      <c r="F347" s="35" t="str">
        <f ca="1">IFERROR(IF(AND(INDEX(Tab_DaBa[],MATCH(CONCATENATE(Liste!$C$3,$B$287,$B$345),Data!$BO:$BO,0)-2,18)&lt;&gt;"",INDEX(Tab_DaBa[],MATCH(CONCATENATE(Liste!$C$3,$B$287,$B$345),Data!$BO:$BO,0)-2,23)=0),INDEX(Tab_DaBa[],MATCH(CONCATENATE(Liste!$C$3,$B$287,$B$345),Data!$BO:$BO,0)-2,14),IF(INDEX(Tab_DaBa[],MATCH(CONCATENATE(Liste!$C$3,$B$287,$B$345),Data!$BO:$BO,0)-2,23)&lt;&gt;"",INDEX(Tab_DaBa[],MATCH(CONCATENATE(Liste!$C$3,$B$287,$B$345),Data!$BO:$BO,0)-2,24),"")),"")</f>
        <v>Logik 02</v>
      </c>
      <c r="G347" s="39"/>
      <c r="H347" s="35" t="str">
        <f ca="1">IFERROR(IF(AND(INDEX(Tab_DaBa[],MATCH(CONCATENATE(Liste!$C$3,$B$287,$B$345),Data!$BO:$BO,0)-2,23)&lt;&gt;"",INDEX(Tab_DaBa[],MATCH(CONCATENATE(Liste!$C$3,$B$287,$B$345),Data!$BO:$BO,0)-2,28)=0),INDEX(Tab_DaBa[],MATCH(CONCATENATE(Liste!$C$3,$B$287,$B$345),Data!$BO:$BO,0)-2,14),IF(INDEX(Tab_DaBa[],MATCH(CONCATENATE(Liste!$C$3,$B$287,$B$345),Data!$BO:$BO,0)-2,23)&lt;&gt;"",INDEX(Tab_DaBa[],MATCH(CONCATENATE(Liste!$C$3,$B$287,$B$345),Data!$BO:$BO,0)-2,29),"")),"")</f>
        <v>Logik 03</v>
      </c>
      <c r="I347" s="39"/>
    </row>
    <row r="348" spans="2:9" s="16" customFormat="1" ht="15.75">
      <c r="B348" s="35" t="str">
        <f ca="1">IFERROR(INDEX(Tab_DaBa[],MATCH(CONCATENATE(Liste!$C$3,$B$287,$B$345),Data!$BO:$BO,0)-2,7),"")</f>
        <v>eeee-22_3</v>
      </c>
      <c r="C348" s="54"/>
      <c r="D348" s="35" t="str">
        <f ca="1">IFERROR(IF(INDEX(Tab_DaBa[],MATCH(CONCATENATE(Liste!$C$3,$B$287,$B$345),Data!$BO:$BO,0)-2,18)="",INDEX(Tab_DaBa[],MATCH(CONCATENATE(Liste!$C$3,$B$287,$B$345),Data!$BO:$BO,0)-2,12),INDEX(Tab_DaBa[],MATCH(CONCATENATE(Liste!$C$3,$B$287,$B$345),Data!$BO:$BO,0)-2,17)),"")</f>
        <v>Log02-02_03</v>
      </c>
      <c r="E348" s="36"/>
      <c r="F348" s="35" t="str">
        <f ca="1">IFERROR(IF(AND(INDEX(Tab_DaBa[],MATCH(CONCATENATE(Liste!$C$3,$B$287,$B$345),Data!$BO:$BO,0)-2,18)&lt;&gt;"",INDEX(Tab_DaBa[],MATCH(CONCATENATE(Liste!$C$3,$B$287,$B$345),Data!$BO:$BO,0)-2,23)=0),INDEX(Tab_DaBa[],MATCH(CONCATENATE(Liste!$C$3,$B$287,$B$345),Data!$BO:$BO,0)-2,12),IF(INDEX(Tab_DaBa[],MATCH(CONCATENATE(Liste!$C$3,$B$287,$B$345),Data!$BO:$BO,0)-2,23)&lt;&gt;"",INDEX(Tab_DaBa[],MATCH(CONCATENATE(Liste!$C$3,$B$287,$B$345),Data!$BO:$BO,0)-2,22),"")),"")</f>
        <v>Lo02-22_3</v>
      </c>
      <c r="G348" s="39"/>
      <c r="H348" s="35" t="str">
        <f ca="1">IFERROR(IF(AND(INDEX(Tab_DaBa[],MATCH(CONCATENATE(Liste!$C$3,$B$287,$B$345),Data!$BO:$BO,0)-2,23)&lt;&gt;"",INDEX(Tab_DaBa[],MATCH(CONCATENATE(Liste!$C$3,$B$287,$B$345),Data!$BO:$BO,0)-2,28)=0),INDEX(Tab_DaBa[],MATCH(CONCATENATE(Liste!$C$3,$B$287,$B$345),Data!$BO:$BO,0)-2,12),IF(INDEX(Tab_DaBa[],MATCH(CONCATENATE(Liste!$C$3,$B$287,$B$345),Data!$BO:$BO,0)-2,23)&lt;&gt;"",INDEX(Tab_DaBa[],MATCH(CONCATENATE(Liste!$C$3,$B$287,$B$345),Data!$BO:$BO,0)-2,27),"")),"")</f>
        <v>Lo02-22_3</v>
      </c>
      <c r="I348" s="39"/>
    </row>
    <row r="349" spans="2:9" s="16" customFormat="1" ht="15.75">
      <c r="B349" s="35" t="str">
        <f ca="1">IFERROR(INDEX(Tab_DaBa[],MATCH(CONCATENATE(Liste!$C$3,$B$287,$B$345),Data!$BO:$BO,0)-2,8),"")</f>
        <v>Bez_Ein2_3</v>
      </c>
      <c r="C349" s="40">
        <f ca="1">IF(D347="","",4)</f>
        <v>4</v>
      </c>
      <c r="D349" s="35" t="str">
        <f ca="1">IFERROR(IF(INDEX(Tab_DaBa[],MATCH(CONCATENATE(Liste!$C$3,$B$287,$B$345),Data!$BO:$BO,0)-2,18)="",INDEX(Tab_DaBa[],MATCH(CONCATENATE(Liste!$C$3,$B$287,$B$345),Data!$BO:$BO,0)-2,13),INDEX(Tab_DaBa[],MATCH(CONCATENATE(Liste!$C$3,$B$287,$B$345),Data!$BO:$BO,0)-2,18)),"")</f>
        <v>Bez_Log01_02_03</v>
      </c>
      <c r="E349" s="40">
        <f ca="1">IF(F347="","",4)</f>
        <v>4</v>
      </c>
      <c r="F349" s="35" t="str">
        <f ca="1">IFERROR(IF(AND(INDEX(Tab_DaBa[],MATCH(CONCATENATE(Liste!$C$3,$B$287,$B$345),Data!$BO:$BO,0)-2,18)&lt;&gt;"",INDEX(Tab_DaBa[],MATCH(CONCATENATE(Liste!$C$3,$B$287,$B$345),Data!$BO:$BO,0)-2,23)=""),INDEX(Tab_DaBa[],MATCH(CONCATENATE(Liste!$C$3,$B$287,$B$345),Data!$BO:$BO,0)-2,13),IF(INDEX(Tab_DaBa[],MATCH(CONCATENATE(Liste!$C$3,$B$287,$B$345),Data!$BO:$BO,0)-2,23)&lt;&gt;"",INDEX(Tab_DaBa[],MATCH(CONCATENATE(Liste!$C$3,$B$287,$B$345),Data!$BO:$BO,0)-2,23),"")),"")</f>
        <v>Bez_Lo02_3</v>
      </c>
      <c r="G349" s="38">
        <f ca="1">IF(H347="","",4)</f>
        <v>4</v>
      </c>
      <c r="H349" s="35" t="str">
        <f ca="1">IFERROR(IF(AND(INDEX(Tab_DaBa[],MATCH(CONCATENATE(Liste!$C$3,$B$287,$B$345),Data!$BO:$BO,0)-2,23)&lt;&gt;"",INDEX(Tab_DaBa[],MATCH(CONCATENATE(Liste!$C$3,$B$287,$B$345),Data!$BO:$BO,0)-2,28)=""),INDEX(Tab_DaBa[],MATCH(CONCATENATE(Liste!$C$3,$B$287,$B$345),Data!$BO:$BO,0)-2,13),IF(INDEX(Tab_DaBa[],MATCH(CONCATENATE(Liste!$C$3,$B$287,$B$345),Data!$BO:$BO,0)-2,23)&lt;&gt;"",INDEX(Tab_DaBa[],MATCH(CONCATENATE(Liste!$C$3,$B$287,$B$345),Data!$BO:$BO,0)-2,28),"")),"")</f>
        <v>Bez_Lo02_3</v>
      </c>
      <c r="I349" s="38">
        <f ca="1">IF(B355="","",6)</f>
        <v>6</v>
      </c>
    </row>
    <row r="350" spans="2:9" s="16" customFormat="1" ht="15.75">
      <c r="B350" s="35" t="str">
        <f ca="1">IFERROR("Performance Level: "&amp;INDEX(Tab_DaBa[],MATCH(CONCATENATE(Liste!$C$3,$B$287,$B$345),Data!$BO:$BO,0)-2,10),"")</f>
        <v>Performance Level: PL_Ein2_3</v>
      </c>
      <c r="C350" s="54"/>
      <c r="D350" s="35" t="str">
        <f ca="1">IFERROR(IF(INDEX(Tab_DaBa[],MATCH(CONCATENATE(Liste!$C$3,$B$287,$B$345),Data!$BO:$BO,0)-2,18)="","Performance Level: "&amp;INDEX(Tab_DaBa[],MATCH(CONCATENATE(Liste!$C$3,$B$287,$B$345),Data!$BO:$BO,0)-2,15),"Performance Level: "&amp;INDEX(Tab_DaBa[],MATCH(CONCATENATE(Liste!$C$3,$B$287,$B$345),Data!$BO:$BO,0)-2,20)),"")</f>
        <v>Performance Level: PL_Lo02_3</v>
      </c>
      <c r="E350" s="36"/>
      <c r="F350" s="35" t="str">
        <f ca="1">IFERROR(IF(AND(INDEX(Tab_DaBa[],MATCH(CONCATENATE(Liste!$C$3,$B$287,$B$345),Data!$BO:$BO,0)-2,18)&lt;&gt;"",INDEX(Tab_DaBa[],MATCH(CONCATENATE(Liste!$C$3,$B$287,$B$345),Data!$BO:$BO,0)-2,23)=""),"Performance Level: "&amp;INDEX(Tab_DaBa[],MATCH(CONCATENATE(Liste!$C$3,$B$287,$B$345),Data!$BO:$BO,0)-2,15),IF(INDEX(Tab_DaBa[],MATCH(CONCATENATE(Liste!$C$3,$B$287,$B$345),Data!$BO:$BO,0)-2,23)&lt;&gt;"","Performance Level: "&amp;INDEX(Tab_DaBa[],MATCH(CONCATENATE(Liste!$C$3,$B$287,$B$345),Data!$BO:$BO,0)-2,25),"")),"")</f>
        <v>Performance Level: PL_Lo02_3</v>
      </c>
      <c r="G350" s="39"/>
      <c r="H350" s="35" t="str">
        <f ca="1">IFERROR(IF(AND(INDEX(Tab_DaBa[],MATCH(CONCATENATE(Liste!$C$3,$B$287,$B$345),Data!$BO:$BO,0)-2,23)&lt;&gt;"",INDEX(Tab_DaBa[],MATCH(CONCATENATE(Liste!$C$3,$B$287,$B$345),Data!$BO:$BO,0)-2,28)=""),"Performance Level: "&amp;INDEX(Tab_DaBa[],MATCH(CONCATENATE(Liste!$C$3,$B$287,$B$345),Data!$BO:$BO,0)-2,15),IF(INDEX(Tab_DaBa[],MATCH(CONCATENATE(Liste!$C$3,$B$287,$B$345),Data!$BO:$BO,0)-2,23)&lt;&gt;"","Performance Level: "&amp;INDEX(Tab_DaBa[],MATCH(CONCATENATE(Liste!$C$3,$B$287,$B$345),Data!$BO:$BO,0)-2,30),"")),"")</f>
        <v>Performance Level: PL_Lo02_3</v>
      </c>
      <c r="I350" s="38"/>
    </row>
    <row r="351" spans="2:9" s="16" customFormat="1" ht="15.75">
      <c r="B351" s="53" t="str">
        <f ca="1">IFERROR("PFH [1/h] = "&amp;10^9*INDEX(Tab_DaBa[],MATCH(CONCATENATE(Liste!$C$3,$B$287,$B$345),Data!$BO:$BO,0)-2,11)&amp;"E-9","")</f>
        <v>PFH [1/h] = 42,9E-9</v>
      </c>
      <c r="C351" s="54"/>
      <c r="D351" s="35" t="str">
        <f ca="1">IFERROR(IF(INDEX(Tab_DaBa[],MATCH(CONCATENATE(Liste!$C$3,$B$287,$B$345),Data!$BO:$BO,0)-2,18)="","PFH [1/h] = "&amp;10^9*INDEX(Tab_DaBa[],MATCH(CONCATENATE(Liste!$C$3,$B$287,$B$345),Data!$BO:$BO,0)-2,16)&amp;"E-9","PFH [1/h] = "&amp;10^9*INDEX(Tab_DaBa[],MATCH(CONCATENATE(Liste!$C$3,$B$287,$B$345),Data!$BO:$BO,0)-2,21)&amp;"E-9"),"")</f>
        <v>PFH [1/h] = 4,19E-9</v>
      </c>
      <c r="E351" s="36"/>
      <c r="F351" s="35" t="str">
        <f ca="1">IFERROR(IF(AND(INDEX(Tab_DaBa[],MATCH(CONCATENATE(Liste!$C$3,$B$287,$B$345),Data!$BO:$BO,0)-2,18)&lt;&gt;"",INDEX(Tab_DaBa[],MATCH(CONCATENATE(Liste!$C$3,$B$287,$B$345),Data!$BO:$BO,0)-2,23)=""),"PFH [1/h] = "&amp;10^9*INDEX(Tab_DaBa[],MATCH(CONCATENATE(Liste!$C$3,$B$287,$B$345),Data!$BO:$BO,0)-2,16)&amp;"E-9",IF(INDEX(Tab_DaBa[],MATCH(CONCATENATE(Liste!$C$3,$B$287,$B$345),Data!$BO:$BO,0)-2,23)&lt;&gt;"","PFH [1/h] = "&amp;10^9*INDEX(Tab_DaBa[],MATCH(CONCATENATE(Liste!$C$3,$B$287,$B$345),Data!$BO:$BO,0)-2,26)&amp;"E-9","")),"")</f>
        <v>PFH [1/h] = 4,19E-9</v>
      </c>
      <c r="G351" s="39"/>
      <c r="H351" s="35" t="str">
        <f ca="1">IFERROR(IF(AND(INDEX(Tab_DaBa[],MATCH(CONCATENATE(Liste!$C$3,$B$287,$B$345),Data!$BO:$BO,0)-2,23)&lt;&gt;"",INDEX(Tab_DaBa[],MATCH(CONCATENATE(Liste!$C$3,$B$287,$B$345),Data!$BO:$BO,0)-2,28)=""),"PFH [1/h] = "&amp;10^9*INDEX(Tab_DaBa[],MATCH(CONCATENATE(Liste!$C$3,$B$287,$B$345),Data!$BO:$BO,0)-2,16)&amp;"E-9",IF(INDEX(Tab_DaBa[],MATCH(CONCATENATE(Liste!$C$3,$B$287,$B$345),Data!$BO:$BO,0)-2,23)&lt;&gt;"","PFH [1/h] = "&amp;10^9*INDEX(Tab_DaBa[],MATCH(CONCATENATE(Liste!$C$3,$B$287,$B$345),Data!$BO:$BO,0)-2,31)&amp;"E-9","")),"")</f>
        <v>PFH [1/h] = 4,19E-9</v>
      </c>
      <c r="I351" s="39"/>
    </row>
    <row r="352" spans="2:9" s="16" customFormat="1">
      <c r="B352" s="33"/>
      <c r="C352" s="34"/>
      <c r="D352" s="33"/>
      <c r="E352" s="33"/>
      <c r="F352" s="33"/>
      <c r="G352" s="33"/>
      <c r="H352" s="33"/>
      <c r="I352" s="33"/>
    </row>
    <row r="353" spans="2:9" s="16" customFormat="1" ht="15.75">
      <c r="B353" s="38">
        <f ca="1">IF(B355="","",6)</f>
        <v>6</v>
      </c>
      <c r="C353" s="34"/>
      <c r="D353" s="38">
        <f ca="1">IF(B355="","",3)</f>
        <v>3</v>
      </c>
      <c r="E353" s="33"/>
      <c r="F353" s="38">
        <f ca="1">IF(B355="","",3)</f>
        <v>3</v>
      </c>
      <c r="G353" s="33"/>
      <c r="H353" s="38">
        <f ca="1">IF(B355="","",3)</f>
        <v>3</v>
      </c>
      <c r="I353" s="33"/>
    </row>
    <row r="354" spans="2:9" s="16" customFormat="1" ht="15.75">
      <c r="B354" s="39"/>
      <c r="C354" s="33"/>
      <c r="D354" s="33"/>
      <c r="E354" s="33"/>
      <c r="F354" s="33"/>
      <c r="G354" s="33"/>
      <c r="H354" s="33"/>
      <c r="I354" s="33"/>
    </row>
    <row r="355" spans="2:9" s="16" customFormat="1" ht="15.75">
      <c r="B355" s="35" t="str">
        <f ca="1">IFERROR(IF(AND(INDEX(Tab_DaBa[],MATCH(CONCATENATE(Liste!$C$3,$B$287,$B$345),Data!$BO:$BO,0)-2,28)&lt;&gt;"",INDEX(Tab_DaBa[],MATCH(CONCATENATE(Liste!$C$3,$B$287,$B$345),Data!$BO:$BO,0)-2,33)=0),INDEX(Tab_DaBa[],MATCH(CONCATENATE(Liste!$C$3,$B$287,$B$345),Data!$BO:$BO,0)-2,14),IF(INDEX(Tab_DaBa[],MATCH(CONCATENATE(Liste!$C$3,$B$287,$B$345),Data!$BO:$BO,0)-2,28)&lt;&gt;"",INDEX(Tab_DaBa[],MATCH(CONCATENATE(Liste!$C$3,$B$287,$B$345),Data!$BO:$BO,0)-2,34),"")),"")</f>
        <v>Ausgang</v>
      </c>
      <c r="C355" s="39"/>
      <c r="D355" s="35" t="str">
        <f ca="1">IFERROR(IF(AND(INDEX(Tab_DaBa[],MATCH(CONCATENATE(Liste!$C$3,$B$287,$B$345),Data!$BO:$BO,0)-2,33)&lt;&gt;"",INDEX(Tab_DaBa[],MATCH(CONCATENATE(Liste!$C$3,$B$287,$B$345),Data!$BO:$BO,0)-2,38)=0),INDEX(Tab_DaBa[],MATCH(CONCATENATE(Liste!$C$3,$B$287,$B$345),Data!$BO:$BO,0)-2,14),IF(INDEX(Tab_DaBa[],MATCH(CONCATENATE(Liste!$C$3,$B$287,$B$345),Data!$BO:$BO,0)-2,33)&lt;&gt;"",INDEX(Tab_DaBa[],MATCH(CONCATENATE(Liste!$C$3,$B$287,$B$345),Data!$BO:$BO,0)-2,39),"")),"")</f>
        <v/>
      </c>
      <c r="E355" s="33"/>
      <c r="F355" s="35" t="str">
        <f ca="1">IFERROR(IF(AND(INDEX(Tab_DaBa[],MATCH(CONCATENATE(Liste!$C$3,$B$287,$B$345),Data!$BO:$BO,0)-2,38)&lt;&gt;"",INDEX(Tab_DaBa[],MATCH(CONCATENATE(Liste!$C$3,$B$287,$B$345),Data!$BO:$BO,0)-2,43)=0),INDEX(Tab_DaBa[],MATCH(CONCATENATE(Liste!$C$3,$B$287,$B$345),Data!$BO:$BO,0)-2,14),IF(INDEX(Tab_DaBa[],MATCH(CONCATENATE(Liste!$C$3,$B$287,$B$345),Data!$BO:$BO,0)-2,38)&lt;&gt;"",INDEX(Tab_DaBa[],MATCH(CONCATENATE(Liste!$C$3,$B$287,$B$345),Data!$BO:$BO,0)-2,44),"")),"")</f>
        <v/>
      </c>
      <c r="G355" s="39"/>
      <c r="H355" s="35" t="str">
        <f ca="1">IFERROR(IF(AND(INDEX(Tab_DaBa[],MATCH(CONCATENATE(Liste!$C$3,$B$287,$B$345),Data!$BO:$BO,0)-2,43)&lt;&gt;"",INDEX(Tab_DaBa[],MATCH(CONCATENATE(Liste!$C$3,$B$287,$B$345),Data!$BO:$BO,0)-2,48)=0),INDEX(Tab_DaBa[],MATCH(CONCATENATE(Liste!$C$3,$B$287,$B$345),Data!$BO:$BO,0)-2,14),IF(INDEX(Tab_DaBa[],MATCH(CONCATENATE(Liste!$C$3,$B$287,$B$345),Data!$BO:$BO,0)-2,43)&lt;&gt;"",INDEX(Tab_DaBa[],MATCH(CONCATENATE(Liste!$C$3,$B$287,$B$345),Data!$BO:$BO,0)-2,49),"")),"")</f>
        <v/>
      </c>
      <c r="I355" s="39"/>
    </row>
    <row r="356" spans="2:9" s="16" customFormat="1" ht="15.75">
      <c r="B356" s="35" t="str">
        <f ca="1">IFERROR(IF(AND(INDEX(Tab_DaBa[],MATCH(CONCATENATE(Liste!$C$3,$B$287,$B$345),Data!$BO:$BO,0)-2,28)&lt;&gt;"",INDEX(Tab_DaBa[],MATCH(CONCATENATE(Liste!$C$3,$B$287,$B$345),Data!$BO:$BO,0)-2,33)=0),INDEX(Tab_DaBa[],MATCH(CONCATENATE(Liste!$C$3,$B$287,$B$345),Data!$BO:$BO,0)-2,12),IF(INDEX(Tab_DaBa[],MATCH(CONCATENATE(Liste!$C$3,$B$287,$B$345),Data!$BO:$BO,0)-2,28)&lt;&gt;"",INDEX(Tab_DaBa[],MATCH(CONCATENATE(Liste!$C$3,$B$287,$B$345),Data!$BO:$BO,0)-2,32),"")),"")</f>
        <v>aaaa-22_3</v>
      </c>
      <c r="C356" s="39"/>
      <c r="D356" s="35" t="str">
        <f ca="1">IFERROR(IF(AND(INDEX(Tab_DaBa[],MATCH(CONCATENATE(Liste!$C$3,$B$287,$B$345),Data!$BO:$BO,0)-2,33)&lt;&gt;"",INDEX(Tab_DaBa[],MATCH(CONCATENATE(Liste!$C$3,$B$287,$B$345),Data!$BO:$BO,0)-2,38)=0),INDEX(Tab_DaBa[],MATCH(CONCATENATE(Liste!$C$3,$B$287,$B$345),Data!$BO:$BO,0)-2,12),IF(INDEX(Tab_DaBa[],MATCH(CONCATENATE(Liste!$C$3,$B$287,$B$345),Data!$BO:$BO,0)-2,33)&lt;&gt;"",INDEX(Tab_DaBa[],MATCH(CONCATENATE(Liste!$C$3,$B$287,$B$345),Data!$BO:$BO,0)-2,37),"")),"")</f>
        <v/>
      </c>
      <c r="E356" s="37"/>
      <c r="F356" s="35" t="str">
        <f ca="1">IFERROR(IF(AND(INDEX(Tab_DaBa[],MATCH(CONCATENATE(Liste!$C$3,$B$287,$B$345),Data!$BO:$BO,0)-2,38)&lt;&gt;"",INDEX(Tab_DaBa[],MATCH(CONCATENATE(Liste!$C$3,$B$287,$B$345),Data!$BO:$BO,0)-2,43)=0),INDEX(Tab_DaBa[],MATCH(CONCATENATE(Liste!$C$3,$B$287,$B$345),Data!$BO:$BO,0)-2,12),IF(INDEX(Tab_DaBa[],MATCH(CONCATENATE(Liste!$C$3,$B$287,$B$345),Data!$BO:$BO,0)-2,38)&lt;&gt;"",INDEX(Tab_DaBa[],MATCH(CONCATENATE(Liste!$C$3,$B$287,$B$345),Data!$BO:$BO,0)-2,42),"")),"")</f>
        <v/>
      </c>
      <c r="G356" s="39"/>
      <c r="H356" s="35" t="str">
        <f ca="1">IFERROR(IF(AND(INDEX(Tab_DaBa[],MATCH(CONCATENATE(Liste!$C$3,$B$287,$B$345),Data!$BO:$BO,0)-2,43)&lt;&gt;"",INDEX(Tab_DaBa[],MATCH(CONCATENATE(Liste!$C$3,$B$287,$B$345),Data!$BO:$BO,0)-2,48)=0),INDEX(Tab_DaBa[],MATCH(CONCATENATE(Liste!$C$3,$B$287,$B$345),Data!$BO:$BO,0)-2,12),IF(INDEX(Tab_DaBa[],MATCH(CONCATENATE(Liste!$C$3,$B$287,$B$345),Data!$BO:$BO,0)-2,43)&lt;&gt;"",INDEX(Tab_DaBa[],MATCH(CONCATENATE(Liste!$C$3,$B$287,$B$345),Data!$BO:$BO,0)-2,47),"")),"")</f>
        <v/>
      </c>
      <c r="I356" s="39"/>
    </row>
    <row r="357" spans="2:9" s="16" customFormat="1" ht="15.75">
      <c r="B357" s="35" t="str">
        <f ca="1">IFERROR(IF(AND(INDEX(Tab_DaBa[],MATCH(CONCATENATE(Liste!$C$3,$B$287,$B$345),Data!$BO:$BO,0)-2,28)&lt;&gt;"",INDEX(Tab_DaBa[],MATCH(CONCATENATE(Liste!$C$3,$B$287,$B$345),Data!$BO:$BO,0)-2,33)=""),INDEX(Tab_DaBa[],MATCH(CONCATENATE(Liste!$C$3,$B$287,$B$345),Data!$BO:$BO,0)-2,13),IF(INDEX(Tab_DaBa[],MATCH(CONCATENATE(Liste!$C$3,$B$287,$B$345),Data!$BO:$BO,0)-2,28)&lt;&gt;"",INDEX(Tab_DaBa[],MATCH(CONCATENATE(Liste!$C$3,$B$287,$B$345),Data!$BO:$BO,0)-2,33),"")),"")</f>
        <v>Bez_Aus2_3</v>
      </c>
      <c r="C357" s="38" t="str">
        <f ca="1">IF(D355="","",4)</f>
        <v/>
      </c>
      <c r="D357" s="35" t="str">
        <f ca="1">IFERROR(IF(AND(INDEX(Tab_DaBa[],MATCH(CONCATENATE(Liste!$C$3,$B$287,$B$345),Data!$BO:$BO,0)-2,33)&lt;&gt;"",INDEX(Tab_DaBa[],MATCH(CONCATENATE(Liste!$C$3,$B$287,$B$345),Data!$BO:$BO,0)-2,38)=""),INDEX(Tab_DaBa[],MATCH(CONCATENATE(Liste!$C$3,$B$287,$B$345),Data!$BO:$BO,0)-2,13),IF(INDEX(Tab_DaBa[],MATCH(CONCATENATE(Liste!$C$3,$B$287,$B$345),Data!$BO:$BO,0)-2,33)&lt;&gt;"",INDEX(Tab_DaBa[],MATCH(CONCATENATE(Liste!$C$3,$B$287,$B$345),Data!$BO:$BO,0)-2,38),"")),"")</f>
        <v/>
      </c>
      <c r="E357" s="38" t="str">
        <f ca="1">IF(F355="","",4)</f>
        <v/>
      </c>
      <c r="F357" s="35" t="str">
        <f ca="1">IFERROR(IF(AND(INDEX(Tab_DaBa[],MATCH(CONCATENATE(Liste!$C$3,$B$287,$B$345),Data!$BO:$BO,0)-2,38)&lt;&gt;"",INDEX(Tab_DaBa[],MATCH(CONCATENATE(Liste!$C$3,$B$287,$B$345),Data!$BO:$BO,0)-2,43)=""),INDEX(Tab_DaBa[],MATCH(CONCATENATE(Liste!$C$3,$B$287,$B$345),Data!$BO:$BO,0)-2,13),IF(INDEX(Tab_DaBa[],MATCH(CONCATENATE(Liste!$C$3,$B$287,$B$345),Data!$BO:$BO,0)-2,38)&lt;&gt;"",INDEX(Tab_DaBa[],MATCH(CONCATENATE(Liste!$C$3,$B$287,$B$345),Data!$BO:$BO,0)-2,43),"")),"")</f>
        <v/>
      </c>
      <c r="G357" s="38" t="str">
        <f ca="1">IF(H355="","",4)</f>
        <v/>
      </c>
      <c r="H357" s="35" t="str">
        <f ca="1">IFERROR(IF(AND(INDEX(Tab_DaBa[],MATCH(CONCATENATE(Liste!$C$3,$B$287,$B$345),Data!$BO:$BO,0)-2,43)&lt;&gt;"",INDEX(Tab_DaBa[],MATCH(CONCATENATE(Liste!$C$3,$B$287,$B$345),Data!$BO:$BO,0)-2,48)=""),INDEX(Tab_DaBa[],MATCH(CONCATENATE(Liste!$C$3,$B$287,$B$345),Data!$BO:$BO,0)-2,13),IF(INDEX(Tab_DaBa[],MATCH(CONCATENATE(Liste!$C$3,$B$287,$B$345),Data!$BO:$BO,0)-2,43)&lt;&gt;"",INDEX(Tab_DaBa[],MATCH(CONCATENATE(Liste!$C$3,$B$287,$B$345),Data!$BO:$BO,0)-2,48),"")),"")</f>
        <v/>
      </c>
      <c r="I357" s="38" t="str">
        <f ca="1">IF(B363="","",6)</f>
        <v/>
      </c>
    </row>
    <row r="358" spans="2:9" s="16" customFormat="1" ht="15.75">
      <c r="B358" s="35" t="str">
        <f ca="1">IFERROR(IF(AND(INDEX(Tab_DaBa[],MATCH(CONCATENATE(Liste!$C$3,$B$287,$B$345),Data!$BO:$BO,0)-2,28)&lt;&gt;"",INDEX(Tab_DaBa[],MATCH(CONCATENATE(Liste!$C$3,$B$287,$B$345),Data!$BO:$BO,0)-2,33)=""),"Performance Level: "&amp;INDEX(Tab_DaBa[],MATCH(CONCATENATE(Liste!$C$3,$B$287,$B$345),Data!$BO:$BO,0)-2,15),IF(INDEX(Tab_DaBa[],MATCH(CONCATENATE(Liste!$C$3,$B$287,$B$345),Data!$BO:$BO,0)-2,28)&lt;&gt;"","Performance Level: "&amp;INDEX(Tab_DaBa[],MATCH(CONCATENATE(Liste!$C$3,$B$287,$B$345),Data!$BO:$BO,0)-2,35),"")),"")</f>
        <v>Performance Level: PL_Aus2_3</v>
      </c>
      <c r="C358" s="39"/>
      <c r="D358" s="35" t="str">
        <f ca="1">IFERROR(IF(AND(INDEX(Tab_DaBa[],MATCH(CONCATENATE(Liste!$C$3,$B$287,$B$345),Data!$BO:$BO,0)-2,33)&lt;&gt;"",INDEX(Tab_DaBa[],MATCH(CONCATENATE(Liste!$C$3,$B$287,$B$345),Data!$BO:$BO,0)-2,38)=""),"Performance Level: "&amp;INDEX(Tab_DaBa[],MATCH(CONCATENATE(Liste!$C$3,$B$287,$B$345),Data!$BO:$BO,0)-2,15),IF(INDEX(Tab_DaBa[],MATCH(CONCATENATE(Liste!$C$3,$B$287,$B$345),Data!$BO:$BO,0)-2,33)&lt;&gt;"","Performance Level: "&amp;INDEX(Tab_DaBa[],MATCH(CONCATENATE(Liste!$C$3,$B$287,$B$345),Data!$BO:$BO,0)-2,40),"")),"")</f>
        <v/>
      </c>
      <c r="E358" s="37"/>
      <c r="F358" s="35" t="str">
        <f ca="1">IFERROR(IF(AND(INDEX(Tab_DaBa[],MATCH(CONCATENATE(Liste!$C$3,$B$287,$B$345),Data!$BO:$BO,0)-2,38)&lt;&gt;"",INDEX(Tab_DaBa[],MATCH(CONCATENATE(Liste!$C$3,$B$287,$B$345),Data!$BO:$BO,0)-2,43)=""),"Performance Level: "&amp;INDEX(Tab_DaBa[],MATCH(CONCATENATE(Liste!$C$3,$B$287,$B$345),Data!$BO:$BO,0)-2,15),IF(INDEX(Tab_DaBa[],MATCH(CONCATENATE(Liste!$C$3,$B$287,$B$345),Data!$BO:$BO,0)-2,38)&lt;&gt;"","Performance Level: "&amp;INDEX(Tab_DaBa[],MATCH(CONCATENATE(Liste!$C$3,$B$287,$B$345),Data!$BO:$BO,0)-2,45),"")),"")</f>
        <v/>
      </c>
      <c r="G358" s="39"/>
      <c r="H358" s="35" t="str">
        <f ca="1">IFERROR(IF(AND(INDEX(Tab_DaBa[],MATCH(CONCATENATE(Liste!$C$3,$B$287,$B$345),Data!$BO:$BO,0)-2,43)&lt;&gt;"",INDEX(Tab_DaBa[],MATCH(CONCATENATE(Liste!$C$3,$B$287,$B$345),Data!$BO:$BO,0)-2,48)=""),"Performance Level: "&amp;INDEX(Tab_DaBa[],MATCH(CONCATENATE(Liste!$C$3,$B$287,$B$345),Data!$BO:$BO,0)-2,15),IF(INDEX(Tab_DaBa[],MATCH(CONCATENATE(Liste!$C$3,$B$287,$B$345),Data!$BO:$BO,0)-2,43)&lt;&gt;"","Performance Level: "&amp;INDEX(Tab_DaBa[],MATCH(CONCATENATE(Liste!$C$3,$B$287,$B$345),Data!$BO:$BO,0)-2,50),"")),"")</f>
        <v/>
      </c>
      <c r="I358" s="39"/>
    </row>
    <row r="359" spans="2:9" s="16" customFormat="1" ht="15.75">
      <c r="B359" s="35" t="str">
        <f ca="1">IFERROR(IF(AND(INDEX(Tab_DaBa[],MATCH(CONCATENATE(Liste!$C$3,$B$287,$B$345),Data!$BO:$BO,0)-2,28)&lt;&gt;"",INDEX(Tab_DaBa[],MATCH(CONCATENATE(Liste!$C$3,$B$287,$B$345),Data!$BO:$BO,0)-2,33)=""),"PFH [1/h] = "&amp;10^9*INDEX(Tab_DaBa[],MATCH(CONCATENATE(Liste!$C$3,$B$287,$B$345),Data!$BO:$BO,0)-2,16)&amp;"E-9",IF(INDEX(Tab_DaBa[],MATCH(CONCATENATE(Liste!$C$3,$B$287,$B$345),Data!$BO:$BO,0)-2,28)&lt;&gt;"","PFH [1/h] = "&amp;10^9*INDEX(Tab_DaBa[],MATCH(CONCATENATE(Liste!$C$3,$B$287,$B$345),Data!$BO:$BO,0)-2,36)&amp;"E-9","")),"")</f>
        <v>PFH [1/h] = 24,7E-9</v>
      </c>
      <c r="C359" s="39"/>
      <c r="D359" s="35" t="str">
        <f ca="1">IFERROR(IF(AND(INDEX(Tab_DaBa[],MATCH(CONCATENATE(Liste!$C$3,$B$287,$B$345),Data!$BO:$BO,0)-2,33)&lt;&gt;"",INDEX(Tab_DaBa[],MATCH(CONCATENATE(Liste!$C$3,$B$287,$B$345),Data!$BO:$BO,0)-2,38)=""),"PFH [1/h] = "&amp;10^9*INDEX(Tab_DaBa[],MATCH(CONCATENATE(Liste!$C$3,$B$287,$B$345),Data!$BO:$BO,0)-2,16)&amp;"E-9",IF(INDEX(Tab_DaBa[],MATCH(CONCATENATE(Liste!$C$3,$B$287,$B$345),Data!$BO:$BO,0)-2,33)&lt;&gt;"","PFH [1/h] = "&amp;10^9*INDEX(Tab_DaBa[],MATCH(CONCATENATE(Liste!$C$3,$B$287,$B$345),Data!$BO:$BO,0)-2,41)&amp;"E-9","")),"")</f>
        <v/>
      </c>
      <c r="E359" s="37"/>
      <c r="F359" s="35" t="str">
        <f ca="1">IFERROR(IF(AND(INDEX(Tab_DaBa[],MATCH(CONCATENATE(Liste!$C$3,$B$287,$B$345),Data!$BO:$BO,0)-2,38)&lt;&gt;"",INDEX(Tab_DaBa[],MATCH(CONCATENATE(Liste!$C$3,$B$287,$B$345),Data!$BO:$BO,0)-2,43)=""),"PFH [1/h] = "&amp;10^9*INDEX(Tab_DaBa[],MATCH(CONCATENATE(Liste!$C$3,$B$287,$B$345),Data!$BO:$BO,0)-2,16)&amp;"E-9",IF(INDEX(Tab_DaBa[],MATCH(CONCATENATE(Liste!$C$3,$B$287,$B$345),Data!$BO:$BO,0)-2,38)&lt;&gt;"","PFH [1/h] = "&amp;10^9*INDEX(Tab_DaBa[],MATCH(CONCATENATE(Liste!$C$3,$B$287,$B$345),Data!$BO:$BO,0)-2,46)&amp;"E-9","")),"")</f>
        <v/>
      </c>
      <c r="G359" s="39"/>
      <c r="H359" s="35" t="str">
        <f ca="1">IFERROR(IF(AND(INDEX(Tab_DaBa[],MATCH(CONCATENATE(Liste!$C$3,$B$287,$B$345),Data!$BO:$BO,0)-2,43)&lt;&gt;"",INDEX(Tab_DaBa[],MATCH(CONCATENATE(Liste!$C$3,$B$287,$B$345),Data!$BO:$BO,0)-2,48)=""),"PFH [1/h] = "&amp;10^9*INDEX(Tab_DaBa[],MATCH(CONCATENATE(Liste!$C$3,$B$287,$B$345),Data!$BO:$BO,0)-2,16)&amp;"E-9",IF(INDEX(Tab_DaBa[],MATCH(CONCATENATE(Liste!$C$3,$B$287,$B$345),Data!$BO:$BO,0)-2,43)&lt;&gt;"","PFH [1/h] = "&amp;10^9*INDEX(Tab_DaBa[],MATCH(CONCATENATE(Liste!$C$3,$B$287,$B$345),Data!$BO:$BO,0)-2,51)&amp;"E-9","")),"")</f>
        <v/>
      </c>
      <c r="I359" s="39"/>
    </row>
    <row r="360" spans="2:9" s="16" customFormat="1">
      <c r="B360" s="33"/>
      <c r="C360" s="33"/>
      <c r="D360" s="33"/>
      <c r="E360" s="33"/>
      <c r="F360" s="33"/>
      <c r="G360" s="33"/>
      <c r="H360" s="33"/>
      <c r="I360" s="33"/>
    </row>
    <row r="361" spans="2:9" s="16" customFormat="1" ht="15.75">
      <c r="B361" s="38" t="str">
        <f ca="1">IF(B363="","",6)</f>
        <v/>
      </c>
      <c r="C361" s="33"/>
      <c r="D361" s="38" t="str">
        <f ca="1">IF(B363="","",3)</f>
        <v/>
      </c>
      <c r="E361" s="33"/>
      <c r="F361" s="38" t="str">
        <f ca="1">IF(B363="","",3)</f>
        <v/>
      </c>
      <c r="G361" s="33"/>
      <c r="H361" s="38" t="str">
        <f ca="1">IF(B363="","",3)</f>
        <v/>
      </c>
      <c r="I361" s="33"/>
    </row>
    <row r="362" spans="2:9" s="16" customFormat="1" ht="15.75">
      <c r="B362" s="39"/>
      <c r="C362" s="33"/>
      <c r="D362" s="33"/>
      <c r="E362" s="33"/>
      <c r="F362" s="33"/>
      <c r="G362" s="33"/>
      <c r="H362" s="33"/>
      <c r="I362" s="33"/>
    </row>
    <row r="363" spans="2:9" s="16" customFormat="1" ht="15.75">
      <c r="B363" s="35" t="str">
        <f ca="1">IFERROR(IF(AND(INDEX(Tab_DaBa[],MATCH(CONCATENATE(Liste!$C$3,$B$287,$B$345),Data!$BO:$BO,0)-2,48)&lt;&gt;"",INDEX(Tab_DaBa[],MATCH(CONCATENATE(Liste!$C$3,$B$287,$B$345),Data!$BO:$BO,0)-2,53)=0),INDEX(Tab_DaBa[],MATCH(CONCATENATE(Liste!$C$3,$B$287,$B$345),Data!$BO:$BO,0)-2,14),IF(INDEX(Tab_DaBa[],MATCH(CONCATENATE(Liste!$C$3,$B$287,$B$345),Data!$BO:$BO,0)-2,48)&lt;&gt;"",INDEX(Tab_DaBa[],MATCH(CONCATENATE(Liste!$C$3,$B$287,$B$345),Data!$BO:$BO,0)-2,54),"")),"")</f>
        <v/>
      </c>
      <c r="C363" s="39"/>
      <c r="D363" s="35" t="str">
        <f ca="1">IFERROR(IF(AND(INDEX(Tab_DaBa[],MATCH(CONCATENATE(Liste!$C$3,$B$287,$B$345),Data!$BO:$BO,0)-2,53)&lt;&gt;"",INDEX(Tab_DaBa[],MATCH(CONCATENATE(Liste!$C$3,$B$287,$B$345),Data!$BO:$BO,0)-2,58)=0),INDEX(Tab_DaBa[],MATCH(CONCATENATE(Liste!$C$3,$B$287,$B$345),Data!$BO:$BO,0)-2,14),IF(INDEX(Tab_DaBa[],MATCH(CONCATENATE(Liste!$C$3,$B$287,$B$345),Data!$BO:$BO,0)-2,53)&lt;&gt;"",INDEX(Tab_DaBa[],MATCH(CONCATENATE(Liste!$C$3,$B$287,$B$345),Data!$BO:$BO,0)-2,59),"")),"")</f>
        <v/>
      </c>
      <c r="E363" s="33"/>
      <c r="F363" s="35" t="str">
        <f ca="1">IFERROR(IF(AND(INDEX(Tab_DaBa[],MATCH(CONCATENATE(Liste!$C$3,$B$287,$B$345),Data!$BO:$BO,0)-2,58)&lt;&gt;"",INDEX(Tab_DaBa[],MATCH(CONCATENATE(Liste!$C$3,$B$287,$B$345),Data!$BO:$BO,0)-2,63)=0),INDEX(Tab_DaBa[],MATCH(CONCATENATE(Liste!$C$3,$B$287,$B$345),Data!$BO:$BO,0)-2,14),IF(INDEX(Tab_DaBa[],MATCH(CONCATENATE(Liste!$C$3,$B$287,$B$345),Data!$BO:$BO,0)-2,58)&lt;&gt;"",INDEX(Tab_DaBa[],MATCH(CONCATENATE(Liste!$C$3,$B$287,$B$345),Data!$BO:$BO,0)-2,64),"")),"")</f>
        <v/>
      </c>
      <c r="G363" s="39"/>
      <c r="H363" s="35" t="str">
        <f ca="1">IFERROR(IF(INDEX(Tab_DaBa[],MATCH(CONCATENATE(Liste!$C$3,$B$287,$B$345),Data!$BO:$BO,0)-2,63)&lt;&gt;"",INDEX(Tab_DaBa[],MATCH(CONCATENATE(Liste!$C$3,$B$287,$B$345),Data!$BO:$BO,0)-2,14),""),"")</f>
        <v/>
      </c>
    </row>
    <row r="364" spans="2:9" s="16" customFormat="1" ht="15.75">
      <c r="B364" s="35" t="str">
        <f ca="1">IFERROR(IF(AND(INDEX(Tab_DaBa[],MATCH(CONCATENATE(Liste!$C$3,$B$287,$B$345),Data!$BO:$BO,0)-2,48)&lt;&gt;"",INDEX(Tab_DaBa[],MATCH(CONCATENATE(Liste!$C$3,$B$287,$B$345),Data!$BO:$BO,0)-2,53)=0),INDEX(Tab_DaBa[],MATCH(CONCATENATE(Liste!$C$3,$B$287,$B$345),Data!$BO:$BO,0)-2,12),IF(INDEX(Tab_DaBa[],MATCH(CONCATENATE(Liste!$C$3,$B$287,$B$345),Data!$BO:$BO,0)-2,48)&lt;&gt;"",INDEX(Tab_DaBa[],MATCH(CONCATENATE(Liste!$C$3,$B$287,$B$345),Data!$BO:$BO,0)-2,52),"")),"")</f>
        <v/>
      </c>
      <c r="C364" s="39"/>
      <c r="D364" s="35" t="str">
        <f ca="1">IFERROR(IF(AND(INDEX(Tab_DaBa[],MATCH(CONCATENATE(Liste!$C$3,$B$287,$B$345),Data!$BO:$BO,0)-2,53)&lt;&gt;"",INDEX(Tab_DaBa[],MATCH(CONCATENATE(Liste!$C$3,$B$287,$B$345),Data!$BO:$BO,0)-2,58)=0),INDEX(Tab_DaBa[],MATCH(CONCATENATE(Liste!$C$3,$B$287,$B$345),Data!$BO:$BO,0)-2,12),IF(INDEX(Tab_DaBa[],MATCH(CONCATENATE(Liste!$C$3,$B$287,$B$345),Data!$BO:$BO,0)-2,53)&lt;&gt;"",INDEX(Tab_DaBa[],MATCH(CONCATENATE(Liste!$C$3,$B$287,$B$345),Data!$BO:$BO,0)-2,57),"")),"")</f>
        <v/>
      </c>
      <c r="E364" s="37"/>
      <c r="F364" s="35" t="str">
        <f ca="1">IFERROR(IF(AND(INDEX(Tab_DaBa[],MATCH(CONCATENATE(Liste!$C$3,$B$287,$B$345),Data!$BO:$BO,0)-2,58)&lt;&gt;"",INDEX(Tab_DaBa[],MATCH(CONCATENATE(Liste!$C$3,$B$287,$B$345),Data!$BO:$BO,0)-2,63)=0),INDEX(Tab_DaBa[],MATCH(CONCATENATE(Liste!$C$3,$B$287,$B$345),Data!$BO:$BO,0)-2,12),IF(INDEX(Tab_DaBa[],MATCH(CONCATENATE(Liste!$C$3,$B$287,$B$345),Data!$BO:$BO,0)-2,58)&lt;&gt;"",INDEX(Tab_DaBa[],MATCH(CONCATENATE(Liste!$C$3,$B$287,$B$345),Data!$BO:$BO,0)-2,62),"")),"")</f>
        <v/>
      </c>
      <c r="G364" s="39"/>
      <c r="H364" s="35" t="str">
        <f ca="1">IFERROR(IF(INDEX(Tab_DaBa[],MATCH(CONCATENATE(Liste!$C$3,$B$287,$B$345),Data!$BO:$BO,0)-2,63)&lt;&gt;"",INDEX(Tab_DaBa[],MATCH(CONCATENATE(Liste!$C$3,$B$287,$B$345),Data!$BO:$BO,0)-2,12),""),"")</f>
        <v/>
      </c>
    </row>
    <row r="365" spans="2:9" s="16" customFormat="1" ht="15.75">
      <c r="B365" s="35" t="str">
        <f ca="1">IFERROR(IF(AND(INDEX(Tab_DaBa[],MATCH(CONCATENATE(Liste!$C$3,$B$287,$B$345),Data!$BO:$BO,0)-2,48)&lt;&gt;"",INDEX(Tab_DaBa[],MATCH(CONCATENATE(Liste!$C$3,$B$287,$B$345),Data!$BO:$BO,0)-2,53)=""),INDEX(Tab_DaBa[],MATCH(CONCATENATE(Liste!$C$3,$B$287,$B$345),Data!$BO:$BO,0)-2,13),IF(INDEX(Tab_DaBa[],MATCH(CONCATENATE(Liste!$C$3,$B$287,$B$345),Data!$BO:$BO,0)-2,48)&lt;&gt;"",INDEX(Tab_DaBa[],MATCH(CONCATENATE(Liste!$C$3,$B$287,$B$345),Data!$BO:$BO,0)-2,53),"")),"")</f>
        <v/>
      </c>
      <c r="C365" s="38" t="str">
        <f ca="1">IF(D363="","",4)</f>
        <v/>
      </c>
      <c r="D365" s="35" t="str">
        <f ca="1">IFERROR(IF(AND(INDEX(Tab_DaBa[],MATCH(CONCATENATE(Liste!$C$3,$B$287,$B$345),Data!$BO:$BO,0)-2,53)&lt;&gt;"",INDEX(Tab_DaBa[],MATCH(CONCATENATE(Liste!$C$3,$B$287,$B$345),Data!$BO:$BO,0)-2,58)=""),INDEX(Tab_DaBa[],MATCH(CONCATENATE(Liste!$C$3,$B$287,$B$345),Data!$BO:$BO,0)-2,13),IF(INDEX(Tab_DaBa[],MATCH(CONCATENATE(Liste!$C$3,$B$287,$B$345),Data!$BO:$BO,0)-2,53)&lt;&gt;"",INDEX(Tab_DaBa[],MATCH(CONCATENATE(Liste!$C$3,$B$287,$B$345),Data!$BO:$BO,0)-2,58),"")),"")</f>
        <v/>
      </c>
      <c r="E365" s="38" t="str">
        <f ca="1">IF(F363="","",4)</f>
        <v/>
      </c>
      <c r="F365" s="35" t="str">
        <f ca="1">IFERROR(IF(AND(INDEX(Tab_DaBa[],MATCH(CONCATENATE(Liste!$C$3,$B$287,$B$345),Data!$BO:$BO,0)-2,58)&lt;&gt;"",INDEX(Tab_DaBa[],MATCH(CONCATENATE(Liste!$C$3,$B$287,$B$345),Data!$BO:$BO,0)-2,63)=""),INDEX(Tab_DaBa[],MATCH(CONCATENATE(Liste!$C$3,$B$287,$B$345),Data!$BO:$BO,0)-2,13),IF(INDEX(Tab_DaBa[],MATCH(CONCATENATE(Liste!$C$3,$B$287,$B$345),Data!$BO:$BO,0)-2,58)&lt;&gt;"",INDEX(Tab_DaBa[],MATCH(CONCATENATE(Liste!$C$3,$B$287,$B$345),Data!$BO:$BO,0)-2,63),"")),"")</f>
        <v/>
      </c>
      <c r="G365" s="38" t="str">
        <f ca="1">IF(H363="","",4)</f>
        <v/>
      </c>
      <c r="H365" s="35" t="str">
        <f ca="1">IFERROR(IF(INDEX(Tab_DaBa[],MATCH(CONCATENATE(Liste!$C$3,$B$287,$B$345),Data!$BO:$BO,0)-2,63)&lt;&gt;"",INDEX(Tab_DaBa[],MATCH(CONCATENATE(Liste!$C$3,$B$287,$B$345),Data!$BO:$BO,0)-2,13),""),"")</f>
        <v/>
      </c>
    </row>
    <row r="366" spans="2:9" s="16" customFormat="1" ht="15.75">
      <c r="B366" s="35" t="str">
        <f ca="1">IFERROR(IF(AND(INDEX(Tab_DaBa[],MATCH(CONCATENATE(Liste!$C$3,$B$287,$B$345),Data!$BO:$BO,0)-2,48)&lt;&gt;"",INDEX(Tab_DaBa[],MATCH(CONCATENATE(Liste!$C$3,$B$287,$B$345),Data!$BO:$BO,0)-2,53)=""),"Performance Level: "&amp;INDEX(Tab_DaBa[],MATCH(CONCATENATE(Liste!$C$3,$B$287,$B$345),Data!$BO:$BO,0)-2,15),IF(INDEX(Tab_DaBa[],MATCH(CONCATENATE(Liste!$C$3,$B$287,$B$345),Data!$BO:$BO,0)-2,48)&lt;&gt;"","Performance Level: "&amp;INDEX(Tab_DaBa[],MATCH(CONCATENATE(Liste!$C$3,$B$287,$B$345),Data!$BO:$BO,0)-2,55),"")),"")</f>
        <v/>
      </c>
      <c r="C366" s="39"/>
      <c r="D366" s="35" t="str">
        <f ca="1">IFERROR(IF(AND(INDEX(Tab_DaBa[],MATCH(CONCATENATE(Liste!$C$3,$B$287,$B$345),Data!$BO:$BO,0)-2,53)&lt;&gt;"",INDEX(Tab_DaBa[],MATCH(CONCATENATE(Liste!$C$3,$B$287,$B$345),Data!$BO:$BO,0)-2,58)=""),"Performance Level: "&amp;INDEX(Tab_DaBa[],MATCH(CONCATENATE(Liste!$C$3,$B$287,$B$345),Data!$BO:$BO,0)-2,15),IF(INDEX(Tab_DaBa[],MATCH(CONCATENATE(Liste!$C$3,$B$287,$B$345),Data!$BO:$BO,0)-2,53)&lt;&gt;"","Performance Level: "&amp;INDEX(Tab_DaBa[],MATCH(CONCATENATE(Liste!$C$3,$B$287,$B$345),Data!$BO:$BO,0)-2,60),"")),"")</f>
        <v/>
      </c>
      <c r="E366" s="37"/>
      <c r="F366" s="35" t="str">
        <f ca="1">IFERROR(IF(AND(INDEX(Tab_DaBa[],MATCH(CONCATENATE(Liste!$C$3,$B$287,$B$345),Data!$BO:$BO,0)-2,58)&lt;&gt;"",INDEX(Tab_DaBa[],MATCH(CONCATENATE(Liste!$C$3,$B$287,$B$345),Data!$BO:$BO,0)-2,63)=""),"Performance Level: "&amp;INDEX(Tab_DaBa[],MATCH(CONCATENATE(Liste!$C$3,$B$287,$B$345),Data!$BO:$BO,0)-2,15),IF(INDEX(Tab_DaBa[],MATCH(CONCATENATE(Liste!$C$3,$B$287,$B$345),Data!$BO:$BO,0)-2,58)&lt;&gt;"","Performance Level: "&amp;INDEX(Tab_DaBa[],MATCH(CONCATENATE(Liste!$C$3,$B$287,$B$345),Data!$BO:$BO,0)-2,65),"")),"")</f>
        <v/>
      </c>
      <c r="G366" s="39"/>
      <c r="H366" s="35" t="str">
        <f ca="1">IFERROR(IF(INDEX(Tab_DaBa[],MATCH(CONCATENATE(Liste!$C$3,$B$287,$B$345),Data!$BO:$BO,0)-2,63)&lt;&gt;"","Performance Level: "&amp;INDEX(Tab_DaBa[],MATCH(CONCATENATE(Liste!$C$3,$B$287,$B$345),Data!$BO:$BO,0)-2,15),""),"")</f>
        <v/>
      </c>
    </row>
    <row r="367" spans="2:9" s="16" customFormat="1" ht="15.75">
      <c r="B367" s="35" t="str">
        <f ca="1">IFERROR(IF(AND(INDEX(Tab_DaBa[],MATCH(CONCATENATE(Liste!$C$3,$B$287,$B$345),Data!$BO:$BO,0)-2,48)&lt;&gt;"",INDEX(Tab_DaBa[],MATCH(CONCATENATE(Liste!$C$3,$B$287,$B$345),Data!$BO:$BO,0)-2,53)=""),"PFH [1/h] = "&amp;10^9*INDEX(Tab_DaBa[],MATCH(CONCATENATE(Liste!$C$3,$B$287,$B$345),Data!$BO:$BO,0)-2,16)&amp;"E-9",IF(INDEX(Tab_DaBa[],MATCH(CONCATENATE(Liste!$C$3,$B$287,$B$345),Data!$BO:$BO,0)-2,48)&lt;&gt;"","PFH [1/h] = "&amp;10^9*INDEX(Tab_DaBa[],MATCH(CONCATENATE(Liste!$C$3,$B$287,$B$345),Data!$BO:$BO,0)-2,56)&amp;"E-9","")),"")</f>
        <v/>
      </c>
      <c r="C367" s="39"/>
      <c r="D367" s="35" t="str">
        <f ca="1">IFERROR(IF(AND(INDEX(Tab_DaBa[],MATCH(CONCATENATE(Liste!$C$3,$B$287,$B$345),Data!$BO:$BO,0)-2,53)&lt;&gt;"",INDEX(Tab_DaBa[],MATCH(CONCATENATE(Liste!$C$3,$B$287,$B$345),Data!$BO:$BO,0)-2,58)=""),"PFH [1/h] = "&amp;10^9*INDEX(Tab_DaBa[],MATCH(CONCATENATE(Liste!$C$3,$B$287,$B$345),Data!$BO:$BO,0)-2,16)&amp;"E-9",IF(INDEX(Tab_DaBa[],MATCH(CONCATENATE(Liste!$C$3,$B$287,$B$345),Data!$BO:$BO,0)-2,53)&lt;&gt;"","PFH [1/h] = "&amp;10^9*INDEX(Tab_DaBa[],MATCH(CONCATENATE(Liste!$C$3,$B$287,$B$345),Data!$BO:$BO,0)-2,61)&amp;"E-9","")),"")</f>
        <v/>
      </c>
      <c r="E367" s="37"/>
      <c r="F367" s="35" t="str">
        <f ca="1">IFERROR(IF(AND(INDEX(Tab_DaBa[],MATCH(CONCATENATE(Liste!$C$3,$B$287,$B$345),Data!$BO:$BO,0)-2,58)&lt;&gt;"",INDEX(Tab_DaBa[],MATCH(CONCATENATE(Liste!$C$3,$B$287,$B$345),Data!$BO:$BO,0)-2,63)=""),"PFH [1/h] = "&amp;10^9*INDEX(Tab_DaBa[],MATCH(CONCATENATE(Liste!$C$3,$B$287,$B$345),Data!$BO:$BO,0)-2,16)&amp;"E-9",IF(INDEX(Tab_DaBa[],MATCH(CONCATENATE(Liste!$C$3,$B$287,$B$345),Data!$BO:$BO,0)-2,58)&lt;&gt;"","PFH [1/h] = "&amp;10^9*INDEX(Tab_DaBa[],MATCH(CONCATENATE(Liste!$C$3,$B$287,$B$345),Data!$BO:$BO,0)-2,66)&amp;"E-9","")),"")</f>
        <v/>
      </c>
      <c r="G367" s="39"/>
      <c r="H367" s="35" t="str">
        <f ca="1">IFERROR(IF(INDEX(Tab_DaBa[],MATCH(CONCATENATE(Liste!$C$3,$B$287,$B$345),Data!$BO:$BO,0)-2,63)&lt;&gt;"","PFH [1/h] = "&amp;10^9*INDEX(Tab_DaBa[],MATCH(CONCATENATE(Liste!$C$3,$B$287,$B$345),Data!$BO:$BO,0)-2,16)&amp;"E-9",""),"")</f>
        <v/>
      </c>
    </row>
    <row r="368" spans="2:9" s="16" customFormat="1"/>
    <row r="369" spans="2:9" s="16" customFormat="1">
      <c r="B369" s="43" t="str">
        <f ca="1">IF(D369="","","Erforderlich")</f>
        <v>Erforderlich</v>
      </c>
      <c r="D369" s="44" t="str">
        <f ca="1">IFERROR("Performance Level: "&amp;INDEX(Tab_DaBa[],MATCH(CONCATENATE(Liste!$C$3,$B$287,$B$345),Data!$BO:$BO,0)-2,4),"")</f>
        <v>Performance Level: PLr_ges2_3</v>
      </c>
    </row>
    <row r="370" spans="2:9" s="16" customFormat="1">
      <c r="B370" s="45"/>
    </row>
    <row r="371" spans="2:9" s="16" customFormat="1">
      <c r="B371" s="46" t="str">
        <f ca="1">IF(D371="","","Erreicht")</f>
        <v>Erreicht</v>
      </c>
      <c r="D371" s="47" t="str">
        <f ca="1">IFERROR("Performance Level: "&amp;INDEX(Tab_DaBa[],MATCH(CONCATENATE(Liste!$C$3,$B$287,$B$345),Data!$BO:$BO,0)-2,5)&amp;"          PFH [1/h] = "&amp;10^9*INDEX(Tab_DaBa[],MATCH(CONCATENATE(Liste!$C$3,$B$287,$B$345),Data!$BO:$BO,0)-2,6)&amp;"E-9","")</f>
        <v>Performance Level: Pl_ges2_3          PFH [1/h] = 71,7E-9</v>
      </c>
    </row>
    <row r="372" spans="2:9" s="16" customFormat="1"/>
    <row r="373" spans="2:9" s="16" customFormat="1">
      <c r="B373" s="42" t="str">
        <f ca="1">IFERROR(IF(4&gt;COUNTIF(Data!$BP:$BP,CONCATENATE(Liste!$C$3,$B$287)),"",INDEX(Tab_DaBa[],MATCH(CONCATENATE(Liste!$C$3,$B$287),Data!$BP:$BP,0)+1,3)),"")</f>
        <v>2.4 test2 (E+4L+A)</v>
      </c>
    </row>
    <row r="374" spans="2:9" s="16" customFormat="1"/>
    <row r="375" spans="2:9" s="16" customFormat="1" ht="15.75">
      <c r="B375" s="35" t="str">
        <f ca="1">IFERROR(INDEX(Tab_DaBa[],MATCH(CONCATENATE(Liste!$C$3,$B$287,$B$373),Data!$BO:$BO,0)-2,9),"")</f>
        <v>Eingang</v>
      </c>
      <c r="C375" s="54"/>
      <c r="D375" s="35" t="str">
        <f ca="1">IFERROR(IF(INDEX(Tab_DaBa[],MATCH(CONCATENATE(Liste!$C$3,$B$287,$B$373),Data!$BO:$BO,0)-2,18)=0,INDEX(Tab_DaBa[],MATCH(CONCATENATE(Liste!$C$3,$B$287,$B$373),Data!$BO:$BO,0)-2,14),INDEX(Tab_DaBa[],MATCH(CONCATENATE(Liste!$C$3,$B$287,$B$373),Data!$BO:$BO,0)-2,19)),"")</f>
        <v>Logik 01</v>
      </c>
      <c r="E375" s="33"/>
      <c r="F375" s="35" t="str">
        <f ca="1">IFERROR(IF(AND(INDEX(Tab_DaBa[],MATCH(CONCATENATE(Liste!$C$3,$B$287,$B$373),Data!$BO:$BO,0)-2,18)&lt;&gt;"",INDEX(Tab_DaBa[],MATCH(CONCATENATE(Liste!$C$3,$B$287,$B$373),Data!$BO:$BO,0)-2,23)=0),INDEX(Tab_DaBa[],MATCH(CONCATENATE(Liste!$C$3,$B$287,$B$373),Data!$BO:$BO,0)-2,14),IF(INDEX(Tab_DaBa[],MATCH(CONCATENATE(Liste!$C$3,$B$287,$B$373),Data!$BO:$BO,0)-2,23)&lt;&gt;"",INDEX(Tab_DaBa[],MATCH(CONCATENATE(Liste!$C$3,$B$287,$B$373),Data!$BO:$BO,0)-2,24),"")),"")</f>
        <v>Logik 02</v>
      </c>
      <c r="G375" s="39"/>
      <c r="H375" s="35" t="str">
        <f ca="1">IFERROR(IF(AND(INDEX(Tab_DaBa[],MATCH(CONCATENATE(Liste!$C$3,$B$287,$B$373),Data!$BO:$BO,0)-2,23)&lt;&gt;"",INDEX(Tab_DaBa[],MATCH(CONCATENATE(Liste!$C$3,$B$287,$B$373),Data!$BO:$BO,0)-2,28)=0),INDEX(Tab_DaBa[],MATCH(CONCATENATE(Liste!$C$3,$B$287,$B$373),Data!$BO:$BO,0)-2,14),IF(INDEX(Tab_DaBa[],MATCH(CONCATENATE(Liste!$C$3,$B$287,$B$373),Data!$BO:$BO,0)-2,23)&lt;&gt;"",INDEX(Tab_DaBa[],MATCH(CONCATENATE(Liste!$C$3,$B$287,$B$373),Data!$BO:$BO,0)-2,29),"")),"")</f>
        <v>Logik 03</v>
      </c>
      <c r="I375" s="39"/>
    </row>
    <row r="376" spans="2:9" s="16" customFormat="1" ht="15.75">
      <c r="B376" s="35" t="str">
        <f ca="1">IFERROR(INDEX(Tab_DaBa[],MATCH(CONCATENATE(Liste!$C$3,$B$287,$B$373),Data!$BO:$BO,0)-2,7),"")</f>
        <v>eeee-22_4</v>
      </c>
      <c r="C376" s="54"/>
      <c r="D376" s="35" t="str">
        <f ca="1">IFERROR(IF(INDEX(Tab_DaBa[],MATCH(CONCATENATE(Liste!$C$3,$B$287,$B$373),Data!$BO:$BO,0)-2,18)="",INDEX(Tab_DaBa[],MATCH(CONCATENATE(Liste!$C$3,$B$287,$B$373),Data!$BO:$BO,0)-2,12),INDEX(Tab_DaBa[],MATCH(CONCATENATE(Liste!$C$3,$B$287,$B$373),Data!$BO:$BO,0)-2,17)),"")</f>
        <v>Log02-02_04</v>
      </c>
      <c r="E376" s="36"/>
      <c r="F376" s="35" t="str">
        <f ca="1">IFERROR(IF(AND(INDEX(Tab_DaBa[],MATCH(CONCATENATE(Liste!$C$3,$B$287,$B$373),Data!$BO:$BO,0)-2,18)&lt;&gt;"",INDEX(Tab_DaBa[],MATCH(CONCATENATE(Liste!$C$3,$B$287,$B$373),Data!$BO:$BO,0)-2,23)=0),INDEX(Tab_DaBa[],MATCH(CONCATENATE(Liste!$C$3,$B$287,$B$373),Data!$BO:$BO,0)-2,12),IF(INDEX(Tab_DaBa[],MATCH(CONCATENATE(Liste!$C$3,$B$287,$B$373),Data!$BO:$BO,0)-2,23)&lt;&gt;"",INDEX(Tab_DaBa[],MATCH(CONCATENATE(Liste!$C$3,$B$287,$B$373),Data!$BO:$BO,0)-2,22),"")),"")</f>
        <v>Lo02-22_4</v>
      </c>
      <c r="G376" s="39"/>
      <c r="H376" s="35" t="str">
        <f ca="1">IFERROR(IF(AND(INDEX(Tab_DaBa[],MATCH(CONCATENATE(Liste!$C$3,$B$287,$B$373),Data!$BO:$BO,0)-2,23)&lt;&gt;"",INDEX(Tab_DaBa[],MATCH(CONCATENATE(Liste!$C$3,$B$287,$B$373),Data!$BO:$BO,0)-2,28)=0),INDEX(Tab_DaBa[],MATCH(CONCATENATE(Liste!$C$3,$B$287,$B$373),Data!$BO:$BO,0)-2,12),IF(INDEX(Tab_DaBa[],MATCH(CONCATENATE(Liste!$C$3,$B$287,$B$373),Data!$BO:$BO,0)-2,23)&lt;&gt;"",INDEX(Tab_DaBa[],MATCH(CONCATENATE(Liste!$C$3,$B$287,$B$373),Data!$BO:$BO,0)-2,27),"")),"")</f>
        <v>Lo02-22_4</v>
      </c>
      <c r="I376" s="39"/>
    </row>
    <row r="377" spans="2:9" s="16" customFormat="1" ht="15.75">
      <c r="B377" s="35" t="str">
        <f ca="1">IFERROR(INDEX(Tab_DaBa[],MATCH(CONCATENATE(Liste!$C$3,$B$287,$B$373),Data!$BO:$BO,0)-2,8),"")</f>
        <v>Bez_Ein2_4</v>
      </c>
      <c r="C377" s="40">
        <f ca="1">IF(D375="","",4)</f>
        <v>4</v>
      </c>
      <c r="D377" s="35" t="str">
        <f ca="1">IFERROR(IF(INDEX(Tab_DaBa[],MATCH(CONCATENATE(Liste!$C$3,$B$287,$B$373),Data!$BO:$BO,0)-2,18)="",INDEX(Tab_DaBa[],MATCH(CONCATENATE(Liste!$C$3,$B$287,$B$373),Data!$BO:$BO,0)-2,13),INDEX(Tab_DaBa[],MATCH(CONCATENATE(Liste!$C$3,$B$287,$B$373),Data!$BO:$BO,0)-2,18)),"")</f>
        <v>Bez_Log01_02_04</v>
      </c>
      <c r="E377" s="40">
        <f ca="1">IF(F375="","",4)</f>
        <v>4</v>
      </c>
      <c r="F377" s="35" t="str">
        <f ca="1">IFERROR(IF(AND(INDEX(Tab_DaBa[],MATCH(CONCATENATE(Liste!$C$3,$B$287,$B$373),Data!$BO:$BO,0)-2,18)&lt;&gt;"",INDEX(Tab_DaBa[],MATCH(CONCATENATE(Liste!$C$3,$B$287,$B$373),Data!$BO:$BO,0)-2,23)=""),INDEX(Tab_DaBa[],MATCH(CONCATENATE(Liste!$C$3,$B$287,$B$373),Data!$BO:$BO,0)-2,13),IF(INDEX(Tab_DaBa[],MATCH(CONCATENATE(Liste!$C$3,$B$287,$B$373),Data!$BO:$BO,0)-2,23)&lt;&gt;"",INDEX(Tab_DaBa[],MATCH(CONCATENATE(Liste!$C$3,$B$287,$B$373),Data!$BO:$BO,0)-2,23),"")),"")</f>
        <v>Bez_Lo02_4</v>
      </c>
      <c r="G377" s="38">
        <f ca="1">IF(H375="","",4)</f>
        <v>4</v>
      </c>
      <c r="H377" s="35" t="str">
        <f ca="1">IFERROR(IF(AND(INDEX(Tab_DaBa[],MATCH(CONCATENATE(Liste!$C$3,$B$287,$B$373),Data!$BO:$BO,0)-2,23)&lt;&gt;"",INDEX(Tab_DaBa[],MATCH(CONCATENATE(Liste!$C$3,$B$287,$B$373),Data!$BO:$BO,0)-2,28)=""),INDEX(Tab_DaBa[],MATCH(CONCATENATE(Liste!$C$3,$B$287,$B$373),Data!$BO:$BO,0)-2,13),IF(INDEX(Tab_DaBa[],MATCH(CONCATENATE(Liste!$C$3,$B$287,$B$373),Data!$BO:$BO,0)-2,23)&lt;&gt;"",INDEX(Tab_DaBa[],MATCH(CONCATENATE(Liste!$C$3,$B$287,$B$373),Data!$BO:$BO,0)-2,28),"")),"")</f>
        <v>Bez_Lo02_4</v>
      </c>
      <c r="I377" s="38">
        <f ca="1">IF(B383="","",6)</f>
        <v>6</v>
      </c>
    </row>
    <row r="378" spans="2:9" s="16" customFormat="1" ht="15.75">
      <c r="B378" s="35" t="str">
        <f ca="1">IFERROR("Performance Level: "&amp;INDEX(Tab_DaBa[],MATCH(CONCATENATE(Liste!$C$3,$B$287,$B$373),Data!$BO:$BO,0)-2,10),"")</f>
        <v>Performance Level: PL_Ein2_4</v>
      </c>
      <c r="C378" s="54"/>
      <c r="D378" s="35" t="str">
        <f ca="1">IFERROR(IF(INDEX(Tab_DaBa[],MATCH(CONCATENATE(Liste!$C$3,$B$287,$B$373),Data!$BO:$BO,0)-2,18)="","Performance Level: "&amp;INDEX(Tab_DaBa[],MATCH(CONCATENATE(Liste!$C$3,$B$287,$B$373),Data!$BO:$BO,0)-2,15),"Performance Level: "&amp;INDEX(Tab_DaBa[],MATCH(CONCATENATE(Liste!$C$3,$B$287,$B$373),Data!$BO:$BO,0)-2,20)),"")</f>
        <v>Performance Level: PL_Lo02_4</v>
      </c>
      <c r="E378" s="36"/>
      <c r="F378" s="35" t="str">
        <f ca="1">IFERROR(IF(AND(INDEX(Tab_DaBa[],MATCH(CONCATENATE(Liste!$C$3,$B$287,$B$373),Data!$BO:$BO,0)-2,18)&lt;&gt;"",INDEX(Tab_DaBa[],MATCH(CONCATENATE(Liste!$C$3,$B$287,$B$373),Data!$BO:$BO,0)-2,23)=""),"Performance Level: "&amp;INDEX(Tab_DaBa[],MATCH(CONCATENATE(Liste!$C$3,$B$287,$B$373),Data!$BO:$BO,0)-2,15),IF(INDEX(Tab_DaBa[],MATCH(CONCATENATE(Liste!$C$3,$B$287,$B$373),Data!$BO:$BO,0)-2,23)&lt;&gt;"","Performance Level: "&amp;INDEX(Tab_DaBa[],MATCH(CONCATENATE(Liste!$C$3,$B$287,$B$373),Data!$BO:$BO,0)-2,25),"")),"")</f>
        <v>Performance Level: PL_Lo02_4</v>
      </c>
      <c r="G378" s="39"/>
      <c r="H378" s="35" t="str">
        <f ca="1">IFERROR(IF(AND(INDEX(Tab_DaBa[],MATCH(CONCATENATE(Liste!$C$3,$B$287,$B$373),Data!$BO:$BO,0)-2,23)&lt;&gt;"",INDEX(Tab_DaBa[],MATCH(CONCATENATE(Liste!$C$3,$B$287,$B$373),Data!$BO:$BO,0)-2,28)=""),"Performance Level: "&amp;INDEX(Tab_DaBa[],MATCH(CONCATENATE(Liste!$C$3,$B$287,$B$373),Data!$BO:$BO,0)-2,15),IF(INDEX(Tab_DaBa[],MATCH(CONCATENATE(Liste!$C$3,$B$287,$B$373),Data!$BO:$BO,0)-2,23)&lt;&gt;"","Performance Level: "&amp;INDEX(Tab_DaBa[],MATCH(CONCATENATE(Liste!$C$3,$B$287,$B$373),Data!$BO:$BO,0)-2,30),"")),"")</f>
        <v>Performance Level: PL_Lo02_4</v>
      </c>
      <c r="I378" s="38"/>
    </row>
    <row r="379" spans="2:9" s="16" customFormat="1" ht="15.75">
      <c r="B379" s="53" t="str">
        <f ca="1">IFERROR("PFH [1/h] = "&amp;10^9*INDEX(Tab_DaBa[],MATCH(CONCATENATE(Liste!$C$3,$B$287,$B$373),Data!$BO:$BO,0)-2,11)&amp;"E-9","")</f>
        <v>PFH [1/h] = 42,9E-9</v>
      </c>
      <c r="C379" s="54"/>
      <c r="D379" s="35" t="str">
        <f ca="1">IFERROR(IF(INDEX(Tab_DaBa[],MATCH(CONCATENATE(Liste!$C$3,$B$287,$B$373),Data!$BO:$BO,0)-2,18)="","PFH [1/h] = "&amp;10^9*INDEX(Tab_DaBa[],MATCH(CONCATENATE(Liste!$C$3,$B$287,$B$373),Data!$BO:$BO,0)-2,16)&amp;"E-9","PFH [1/h] = "&amp;10^9*INDEX(Tab_DaBa[],MATCH(CONCATENATE(Liste!$C$3,$B$287,$B$373),Data!$BO:$BO,0)-2,21)&amp;"E-9"),"")</f>
        <v>PFH [1/h] = 4,19E-9</v>
      </c>
      <c r="E379" s="36"/>
      <c r="F379" s="35" t="str">
        <f ca="1">IFERROR(IF(AND(INDEX(Tab_DaBa[],MATCH(CONCATENATE(Liste!$C$3,$B$287,$B$373),Data!$BO:$BO,0)-2,18)&lt;&gt;"",INDEX(Tab_DaBa[],MATCH(CONCATENATE(Liste!$C$3,$B$287,$B$373),Data!$BO:$BO,0)-2,23)=""),"PFH [1/h] = "&amp;10^9*INDEX(Tab_DaBa[],MATCH(CONCATENATE(Liste!$C$3,$B$287,$B$373),Data!$BO:$BO,0)-2,16)&amp;"E-9",IF(INDEX(Tab_DaBa[],MATCH(CONCATENATE(Liste!$C$3,$B$287,$B$373),Data!$BO:$BO,0)-2,23)&lt;&gt;"","PFH [1/h] = "&amp;10^9*INDEX(Tab_DaBa[],MATCH(CONCATENATE(Liste!$C$3,$B$287,$B$373),Data!$BO:$BO,0)-2,26)&amp;"E-9","")),"")</f>
        <v>PFH [1/h] = 4,19E-9</v>
      </c>
      <c r="G379" s="39"/>
      <c r="H379" s="35" t="str">
        <f ca="1">IFERROR(IF(AND(INDEX(Tab_DaBa[],MATCH(CONCATENATE(Liste!$C$3,$B$287,$B$373),Data!$BO:$BO,0)-2,23)&lt;&gt;"",INDEX(Tab_DaBa[],MATCH(CONCATENATE(Liste!$C$3,$B$287,$B$373),Data!$BO:$BO,0)-2,28)=""),"PFH [1/h] = "&amp;10^9*INDEX(Tab_DaBa[],MATCH(CONCATENATE(Liste!$C$3,$B$287,$B$373),Data!$BO:$BO,0)-2,16)&amp;"E-9",IF(INDEX(Tab_DaBa[],MATCH(CONCATENATE(Liste!$C$3,$B$287,$B$373),Data!$BO:$BO,0)-2,23)&lt;&gt;"","PFH [1/h] = "&amp;10^9*INDEX(Tab_DaBa[],MATCH(CONCATENATE(Liste!$C$3,$B$287,$B$373),Data!$BO:$BO,0)-2,31)&amp;"E-9","")),"")</f>
        <v>PFH [1/h] = 4,19E-9</v>
      </c>
      <c r="I379" s="39"/>
    </row>
    <row r="380" spans="2:9" s="16" customFormat="1">
      <c r="B380" s="33"/>
      <c r="C380" s="34"/>
      <c r="D380" s="33"/>
      <c r="E380" s="33"/>
      <c r="F380" s="33"/>
      <c r="G380" s="33"/>
      <c r="H380" s="33"/>
      <c r="I380" s="33"/>
    </row>
    <row r="381" spans="2:9" s="16" customFormat="1" ht="15.75">
      <c r="B381" s="38">
        <f ca="1">IF(B383="","",6)</f>
        <v>6</v>
      </c>
      <c r="C381" s="34"/>
      <c r="D381" s="38">
        <f ca="1">IF(B383="","",3)</f>
        <v>3</v>
      </c>
      <c r="E381" s="33"/>
      <c r="F381" s="38">
        <f ca="1">IF(B383="","",3)</f>
        <v>3</v>
      </c>
      <c r="G381" s="33"/>
      <c r="H381" s="38">
        <f ca="1">IF(B383="","",3)</f>
        <v>3</v>
      </c>
      <c r="I381" s="33"/>
    </row>
    <row r="382" spans="2:9" s="16" customFormat="1" ht="15.75">
      <c r="B382" s="39"/>
      <c r="C382" s="33"/>
      <c r="D382" s="33"/>
      <c r="E382" s="33"/>
      <c r="F382" s="33"/>
      <c r="G382" s="33"/>
      <c r="H382" s="33"/>
      <c r="I382" s="33"/>
    </row>
    <row r="383" spans="2:9" s="16" customFormat="1" ht="15.75">
      <c r="B383" s="35" t="str">
        <f ca="1">IFERROR(IF(AND(INDEX(Tab_DaBa[],MATCH(CONCATENATE(Liste!$C$3,$B$287,$B$373),Data!$BO:$BO,0)-2,28)&lt;&gt;"",INDEX(Tab_DaBa[],MATCH(CONCATENATE(Liste!$C$3,$B$287,$B$373),Data!$BO:$BO,0)-2,33)=0),INDEX(Tab_DaBa[],MATCH(CONCATENATE(Liste!$C$3,$B$287,$B$373),Data!$BO:$BO,0)-2,14),IF(INDEX(Tab_DaBa[],MATCH(CONCATENATE(Liste!$C$3,$B$287,$B$373),Data!$BO:$BO,0)-2,28)&lt;&gt;"",INDEX(Tab_DaBa[],MATCH(CONCATENATE(Liste!$C$3,$B$287,$B$373),Data!$BO:$BO,0)-2,34),"")),"")</f>
        <v>Logik 04</v>
      </c>
      <c r="C383" s="39"/>
      <c r="D383" s="35" t="str">
        <f ca="1">IFERROR(IF(AND(INDEX(Tab_DaBa[],MATCH(CONCATENATE(Liste!$C$3,$B$287,$B$373),Data!$BO:$BO,0)-2,33)&lt;&gt;"",INDEX(Tab_DaBa[],MATCH(CONCATENATE(Liste!$C$3,$B$287,$B$373),Data!$BO:$BO,0)-2,38)=0),INDEX(Tab_DaBa[],MATCH(CONCATENATE(Liste!$C$3,$B$287,$B$373),Data!$BO:$BO,0)-2,14),IF(INDEX(Tab_DaBa[],MATCH(CONCATENATE(Liste!$C$3,$B$287,$B$373),Data!$BO:$BO,0)-2,33)&lt;&gt;"",INDEX(Tab_DaBa[],MATCH(CONCATENATE(Liste!$C$3,$B$287,$B$373),Data!$BO:$BO,0)-2,39),"")),"")</f>
        <v>Ausgang</v>
      </c>
      <c r="E383" s="33"/>
      <c r="F383" s="35" t="str">
        <f ca="1">IFERROR(IF(AND(INDEX(Tab_DaBa[],MATCH(CONCATENATE(Liste!$C$3,$B$287,$B$373),Data!$BO:$BO,0)-2,38)&lt;&gt;"",INDEX(Tab_DaBa[],MATCH(CONCATENATE(Liste!$C$3,$B$287,$B$373),Data!$BO:$BO,0)-2,43)=0),INDEX(Tab_DaBa[],MATCH(CONCATENATE(Liste!$C$3,$B$287,$B$373),Data!$BO:$BO,0)-2,14),IF(INDEX(Tab_DaBa[],MATCH(CONCATENATE(Liste!$C$3,$B$287,$B$373),Data!$BO:$BO,0)-2,38)&lt;&gt;"",INDEX(Tab_DaBa[],MATCH(CONCATENATE(Liste!$C$3,$B$287,$B$373),Data!$BO:$BO,0)-2,44),"")),"")</f>
        <v/>
      </c>
      <c r="G383" s="39"/>
      <c r="H383" s="35" t="str">
        <f ca="1">IFERROR(IF(AND(INDEX(Tab_DaBa[],MATCH(CONCATENATE(Liste!$C$3,$B$287,$B$373),Data!$BO:$BO,0)-2,43)&lt;&gt;"",INDEX(Tab_DaBa[],MATCH(CONCATENATE(Liste!$C$3,$B$287,$B$373),Data!$BO:$BO,0)-2,48)=0),INDEX(Tab_DaBa[],MATCH(CONCATENATE(Liste!$C$3,$B$287,$B$373),Data!$BO:$BO,0)-2,14),IF(INDEX(Tab_DaBa[],MATCH(CONCATENATE(Liste!$C$3,$B$287,$B$373),Data!$BO:$BO,0)-2,43)&lt;&gt;"",INDEX(Tab_DaBa[],MATCH(CONCATENATE(Liste!$C$3,$B$287,$B$373),Data!$BO:$BO,0)-2,49),"")),"")</f>
        <v/>
      </c>
      <c r="I383" s="39"/>
    </row>
    <row r="384" spans="2:9" s="16" customFormat="1" ht="15.75">
      <c r="B384" s="35" t="str">
        <f ca="1">IFERROR(IF(AND(INDEX(Tab_DaBa[],MATCH(CONCATENATE(Liste!$C$3,$B$287,$B$373),Data!$BO:$BO,0)-2,28)&lt;&gt;"",INDEX(Tab_DaBa[],MATCH(CONCATENATE(Liste!$C$3,$B$287,$B$373),Data!$BO:$BO,0)-2,33)=0),INDEX(Tab_DaBa[],MATCH(CONCATENATE(Liste!$C$3,$B$287,$B$373),Data!$BO:$BO,0)-2,12),IF(INDEX(Tab_DaBa[],MATCH(CONCATENATE(Liste!$C$3,$B$287,$B$373),Data!$BO:$BO,0)-2,28)&lt;&gt;"",INDEX(Tab_DaBa[],MATCH(CONCATENATE(Liste!$C$3,$B$287,$B$373),Data!$BO:$BO,0)-2,32),"")),"")</f>
        <v>Lo02-22_4</v>
      </c>
      <c r="C384" s="39"/>
      <c r="D384" s="35" t="str">
        <f ca="1">IFERROR(IF(AND(INDEX(Tab_DaBa[],MATCH(CONCATENATE(Liste!$C$3,$B$287,$B$373),Data!$BO:$BO,0)-2,33)&lt;&gt;"",INDEX(Tab_DaBa[],MATCH(CONCATENATE(Liste!$C$3,$B$287,$B$373),Data!$BO:$BO,0)-2,38)=0),INDEX(Tab_DaBa[],MATCH(CONCATENATE(Liste!$C$3,$B$287,$B$373),Data!$BO:$BO,0)-2,12),IF(INDEX(Tab_DaBa[],MATCH(CONCATENATE(Liste!$C$3,$B$287,$B$373),Data!$BO:$BO,0)-2,33)&lt;&gt;"",INDEX(Tab_DaBa[],MATCH(CONCATENATE(Liste!$C$3,$B$287,$B$373),Data!$BO:$BO,0)-2,37),"")),"")</f>
        <v>aaaa-22_4</v>
      </c>
      <c r="E384" s="37"/>
      <c r="F384" s="35" t="str">
        <f ca="1">IFERROR(IF(AND(INDEX(Tab_DaBa[],MATCH(CONCATENATE(Liste!$C$3,$B$287,$B$373),Data!$BO:$BO,0)-2,38)&lt;&gt;"",INDEX(Tab_DaBa[],MATCH(CONCATENATE(Liste!$C$3,$B$287,$B$373),Data!$BO:$BO,0)-2,43)=0),INDEX(Tab_DaBa[],MATCH(CONCATENATE(Liste!$C$3,$B$287,$B$373),Data!$BO:$BO,0)-2,12),IF(INDEX(Tab_DaBa[],MATCH(CONCATENATE(Liste!$C$3,$B$287,$B$373),Data!$BO:$BO,0)-2,38)&lt;&gt;"",INDEX(Tab_DaBa[],MATCH(CONCATENATE(Liste!$C$3,$B$287,$B$373),Data!$BO:$BO,0)-2,42),"")),"")</f>
        <v/>
      </c>
      <c r="G384" s="39"/>
      <c r="H384" s="35" t="str">
        <f ca="1">IFERROR(IF(AND(INDEX(Tab_DaBa[],MATCH(CONCATENATE(Liste!$C$3,$B$287,$B$373),Data!$BO:$BO,0)-2,43)&lt;&gt;"",INDEX(Tab_DaBa[],MATCH(CONCATENATE(Liste!$C$3,$B$287,$B$373),Data!$BO:$BO,0)-2,48)=0),INDEX(Tab_DaBa[],MATCH(CONCATENATE(Liste!$C$3,$B$287,$B$373),Data!$BO:$BO,0)-2,12),IF(INDEX(Tab_DaBa[],MATCH(CONCATENATE(Liste!$C$3,$B$287,$B$373),Data!$BO:$BO,0)-2,43)&lt;&gt;"",INDEX(Tab_DaBa[],MATCH(CONCATENATE(Liste!$C$3,$B$287,$B$373),Data!$BO:$BO,0)-2,47),"")),"")</f>
        <v/>
      </c>
      <c r="I384" s="39"/>
    </row>
    <row r="385" spans="2:9" s="16" customFormat="1" ht="15.75">
      <c r="B385" s="35" t="str">
        <f ca="1">IFERROR(IF(AND(INDEX(Tab_DaBa[],MATCH(CONCATENATE(Liste!$C$3,$B$287,$B$373),Data!$BO:$BO,0)-2,28)&lt;&gt;"",INDEX(Tab_DaBa[],MATCH(CONCATENATE(Liste!$C$3,$B$287,$B$373),Data!$BO:$BO,0)-2,33)=""),INDEX(Tab_DaBa[],MATCH(CONCATENATE(Liste!$C$3,$B$287,$B$373),Data!$BO:$BO,0)-2,13),IF(INDEX(Tab_DaBa[],MATCH(CONCATENATE(Liste!$C$3,$B$287,$B$373),Data!$BO:$BO,0)-2,28)&lt;&gt;"",INDEX(Tab_DaBa[],MATCH(CONCATENATE(Liste!$C$3,$B$287,$B$373),Data!$BO:$BO,0)-2,33),"")),"")</f>
        <v>Bez_Lo02_4</v>
      </c>
      <c r="C385" s="38">
        <f ca="1">IF(D383="","",4)</f>
        <v>4</v>
      </c>
      <c r="D385" s="35" t="str">
        <f ca="1">IFERROR(IF(AND(INDEX(Tab_DaBa[],MATCH(CONCATENATE(Liste!$C$3,$B$287,$B$373),Data!$BO:$BO,0)-2,33)&lt;&gt;"",INDEX(Tab_DaBa[],MATCH(CONCATENATE(Liste!$C$3,$B$287,$B$373),Data!$BO:$BO,0)-2,38)=""),INDEX(Tab_DaBa[],MATCH(CONCATENATE(Liste!$C$3,$B$287,$B$373),Data!$BO:$BO,0)-2,13),IF(INDEX(Tab_DaBa[],MATCH(CONCATENATE(Liste!$C$3,$B$287,$B$373),Data!$BO:$BO,0)-2,33)&lt;&gt;"",INDEX(Tab_DaBa[],MATCH(CONCATENATE(Liste!$C$3,$B$287,$B$373),Data!$BO:$BO,0)-2,38),"")),"")</f>
        <v>Bez_Aus2_4</v>
      </c>
      <c r="E385" s="38" t="str">
        <f ca="1">IF(F383="","",4)</f>
        <v/>
      </c>
      <c r="F385" s="35" t="str">
        <f ca="1">IFERROR(IF(AND(INDEX(Tab_DaBa[],MATCH(CONCATENATE(Liste!$C$3,$B$287,$B$373),Data!$BO:$BO,0)-2,38)&lt;&gt;"",INDEX(Tab_DaBa[],MATCH(CONCATENATE(Liste!$C$3,$B$287,$B$373),Data!$BO:$BO,0)-2,43)=""),INDEX(Tab_DaBa[],MATCH(CONCATENATE(Liste!$C$3,$B$287,$B$373),Data!$BO:$BO,0)-2,13),IF(INDEX(Tab_DaBa[],MATCH(CONCATENATE(Liste!$C$3,$B$287,$B$373),Data!$BO:$BO,0)-2,38)&lt;&gt;"",INDEX(Tab_DaBa[],MATCH(CONCATENATE(Liste!$C$3,$B$287,$B$373),Data!$BO:$BO,0)-2,43),"")),"")</f>
        <v/>
      </c>
      <c r="G385" s="38" t="str">
        <f ca="1">IF(H383="","",4)</f>
        <v/>
      </c>
      <c r="H385" s="35" t="str">
        <f ca="1">IFERROR(IF(AND(INDEX(Tab_DaBa[],MATCH(CONCATENATE(Liste!$C$3,$B$287,$B$373),Data!$BO:$BO,0)-2,43)&lt;&gt;"",INDEX(Tab_DaBa[],MATCH(CONCATENATE(Liste!$C$3,$B$287,$B$373),Data!$BO:$BO,0)-2,48)=""),INDEX(Tab_DaBa[],MATCH(CONCATENATE(Liste!$C$3,$B$287,$B$373),Data!$BO:$BO,0)-2,13),IF(INDEX(Tab_DaBa[],MATCH(CONCATENATE(Liste!$C$3,$B$287,$B$373),Data!$BO:$BO,0)-2,43)&lt;&gt;"",INDEX(Tab_DaBa[],MATCH(CONCATENATE(Liste!$C$3,$B$287,$B$373),Data!$BO:$BO,0)-2,48),"")),"")</f>
        <v/>
      </c>
      <c r="I385" s="38" t="str">
        <f ca="1">IF(B391="","",6)</f>
        <v/>
      </c>
    </row>
    <row r="386" spans="2:9" s="16" customFormat="1" ht="15.75">
      <c r="B386" s="35" t="str">
        <f ca="1">IFERROR(IF(AND(INDEX(Tab_DaBa[],MATCH(CONCATENATE(Liste!$C$3,$B$287,$B$373),Data!$BO:$BO,0)-2,28)&lt;&gt;"",INDEX(Tab_DaBa[],MATCH(CONCATENATE(Liste!$C$3,$B$287,$B$373),Data!$BO:$BO,0)-2,33)=""),"Performance Level: "&amp;INDEX(Tab_DaBa[],MATCH(CONCATENATE(Liste!$C$3,$B$287,$B$373),Data!$BO:$BO,0)-2,15),IF(INDEX(Tab_DaBa[],MATCH(CONCATENATE(Liste!$C$3,$B$287,$B$373),Data!$BO:$BO,0)-2,28)&lt;&gt;"","Performance Level: "&amp;INDEX(Tab_DaBa[],MATCH(CONCATENATE(Liste!$C$3,$B$287,$B$373),Data!$BO:$BO,0)-2,35),"")),"")</f>
        <v>Performance Level: PL_Lo02_4</v>
      </c>
      <c r="C386" s="39"/>
      <c r="D386" s="35" t="str">
        <f ca="1">IFERROR(IF(AND(INDEX(Tab_DaBa[],MATCH(CONCATENATE(Liste!$C$3,$B$287,$B$373),Data!$BO:$BO,0)-2,33)&lt;&gt;"",INDEX(Tab_DaBa[],MATCH(CONCATENATE(Liste!$C$3,$B$287,$B$373),Data!$BO:$BO,0)-2,38)=""),"Performance Level: "&amp;INDEX(Tab_DaBa[],MATCH(CONCATENATE(Liste!$C$3,$B$287,$B$373),Data!$BO:$BO,0)-2,15),IF(INDEX(Tab_DaBa[],MATCH(CONCATENATE(Liste!$C$3,$B$287,$B$373),Data!$BO:$BO,0)-2,33)&lt;&gt;"","Performance Level: "&amp;INDEX(Tab_DaBa[],MATCH(CONCATENATE(Liste!$C$3,$B$287,$B$373),Data!$BO:$BO,0)-2,40),"")),"")</f>
        <v>Performance Level: PL_Aus2_4</v>
      </c>
      <c r="E386" s="37"/>
      <c r="F386" s="35" t="str">
        <f ca="1">IFERROR(IF(AND(INDEX(Tab_DaBa[],MATCH(CONCATENATE(Liste!$C$3,$B$287,$B$373),Data!$BO:$BO,0)-2,38)&lt;&gt;"",INDEX(Tab_DaBa[],MATCH(CONCATENATE(Liste!$C$3,$B$287,$B$373),Data!$BO:$BO,0)-2,43)=""),"Performance Level: "&amp;INDEX(Tab_DaBa[],MATCH(CONCATENATE(Liste!$C$3,$B$287,$B$373),Data!$BO:$BO,0)-2,15),IF(INDEX(Tab_DaBa[],MATCH(CONCATENATE(Liste!$C$3,$B$287,$B$373),Data!$BO:$BO,0)-2,38)&lt;&gt;"","Performance Level: "&amp;INDEX(Tab_DaBa[],MATCH(CONCATENATE(Liste!$C$3,$B$287,$B$373),Data!$BO:$BO,0)-2,45),"")),"")</f>
        <v/>
      </c>
      <c r="G386" s="39"/>
      <c r="H386" s="35" t="str">
        <f ca="1">IFERROR(IF(AND(INDEX(Tab_DaBa[],MATCH(CONCATENATE(Liste!$C$3,$B$287,$B$373),Data!$BO:$BO,0)-2,43)&lt;&gt;"",INDEX(Tab_DaBa[],MATCH(CONCATENATE(Liste!$C$3,$B$287,$B$373),Data!$BO:$BO,0)-2,48)=""),"Performance Level: "&amp;INDEX(Tab_DaBa[],MATCH(CONCATENATE(Liste!$C$3,$B$287,$B$373),Data!$BO:$BO,0)-2,15),IF(INDEX(Tab_DaBa[],MATCH(CONCATENATE(Liste!$C$3,$B$287,$B$373),Data!$BO:$BO,0)-2,43)&lt;&gt;"","Performance Level: "&amp;INDEX(Tab_DaBa[],MATCH(CONCATENATE(Liste!$C$3,$B$287,$B$373),Data!$BO:$BO,0)-2,50),"")),"")</f>
        <v/>
      </c>
      <c r="I386" s="39"/>
    </row>
    <row r="387" spans="2:9" s="16" customFormat="1" ht="15.75">
      <c r="B387" s="35" t="str">
        <f ca="1">IFERROR(IF(AND(INDEX(Tab_DaBa[],MATCH(CONCATENATE(Liste!$C$3,$B$287,$B$373),Data!$BO:$BO,0)-2,28)&lt;&gt;"",INDEX(Tab_DaBa[],MATCH(CONCATENATE(Liste!$C$3,$B$287,$B$373),Data!$BO:$BO,0)-2,33)=""),"PFH [1/h] = "&amp;10^9*INDEX(Tab_DaBa[],MATCH(CONCATENATE(Liste!$C$3,$B$287,$B$373),Data!$BO:$BO,0)-2,16)&amp;"E-9",IF(INDEX(Tab_DaBa[],MATCH(CONCATENATE(Liste!$C$3,$B$287,$B$373),Data!$BO:$BO,0)-2,28)&lt;&gt;"","PFH [1/h] = "&amp;10^9*INDEX(Tab_DaBa[],MATCH(CONCATENATE(Liste!$C$3,$B$287,$B$373),Data!$BO:$BO,0)-2,36)&amp;"E-9","")),"")</f>
        <v>PFH [1/h] = 4,19E-9</v>
      </c>
      <c r="C387" s="39"/>
      <c r="D387" s="35" t="str">
        <f ca="1">IFERROR(IF(AND(INDEX(Tab_DaBa[],MATCH(CONCATENATE(Liste!$C$3,$B$287,$B$373),Data!$BO:$BO,0)-2,33)&lt;&gt;"",INDEX(Tab_DaBa[],MATCH(CONCATENATE(Liste!$C$3,$B$287,$B$373),Data!$BO:$BO,0)-2,38)=""),"PFH [1/h] = "&amp;10^9*INDEX(Tab_DaBa[],MATCH(CONCATENATE(Liste!$C$3,$B$287,$B$373),Data!$BO:$BO,0)-2,16)&amp;"E-9",IF(INDEX(Tab_DaBa[],MATCH(CONCATENATE(Liste!$C$3,$B$287,$B$373),Data!$BO:$BO,0)-2,33)&lt;&gt;"","PFH [1/h] = "&amp;10^9*INDEX(Tab_DaBa[],MATCH(CONCATENATE(Liste!$C$3,$B$287,$B$373),Data!$BO:$BO,0)-2,41)&amp;"E-9","")),"")</f>
        <v>PFH [1/h] = 24,7E-9</v>
      </c>
      <c r="E387" s="37"/>
      <c r="F387" s="35" t="str">
        <f ca="1">IFERROR(IF(AND(INDEX(Tab_DaBa[],MATCH(CONCATENATE(Liste!$C$3,$B$287,$B$373),Data!$BO:$BO,0)-2,38)&lt;&gt;"",INDEX(Tab_DaBa[],MATCH(CONCATENATE(Liste!$C$3,$B$287,$B$373),Data!$BO:$BO,0)-2,43)=""),"PFH [1/h] = "&amp;10^9*INDEX(Tab_DaBa[],MATCH(CONCATENATE(Liste!$C$3,$B$287,$B$373),Data!$BO:$BO,0)-2,16)&amp;"E-9",IF(INDEX(Tab_DaBa[],MATCH(CONCATENATE(Liste!$C$3,$B$287,$B$373),Data!$BO:$BO,0)-2,38)&lt;&gt;"","PFH [1/h] = "&amp;10^9*INDEX(Tab_DaBa[],MATCH(CONCATENATE(Liste!$C$3,$B$287,$B$373),Data!$BO:$BO,0)-2,46)&amp;"E-9","")),"")</f>
        <v/>
      </c>
      <c r="G387" s="39"/>
      <c r="H387" s="35" t="str">
        <f ca="1">IFERROR(IF(AND(INDEX(Tab_DaBa[],MATCH(CONCATENATE(Liste!$C$3,$B$287,$B$373),Data!$BO:$BO,0)-2,43)&lt;&gt;"",INDEX(Tab_DaBa[],MATCH(CONCATENATE(Liste!$C$3,$B$287,$B$373),Data!$BO:$BO,0)-2,48)=""),"PFH [1/h] = "&amp;10^9*INDEX(Tab_DaBa[],MATCH(CONCATENATE(Liste!$C$3,$B$287,$B$373),Data!$BO:$BO,0)-2,16)&amp;"E-9",IF(INDEX(Tab_DaBa[],MATCH(CONCATENATE(Liste!$C$3,$B$287,$B$373),Data!$BO:$BO,0)-2,43)&lt;&gt;"","PFH [1/h] = "&amp;10^9*INDEX(Tab_DaBa[],MATCH(CONCATENATE(Liste!$C$3,$B$287,$B$373),Data!$BO:$BO,0)-2,51)&amp;"E-9","")),"")</f>
        <v/>
      </c>
      <c r="I387" s="39"/>
    </row>
    <row r="388" spans="2:9" s="16" customFormat="1">
      <c r="B388" s="33"/>
      <c r="C388" s="33"/>
      <c r="D388" s="33"/>
      <c r="E388" s="33"/>
      <c r="F388" s="33"/>
      <c r="G388" s="33"/>
      <c r="H388" s="33"/>
      <c r="I388" s="33"/>
    </row>
    <row r="389" spans="2:9" s="16" customFormat="1" ht="15.75">
      <c r="B389" s="38" t="str">
        <f ca="1">IF(B391="","",6)</f>
        <v/>
      </c>
      <c r="C389" s="33"/>
      <c r="D389" s="38" t="str">
        <f ca="1">IF(B391="","",3)</f>
        <v/>
      </c>
      <c r="E389" s="33"/>
      <c r="F389" s="38" t="str">
        <f ca="1">IF(B391="","",3)</f>
        <v/>
      </c>
      <c r="G389" s="33"/>
      <c r="H389" s="38" t="str">
        <f ca="1">IF(B391="","",3)</f>
        <v/>
      </c>
      <c r="I389" s="33"/>
    </row>
    <row r="390" spans="2:9" s="16" customFormat="1" ht="15.75">
      <c r="B390" s="39"/>
      <c r="C390" s="33"/>
      <c r="D390" s="33"/>
      <c r="E390" s="33"/>
      <c r="F390" s="33"/>
      <c r="G390" s="33"/>
      <c r="H390" s="33"/>
      <c r="I390" s="33"/>
    </row>
    <row r="391" spans="2:9" s="16" customFormat="1" ht="15.75">
      <c r="B391" s="35" t="str">
        <f ca="1">IFERROR(IF(AND(INDEX(Tab_DaBa[],MATCH(CONCATENATE(Liste!$C$3,$B$287,$B$373),Data!$BO:$BO,0)-2,48)&lt;&gt;"",INDEX(Tab_DaBa[],MATCH(CONCATENATE(Liste!$C$3,$B$287,$B$373),Data!$BO:$BO,0)-2,53)=0),INDEX(Tab_DaBa[],MATCH(CONCATENATE(Liste!$C$3,$B$287,$B$373),Data!$BO:$BO,0)-2,14),IF(INDEX(Tab_DaBa[],MATCH(CONCATENATE(Liste!$C$3,$B$287,$B$373),Data!$BO:$BO,0)-2,48)&lt;&gt;"",INDEX(Tab_DaBa[],MATCH(CONCATENATE(Liste!$C$3,$B$287,$B$373),Data!$BO:$BO,0)-2,54),"")),"")</f>
        <v/>
      </c>
      <c r="C391" s="39"/>
      <c r="D391" s="35" t="str">
        <f ca="1">IFERROR(IF(AND(INDEX(Tab_DaBa[],MATCH(CONCATENATE(Liste!$C$3,$B$287,$B$373),Data!$BO:$BO,0)-2,53)&lt;&gt;"",INDEX(Tab_DaBa[],MATCH(CONCATENATE(Liste!$C$3,$B$287,$B$373),Data!$BO:$BO,0)-2,58)=0),INDEX(Tab_DaBa[],MATCH(CONCATENATE(Liste!$C$3,$B$287,$B$373),Data!$BO:$BO,0)-2,14),IF(INDEX(Tab_DaBa[],MATCH(CONCATENATE(Liste!$C$3,$B$287,$B$373),Data!$BO:$BO,0)-2,53)&lt;&gt;"",INDEX(Tab_DaBa[],MATCH(CONCATENATE(Liste!$C$3,$B$287,$B$373),Data!$BO:$BO,0)-2,59),"")),"")</f>
        <v/>
      </c>
      <c r="E391" s="33"/>
      <c r="F391" s="35" t="str">
        <f ca="1">IFERROR(IF(AND(INDEX(Tab_DaBa[],MATCH(CONCATENATE(Liste!$C$3,$B$287,$B$373),Data!$BO:$BO,0)-2,58)&lt;&gt;"",INDEX(Tab_DaBa[],MATCH(CONCATENATE(Liste!$C$3,$B$287,$B$373),Data!$BO:$BO,0)-2,63)=0),INDEX(Tab_DaBa[],MATCH(CONCATENATE(Liste!$C$3,$B$287,$B$373),Data!$BO:$BO,0)-2,14),IF(INDEX(Tab_DaBa[],MATCH(CONCATENATE(Liste!$C$3,$B$287,$B$373),Data!$BO:$BO,0)-2,58)&lt;&gt;"",INDEX(Tab_DaBa[],MATCH(CONCATENATE(Liste!$C$3,$B$287,$B$373),Data!$BO:$BO,0)-2,64),"")),"")</f>
        <v/>
      </c>
      <c r="G391" s="39"/>
      <c r="H391" s="35" t="str">
        <f ca="1">IFERROR(IF(INDEX(Tab_DaBa[],MATCH(CONCATENATE(Liste!$C$3,$B$287,$B$373),Data!$BO:$BO,0)-2,63)&lt;&gt;"",INDEX(Tab_DaBa[],MATCH(CONCATENATE(Liste!$C$3,$B$287,$B$373),Data!$BO:$BO,0)-2,14),""),"")</f>
        <v/>
      </c>
    </row>
    <row r="392" spans="2:9" s="16" customFormat="1" ht="15.75">
      <c r="B392" s="35" t="str">
        <f ca="1">IFERROR(IF(AND(INDEX(Tab_DaBa[],MATCH(CONCATENATE(Liste!$C$3,$B$287,$B$373),Data!$BO:$BO,0)-2,48)&lt;&gt;"",INDEX(Tab_DaBa[],MATCH(CONCATENATE(Liste!$C$3,$B$287,$B$373),Data!$BO:$BO,0)-2,53)=0),INDEX(Tab_DaBa[],MATCH(CONCATENATE(Liste!$C$3,$B$287,$B$373),Data!$BO:$BO,0)-2,12),IF(INDEX(Tab_DaBa[],MATCH(CONCATENATE(Liste!$C$3,$B$287,$B$373),Data!$BO:$BO,0)-2,48)&lt;&gt;"",INDEX(Tab_DaBa[],MATCH(CONCATENATE(Liste!$C$3,$B$287,$B$373),Data!$BO:$BO,0)-2,52),"")),"")</f>
        <v/>
      </c>
      <c r="C392" s="39"/>
      <c r="D392" s="35" t="str">
        <f ca="1">IFERROR(IF(AND(INDEX(Tab_DaBa[],MATCH(CONCATENATE(Liste!$C$3,$B$287,$B$373),Data!$BO:$BO,0)-2,53)&lt;&gt;"",INDEX(Tab_DaBa[],MATCH(CONCATENATE(Liste!$C$3,$B$287,$B$373),Data!$BO:$BO,0)-2,58)=0),INDEX(Tab_DaBa[],MATCH(CONCATENATE(Liste!$C$3,$B$287,$B$373),Data!$BO:$BO,0)-2,12),IF(INDEX(Tab_DaBa[],MATCH(CONCATENATE(Liste!$C$3,$B$287,$B$373),Data!$BO:$BO,0)-2,53)&lt;&gt;"",INDEX(Tab_DaBa[],MATCH(CONCATENATE(Liste!$C$3,$B$287,$B$373),Data!$BO:$BO,0)-2,57),"")),"")</f>
        <v/>
      </c>
      <c r="E392" s="37"/>
      <c r="F392" s="35" t="str">
        <f ca="1">IFERROR(IF(AND(INDEX(Tab_DaBa[],MATCH(CONCATENATE(Liste!$C$3,$B$287,$B$373),Data!$BO:$BO,0)-2,58)&lt;&gt;"",INDEX(Tab_DaBa[],MATCH(CONCATENATE(Liste!$C$3,$B$287,$B$373),Data!$BO:$BO,0)-2,63)=0),INDEX(Tab_DaBa[],MATCH(CONCATENATE(Liste!$C$3,$B$287,$B$373),Data!$BO:$BO,0)-2,12),IF(INDEX(Tab_DaBa[],MATCH(CONCATENATE(Liste!$C$3,$B$287,$B$373),Data!$BO:$BO,0)-2,58)&lt;&gt;"",INDEX(Tab_DaBa[],MATCH(CONCATENATE(Liste!$C$3,$B$287,$B$373),Data!$BO:$BO,0)-2,62),"")),"")</f>
        <v/>
      </c>
      <c r="G392" s="39"/>
      <c r="H392" s="35" t="str">
        <f ca="1">IFERROR(IF(INDEX(Tab_DaBa[],MATCH(CONCATENATE(Liste!$C$3,$B$287,$B$373),Data!$BO:$BO,0)-2,63)&lt;&gt;"",INDEX(Tab_DaBa[],MATCH(CONCATENATE(Liste!$C$3,$B$287,$B$373),Data!$BO:$BO,0)-2,12),""),"")</f>
        <v/>
      </c>
    </row>
    <row r="393" spans="2:9" s="16" customFormat="1" ht="15.75">
      <c r="B393" s="35" t="str">
        <f ca="1">IFERROR(IF(AND(INDEX(Tab_DaBa[],MATCH(CONCATENATE(Liste!$C$3,$B$287,$B$373),Data!$BO:$BO,0)-2,48)&lt;&gt;"",INDEX(Tab_DaBa[],MATCH(CONCATENATE(Liste!$C$3,$B$287,$B$373),Data!$BO:$BO,0)-2,53)=""),INDEX(Tab_DaBa[],MATCH(CONCATENATE(Liste!$C$3,$B$287,$B$373),Data!$BO:$BO,0)-2,13),IF(INDEX(Tab_DaBa[],MATCH(CONCATENATE(Liste!$C$3,$B$287,$B$373),Data!$BO:$BO,0)-2,48)&lt;&gt;"",INDEX(Tab_DaBa[],MATCH(CONCATENATE(Liste!$C$3,$B$287,$B$373),Data!$BO:$BO,0)-2,53),"")),"")</f>
        <v/>
      </c>
      <c r="C393" s="38" t="str">
        <f ca="1">IF(D391="","",4)</f>
        <v/>
      </c>
      <c r="D393" s="35" t="str">
        <f ca="1">IFERROR(IF(AND(INDEX(Tab_DaBa[],MATCH(CONCATENATE(Liste!$C$3,$B$287,$B$373),Data!$BO:$BO,0)-2,53)&lt;&gt;"",INDEX(Tab_DaBa[],MATCH(CONCATENATE(Liste!$C$3,$B$287,$B$373),Data!$BO:$BO,0)-2,58)=""),INDEX(Tab_DaBa[],MATCH(CONCATENATE(Liste!$C$3,$B$287,$B$373),Data!$BO:$BO,0)-2,13),IF(INDEX(Tab_DaBa[],MATCH(CONCATENATE(Liste!$C$3,$B$287,$B$373),Data!$BO:$BO,0)-2,53)&lt;&gt;"",INDEX(Tab_DaBa[],MATCH(CONCATENATE(Liste!$C$3,$B$287,$B$373),Data!$BO:$BO,0)-2,58),"")),"")</f>
        <v/>
      </c>
      <c r="E393" s="38" t="str">
        <f ca="1">IF(F391="","",4)</f>
        <v/>
      </c>
      <c r="F393" s="35" t="str">
        <f ca="1">IFERROR(IF(AND(INDEX(Tab_DaBa[],MATCH(CONCATENATE(Liste!$C$3,$B$287,$B$373),Data!$BO:$BO,0)-2,58)&lt;&gt;"",INDEX(Tab_DaBa[],MATCH(CONCATENATE(Liste!$C$3,$B$287,$B$373),Data!$BO:$BO,0)-2,63)=""),INDEX(Tab_DaBa[],MATCH(CONCATENATE(Liste!$C$3,$B$287,$B$373),Data!$BO:$BO,0)-2,13),IF(INDEX(Tab_DaBa[],MATCH(CONCATENATE(Liste!$C$3,$B$287,$B$373),Data!$BO:$BO,0)-2,58)&lt;&gt;"",INDEX(Tab_DaBa[],MATCH(CONCATENATE(Liste!$C$3,$B$287,$B$373),Data!$BO:$BO,0)-2,63),"")),"")</f>
        <v/>
      </c>
      <c r="G393" s="38" t="str">
        <f ca="1">IF(H391="","",4)</f>
        <v/>
      </c>
      <c r="H393" s="35" t="str">
        <f ca="1">IFERROR(IF(INDEX(Tab_DaBa[],MATCH(CONCATENATE(Liste!$C$3,$B$287,$B$373),Data!$BO:$BO,0)-2,63)&lt;&gt;"",INDEX(Tab_DaBa[],MATCH(CONCATENATE(Liste!$C$3,$B$287,$B$373),Data!$BO:$BO,0)-2,13),""),"")</f>
        <v/>
      </c>
    </row>
    <row r="394" spans="2:9" s="16" customFormat="1" ht="15.75">
      <c r="B394" s="35" t="str">
        <f ca="1">IFERROR(IF(AND(INDEX(Tab_DaBa[],MATCH(CONCATENATE(Liste!$C$3,$B$287,$B$373),Data!$BO:$BO,0)-2,48)&lt;&gt;"",INDEX(Tab_DaBa[],MATCH(CONCATENATE(Liste!$C$3,$B$287,$B$373),Data!$BO:$BO,0)-2,53)=""),"Performance Level: "&amp;INDEX(Tab_DaBa[],MATCH(CONCATENATE(Liste!$C$3,$B$287,$B$373),Data!$BO:$BO,0)-2,15),IF(INDEX(Tab_DaBa[],MATCH(CONCATENATE(Liste!$C$3,$B$287,$B$373),Data!$BO:$BO,0)-2,48)&lt;&gt;"","Performance Level: "&amp;INDEX(Tab_DaBa[],MATCH(CONCATENATE(Liste!$C$3,$B$287,$B$373),Data!$BO:$BO,0)-2,55),"")),"")</f>
        <v/>
      </c>
      <c r="C394" s="39"/>
      <c r="D394" s="35" t="str">
        <f ca="1">IFERROR(IF(AND(INDEX(Tab_DaBa[],MATCH(CONCATENATE(Liste!$C$3,$B$287,$B$373),Data!$BO:$BO,0)-2,53)&lt;&gt;"",INDEX(Tab_DaBa[],MATCH(CONCATENATE(Liste!$C$3,$B$287,$B$373),Data!$BO:$BO,0)-2,58)=""),"Performance Level: "&amp;INDEX(Tab_DaBa[],MATCH(CONCATENATE(Liste!$C$3,$B$287,$B$373),Data!$BO:$BO,0)-2,15),IF(INDEX(Tab_DaBa[],MATCH(CONCATENATE(Liste!$C$3,$B$287,$B$373),Data!$BO:$BO,0)-2,53)&lt;&gt;"","Performance Level: "&amp;INDEX(Tab_DaBa[],MATCH(CONCATENATE(Liste!$C$3,$B$287,$B$373),Data!$BO:$BO,0)-2,60),"")),"")</f>
        <v/>
      </c>
      <c r="E394" s="37"/>
      <c r="F394" s="35" t="str">
        <f ca="1">IFERROR(IF(AND(INDEX(Tab_DaBa[],MATCH(CONCATENATE(Liste!$C$3,$B$287,$B$373),Data!$BO:$BO,0)-2,58)&lt;&gt;"",INDEX(Tab_DaBa[],MATCH(CONCATENATE(Liste!$C$3,$B$287,$B$373),Data!$BO:$BO,0)-2,63)=""),"Performance Level: "&amp;INDEX(Tab_DaBa[],MATCH(CONCATENATE(Liste!$C$3,$B$287,$B$373),Data!$BO:$BO,0)-2,15),IF(INDEX(Tab_DaBa[],MATCH(CONCATENATE(Liste!$C$3,$B$287,$B$373),Data!$BO:$BO,0)-2,58)&lt;&gt;"","Performance Level: "&amp;INDEX(Tab_DaBa[],MATCH(CONCATENATE(Liste!$C$3,$B$287,$B$373),Data!$BO:$BO,0)-2,65),"")),"")</f>
        <v/>
      </c>
      <c r="G394" s="39"/>
      <c r="H394" s="35" t="str">
        <f ca="1">IFERROR(IF(INDEX(Tab_DaBa[],MATCH(CONCATENATE(Liste!$C$3,$B$287,$B$373),Data!$BO:$BO,0)-2,63)&lt;&gt;"","Performance Level: "&amp;INDEX(Tab_DaBa[],MATCH(CONCATENATE(Liste!$C$3,$B$287,$B$373),Data!$BO:$BO,0)-2,15),""),"")</f>
        <v/>
      </c>
    </row>
    <row r="395" spans="2:9" s="16" customFormat="1" ht="15.75">
      <c r="B395" s="35" t="str">
        <f ca="1">IFERROR(IF(AND(INDEX(Tab_DaBa[],MATCH(CONCATENATE(Liste!$C$3,$B$287,$B$373),Data!$BO:$BO,0)-2,48)&lt;&gt;"",INDEX(Tab_DaBa[],MATCH(CONCATENATE(Liste!$C$3,$B$287,$B$373),Data!$BO:$BO,0)-2,53)=""),"PFH [1/h] = "&amp;10^9*INDEX(Tab_DaBa[],MATCH(CONCATENATE(Liste!$C$3,$B$287,$B$373),Data!$BO:$BO,0)-2,16)&amp;"E-9",IF(INDEX(Tab_DaBa[],MATCH(CONCATENATE(Liste!$C$3,$B$287,$B$373),Data!$BO:$BO,0)-2,48)&lt;&gt;"","PFH [1/h] = "&amp;10^9*INDEX(Tab_DaBa[],MATCH(CONCATENATE(Liste!$C$3,$B$287,$B$373),Data!$BO:$BO,0)-2,56)&amp;"E-9","")),"")</f>
        <v/>
      </c>
      <c r="C395" s="39"/>
      <c r="D395" s="35" t="str">
        <f ca="1">IFERROR(IF(AND(INDEX(Tab_DaBa[],MATCH(CONCATENATE(Liste!$C$3,$B$287,$B$373),Data!$BO:$BO,0)-2,53)&lt;&gt;"",INDEX(Tab_DaBa[],MATCH(CONCATENATE(Liste!$C$3,$B$287,$B$373),Data!$BO:$BO,0)-2,58)=""),"PFH [1/h] = "&amp;10^9*INDEX(Tab_DaBa[],MATCH(CONCATENATE(Liste!$C$3,$B$287,$B$373),Data!$BO:$BO,0)-2,16)&amp;"E-9",IF(INDEX(Tab_DaBa[],MATCH(CONCATENATE(Liste!$C$3,$B$287,$B$373),Data!$BO:$BO,0)-2,53)&lt;&gt;"","PFH [1/h] = "&amp;10^9*INDEX(Tab_DaBa[],MATCH(CONCATENATE(Liste!$C$3,$B$287,$B$373),Data!$BO:$BO,0)-2,61)&amp;"E-9","")),"")</f>
        <v/>
      </c>
      <c r="E395" s="37"/>
      <c r="F395" s="35" t="str">
        <f ca="1">IFERROR(IF(AND(INDEX(Tab_DaBa[],MATCH(CONCATENATE(Liste!$C$3,$B$287,$B$373),Data!$BO:$BO,0)-2,58)&lt;&gt;"",INDEX(Tab_DaBa[],MATCH(CONCATENATE(Liste!$C$3,$B$287,$B$373),Data!$BO:$BO,0)-2,63)=""),"PFH [1/h] = "&amp;10^9*INDEX(Tab_DaBa[],MATCH(CONCATENATE(Liste!$C$3,$B$287,$B$373),Data!$BO:$BO,0)-2,16)&amp;"E-9",IF(INDEX(Tab_DaBa[],MATCH(CONCATENATE(Liste!$C$3,$B$287,$B$373),Data!$BO:$BO,0)-2,58)&lt;&gt;"","PFH [1/h] = "&amp;10^9*INDEX(Tab_DaBa[],MATCH(CONCATENATE(Liste!$C$3,$B$287,$B$373),Data!$BO:$BO,0)-2,66)&amp;"E-9","")),"")</f>
        <v/>
      </c>
      <c r="G395" s="39"/>
      <c r="H395" s="35" t="str">
        <f ca="1">IFERROR(IF(INDEX(Tab_DaBa[],MATCH(CONCATENATE(Liste!$C$3,$B$287,$B$373),Data!$BO:$BO,0)-2,63)&lt;&gt;"","PFH [1/h] = "&amp;10^9*INDEX(Tab_DaBa[],MATCH(CONCATENATE(Liste!$C$3,$B$287,$B$373),Data!$BO:$BO,0)-2,16)&amp;"E-9",""),"")</f>
        <v/>
      </c>
    </row>
    <row r="396" spans="2:9" s="16" customFormat="1"/>
    <row r="397" spans="2:9" s="16" customFormat="1">
      <c r="B397" s="43" t="str">
        <f ca="1">IF(D397="","","Erforderlich")</f>
        <v>Erforderlich</v>
      </c>
      <c r="D397" s="44" t="str">
        <f ca="1">IFERROR("Performance Level: "&amp;INDEX(Tab_DaBa[],MATCH(CONCATENATE(Liste!$C$3,$B$287,$B$373),Data!$BO:$BO,0)-2,4),"")</f>
        <v>Performance Level: PLr_ges2_4</v>
      </c>
    </row>
    <row r="398" spans="2:9" s="16" customFormat="1">
      <c r="B398" s="45"/>
    </row>
    <row r="399" spans="2:9" s="16" customFormat="1">
      <c r="B399" s="46" t="str">
        <f ca="1">IF(D399="","","Erreicht")</f>
        <v>Erreicht</v>
      </c>
      <c r="D399" s="47" t="str">
        <f ca="1">IFERROR("Performance Level: "&amp;INDEX(Tab_DaBa[],MATCH(CONCATENATE(Liste!$C$3,$B$287,$B$373),Data!$BO:$BO,0)-2,5)&amp;"          PFH [1/h] = "&amp;10^9*INDEX(Tab_DaBa[],MATCH(CONCATENATE(Liste!$C$3,$B$287,$B$373),Data!$BO:$BO,0)-2,6)&amp;"E-9","")</f>
        <v>Performance Level: Pl_ges2_4          PFH [1/h] = 71,7E-9</v>
      </c>
    </row>
    <row r="400" spans="2:9" s="16" customFormat="1"/>
    <row r="401" spans="2:9" s="16" customFormat="1">
      <c r="B401" s="42" t="str">
        <f ca="1">IFERROR(IF(5&gt;COUNTIF(Data!$BP:$BP,CONCATENATE(Liste!$C$3,$B$287)),"",INDEX(Tab_DaBa[],MATCH(CONCATENATE(Liste!$C$3,$B$287),Data!$BP:$BP,0)+2,3)),"")</f>
        <v>2.5 test2 (E+5L+A)</v>
      </c>
    </row>
    <row r="402" spans="2:9" s="16" customFormat="1"/>
    <row r="403" spans="2:9" s="16" customFormat="1" ht="15.75">
      <c r="B403" s="35" t="str">
        <f ca="1">IFERROR(INDEX(Tab_DaBa[],MATCH(CONCATENATE(Liste!$C$3,$B$287,$B$401),Data!$BO:$BO,0)-2,9),"")</f>
        <v>Eingang</v>
      </c>
      <c r="C403" s="54"/>
      <c r="D403" s="35" t="str">
        <f ca="1">IFERROR(IF(INDEX(Tab_DaBa[],MATCH(CONCATENATE(Liste!$C$3,$B$287,$B$401),Data!$BO:$BO,0)-2,18)=0,INDEX(Tab_DaBa[],MATCH(CONCATENATE(Liste!$C$3,$B$287,$B$401),Data!$BO:$BO,0)-2,14),INDEX(Tab_DaBa[],MATCH(CONCATENATE(Liste!$C$3,$B$287,$B$401),Data!$BO:$BO,0)-2,19)),"")</f>
        <v>Logik 01</v>
      </c>
      <c r="E403" s="33"/>
      <c r="F403" s="35" t="str">
        <f ca="1">IFERROR(IF(AND(INDEX(Tab_DaBa[],MATCH(CONCATENATE(Liste!$C$3,$B$287,$B$401),Data!$BO:$BO,0)-2,18)&lt;&gt;"",INDEX(Tab_DaBa[],MATCH(CONCATENATE(Liste!$C$3,$B$287,$B$401),Data!$BO:$BO,0)-2,23)=0),INDEX(Tab_DaBa[],MATCH(CONCATENATE(Liste!$C$3,$B$287,$B$401),Data!$BO:$BO,0)-2,14),IF(INDEX(Tab_DaBa[],MATCH(CONCATENATE(Liste!$C$3,$B$287,$B$401),Data!$BO:$BO,0)-2,23)&lt;&gt;"",INDEX(Tab_DaBa[],MATCH(CONCATENATE(Liste!$C$3,$B$287,$B$401),Data!$BO:$BO,0)-2,24),"")),"")</f>
        <v>Logik 02</v>
      </c>
      <c r="G403" s="39"/>
      <c r="H403" s="35" t="str">
        <f ca="1">IFERROR(IF(AND(INDEX(Tab_DaBa[],MATCH(CONCATENATE(Liste!$C$3,$B$287,$B$401),Data!$BO:$BO,0)-2,23)&lt;&gt;"",INDEX(Tab_DaBa[],MATCH(CONCATENATE(Liste!$C$3,$B$287,$B$401),Data!$BO:$BO,0)-2,28)=0),INDEX(Tab_DaBa[],MATCH(CONCATENATE(Liste!$C$3,$B$287,$B$401),Data!$BO:$BO,0)-2,14),IF(INDEX(Tab_DaBa[],MATCH(CONCATENATE(Liste!$C$3,$B$287,$B$401),Data!$BO:$BO,0)-2,23)&lt;&gt;"",INDEX(Tab_DaBa[],MATCH(CONCATENATE(Liste!$C$3,$B$287,$B$401),Data!$BO:$BO,0)-2,29),"")),"")</f>
        <v>Logik 03</v>
      </c>
      <c r="I403" s="39"/>
    </row>
    <row r="404" spans="2:9" s="16" customFormat="1" ht="15.75">
      <c r="B404" s="35" t="str">
        <f ca="1">IFERROR(INDEX(Tab_DaBa[],MATCH(CONCATENATE(Liste!$C$3,$B$287,$B$401),Data!$BO:$BO,0)-2,7),"")</f>
        <v>eeee-22_5</v>
      </c>
      <c r="C404" s="54"/>
      <c r="D404" s="35" t="str">
        <f ca="1">IFERROR(IF(INDEX(Tab_DaBa[],MATCH(CONCATENATE(Liste!$C$3,$B$287,$B$401),Data!$BO:$BO,0)-2,18)="",INDEX(Tab_DaBa[],MATCH(CONCATENATE(Liste!$C$3,$B$287,$B$401),Data!$BO:$BO,0)-2,12),INDEX(Tab_DaBa[],MATCH(CONCATENATE(Liste!$C$3,$B$287,$B$401),Data!$BO:$BO,0)-2,17)),"")</f>
        <v>Log02-02_05</v>
      </c>
      <c r="E404" s="36"/>
      <c r="F404" s="35" t="str">
        <f ca="1">IFERROR(IF(AND(INDEX(Tab_DaBa[],MATCH(CONCATENATE(Liste!$C$3,$B$287,$B$401),Data!$BO:$BO,0)-2,18)&lt;&gt;"",INDEX(Tab_DaBa[],MATCH(CONCATENATE(Liste!$C$3,$B$287,$B$401),Data!$BO:$BO,0)-2,23)=0),INDEX(Tab_DaBa[],MATCH(CONCATENATE(Liste!$C$3,$B$287,$B$401),Data!$BO:$BO,0)-2,12),IF(INDEX(Tab_DaBa[],MATCH(CONCATENATE(Liste!$C$3,$B$287,$B$401),Data!$BO:$BO,0)-2,23)&lt;&gt;"",INDEX(Tab_DaBa[],MATCH(CONCATENATE(Liste!$C$3,$B$287,$B$401),Data!$BO:$BO,0)-2,22),"")),"")</f>
        <v>Lo02-22_5</v>
      </c>
      <c r="G404" s="39"/>
      <c r="H404" s="35" t="str">
        <f ca="1">IFERROR(IF(AND(INDEX(Tab_DaBa[],MATCH(CONCATENATE(Liste!$C$3,$B$287,$B$401),Data!$BO:$BO,0)-2,23)&lt;&gt;"",INDEX(Tab_DaBa[],MATCH(CONCATENATE(Liste!$C$3,$B$287,$B$401),Data!$BO:$BO,0)-2,28)=0),INDEX(Tab_DaBa[],MATCH(CONCATENATE(Liste!$C$3,$B$287,$B$401),Data!$BO:$BO,0)-2,12),IF(INDEX(Tab_DaBa[],MATCH(CONCATENATE(Liste!$C$3,$B$287,$B$401),Data!$BO:$BO,0)-2,23)&lt;&gt;"",INDEX(Tab_DaBa[],MATCH(CONCATENATE(Liste!$C$3,$B$287,$B$401),Data!$BO:$BO,0)-2,27),"")),"")</f>
        <v>Lo02-22_5</v>
      </c>
      <c r="I404" s="39"/>
    </row>
    <row r="405" spans="2:9" s="16" customFormat="1" ht="15.75">
      <c r="B405" s="35" t="str">
        <f ca="1">IFERROR(INDEX(Tab_DaBa[],MATCH(CONCATENATE(Liste!$C$3,$B$287,$B$401),Data!$BO:$BO,0)-2,8),"")</f>
        <v>Bez_Ein2_5</v>
      </c>
      <c r="C405" s="40">
        <f ca="1">IF(D403="","",4)</f>
        <v>4</v>
      </c>
      <c r="D405" s="35" t="str">
        <f ca="1">IFERROR(IF(INDEX(Tab_DaBa[],MATCH(CONCATENATE(Liste!$C$3,$B$287,$B$401),Data!$BO:$BO,0)-2,18)="",INDEX(Tab_DaBa[],MATCH(CONCATENATE(Liste!$C$3,$B$287,$B$401),Data!$BO:$BO,0)-2,13),INDEX(Tab_DaBa[],MATCH(CONCATENATE(Liste!$C$3,$B$287,$B$401),Data!$BO:$BO,0)-2,18)),"")</f>
        <v>Bez_Log01_02_05</v>
      </c>
      <c r="E405" s="40">
        <f ca="1">IF(F403="","",4)</f>
        <v>4</v>
      </c>
      <c r="F405" s="35" t="str">
        <f ca="1">IFERROR(IF(AND(INDEX(Tab_DaBa[],MATCH(CONCATENATE(Liste!$C$3,$B$287,$B$401),Data!$BO:$BO,0)-2,18)&lt;&gt;"",INDEX(Tab_DaBa[],MATCH(CONCATENATE(Liste!$C$3,$B$287,$B$401),Data!$BO:$BO,0)-2,23)=""),INDEX(Tab_DaBa[],MATCH(CONCATENATE(Liste!$C$3,$B$287,$B$401),Data!$BO:$BO,0)-2,13),IF(INDEX(Tab_DaBa[],MATCH(CONCATENATE(Liste!$C$3,$B$287,$B$401),Data!$BO:$BO,0)-2,23)&lt;&gt;"",INDEX(Tab_DaBa[],MATCH(CONCATENATE(Liste!$C$3,$B$287,$B$401),Data!$BO:$BO,0)-2,23),"")),"")</f>
        <v>Bez_Lo02_5</v>
      </c>
      <c r="G405" s="38">
        <f ca="1">IF(H403="","",4)</f>
        <v>4</v>
      </c>
      <c r="H405" s="35" t="str">
        <f ca="1">IFERROR(IF(AND(INDEX(Tab_DaBa[],MATCH(CONCATENATE(Liste!$C$3,$B$287,$B$401),Data!$BO:$BO,0)-2,23)&lt;&gt;"",INDEX(Tab_DaBa[],MATCH(CONCATENATE(Liste!$C$3,$B$287,$B$401),Data!$BO:$BO,0)-2,28)=""),INDEX(Tab_DaBa[],MATCH(CONCATENATE(Liste!$C$3,$B$287,$B$401),Data!$BO:$BO,0)-2,13),IF(INDEX(Tab_DaBa[],MATCH(CONCATENATE(Liste!$C$3,$B$287,$B$401),Data!$BO:$BO,0)-2,23)&lt;&gt;"",INDEX(Tab_DaBa[],MATCH(CONCATENATE(Liste!$C$3,$B$287,$B$401),Data!$BO:$BO,0)-2,28),"")),"")</f>
        <v>Bez_Lo02_5</v>
      </c>
      <c r="I405" s="38">
        <f ca="1">IF(B411="","",6)</f>
        <v>6</v>
      </c>
    </row>
    <row r="406" spans="2:9" s="16" customFormat="1" ht="15.75">
      <c r="B406" s="35" t="str">
        <f ca="1">IFERROR("Performance Level: "&amp;INDEX(Tab_DaBa[],MATCH(CONCATENATE(Liste!$C$3,$B$287,$B$401),Data!$BO:$BO,0)-2,10),"")</f>
        <v>Performance Level: PL_Ein2_5</v>
      </c>
      <c r="C406" s="54"/>
      <c r="D406" s="35" t="str">
        <f ca="1">IFERROR(IF(INDEX(Tab_DaBa[],MATCH(CONCATENATE(Liste!$C$3,$B$287,$B$401),Data!$BO:$BO,0)-2,18)="","Performance Level: "&amp;INDEX(Tab_DaBa[],MATCH(CONCATENATE(Liste!$C$3,$B$287,$B$401),Data!$BO:$BO,0)-2,15),"Performance Level: "&amp;INDEX(Tab_DaBa[],MATCH(CONCATENATE(Liste!$C$3,$B$287,$B$401),Data!$BO:$BO,0)-2,20)),"")</f>
        <v>Performance Level: PL_Lo02_5</v>
      </c>
      <c r="E406" s="36"/>
      <c r="F406" s="35" t="str">
        <f ca="1">IFERROR(IF(AND(INDEX(Tab_DaBa[],MATCH(CONCATENATE(Liste!$C$3,$B$287,$B$401),Data!$BO:$BO,0)-2,18)&lt;&gt;"",INDEX(Tab_DaBa[],MATCH(CONCATENATE(Liste!$C$3,$B$287,$B$401),Data!$BO:$BO,0)-2,23)=""),"Performance Level: "&amp;INDEX(Tab_DaBa[],MATCH(CONCATENATE(Liste!$C$3,$B$287,$B$401),Data!$BO:$BO,0)-2,15),IF(INDEX(Tab_DaBa[],MATCH(CONCATENATE(Liste!$C$3,$B$287,$B$401),Data!$BO:$BO,0)-2,23)&lt;&gt;"","Performance Level: "&amp;INDEX(Tab_DaBa[],MATCH(CONCATENATE(Liste!$C$3,$B$287,$B$401),Data!$BO:$BO,0)-2,25),"")),"")</f>
        <v>Performance Level: PL_Lo02_5</v>
      </c>
      <c r="G406" s="39"/>
      <c r="H406" s="35" t="str">
        <f ca="1">IFERROR(IF(AND(INDEX(Tab_DaBa[],MATCH(CONCATENATE(Liste!$C$3,$B$287,$B$401),Data!$BO:$BO,0)-2,23)&lt;&gt;"",INDEX(Tab_DaBa[],MATCH(CONCATENATE(Liste!$C$3,$B$287,$B$401),Data!$BO:$BO,0)-2,28)=""),"Performance Level: "&amp;INDEX(Tab_DaBa[],MATCH(CONCATENATE(Liste!$C$3,$B$287,$B$401),Data!$BO:$BO,0)-2,15),IF(INDEX(Tab_DaBa[],MATCH(CONCATENATE(Liste!$C$3,$B$287,$B$401),Data!$BO:$BO,0)-2,23)&lt;&gt;"","Performance Level: "&amp;INDEX(Tab_DaBa[],MATCH(CONCATENATE(Liste!$C$3,$B$287,$B$401),Data!$BO:$BO,0)-2,30),"")),"")</f>
        <v>Performance Level: PL_Lo02_5</v>
      </c>
      <c r="I406" s="38"/>
    </row>
    <row r="407" spans="2:9" s="16" customFormat="1" ht="15.75">
      <c r="B407" s="53" t="str">
        <f ca="1">IFERROR("PFH [1/h] = "&amp;10^9*INDEX(Tab_DaBa[],MATCH(CONCATENATE(Liste!$C$3,$B$287,$B$401),Data!$BO:$BO,0)-2,11)&amp;"E-9","")</f>
        <v>PFH [1/h] = 42,9E-9</v>
      </c>
      <c r="C407" s="54"/>
      <c r="D407" s="35" t="str">
        <f ca="1">IFERROR(IF(INDEX(Tab_DaBa[],MATCH(CONCATENATE(Liste!$C$3,$B$287,$B$401),Data!$BO:$BO,0)-2,18)="","PFH [1/h] = "&amp;10^9*INDEX(Tab_DaBa[],MATCH(CONCATENATE(Liste!$C$3,$B$287,$B$401),Data!$BO:$BO,0)-2,16)&amp;"E-9","PFH [1/h] = "&amp;10^9*INDEX(Tab_DaBa[],MATCH(CONCATENATE(Liste!$C$3,$B$287,$B$401),Data!$BO:$BO,0)-2,21)&amp;"E-9"),"")</f>
        <v>PFH [1/h] = 4,19E-9</v>
      </c>
      <c r="E407" s="36"/>
      <c r="F407" s="35" t="str">
        <f ca="1">IFERROR(IF(AND(INDEX(Tab_DaBa[],MATCH(CONCATENATE(Liste!$C$3,$B$287,$B$401),Data!$BO:$BO,0)-2,18)&lt;&gt;"",INDEX(Tab_DaBa[],MATCH(CONCATENATE(Liste!$C$3,$B$287,$B$401),Data!$BO:$BO,0)-2,23)=""),"PFH [1/h] = "&amp;10^9*INDEX(Tab_DaBa[],MATCH(CONCATENATE(Liste!$C$3,$B$287,$B$401),Data!$BO:$BO,0)-2,16)&amp;"E-9",IF(INDEX(Tab_DaBa[],MATCH(CONCATENATE(Liste!$C$3,$B$287,$B$401),Data!$BO:$BO,0)-2,23)&lt;&gt;"","PFH [1/h] = "&amp;10^9*INDEX(Tab_DaBa[],MATCH(CONCATENATE(Liste!$C$3,$B$287,$B$401),Data!$BO:$BO,0)-2,26)&amp;"E-9","")),"")</f>
        <v>PFH [1/h] = 4,19E-9</v>
      </c>
      <c r="G407" s="39"/>
      <c r="H407" s="35" t="str">
        <f ca="1">IFERROR(IF(AND(INDEX(Tab_DaBa[],MATCH(CONCATENATE(Liste!$C$3,$B$287,$B$401),Data!$BO:$BO,0)-2,23)&lt;&gt;"",INDEX(Tab_DaBa[],MATCH(CONCATENATE(Liste!$C$3,$B$287,$B$401),Data!$BO:$BO,0)-2,28)=""),"PFH [1/h] = "&amp;10^9*INDEX(Tab_DaBa[],MATCH(CONCATENATE(Liste!$C$3,$B$287,$B$401),Data!$BO:$BO,0)-2,16)&amp;"E-9",IF(INDEX(Tab_DaBa[],MATCH(CONCATENATE(Liste!$C$3,$B$287,$B$401),Data!$BO:$BO,0)-2,23)&lt;&gt;"","PFH [1/h] = "&amp;10^9*INDEX(Tab_DaBa[],MATCH(CONCATENATE(Liste!$C$3,$B$287,$B$401),Data!$BO:$BO,0)-2,31)&amp;"E-9","")),"")</f>
        <v>PFH [1/h] = 4,19E-9</v>
      </c>
      <c r="I407" s="39"/>
    </row>
    <row r="408" spans="2:9" s="16" customFormat="1">
      <c r="B408" s="33"/>
      <c r="C408" s="34"/>
      <c r="D408" s="33"/>
      <c r="E408" s="33"/>
      <c r="F408" s="33"/>
      <c r="G408" s="33"/>
      <c r="H408" s="33"/>
      <c r="I408" s="33"/>
    </row>
    <row r="409" spans="2:9" s="16" customFormat="1" ht="15.75">
      <c r="B409" s="38">
        <f ca="1">IF(B411="","",6)</f>
        <v>6</v>
      </c>
      <c r="C409" s="34"/>
      <c r="D409" s="38">
        <f ca="1">IF(B411="","",3)</f>
        <v>3</v>
      </c>
      <c r="E409" s="33"/>
      <c r="F409" s="38">
        <f ca="1">IF(B411="","",3)</f>
        <v>3</v>
      </c>
      <c r="G409" s="33"/>
      <c r="H409" s="38">
        <f ca="1">IF(B411="","",3)</f>
        <v>3</v>
      </c>
      <c r="I409" s="33"/>
    </row>
    <row r="410" spans="2:9" s="16" customFormat="1" ht="15.75">
      <c r="B410" s="39"/>
      <c r="C410" s="33"/>
      <c r="D410" s="33"/>
      <c r="E410" s="33"/>
      <c r="F410" s="33"/>
      <c r="G410" s="33"/>
      <c r="H410" s="33"/>
      <c r="I410" s="33"/>
    </row>
    <row r="411" spans="2:9" s="16" customFormat="1" ht="15.75">
      <c r="B411" s="35" t="str">
        <f ca="1">IFERROR(IF(AND(INDEX(Tab_DaBa[],MATCH(CONCATENATE(Liste!$C$3,$B$287,$B$401),Data!$BO:$BO,0)-2,28)&lt;&gt;"",INDEX(Tab_DaBa[],MATCH(CONCATENATE(Liste!$C$3,$B$287,$B$401),Data!$BO:$BO,0)-2,33)=0),INDEX(Tab_DaBa[],MATCH(CONCATENATE(Liste!$C$3,$B$287,$B$401),Data!$BO:$BO,0)-2,14),IF(INDEX(Tab_DaBa[],MATCH(CONCATENATE(Liste!$C$3,$B$287,$B$401),Data!$BO:$BO,0)-2,28)&lt;&gt;"",INDEX(Tab_DaBa[],MATCH(CONCATENATE(Liste!$C$3,$B$287,$B$401),Data!$BO:$BO,0)-2,34),"")),"")</f>
        <v>Logik 04</v>
      </c>
      <c r="C411" s="39"/>
      <c r="D411" s="35" t="str">
        <f ca="1">IFERROR(IF(AND(INDEX(Tab_DaBa[],MATCH(CONCATENATE(Liste!$C$3,$B$287,$B$401),Data!$BO:$BO,0)-2,33)&lt;&gt;"",INDEX(Tab_DaBa[],MATCH(CONCATENATE(Liste!$C$3,$B$287,$B$401),Data!$BO:$BO,0)-2,38)=0),INDEX(Tab_DaBa[],MATCH(CONCATENATE(Liste!$C$3,$B$287,$B$401),Data!$BO:$BO,0)-2,14),IF(INDEX(Tab_DaBa[],MATCH(CONCATENATE(Liste!$C$3,$B$287,$B$401),Data!$BO:$BO,0)-2,33)&lt;&gt;"",INDEX(Tab_DaBa[],MATCH(CONCATENATE(Liste!$C$3,$B$287,$B$401),Data!$BO:$BO,0)-2,39),"")),"")</f>
        <v>Logik 05</v>
      </c>
      <c r="E411" s="33"/>
      <c r="F411" s="35" t="str">
        <f ca="1">IFERROR(IF(AND(INDEX(Tab_DaBa[],MATCH(CONCATENATE(Liste!$C$3,$B$287,$B$401),Data!$BO:$BO,0)-2,38)&lt;&gt;"",INDEX(Tab_DaBa[],MATCH(CONCATENATE(Liste!$C$3,$B$287,$B$401),Data!$BO:$BO,0)-2,43)=0),INDEX(Tab_DaBa[],MATCH(CONCATENATE(Liste!$C$3,$B$287,$B$401),Data!$BO:$BO,0)-2,14),IF(INDEX(Tab_DaBa[],MATCH(CONCATENATE(Liste!$C$3,$B$287,$B$401),Data!$BO:$BO,0)-2,38)&lt;&gt;"",INDEX(Tab_DaBa[],MATCH(CONCATENATE(Liste!$C$3,$B$287,$B$401),Data!$BO:$BO,0)-2,44),"")),"")</f>
        <v>Ausgang</v>
      </c>
      <c r="G411" s="39"/>
      <c r="H411" s="35" t="str">
        <f ca="1">IFERROR(IF(AND(INDEX(Tab_DaBa[],MATCH(CONCATENATE(Liste!$C$3,$B$287,$B$401),Data!$BO:$BO,0)-2,43)&lt;&gt;"",INDEX(Tab_DaBa[],MATCH(CONCATENATE(Liste!$C$3,$B$287,$B$401),Data!$BO:$BO,0)-2,48)=0),INDEX(Tab_DaBa[],MATCH(CONCATENATE(Liste!$C$3,$B$287,$B$401),Data!$BO:$BO,0)-2,14),IF(INDEX(Tab_DaBa[],MATCH(CONCATENATE(Liste!$C$3,$B$287,$B$401),Data!$BO:$BO,0)-2,43)&lt;&gt;"",INDEX(Tab_DaBa[],MATCH(CONCATENATE(Liste!$C$3,$B$287,$B$401),Data!$BO:$BO,0)-2,49),"")),"")</f>
        <v/>
      </c>
      <c r="I411" s="39"/>
    </row>
    <row r="412" spans="2:9" s="16" customFormat="1" ht="15.75">
      <c r="B412" s="35" t="str">
        <f ca="1">IFERROR(IF(AND(INDEX(Tab_DaBa[],MATCH(CONCATENATE(Liste!$C$3,$B$287,$B$401),Data!$BO:$BO,0)-2,28)&lt;&gt;"",INDEX(Tab_DaBa[],MATCH(CONCATENATE(Liste!$C$3,$B$287,$B$401),Data!$BO:$BO,0)-2,33)=0),INDEX(Tab_DaBa[],MATCH(CONCATENATE(Liste!$C$3,$B$287,$B$401),Data!$BO:$BO,0)-2,12),IF(INDEX(Tab_DaBa[],MATCH(CONCATENATE(Liste!$C$3,$B$287,$B$401),Data!$BO:$BO,0)-2,28)&lt;&gt;"",INDEX(Tab_DaBa[],MATCH(CONCATENATE(Liste!$C$3,$B$287,$B$401),Data!$BO:$BO,0)-2,32),"")),"")</f>
        <v>Lo02-22_5</v>
      </c>
      <c r="C412" s="39"/>
      <c r="D412" s="35" t="str">
        <f ca="1">IFERROR(IF(AND(INDEX(Tab_DaBa[],MATCH(CONCATENATE(Liste!$C$3,$B$287,$B$401),Data!$BO:$BO,0)-2,33)&lt;&gt;"",INDEX(Tab_DaBa[],MATCH(CONCATENATE(Liste!$C$3,$B$287,$B$401),Data!$BO:$BO,0)-2,38)=0),INDEX(Tab_DaBa[],MATCH(CONCATENATE(Liste!$C$3,$B$287,$B$401),Data!$BO:$BO,0)-2,12),IF(INDEX(Tab_DaBa[],MATCH(CONCATENATE(Liste!$C$3,$B$287,$B$401),Data!$BO:$BO,0)-2,33)&lt;&gt;"",INDEX(Tab_DaBa[],MATCH(CONCATENATE(Liste!$C$3,$B$287,$B$401),Data!$BO:$BO,0)-2,37),"")),"")</f>
        <v>Lo02-22_5</v>
      </c>
      <c r="E412" s="37"/>
      <c r="F412" s="35" t="str">
        <f ca="1">IFERROR(IF(AND(INDEX(Tab_DaBa[],MATCH(CONCATENATE(Liste!$C$3,$B$287,$B$401),Data!$BO:$BO,0)-2,38)&lt;&gt;"",INDEX(Tab_DaBa[],MATCH(CONCATENATE(Liste!$C$3,$B$287,$B$401),Data!$BO:$BO,0)-2,43)=0),INDEX(Tab_DaBa[],MATCH(CONCATENATE(Liste!$C$3,$B$287,$B$401),Data!$BO:$BO,0)-2,12),IF(INDEX(Tab_DaBa[],MATCH(CONCATENATE(Liste!$C$3,$B$287,$B$401),Data!$BO:$BO,0)-2,38)&lt;&gt;"",INDEX(Tab_DaBa[],MATCH(CONCATENATE(Liste!$C$3,$B$287,$B$401),Data!$BO:$BO,0)-2,42),"")),"")</f>
        <v>aaaa-22_5</v>
      </c>
      <c r="G412" s="39"/>
      <c r="H412" s="35" t="str">
        <f ca="1">IFERROR(IF(AND(INDEX(Tab_DaBa[],MATCH(CONCATENATE(Liste!$C$3,$B$287,$B$401),Data!$BO:$BO,0)-2,43)&lt;&gt;"",INDEX(Tab_DaBa[],MATCH(CONCATENATE(Liste!$C$3,$B$287,$B$401),Data!$BO:$BO,0)-2,48)=0),INDEX(Tab_DaBa[],MATCH(CONCATENATE(Liste!$C$3,$B$287,$B$401),Data!$BO:$BO,0)-2,12),IF(INDEX(Tab_DaBa[],MATCH(CONCATENATE(Liste!$C$3,$B$287,$B$401),Data!$BO:$BO,0)-2,43)&lt;&gt;"",INDEX(Tab_DaBa[],MATCH(CONCATENATE(Liste!$C$3,$B$287,$B$401),Data!$BO:$BO,0)-2,47),"")),"")</f>
        <v/>
      </c>
      <c r="I412" s="39"/>
    </row>
    <row r="413" spans="2:9" s="16" customFormat="1" ht="15.75">
      <c r="B413" s="35" t="str">
        <f ca="1">IFERROR(IF(AND(INDEX(Tab_DaBa[],MATCH(CONCATENATE(Liste!$C$3,$B$287,$B$401),Data!$BO:$BO,0)-2,28)&lt;&gt;"",INDEX(Tab_DaBa[],MATCH(CONCATENATE(Liste!$C$3,$B$287,$B$401),Data!$BO:$BO,0)-2,33)=""),INDEX(Tab_DaBa[],MATCH(CONCATENATE(Liste!$C$3,$B$287,$B$401),Data!$BO:$BO,0)-2,13),IF(INDEX(Tab_DaBa[],MATCH(CONCATENATE(Liste!$C$3,$B$287,$B$401),Data!$BO:$BO,0)-2,28)&lt;&gt;"",INDEX(Tab_DaBa[],MATCH(CONCATENATE(Liste!$C$3,$B$287,$B$401),Data!$BO:$BO,0)-2,33),"")),"")</f>
        <v>Bez_Lo02_5</v>
      </c>
      <c r="C413" s="38">
        <f ca="1">IF(D411="","",4)</f>
        <v>4</v>
      </c>
      <c r="D413" s="35" t="str">
        <f ca="1">IFERROR(IF(AND(INDEX(Tab_DaBa[],MATCH(CONCATENATE(Liste!$C$3,$B$287,$B$401),Data!$BO:$BO,0)-2,33)&lt;&gt;"",INDEX(Tab_DaBa[],MATCH(CONCATENATE(Liste!$C$3,$B$287,$B$401),Data!$BO:$BO,0)-2,38)=""),INDEX(Tab_DaBa[],MATCH(CONCATENATE(Liste!$C$3,$B$287,$B$401),Data!$BO:$BO,0)-2,13),IF(INDEX(Tab_DaBa[],MATCH(CONCATENATE(Liste!$C$3,$B$287,$B$401),Data!$BO:$BO,0)-2,33)&lt;&gt;"",INDEX(Tab_DaBa[],MATCH(CONCATENATE(Liste!$C$3,$B$287,$B$401),Data!$BO:$BO,0)-2,38),"")),"")</f>
        <v>Bez_Lo02_5</v>
      </c>
      <c r="E413" s="38">
        <f ca="1">IF(F411="","",4)</f>
        <v>4</v>
      </c>
      <c r="F413" s="35" t="str">
        <f ca="1">IFERROR(IF(AND(INDEX(Tab_DaBa[],MATCH(CONCATENATE(Liste!$C$3,$B$287,$B$401),Data!$BO:$BO,0)-2,38)&lt;&gt;"",INDEX(Tab_DaBa[],MATCH(CONCATENATE(Liste!$C$3,$B$287,$B$401),Data!$BO:$BO,0)-2,43)=""),INDEX(Tab_DaBa[],MATCH(CONCATENATE(Liste!$C$3,$B$287,$B$401),Data!$BO:$BO,0)-2,13),IF(INDEX(Tab_DaBa[],MATCH(CONCATENATE(Liste!$C$3,$B$287,$B$401),Data!$BO:$BO,0)-2,38)&lt;&gt;"",INDEX(Tab_DaBa[],MATCH(CONCATENATE(Liste!$C$3,$B$287,$B$401),Data!$BO:$BO,0)-2,43),"")),"")</f>
        <v>Bez_Aus2_5</v>
      </c>
      <c r="G413" s="38" t="str">
        <f ca="1">IF(H411="","",4)</f>
        <v/>
      </c>
      <c r="H413" s="35" t="str">
        <f ca="1">IFERROR(IF(AND(INDEX(Tab_DaBa[],MATCH(CONCATENATE(Liste!$C$3,$B$287,$B$401),Data!$BO:$BO,0)-2,43)&lt;&gt;"",INDEX(Tab_DaBa[],MATCH(CONCATENATE(Liste!$C$3,$B$287,$B$401),Data!$BO:$BO,0)-2,48)=""),INDEX(Tab_DaBa[],MATCH(CONCATENATE(Liste!$C$3,$B$287,$B$401),Data!$BO:$BO,0)-2,13),IF(INDEX(Tab_DaBa[],MATCH(CONCATENATE(Liste!$C$3,$B$287,$B$401),Data!$BO:$BO,0)-2,43)&lt;&gt;"",INDEX(Tab_DaBa[],MATCH(CONCATENATE(Liste!$C$3,$B$287,$B$401),Data!$BO:$BO,0)-2,48),"")),"")</f>
        <v/>
      </c>
      <c r="I413" s="38" t="str">
        <f ca="1">IF(B419="","",6)</f>
        <v/>
      </c>
    </row>
    <row r="414" spans="2:9" s="16" customFormat="1" ht="15.75">
      <c r="B414" s="35" t="str">
        <f ca="1">IFERROR(IF(AND(INDEX(Tab_DaBa[],MATCH(CONCATENATE(Liste!$C$3,$B$287,$B$401),Data!$BO:$BO,0)-2,28)&lt;&gt;"",INDEX(Tab_DaBa[],MATCH(CONCATENATE(Liste!$C$3,$B$287,$B$401),Data!$BO:$BO,0)-2,33)=""),"Performance Level: "&amp;INDEX(Tab_DaBa[],MATCH(CONCATENATE(Liste!$C$3,$B$287,$B$401),Data!$BO:$BO,0)-2,15),IF(INDEX(Tab_DaBa[],MATCH(CONCATENATE(Liste!$C$3,$B$287,$B$401),Data!$BO:$BO,0)-2,28)&lt;&gt;"","Performance Level: "&amp;INDEX(Tab_DaBa[],MATCH(CONCATENATE(Liste!$C$3,$B$287,$B$401),Data!$BO:$BO,0)-2,35),"")),"")</f>
        <v>Performance Level: PL_Lo02_5</v>
      </c>
      <c r="C414" s="39"/>
      <c r="D414" s="35" t="str">
        <f ca="1">IFERROR(IF(AND(INDEX(Tab_DaBa[],MATCH(CONCATENATE(Liste!$C$3,$B$287,$B$401),Data!$BO:$BO,0)-2,33)&lt;&gt;"",INDEX(Tab_DaBa[],MATCH(CONCATENATE(Liste!$C$3,$B$287,$B$401),Data!$BO:$BO,0)-2,38)=""),"Performance Level: "&amp;INDEX(Tab_DaBa[],MATCH(CONCATENATE(Liste!$C$3,$B$287,$B$401),Data!$BO:$BO,0)-2,15),IF(INDEX(Tab_DaBa[],MATCH(CONCATENATE(Liste!$C$3,$B$287,$B$401),Data!$BO:$BO,0)-2,33)&lt;&gt;"","Performance Level: "&amp;INDEX(Tab_DaBa[],MATCH(CONCATENATE(Liste!$C$3,$B$287,$B$401),Data!$BO:$BO,0)-2,40),"")),"")</f>
        <v>Performance Level: PL_Lo02_5</v>
      </c>
      <c r="E414" s="37"/>
      <c r="F414" s="35" t="str">
        <f ca="1">IFERROR(IF(AND(INDEX(Tab_DaBa[],MATCH(CONCATENATE(Liste!$C$3,$B$287,$B$401),Data!$BO:$BO,0)-2,38)&lt;&gt;"",INDEX(Tab_DaBa[],MATCH(CONCATENATE(Liste!$C$3,$B$287,$B$401),Data!$BO:$BO,0)-2,43)=""),"Performance Level: "&amp;INDEX(Tab_DaBa[],MATCH(CONCATENATE(Liste!$C$3,$B$287,$B$401),Data!$BO:$BO,0)-2,15),IF(INDEX(Tab_DaBa[],MATCH(CONCATENATE(Liste!$C$3,$B$287,$B$401),Data!$BO:$BO,0)-2,38)&lt;&gt;"","Performance Level: "&amp;INDEX(Tab_DaBa[],MATCH(CONCATENATE(Liste!$C$3,$B$287,$B$401),Data!$BO:$BO,0)-2,45),"")),"")</f>
        <v>Performance Level: PL_Aus2_5</v>
      </c>
      <c r="G414" s="39"/>
      <c r="H414" s="35" t="str">
        <f ca="1">IFERROR(IF(AND(INDEX(Tab_DaBa[],MATCH(CONCATENATE(Liste!$C$3,$B$287,$B$401),Data!$BO:$BO,0)-2,43)&lt;&gt;"",INDEX(Tab_DaBa[],MATCH(CONCATENATE(Liste!$C$3,$B$287,$B$401),Data!$BO:$BO,0)-2,48)=""),"Performance Level: "&amp;INDEX(Tab_DaBa[],MATCH(CONCATENATE(Liste!$C$3,$B$287,$B$401),Data!$BO:$BO,0)-2,15),IF(INDEX(Tab_DaBa[],MATCH(CONCATENATE(Liste!$C$3,$B$287,$B$401),Data!$BO:$BO,0)-2,43)&lt;&gt;"","Performance Level: "&amp;INDEX(Tab_DaBa[],MATCH(CONCATENATE(Liste!$C$3,$B$287,$B$401),Data!$BO:$BO,0)-2,50),"")),"")</f>
        <v/>
      </c>
      <c r="I414" s="39"/>
    </row>
    <row r="415" spans="2:9" s="16" customFormat="1" ht="15.75">
      <c r="B415" s="35" t="str">
        <f ca="1">IFERROR(IF(AND(INDEX(Tab_DaBa[],MATCH(CONCATENATE(Liste!$C$3,$B$287,$B$401),Data!$BO:$BO,0)-2,28)&lt;&gt;"",INDEX(Tab_DaBa[],MATCH(CONCATENATE(Liste!$C$3,$B$287,$B$401),Data!$BO:$BO,0)-2,33)=""),"PFH [1/h] = "&amp;10^9*INDEX(Tab_DaBa[],MATCH(CONCATENATE(Liste!$C$3,$B$287,$B$401),Data!$BO:$BO,0)-2,16)&amp;"E-9",IF(INDEX(Tab_DaBa[],MATCH(CONCATENATE(Liste!$C$3,$B$287,$B$401),Data!$BO:$BO,0)-2,28)&lt;&gt;"","PFH [1/h] = "&amp;10^9*INDEX(Tab_DaBa[],MATCH(CONCATENATE(Liste!$C$3,$B$287,$B$401),Data!$BO:$BO,0)-2,36)&amp;"E-9","")),"")</f>
        <v>PFH [1/h] = 4,19E-9</v>
      </c>
      <c r="C415" s="39"/>
      <c r="D415" s="35" t="str">
        <f ca="1">IFERROR(IF(AND(INDEX(Tab_DaBa[],MATCH(CONCATENATE(Liste!$C$3,$B$287,$B$401),Data!$BO:$BO,0)-2,33)&lt;&gt;"",INDEX(Tab_DaBa[],MATCH(CONCATENATE(Liste!$C$3,$B$287,$B$401),Data!$BO:$BO,0)-2,38)=""),"PFH [1/h] = "&amp;10^9*INDEX(Tab_DaBa[],MATCH(CONCATENATE(Liste!$C$3,$B$287,$B$401),Data!$BO:$BO,0)-2,16)&amp;"E-9",IF(INDEX(Tab_DaBa[],MATCH(CONCATENATE(Liste!$C$3,$B$287,$B$401),Data!$BO:$BO,0)-2,33)&lt;&gt;"","PFH [1/h] = "&amp;10^9*INDEX(Tab_DaBa[],MATCH(CONCATENATE(Liste!$C$3,$B$287,$B$401),Data!$BO:$BO,0)-2,41)&amp;"E-9","")),"")</f>
        <v>PFH [1/h] = 4,19E-9</v>
      </c>
      <c r="E415" s="37"/>
      <c r="F415" s="35" t="str">
        <f ca="1">IFERROR(IF(AND(INDEX(Tab_DaBa[],MATCH(CONCATENATE(Liste!$C$3,$B$287,$B$401),Data!$BO:$BO,0)-2,38)&lt;&gt;"",INDEX(Tab_DaBa[],MATCH(CONCATENATE(Liste!$C$3,$B$287,$B$401),Data!$BO:$BO,0)-2,43)=""),"PFH [1/h] = "&amp;10^9*INDEX(Tab_DaBa[],MATCH(CONCATENATE(Liste!$C$3,$B$287,$B$401),Data!$BO:$BO,0)-2,16)&amp;"E-9",IF(INDEX(Tab_DaBa[],MATCH(CONCATENATE(Liste!$C$3,$B$287,$B$401),Data!$BO:$BO,0)-2,38)&lt;&gt;"","PFH [1/h] = "&amp;10^9*INDEX(Tab_DaBa[],MATCH(CONCATENATE(Liste!$C$3,$B$287,$B$401),Data!$BO:$BO,0)-2,46)&amp;"E-9","")),"")</f>
        <v>PFH [1/h] = 24,7E-9</v>
      </c>
      <c r="G415" s="39"/>
      <c r="H415" s="35" t="str">
        <f ca="1">IFERROR(IF(AND(INDEX(Tab_DaBa[],MATCH(CONCATENATE(Liste!$C$3,$B$287,$B$401),Data!$BO:$BO,0)-2,43)&lt;&gt;"",INDEX(Tab_DaBa[],MATCH(CONCATENATE(Liste!$C$3,$B$287,$B$401),Data!$BO:$BO,0)-2,48)=""),"PFH [1/h] = "&amp;10^9*INDEX(Tab_DaBa[],MATCH(CONCATENATE(Liste!$C$3,$B$287,$B$401),Data!$BO:$BO,0)-2,16)&amp;"E-9",IF(INDEX(Tab_DaBa[],MATCH(CONCATENATE(Liste!$C$3,$B$287,$B$401),Data!$BO:$BO,0)-2,43)&lt;&gt;"","PFH [1/h] = "&amp;10^9*INDEX(Tab_DaBa[],MATCH(CONCATENATE(Liste!$C$3,$B$287,$B$401),Data!$BO:$BO,0)-2,51)&amp;"E-9","")),"")</f>
        <v/>
      </c>
      <c r="I415" s="39"/>
    </row>
    <row r="416" spans="2:9" s="16" customFormat="1">
      <c r="B416" s="33"/>
      <c r="C416" s="33"/>
      <c r="D416" s="33"/>
      <c r="E416" s="33"/>
      <c r="F416" s="33"/>
      <c r="G416" s="33"/>
      <c r="H416" s="33"/>
      <c r="I416" s="33"/>
    </row>
    <row r="417" spans="2:9" s="16" customFormat="1" ht="15.75">
      <c r="B417" s="38" t="str">
        <f ca="1">IF(B419="","",6)</f>
        <v/>
      </c>
      <c r="C417" s="33"/>
      <c r="D417" s="38" t="str">
        <f ca="1">IF(B419="","",3)</f>
        <v/>
      </c>
      <c r="E417" s="33"/>
      <c r="F417" s="38" t="str">
        <f ca="1">IF(B419="","",3)</f>
        <v/>
      </c>
      <c r="G417" s="33"/>
      <c r="H417" s="38" t="str">
        <f ca="1">IF(B419="","",3)</f>
        <v/>
      </c>
      <c r="I417" s="33"/>
    </row>
    <row r="418" spans="2:9" s="16" customFormat="1" ht="15.75">
      <c r="B418" s="39"/>
      <c r="C418" s="33"/>
      <c r="D418" s="33"/>
      <c r="E418" s="33"/>
      <c r="F418" s="33"/>
      <c r="G418" s="33"/>
      <c r="H418" s="33"/>
      <c r="I418" s="33"/>
    </row>
    <row r="419" spans="2:9" s="16" customFormat="1" ht="15.75">
      <c r="B419" s="35" t="str">
        <f ca="1">IFERROR(IF(AND(INDEX(Tab_DaBa[],MATCH(CONCATENATE(Liste!$C$3,$B$287,$B$401),Data!$BO:$BO,0)-2,48)&lt;&gt;"",INDEX(Tab_DaBa[],MATCH(CONCATENATE(Liste!$C$3,$B$287,$B$401),Data!$BO:$BO,0)-2,53)=0),INDEX(Tab_DaBa[],MATCH(CONCATENATE(Liste!$C$3,$B$287,$B$401),Data!$BO:$BO,0)-2,14),IF(INDEX(Tab_DaBa[],MATCH(CONCATENATE(Liste!$C$3,$B$287,$B$401),Data!$BO:$BO,0)-2,48)&lt;&gt;"",INDEX(Tab_DaBa[],MATCH(CONCATENATE(Liste!$C$3,$B$287,$B$401),Data!$BO:$BO,0)-2,54),"")),"")</f>
        <v/>
      </c>
      <c r="C419" s="39"/>
      <c r="D419" s="35" t="str">
        <f ca="1">IFERROR(IF(AND(INDEX(Tab_DaBa[],MATCH(CONCATENATE(Liste!$C$3,$B$287,$B$401),Data!$BO:$BO,0)-2,53)&lt;&gt;"",INDEX(Tab_DaBa[],MATCH(CONCATENATE(Liste!$C$3,$B$287,$B$401),Data!$BO:$BO,0)-2,58)=0),INDEX(Tab_DaBa[],MATCH(CONCATENATE(Liste!$C$3,$B$287,$B$401),Data!$BO:$BO,0)-2,14),IF(INDEX(Tab_DaBa[],MATCH(CONCATENATE(Liste!$C$3,$B$287,$B$401),Data!$BO:$BO,0)-2,53)&lt;&gt;"",INDEX(Tab_DaBa[],MATCH(CONCATENATE(Liste!$C$3,$B$287,$B$401),Data!$BO:$BO,0)-2,59),"")),"")</f>
        <v/>
      </c>
      <c r="E419" s="33"/>
      <c r="F419" s="35" t="str">
        <f ca="1">IFERROR(IF(AND(INDEX(Tab_DaBa[],MATCH(CONCATENATE(Liste!$C$3,$B$287,$B$401),Data!$BO:$BO,0)-2,58)&lt;&gt;"",INDEX(Tab_DaBa[],MATCH(CONCATENATE(Liste!$C$3,$B$287,$B$401),Data!$BO:$BO,0)-2,63)=0),INDEX(Tab_DaBa[],MATCH(CONCATENATE(Liste!$C$3,$B$287,$B$401),Data!$BO:$BO,0)-2,14),IF(INDEX(Tab_DaBa[],MATCH(CONCATENATE(Liste!$C$3,$B$287,$B$401),Data!$BO:$BO,0)-2,58)&lt;&gt;"",INDEX(Tab_DaBa[],MATCH(CONCATENATE(Liste!$C$3,$B$287,$B$401),Data!$BO:$BO,0)-2,64),"")),"")</f>
        <v/>
      </c>
      <c r="G419" s="39"/>
      <c r="H419" s="35" t="str">
        <f ca="1">IFERROR(IF(INDEX(Tab_DaBa[],MATCH(CONCATENATE(Liste!$C$3,$B$287,$B$401),Data!$BO:$BO,0)-2,63)&lt;&gt;"",INDEX(Tab_DaBa[],MATCH(CONCATENATE(Liste!$C$3,$B$287,$B$401),Data!$BO:$BO,0)-2,14),""),"")</f>
        <v/>
      </c>
    </row>
    <row r="420" spans="2:9" s="16" customFormat="1" ht="15.75">
      <c r="B420" s="35" t="str">
        <f ca="1">IFERROR(IF(AND(INDEX(Tab_DaBa[],MATCH(CONCATENATE(Liste!$C$3,$B$287,$B$401),Data!$BO:$BO,0)-2,48)&lt;&gt;"",INDEX(Tab_DaBa[],MATCH(CONCATENATE(Liste!$C$3,$B$287,$B$401),Data!$BO:$BO,0)-2,53)=0),INDEX(Tab_DaBa[],MATCH(CONCATENATE(Liste!$C$3,$B$287,$B$401),Data!$BO:$BO,0)-2,12),IF(INDEX(Tab_DaBa[],MATCH(CONCATENATE(Liste!$C$3,$B$287,$B$401),Data!$BO:$BO,0)-2,48)&lt;&gt;"",INDEX(Tab_DaBa[],MATCH(CONCATENATE(Liste!$C$3,$B$287,$B$401),Data!$BO:$BO,0)-2,52),"")),"")</f>
        <v/>
      </c>
      <c r="C420" s="39"/>
      <c r="D420" s="35" t="str">
        <f ca="1">IFERROR(IF(AND(INDEX(Tab_DaBa[],MATCH(CONCATENATE(Liste!$C$3,$B$287,$B$401),Data!$BO:$BO,0)-2,53)&lt;&gt;"",INDEX(Tab_DaBa[],MATCH(CONCATENATE(Liste!$C$3,$B$287,$B$401),Data!$BO:$BO,0)-2,58)=0),INDEX(Tab_DaBa[],MATCH(CONCATENATE(Liste!$C$3,$B$287,$B$401),Data!$BO:$BO,0)-2,12),IF(INDEX(Tab_DaBa[],MATCH(CONCATENATE(Liste!$C$3,$B$287,$B$401),Data!$BO:$BO,0)-2,53)&lt;&gt;"",INDEX(Tab_DaBa[],MATCH(CONCATENATE(Liste!$C$3,$B$287,$B$401),Data!$BO:$BO,0)-2,57),"")),"")</f>
        <v/>
      </c>
      <c r="E420" s="37"/>
      <c r="F420" s="35" t="str">
        <f ca="1">IFERROR(IF(AND(INDEX(Tab_DaBa[],MATCH(CONCATENATE(Liste!$C$3,$B$287,$B$401),Data!$BO:$BO,0)-2,58)&lt;&gt;"",INDEX(Tab_DaBa[],MATCH(CONCATENATE(Liste!$C$3,$B$287,$B$401),Data!$BO:$BO,0)-2,63)=0),INDEX(Tab_DaBa[],MATCH(CONCATENATE(Liste!$C$3,$B$287,$B$401),Data!$BO:$BO,0)-2,12),IF(INDEX(Tab_DaBa[],MATCH(CONCATENATE(Liste!$C$3,$B$287,$B$401),Data!$BO:$BO,0)-2,58)&lt;&gt;"",INDEX(Tab_DaBa[],MATCH(CONCATENATE(Liste!$C$3,$B$287,$B$401),Data!$BO:$BO,0)-2,62),"")),"")</f>
        <v/>
      </c>
      <c r="G420" s="39"/>
      <c r="H420" s="35" t="str">
        <f ca="1">IFERROR(IF(INDEX(Tab_DaBa[],MATCH(CONCATENATE(Liste!$C$3,$B$287,$B$401),Data!$BO:$BO,0)-2,63)&lt;&gt;"",INDEX(Tab_DaBa[],MATCH(CONCATENATE(Liste!$C$3,$B$287,$B$401),Data!$BO:$BO,0)-2,12),""),"")</f>
        <v/>
      </c>
    </row>
    <row r="421" spans="2:9" s="16" customFormat="1" ht="15.75">
      <c r="B421" s="35" t="str">
        <f ca="1">IFERROR(IF(AND(INDEX(Tab_DaBa[],MATCH(CONCATENATE(Liste!$C$3,$B$287,$B$401),Data!$BO:$BO,0)-2,48)&lt;&gt;"",INDEX(Tab_DaBa[],MATCH(CONCATENATE(Liste!$C$3,$B$287,$B$401),Data!$BO:$BO,0)-2,53)=""),INDEX(Tab_DaBa[],MATCH(CONCATENATE(Liste!$C$3,$B$287,$B$401),Data!$BO:$BO,0)-2,13),IF(INDEX(Tab_DaBa[],MATCH(CONCATENATE(Liste!$C$3,$B$287,$B$401),Data!$BO:$BO,0)-2,48)&lt;&gt;"",INDEX(Tab_DaBa[],MATCH(CONCATENATE(Liste!$C$3,$B$287,$B$401),Data!$BO:$BO,0)-2,53),"")),"")</f>
        <v/>
      </c>
      <c r="C421" s="38" t="str">
        <f ca="1">IF(D419="","",4)</f>
        <v/>
      </c>
      <c r="D421" s="35" t="str">
        <f ca="1">IFERROR(IF(AND(INDEX(Tab_DaBa[],MATCH(CONCATENATE(Liste!$C$3,$B$287,$B$401),Data!$BO:$BO,0)-2,53)&lt;&gt;"",INDEX(Tab_DaBa[],MATCH(CONCATENATE(Liste!$C$3,$B$287,$B$401),Data!$BO:$BO,0)-2,58)=""),INDEX(Tab_DaBa[],MATCH(CONCATENATE(Liste!$C$3,$B$287,$B$401),Data!$BO:$BO,0)-2,13),IF(INDEX(Tab_DaBa[],MATCH(CONCATENATE(Liste!$C$3,$B$287,$B$401),Data!$BO:$BO,0)-2,53)&lt;&gt;"",INDEX(Tab_DaBa[],MATCH(CONCATENATE(Liste!$C$3,$B$287,$B$401),Data!$BO:$BO,0)-2,58),"")),"")</f>
        <v/>
      </c>
      <c r="E421" s="38" t="str">
        <f ca="1">IF(F419="","",4)</f>
        <v/>
      </c>
      <c r="F421" s="35" t="str">
        <f ca="1">IFERROR(IF(AND(INDEX(Tab_DaBa[],MATCH(CONCATENATE(Liste!$C$3,$B$287,$B$401),Data!$BO:$BO,0)-2,58)&lt;&gt;"",INDEX(Tab_DaBa[],MATCH(CONCATENATE(Liste!$C$3,$B$287,$B$401),Data!$BO:$BO,0)-2,63)=""),INDEX(Tab_DaBa[],MATCH(CONCATENATE(Liste!$C$3,$B$287,$B$401),Data!$BO:$BO,0)-2,13),IF(INDEX(Tab_DaBa[],MATCH(CONCATENATE(Liste!$C$3,$B$287,$B$401),Data!$BO:$BO,0)-2,58)&lt;&gt;"",INDEX(Tab_DaBa[],MATCH(CONCATENATE(Liste!$C$3,$B$287,$B$401),Data!$BO:$BO,0)-2,63),"")),"")</f>
        <v/>
      </c>
      <c r="G421" s="38" t="str">
        <f ca="1">IF(H419="","",4)</f>
        <v/>
      </c>
      <c r="H421" s="35" t="str">
        <f ca="1">IFERROR(IF(INDEX(Tab_DaBa[],MATCH(CONCATENATE(Liste!$C$3,$B$287,$B$401),Data!$BO:$BO,0)-2,63)&lt;&gt;"",INDEX(Tab_DaBa[],MATCH(CONCATENATE(Liste!$C$3,$B$287,$B$401),Data!$BO:$BO,0)-2,13),""),"")</f>
        <v/>
      </c>
    </row>
    <row r="422" spans="2:9" s="16" customFormat="1" ht="15.75">
      <c r="B422" s="35" t="str">
        <f ca="1">IFERROR(IF(AND(INDEX(Tab_DaBa[],MATCH(CONCATENATE(Liste!$C$3,$B$287,$B$401),Data!$BO:$BO,0)-2,48)&lt;&gt;"",INDEX(Tab_DaBa[],MATCH(CONCATENATE(Liste!$C$3,$B$287,$B$401),Data!$BO:$BO,0)-2,53)=""),"Performance Level: "&amp;INDEX(Tab_DaBa[],MATCH(CONCATENATE(Liste!$C$3,$B$287,$B$401),Data!$BO:$BO,0)-2,15),IF(INDEX(Tab_DaBa[],MATCH(CONCATENATE(Liste!$C$3,$B$287,$B$401),Data!$BO:$BO,0)-2,48)&lt;&gt;"","Performance Level: "&amp;INDEX(Tab_DaBa[],MATCH(CONCATENATE(Liste!$C$3,$B$287,$B$401),Data!$BO:$BO,0)-2,55),"")),"")</f>
        <v/>
      </c>
      <c r="C422" s="39"/>
      <c r="D422" s="35" t="str">
        <f ca="1">IFERROR(IF(AND(INDEX(Tab_DaBa[],MATCH(CONCATENATE(Liste!$C$3,$B$287,$B$401),Data!$BO:$BO,0)-2,53)&lt;&gt;"",INDEX(Tab_DaBa[],MATCH(CONCATENATE(Liste!$C$3,$B$287,$B$401),Data!$BO:$BO,0)-2,58)=""),"Performance Level: "&amp;INDEX(Tab_DaBa[],MATCH(CONCATENATE(Liste!$C$3,$B$287,$B$401),Data!$BO:$BO,0)-2,15),IF(INDEX(Tab_DaBa[],MATCH(CONCATENATE(Liste!$C$3,$B$287,$B$401),Data!$BO:$BO,0)-2,53)&lt;&gt;"","Performance Level: "&amp;INDEX(Tab_DaBa[],MATCH(CONCATENATE(Liste!$C$3,$B$287,$B$401),Data!$BO:$BO,0)-2,60),"")),"")</f>
        <v/>
      </c>
      <c r="E422" s="37"/>
      <c r="F422" s="35" t="str">
        <f ca="1">IFERROR(IF(AND(INDEX(Tab_DaBa[],MATCH(CONCATENATE(Liste!$C$3,$B$287,$B$401),Data!$BO:$BO,0)-2,58)&lt;&gt;"",INDEX(Tab_DaBa[],MATCH(CONCATENATE(Liste!$C$3,$B$287,$B$401),Data!$BO:$BO,0)-2,63)=""),"Performance Level: "&amp;INDEX(Tab_DaBa[],MATCH(CONCATENATE(Liste!$C$3,$B$287,$B$401),Data!$BO:$BO,0)-2,15),IF(INDEX(Tab_DaBa[],MATCH(CONCATENATE(Liste!$C$3,$B$287,$B$401),Data!$BO:$BO,0)-2,58)&lt;&gt;"","Performance Level: "&amp;INDEX(Tab_DaBa[],MATCH(CONCATENATE(Liste!$C$3,$B$287,$B$401),Data!$BO:$BO,0)-2,65),"")),"")</f>
        <v/>
      </c>
      <c r="G422" s="39"/>
      <c r="H422" s="35" t="str">
        <f ca="1">IFERROR(IF(INDEX(Tab_DaBa[],MATCH(CONCATENATE(Liste!$C$3,$B$287,$B$401),Data!$BO:$BO,0)-2,63)&lt;&gt;"","Performance Level: "&amp;INDEX(Tab_DaBa[],MATCH(CONCATENATE(Liste!$C$3,$B$287,$B$401),Data!$BO:$BO,0)-2,15),""),"")</f>
        <v/>
      </c>
    </row>
    <row r="423" spans="2:9" s="16" customFormat="1" ht="15.75">
      <c r="B423" s="35" t="str">
        <f ca="1">IFERROR(IF(AND(INDEX(Tab_DaBa[],MATCH(CONCATENATE(Liste!$C$3,$B$287,$B$401),Data!$BO:$BO,0)-2,48)&lt;&gt;"",INDEX(Tab_DaBa[],MATCH(CONCATENATE(Liste!$C$3,$B$287,$B$401),Data!$BO:$BO,0)-2,53)=""),"PFH [1/h] = "&amp;10^9*INDEX(Tab_DaBa[],MATCH(CONCATENATE(Liste!$C$3,$B$287,$B$401),Data!$BO:$BO,0)-2,16)&amp;"E-9",IF(INDEX(Tab_DaBa[],MATCH(CONCATENATE(Liste!$C$3,$B$287,$B$401),Data!$BO:$BO,0)-2,48)&lt;&gt;"","PFH [1/h] = "&amp;10^9*INDEX(Tab_DaBa[],MATCH(CONCATENATE(Liste!$C$3,$B$287,$B$401),Data!$BO:$BO,0)-2,56)&amp;"E-9","")),"")</f>
        <v/>
      </c>
      <c r="C423" s="39"/>
      <c r="D423" s="35" t="str">
        <f ca="1">IFERROR(IF(AND(INDEX(Tab_DaBa[],MATCH(CONCATENATE(Liste!$C$3,$B$287,$B$401),Data!$BO:$BO,0)-2,53)&lt;&gt;"",INDEX(Tab_DaBa[],MATCH(CONCATENATE(Liste!$C$3,$B$287,$B$401),Data!$BO:$BO,0)-2,58)=""),"PFH [1/h] = "&amp;10^9*INDEX(Tab_DaBa[],MATCH(CONCATENATE(Liste!$C$3,$B$287,$B$401),Data!$BO:$BO,0)-2,16)&amp;"E-9",IF(INDEX(Tab_DaBa[],MATCH(CONCATENATE(Liste!$C$3,$B$287,$B$401),Data!$BO:$BO,0)-2,53)&lt;&gt;"","PFH [1/h] = "&amp;10^9*INDEX(Tab_DaBa[],MATCH(CONCATENATE(Liste!$C$3,$B$287,$B$401),Data!$BO:$BO,0)-2,61)&amp;"E-9","")),"")</f>
        <v/>
      </c>
      <c r="E423" s="37"/>
      <c r="F423" s="35" t="str">
        <f ca="1">IFERROR(IF(AND(INDEX(Tab_DaBa[],MATCH(CONCATENATE(Liste!$C$3,$B$287,$B$401),Data!$BO:$BO,0)-2,58)&lt;&gt;"",INDEX(Tab_DaBa[],MATCH(CONCATENATE(Liste!$C$3,$B$287,$B$401),Data!$BO:$BO,0)-2,63)=""),"PFH [1/h] = "&amp;10^9*INDEX(Tab_DaBa[],MATCH(CONCATENATE(Liste!$C$3,$B$287,$B$401),Data!$BO:$BO,0)-2,16)&amp;"E-9",IF(INDEX(Tab_DaBa[],MATCH(CONCATENATE(Liste!$C$3,$B$287,$B$401),Data!$BO:$BO,0)-2,58)&lt;&gt;"","PFH [1/h] = "&amp;10^9*INDEX(Tab_DaBa[],MATCH(CONCATENATE(Liste!$C$3,$B$287,$B$401),Data!$BO:$BO,0)-2,66)&amp;"E-9","")),"")</f>
        <v/>
      </c>
      <c r="G423" s="39"/>
      <c r="H423" s="35" t="str">
        <f ca="1">IFERROR(IF(INDEX(Tab_DaBa[],MATCH(CONCATENATE(Liste!$C$3,$B$287,$B$401),Data!$BO:$BO,0)-2,63)&lt;&gt;"","PFH [1/h] = "&amp;10^9*INDEX(Tab_DaBa[],MATCH(CONCATENATE(Liste!$C$3,$B$287,$B$401),Data!$BO:$BO,0)-2,16)&amp;"E-9",""),"")</f>
        <v/>
      </c>
    </row>
    <row r="424" spans="2:9" s="16" customFormat="1"/>
    <row r="425" spans="2:9" s="16" customFormat="1">
      <c r="B425" s="43" t="str">
        <f ca="1">IF(D425="","","Erforderlich")</f>
        <v>Erforderlich</v>
      </c>
      <c r="D425" s="44" t="str">
        <f ca="1">IFERROR("Performance Level: "&amp;INDEX(Tab_DaBa[],MATCH(CONCATENATE(Liste!$C$3,$B$287,$B$401),Data!$BO:$BO,0)-2,4),"")</f>
        <v>Performance Level: PLr_ges2_5</v>
      </c>
    </row>
    <row r="426" spans="2:9" s="16" customFormat="1">
      <c r="B426" s="45"/>
    </row>
    <row r="427" spans="2:9" s="16" customFormat="1">
      <c r="B427" s="46" t="str">
        <f ca="1">IF(D427="","","Erreicht")</f>
        <v>Erreicht</v>
      </c>
      <c r="D427" s="47" t="str">
        <f ca="1">IFERROR("Performance Level: "&amp;INDEX(Tab_DaBa[],MATCH(CONCATENATE(Liste!$C$3,$B$287,$B$401),Data!$BO:$BO,0)-2,5)&amp;"          PFH [1/h] = "&amp;10^9*INDEX(Tab_DaBa[],MATCH(CONCATENATE(Liste!$C$3,$B$287,$B$401),Data!$BO:$BO,0)-2,6)&amp;"E-9","")</f>
        <v>Performance Level: Pl_ges2_5          PFH [1/h] = 71,7E-9</v>
      </c>
    </row>
    <row r="428" spans="2:9" s="16" customFormat="1"/>
    <row r="429" spans="2:9" s="16" customFormat="1">
      <c r="B429" s="42" t="str">
        <f ca="1">IFERROR(IF(6&gt;COUNTIF(Data!$BP:$BP,CONCATENATE(Liste!$C$3,$B$287)),"",INDEX(Tab_DaBa[],MATCH(CONCATENATE(Liste!$C$3,$B$287),Data!$BP:$BP,0)+3,3)),"")</f>
        <v>2.6 test2 (E+6L+A)</v>
      </c>
    </row>
    <row r="430" spans="2:9" s="16" customFormat="1"/>
    <row r="431" spans="2:9" s="16" customFormat="1" ht="15.75">
      <c r="B431" s="35" t="str">
        <f ca="1">IFERROR(INDEX(Tab_DaBa[],MATCH(CONCATENATE(Liste!$C$3,$B$287,$B$429),Data!$BO:$BO,0)-2,9),"")</f>
        <v>Eingang</v>
      </c>
      <c r="C431" s="54"/>
      <c r="D431" s="35" t="str">
        <f ca="1">IFERROR(IF(INDEX(Tab_DaBa[],MATCH(CONCATENATE(Liste!$C$3,$B$287,$B$429),Data!$BO:$BO,0)-2,18)=0,INDEX(Tab_DaBa[],MATCH(CONCATENATE(Liste!$C$3,$B$287,$B$429),Data!$BO:$BO,0)-2,14),INDEX(Tab_DaBa[],MATCH(CONCATENATE(Liste!$C$3,$B$287,$B$429),Data!$BO:$BO,0)-2,19)),"")</f>
        <v>Logik 01</v>
      </c>
      <c r="E431" s="33"/>
      <c r="F431" s="35" t="str">
        <f ca="1">IFERROR(IF(AND(INDEX(Tab_DaBa[],MATCH(CONCATENATE(Liste!$C$3,$B$287,$B$429),Data!$BO:$BO,0)-2,18)&lt;&gt;"",INDEX(Tab_DaBa[],MATCH(CONCATENATE(Liste!$C$3,$B$287,$B$429),Data!$BO:$BO,0)-2,23)=0),INDEX(Tab_DaBa[],MATCH(CONCATENATE(Liste!$C$3,$B$287,$B$429),Data!$BO:$BO,0)-2,14),IF(INDEX(Tab_DaBa[],MATCH(CONCATENATE(Liste!$C$3,$B$287,$B$429),Data!$BO:$BO,0)-2,23)&lt;&gt;"",INDEX(Tab_DaBa[],MATCH(CONCATENATE(Liste!$C$3,$B$287,$B$429),Data!$BO:$BO,0)-2,24),"")),"")</f>
        <v>Logik 02</v>
      </c>
      <c r="G431" s="39"/>
      <c r="H431" s="35" t="str">
        <f ca="1">IFERROR(IF(AND(INDEX(Tab_DaBa[],MATCH(CONCATENATE(Liste!$C$3,$B$287,$B$429),Data!$BO:$BO,0)-2,23)&lt;&gt;"",INDEX(Tab_DaBa[],MATCH(CONCATENATE(Liste!$C$3,$B$287,$B$429),Data!$BO:$BO,0)-2,28)=0),INDEX(Tab_DaBa[],MATCH(CONCATENATE(Liste!$C$3,$B$287,$B$429),Data!$BO:$BO,0)-2,14),IF(INDEX(Tab_DaBa[],MATCH(CONCATENATE(Liste!$C$3,$B$287,$B$429),Data!$BO:$BO,0)-2,23)&lt;&gt;"",INDEX(Tab_DaBa[],MATCH(CONCATENATE(Liste!$C$3,$B$287,$B$429),Data!$BO:$BO,0)-2,29),"")),"")</f>
        <v>Logik 03</v>
      </c>
      <c r="I431" s="39"/>
    </row>
    <row r="432" spans="2:9" s="16" customFormat="1" ht="15.75">
      <c r="B432" s="35" t="str">
        <f ca="1">IFERROR(INDEX(Tab_DaBa[],MATCH(CONCATENATE(Liste!$C$3,$B$287,$B$429),Data!$BO:$BO,0)-2,7),"")</f>
        <v>eeee-22_6</v>
      </c>
      <c r="C432" s="54"/>
      <c r="D432" s="35" t="str">
        <f ca="1">IFERROR(IF(INDEX(Tab_DaBa[],MATCH(CONCATENATE(Liste!$C$3,$B$287,$B$429),Data!$BO:$BO,0)-2,18)="",INDEX(Tab_DaBa[],MATCH(CONCATENATE(Liste!$C$3,$B$287,$B$429),Data!$BO:$BO,0)-2,12),INDEX(Tab_DaBa[],MATCH(CONCATENATE(Liste!$C$3,$B$287,$B$429),Data!$BO:$BO,0)-2,17)),"")</f>
        <v>Log02-02_06</v>
      </c>
      <c r="E432" s="36"/>
      <c r="F432" s="35" t="str">
        <f ca="1">IFERROR(IF(AND(INDEX(Tab_DaBa[],MATCH(CONCATENATE(Liste!$C$3,$B$287,$B$429),Data!$BO:$BO,0)-2,18)&lt;&gt;"",INDEX(Tab_DaBa[],MATCH(CONCATENATE(Liste!$C$3,$B$287,$B$429),Data!$BO:$BO,0)-2,23)=0),INDEX(Tab_DaBa[],MATCH(CONCATENATE(Liste!$C$3,$B$287,$B$429),Data!$BO:$BO,0)-2,12),IF(INDEX(Tab_DaBa[],MATCH(CONCATENATE(Liste!$C$3,$B$287,$B$429),Data!$BO:$BO,0)-2,23)&lt;&gt;"",INDEX(Tab_DaBa[],MATCH(CONCATENATE(Liste!$C$3,$B$287,$B$429),Data!$BO:$BO,0)-2,22),"")),"")</f>
        <v>Lo02-22_6</v>
      </c>
      <c r="G432" s="39"/>
      <c r="H432" s="35" t="str">
        <f ca="1">IFERROR(IF(AND(INDEX(Tab_DaBa[],MATCH(CONCATENATE(Liste!$C$3,$B$287,$B$429),Data!$BO:$BO,0)-2,23)&lt;&gt;"",INDEX(Tab_DaBa[],MATCH(CONCATENATE(Liste!$C$3,$B$287,$B$429),Data!$BO:$BO,0)-2,28)=0),INDEX(Tab_DaBa[],MATCH(CONCATENATE(Liste!$C$3,$B$287,$B$429),Data!$BO:$BO,0)-2,12),IF(INDEX(Tab_DaBa[],MATCH(CONCATENATE(Liste!$C$3,$B$287,$B$429),Data!$BO:$BO,0)-2,23)&lt;&gt;"",INDEX(Tab_DaBa[],MATCH(CONCATENATE(Liste!$C$3,$B$287,$B$429),Data!$BO:$BO,0)-2,27),"")),"")</f>
        <v>Lo02-22_6</v>
      </c>
      <c r="I432" s="39"/>
    </row>
    <row r="433" spans="2:9" s="16" customFormat="1" ht="15.75">
      <c r="B433" s="35" t="str">
        <f ca="1">IFERROR(INDEX(Tab_DaBa[],MATCH(CONCATENATE(Liste!$C$3,$B$287,$B$429),Data!$BO:$BO,0)-2,8),"")</f>
        <v>Bez_Ein2_6</v>
      </c>
      <c r="C433" s="40">
        <f ca="1">IF(D431="","",4)</f>
        <v>4</v>
      </c>
      <c r="D433" s="35" t="str">
        <f ca="1">IFERROR(IF(INDEX(Tab_DaBa[],MATCH(CONCATENATE(Liste!$C$3,$B$287,$B$429),Data!$BO:$BO,0)-2,18)="",INDEX(Tab_DaBa[],MATCH(CONCATENATE(Liste!$C$3,$B$287,$B$429),Data!$BO:$BO,0)-2,13),INDEX(Tab_DaBa[],MATCH(CONCATENATE(Liste!$C$3,$B$287,$B$429),Data!$BO:$BO,0)-2,18)),"")</f>
        <v>Bez_Log01_02_06</v>
      </c>
      <c r="E433" s="40">
        <f ca="1">IF(F431="","",4)</f>
        <v>4</v>
      </c>
      <c r="F433" s="35" t="str">
        <f ca="1">IFERROR(IF(AND(INDEX(Tab_DaBa[],MATCH(CONCATENATE(Liste!$C$3,$B$287,$B$429),Data!$BO:$BO,0)-2,18)&lt;&gt;"",INDEX(Tab_DaBa[],MATCH(CONCATENATE(Liste!$C$3,$B$287,$B$429),Data!$BO:$BO,0)-2,23)=""),INDEX(Tab_DaBa[],MATCH(CONCATENATE(Liste!$C$3,$B$287,$B$429),Data!$BO:$BO,0)-2,13),IF(INDEX(Tab_DaBa[],MATCH(CONCATENATE(Liste!$C$3,$B$287,$B$429),Data!$BO:$BO,0)-2,23)&lt;&gt;"",INDEX(Tab_DaBa[],MATCH(CONCATENATE(Liste!$C$3,$B$287,$B$429),Data!$BO:$BO,0)-2,23),"")),"")</f>
        <v>Bez_Lo02_6</v>
      </c>
      <c r="G433" s="38">
        <f ca="1">IF(H431="","",4)</f>
        <v>4</v>
      </c>
      <c r="H433" s="35" t="str">
        <f ca="1">IFERROR(IF(AND(INDEX(Tab_DaBa[],MATCH(CONCATENATE(Liste!$C$3,$B$287,$B$429),Data!$BO:$BO,0)-2,23)&lt;&gt;"",INDEX(Tab_DaBa[],MATCH(CONCATENATE(Liste!$C$3,$B$287,$B$429),Data!$BO:$BO,0)-2,28)=""),INDEX(Tab_DaBa[],MATCH(CONCATENATE(Liste!$C$3,$B$287,$B$429),Data!$BO:$BO,0)-2,13),IF(INDEX(Tab_DaBa[],MATCH(CONCATENATE(Liste!$C$3,$B$287,$B$429),Data!$BO:$BO,0)-2,23)&lt;&gt;"",INDEX(Tab_DaBa[],MATCH(CONCATENATE(Liste!$C$3,$B$287,$B$429),Data!$BO:$BO,0)-2,28),"")),"")</f>
        <v>Bez_Lo02_6</v>
      </c>
      <c r="I433" s="38">
        <f ca="1">IF(B439="","",6)</f>
        <v>6</v>
      </c>
    </row>
    <row r="434" spans="2:9" s="16" customFormat="1" ht="15.75">
      <c r="B434" s="35" t="str">
        <f ca="1">IFERROR("Performance Level: "&amp;INDEX(Tab_DaBa[],MATCH(CONCATENATE(Liste!$C$3,$B$287,$B$429),Data!$BO:$BO,0)-2,10),"")</f>
        <v>Performance Level: PL_Ein2_6</v>
      </c>
      <c r="C434" s="54"/>
      <c r="D434" s="35" t="str">
        <f ca="1">IFERROR(IF(INDEX(Tab_DaBa[],MATCH(CONCATENATE(Liste!$C$3,$B$287,$B$429),Data!$BO:$BO,0)-2,18)="","Performance Level: "&amp;INDEX(Tab_DaBa[],MATCH(CONCATENATE(Liste!$C$3,$B$287,$B$429),Data!$BO:$BO,0)-2,15),"Performance Level: "&amp;INDEX(Tab_DaBa[],MATCH(CONCATENATE(Liste!$C$3,$B$287,$B$429),Data!$BO:$BO,0)-2,20)),"")</f>
        <v>Performance Level: PL_Lo02_6</v>
      </c>
      <c r="E434" s="36"/>
      <c r="F434" s="35" t="str">
        <f ca="1">IFERROR(IF(AND(INDEX(Tab_DaBa[],MATCH(CONCATENATE(Liste!$C$3,$B$287,$B$429),Data!$BO:$BO,0)-2,18)&lt;&gt;"",INDEX(Tab_DaBa[],MATCH(CONCATENATE(Liste!$C$3,$B$287,$B$429),Data!$BO:$BO,0)-2,23)=""),"Performance Level: "&amp;INDEX(Tab_DaBa[],MATCH(CONCATENATE(Liste!$C$3,$B$287,$B$429),Data!$BO:$BO,0)-2,15),IF(INDEX(Tab_DaBa[],MATCH(CONCATENATE(Liste!$C$3,$B$287,$B$429),Data!$BO:$BO,0)-2,23)&lt;&gt;"","Performance Level: "&amp;INDEX(Tab_DaBa[],MATCH(CONCATENATE(Liste!$C$3,$B$287,$B$429),Data!$BO:$BO,0)-2,25),"")),"")</f>
        <v>Performance Level: PL_Lo02_6</v>
      </c>
      <c r="G434" s="39"/>
      <c r="H434" s="35" t="str">
        <f ca="1">IFERROR(IF(AND(INDEX(Tab_DaBa[],MATCH(CONCATENATE(Liste!$C$3,$B$287,$B$429),Data!$BO:$BO,0)-2,23)&lt;&gt;"",INDEX(Tab_DaBa[],MATCH(CONCATENATE(Liste!$C$3,$B$287,$B$429),Data!$BO:$BO,0)-2,28)=""),"Performance Level: "&amp;INDEX(Tab_DaBa[],MATCH(CONCATENATE(Liste!$C$3,$B$287,$B$429),Data!$BO:$BO,0)-2,15),IF(INDEX(Tab_DaBa[],MATCH(CONCATENATE(Liste!$C$3,$B$287,$B$429),Data!$BO:$BO,0)-2,23)&lt;&gt;"","Performance Level: "&amp;INDEX(Tab_DaBa[],MATCH(CONCATENATE(Liste!$C$3,$B$287,$B$429),Data!$BO:$BO,0)-2,30),"")),"")</f>
        <v>Performance Level: PL_Lo02_6</v>
      </c>
      <c r="I434" s="38"/>
    </row>
    <row r="435" spans="2:9" s="16" customFormat="1" ht="15.75">
      <c r="B435" s="53" t="str">
        <f ca="1">IFERROR("PFH [1/h] = "&amp;10^9*INDEX(Tab_DaBa[],MATCH(CONCATENATE(Liste!$C$3,$B$287,$B$429),Data!$BO:$BO,0)-2,11)&amp;"E-9","")</f>
        <v>PFH [1/h] = 42,9E-9</v>
      </c>
      <c r="C435" s="54"/>
      <c r="D435" s="35" t="str">
        <f ca="1">IFERROR(IF(INDEX(Tab_DaBa[],MATCH(CONCATENATE(Liste!$C$3,$B$287,$B$429),Data!$BO:$BO,0)-2,18)="","PFH [1/h] = "&amp;10^9*INDEX(Tab_DaBa[],MATCH(CONCATENATE(Liste!$C$3,$B$287,$B$429),Data!$BO:$BO,0)-2,16)&amp;"E-9","PFH [1/h] = "&amp;10^9*INDEX(Tab_DaBa[],MATCH(CONCATENATE(Liste!$C$3,$B$287,$B$429),Data!$BO:$BO,0)-2,21)&amp;"E-9"),"")</f>
        <v>PFH [1/h] = 4,19E-9</v>
      </c>
      <c r="E435" s="36"/>
      <c r="F435" s="35" t="str">
        <f ca="1">IFERROR(IF(AND(INDEX(Tab_DaBa[],MATCH(CONCATENATE(Liste!$C$3,$B$287,$B$429),Data!$BO:$BO,0)-2,18)&lt;&gt;"",INDEX(Tab_DaBa[],MATCH(CONCATENATE(Liste!$C$3,$B$287,$B$429),Data!$BO:$BO,0)-2,23)=""),"PFH [1/h] = "&amp;10^9*INDEX(Tab_DaBa[],MATCH(CONCATENATE(Liste!$C$3,$B$287,$B$429),Data!$BO:$BO,0)-2,16)&amp;"E-9",IF(INDEX(Tab_DaBa[],MATCH(CONCATENATE(Liste!$C$3,$B$287,$B$429),Data!$BO:$BO,0)-2,23)&lt;&gt;"","PFH [1/h] = "&amp;10^9*INDEX(Tab_DaBa[],MATCH(CONCATENATE(Liste!$C$3,$B$287,$B$429),Data!$BO:$BO,0)-2,26)&amp;"E-9","")),"")</f>
        <v>PFH [1/h] = 4,19E-9</v>
      </c>
      <c r="G435" s="39"/>
      <c r="H435" s="35" t="str">
        <f ca="1">IFERROR(IF(AND(INDEX(Tab_DaBa[],MATCH(CONCATENATE(Liste!$C$3,$B$287,$B$429),Data!$BO:$BO,0)-2,23)&lt;&gt;"",INDEX(Tab_DaBa[],MATCH(CONCATENATE(Liste!$C$3,$B$287,$B$429),Data!$BO:$BO,0)-2,28)=""),"PFH [1/h] = "&amp;10^9*INDEX(Tab_DaBa[],MATCH(CONCATENATE(Liste!$C$3,$B$287,$B$429),Data!$BO:$BO,0)-2,16)&amp;"E-9",IF(INDEX(Tab_DaBa[],MATCH(CONCATENATE(Liste!$C$3,$B$287,$B$429),Data!$BO:$BO,0)-2,23)&lt;&gt;"","PFH [1/h] = "&amp;10^9*INDEX(Tab_DaBa[],MATCH(CONCATENATE(Liste!$C$3,$B$287,$B$429),Data!$BO:$BO,0)-2,31)&amp;"E-9","")),"")</f>
        <v>PFH [1/h] = 4,19E-9</v>
      </c>
      <c r="I435" s="39"/>
    </row>
    <row r="436" spans="2:9" s="16" customFormat="1">
      <c r="B436" s="33"/>
      <c r="C436" s="34"/>
      <c r="D436" s="33"/>
      <c r="E436" s="33"/>
      <c r="F436" s="33"/>
      <c r="G436" s="33"/>
      <c r="H436" s="33"/>
      <c r="I436" s="33"/>
    </row>
    <row r="437" spans="2:9" s="16" customFormat="1" ht="15.75">
      <c r="B437" s="38">
        <f ca="1">IF(B439="","",6)</f>
        <v>6</v>
      </c>
      <c r="C437" s="34"/>
      <c r="D437" s="38">
        <f ca="1">IF(B439="","",3)</f>
        <v>3</v>
      </c>
      <c r="E437" s="33"/>
      <c r="F437" s="38">
        <f ca="1">IF(B439="","",3)</f>
        <v>3</v>
      </c>
      <c r="G437" s="33"/>
      <c r="H437" s="38">
        <f ca="1">IF(B439="","",3)</f>
        <v>3</v>
      </c>
      <c r="I437" s="33"/>
    </row>
    <row r="438" spans="2:9" s="16" customFormat="1" ht="15.75">
      <c r="B438" s="39"/>
      <c r="C438" s="33"/>
      <c r="D438" s="33"/>
      <c r="E438" s="33"/>
      <c r="F438" s="33"/>
      <c r="G438" s="33"/>
      <c r="H438" s="33"/>
      <c r="I438" s="33"/>
    </row>
    <row r="439" spans="2:9" s="16" customFormat="1" ht="15.75">
      <c r="B439" s="35" t="str">
        <f ca="1">IFERROR(IF(AND(INDEX(Tab_DaBa[],MATCH(CONCATENATE(Liste!$C$3,$B$287,$B$429),Data!$BO:$BO,0)-2,28)&lt;&gt;"",INDEX(Tab_DaBa[],MATCH(CONCATENATE(Liste!$C$3,$B$287,$B$429),Data!$BO:$BO,0)-2,33)=0),INDEX(Tab_DaBa[],MATCH(CONCATENATE(Liste!$C$3,$B$287,$B$429),Data!$BO:$BO,0)-2,14),IF(INDEX(Tab_DaBa[],MATCH(CONCATENATE(Liste!$C$3,$B$287,$B$429),Data!$BO:$BO,0)-2,28)&lt;&gt;"",INDEX(Tab_DaBa[],MATCH(CONCATENATE(Liste!$C$3,$B$287,$B$429),Data!$BO:$BO,0)-2,34),"")),"")</f>
        <v>Logik 04</v>
      </c>
      <c r="C439" s="39"/>
      <c r="D439" s="35" t="str">
        <f ca="1">IFERROR(IF(AND(INDEX(Tab_DaBa[],MATCH(CONCATENATE(Liste!$C$3,$B$287,$B$429),Data!$BO:$BO,0)-2,33)&lt;&gt;"",INDEX(Tab_DaBa[],MATCH(CONCATENATE(Liste!$C$3,$B$287,$B$429),Data!$BO:$BO,0)-2,38)=0),INDEX(Tab_DaBa[],MATCH(CONCATENATE(Liste!$C$3,$B$287,$B$429),Data!$BO:$BO,0)-2,14),IF(INDEX(Tab_DaBa[],MATCH(CONCATENATE(Liste!$C$3,$B$287,$B$429),Data!$BO:$BO,0)-2,33)&lt;&gt;"",INDEX(Tab_DaBa[],MATCH(CONCATENATE(Liste!$C$3,$B$287,$B$429),Data!$BO:$BO,0)-2,39),"")),"")</f>
        <v>Logik 05</v>
      </c>
      <c r="E439" s="33"/>
      <c r="F439" s="35" t="str">
        <f ca="1">IFERROR(IF(AND(INDEX(Tab_DaBa[],MATCH(CONCATENATE(Liste!$C$3,$B$287,$B$429),Data!$BO:$BO,0)-2,38)&lt;&gt;"",INDEX(Tab_DaBa[],MATCH(CONCATENATE(Liste!$C$3,$B$287,$B$429),Data!$BO:$BO,0)-2,43)=0),INDEX(Tab_DaBa[],MATCH(CONCATENATE(Liste!$C$3,$B$287,$B$429),Data!$BO:$BO,0)-2,14),IF(INDEX(Tab_DaBa[],MATCH(CONCATENATE(Liste!$C$3,$B$287,$B$429),Data!$BO:$BO,0)-2,38)&lt;&gt;"",INDEX(Tab_DaBa[],MATCH(CONCATENATE(Liste!$C$3,$B$287,$B$429),Data!$BO:$BO,0)-2,44),"")),"")</f>
        <v>Logik 06</v>
      </c>
      <c r="G439" s="39"/>
      <c r="H439" s="35" t="str">
        <f ca="1">IFERROR(IF(AND(INDEX(Tab_DaBa[],MATCH(CONCATENATE(Liste!$C$3,$B$287,$B$429),Data!$BO:$BO,0)-2,43)&lt;&gt;"",INDEX(Tab_DaBa[],MATCH(CONCATENATE(Liste!$C$3,$B$287,$B$429),Data!$BO:$BO,0)-2,48)=0),INDEX(Tab_DaBa[],MATCH(CONCATENATE(Liste!$C$3,$B$287,$B$429),Data!$BO:$BO,0)-2,14),IF(INDEX(Tab_DaBa[],MATCH(CONCATENATE(Liste!$C$3,$B$287,$B$429),Data!$BO:$BO,0)-2,43)&lt;&gt;"",INDEX(Tab_DaBa[],MATCH(CONCATENATE(Liste!$C$3,$B$287,$B$429),Data!$BO:$BO,0)-2,49),"")),"")</f>
        <v>Ausgang</v>
      </c>
      <c r="I439" s="39"/>
    </row>
    <row r="440" spans="2:9" s="16" customFormat="1" ht="15.75">
      <c r="B440" s="35" t="str">
        <f ca="1">IFERROR(IF(AND(INDEX(Tab_DaBa[],MATCH(CONCATENATE(Liste!$C$3,$B$287,$B$429),Data!$BO:$BO,0)-2,28)&lt;&gt;"",INDEX(Tab_DaBa[],MATCH(CONCATENATE(Liste!$C$3,$B$287,$B$429),Data!$BO:$BO,0)-2,33)=0),INDEX(Tab_DaBa[],MATCH(CONCATENATE(Liste!$C$3,$B$287,$B$429),Data!$BO:$BO,0)-2,12),IF(INDEX(Tab_DaBa[],MATCH(CONCATENATE(Liste!$C$3,$B$287,$B$429),Data!$BO:$BO,0)-2,28)&lt;&gt;"",INDEX(Tab_DaBa[],MATCH(CONCATENATE(Liste!$C$3,$B$287,$B$429),Data!$BO:$BO,0)-2,32),"")),"")</f>
        <v>Lo02-22_6</v>
      </c>
      <c r="C440" s="39"/>
      <c r="D440" s="35" t="str">
        <f ca="1">IFERROR(IF(AND(INDEX(Tab_DaBa[],MATCH(CONCATENATE(Liste!$C$3,$B$287,$B$429),Data!$BO:$BO,0)-2,33)&lt;&gt;"",INDEX(Tab_DaBa[],MATCH(CONCATENATE(Liste!$C$3,$B$287,$B$429),Data!$BO:$BO,0)-2,38)=0),INDEX(Tab_DaBa[],MATCH(CONCATENATE(Liste!$C$3,$B$287,$B$429),Data!$BO:$BO,0)-2,12),IF(INDEX(Tab_DaBa[],MATCH(CONCATENATE(Liste!$C$3,$B$287,$B$429),Data!$BO:$BO,0)-2,33)&lt;&gt;"",INDEX(Tab_DaBa[],MATCH(CONCATENATE(Liste!$C$3,$B$287,$B$429),Data!$BO:$BO,0)-2,37),"")),"")</f>
        <v>Lo02-22_6</v>
      </c>
      <c r="E440" s="37"/>
      <c r="F440" s="35" t="str">
        <f ca="1">IFERROR(IF(AND(INDEX(Tab_DaBa[],MATCH(CONCATENATE(Liste!$C$3,$B$287,$B$429),Data!$BO:$BO,0)-2,38)&lt;&gt;"",INDEX(Tab_DaBa[],MATCH(CONCATENATE(Liste!$C$3,$B$287,$B$429),Data!$BO:$BO,0)-2,43)=0),INDEX(Tab_DaBa[],MATCH(CONCATENATE(Liste!$C$3,$B$287,$B$429),Data!$BO:$BO,0)-2,12),IF(INDEX(Tab_DaBa[],MATCH(CONCATENATE(Liste!$C$3,$B$287,$B$429),Data!$BO:$BO,0)-2,38)&lt;&gt;"",INDEX(Tab_DaBa[],MATCH(CONCATENATE(Liste!$C$3,$B$287,$B$429),Data!$BO:$BO,0)-2,42),"")),"")</f>
        <v>Lo02-22_06</v>
      </c>
      <c r="G440" s="39"/>
      <c r="H440" s="35" t="str">
        <f ca="1">IFERROR(IF(AND(INDEX(Tab_DaBa[],MATCH(CONCATENATE(Liste!$C$3,$B$287,$B$429),Data!$BO:$BO,0)-2,43)&lt;&gt;"",INDEX(Tab_DaBa[],MATCH(CONCATENATE(Liste!$C$3,$B$287,$B$429),Data!$BO:$BO,0)-2,48)=0),INDEX(Tab_DaBa[],MATCH(CONCATENATE(Liste!$C$3,$B$287,$B$429),Data!$BO:$BO,0)-2,12),IF(INDEX(Tab_DaBa[],MATCH(CONCATENATE(Liste!$C$3,$B$287,$B$429),Data!$BO:$BO,0)-2,43)&lt;&gt;"",INDEX(Tab_DaBa[],MATCH(CONCATENATE(Liste!$C$3,$B$287,$B$429),Data!$BO:$BO,0)-2,47),"")),"")</f>
        <v>aaaa-22_6</v>
      </c>
      <c r="I440" s="39"/>
    </row>
    <row r="441" spans="2:9" s="16" customFormat="1" ht="15.75">
      <c r="B441" s="35" t="str">
        <f ca="1">IFERROR(IF(AND(INDEX(Tab_DaBa[],MATCH(CONCATENATE(Liste!$C$3,$B$287,$B$429),Data!$BO:$BO,0)-2,28)&lt;&gt;"",INDEX(Tab_DaBa[],MATCH(CONCATENATE(Liste!$C$3,$B$287,$B$429),Data!$BO:$BO,0)-2,33)=""),INDEX(Tab_DaBa[],MATCH(CONCATENATE(Liste!$C$3,$B$287,$B$429),Data!$BO:$BO,0)-2,13),IF(INDEX(Tab_DaBa[],MATCH(CONCATENATE(Liste!$C$3,$B$287,$B$429),Data!$BO:$BO,0)-2,28)&lt;&gt;"",INDEX(Tab_DaBa[],MATCH(CONCATENATE(Liste!$C$3,$B$287,$B$429),Data!$BO:$BO,0)-2,33),"")),"")</f>
        <v>Bez_Lo02_6</v>
      </c>
      <c r="C441" s="38">
        <f ca="1">IF(D439="","",4)</f>
        <v>4</v>
      </c>
      <c r="D441" s="35" t="str">
        <f ca="1">IFERROR(IF(AND(INDEX(Tab_DaBa[],MATCH(CONCATENATE(Liste!$C$3,$B$287,$B$429),Data!$BO:$BO,0)-2,33)&lt;&gt;"",INDEX(Tab_DaBa[],MATCH(CONCATENATE(Liste!$C$3,$B$287,$B$429),Data!$BO:$BO,0)-2,38)=""),INDEX(Tab_DaBa[],MATCH(CONCATENATE(Liste!$C$3,$B$287,$B$429),Data!$BO:$BO,0)-2,13),IF(INDEX(Tab_DaBa[],MATCH(CONCATENATE(Liste!$C$3,$B$287,$B$429),Data!$BO:$BO,0)-2,33)&lt;&gt;"",INDEX(Tab_DaBa[],MATCH(CONCATENATE(Liste!$C$3,$B$287,$B$429),Data!$BO:$BO,0)-2,38),"")),"")</f>
        <v>Bez_Lo02_6</v>
      </c>
      <c r="E441" s="38">
        <f ca="1">IF(F439="","",4)</f>
        <v>4</v>
      </c>
      <c r="F441" s="35" t="str">
        <f ca="1">IFERROR(IF(AND(INDEX(Tab_DaBa[],MATCH(CONCATENATE(Liste!$C$3,$B$287,$B$429),Data!$BO:$BO,0)-2,38)&lt;&gt;"",INDEX(Tab_DaBa[],MATCH(CONCATENATE(Liste!$C$3,$B$287,$B$429),Data!$BO:$BO,0)-2,43)=""),INDEX(Tab_DaBa[],MATCH(CONCATENATE(Liste!$C$3,$B$287,$B$429),Data!$BO:$BO,0)-2,13),IF(INDEX(Tab_DaBa[],MATCH(CONCATENATE(Liste!$C$3,$B$287,$B$429),Data!$BO:$BO,0)-2,38)&lt;&gt;"",INDEX(Tab_DaBa[],MATCH(CONCATENATE(Liste!$C$3,$B$287,$B$429),Data!$BO:$BO,0)-2,43),"")),"")</f>
        <v>Bez_Lo02_06</v>
      </c>
      <c r="G441" s="38">
        <f ca="1">IF(H439="","",4)</f>
        <v>4</v>
      </c>
      <c r="H441" s="35" t="str">
        <f ca="1">IFERROR(IF(AND(INDEX(Tab_DaBa[],MATCH(CONCATENATE(Liste!$C$3,$B$287,$B$429),Data!$BO:$BO,0)-2,43)&lt;&gt;"",INDEX(Tab_DaBa[],MATCH(CONCATENATE(Liste!$C$3,$B$287,$B$429),Data!$BO:$BO,0)-2,48)=""),INDEX(Tab_DaBa[],MATCH(CONCATENATE(Liste!$C$3,$B$287,$B$429),Data!$BO:$BO,0)-2,13),IF(INDEX(Tab_DaBa[],MATCH(CONCATENATE(Liste!$C$3,$B$287,$B$429),Data!$BO:$BO,0)-2,43)&lt;&gt;"",INDEX(Tab_DaBa[],MATCH(CONCATENATE(Liste!$C$3,$B$287,$B$429),Data!$BO:$BO,0)-2,48),"")),"")</f>
        <v>Bez_Aus2_6</v>
      </c>
      <c r="I441" s="38" t="str">
        <f ca="1">IF(B447="","",6)</f>
        <v/>
      </c>
    </row>
    <row r="442" spans="2:9" s="16" customFormat="1" ht="15.75">
      <c r="B442" s="35" t="str">
        <f ca="1">IFERROR(IF(AND(INDEX(Tab_DaBa[],MATCH(CONCATENATE(Liste!$C$3,$B$287,$B$429),Data!$BO:$BO,0)-2,28)&lt;&gt;"",INDEX(Tab_DaBa[],MATCH(CONCATENATE(Liste!$C$3,$B$287,$B$429),Data!$BO:$BO,0)-2,33)=""),"Performance Level: "&amp;INDEX(Tab_DaBa[],MATCH(CONCATENATE(Liste!$C$3,$B$287,$B$429),Data!$BO:$BO,0)-2,15),IF(INDEX(Tab_DaBa[],MATCH(CONCATENATE(Liste!$C$3,$B$287,$B$429),Data!$BO:$BO,0)-2,28)&lt;&gt;"","Performance Level: "&amp;INDEX(Tab_DaBa[],MATCH(CONCATENATE(Liste!$C$3,$B$287,$B$429),Data!$BO:$BO,0)-2,35),"")),"")</f>
        <v>Performance Level: PL_Lo02_6</v>
      </c>
      <c r="C442" s="39"/>
      <c r="D442" s="35" t="str">
        <f ca="1">IFERROR(IF(AND(INDEX(Tab_DaBa[],MATCH(CONCATENATE(Liste!$C$3,$B$287,$B$429),Data!$BO:$BO,0)-2,33)&lt;&gt;"",INDEX(Tab_DaBa[],MATCH(CONCATENATE(Liste!$C$3,$B$287,$B$429),Data!$BO:$BO,0)-2,38)=""),"Performance Level: "&amp;INDEX(Tab_DaBa[],MATCH(CONCATENATE(Liste!$C$3,$B$287,$B$429),Data!$BO:$BO,0)-2,15),IF(INDEX(Tab_DaBa[],MATCH(CONCATENATE(Liste!$C$3,$B$287,$B$429),Data!$BO:$BO,0)-2,33)&lt;&gt;"","Performance Level: "&amp;INDEX(Tab_DaBa[],MATCH(CONCATENATE(Liste!$C$3,$B$287,$B$429),Data!$BO:$BO,0)-2,40),"")),"")</f>
        <v>Performance Level: PL_Lo02_6</v>
      </c>
      <c r="E442" s="37"/>
      <c r="F442" s="35" t="str">
        <f ca="1">IFERROR(IF(AND(INDEX(Tab_DaBa[],MATCH(CONCATENATE(Liste!$C$3,$B$287,$B$429),Data!$BO:$BO,0)-2,38)&lt;&gt;"",INDEX(Tab_DaBa[],MATCH(CONCATENATE(Liste!$C$3,$B$287,$B$429),Data!$BO:$BO,0)-2,43)=""),"Performance Level: "&amp;INDEX(Tab_DaBa[],MATCH(CONCATENATE(Liste!$C$3,$B$287,$B$429),Data!$BO:$BO,0)-2,15),IF(INDEX(Tab_DaBa[],MATCH(CONCATENATE(Liste!$C$3,$B$287,$B$429),Data!$BO:$BO,0)-2,38)&lt;&gt;"","Performance Level: "&amp;INDEX(Tab_DaBa[],MATCH(CONCATENATE(Liste!$C$3,$B$287,$B$429),Data!$BO:$BO,0)-2,45),"")),"")</f>
        <v>Performance Level: PL_Lo02_06</v>
      </c>
      <c r="G442" s="39"/>
      <c r="H442" s="35" t="str">
        <f ca="1">IFERROR(IF(AND(INDEX(Tab_DaBa[],MATCH(CONCATENATE(Liste!$C$3,$B$287,$B$429),Data!$BO:$BO,0)-2,43)&lt;&gt;"",INDEX(Tab_DaBa[],MATCH(CONCATENATE(Liste!$C$3,$B$287,$B$429),Data!$BO:$BO,0)-2,48)=""),"Performance Level: "&amp;INDEX(Tab_DaBa[],MATCH(CONCATENATE(Liste!$C$3,$B$287,$B$429),Data!$BO:$BO,0)-2,15),IF(INDEX(Tab_DaBa[],MATCH(CONCATENATE(Liste!$C$3,$B$287,$B$429),Data!$BO:$BO,0)-2,43)&lt;&gt;"","Performance Level: "&amp;INDEX(Tab_DaBa[],MATCH(CONCATENATE(Liste!$C$3,$B$287,$B$429),Data!$BO:$BO,0)-2,50),"")),"")</f>
        <v>Performance Level: PL_Aus2_6</v>
      </c>
      <c r="I442" s="39"/>
    </row>
    <row r="443" spans="2:9" s="16" customFormat="1" ht="15.75">
      <c r="B443" s="35" t="str">
        <f ca="1">IFERROR(IF(AND(INDEX(Tab_DaBa[],MATCH(CONCATENATE(Liste!$C$3,$B$287,$B$429),Data!$BO:$BO,0)-2,28)&lt;&gt;"",INDEX(Tab_DaBa[],MATCH(CONCATENATE(Liste!$C$3,$B$287,$B$429),Data!$BO:$BO,0)-2,33)=""),"PFH [1/h] = "&amp;10^9*INDEX(Tab_DaBa[],MATCH(CONCATENATE(Liste!$C$3,$B$287,$B$429),Data!$BO:$BO,0)-2,16)&amp;"E-9",IF(INDEX(Tab_DaBa[],MATCH(CONCATENATE(Liste!$C$3,$B$287,$B$429),Data!$BO:$BO,0)-2,28)&lt;&gt;"","PFH [1/h] = "&amp;10^9*INDEX(Tab_DaBa[],MATCH(CONCATENATE(Liste!$C$3,$B$287,$B$429),Data!$BO:$BO,0)-2,36)&amp;"E-9","")),"")</f>
        <v>PFH [1/h] = 4,19E-9</v>
      </c>
      <c r="C443" s="39"/>
      <c r="D443" s="35" t="str">
        <f ca="1">IFERROR(IF(AND(INDEX(Tab_DaBa[],MATCH(CONCATENATE(Liste!$C$3,$B$287,$B$429),Data!$BO:$BO,0)-2,33)&lt;&gt;"",INDEX(Tab_DaBa[],MATCH(CONCATENATE(Liste!$C$3,$B$287,$B$429),Data!$BO:$BO,0)-2,38)=""),"PFH [1/h] = "&amp;10^9*INDEX(Tab_DaBa[],MATCH(CONCATENATE(Liste!$C$3,$B$287,$B$429),Data!$BO:$BO,0)-2,16)&amp;"E-9",IF(INDEX(Tab_DaBa[],MATCH(CONCATENATE(Liste!$C$3,$B$287,$B$429),Data!$BO:$BO,0)-2,33)&lt;&gt;"","PFH [1/h] = "&amp;10^9*INDEX(Tab_DaBa[],MATCH(CONCATENATE(Liste!$C$3,$B$287,$B$429),Data!$BO:$BO,0)-2,41)&amp;"E-9","")),"")</f>
        <v>PFH [1/h] = 4,19E-9</v>
      </c>
      <c r="E443" s="37"/>
      <c r="F443" s="35" t="str">
        <f ca="1">IFERROR(IF(AND(INDEX(Tab_DaBa[],MATCH(CONCATENATE(Liste!$C$3,$B$287,$B$429),Data!$BO:$BO,0)-2,38)&lt;&gt;"",INDEX(Tab_DaBa[],MATCH(CONCATENATE(Liste!$C$3,$B$287,$B$429),Data!$BO:$BO,0)-2,43)=""),"PFH [1/h] = "&amp;10^9*INDEX(Tab_DaBa[],MATCH(CONCATENATE(Liste!$C$3,$B$287,$B$429),Data!$BO:$BO,0)-2,16)&amp;"E-9",IF(INDEX(Tab_DaBa[],MATCH(CONCATENATE(Liste!$C$3,$B$287,$B$429),Data!$BO:$BO,0)-2,38)&lt;&gt;"","PFH [1/h] = "&amp;10^9*INDEX(Tab_DaBa[],MATCH(CONCATENATE(Liste!$C$3,$B$287,$B$429),Data!$BO:$BO,0)-2,46)&amp;"E-9","")),"")</f>
        <v>PFH [1/h] = 4,19E-9</v>
      </c>
      <c r="G443" s="39"/>
      <c r="H443" s="35" t="str">
        <f ca="1">IFERROR(IF(AND(INDEX(Tab_DaBa[],MATCH(CONCATENATE(Liste!$C$3,$B$287,$B$429),Data!$BO:$BO,0)-2,43)&lt;&gt;"",INDEX(Tab_DaBa[],MATCH(CONCATENATE(Liste!$C$3,$B$287,$B$429),Data!$BO:$BO,0)-2,48)=""),"PFH [1/h] = "&amp;10^9*INDEX(Tab_DaBa[],MATCH(CONCATENATE(Liste!$C$3,$B$287,$B$429),Data!$BO:$BO,0)-2,16)&amp;"E-9",IF(INDEX(Tab_DaBa[],MATCH(CONCATENATE(Liste!$C$3,$B$287,$B$429),Data!$BO:$BO,0)-2,43)&lt;&gt;"","PFH [1/h] = "&amp;10^9*INDEX(Tab_DaBa[],MATCH(CONCATENATE(Liste!$C$3,$B$287,$B$429),Data!$BO:$BO,0)-2,51)&amp;"E-9","")),"")</f>
        <v>PFH [1/h] = 24,7E-9</v>
      </c>
      <c r="I443" s="39"/>
    </row>
    <row r="444" spans="2:9" s="16" customFormat="1">
      <c r="B444" s="33"/>
      <c r="C444" s="33"/>
      <c r="D444" s="33"/>
      <c r="E444" s="33"/>
      <c r="F444" s="33"/>
      <c r="G444" s="33"/>
      <c r="H444" s="33"/>
      <c r="I444" s="33"/>
    </row>
    <row r="445" spans="2:9" s="16" customFormat="1" ht="15.75">
      <c r="B445" s="38" t="str">
        <f ca="1">IF(B447="","",6)</f>
        <v/>
      </c>
      <c r="C445" s="33"/>
      <c r="D445" s="38" t="str">
        <f ca="1">IF(B447="","",3)</f>
        <v/>
      </c>
      <c r="E445" s="33"/>
      <c r="F445" s="38" t="str">
        <f ca="1">IF(B447="","",3)</f>
        <v/>
      </c>
      <c r="G445" s="33"/>
      <c r="H445" s="38" t="str">
        <f ca="1">IF(B447="","",3)</f>
        <v/>
      </c>
      <c r="I445" s="33"/>
    </row>
    <row r="446" spans="2:9" s="16" customFormat="1" ht="15.75">
      <c r="B446" s="39"/>
      <c r="C446" s="33"/>
      <c r="D446" s="33"/>
      <c r="E446" s="33"/>
      <c r="F446" s="33"/>
      <c r="G446" s="33"/>
      <c r="H446" s="33"/>
      <c r="I446" s="33"/>
    </row>
    <row r="447" spans="2:9" s="16" customFormat="1" ht="15.75">
      <c r="B447" s="35" t="str">
        <f ca="1">IFERROR(IF(AND(INDEX(Tab_DaBa[],MATCH(CONCATENATE(Liste!$C$3,$B$287,$B$429),Data!$BO:$BO,0)-2,48)&lt;&gt;"",INDEX(Tab_DaBa[],MATCH(CONCATENATE(Liste!$C$3,$B$287,$B$429),Data!$BO:$BO,0)-2,53)=0),INDEX(Tab_DaBa[],MATCH(CONCATENATE(Liste!$C$3,$B$287,$B$429),Data!$BO:$BO,0)-2,14),IF(INDEX(Tab_DaBa[],MATCH(CONCATENATE(Liste!$C$3,$B$287,$B$429),Data!$BO:$BO,0)-2,48)&lt;&gt;"",INDEX(Tab_DaBa[],MATCH(CONCATENATE(Liste!$C$3,$B$287,$B$429),Data!$BO:$BO,0)-2,54),"")),"")</f>
        <v/>
      </c>
      <c r="C447" s="39"/>
      <c r="D447" s="35" t="str">
        <f ca="1">IFERROR(IF(AND(INDEX(Tab_DaBa[],MATCH(CONCATENATE(Liste!$C$3,$B$287,$B$429),Data!$BO:$BO,0)-2,53)&lt;&gt;"",INDEX(Tab_DaBa[],MATCH(CONCATENATE(Liste!$C$3,$B$287,$B$429),Data!$BO:$BO,0)-2,58)=0),INDEX(Tab_DaBa[],MATCH(CONCATENATE(Liste!$C$3,$B$287,$B$429),Data!$BO:$BO,0)-2,14),IF(INDEX(Tab_DaBa[],MATCH(CONCATENATE(Liste!$C$3,$B$287,$B$429),Data!$BO:$BO,0)-2,53)&lt;&gt;"",INDEX(Tab_DaBa[],MATCH(CONCATENATE(Liste!$C$3,$B$287,$B$429),Data!$BO:$BO,0)-2,59),"")),"")</f>
        <v/>
      </c>
      <c r="E447" s="33"/>
      <c r="F447" s="35" t="str">
        <f ca="1">IFERROR(IF(AND(INDEX(Tab_DaBa[],MATCH(CONCATENATE(Liste!$C$3,$B$287,$B$429),Data!$BO:$BO,0)-2,58)&lt;&gt;"",INDEX(Tab_DaBa[],MATCH(CONCATENATE(Liste!$C$3,$B$287,$B$429),Data!$BO:$BO,0)-2,63)=0),INDEX(Tab_DaBa[],MATCH(CONCATENATE(Liste!$C$3,$B$287,$B$429),Data!$BO:$BO,0)-2,14),IF(INDEX(Tab_DaBa[],MATCH(CONCATENATE(Liste!$C$3,$B$287,$B$429),Data!$BO:$BO,0)-2,58)&lt;&gt;"",INDEX(Tab_DaBa[],MATCH(CONCATENATE(Liste!$C$3,$B$287,$B$429),Data!$BO:$BO,0)-2,64),"")),"")</f>
        <v/>
      </c>
      <c r="G447" s="39"/>
      <c r="H447" s="35" t="str">
        <f ca="1">IFERROR(IF(INDEX(Tab_DaBa[],MATCH(CONCATENATE(Liste!$C$3,$B$287,$B$429),Data!$BO:$BO,0)-2,63)&lt;&gt;"",INDEX(Tab_DaBa[],MATCH(CONCATENATE(Liste!$C$3,$B$287,$B$429),Data!$BO:$BO,0)-2,14),""),"")</f>
        <v/>
      </c>
    </row>
    <row r="448" spans="2:9" s="16" customFormat="1" ht="15.75">
      <c r="B448" s="35" t="str">
        <f ca="1">IFERROR(IF(AND(INDEX(Tab_DaBa[],MATCH(CONCATENATE(Liste!$C$3,$B$287,$B$429),Data!$BO:$BO,0)-2,48)&lt;&gt;"",INDEX(Tab_DaBa[],MATCH(CONCATENATE(Liste!$C$3,$B$287,$B$429),Data!$BO:$BO,0)-2,53)=0),INDEX(Tab_DaBa[],MATCH(CONCATENATE(Liste!$C$3,$B$287,$B$429),Data!$BO:$BO,0)-2,12),IF(INDEX(Tab_DaBa[],MATCH(CONCATENATE(Liste!$C$3,$B$287,$B$429),Data!$BO:$BO,0)-2,48)&lt;&gt;"",INDEX(Tab_DaBa[],MATCH(CONCATENATE(Liste!$C$3,$B$287,$B$429),Data!$BO:$BO,0)-2,52),"")),"")</f>
        <v/>
      </c>
      <c r="C448" s="39"/>
      <c r="D448" s="35" t="str">
        <f ca="1">IFERROR(IF(AND(INDEX(Tab_DaBa[],MATCH(CONCATENATE(Liste!$C$3,$B$287,$B$429),Data!$BO:$BO,0)-2,53)&lt;&gt;"",INDEX(Tab_DaBa[],MATCH(CONCATENATE(Liste!$C$3,$B$287,$B$429),Data!$BO:$BO,0)-2,58)=0),INDEX(Tab_DaBa[],MATCH(CONCATENATE(Liste!$C$3,$B$287,$B$429),Data!$BO:$BO,0)-2,12),IF(INDEX(Tab_DaBa[],MATCH(CONCATENATE(Liste!$C$3,$B$287,$B$429),Data!$BO:$BO,0)-2,53)&lt;&gt;"",INDEX(Tab_DaBa[],MATCH(CONCATENATE(Liste!$C$3,$B$287,$B$429),Data!$BO:$BO,0)-2,57),"")),"")</f>
        <v/>
      </c>
      <c r="E448" s="37"/>
      <c r="F448" s="35" t="str">
        <f ca="1">IFERROR(IF(AND(INDEX(Tab_DaBa[],MATCH(CONCATENATE(Liste!$C$3,$B$287,$B$429),Data!$BO:$BO,0)-2,58)&lt;&gt;"",INDEX(Tab_DaBa[],MATCH(CONCATENATE(Liste!$C$3,$B$287,$B$429),Data!$BO:$BO,0)-2,63)=0),INDEX(Tab_DaBa[],MATCH(CONCATENATE(Liste!$C$3,$B$287,$B$429),Data!$BO:$BO,0)-2,12),IF(INDEX(Tab_DaBa[],MATCH(CONCATENATE(Liste!$C$3,$B$287,$B$429),Data!$BO:$BO,0)-2,58)&lt;&gt;"",INDEX(Tab_DaBa[],MATCH(CONCATENATE(Liste!$C$3,$B$287,$B$429),Data!$BO:$BO,0)-2,62),"")),"")</f>
        <v/>
      </c>
      <c r="G448" s="39"/>
      <c r="H448" s="35" t="str">
        <f ca="1">IFERROR(IF(INDEX(Tab_DaBa[],MATCH(CONCATENATE(Liste!$C$3,$B$287,$B$429),Data!$BO:$BO,0)-2,63)&lt;&gt;"",INDEX(Tab_DaBa[],MATCH(CONCATENATE(Liste!$C$3,$B$287,$B$429),Data!$BO:$BO,0)-2,12),""),"")</f>
        <v/>
      </c>
    </row>
    <row r="449" spans="2:9" s="16" customFormat="1" ht="15.75">
      <c r="B449" s="35" t="str">
        <f ca="1">IFERROR(IF(AND(INDEX(Tab_DaBa[],MATCH(CONCATENATE(Liste!$C$3,$B$287,$B$429),Data!$BO:$BO,0)-2,48)&lt;&gt;"",INDEX(Tab_DaBa[],MATCH(CONCATENATE(Liste!$C$3,$B$287,$B$429),Data!$BO:$BO,0)-2,53)=""),INDEX(Tab_DaBa[],MATCH(CONCATENATE(Liste!$C$3,$B$287,$B$429),Data!$BO:$BO,0)-2,13),IF(INDEX(Tab_DaBa[],MATCH(CONCATENATE(Liste!$C$3,$B$287,$B$429),Data!$BO:$BO,0)-2,48)&lt;&gt;"",INDEX(Tab_DaBa[],MATCH(CONCATENATE(Liste!$C$3,$B$287,$B$429),Data!$BO:$BO,0)-2,53),"")),"")</f>
        <v/>
      </c>
      <c r="C449" s="38" t="str">
        <f ca="1">IF(D447="","",4)</f>
        <v/>
      </c>
      <c r="D449" s="35" t="str">
        <f ca="1">IFERROR(IF(AND(INDEX(Tab_DaBa[],MATCH(CONCATENATE(Liste!$C$3,$B$287,$B$429),Data!$BO:$BO,0)-2,53)&lt;&gt;"",INDEX(Tab_DaBa[],MATCH(CONCATENATE(Liste!$C$3,$B$287,$B$429),Data!$BO:$BO,0)-2,58)=""),INDEX(Tab_DaBa[],MATCH(CONCATENATE(Liste!$C$3,$B$287,$B$429),Data!$BO:$BO,0)-2,13),IF(INDEX(Tab_DaBa[],MATCH(CONCATENATE(Liste!$C$3,$B$287,$B$429),Data!$BO:$BO,0)-2,53)&lt;&gt;"",INDEX(Tab_DaBa[],MATCH(CONCATENATE(Liste!$C$3,$B$287,$B$429),Data!$BO:$BO,0)-2,58),"")),"")</f>
        <v/>
      </c>
      <c r="E449" s="38" t="str">
        <f ca="1">IF(F447="","",4)</f>
        <v/>
      </c>
      <c r="F449" s="35" t="str">
        <f ca="1">IFERROR(IF(AND(INDEX(Tab_DaBa[],MATCH(CONCATENATE(Liste!$C$3,$B$287,$B$429),Data!$BO:$BO,0)-2,58)&lt;&gt;"",INDEX(Tab_DaBa[],MATCH(CONCATENATE(Liste!$C$3,$B$287,$B$429),Data!$BO:$BO,0)-2,63)=""),INDEX(Tab_DaBa[],MATCH(CONCATENATE(Liste!$C$3,$B$287,$B$429),Data!$BO:$BO,0)-2,13),IF(INDEX(Tab_DaBa[],MATCH(CONCATENATE(Liste!$C$3,$B$287,$B$429),Data!$BO:$BO,0)-2,58)&lt;&gt;"",INDEX(Tab_DaBa[],MATCH(CONCATENATE(Liste!$C$3,$B$287,$B$429),Data!$BO:$BO,0)-2,63),"")),"")</f>
        <v/>
      </c>
      <c r="G449" s="38" t="str">
        <f ca="1">IF(H447="","",4)</f>
        <v/>
      </c>
      <c r="H449" s="35" t="str">
        <f ca="1">IFERROR(IF(INDEX(Tab_DaBa[],MATCH(CONCATENATE(Liste!$C$3,$B$287,$B$429),Data!$BO:$BO,0)-2,63)&lt;&gt;"",INDEX(Tab_DaBa[],MATCH(CONCATENATE(Liste!$C$3,$B$287,$B$429),Data!$BO:$BO,0)-2,13),""),"")</f>
        <v/>
      </c>
    </row>
    <row r="450" spans="2:9" s="16" customFormat="1" ht="15.75">
      <c r="B450" s="35" t="str">
        <f ca="1">IFERROR(IF(AND(INDEX(Tab_DaBa[],MATCH(CONCATENATE(Liste!$C$3,$B$287,$B$429),Data!$BO:$BO,0)-2,48)&lt;&gt;"",INDEX(Tab_DaBa[],MATCH(CONCATENATE(Liste!$C$3,$B$287,$B$429),Data!$BO:$BO,0)-2,53)=""),"Performance Level: "&amp;INDEX(Tab_DaBa[],MATCH(CONCATENATE(Liste!$C$3,$B$287,$B$429),Data!$BO:$BO,0)-2,15),IF(INDEX(Tab_DaBa[],MATCH(CONCATENATE(Liste!$C$3,$B$287,$B$429),Data!$BO:$BO,0)-2,48)&lt;&gt;"","Performance Level: "&amp;INDEX(Tab_DaBa[],MATCH(CONCATENATE(Liste!$C$3,$B$287,$B$429),Data!$BO:$BO,0)-2,55),"")),"")</f>
        <v/>
      </c>
      <c r="C450" s="39"/>
      <c r="D450" s="35" t="str">
        <f ca="1">IFERROR(IF(AND(INDEX(Tab_DaBa[],MATCH(CONCATENATE(Liste!$C$3,$B$287,$B$429),Data!$BO:$BO,0)-2,53)&lt;&gt;"",INDEX(Tab_DaBa[],MATCH(CONCATENATE(Liste!$C$3,$B$287,$B$429),Data!$BO:$BO,0)-2,58)=""),"Performance Level: "&amp;INDEX(Tab_DaBa[],MATCH(CONCATENATE(Liste!$C$3,$B$287,$B$429),Data!$BO:$BO,0)-2,15),IF(INDEX(Tab_DaBa[],MATCH(CONCATENATE(Liste!$C$3,$B$287,$B$429),Data!$BO:$BO,0)-2,53)&lt;&gt;"","Performance Level: "&amp;INDEX(Tab_DaBa[],MATCH(CONCATENATE(Liste!$C$3,$B$287,$B$429),Data!$BO:$BO,0)-2,60),"")),"")</f>
        <v/>
      </c>
      <c r="E450" s="37"/>
      <c r="F450" s="35" t="str">
        <f ca="1">IFERROR(IF(AND(INDEX(Tab_DaBa[],MATCH(CONCATENATE(Liste!$C$3,$B$287,$B$429),Data!$BO:$BO,0)-2,58)&lt;&gt;"",INDEX(Tab_DaBa[],MATCH(CONCATENATE(Liste!$C$3,$B$287,$B$429),Data!$BO:$BO,0)-2,63)=""),"Performance Level: "&amp;INDEX(Tab_DaBa[],MATCH(CONCATENATE(Liste!$C$3,$B$287,$B$429),Data!$BO:$BO,0)-2,15),IF(INDEX(Tab_DaBa[],MATCH(CONCATENATE(Liste!$C$3,$B$287,$B$429),Data!$BO:$BO,0)-2,58)&lt;&gt;"","Performance Level: "&amp;INDEX(Tab_DaBa[],MATCH(CONCATENATE(Liste!$C$3,$B$287,$B$429),Data!$BO:$BO,0)-2,65),"")),"")</f>
        <v/>
      </c>
      <c r="G450" s="39"/>
      <c r="H450" s="35" t="str">
        <f ca="1">IFERROR(IF(INDEX(Tab_DaBa[],MATCH(CONCATENATE(Liste!$C$3,$B$287,$B$429),Data!$BO:$BO,0)-2,63)&lt;&gt;"","Performance Level: "&amp;INDEX(Tab_DaBa[],MATCH(CONCATENATE(Liste!$C$3,$B$287,$B$429),Data!$BO:$BO,0)-2,15),""),"")</f>
        <v/>
      </c>
    </row>
    <row r="451" spans="2:9" s="16" customFormat="1" ht="15.75">
      <c r="B451" s="35" t="str">
        <f ca="1">IFERROR(IF(AND(INDEX(Tab_DaBa[],MATCH(CONCATENATE(Liste!$C$3,$B$287,$B$429),Data!$BO:$BO,0)-2,48)&lt;&gt;"",INDEX(Tab_DaBa[],MATCH(CONCATENATE(Liste!$C$3,$B$287,$B$429),Data!$BO:$BO,0)-2,53)=""),"PFH [1/h] = "&amp;10^9*INDEX(Tab_DaBa[],MATCH(CONCATENATE(Liste!$C$3,$B$287,$B$429),Data!$BO:$BO,0)-2,16)&amp;"E-9",IF(INDEX(Tab_DaBa[],MATCH(CONCATENATE(Liste!$C$3,$B$287,$B$429),Data!$BO:$BO,0)-2,48)&lt;&gt;"","PFH [1/h] = "&amp;10^9*INDEX(Tab_DaBa[],MATCH(CONCATENATE(Liste!$C$3,$B$287,$B$429),Data!$BO:$BO,0)-2,56)&amp;"E-9","")),"")</f>
        <v/>
      </c>
      <c r="C451" s="39"/>
      <c r="D451" s="35" t="str">
        <f ca="1">IFERROR(IF(AND(INDEX(Tab_DaBa[],MATCH(CONCATENATE(Liste!$C$3,$B$287,$B$429),Data!$BO:$BO,0)-2,53)&lt;&gt;"",INDEX(Tab_DaBa[],MATCH(CONCATENATE(Liste!$C$3,$B$287,$B$429),Data!$BO:$BO,0)-2,58)=""),"PFH [1/h] = "&amp;10^9*INDEX(Tab_DaBa[],MATCH(CONCATENATE(Liste!$C$3,$B$287,$B$429),Data!$BO:$BO,0)-2,16)&amp;"E-9",IF(INDEX(Tab_DaBa[],MATCH(CONCATENATE(Liste!$C$3,$B$287,$B$429),Data!$BO:$BO,0)-2,53)&lt;&gt;"","PFH [1/h] = "&amp;10^9*INDEX(Tab_DaBa[],MATCH(CONCATENATE(Liste!$C$3,$B$287,$B$429),Data!$BO:$BO,0)-2,61)&amp;"E-9","")),"")</f>
        <v/>
      </c>
      <c r="E451" s="37"/>
      <c r="F451" s="35" t="str">
        <f ca="1">IFERROR(IF(AND(INDEX(Tab_DaBa[],MATCH(CONCATENATE(Liste!$C$3,$B$287,$B$429),Data!$BO:$BO,0)-2,58)&lt;&gt;"",INDEX(Tab_DaBa[],MATCH(CONCATENATE(Liste!$C$3,$B$287,$B$429),Data!$BO:$BO,0)-2,63)=""),"PFH [1/h] = "&amp;10^9*INDEX(Tab_DaBa[],MATCH(CONCATENATE(Liste!$C$3,$B$287,$B$429),Data!$BO:$BO,0)-2,16)&amp;"E-9",IF(INDEX(Tab_DaBa[],MATCH(CONCATENATE(Liste!$C$3,$B$287,$B$429),Data!$BO:$BO,0)-2,58)&lt;&gt;"","PFH [1/h] = "&amp;10^9*INDEX(Tab_DaBa[],MATCH(CONCATENATE(Liste!$C$3,$B$287,$B$429),Data!$BO:$BO,0)-2,66)&amp;"E-9","")),"")</f>
        <v/>
      </c>
      <c r="G451" s="39"/>
      <c r="H451" s="35" t="str">
        <f ca="1">IFERROR(IF(INDEX(Tab_DaBa[],MATCH(CONCATENATE(Liste!$C$3,$B$287,$B$429),Data!$BO:$BO,0)-2,63)&lt;&gt;"","PFH [1/h] = "&amp;10^9*INDEX(Tab_DaBa[],MATCH(CONCATENATE(Liste!$C$3,$B$287,$B$429),Data!$BO:$BO,0)-2,16)&amp;"E-9",""),"")</f>
        <v/>
      </c>
    </row>
    <row r="452" spans="2:9" s="16" customFormat="1"/>
    <row r="453" spans="2:9" s="16" customFormat="1">
      <c r="B453" s="43" t="str">
        <f ca="1">IF(D453="","","Erforderlich")</f>
        <v>Erforderlich</v>
      </c>
      <c r="D453" s="44" t="str">
        <f ca="1">IFERROR("Performance Level: "&amp;INDEX(Tab_DaBa[],MATCH(CONCATENATE(Liste!$C$3,$B$287,$B$429),Data!$BO:$BO,0)-2,4),"")</f>
        <v>Performance Level: PLr_ges2_6</v>
      </c>
    </row>
    <row r="454" spans="2:9" s="16" customFormat="1">
      <c r="B454" s="45"/>
    </row>
    <row r="455" spans="2:9" s="16" customFormat="1">
      <c r="B455" s="46" t="str">
        <f ca="1">IF(D455="","","Erreicht")</f>
        <v>Erreicht</v>
      </c>
      <c r="D455" s="47" t="str">
        <f ca="1">IFERROR("Performance Level: "&amp;INDEX(Tab_DaBa[],MATCH(CONCATENATE(Liste!$C$3,$B$287,$B$429),Data!$BO:$BO,0)-2,5)&amp;"          PFH [1/h] = "&amp;10^9*INDEX(Tab_DaBa[],MATCH(CONCATENATE(Liste!$C$3,$B$287,$B$429),Data!$BO:$BO,0)-2,6)&amp;"E-9","")</f>
        <v>Performance Level: Pl_ges2_6          PFH [1/h] = 71,7E-9</v>
      </c>
    </row>
    <row r="456" spans="2:9" s="16" customFormat="1"/>
    <row r="457" spans="2:9" s="16" customFormat="1">
      <c r="B457" s="42" t="str">
        <f ca="1">IFERROR(IF(7&gt;COUNTIF(Data!$BP:$BP,CONCATENATE(Liste!$C$3,$B$287)),"",INDEX(Tab_DaBa[],MATCH(CONCATENATE(Liste!$C$3,$B$287),Data!$BP:$BP,0)+4,3)),"")</f>
        <v>2.7 test2 (E+7L+A)</v>
      </c>
    </row>
    <row r="458" spans="2:9" s="16" customFormat="1"/>
    <row r="459" spans="2:9" s="16" customFormat="1" ht="15.75">
      <c r="B459" s="35" t="str">
        <f ca="1">IFERROR(INDEX(Tab_DaBa[],MATCH(CONCATENATE(Liste!$C$3,$B$287,$B$457),Data!$BO:$BO,0)-2,9),"")</f>
        <v>Eingang</v>
      </c>
      <c r="C459" s="54"/>
      <c r="D459" s="35" t="str">
        <f ca="1">IFERROR(IF(INDEX(Tab_DaBa[],MATCH(CONCATENATE(Liste!$C$3,$B$287,$B$457),Data!$BO:$BO,0)-2,18)=0,INDEX(Tab_DaBa[],MATCH(CONCATENATE(Liste!$C$3,$B$287,$B$457),Data!$BO:$BO,0)-2,14),INDEX(Tab_DaBa[],MATCH(CONCATENATE(Liste!$C$3,$B$287,$B$457),Data!$BO:$BO,0)-2,19)),"")</f>
        <v>Logik 01</v>
      </c>
      <c r="E459" s="33"/>
      <c r="F459" s="35" t="str">
        <f ca="1">IFERROR(IF(AND(INDEX(Tab_DaBa[],MATCH(CONCATENATE(Liste!$C$3,$B$287,$B$457),Data!$BO:$BO,0)-2,18)&lt;&gt;"",INDEX(Tab_DaBa[],MATCH(CONCATENATE(Liste!$C$3,$B$287,$B$457),Data!$BO:$BO,0)-2,23)=0),INDEX(Tab_DaBa[],MATCH(CONCATENATE(Liste!$C$3,$B$287,$B$457),Data!$BO:$BO,0)-2,14),IF(INDEX(Tab_DaBa[],MATCH(CONCATENATE(Liste!$C$3,$B$287,$B$457),Data!$BO:$BO,0)-2,23)&lt;&gt;"",INDEX(Tab_DaBa[],MATCH(CONCATENATE(Liste!$C$3,$B$287,$B$457),Data!$BO:$BO,0)-2,24),"")),"")</f>
        <v>Logik 02</v>
      </c>
      <c r="G459" s="39"/>
      <c r="H459" s="35" t="str">
        <f ca="1">IFERROR(IF(AND(INDEX(Tab_DaBa[],MATCH(CONCATENATE(Liste!$C$3,$B$287,$B$457),Data!$BO:$BO,0)-2,23)&lt;&gt;"",INDEX(Tab_DaBa[],MATCH(CONCATENATE(Liste!$C$3,$B$287,$B$457),Data!$BO:$BO,0)-2,28)=0),INDEX(Tab_DaBa[],MATCH(CONCATENATE(Liste!$C$3,$B$287,$B$457),Data!$BO:$BO,0)-2,14),IF(INDEX(Tab_DaBa[],MATCH(CONCATENATE(Liste!$C$3,$B$287,$B$457),Data!$BO:$BO,0)-2,23)&lt;&gt;"",INDEX(Tab_DaBa[],MATCH(CONCATENATE(Liste!$C$3,$B$287,$B$457),Data!$BO:$BO,0)-2,29),"")),"")</f>
        <v>Logik 03</v>
      </c>
      <c r="I459" s="39"/>
    </row>
    <row r="460" spans="2:9" s="16" customFormat="1" ht="15.75">
      <c r="B460" s="35" t="str">
        <f ca="1">IFERROR(INDEX(Tab_DaBa[],MATCH(CONCATENATE(Liste!$C$3,$B$287,$B$457),Data!$BO:$BO,0)-2,7),"")</f>
        <v>eeee-22_7</v>
      </c>
      <c r="C460" s="54"/>
      <c r="D460" s="35" t="str">
        <f ca="1">IFERROR(IF(INDEX(Tab_DaBa[],MATCH(CONCATENATE(Liste!$C$3,$B$287,$B$457),Data!$BO:$BO,0)-2,18)="",INDEX(Tab_DaBa[],MATCH(CONCATENATE(Liste!$C$3,$B$287,$B$457),Data!$BO:$BO,0)-2,12),INDEX(Tab_DaBa[],MATCH(CONCATENATE(Liste!$C$3,$B$287,$B$457),Data!$BO:$BO,0)-2,17)),"")</f>
        <v>Log02-02_07</v>
      </c>
      <c r="E460" s="36"/>
      <c r="F460" s="35" t="str">
        <f ca="1">IFERROR(IF(AND(INDEX(Tab_DaBa[],MATCH(CONCATENATE(Liste!$C$3,$B$287,$B$457),Data!$BO:$BO,0)-2,18)&lt;&gt;"",INDEX(Tab_DaBa[],MATCH(CONCATENATE(Liste!$C$3,$B$287,$B$457),Data!$BO:$BO,0)-2,23)=0),INDEX(Tab_DaBa[],MATCH(CONCATENATE(Liste!$C$3,$B$287,$B$457),Data!$BO:$BO,0)-2,12),IF(INDEX(Tab_DaBa[],MATCH(CONCATENATE(Liste!$C$3,$B$287,$B$457),Data!$BO:$BO,0)-2,23)&lt;&gt;"",INDEX(Tab_DaBa[],MATCH(CONCATENATE(Liste!$C$3,$B$287,$B$457),Data!$BO:$BO,0)-2,22),"")),"")</f>
        <v>Lo02-22_7</v>
      </c>
      <c r="G460" s="39"/>
      <c r="H460" s="35" t="str">
        <f ca="1">IFERROR(IF(AND(INDEX(Tab_DaBa[],MATCH(CONCATENATE(Liste!$C$3,$B$287,$B$457),Data!$BO:$BO,0)-2,23)&lt;&gt;"",INDEX(Tab_DaBa[],MATCH(CONCATENATE(Liste!$C$3,$B$287,$B$457),Data!$BO:$BO,0)-2,28)=0),INDEX(Tab_DaBa[],MATCH(CONCATENATE(Liste!$C$3,$B$287,$B$457),Data!$BO:$BO,0)-2,12),IF(INDEX(Tab_DaBa[],MATCH(CONCATENATE(Liste!$C$3,$B$287,$B$457),Data!$BO:$BO,0)-2,23)&lt;&gt;"",INDEX(Tab_DaBa[],MATCH(CONCATENATE(Liste!$C$3,$B$287,$B$457),Data!$BO:$BO,0)-2,27),"")),"")</f>
        <v>Lo02-22_7</v>
      </c>
      <c r="I460" s="39"/>
    </row>
    <row r="461" spans="2:9" s="16" customFormat="1" ht="15.75">
      <c r="B461" s="35" t="str">
        <f ca="1">IFERROR(INDEX(Tab_DaBa[],MATCH(CONCATENATE(Liste!$C$3,$B$287,$B$457),Data!$BO:$BO,0)-2,8),"")</f>
        <v>Bez_Ein2_7</v>
      </c>
      <c r="C461" s="40">
        <f ca="1">IF(D459="","",4)</f>
        <v>4</v>
      </c>
      <c r="D461" s="35" t="str">
        <f ca="1">IFERROR(IF(INDEX(Tab_DaBa[],MATCH(CONCATENATE(Liste!$C$3,$B$287,$B$457),Data!$BO:$BO,0)-2,18)="",INDEX(Tab_DaBa[],MATCH(CONCATENATE(Liste!$C$3,$B$287,$B$457),Data!$BO:$BO,0)-2,13),INDEX(Tab_DaBa[],MATCH(CONCATENATE(Liste!$C$3,$B$287,$B$457),Data!$BO:$BO,0)-2,18)),"")</f>
        <v>Bez_Log01_02_07</v>
      </c>
      <c r="E461" s="40">
        <f ca="1">IF(F459="","",4)</f>
        <v>4</v>
      </c>
      <c r="F461" s="35" t="str">
        <f ca="1">IFERROR(IF(AND(INDEX(Tab_DaBa[],MATCH(CONCATENATE(Liste!$C$3,$B$287,$B$457),Data!$BO:$BO,0)-2,18)&lt;&gt;"",INDEX(Tab_DaBa[],MATCH(CONCATENATE(Liste!$C$3,$B$287,$B$457),Data!$BO:$BO,0)-2,23)=""),INDEX(Tab_DaBa[],MATCH(CONCATENATE(Liste!$C$3,$B$287,$B$457),Data!$BO:$BO,0)-2,13),IF(INDEX(Tab_DaBa[],MATCH(CONCATENATE(Liste!$C$3,$B$287,$B$457),Data!$BO:$BO,0)-2,23)&lt;&gt;"",INDEX(Tab_DaBa[],MATCH(CONCATENATE(Liste!$C$3,$B$287,$B$457),Data!$BO:$BO,0)-2,23),"")),"")</f>
        <v>Bez_Lo02_7</v>
      </c>
      <c r="G461" s="38">
        <f ca="1">IF(H459="","",4)</f>
        <v>4</v>
      </c>
      <c r="H461" s="35" t="str">
        <f ca="1">IFERROR(IF(AND(INDEX(Tab_DaBa[],MATCH(CONCATENATE(Liste!$C$3,$B$287,$B$457),Data!$BO:$BO,0)-2,23)&lt;&gt;"",INDEX(Tab_DaBa[],MATCH(CONCATENATE(Liste!$C$3,$B$287,$B$457),Data!$BO:$BO,0)-2,28)=""),INDEX(Tab_DaBa[],MATCH(CONCATENATE(Liste!$C$3,$B$287,$B$457),Data!$BO:$BO,0)-2,13),IF(INDEX(Tab_DaBa[],MATCH(CONCATENATE(Liste!$C$3,$B$287,$B$457),Data!$BO:$BO,0)-2,23)&lt;&gt;"",INDEX(Tab_DaBa[],MATCH(CONCATENATE(Liste!$C$3,$B$287,$B$457),Data!$BO:$BO,0)-2,28),"")),"")</f>
        <v>Bez_Lo02_7</v>
      </c>
      <c r="I461" s="38">
        <f ca="1">IF(B467="","",6)</f>
        <v>6</v>
      </c>
    </row>
    <row r="462" spans="2:9" s="16" customFormat="1" ht="15.75">
      <c r="B462" s="35" t="str">
        <f ca="1">IFERROR("Performance Level: "&amp;INDEX(Tab_DaBa[],MATCH(CONCATENATE(Liste!$C$3,$B$287,$B$457),Data!$BO:$BO,0)-2,10),"")</f>
        <v>Performance Level: PL_Ein2_7</v>
      </c>
      <c r="C462" s="54"/>
      <c r="D462" s="35" t="str">
        <f ca="1">IFERROR(IF(INDEX(Tab_DaBa[],MATCH(CONCATENATE(Liste!$C$3,$B$287,$B$457),Data!$BO:$BO,0)-2,18)="","Performance Level: "&amp;INDEX(Tab_DaBa[],MATCH(CONCATENATE(Liste!$C$3,$B$287,$B$457),Data!$BO:$BO,0)-2,15),"Performance Level: "&amp;INDEX(Tab_DaBa[],MATCH(CONCATENATE(Liste!$C$3,$B$287,$B$457),Data!$BO:$BO,0)-2,20)),"")</f>
        <v>Performance Level: PL_Lo02_7</v>
      </c>
      <c r="E462" s="36"/>
      <c r="F462" s="35" t="str">
        <f ca="1">IFERROR(IF(AND(INDEX(Tab_DaBa[],MATCH(CONCATENATE(Liste!$C$3,$B$287,$B$457),Data!$BO:$BO,0)-2,18)&lt;&gt;"",INDEX(Tab_DaBa[],MATCH(CONCATENATE(Liste!$C$3,$B$287,$B$457),Data!$BO:$BO,0)-2,23)=""),"Performance Level: "&amp;INDEX(Tab_DaBa[],MATCH(CONCATENATE(Liste!$C$3,$B$287,$B$457),Data!$BO:$BO,0)-2,15),IF(INDEX(Tab_DaBa[],MATCH(CONCATENATE(Liste!$C$3,$B$287,$B$457),Data!$BO:$BO,0)-2,23)&lt;&gt;"","Performance Level: "&amp;INDEX(Tab_DaBa[],MATCH(CONCATENATE(Liste!$C$3,$B$287,$B$457),Data!$BO:$BO,0)-2,25),"")),"")</f>
        <v>Performance Level: PL_Lo02_7</v>
      </c>
      <c r="G462" s="39"/>
      <c r="H462" s="35" t="str">
        <f ca="1">IFERROR(IF(AND(INDEX(Tab_DaBa[],MATCH(CONCATENATE(Liste!$C$3,$B$287,$B$457),Data!$BO:$BO,0)-2,23)&lt;&gt;"",INDEX(Tab_DaBa[],MATCH(CONCATENATE(Liste!$C$3,$B$287,$B$457),Data!$BO:$BO,0)-2,28)=""),"Performance Level: "&amp;INDEX(Tab_DaBa[],MATCH(CONCATENATE(Liste!$C$3,$B$287,$B$457),Data!$BO:$BO,0)-2,15),IF(INDEX(Tab_DaBa[],MATCH(CONCATENATE(Liste!$C$3,$B$287,$B$457),Data!$BO:$BO,0)-2,23)&lt;&gt;"","Performance Level: "&amp;INDEX(Tab_DaBa[],MATCH(CONCATENATE(Liste!$C$3,$B$287,$B$457),Data!$BO:$BO,0)-2,30),"")),"")</f>
        <v>Performance Level: PL_Lo02_7</v>
      </c>
      <c r="I462" s="38"/>
    </row>
    <row r="463" spans="2:9" s="16" customFormat="1" ht="15.75">
      <c r="B463" s="53" t="str">
        <f ca="1">IFERROR("PFH [1/h] = "&amp;10^9*INDEX(Tab_DaBa[],MATCH(CONCATENATE(Liste!$C$3,$B$287,$B$457),Data!$BO:$BO,0)-2,11)&amp;"E-9","")</f>
        <v>PFH [1/h] = 42,9E-9</v>
      </c>
      <c r="C463" s="54"/>
      <c r="D463" s="35" t="str">
        <f ca="1">IFERROR(IF(INDEX(Tab_DaBa[],MATCH(CONCATENATE(Liste!$C$3,$B$287,$B$457),Data!$BO:$BO,0)-2,18)="","PFH [1/h] = "&amp;10^9*INDEX(Tab_DaBa[],MATCH(CONCATENATE(Liste!$C$3,$B$287,$B$457),Data!$BO:$BO,0)-2,16)&amp;"E-9","PFH [1/h] = "&amp;10^9*INDEX(Tab_DaBa[],MATCH(CONCATENATE(Liste!$C$3,$B$287,$B$457),Data!$BO:$BO,0)-2,21)&amp;"E-9"),"")</f>
        <v>PFH [1/h] = 4,19E-9</v>
      </c>
      <c r="E463" s="36"/>
      <c r="F463" s="35" t="str">
        <f ca="1">IFERROR(IF(AND(INDEX(Tab_DaBa[],MATCH(CONCATENATE(Liste!$C$3,$B$287,$B$457),Data!$BO:$BO,0)-2,18)&lt;&gt;"",INDEX(Tab_DaBa[],MATCH(CONCATENATE(Liste!$C$3,$B$287,$B$457),Data!$BO:$BO,0)-2,23)=""),"PFH [1/h] = "&amp;10^9*INDEX(Tab_DaBa[],MATCH(CONCATENATE(Liste!$C$3,$B$287,$B$457),Data!$BO:$BO,0)-2,16)&amp;"E-9",IF(INDEX(Tab_DaBa[],MATCH(CONCATENATE(Liste!$C$3,$B$287,$B$457),Data!$BO:$BO,0)-2,23)&lt;&gt;"","PFH [1/h] = "&amp;10^9*INDEX(Tab_DaBa[],MATCH(CONCATENATE(Liste!$C$3,$B$287,$B$457),Data!$BO:$BO,0)-2,26)&amp;"E-9","")),"")</f>
        <v>PFH [1/h] = 4,19E-9</v>
      </c>
      <c r="G463" s="39"/>
      <c r="H463" s="35" t="str">
        <f ca="1">IFERROR(IF(AND(INDEX(Tab_DaBa[],MATCH(CONCATENATE(Liste!$C$3,$B$287,$B$457),Data!$BO:$BO,0)-2,23)&lt;&gt;"",INDEX(Tab_DaBa[],MATCH(CONCATENATE(Liste!$C$3,$B$287,$B$457),Data!$BO:$BO,0)-2,28)=""),"PFH [1/h] = "&amp;10^9*INDEX(Tab_DaBa[],MATCH(CONCATENATE(Liste!$C$3,$B$287,$B$457),Data!$BO:$BO,0)-2,16)&amp;"E-9",IF(INDEX(Tab_DaBa[],MATCH(CONCATENATE(Liste!$C$3,$B$287,$B$457),Data!$BO:$BO,0)-2,23)&lt;&gt;"","PFH [1/h] = "&amp;10^9*INDEX(Tab_DaBa[],MATCH(CONCATENATE(Liste!$C$3,$B$287,$B$457),Data!$BO:$BO,0)-2,31)&amp;"E-9","")),"")</f>
        <v>PFH [1/h] = 4,19E-9</v>
      </c>
      <c r="I463" s="39"/>
    </row>
    <row r="464" spans="2:9" s="16" customFormat="1">
      <c r="B464" s="33"/>
      <c r="C464" s="34"/>
      <c r="D464" s="33"/>
      <c r="E464" s="33"/>
      <c r="F464" s="33"/>
      <c r="G464" s="33"/>
      <c r="H464" s="33"/>
      <c r="I464" s="33"/>
    </row>
    <row r="465" spans="2:9" s="16" customFormat="1" ht="15.75">
      <c r="B465" s="38">
        <f ca="1">IF(B467="","",6)</f>
        <v>6</v>
      </c>
      <c r="C465" s="34"/>
      <c r="D465" s="38">
        <f ca="1">IF(B467="","",3)</f>
        <v>3</v>
      </c>
      <c r="E465" s="33"/>
      <c r="F465" s="38">
        <f ca="1">IF(B467="","",3)</f>
        <v>3</v>
      </c>
      <c r="G465" s="33"/>
      <c r="H465" s="38">
        <f ca="1">IF(B467="","",3)</f>
        <v>3</v>
      </c>
      <c r="I465" s="33"/>
    </row>
    <row r="466" spans="2:9" s="16" customFormat="1" ht="15.75">
      <c r="B466" s="39"/>
      <c r="C466" s="33"/>
      <c r="D466" s="33"/>
      <c r="E466" s="33"/>
      <c r="F466" s="33"/>
      <c r="G466" s="33"/>
      <c r="H466" s="33"/>
      <c r="I466" s="33"/>
    </row>
    <row r="467" spans="2:9" s="16" customFormat="1" ht="15.75">
      <c r="B467" s="35" t="str">
        <f ca="1">IFERROR(IF(AND(INDEX(Tab_DaBa[],MATCH(CONCATENATE(Liste!$C$3,$B$287,$B$457),Data!$BO:$BO,0)-2,28)&lt;&gt;"",INDEX(Tab_DaBa[],MATCH(CONCATENATE(Liste!$C$3,$B$287,$B$457),Data!$BO:$BO,0)-2,33)=0),INDEX(Tab_DaBa[],MATCH(CONCATENATE(Liste!$C$3,$B$287,$B$457),Data!$BO:$BO,0)-2,14),IF(INDEX(Tab_DaBa[],MATCH(CONCATENATE(Liste!$C$3,$B$287,$B$457),Data!$BO:$BO,0)-2,28)&lt;&gt;"",INDEX(Tab_DaBa[],MATCH(CONCATENATE(Liste!$C$3,$B$287,$B$457),Data!$BO:$BO,0)-2,34),"")),"")</f>
        <v>Logik 04</v>
      </c>
      <c r="C467" s="39"/>
      <c r="D467" s="35" t="str">
        <f ca="1">IFERROR(IF(AND(INDEX(Tab_DaBa[],MATCH(CONCATENATE(Liste!$C$3,$B$287,$B$457),Data!$BO:$BO,0)-2,33)&lt;&gt;"",INDEX(Tab_DaBa[],MATCH(CONCATENATE(Liste!$C$3,$B$287,$B$457),Data!$BO:$BO,0)-2,38)=0),INDEX(Tab_DaBa[],MATCH(CONCATENATE(Liste!$C$3,$B$287,$B$457),Data!$BO:$BO,0)-2,14),IF(INDEX(Tab_DaBa[],MATCH(CONCATENATE(Liste!$C$3,$B$287,$B$457),Data!$BO:$BO,0)-2,33)&lt;&gt;"",INDEX(Tab_DaBa[],MATCH(CONCATENATE(Liste!$C$3,$B$287,$B$457),Data!$BO:$BO,0)-2,39),"")),"")</f>
        <v>Logik 05</v>
      </c>
      <c r="E467" s="33"/>
      <c r="F467" s="35" t="str">
        <f ca="1">IFERROR(IF(AND(INDEX(Tab_DaBa[],MATCH(CONCATENATE(Liste!$C$3,$B$287,$B$457),Data!$BO:$BO,0)-2,38)&lt;&gt;"",INDEX(Tab_DaBa[],MATCH(CONCATENATE(Liste!$C$3,$B$287,$B$457),Data!$BO:$BO,0)-2,43)=0),INDEX(Tab_DaBa[],MATCH(CONCATENATE(Liste!$C$3,$B$287,$B$457),Data!$BO:$BO,0)-2,14),IF(INDEX(Tab_DaBa[],MATCH(CONCATENATE(Liste!$C$3,$B$287,$B$457),Data!$BO:$BO,0)-2,38)&lt;&gt;"",INDEX(Tab_DaBa[],MATCH(CONCATENATE(Liste!$C$3,$B$287,$B$457),Data!$BO:$BO,0)-2,44),"")),"")</f>
        <v>Logik 06</v>
      </c>
      <c r="G467" s="39"/>
      <c r="H467" s="35" t="str">
        <f ca="1">IFERROR(IF(AND(INDEX(Tab_DaBa[],MATCH(CONCATENATE(Liste!$C$3,$B$287,$B$457),Data!$BO:$BO,0)-2,43)&lt;&gt;"",INDEX(Tab_DaBa[],MATCH(CONCATENATE(Liste!$C$3,$B$287,$B$457),Data!$BO:$BO,0)-2,48)=0),INDEX(Tab_DaBa[],MATCH(CONCATENATE(Liste!$C$3,$B$287,$B$457),Data!$BO:$BO,0)-2,14),IF(INDEX(Tab_DaBa[],MATCH(CONCATENATE(Liste!$C$3,$B$287,$B$457),Data!$BO:$BO,0)-2,43)&lt;&gt;"",INDEX(Tab_DaBa[],MATCH(CONCATENATE(Liste!$C$3,$B$287,$B$457),Data!$BO:$BO,0)-2,49),"")),"")</f>
        <v>Logik 07</v>
      </c>
      <c r="I467" s="39"/>
    </row>
    <row r="468" spans="2:9" s="16" customFormat="1" ht="15.75">
      <c r="B468" s="35" t="str">
        <f ca="1">IFERROR(IF(AND(INDEX(Tab_DaBa[],MATCH(CONCATENATE(Liste!$C$3,$B$287,$B$457),Data!$BO:$BO,0)-2,28)&lt;&gt;"",INDEX(Tab_DaBa[],MATCH(CONCATENATE(Liste!$C$3,$B$287,$B$457),Data!$BO:$BO,0)-2,33)=0),INDEX(Tab_DaBa[],MATCH(CONCATENATE(Liste!$C$3,$B$287,$B$457),Data!$BO:$BO,0)-2,12),IF(INDEX(Tab_DaBa[],MATCH(CONCATENATE(Liste!$C$3,$B$287,$B$457),Data!$BO:$BO,0)-2,28)&lt;&gt;"",INDEX(Tab_DaBa[],MATCH(CONCATENATE(Liste!$C$3,$B$287,$B$457),Data!$BO:$BO,0)-2,32),"")),"")</f>
        <v>Lo02-22_7</v>
      </c>
      <c r="C468" s="39"/>
      <c r="D468" s="35" t="str">
        <f ca="1">IFERROR(IF(AND(INDEX(Tab_DaBa[],MATCH(CONCATENATE(Liste!$C$3,$B$287,$B$457),Data!$BO:$BO,0)-2,33)&lt;&gt;"",INDEX(Tab_DaBa[],MATCH(CONCATENATE(Liste!$C$3,$B$287,$B$457),Data!$BO:$BO,0)-2,38)=0),INDEX(Tab_DaBa[],MATCH(CONCATENATE(Liste!$C$3,$B$287,$B$457),Data!$BO:$BO,0)-2,12),IF(INDEX(Tab_DaBa[],MATCH(CONCATENATE(Liste!$C$3,$B$287,$B$457),Data!$BO:$BO,0)-2,33)&lt;&gt;"",INDEX(Tab_DaBa[],MATCH(CONCATENATE(Liste!$C$3,$B$287,$B$457),Data!$BO:$BO,0)-2,37),"")),"")</f>
        <v>Lo02-22_7</v>
      </c>
      <c r="E468" s="37"/>
      <c r="F468" s="35" t="str">
        <f ca="1">IFERROR(IF(AND(INDEX(Tab_DaBa[],MATCH(CONCATENATE(Liste!$C$3,$B$287,$B$457),Data!$BO:$BO,0)-2,38)&lt;&gt;"",INDEX(Tab_DaBa[],MATCH(CONCATENATE(Liste!$C$3,$B$287,$B$457),Data!$BO:$BO,0)-2,43)=0),INDEX(Tab_DaBa[],MATCH(CONCATENATE(Liste!$C$3,$B$287,$B$457),Data!$BO:$BO,0)-2,12),IF(INDEX(Tab_DaBa[],MATCH(CONCATENATE(Liste!$C$3,$B$287,$B$457),Data!$BO:$BO,0)-2,38)&lt;&gt;"",INDEX(Tab_DaBa[],MATCH(CONCATENATE(Liste!$C$3,$B$287,$B$457),Data!$BO:$BO,0)-2,42),"")),"")</f>
        <v>Lo02-22_07</v>
      </c>
      <c r="G468" s="39"/>
      <c r="H468" s="35" t="str">
        <f ca="1">IFERROR(IF(AND(INDEX(Tab_DaBa[],MATCH(CONCATENATE(Liste!$C$3,$B$287,$B$457),Data!$BO:$BO,0)-2,43)&lt;&gt;"",INDEX(Tab_DaBa[],MATCH(CONCATENATE(Liste!$C$3,$B$287,$B$457),Data!$BO:$BO,0)-2,48)=0),INDEX(Tab_DaBa[],MATCH(CONCATENATE(Liste!$C$3,$B$287,$B$457),Data!$BO:$BO,0)-2,12),IF(INDEX(Tab_DaBa[],MATCH(CONCATENATE(Liste!$C$3,$B$287,$B$457),Data!$BO:$BO,0)-2,43)&lt;&gt;"",INDEX(Tab_DaBa[],MATCH(CONCATENATE(Liste!$C$3,$B$287,$B$457),Data!$BO:$BO,0)-2,47),"")),"")</f>
        <v>Lo02-22_07</v>
      </c>
      <c r="I468" s="39"/>
    </row>
    <row r="469" spans="2:9" s="16" customFormat="1" ht="15.75">
      <c r="B469" s="35" t="str">
        <f ca="1">IFERROR(IF(AND(INDEX(Tab_DaBa[],MATCH(CONCATENATE(Liste!$C$3,$B$287,$B$457),Data!$BO:$BO,0)-2,28)&lt;&gt;"",INDEX(Tab_DaBa[],MATCH(CONCATENATE(Liste!$C$3,$B$287,$B$457),Data!$BO:$BO,0)-2,33)=""),INDEX(Tab_DaBa[],MATCH(CONCATENATE(Liste!$C$3,$B$287,$B$457),Data!$BO:$BO,0)-2,13),IF(INDEX(Tab_DaBa[],MATCH(CONCATENATE(Liste!$C$3,$B$287,$B$457),Data!$BO:$BO,0)-2,28)&lt;&gt;"",INDEX(Tab_DaBa[],MATCH(CONCATENATE(Liste!$C$3,$B$287,$B$457),Data!$BO:$BO,0)-2,33),"")),"")</f>
        <v>Bez_Lo02_7</v>
      </c>
      <c r="C469" s="38">
        <f ca="1">IF(D467="","",4)</f>
        <v>4</v>
      </c>
      <c r="D469" s="35" t="str">
        <f ca="1">IFERROR(IF(AND(INDEX(Tab_DaBa[],MATCH(CONCATENATE(Liste!$C$3,$B$287,$B$457),Data!$BO:$BO,0)-2,33)&lt;&gt;"",INDEX(Tab_DaBa[],MATCH(CONCATENATE(Liste!$C$3,$B$287,$B$457),Data!$BO:$BO,0)-2,38)=""),INDEX(Tab_DaBa[],MATCH(CONCATENATE(Liste!$C$3,$B$287,$B$457),Data!$BO:$BO,0)-2,13),IF(INDEX(Tab_DaBa[],MATCH(CONCATENATE(Liste!$C$3,$B$287,$B$457),Data!$BO:$BO,0)-2,33)&lt;&gt;"",INDEX(Tab_DaBa[],MATCH(CONCATENATE(Liste!$C$3,$B$287,$B$457),Data!$BO:$BO,0)-2,38),"")),"")</f>
        <v>Bez_Lo02_7</v>
      </c>
      <c r="E469" s="38">
        <f ca="1">IF(F467="","",4)</f>
        <v>4</v>
      </c>
      <c r="F469" s="35" t="str">
        <f ca="1">IFERROR(IF(AND(INDEX(Tab_DaBa[],MATCH(CONCATENATE(Liste!$C$3,$B$287,$B$457),Data!$BO:$BO,0)-2,38)&lt;&gt;"",INDEX(Tab_DaBa[],MATCH(CONCATENATE(Liste!$C$3,$B$287,$B$457),Data!$BO:$BO,0)-2,43)=""),INDEX(Tab_DaBa[],MATCH(CONCATENATE(Liste!$C$3,$B$287,$B$457),Data!$BO:$BO,0)-2,13),IF(INDEX(Tab_DaBa[],MATCH(CONCATENATE(Liste!$C$3,$B$287,$B$457),Data!$BO:$BO,0)-2,38)&lt;&gt;"",INDEX(Tab_DaBa[],MATCH(CONCATENATE(Liste!$C$3,$B$287,$B$457),Data!$BO:$BO,0)-2,43),"")),"")</f>
        <v>Bez_Lo02_07</v>
      </c>
      <c r="G469" s="38">
        <f ca="1">IF(H467="","",4)</f>
        <v>4</v>
      </c>
      <c r="H469" s="35" t="str">
        <f ca="1">IFERROR(IF(AND(INDEX(Tab_DaBa[],MATCH(CONCATENATE(Liste!$C$3,$B$287,$B$457),Data!$BO:$BO,0)-2,43)&lt;&gt;"",INDEX(Tab_DaBa[],MATCH(CONCATENATE(Liste!$C$3,$B$287,$B$457),Data!$BO:$BO,0)-2,48)=""),INDEX(Tab_DaBa[],MATCH(CONCATENATE(Liste!$C$3,$B$287,$B$457),Data!$BO:$BO,0)-2,13),IF(INDEX(Tab_DaBa[],MATCH(CONCATENATE(Liste!$C$3,$B$287,$B$457),Data!$BO:$BO,0)-2,43)&lt;&gt;"",INDEX(Tab_DaBa[],MATCH(CONCATENATE(Liste!$C$3,$B$287,$B$457),Data!$BO:$BO,0)-2,48),"")),"")</f>
        <v>Bez_Lo02_07</v>
      </c>
      <c r="I469" s="38">
        <f ca="1">IF(B475="","",6)</f>
        <v>6</v>
      </c>
    </row>
    <row r="470" spans="2:9" s="16" customFormat="1" ht="15.75">
      <c r="B470" s="35" t="str">
        <f ca="1">IFERROR(IF(AND(INDEX(Tab_DaBa[],MATCH(CONCATENATE(Liste!$C$3,$B$287,$B$457),Data!$BO:$BO,0)-2,28)&lt;&gt;"",INDEX(Tab_DaBa[],MATCH(CONCATENATE(Liste!$C$3,$B$287,$B$457),Data!$BO:$BO,0)-2,33)=""),"Performance Level: "&amp;INDEX(Tab_DaBa[],MATCH(CONCATENATE(Liste!$C$3,$B$287,$B$457),Data!$BO:$BO,0)-2,15),IF(INDEX(Tab_DaBa[],MATCH(CONCATENATE(Liste!$C$3,$B$287,$B$457),Data!$BO:$BO,0)-2,28)&lt;&gt;"","Performance Level: "&amp;INDEX(Tab_DaBa[],MATCH(CONCATENATE(Liste!$C$3,$B$287,$B$457),Data!$BO:$BO,0)-2,35),"")),"")</f>
        <v>Performance Level: PL_Lo02_7</v>
      </c>
      <c r="C470" s="39"/>
      <c r="D470" s="35" t="str">
        <f ca="1">IFERROR(IF(AND(INDEX(Tab_DaBa[],MATCH(CONCATENATE(Liste!$C$3,$B$287,$B$457),Data!$BO:$BO,0)-2,33)&lt;&gt;"",INDEX(Tab_DaBa[],MATCH(CONCATENATE(Liste!$C$3,$B$287,$B$457),Data!$BO:$BO,0)-2,38)=""),"Performance Level: "&amp;INDEX(Tab_DaBa[],MATCH(CONCATENATE(Liste!$C$3,$B$287,$B$457),Data!$BO:$BO,0)-2,15),IF(INDEX(Tab_DaBa[],MATCH(CONCATENATE(Liste!$C$3,$B$287,$B$457),Data!$BO:$BO,0)-2,33)&lt;&gt;"","Performance Level: "&amp;INDEX(Tab_DaBa[],MATCH(CONCATENATE(Liste!$C$3,$B$287,$B$457),Data!$BO:$BO,0)-2,40),"")),"")</f>
        <v>Performance Level: PL_Lo02_7</v>
      </c>
      <c r="E470" s="37"/>
      <c r="F470" s="35" t="str">
        <f ca="1">IFERROR(IF(AND(INDEX(Tab_DaBa[],MATCH(CONCATENATE(Liste!$C$3,$B$287,$B$457),Data!$BO:$BO,0)-2,38)&lt;&gt;"",INDEX(Tab_DaBa[],MATCH(CONCATENATE(Liste!$C$3,$B$287,$B$457),Data!$BO:$BO,0)-2,43)=""),"Performance Level: "&amp;INDEX(Tab_DaBa[],MATCH(CONCATENATE(Liste!$C$3,$B$287,$B$457),Data!$BO:$BO,0)-2,15),IF(INDEX(Tab_DaBa[],MATCH(CONCATENATE(Liste!$C$3,$B$287,$B$457),Data!$BO:$BO,0)-2,38)&lt;&gt;"","Performance Level: "&amp;INDEX(Tab_DaBa[],MATCH(CONCATENATE(Liste!$C$3,$B$287,$B$457),Data!$BO:$BO,0)-2,45),"")),"")</f>
        <v>Performance Level: PL_Lo02_07</v>
      </c>
      <c r="G470" s="39"/>
      <c r="H470" s="35" t="str">
        <f ca="1">IFERROR(IF(AND(INDEX(Tab_DaBa[],MATCH(CONCATENATE(Liste!$C$3,$B$287,$B$457),Data!$BO:$BO,0)-2,43)&lt;&gt;"",INDEX(Tab_DaBa[],MATCH(CONCATENATE(Liste!$C$3,$B$287,$B$457),Data!$BO:$BO,0)-2,48)=""),"Performance Level: "&amp;INDEX(Tab_DaBa[],MATCH(CONCATENATE(Liste!$C$3,$B$287,$B$457),Data!$BO:$BO,0)-2,15),IF(INDEX(Tab_DaBa[],MATCH(CONCATENATE(Liste!$C$3,$B$287,$B$457),Data!$BO:$BO,0)-2,43)&lt;&gt;"","Performance Level: "&amp;INDEX(Tab_DaBa[],MATCH(CONCATENATE(Liste!$C$3,$B$287,$B$457),Data!$BO:$BO,0)-2,50),"")),"")</f>
        <v>Performance Level: PL_Lo02_07</v>
      </c>
      <c r="I470" s="39"/>
    </row>
    <row r="471" spans="2:9" s="16" customFormat="1" ht="15.75">
      <c r="B471" s="35" t="str">
        <f ca="1">IFERROR(IF(AND(INDEX(Tab_DaBa[],MATCH(CONCATENATE(Liste!$C$3,$B$287,$B$457),Data!$BO:$BO,0)-2,28)&lt;&gt;"",INDEX(Tab_DaBa[],MATCH(CONCATENATE(Liste!$C$3,$B$287,$B$457),Data!$BO:$BO,0)-2,33)=""),"PFH [1/h] = "&amp;10^9*INDEX(Tab_DaBa[],MATCH(CONCATENATE(Liste!$C$3,$B$287,$B$457),Data!$BO:$BO,0)-2,16)&amp;"E-9",IF(INDEX(Tab_DaBa[],MATCH(CONCATENATE(Liste!$C$3,$B$287,$B$457),Data!$BO:$BO,0)-2,28)&lt;&gt;"","PFH [1/h] = "&amp;10^9*INDEX(Tab_DaBa[],MATCH(CONCATENATE(Liste!$C$3,$B$287,$B$457),Data!$BO:$BO,0)-2,36)&amp;"E-9","")),"")</f>
        <v>PFH [1/h] = 4,19E-9</v>
      </c>
      <c r="C471" s="39"/>
      <c r="D471" s="35" t="str">
        <f ca="1">IFERROR(IF(AND(INDEX(Tab_DaBa[],MATCH(CONCATENATE(Liste!$C$3,$B$287,$B$457),Data!$BO:$BO,0)-2,33)&lt;&gt;"",INDEX(Tab_DaBa[],MATCH(CONCATENATE(Liste!$C$3,$B$287,$B$457),Data!$BO:$BO,0)-2,38)=""),"PFH [1/h] = "&amp;10^9*INDEX(Tab_DaBa[],MATCH(CONCATENATE(Liste!$C$3,$B$287,$B$457),Data!$BO:$BO,0)-2,16)&amp;"E-9",IF(INDEX(Tab_DaBa[],MATCH(CONCATENATE(Liste!$C$3,$B$287,$B$457),Data!$BO:$BO,0)-2,33)&lt;&gt;"","PFH [1/h] = "&amp;10^9*INDEX(Tab_DaBa[],MATCH(CONCATENATE(Liste!$C$3,$B$287,$B$457),Data!$BO:$BO,0)-2,41)&amp;"E-9","")),"")</f>
        <v>PFH [1/h] = 4,19E-9</v>
      </c>
      <c r="E471" s="37"/>
      <c r="F471" s="35" t="str">
        <f ca="1">IFERROR(IF(AND(INDEX(Tab_DaBa[],MATCH(CONCATENATE(Liste!$C$3,$B$287,$B$457),Data!$BO:$BO,0)-2,38)&lt;&gt;"",INDEX(Tab_DaBa[],MATCH(CONCATENATE(Liste!$C$3,$B$287,$B$457),Data!$BO:$BO,0)-2,43)=""),"PFH [1/h] = "&amp;10^9*INDEX(Tab_DaBa[],MATCH(CONCATENATE(Liste!$C$3,$B$287,$B$457),Data!$BO:$BO,0)-2,16)&amp;"E-9",IF(INDEX(Tab_DaBa[],MATCH(CONCATENATE(Liste!$C$3,$B$287,$B$457),Data!$BO:$BO,0)-2,38)&lt;&gt;"","PFH [1/h] = "&amp;10^9*INDEX(Tab_DaBa[],MATCH(CONCATENATE(Liste!$C$3,$B$287,$B$457),Data!$BO:$BO,0)-2,46)&amp;"E-9","")),"")</f>
        <v>PFH [1/h] = 4,19E-9</v>
      </c>
      <c r="G471" s="39"/>
      <c r="H471" s="35" t="str">
        <f ca="1">IFERROR(IF(AND(INDEX(Tab_DaBa[],MATCH(CONCATENATE(Liste!$C$3,$B$287,$B$457),Data!$BO:$BO,0)-2,43)&lt;&gt;"",INDEX(Tab_DaBa[],MATCH(CONCATENATE(Liste!$C$3,$B$287,$B$457),Data!$BO:$BO,0)-2,48)=""),"PFH [1/h] = "&amp;10^9*INDEX(Tab_DaBa[],MATCH(CONCATENATE(Liste!$C$3,$B$287,$B$457),Data!$BO:$BO,0)-2,16)&amp;"E-9",IF(INDEX(Tab_DaBa[],MATCH(CONCATENATE(Liste!$C$3,$B$287,$B$457),Data!$BO:$BO,0)-2,43)&lt;&gt;"","PFH [1/h] = "&amp;10^9*INDEX(Tab_DaBa[],MATCH(CONCATENATE(Liste!$C$3,$B$287,$B$457),Data!$BO:$BO,0)-2,51)&amp;"E-9","")),"")</f>
        <v>PFH [1/h] = 4,19E-9</v>
      </c>
      <c r="I471" s="39"/>
    </row>
    <row r="472" spans="2:9" s="16" customFormat="1">
      <c r="B472" s="33"/>
      <c r="C472" s="33"/>
      <c r="D472" s="33"/>
      <c r="E472" s="33"/>
      <c r="F472" s="33"/>
      <c r="G472" s="33"/>
      <c r="H472" s="33"/>
      <c r="I472" s="33"/>
    </row>
    <row r="473" spans="2:9" s="16" customFormat="1" ht="15.75">
      <c r="B473" s="38">
        <f ca="1">IF(B475="","",6)</f>
        <v>6</v>
      </c>
      <c r="C473" s="33"/>
      <c r="D473" s="38">
        <f ca="1">IF(B475="","",3)</f>
        <v>3</v>
      </c>
      <c r="E473" s="33"/>
      <c r="F473" s="38">
        <f ca="1">IF(B475="","",3)</f>
        <v>3</v>
      </c>
      <c r="G473" s="33"/>
      <c r="H473" s="38">
        <f ca="1">IF(B475="","",3)</f>
        <v>3</v>
      </c>
      <c r="I473" s="33"/>
    </row>
    <row r="474" spans="2:9" s="16" customFormat="1" ht="15.75">
      <c r="B474" s="39"/>
      <c r="C474" s="33"/>
      <c r="D474" s="33"/>
      <c r="E474" s="33"/>
      <c r="F474" s="33"/>
      <c r="G474" s="33"/>
      <c r="H474" s="33"/>
      <c r="I474" s="33"/>
    </row>
    <row r="475" spans="2:9" s="16" customFormat="1" ht="15.75">
      <c r="B475" s="35" t="str">
        <f ca="1">IFERROR(IF(AND(INDEX(Tab_DaBa[],MATCH(CONCATENATE(Liste!$C$3,$B$287,$B$457),Data!$BO:$BO,0)-2,48)&lt;&gt;"",INDEX(Tab_DaBa[],MATCH(CONCATENATE(Liste!$C$3,$B$287,$B$457),Data!$BO:$BO,0)-2,53)=0),INDEX(Tab_DaBa[],MATCH(CONCATENATE(Liste!$C$3,$B$287,$B$457),Data!$BO:$BO,0)-2,14),IF(INDEX(Tab_DaBa[],MATCH(CONCATENATE(Liste!$C$3,$B$287,$B$457),Data!$BO:$BO,0)-2,48)&lt;&gt;"",INDEX(Tab_DaBa[],MATCH(CONCATENATE(Liste!$C$3,$B$287,$B$457),Data!$BO:$BO,0)-2,54),"")),"")</f>
        <v>Ausgang</v>
      </c>
      <c r="C475" s="39"/>
      <c r="D475" s="35" t="str">
        <f ca="1">IFERROR(IF(AND(INDEX(Tab_DaBa[],MATCH(CONCATENATE(Liste!$C$3,$B$287,$B$457),Data!$BO:$BO,0)-2,53)&lt;&gt;"",INDEX(Tab_DaBa[],MATCH(CONCATENATE(Liste!$C$3,$B$287,$B$457),Data!$BO:$BO,0)-2,58)=0),INDEX(Tab_DaBa[],MATCH(CONCATENATE(Liste!$C$3,$B$287,$B$457),Data!$BO:$BO,0)-2,14),IF(INDEX(Tab_DaBa[],MATCH(CONCATENATE(Liste!$C$3,$B$287,$B$457),Data!$BO:$BO,0)-2,53)&lt;&gt;"",INDEX(Tab_DaBa[],MATCH(CONCATENATE(Liste!$C$3,$B$287,$B$457),Data!$BO:$BO,0)-2,59),"")),"")</f>
        <v/>
      </c>
      <c r="E475" s="33"/>
      <c r="F475" s="35" t="str">
        <f ca="1">IFERROR(IF(AND(INDEX(Tab_DaBa[],MATCH(CONCATENATE(Liste!$C$3,$B$287,$B$457),Data!$BO:$BO,0)-2,58)&lt;&gt;"",INDEX(Tab_DaBa[],MATCH(CONCATENATE(Liste!$C$3,$B$287,$B$457),Data!$BO:$BO,0)-2,63)=0),INDEX(Tab_DaBa[],MATCH(CONCATENATE(Liste!$C$3,$B$287,$B$457),Data!$BO:$BO,0)-2,14),IF(INDEX(Tab_DaBa[],MATCH(CONCATENATE(Liste!$C$3,$B$287,$B$457),Data!$BO:$BO,0)-2,58)&lt;&gt;"",INDEX(Tab_DaBa[],MATCH(CONCATENATE(Liste!$C$3,$B$287,$B$457),Data!$BO:$BO,0)-2,64),"")),"")</f>
        <v/>
      </c>
      <c r="G475" s="39"/>
      <c r="H475" s="35" t="str">
        <f ca="1">IFERROR(IF(INDEX(Tab_DaBa[],MATCH(CONCATENATE(Liste!$C$3,$B$287,$B$457),Data!$BO:$BO,0)-2,63)&lt;&gt;"",INDEX(Tab_DaBa[],MATCH(CONCATENATE(Liste!$C$3,$B$287,$B$457),Data!$BO:$BO,0)-2,14),""),"")</f>
        <v/>
      </c>
    </row>
    <row r="476" spans="2:9" s="16" customFormat="1" ht="15.75">
      <c r="B476" s="35" t="str">
        <f ca="1">IFERROR(IF(AND(INDEX(Tab_DaBa[],MATCH(CONCATENATE(Liste!$C$3,$B$287,$B$457),Data!$BO:$BO,0)-2,48)&lt;&gt;"",INDEX(Tab_DaBa[],MATCH(CONCATENATE(Liste!$C$3,$B$287,$B$457),Data!$BO:$BO,0)-2,53)=0),INDEX(Tab_DaBa[],MATCH(CONCATENATE(Liste!$C$3,$B$287,$B$457),Data!$BO:$BO,0)-2,12),IF(INDEX(Tab_DaBa[],MATCH(CONCATENATE(Liste!$C$3,$B$287,$B$457),Data!$BO:$BO,0)-2,48)&lt;&gt;"",INDEX(Tab_DaBa[],MATCH(CONCATENATE(Liste!$C$3,$B$287,$B$457),Data!$BO:$BO,0)-2,52),"")),"")</f>
        <v>aaaa-22_7</v>
      </c>
      <c r="C476" s="39"/>
      <c r="D476" s="35" t="str">
        <f ca="1">IFERROR(IF(AND(INDEX(Tab_DaBa[],MATCH(CONCATENATE(Liste!$C$3,$B$287,$B$457),Data!$BO:$BO,0)-2,53)&lt;&gt;"",INDEX(Tab_DaBa[],MATCH(CONCATENATE(Liste!$C$3,$B$287,$B$457),Data!$BO:$BO,0)-2,58)=0),INDEX(Tab_DaBa[],MATCH(CONCATENATE(Liste!$C$3,$B$287,$B$457),Data!$BO:$BO,0)-2,12),IF(INDEX(Tab_DaBa[],MATCH(CONCATENATE(Liste!$C$3,$B$287,$B$457),Data!$BO:$BO,0)-2,53)&lt;&gt;"",INDEX(Tab_DaBa[],MATCH(CONCATENATE(Liste!$C$3,$B$287,$B$457),Data!$BO:$BO,0)-2,57),"")),"")</f>
        <v/>
      </c>
      <c r="E476" s="37"/>
      <c r="F476" s="35" t="str">
        <f ca="1">IFERROR(IF(AND(INDEX(Tab_DaBa[],MATCH(CONCATENATE(Liste!$C$3,$B$287,$B$457),Data!$BO:$BO,0)-2,58)&lt;&gt;"",INDEX(Tab_DaBa[],MATCH(CONCATENATE(Liste!$C$3,$B$287,$B$457),Data!$BO:$BO,0)-2,63)=0),INDEX(Tab_DaBa[],MATCH(CONCATENATE(Liste!$C$3,$B$287,$B$457),Data!$BO:$BO,0)-2,12),IF(INDEX(Tab_DaBa[],MATCH(CONCATENATE(Liste!$C$3,$B$287,$B$457),Data!$BO:$BO,0)-2,58)&lt;&gt;"",INDEX(Tab_DaBa[],MATCH(CONCATENATE(Liste!$C$3,$B$287,$B$457),Data!$BO:$BO,0)-2,62),"")),"")</f>
        <v/>
      </c>
      <c r="G476" s="39"/>
      <c r="H476" s="35" t="str">
        <f ca="1">IFERROR(IF(INDEX(Tab_DaBa[],MATCH(CONCATENATE(Liste!$C$3,$B$287,$B$457),Data!$BO:$BO,0)-2,63)&lt;&gt;"",INDEX(Tab_DaBa[],MATCH(CONCATENATE(Liste!$C$3,$B$287,$B$457),Data!$BO:$BO,0)-2,12),""),"")</f>
        <v/>
      </c>
    </row>
    <row r="477" spans="2:9" s="16" customFormat="1" ht="15.75">
      <c r="B477" s="35" t="str">
        <f ca="1">IFERROR(IF(AND(INDEX(Tab_DaBa[],MATCH(CONCATENATE(Liste!$C$3,$B$287,$B$457),Data!$BO:$BO,0)-2,48)&lt;&gt;"",INDEX(Tab_DaBa[],MATCH(CONCATENATE(Liste!$C$3,$B$287,$B$457),Data!$BO:$BO,0)-2,53)=""),INDEX(Tab_DaBa[],MATCH(CONCATENATE(Liste!$C$3,$B$287,$B$457),Data!$BO:$BO,0)-2,13),IF(INDEX(Tab_DaBa[],MATCH(CONCATENATE(Liste!$C$3,$B$287,$B$457),Data!$BO:$BO,0)-2,48)&lt;&gt;"",INDEX(Tab_DaBa[],MATCH(CONCATENATE(Liste!$C$3,$B$287,$B$457),Data!$BO:$BO,0)-2,53),"")),"")</f>
        <v>Bez_Aus2_7</v>
      </c>
      <c r="C477" s="38" t="str">
        <f ca="1">IF(D475="","",4)</f>
        <v/>
      </c>
      <c r="D477" s="35" t="str">
        <f ca="1">IFERROR(IF(AND(INDEX(Tab_DaBa[],MATCH(CONCATENATE(Liste!$C$3,$B$287,$B$457),Data!$BO:$BO,0)-2,53)&lt;&gt;"",INDEX(Tab_DaBa[],MATCH(CONCATENATE(Liste!$C$3,$B$287,$B$457),Data!$BO:$BO,0)-2,58)=""),INDEX(Tab_DaBa[],MATCH(CONCATENATE(Liste!$C$3,$B$287,$B$457),Data!$BO:$BO,0)-2,13),IF(INDEX(Tab_DaBa[],MATCH(CONCATENATE(Liste!$C$3,$B$287,$B$457),Data!$BO:$BO,0)-2,53)&lt;&gt;"",INDEX(Tab_DaBa[],MATCH(CONCATENATE(Liste!$C$3,$B$287,$B$457),Data!$BO:$BO,0)-2,58),"")),"")</f>
        <v/>
      </c>
      <c r="E477" s="38" t="str">
        <f ca="1">IF(F475="","",4)</f>
        <v/>
      </c>
      <c r="F477" s="35" t="str">
        <f ca="1">IFERROR(IF(AND(INDEX(Tab_DaBa[],MATCH(CONCATENATE(Liste!$C$3,$B$287,$B$457),Data!$BO:$BO,0)-2,58)&lt;&gt;"",INDEX(Tab_DaBa[],MATCH(CONCATENATE(Liste!$C$3,$B$287,$B$457),Data!$BO:$BO,0)-2,63)=""),INDEX(Tab_DaBa[],MATCH(CONCATENATE(Liste!$C$3,$B$287,$B$457),Data!$BO:$BO,0)-2,13),IF(INDEX(Tab_DaBa[],MATCH(CONCATENATE(Liste!$C$3,$B$287,$B$457),Data!$BO:$BO,0)-2,58)&lt;&gt;"",INDEX(Tab_DaBa[],MATCH(CONCATENATE(Liste!$C$3,$B$287,$B$457),Data!$BO:$BO,0)-2,63),"")),"")</f>
        <v/>
      </c>
      <c r="G477" s="38" t="str">
        <f ca="1">IF(H475="","",4)</f>
        <v/>
      </c>
      <c r="H477" s="35" t="str">
        <f ca="1">IFERROR(IF(INDEX(Tab_DaBa[],MATCH(CONCATENATE(Liste!$C$3,$B$287,$B$457),Data!$BO:$BO,0)-2,63)&lt;&gt;"",INDEX(Tab_DaBa[],MATCH(CONCATENATE(Liste!$C$3,$B$287,$B$457),Data!$BO:$BO,0)-2,13),""),"")</f>
        <v/>
      </c>
    </row>
    <row r="478" spans="2:9" s="16" customFormat="1" ht="15.75">
      <c r="B478" s="35" t="str">
        <f ca="1">IFERROR(IF(AND(INDEX(Tab_DaBa[],MATCH(CONCATENATE(Liste!$C$3,$B$287,$B$457),Data!$BO:$BO,0)-2,48)&lt;&gt;"",INDEX(Tab_DaBa[],MATCH(CONCATENATE(Liste!$C$3,$B$287,$B$457),Data!$BO:$BO,0)-2,53)=""),"Performance Level: "&amp;INDEX(Tab_DaBa[],MATCH(CONCATENATE(Liste!$C$3,$B$287,$B$457),Data!$BO:$BO,0)-2,15),IF(INDEX(Tab_DaBa[],MATCH(CONCATENATE(Liste!$C$3,$B$287,$B$457),Data!$BO:$BO,0)-2,48)&lt;&gt;"","Performance Level: "&amp;INDEX(Tab_DaBa[],MATCH(CONCATENATE(Liste!$C$3,$B$287,$B$457),Data!$BO:$BO,0)-2,55),"")),"")</f>
        <v>Performance Level: PL_Aus2_7</v>
      </c>
      <c r="C478" s="39"/>
      <c r="D478" s="35" t="str">
        <f ca="1">IFERROR(IF(AND(INDEX(Tab_DaBa[],MATCH(CONCATENATE(Liste!$C$3,$B$287,$B$457),Data!$BO:$BO,0)-2,53)&lt;&gt;"",INDEX(Tab_DaBa[],MATCH(CONCATENATE(Liste!$C$3,$B$287,$B$457),Data!$BO:$BO,0)-2,58)=""),"Performance Level: "&amp;INDEX(Tab_DaBa[],MATCH(CONCATENATE(Liste!$C$3,$B$287,$B$457),Data!$BO:$BO,0)-2,15),IF(INDEX(Tab_DaBa[],MATCH(CONCATENATE(Liste!$C$3,$B$287,$B$457),Data!$BO:$BO,0)-2,53)&lt;&gt;"","Performance Level: "&amp;INDEX(Tab_DaBa[],MATCH(CONCATENATE(Liste!$C$3,$B$287,$B$457),Data!$BO:$BO,0)-2,60),"")),"")</f>
        <v/>
      </c>
      <c r="E478" s="37"/>
      <c r="F478" s="35" t="str">
        <f ca="1">IFERROR(IF(AND(INDEX(Tab_DaBa[],MATCH(CONCATENATE(Liste!$C$3,$B$287,$B$457),Data!$BO:$BO,0)-2,58)&lt;&gt;"",INDEX(Tab_DaBa[],MATCH(CONCATENATE(Liste!$C$3,$B$287,$B$457),Data!$BO:$BO,0)-2,63)=""),"Performance Level: "&amp;INDEX(Tab_DaBa[],MATCH(CONCATENATE(Liste!$C$3,$B$287,$B$457),Data!$BO:$BO,0)-2,15),IF(INDEX(Tab_DaBa[],MATCH(CONCATENATE(Liste!$C$3,$B$287,$B$457),Data!$BO:$BO,0)-2,58)&lt;&gt;"","Performance Level: "&amp;INDEX(Tab_DaBa[],MATCH(CONCATENATE(Liste!$C$3,$B$287,$B$457),Data!$BO:$BO,0)-2,65),"")),"")</f>
        <v/>
      </c>
      <c r="G478" s="39"/>
      <c r="H478" s="35" t="str">
        <f ca="1">IFERROR(IF(INDEX(Tab_DaBa[],MATCH(CONCATENATE(Liste!$C$3,$B$287,$B$457),Data!$BO:$BO,0)-2,63)&lt;&gt;"","Performance Level: "&amp;INDEX(Tab_DaBa[],MATCH(CONCATENATE(Liste!$C$3,$B$287,$B$457),Data!$BO:$BO,0)-2,15),""),"")</f>
        <v/>
      </c>
    </row>
    <row r="479" spans="2:9" s="16" customFormat="1" ht="15.75">
      <c r="B479" s="35" t="str">
        <f ca="1">IFERROR(IF(AND(INDEX(Tab_DaBa[],MATCH(CONCATENATE(Liste!$C$3,$B$287,$B$457),Data!$BO:$BO,0)-2,48)&lt;&gt;"",INDEX(Tab_DaBa[],MATCH(CONCATENATE(Liste!$C$3,$B$287,$B$457),Data!$BO:$BO,0)-2,53)=""),"PFH [1/h] = "&amp;10^9*INDEX(Tab_DaBa[],MATCH(CONCATENATE(Liste!$C$3,$B$287,$B$457),Data!$BO:$BO,0)-2,16)&amp;"E-9",IF(INDEX(Tab_DaBa[],MATCH(CONCATENATE(Liste!$C$3,$B$287,$B$457),Data!$BO:$BO,0)-2,48)&lt;&gt;"","PFH [1/h] = "&amp;10^9*INDEX(Tab_DaBa[],MATCH(CONCATENATE(Liste!$C$3,$B$287,$B$457),Data!$BO:$BO,0)-2,56)&amp;"E-9","")),"")</f>
        <v>PFH [1/h] = 24,7E-9</v>
      </c>
      <c r="C479" s="39"/>
      <c r="D479" s="35" t="str">
        <f ca="1">IFERROR(IF(AND(INDEX(Tab_DaBa[],MATCH(CONCATENATE(Liste!$C$3,$B$287,$B$457),Data!$BO:$BO,0)-2,53)&lt;&gt;"",INDEX(Tab_DaBa[],MATCH(CONCATENATE(Liste!$C$3,$B$287,$B$457),Data!$BO:$BO,0)-2,58)=""),"PFH [1/h] = "&amp;10^9*INDEX(Tab_DaBa[],MATCH(CONCATENATE(Liste!$C$3,$B$287,$B$457),Data!$BO:$BO,0)-2,16)&amp;"E-9",IF(INDEX(Tab_DaBa[],MATCH(CONCATENATE(Liste!$C$3,$B$287,$B$457),Data!$BO:$BO,0)-2,53)&lt;&gt;"","PFH [1/h] = "&amp;10^9*INDEX(Tab_DaBa[],MATCH(CONCATENATE(Liste!$C$3,$B$287,$B$457),Data!$BO:$BO,0)-2,61)&amp;"E-9","")),"")</f>
        <v/>
      </c>
      <c r="E479" s="37"/>
      <c r="F479" s="35" t="str">
        <f ca="1">IFERROR(IF(AND(INDEX(Tab_DaBa[],MATCH(CONCATENATE(Liste!$C$3,$B$287,$B$457),Data!$BO:$BO,0)-2,58)&lt;&gt;"",INDEX(Tab_DaBa[],MATCH(CONCATENATE(Liste!$C$3,$B$287,$B$457),Data!$BO:$BO,0)-2,63)=""),"PFH [1/h] = "&amp;10^9*INDEX(Tab_DaBa[],MATCH(CONCATENATE(Liste!$C$3,$B$287,$B$457),Data!$BO:$BO,0)-2,16)&amp;"E-9",IF(INDEX(Tab_DaBa[],MATCH(CONCATENATE(Liste!$C$3,$B$287,$B$457),Data!$BO:$BO,0)-2,58)&lt;&gt;"","PFH [1/h] = "&amp;10^9*INDEX(Tab_DaBa[],MATCH(CONCATENATE(Liste!$C$3,$B$287,$B$457),Data!$BO:$BO,0)-2,66)&amp;"E-9","")),"")</f>
        <v/>
      </c>
      <c r="G479" s="39"/>
      <c r="H479" s="35" t="str">
        <f ca="1">IFERROR(IF(INDEX(Tab_DaBa[],MATCH(CONCATENATE(Liste!$C$3,$B$287,$B$457),Data!$BO:$BO,0)-2,63)&lt;&gt;"","PFH [1/h] = "&amp;10^9*INDEX(Tab_DaBa[],MATCH(CONCATENATE(Liste!$C$3,$B$287,$B$457),Data!$BO:$BO,0)-2,16)&amp;"E-9",""),"")</f>
        <v/>
      </c>
    </row>
    <row r="480" spans="2:9" s="16" customFormat="1"/>
    <row r="481" spans="2:9" s="16" customFormat="1">
      <c r="B481" s="43" t="str">
        <f ca="1">IF(D481="","","Erforderlich")</f>
        <v>Erforderlich</v>
      </c>
      <c r="D481" s="44" t="str">
        <f ca="1">IFERROR("Performance Level: "&amp;INDEX(Tab_DaBa[],MATCH(CONCATENATE(Liste!$C$3,$B$287,$B$457),Data!$BO:$BO,0)-2,4),"")</f>
        <v>Performance Level: PLr_ges2_7</v>
      </c>
    </row>
    <row r="482" spans="2:9" s="16" customFormat="1">
      <c r="B482" s="45"/>
    </row>
    <row r="483" spans="2:9" s="16" customFormat="1">
      <c r="B483" s="46" t="str">
        <f ca="1">IF(D483="","","Erreicht")</f>
        <v>Erreicht</v>
      </c>
      <c r="D483" s="47" t="str">
        <f ca="1">IFERROR("Performance Level: "&amp;INDEX(Tab_DaBa[],MATCH(CONCATENATE(Liste!$C$3,$B$287,$B$457),Data!$BO:$BO,0)-2,5)&amp;"          PFH [1/h] = "&amp;10^9*INDEX(Tab_DaBa[],MATCH(CONCATENATE(Liste!$C$3,$B$287,$B$457),Data!$BO:$BO,0)-2,6)&amp;"E-9","")</f>
        <v>Performance Level: Pl_ges2_7          PFH [1/h] = 71,7E-9</v>
      </c>
    </row>
    <row r="484" spans="2:9" s="16" customFormat="1"/>
    <row r="485" spans="2:9" s="16" customFormat="1">
      <c r="B485" s="42" t="str">
        <f ca="1">IFERROR(IF(8&gt;COUNTIF(Data!$BP:$BP,CONCATENATE(Liste!$C$3,$B$287)),"",INDEX(Tab_DaBa[],MATCH(CONCATENATE(Liste!$C$3,$B$287),Data!$BP:$BP,0)+5,3)),"")</f>
        <v>2.8 test2 (E+8L+A)</v>
      </c>
    </row>
    <row r="486" spans="2:9" s="16" customFormat="1"/>
    <row r="487" spans="2:9" s="16" customFormat="1" ht="15.75">
      <c r="B487" s="35" t="str">
        <f ca="1">IFERROR(INDEX(Tab_DaBa[],MATCH(CONCATENATE(Liste!$C$3,$B$287,$B$485),Data!$BO:$BO,0)-2,9),"")</f>
        <v>Eingang</v>
      </c>
      <c r="C487" s="54"/>
      <c r="D487" s="35" t="str">
        <f ca="1">IFERROR(IF(INDEX(Tab_DaBa[],MATCH(CONCATENATE(Liste!$C$3,$B$287,$B$485),Data!$BO:$BO,0)-2,18)=0,INDEX(Tab_DaBa[],MATCH(CONCATENATE(Liste!$C$3,$B$287,$B$485),Data!$BO:$BO,0)-2,14),INDEX(Tab_DaBa[],MATCH(CONCATENATE(Liste!$C$3,$B$287,$B$485),Data!$BO:$BO,0)-2,19)),"")</f>
        <v>Logik 01</v>
      </c>
      <c r="E487" s="33"/>
      <c r="F487" s="35" t="str">
        <f ca="1">IFERROR(IF(AND(INDEX(Tab_DaBa[],MATCH(CONCATENATE(Liste!$C$3,$B$287,$B$485),Data!$BO:$BO,0)-2,18)&lt;&gt;"",INDEX(Tab_DaBa[],MATCH(CONCATENATE(Liste!$C$3,$B$287,$B$485),Data!$BO:$BO,0)-2,23)=0),INDEX(Tab_DaBa[],MATCH(CONCATENATE(Liste!$C$3,$B$287,$B$485),Data!$BO:$BO,0)-2,14),IF(INDEX(Tab_DaBa[],MATCH(CONCATENATE(Liste!$C$3,$B$287,$B$485),Data!$BO:$BO,0)-2,23)&lt;&gt;"",INDEX(Tab_DaBa[],MATCH(CONCATENATE(Liste!$C$3,$B$287,$B$485),Data!$BO:$BO,0)-2,24),"")),"")</f>
        <v>Logik 02</v>
      </c>
      <c r="G487" s="39"/>
      <c r="H487" s="35" t="str">
        <f ca="1">IFERROR(IF(AND(INDEX(Tab_DaBa[],MATCH(CONCATENATE(Liste!$C$3,$B$287,$B$485),Data!$BO:$BO,0)-2,23)&lt;&gt;"",INDEX(Tab_DaBa[],MATCH(CONCATENATE(Liste!$C$3,$B$287,$B$485),Data!$BO:$BO,0)-2,28)=0),INDEX(Tab_DaBa[],MATCH(CONCATENATE(Liste!$C$3,$B$287,$B$485),Data!$BO:$BO,0)-2,14),IF(INDEX(Tab_DaBa[],MATCH(CONCATENATE(Liste!$C$3,$B$287,$B$485),Data!$BO:$BO,0)-2,23)&lt;&gt;"",INDEX(Tab_DaBa[],MATCH(CONCATENATE(Liste!$C$3,$B$287,$B$485),Data!$BO:$BO,0)-2,29),"")),"")</f>
        <v>Logik 03</v>
      </c>
      <c r="I487" s="39"/>
    </row>
    <row r="488" spans="2:9" s="16" customFormat="1" ht="15.75">
      <c r="B488" s="35" t="str">
        <f ca="1">IFERROR(INDEX(Tab_DaBa[],MATCH(CONCATENATE(Liste!$C$3,$B$287,$B$485),Data!$BO:$BO,0)-2,7),"")</f>
        <v>eeee-22_8</v>
      </c>
      <c r="C488" s="54"/>
      <c r="D488" s="35" t="str">
        <f ca="1">IFERROR(IF(INDEX(Tab_DaBa[],MATCH(CONCATENATE(Liste!$C$3,$B$287,$B$485),Data!$BO:$BO,0)-2,18)="",INDEX(Tab_DaBa[],MATCH(CONCATENATE(Liste!$C$3,$B$287,$B$485),Data!$BO:$BO,0)-2,12),INDEX(Tab_DaBa[],MATCH(CONCATENATE(Liste!$C$3,$B$287,$B$485),Data!$BO:$BO,0)-2,17)),"")</f>
        <v>Log02-02_08</v>
      </c>
      <c r="E488" s="36"/>
      <c r="F488" s="35" t="str">
        <f ca="1">IFERROR(IF(AND(INDEX(Tab_DaBa[],MATCH(CONCATENATE(Liste!$C$3,$B$287,$B$485),Data!$BO:$BO,0)-2,18)&lt;&gt;"",INDEX(Tab_DaBa[],MATCH(CONCATENATE(Liste!$C$3,$B$287,$B$485),Data!$BO:$BO,0)-2,23)=0),INDEX(Tab_DaBa[],MATCH(CONCATENATE(Liste!$C$3,$B$287,$B$485),Data!$BO:$BO,0)-2,12),IF(INDEX(Tab_DaBa[],MATCH(CONCATENATE(Liste!$C$3,$B$287,$B$485),Data!$BO:$BO,0)-2,23)&lt;&gt;"",INDEX(Tab_DaBa[],MATCH(CONCATENATE(Liste!$C$3,$B$287,$B$485),Data!$BO:$BO,0)-2,22),"")),"")</f>
        <v>Lo02-22_8</v>
      </c>
      <c r="G488" s="39"/>
      <c r="H488" s="35" t="str">
        <f ca="1">IFERROR(IF(AND(INDEX(Tab_DaBa[],MATCH(CONCATENATE(Liste!$C$3,$B$287,$B$485),Data!$BO:$BO,0)-2,23)&lt;&gt;"",INDEX(Tab_DaBa[],MATCH(CONCATENATE(Liste!$C$3,$B$287,$B$485),Data!$BO:$BO,0)-2,28)=0),INDEX(Tab_DaBa[],MATCH(CONCATENATE(Liste!$C$3,$B$287,$B$485),Data!$BO:$BO,0)-2,12),IF(INDEX(Tab_DaBa[],MATCH(CONCATENATE(Liste!$C$3,$B$287,$B$485),Data!$BO:$BO,0)-2,23)&lt;&gt;"",INDEX(Tab_DaBa[],MATCH(CONCATENATE(Liste!$C$3,$B$287,$B$485),Data!$BO:$BO,0)-2,27),"")),"")</f>
        <v>Lo02-22_8</v>
      </c>
      <c r="I488" s="39"/>
    </row>
    <row r="489" spans="2:9" s="16" customFormat="1" ht="15.75">
      <c r="B489" s="35" t="str">
        <f ca="1">IFERROR(INDEX(Tab_DaBa[],MATCH(CONCATENATE(Liste!$C$3,$B$287,$B$485),Data!$BO:$BO,0)-2,8),"")</f>
        <v>Bez_Ein2_8</v>
      </c>
      <c r="C489" s="40">
        <f ca="1">IF(D487="","",4)</f>
        <v>4</v>
      </c>
      <c r="D489" s="35" t="str">
        <f ca="1">IFERROR(IF(INDEX(Tab_DaBa[],MATCH(CONCATENATE(Liste!$C$3,$B$287,$B$485),Data!$BO:$BO,0)-2,18)="",INDEX(Tab_DaBa[],MATCH(CONCATENATE(Liste!$C$3,$B$287,$B$485),Data!$BO:$BO,0)-2,13),INDEX(Tab_DaBa[],MATCH(CONCATENATE(Liste!$C$3,$B$287,$B$485),Data!$BO:$BO,0)-2,18)),"")</f>
        <v>Bez_Log01_02_08</v>
      </c>
      <c r="E489" s="40">
        <f ca="1">IF(F487="","",4)</f>
        <v>4</v>
      </c>
      <c r="F489" s="35" t="str">
        <f ca="1">IFERROR(IF(AND(INDEX(Tab_DaBa[],MATCH(CONCATENATE(Liste!$C$3,$B$287,$B$485),Data!$BO:$BO,0)-2,18)&lt;&gt;"",INDEX(Tab_DaBa[],MATCH(CONCATENATE(Liste!$C$3,$B$287,$B$485),Data!$BO:$BO,0)-2,23)=""),INDEX(Tab_DaBa[],MATCH(CONCATENATE(Liste!$C$3,$B$287,$B$485),Data!$BO:$BO,0)-2,13),IF(INDEX(Tab_DaBa[],MATCH(CONCATENATE(Liste!$C$3,$B$287,$B$485),Data!$BO:$BO,0)-2,23)&lt;&gt;"",INDEX(Tab_DaBa[],MATCH(CONCATENATE(Liste!$C$3,$B$287,$B$485),Data!$BO:$BO,0)-2,23),"")),"")</f>
        <v>Bez_Lo02_8</v>
      </c>
      <c r="G489" s="38">
        <f ca="1">IF(H487="","",4)</f>
        <v>4</v>
      </c>
      <c r="H489" s="35" t="str">
        <f ca="1">IFERROR(IF(AND(INDEX(Tab_DaBa[],MATCH(CONCATENATE(Liste!$C$3,$B$287,$B$485),Data!$BO:$BO,0)-2,23)&lt;&gt;"",INDEX(Tab_DaBa[],MATCH(CONCATENATE(Liste!$C$3,$B$287,$B$485),Data!$BO:$BO,0)-2,28)=""),INDEX(Tab_DaBa[],MATCH(CONCATENATE(Liste!$C$3,$B$287,$B$485),Data!$BO:$BO,0)-2,13),IF(INDEX(Tab_DaBa[],MATCH(CONCATENATE(Liste!$C$3,$B$287,$B$485),Data!$BO:$BO,0)-2,23)&lt;&gt;"",INDEX(Tab_DaBa[],MATCH(CONCATENATE(Liste!$C$3,$B$287,$B$485),Data!$BO:$BO,0)-2,28),"")),"")</f>
        <v>Bez_Lo02_8</v>
      </c>
      <c r="I489" s="38">
        <f ca="1">IF(B495="","",6)</f>
        <v>6</v>
      </c>
    </row>
    <row r="490" spans="2:9" s="16" customFormat="1" ht="15.75">
      <c r="B490" s="35" t="str">
        <f ca="1">IFERROR("Performance Level: "&amp;INDEX(Tab_DaBa[],MATCH(CONCATENATE(Liste!$C$3,$B$287,$B$485),Data!$BO:$BO,0)-2,10),"")</f>
        <v>Performance Level: PL_Ein2_8</v>
      </c>
      <c r="C490" s="54"/>
      <c r="D490" s="35" t="str">
        <f ca="1">IFERROR(IF(INDEX(Tab_DaBa[],MATCH(CONCATENATE(Liste!$C$3,$B$287,$B$485),Data!$BO:$BO,0)-2,18)="","Performance Level: "&amp;INDEX(Tab_DaBa[],MATCH(CONCATENATE(Liste!$C$3,$B$287,$B$485),Data!$BO:$BO,0)-2,15),"Performance Level: "&amp;INDEX(Tab_DaBa[],MATCH(CONCATENATE(Liste!$C$3,$B$287,$B$485),Data!$BO:$BO,0)-2,20)),"")</f>
        <v>Performance Level: PL_Lo02_8</v>
      </c>
      <c r="E490" s="36"/>
      <c r="F490" s="35" t="str">
        <f ca="1">IFERROR(IF(AND(INDEX(Tab_DaBa[],MATCH(CONCATENATE(Liste!$C$3,$B$287,$B$485),Data!$BO:$BO,0)-2,18)&lt;&gt;"",INDEX(Tab_DaBa[],MATCH(CONCATENATE(Liste!$C$3,$B$287,$B$485),Data!$BO:$BO,0)-2,23)=""),"Performance Level: "&amp;INDEX(Tab_DaBa[],MATCH(CONCATENATE(Liste!$C$3,$B$287,$B$485),Data!$BO:$BO,0)-2,15),IF(INDEX(Tab_DaBa[],MATCH(CONCATENATE(Liste!$C$3,$B$287,$B$485),Data!$BO:$BO,0)-2,23)&lt;&gt;"","Performance Level: "&amp;INDEX(Tab_DaBa[],MATCH(CONCATENATE(Liste!$C$3,$B$287,$B$485),Data!$BO:$BO,0)-2,25),"")),"")</f>
        <v>Performance Level: PL_Lo02_8</v>
      </c>
      <c r="G490" s="39"/>
      <c r="H490" s="35" t="str">
        <f ca="1">IFERROR(IF(AND(INDEX(Tab_DaBa[],MATCH(CONCATENATE(Liste!$C$3,$B$287,$B$485),Data!$BO:$BO,0)-2,23)&lt;&gt;"",INDEX(Tab_DaBa[],MATCH(CONCATENATE(Liste!$C$3,$B$287,$B$485),Data!$BO:$BO,0)-2,28)=""),"Performance Level: "&amp;INDEX(Tab_DaBa[],MATCH(CONCATENATE(Liste!$C$3,$B$287,$B$485),Data!$BO:$BO,0)-2,15),IF(INDEX(Tab_DaBa[],MATCH(CONCATENATE(Liste!$C$3,$B$287,$B$485),Data!$BO:$BO,0)-2,23)&lt;&gt;"","Performance Level: "&amp;INDEX(Tab_DaBa[],MATCH(CONCATENATE(Liste!$C$3,$B$287,$B$485),Data!$BO:$BO,0)-2,30),"")),"")</f>
        <v>Performance Level: PL_Lo02_8</v>
      </c>
      <c r="I490" s="38"/>
    </row>
    <row r="491" spans="2:9" s="16" customFormat="1" ht="15.75">
      <c r="B491" s="53" t="str">
        <f ca="1">IFERROR("PFH [1/h] = "&amp;10^9*INDEX(Tab_DaBa[],MATCH(CONCATENATE(Liste!$C$3,$B$287,$B$485),Data!$BO:$BO,0)-2,11)&amp;"E-9","")</f>
        <v>PFH [1/h] = 42,9E-9</v>
      </c>
      <c r="C491" s="54"/>
      <c r="D491" s="35" t="str">
        <f ca="1">IFERROR(IF(INDEX(Tab_DaBa[],MATCH(CONCATENATE(Liste!$C$3,$B$287,$B$485),Data!$BO:$BO,0)-2,18)="","PFH [1/h] = "&amp;10^9*INDEX(Tab_DaBa[],MATCH(CONCATENATE(Liste!$C$3,$B$287,$B$485),Data!$BO:$BO,0)-2,16)&amp;"E-9","PFH [1/h] = "&amp;10^9*INDEX(Tab_DaBa[],MATCH(CONCATENATE(Liste!$C$3,$B$287,$B$485),Data!$BO:$BO,0)-2,21)&amp;"E-9"),"")</f>
        <v>PFH [1/h] = 4,19E-9</v>
      </c>
      <c r="E491" s="36"/>
      <c r="F491" s="35" t="str">
        <f ca="1">IFERROR(IF(AND(INDEX(Tab_DaBa[],MATCH(CONCATENATE(Liste!$C$3,$B$287,$B$485),Data!$BO:$BO,0)-2,18)&lt;&gt;"",INDEX(Tab_DaBa[],MATCH(CONCATENATE(Liste!$C$3,$B$287,$B$485),Data!$BO:$BO,0)-2,23)=""),"PFH [1/h] = "&amp;10^9*INDEX(Tab_DaBa[],MATCH(CONCATENATE(Liste!$C$3,$B$287,$B$485),Data!$BO:$BO,0)-2,16)&amp;"E-9",IF(INDEX(Tab_DaBa[],MATCH(CONCATENATE(Liste!$C$3,$B$287,$B$485),Data!$BO:$BO,0)-2,23)&lt;&gt;"","PFH [1/h] = "&amp;10^9*INDEX(Tab_DaBa[],MATCH(CONCATENATE(Liste!$C$3,$B$287,$B$485),Data!$BO:$BO,0)-2,26)&amp;"E-9","")),"")</f>
        <v>PFH [1/h] = 4,19E-9</v>
      </c>
      <c r="G491" s="39"/>
      <c r="H491" s="35" t="str">
        <f ca="1">IFERROR(IF(AND(INDEX(Tab_DaBa[],MATCH(CONCATENATE(Liste!$C$3,$B$287,$B$485),Data!$BO:$BO,0)-2,23)&lt;&gt;"",INDEX(Tab_DaBa[],MATCH(CONCATENATE(Liste!$C$3,$B$287,$B$485),Data!$BO:$BO,0)-2,28)=""),"PFH [1/h] = "&amp;10^9*INDEX(Tab_DaBa[],MATCH(CONCATENATE(Liste!$C$3,$B$287,$B$485),Data!$BO:$BO,0)-2,16)&amp;"E-9",IF(INDEX(Tab_DaBa[],MATCH(CONCATENATE(Liste!$C$3,$B$287,$B$485),Data!$BO:$BO,0)-2,23)&lt;&gt;"","PFH [1/h] = "&amp;10^9*INDEX(Tab_DaBa[],MATCH(CONCATENATE(Liste!$C$3,$B$287,$B$485),Data!$BO:$BO,0)-2,31)&amp;"E-9","")),"")</f>
        <v>PFH [1/h] = 4,19E-9</v>
      </c>
      <c r="I491" s="39"/>
    </row>
    <row r="492" spans="2:9" s="16" customFormat="1">
      <c r="B492" s="33"/>
      <c r="C492" s="34"/>
      <c r="D492" s="33"/>
      <c r="E492" s="33"/>
      <c r="F492" s="33"/>
      <c r="G492" s="33"/>
      <c r="H492" s="33"/>
      <c r="I492" s="33"/>
    </row>
    <row r="493" spans="2:9" s="16" customFormat="1" ht="15.75">
      <c r="B493" s="38">
        <f ca="1">IF(B495="","",6)</f>
        <v>6</v>
      </c>
      <c r="C493" s="34"/>
      <c r="D493" s="38">
        <f ca="1">IF(B495="","",3)</f>
        <v>3</v>
      </c>
      <c r="E493" s="33"/>
      <c r="F493" s="38">
        <f ca="1">IF(B495="","",3)</f>
        <v>3</v>
      </c>
      <c r="G493" s="33"/>
      <c r="H493" s="38">
        <f ca="1">IF(B495="","",3)</f>
        <v>3</v>
      </c>
      <c r="I493" s="33"/>
    </row>
    <row r="494" spans="2:9" s="16" customFormat="1" ht="15.75">
      <c r="B494" s="39"/>
      <c r="C494" s="33"/>
      <c r="D494" s="33"/>
      <c r="E494" s="33"/>
      <c r="F494" s="33"/>
      <c r="G494" s="33"/>
      <c r="H494" s="33"/>
      <c r="I494" s="33"/>
    </row>
    <row r="495" spans="2:9" s="16" customFormat="1" ht="15.75">
      <c r="B495" s="35" t="str">
        <f ca="1">IFERROR(IF(AND(INDEX(Tab_DaBa[],MATCH(CONCATENATE(Liste!$C$3,$B$287,$B$485),Data!$BO:$BO,0)-2,28)&lt;&gt;"",INDEX(Tab_DaBa[],MATCH(CONCATENATE(Liste!$C$3,$B$287,$B$485),Data!$BO:$BO,0)-2,33)=0),INDEX(Tab_DaBa[],MATCH(CONCATENATE(Liste!$C$3,$B$287,$B$485),Data!$BO:$BO,0)-2,14),IF(INDEX(Tab_DaBa[],MATCH(CONCATENATE(Liste!$C$3,$B$287,$B$485),Data!$BO:$BO,0)-2,28)&lt;&gt;"",INDEX(Tab_DaBa[],MATCH(CONCATENATE(Liste!$C$3,$B$287,$B$485),Data!$BO:$BO,0)-2,34),"")),"")</f>
        <v>Logik 04</v>
      </c>
      <c r="C495" s="39"/>
      <c r="D495" s="35" t="str">
        <f ca="1">IFERROR(IF(AND(INDEX(Tab_DaBa[],MATCH(CONCATENATE(Liste!$C$3,$B$287,$B$485),Data!$BO:$BO,0)-2,33)&lt;&gt;"",INDEX(Tab_DaBa[],MATCH(CONCATENATE(Liste!$C$3,$B$287,$B$485),Data!$BO:$BO,0)-2,38)=0),INDEX(Tab_DaBa[],MATCH(CONCATENATE(Liste!$C$3,$B$287,$B$485),Data!$BO:$BO,0)-2,14),IF(INDEX(Tab_DaBa[],MATCH(CONCATENATE(Liste!$C$3,$B$287,$B$485),Data!$BO:$BO,0)-2,33)&lt;&gt;"",INDEX(Tab_DaBa[],MATCH(CONCATENATE(Liste!$C$3,$B$287,$B$485),Data!$BO:$BO,0)-2,39),"")),"")</f>
        <v>Logik 06</v>
      </c>
      <c r="E495" s="33"/>
      <c r="F495" s="35" t="str">
        <f ca="1">IFERROR(IF(AND(INDEX(Tab_DaBa[],MATCH(CONCATENATE(Liste!$C$3,$B$287,$B$485),Data!$BO:$BO,0)-2,38)&lt;&gt;"",INDEX(Tab_DaBa[],MATCH(CONCATENATE(Liste!$C$3,$B$287,$B$485),Data!$BO:$BO,0)-2,43)=0),INDEX(Tab_DaBa[],MATCH(CONCATENATE(Liste!$C$3,$B$287,$B$485),Data!$BO:$BO,0)-2,14),IF(INDEX(Tab_DaBa[],MATCH(CONCATENATE(Liste!$C$3,$B$287,$B$485),Data!$BO:$BO,0)-2,38)&lt;&gt;"",INDEX(Tab_DaBa[],MATCH(CONCATENATE(Liste!$C$3,$B$287,$B$485),Data!$BO:$BO,0)-2,44),"")),"")</f>
        <v>Logik 06</v>
      </c>
      <c r="G495" s="39"/>
      <c r="H495" s="35" t="str">
        <f ca="1">IFERROR(IF(AND(INDEX(Tab_DaBa[],MATCH(CONCATENATE(Liste!$C$3,$B$287,$B$485),Data!$BO:$BO,0)-2,43)&lt;&gt;"",INDEX(Tab_DaBa[],MATCH(CONCATENATE(Liste!$C$3,$B$287,$B$485),Data!$BO:$BO,0)-2,48)=0),INDEX(Tab_DaBa[],MATCH(CONCATENATE(Liste!$C$3,$B$287,$B$485),Data!$BO:$BO,0)-2,14),IF(INDEX(Tab_DaBa[],MATCH(CONCATENATE(Liste!$C$3,$B$287,$B$485),Data!$BO:$BO,0)-2,43)&lt;&gt;"",INDEX(Tab_DaBa[],MATCH(CONCATENATE(Liste!$C$3,$B$287,$B$485),Data!$BO:$BO,0)-2,49),"")),"")</f>
        <v>Logik 07</v>
      </c>
      <c r="I495" s="39"/>
    </row>
    <row r="496" spans="2:9" s="16" customFormat="1" ht="15.75">
      <c r="B496" s="35" t="str">
        <f ca="1">IFERROR(IF(AND(INDEX(Tab_DaBa[],MATCH(CONCATENATE(Liste!$C$3,$B$287,$B$485),Data!$BO:$BO,0)-2,28)&lt;&gt;"",INDEX(Tab_DaBa[],MATCH(CONCATENATE(Liste!$C$3,$B$287,$B$485),Data!$BO:$BO,0)-2,33)=0),INDEX(Tab_DaBa[],MATCH(CONCATENATE(Liste!$C$3,$B$287,$B$485),Data!$BO:$BO,0)-2,12),IF(INDEX(Tab_DaBa[],MATCH(CONCATENATE(Liste!$C$3,$B$287,$B$485),Data!$BO:$BO,0)-2,28)&lt;&gt;"",INDEX(Tab_DaBa[],MATCH(CONCATENATE(Liste!$C$3,$B$287,$B$485),Data!$BO:$BO,0)-2,32),"")),"")</f>
        <v>Lo02-22_8</v>
      </c>
      <c r="C496" s="39"/>
      <c r="D496" s="35" t="str">
        <f ca="1">IFERROR(IF(AND(INDEX(Tab_DaBa[],MATCH(CONCATENATE(Liste!$C$3,$B$287,$B$485),Data!$BO:$BO,0)-2,33)&lt;&gt;"",INDEX(Tab_DaBa[],MATCH(CONCATENATE(Liste!$C$3,$B$287,$B$485),Data!$BO:$BO,0)-2,38)=0),INDEX(Tab_DaBa[],MATCH(CONCATENATE(Liste!$C$3,$B$287,$B$485),Data!$BO:$BO,0)-2,12),IF(INDEX(Tab_DaBa[],MATCH(CONCATENATE(Liste!$C$3,$B$287,$B$485),Data!$BO:$BO,0)-2,33)&lt;&gt;"",INDEX(Tab_DaBa[],MATCH(CONCATENATE(Liste!$C$3,$B$287,$B$485),Data!$BO:$BO,0)-2,37),"")),"")</f>
        <v>Lo02-22_8</v>
      </c>
      <c r="E496" s="37"/>
      <c r="F496" s="35" t="str">
        <f ca="1">IFERROR(IF(AND(INDEX(Tab_DaBa[],MATCH(CONCATENATE(Liste!$C$3,$B$287,$B$485),Data!$BO:$BO,0)-2,38)&lt;&gt;"",INDEX(Tab_DaBa[],MATCH(CONCATENATE(Liste!$C$3,$B$287,$B$485),Data!$BO:$BO,0)-2,43)=0),INDEX(Tab_DaBa[],MATCH(CONCATENATE(Liste!$C$3,$B$287,$B$485),Data!$BO:$BO,0)-2,12),IF(INDEX(Tab_DaBa[],MATCH(CONCATENATE(Liste!$C$3,$B$287,$B$485),Data!$BO:$BO,0)-2,38)&lt;&gt;"",INDEX(Tab_DaBa[],MATCH(CONCATENATE(Liste!$C$3,$B$287,$B$485),Data!$BO:$BO,0)-2,42),"")),"")</f>
        <v>Lo02-22_08</v>
      </c>
      <c r="G496" s="39"/>
      <c r="H496" s="35" t="str">
        <f ca="1">IFERROR(IF(AND(INDEX(Tab_DaBa[],MATCH(CONCATENATE(Liste!$C$3,$B$287,$B$485),Data!$BO:$BO,0)-2,43)&lt;&gt;"",INDEX(Tab_DaBa[],MATCH(CONCATENATE(Liste!$C$3,$B$287,$B$485),Data!$BO:$BO,0)-2,48)=0),INDEX(Tab_DaBa[],MATCH(CONCATENATE(Liste!$C$3,$B$287,$B$485),Data!$BO:$BO,0)-2,12),IF(INDEX(Tab_DaBa[],MATCH(CONCATENATE(Liste!$C$3,$B$287,$B$485),Data!$BO:$BO,0)-2,43)&lt;&gt;"",INDEX(Tab_DaBa[],MATCH(CONCATENATE(Liste!$C$3,$B$287,$B$485),Data!$BO:$BO,0)-2,47),"")),"")</f>
        <v>Lo02-22_08</v>
      </c>
      <c r="I496" s="39"/>
    </row>
    <row r="497" spans="2:9" s="16" customFormat="1" ht="15.75">
      <c r="B497" s="35" t="str">
        <f ca="1">IFERROR(IF(AND(INDEX(Tab_DaBa[],MATCH(CONCATENATE(Liste!$C$3,$B$287,$B$485),Data!$BO:$BO,0)-2,28)&lt;&gt;"",INDEX(Tab_DaBa[],MATCH(CONCATENATE(Liste!$C$3,$B$287,$B$485),Data!$BO:$BO,0)-2,33)=""),INDEX(Tab_DaBa[],MATCH(CONCATENATE(Liste!$C$3,$B$287,$B$485),Data!$BO:$BO,0)-2,13),IF(INDEX(Tab_DaBa[],MATCH(CONCATENATE(Liste!$C$3,$B$287,$B$485),Data!$BO:$BO,0)-2,28)&lt;&gt;"",INDEX(Tab_DaBa[],MATCH(CONCATENATE(Liste!$C$3,$B$287,$B$485),Data!$BO:$BO,0)-2,33),"")),"")</f>
        <v>Bez_Lo02_8</v>
      </c>
      <c r="C497" s="38">
        <f ca="1">IF(D495="","",4)</f>
        <v>4</v>
      </c>
      <c r="D497" s="35" t="str">
        <f ca="1">IFERROR(IF(AND(INDEX(Tab_DaBa[],MATCH(CONCATENATE(Liste!$C$3,$B$287,$B$485),Data!$BO:$BO,0)-2,33)&lt;&gt;"",INDEX(Tab_DaBa[],MATCH(CONCATENATE(Liste!$C$3,$B$287,$B$485),Data!$BO:$BO,0)-2,38)=""),INDEX(Tab_DaBa[],MATCH(CONCATENATE(Liste!$C$3,$B$287,$B$485),Data!$BO:$BO,0)-2,13),IF(INDEX(Tab_DaBa[],MATCH(CONCATENATE(Liste!$C$3,$B$287,$B$485),Data!$BO:$BO,0)-2,33)&lt;&gt;"",INDEX(Tab_DaBa[],MATCH(CONCATENATE(Liste!$C$3,$B$287,$B$485),Data!$BO:$BO,0)-2,38),"")),"")</f>
        <v>Bez_Lo02_8</v>
      </c>
      <c r="E497" s="38">
        <f ca="1">IF(F495="","",4)</f>
        <v>4</v>
      </c>
      <c r="F497" s="35" t="str">
        <f ca="1">IFERROR(IF(AND(INDEX(Tab_DaBa[],MATCH(CONCATENATE(Liste!$C$3,$B$287,$B$485),Data!$BO:$BO,0)-2,38)&lt;&gt;"",INDEX(Tab_DaBa[],MATCH(CONCATENATE(Liste!$C$3,$B$287,$B$485),Data!$BO:$BO,0)-2,43)=""),INDEX(Tab_DaBa[],MATCH(CONCATENATE(Liste!$C$3,$B$287,$B$485),Data!$BO:$BO,0)-2,13),IF(INDEX(Tab_DaBa[],MATCH(CONCATENATE(Liste!$C$3,$B$287,$B$485),Data!$BO:$BO,0)-2,38)&lt;&gt;"",INDEX(Tab_DaBa[],MATCH(CONCATENATE(Liste!$C$3,$B$287,$B$485),Data!$BO:$BO,0)-2,43),"")),"")</f>
        <v>Bez_Lo02_08</v>
      </c>
      <c r="G497" s="38">
        <f ca="1">IF(H495="","",4)</f>
        <v>4</v>
      </c>
      <c r="H497" s="35" t="str">
        <f ca="1">IFERROR(IF(AND(INDEX(Tab_DaBa[],MATCH(CONCATENATE(Liste!$C$3,$B$287,$B$485),Data!$BO:$BO,0)-2,43)&lt;&gt;"",INDEX(Tab_DaBa[],MATCH(CONCATENATE(Liste!$C$3,$B$287,$B$485),Data!$BO:$BO,0)-2,48)=""),INDEX(Tab_DaBa[],MATCH(CONCATENATE(Liste!$C$3,$B$287,$B$485),Data!$BO:$BO,0)-2,13),IF(INDEX(Tab_DaBa[],MATCH(CONCATENATE(Liste!$C$3,$B$287,$B$485),Data!$BO:$BO,0)-2,43)&lt;&gt;"",INDEX(Tab_DaBa[],MATCH(CONCATENATE(Liste!$C$3,$B$287,$B$485),Data!$BO:$BO,0)-2,48),"")),"")</f>
        <v>Bez_Lo02_08</v>
      </c>
      <c r="I497" s="38">
        <f ca="1">IF(B503="","",6)</f>
        <v>6</v>
      </c>
    </row>
    <row r="498" spans="2:9" s="16" customFormat="1" ht="15.75">
      <c r="B498" s="35" t="str">
        <f ca="1">IFERROR(IF(AND(INDEX(Tab_DaBa[],MATCH(CONCATENATE(Liste!$C$3,$B$287,$B$485),Data!$BO:$BO,0)-2,28)&lt;&gt;"",INDEX(Tab_DaBa[],MATCH(CONCATENATE(Liste!$C$3,$B$287,$B$485),Data!$BO:$BO,0)-2,33)=""),"Performance Level: "&amp;INDEX(Tab_DaBa[],MATCH(CONCATENATE(Liste!$C$3,$B$287,$B$485),Data!$BO:$BO,0)-2,15),IF(INDEX(Tab_DaBa[],MATCH(CONCATENATE(Liste!$C$3,$B$287,$B$485),Data!$BO:$BO,0)-2,28)&lt;&gt;"","Performance Level: "&amp;INDEX(Tab_DaBa[],MATCH(CONCATENATE(Liste!$C$3,$B$287,$B$485),Data!$BO:$BO,0)-2,35),"")),"")</f>
        <v>Performance Level: PL_Lo02_8</v>
      </c>
      <c r="C498" s="39"/>
      <c r="D498" s="35" t="str">
        <f ca="1">IFERROR(IF(AND(INDEX(Tab_DaBa[],MATCH(CONCATENATE(Liste!$C$3,$B$287,$B$485),Data!$BO:$BO,0)-2,33)&lt;&gt;"",INDEX(Tab_DaBa[],MATCH(CONCATENATE(Liste!$C$3,$B$287,$B$485),Data!$BO:$BO,0)-2,38)=""),"Performance Level: "&amp;INDEX(Tab_DaBa[],MATCH(CONCATENATE(Liste!$C$3,$B$287,$B$485),Data!$BO:$BO,0)-2,15),IF(INDEX(Tab_DaBa[],MATCH(CONCATENATE(Liste!$C$3,$B$287,$B$485),Data!$BO:$BO,0)-2,33)&lt;&gt;"","Performance Level: "&amp;INDEX(Tab_DaBa[],MATCH(CONCATENATE(Liste!$C$3,$B$287,$B$485),Data!$BO:$BO,0)-2,40),"")),"")</f>
        <v>Performance Level: PL_Lo02_8</v>
      </c>
      <c r="E498" s="37"/>
      <c r="F498" s="35" t="str">
        <f ca="1">IFERROR(IF(AND(INDEX(Tab_DaBa[],MATCH(CONCATENATE(Liste!$C$3,$B$287,$B$485),Data!$BO:$BO,0)-2,38)&lt;&gt;"",INDEX(Tab_DaBa[],MATCH(CONCATENATE(Liste!$C$3,$B$287,$B$485),Data!$BO:$BO,0)-2,43)=""),"Performance Level: "&amp;INDEX(Tab_DaBa[],MATCH(CONCATENATE(Liste!$C$3,$B$287,$B$485),Data!$BO:$BO,0)-2,15),IF(INDEX(Tab_DaBa[],MATCH(CONCATENATE(Liste!$C$3,$B$287,$B$485),Data!$BO:$BO,0)-2,38)&lt;&gt;"","Performance Level: "&amp;INDEX(Tab_DaBa[],MATCH(CONCATENATE(Liste!$C$3,$B$287,$B$485),Data!$BO:$BO,0)-2,45),"")),"")</f>
        <v>Performance Level: PL_Lo02_08</v>
      </c>
      <c r="G498" s="39"/>
      <c r="H498" s="35" t="str">
        <f ca="1">IFERROR(IF(AND(INDEX(Tab_DaBa[],MATCH(CONCATENATE(Liste!$C$3,$B$287,$B$485),Data!$BO:$BO,0)-2,43)&lt;&gt;"",INDEX(Tab_DaBa[],MATCH(CONCATENATE(Liste!$C$3,$B$287,$B$485),Data!$BO:$BO,0)-2,48)=""),"Performance Level: "&amp;INDEX(Tab_DaBa[],MATCH(CONCATENATE(Liste!$C$3,$B$287,$B$485),Data!$BO:$BO,0)-2,15),IF(INDEX(Tab_DaBa[],MATCH(CONCATENATE(Liste!$C$3,$B$287,$B$485),Data!$BO:$BO,0)-2,43)&lt;&gt;"","Performance Level: "&amp;INDEX(Tab_DaBa[],MATCH(CONCATENATE(Liste!$C$3,$B$287,$B$485),Data!$BO:$BO,0)-2,50),"")),"")</f>
        <v>Performance Level: PL_Lo02_08</v>
      </c>
      <c r="I498" s="39"/>
    </row>
    <row r="499" spans="2:9" s="16" customFormat="1" ht="15.75">
      <c r="B499" s="35" t="str">
        <f ca="1">IFERROR(IF(AND(INDEX(Tab_DaBa[],MATCH(CONCATENATE(Liste!$C$3,$B$287,$B$485),Data!$BO:$BO,0)-2,28)&lt;&gt;"",INDEX(Tab_DaBa[],MATCH(CONCATENATE(Liste!$C$3,$B$287,$B$485),Data!$BO:$BO,0)-2,33)=""),"PFH [1/h] = "&amp;10^9*INDEX(Tab_DaBa[],MATCH(CONCATENATE(Liste!$C$3,$B$287,$B$485),Data!$BO:$BO,0)-2,16)&amp;"E-9",IF(INDEX(Tab_DaBa[],MATCH(CONCATENATE(Liste!$C$3,$B$287,$B$485),Data!$BO:$BO,0)-2,28)&lt;&gt;"","PFH [1/h] = "&amp;10^9*INDEX(Tab_DaBa[],MATCH(CONCATENATE(Liste!$C$3,$B$287,$B$485),Data!$BO:$BO,0)-2,36)&amp;"E-9","")),"")</f>
        <v>PFH [1/h] = 4,19E-9</v>
      </c>
      <c r="C499" s="39"/>
      <c r="D499" s="35" t="str">
        <f ca="1">IFERROR(IF(AND(INDEX(Tab_DaBa[],MATCH(CONCATENATE(Liste!$C$3,$B$287,$B$485),Data!$BO:$BO,0)-2,33)&lt;&gt;"",INDEX(Tab_DaBa[],MATCH(CONCATENATE(Liste!$C$3,$B$287,$B$485),Data!$BO:$BO,0)-2,38)=""),"PFH [1/h] = "&amp;10^9*INDEX(Tab_DaBa[],MATCH(CONCATENATE(Liste!$C$3,$B$287,$B$485),Data!$BO:$BO,0)-2,16)&amp;"E-9",IF(INDEX(Tab_DaBa[],MATCH(CONCATENATE(Liste!$C$3,$B$287,$B$485),Data!$BO:$BO,0)-2,33)&lt;&gt;"","PFH [1/h] = "&amp;10^9*INDEX(Tab_DaBa[],MATCH(CONCATENATE(Liste!$C$3,$B$287,$B$485),Data!$BO:$BO,0)-2,41)&amp;"E-9","")),"")</f>
        <v>PFH [1/h] = 4,19E-9</v>
      </c>
      <c r="E499" s="37"/>
      <c r="F499" s="35" t="str">
        <f ca="1">IFERROR(IF(AND(INDEX(Tab_DaBa[],MATCH(CONCATENATE(Liste!$C$3,$B$287,$B$485),Data!$BO:$BO,0)-2,38)&lt;&gt;"",INDEX(Tab_DaBa[],MATCH(CONCATENATE(Liste!$C$3,$B$287,$B$485),Data!$BO:$BO,0)-2,43)=""),"PFH [1/h] = "&amp;10^9*INDEX(Tab_DaBa[],MATCH(CONCATENATE(Liste!$C$3,$B$287,$B$485),Data!$BO:$BO,0)-2,16)&amp;"E-9",IF(INDEX(Tab_DaBa[],MATCH(CONCATENATE(Liste!$C$3,$B$287,$B$485),Data!$BO:$BO,0)-2,38)&lt;&gt;"","PFH [1/h] = "&amp;10^9*INDEX(Tab_DaBa[],MATCH(CONCATENATE(Liste!$C$3,$B$287,$B$485),Data!$BO:$BO,0)-2,46)&amp;"E-9","")),"")</f>
        <v>PFH [1/h] = 4,19E-9</v>
      </c>
      <c r="G499" s="39"/>
      <c r="H499" s="35" t="str">
        <f ca="1">IFERROR(IF(AND(INDEX(Tab_DaBa[],MATCH(CONCATENATE(Liste!$C$3,$B$287,$B$485),Data!$BO:$BO,0)-2,43)&lt;&gt;"",INDEX(Tab_DaBa[],MATCH(CONCATENATE(Liste!$C$3,$B$287,$B$485),Data!$BO:$BO,0)-2,48)=""),"PFH [1/h] = "&amp;10^9*INDEX(Tab_DaBa[],MATCH(CONCATENATE(Liste!$C$3,$B$287,$B$485),Data!$BO:$BO,0)-2,16)&amp;"E-9",IF(INDEX(Tab_DaBa[],MATCH(CONCATENATE(Liste!$C$3,$B$287,$B$485),Data!$BO:$BO,0)-2,43)&lt;&gt;"","PFH [1/h] = "&amp;10^9*INDEX(Tab_DaBa[],MATCH(CONCATENATE(Liste!$C$3,$B$287,$B$485),Data!$BO:$BO,0)-2,51)&amp;"E-9","")),"")</f>
        <v>PFH [1/h] = 4,19E-9</v>
      </c>
      <c r="I499" s="39"/>
    </row>
    <row r="500" spans="2:9" s="16" customFormat="1">
      <c r="B500" s="33"/>
      <c r="C500" s="33"/>
      <c r="D500" s="33"/>
      <c r="E500" s="33"/>
      <c r="F500" s="33"/>
      <c r="G500" s="33"/>
      <c r="H500" s="33"/>
      <c r="I500" s="33"/>
    </row>
    <row r="501" spans="2:9" s="16" customFormat="1" ht="15.75">
      <c r="B501" s="38">
        <f ca="1">IF(B503="","",6)</f>
        <v>6</v>
      </c>
      <c r="C501" s="33"/>
      <c r="D501" s="38">
        <f ca="1">IF(B503="","",3)</f>
        <v>3</v>
      </c>
      <c r="E501" s="33"/>
      <c r="F501" s="38">
        <f ca="1">IF(B503="","",3)</f>
        <v>3</v>
      </c>
      <c r="G501" s="33"/>
      <c r="H501" s="38">
        <f ca="1">IF(B503="","",3)</f>
        <v>3</v>
      </c>
      <c r="I501" s="33"/>
    </row>
    <row r="502" spans="2:9" s="16" customFormat="1" ht="15.75">
      <c r="B502" s="39"/>
      <c r="C502" s="33"/>
      <c r="D502" s="33"/>
      <c r="E502" s="33"/>
      <c r="F502" s="33"/>
      <c r="G502" s="33"/>
      <c r="H502" s="33"/>
      <c r="I502" s="33"/>
    </row>
    <row r="503" spans="2:9" s="16" customFormat="1" ht="15.75">
      <c r="B503" s="35" t="str">
        <f ca="1">IFERROR(IF(AND(INDEX(Tab_DaBa[],MATCH(CONCATENATE(Liste!$C$3,$B$287,$B$485),Data!$BO:$BO,0)-2,48)&lt;&gt;"",INDEX(Tab_DaBa[],MATCH(CONCATENATE(Liste!$C$3,$B$287,$B$485),Data!$BO:$BO,0)-2,53)=0),INDEX(Tab_DaBa[],MATCH(CONCATENATE(Liste!$C$3,$B$287,$B$485),Data!$BO:$BO,0)-2,14),IF(INDEX(Tab_DaBa[],MATCH(CONCATENATE(Liste!$C$3,$B$287,$B$485),Data!$BO:$BO,0)-2,48)&lt;&gt;"",INDEX(Tab_DaBa[],MATCH(CONCATENATE(Liste!$C$3,$B$287,$B$485),Data!$BO:$BO,0)-2,54),"")),"")</f>
        <v>Logik 08</v>
      </c>
      <c r="C503" s="39"/>
      <c r="D503" s="35" t="str">
        <f ca="1">IFERROR(IF(AND(INDEX(Tab_DaBa[],MATCH(CONCATENATE(Liste!$C$3,$B$287,$B$485),Data!$BO:$BO,0)-2,53)&lt;&gt;"",INDEX(Tab_DaBa[],MATCH(CONCATENATE(Liste!$C$3,$B$287,$B$485),Data!$BO:$BO,0)-2,58)=0),INDEX(Tab_DaBa[],MATCH(CONCATENATE(Liste!$C$3,$B$287,$B$485),Data!$BO:$BO,0)-2,14),IF(INDEX(Tab_DaBa[],MATCH(CONCATENATE(Liste!$C$3,$B$287,$B$485),Data!$BO:$BO,0)-2,53)&lt;&gt;"",INDEX(Tab_DaBa[],MATCH(CONCATENATE(Liste!$C$3,$B$287,$B$485),Data!$BO:$BO,0)-2,59),"")),"")</f>
        <v>Ausgang</v>
      </c>
      <c r="E503" s="33"/>
      <c r="F503" s="35" t="str">
        <f ca="1">IFERROR(IF(AND(INDEX(Tab_DaBa[],MATCH(CONCATENATE(Liste!$C$3,$B$287,$B$485),Data!$BO:$BO,0)-2,58)&lt;&gt;"",INDEX(Tab_DaBa[],MATCH(CONCATENATE(Liste!$C$3,$B$287,$B$485),Data!$BO:$BO,0)-2,63)=0),INDEX(Tab_DaBa[],MATCH(CONCATENATE(Liste!$C$3,$B$287,$B$485),Data!$BO:$BO,0)-2,14),IF(INDEX(Tab_DaBa[],MATCH(CONCATENATE(Liste!$C$3,$B$287,$B$485),Data!$BO:$BO,0)-2,58)&lt;&gt;"",INDEX(Tab_DaBa[],MATCH(CONCATENATE(Liste!$C$3,$B$287,$B$485),Data!$BO:$BO,0)-2,64),"")),"")</f>
        <v/>
      </c>
      <c r="G503" s="39"/>
      <c r="H503" s="35" t="str">
        <f ca="1">IFERROR(IF(INDEX(Tab_DaBa[],MATCH(CONCATENATE(Liste!$C$3,$B$287,$B$485),Data!$BO:$BO,0)-2,63)&lt;&gt;"",INDEX(Tab_DaBa[],MATCH(CONCATENATE(Liste!$C$3,$B$287,$B$485),Data!$BO:$BO,0)-2,14),""),"")</f>
        <v/>
      </c>
    </row>
    <row r="504" spans="2:9" s="16" customFormat="1" ht="15.75">
      <c r="B504" s="35" t="str">
        <f ca="1">IFERROR(IF(AND(INDEX(Tab_DaBa[],MATCH(CONCATENATE(Liste!$C$3,$B$287,$B$485),Data!$BO:$BO,0)-2,48)&lt;&gt;"",INDEX(Tab_DaBa[],MATCH(CONCATENATE(Liste!$C$3,$B$287,$B$485),Data!$BO:$BO,0)-2,53)=0),INDEX(Tab_DaBa[],MATCH(CONCATENATE(Liste!$C$3,$B$287,$B$485),Data!$BO:$BO,0)-2,12),IF(INDEX(Tab_DaBa[],MATCH(CONCATENATE(Liste!$C$3,$B$287,$B$485),Data!$BO:$BO,0)-2,48)&lt;&gt;"",INDEX(Tab_DaBa[],MATCH(CONCATENATE(Liste!$C$3,$B$287,$B$485),Data!$BO:$BO,0)-2,52),"")),"")</f>
        <v>Lo02-88_08</v>
      </c>
      <c r="C504" s="39"/>
      <c r="D504" s="35" t="str">
        <f ca="1">IFERROR(IF(AND(INDEX(Tab_DaBa[],MATCH(CONCATENATE(Liste!$C$3,$B$287,$B$485),Data!$BO:$BO,0)-2,53)&lt;&gt;"",INDEX(Tab_DaBa[],MATCH(CONCATENATE(Liste!$C$3,$B$287,$B$485),Data!$BO:$BO,0)-2,58)=0),INDEX(Tab_DaBa[],MATCH(CONCATENATE(Liste!$C$3,$B$287,$B$485),Data!$BO:$BO,0)-2,12),IF(INDEX(Tab_DaBa[],MATCH(CONCATENATE(Liste!$C$3,$B$287,$B$485),Data!$BO:$BO,0)-2,53)&lt;&gt;"",INDEX(Tab_DaBa[],MATCH(CONCATENATE(Liste!$C$3,$B$287,$B$485),Data!$BO:$BO,0)-2,57),"")),"")</f>
        <v>aaaa-22_8</v>
      </c>
      <c r="E504" s="37"/>
      <c r="F504" s="35" t="str">
        <f ca="1">IFERROR(IF(AND(INDEX(Tab_DaBa[],MATCH(CONCATENATE(Liste!$C$3,$B$287,$B$485),Data!$BO:$BO,0)-2,58)&lt;&gt;"",INDEX(Tab_DaBa[],MATCH(CONCATENATE(Liste!$C$3,$B$287,$B$485),Data!$BO:$BO,0)-2,63)=0),INDEX(Tab_DaBa[],MATCH(CONCATENATE(Liste!$C$3,$B$287,$B$485),Data!$BO:$BO,0)-2,12),IF(INDEX(Tab_DaBa[],MATCH(CONCATENATE(Liste!$C$3,$B$287,$B$485),Data!$BO:$BO,0)-2,58)&lt;&gt;"",INDEX(Tab_DaBa[],MATCH(CONCATENATE(Liste!$C$3,$B$287,$B$485),Data!$BO:$BO,0)-2,62),"")),"")</f>
        <v/>
      </c>
      <c r="G504" s="39"/>
      <c r="H504" s="35" t="str">
        <f ca="1">IFERROR(IF(INDEX(Tab_DaBa[],MATCH(CONCATENATE(Liste!$C$3,$B$287,$B$485),Data!$BO:$BO,0)-2,63)&lt;&gt;"",INDEX(Tab_DaBa[],MATCH(CONCATENATE(Liste!$C$3,$B$287,$B$485),Data!$BO:$BO,0)-2,12),""),"")</f>
        <v/>
      </c>
    </row>
    <row r="505" spans="2:9" s="16" customFormat="1" ht="15.75">
      <c r="B505" s="35" t="str">
        <f ca="1">IFERROR(IF(AND(INDEX(Tab_DaBa[],MATCH(CONCATENATE(Liste!$C$3,$B$287,$B$485),Data!$BO:$BO,0)-2,48)&lt;&gt;"",INDEX(Tab_DaBa[],MATCH(CONCATENATE(Liste!$C$3,$B$287,$B$485),Data!$BO:$BO,0)-2,53)=""),INDEX(Tab_DaBa[],MATCH(CONCATENATE(Liste!$C$3,$B$287,$B$485),Data!$BO:$BO,0)-2,13),IF(INDEX(Tab_DaBa[],MATCH(CONCATENATE(Liste!$C$3,$B$287,$B$485),Data!$BO:$BO,0)-2,48)&lt;&gt;"",INDEX(Tab_DaBa[],MATCH(CONCATENATE(Liste!$C$3,$B$287,$B$485),Data!$BO:$BO,0)-2,53),"")),"")</f>
        <v>Bez_Lo02_08</v>
      </c>
      <c r="C505" s="38">
        <f ca="1">IF(D503="","",4)</f>
        <v>4</v>
      </c>
      <c r="D505" s="35" t="str">
        <f ca="1">IFERROR(IF(AND(INDEX(Tab_DaBa[],MATCH(CONCATENATE(Liste!$C$3,$B$287,$B$485),Data!$BO:$BO,0)-2,53)&lt;&gt;"",INDEX(Tab_DaBa[],MATCH(CONCATENATE(Liste!$C$3,$B$287,$B$485),Data!$BO:$BO,0)-2,58)=""),INDEX(Tab_DaBa[],MATCH(CONCATENATE(Liste!$C$3,$B$287,$B$485),Data!$BO:$BO,0)-2,13),IF(INDEX(Tab_DaBa[],MATCH(CONCATENATE(Liste!$C$3,$B$287,$B$485),Data!$BO:$BO,0)-2,53)&lt;&gt;"",INDEX(Tab_DaBa[],MATCH(CONCATENATE(Liste!$C$3,$B$287,$B$485),Data!$BO:$BO,0)-2,58),"")),"")</f>
        <v>Bez_Aus2_8</v>
      </c>
      <c r="E505" s="38" t="str">
        <f ca="1">IF(F503="","",4)</f>
        <v/>
      </c>
      <c r="F505" s="35" t="str">
        <f ca="1">IFERROR(IF(AND(INDEX(Tab_DaBa[],MATCH(CONCATENATE(Liste!$C$3,$B$287,$B$485),Data!$BO:$BO,0)-2,58)&lt;&gt;"",INDEX(Tab_DaBa[],MATCH(CONCATENATE(Liste!$C$3,$B$287,$B$485),Data!$BO:$BO,0)-2,63)=""),INDEX(Tab_DaBa[],MATCH(CONCATENATE(Liste!$C$3,$B$287,$B$485),Data!$BO:$BO,0)-2,13),IF(INDEX(Tab_DaBa[],MATCH(CONCATENATE(Liste!$C$3,$B$287,$B$485),Data!$BO:$BO,0)-2,58)&lt;&gt;"",INDEX(Tab_DaBa[],MATCH(CONCATENATE(Liste!$C$3,$B$287,$B$485),Data!$BO:$BO,0)-2,63),"")),"")</f>
        <v/>
      </c>
      <c r="G505" s="38" t="str">
        <f ca="1">IF(H503="","",4)</f>
        <v/>
      </c>
      <c r="H505" s="35" t="str">
        <f ca="1">IFERROR(IF(INDEX(Tab_DaBa[],MATCH(CONCATENATE(Liste!$C$3,$B$287,$B$485),Data!$BO:$BO,0)-2,63)&lt;&gt;"",INDEX(Tab_DaBa[],MATCH(CONCATENATE(Liste!$C$3,$B$287,$B$485),Data!$BO:$BO,0)-2,13),""),"")</f>
        <v/>
      </c>
    </row>
    <row r="506" spans="2:9" s="16" customFormat="1" ht="15.75">
      <c r="B506" s="35" t="str">
        <f ca="1">IFERROR(IF(AND(INDEX(Tab_DaBa[],MATCH(CONCATENATE(Liste!$C$3,$B$287,$B$485),Data!$BO:$BO,0)-2,48)&lt;&gt;"",INDEX(Tab_DaBa[],MATCH(CONCATENATE(Liste!$C$3,$B$287,$B$485),Data!$BO:$BO,0)-2,53)=""),"Performance Level: "&amp;INDEX(Tab_DaBa[],MATCH(CONCATENATE(Liste!$C$3,$B$287,$B$485),Data!$BO:$BO,0)-2,15),IF(INDEX(Tab_DaBa[],MATCH(CONCATENATE(Liste!$C$3,$B$287,$B$485),Data!$BO:$BO,0)-2,48)&lt;&gt;"","Performance Level: "&amp;INDEX(Tab_DaBa[],MATCH(CONCATENATE(Liste!$C$3,$B$287,$B$485),Data!$BO:$BO,0)-2,55),"")),"")</f>
        <v>Performance Level: PL_Lo02_08</v>
      </c>
      <c r="C506" s="39"/>
      <c r="D506" s="35" t="str">
        <f ca="1">IFERROR(IF(AND(INDEX(Tab_DaBa[],MATCH(CONCATENATE(Liste!$C$3,$B$287,$B$485),Data!$BO:$BO,0)-2,53)&lt;&gt;"",INDEX(Tab_DaBa[],MATCH(CONCATENATE(Liste!$C$3,$B$287,$B$485),Data!$BO:$BO,0)-2,58)=""),"Performance Level: "&amp;INDEX(Tab_DaBa[],MATCH(CONCATENATE(Liste!$C$3,$B$287,$B$485),Data!$BO:$BO,0)-2,15),IF(INDEX(Tab_DaBa[],MATCH(CONCATENATE(Liste!$C$3,$B$287,$B$485),Data!$BO:$BO,0)-2,53)&lt;&gt;"","Performance Level: "&amp;INDEX(Tab_DaBa[],MATCH(CONCATENATE(Liste!$C$3,$B$287,$B$485),Data!$BO:$BO,0)-2,60),"")),"")</f>
        <v>Performance Level: PL_Aus2_8</v>
      </c>
      <c r="E506" s="37"/>
      <c r="F506" s="35" t="str">
        <f ca="1">IFERROR(IF(AND(INDEX(Tab_DaBa[],MATCH(CONCATENATE(Liste!$C$3,$B$287,$B$485),Data!$BO:$BO,0)-2,58)&lt;&gt;"",INDEX(Tab_DaBa[],MATCH(CONCATENATE(Liste!$C$3,$B$287,$B$485),Data!$BO:$BO,0)-2,63)=""),"Performance Level: "&amp;INDEX(Tab_DaBa[],MATCH(CONCATENATE(Liste!$C$3,$B$287,$B$485),Data!$BO:$BO,0)-2,15),IF(INDEX(Tab_DaBa[],MATCH(CONCATENATE(Liste!$C$3,$B$287,$B$485),Data!$BO:$BO,0)-2,58)&lt;&gt;"","Performance Level: "&amp;INDEX(Tab_DaBa[],MATCH(CONCATENATE(Liste!$C$3,$B$287,$B$485),Data!$BO:$BO,0)-2,65),"")),"")</f>
        <v/>
      </c>
      <c r="G506" s="39"/>
      <c r="H506" s="35" t="str">
        <f ca="1">IFERROR(IF(INDEX(Tab_DaBa[],MATCH(CONCATENATE(Liste!$C$3,$B$287,$B$485),Data!$BO:$BO,0)-2,63)&lt;&gt;"","Performance Level: "&amp;INDEX(Tab_DaBa[],MATCH(CONCATENATE(Liste!$C$3,$B$287,$B$485),Data!$BO:$BO,0)-2,15),""),"")</f>
        <v/>
      </c>
    </row>
    <row r="507" spans="2:9" s="16" customFormat="1" ht="15.75">
      <c r="B507" s="35" t="str">
        <f ca="1">IFERROR(IF(AND(INDEX(Tab_DaBa[],MATCH(CONCATENATE(Liste!$C$3,$B$287,$B$485),Data!$BO:$BO,0)-2,48)&lt;&gt;"",INDEX(Tab_DaBa[],MATCH(CONCATENATE(Liste!$C$3,$B$287,$B$485),Data!$BO:$BO,0)-2,53)=""),"PFH [1/h] = "&amp;10^9*INDEX(Tab_DaBa[],MATCH(CONCATENATE(Liste!$C$3,$B$287,$B$485),Data!$BO:$BO,0)-2,16)&amp;"E-9",IF(INDEX(Tab_DaBa[],MATCH(CONCATENATE(Liste!$C$3,$B$287,$B$485),Data!$BO:$BO,0)-2,48)&lt;&gt;"","PFH [1/h] = "&amp;10^9*INDEX(Tab_DaBa[],MATCH(CONCATENATE(Liste!$C$3,$B$287,$B$485),Data!$BO:$BO,0)-2,56)&amp;"E-9","")),"")</f>
        <v>PFH [1/h] = 4,19E-9</v>
      </c>
      <c r="C507" s="39"/>
      <c r="D507" s="35" t="str">
        <f ca="1">IFERROR(IF(AND(INDEX(Tab_DaBa[],MATCH(CONCATENATE(Liste!$C$3,$B$287,$B$485),Data!$BO:$BO,0)-2,53)&lt;&gt;"",INDEX(Tab_DaBa[],MATCH(CONCATENATE(Liste!$C$3,$B$287,$B$485),Data!$BO:$BO,0)-2,58)=""),"PFH [1/h] = "&amp;10^9*INDEX(Tab_DaBa[],MATCH(CONCATENATE(Liste!$C$3,$B$287,$B$485),Data!$BO:$BO,0)-2,16)&amp;"E-9",IF(INDEX(Tab_DaBa[],MATCH(CONCATENATE(Liste!$C$3,$B$287,$B$485),Data!$BO:$BO,0)-2,53)&lt;&gt;"","PFH [1/h] = "&amp;10^9*INDEX(Tab_DaBa[],MATCH(CONCATENATE(Liste!$C$3,$B$287,$B$485),Data!$BO:$BO,0)-2,61)&amp;"E-9","")),"")</f>
        <v>PFH [1/h] = 24,7E-9</v>
      </c>
      <c r="E507" s="37"/>
      <c r="F507" s="35" t="str">
        <f ca="1">IFERROR(IF(AND(INDEX(Tab_DaBa[],MATCH(CONCATENATE(Liste!$C$3,$B$287,$B$485),Data!$BO:$BO,0)-2,58)&lt;&gt;"",INDEX(Tab_DaBa[],MATCH(CONCATENATE(Liste!$C$3,$B$287,$B$485),Data!$BO:$BO,0)-2,63)=""),"PFH [1/h] = "&amp;10^9*INDEX(Tab_DaBa[],MATCH(CONCATENATE(Liste!$C$3,$B$287,$B$485),Data!$BO:$BO,0)-2,16)&amp;"E-9",IF(INDEX(Tab_DaBa[],MATCH(CONCATENATE(Liste!$C$3,$B$287,$B$485),Data!$BO:$BO,0)-2,58)&lt;&gt;"","PFH [1/h] = "&amp;10^9*INDEX(Tab_DaBa[],MATCH(CONCATENATE(Liste!$C$3,$B$287,$B$485),Data!$BO:$BO,0)-2,66)&amp;"E-9","")),"")</f>
        <v/>
      </c>
      <c r="G507" s="39"/>
      <c r="H507" s="35" t="str">
        <f ca="1">IFERROR(IF(INDEX(Tab_DaBa[],MATCH(CONCATENATE(Liste!$C$3,$B$287,$B$485),Data!$BO:$BO,0)-2,63)&lt;&gt;"","PFH [1/h] = "&amp;10^9*INDEX(Tab_DaBa[],MATCH(CONCATENATE(Liste!$C$3,$B$287,$B$485),Data!$BO:$BO,0)-2,16)&amp;"E-9",""),"")</f>
        <v/>
      </c>
    </row>
    <row r="508" spans="2:9" s="16" customFormat="1"/>
    <row r="509" spans="2:9" s="16" customFormat="1">
      <c r="B509" s="43" t="str">
        <f ca="1">IF(D509="","","Erforderlich")</f>
        <v>Erforderlich</v>
      </c>
      <c r="D509" s="44" t="str">
        <f ca="1">IFERROR("Performance Level: "&amp;INDEX(Tab_DaBa[],MATCH(CONCATENATE(Liste!$C$3,$B$287,$B$485),Data!$BO:$BO,0)-2,4),"")</f>
        <v>Performance Level: PLr_ges2_8</v>
      </c>
    </row>
    <row r="510" spans="2:9" s="16" customFormat="1">
      <c r="B510" s="45"/>
    </row>
    <row r="511" spans="2:9" s="16" customFormat="1">
      <c r="B511" s="46" t="str">
        <f ca="1">IF(D511="","","Erreicht")</f>
        <v>Erreicht</v>
      </c>
      <c r="D511" s="47" t="str">
        <f ca="1">IFERROR("Performance Level: "&amp;INDEX(Tab_DaBa[],MATCH(CONCATENATE(Liste!$C$3,$B$287,$B$485),Data!$BO:$BO,0)-2,5)&amp;"          PFH [1/h] = "&amp;10^9*INDEX(Tab_DaBa[],MATCH(CONCATENATE(Liste!$C$3,$B$287,$B$485),Data!$BO:$BO,0)-2,6)&amp;"E-9","")</f>
        <v>Performance Level: Pl_ges2_8          PFH [1/h] = 71,7E-9</v>
      </c>
    </row>
    <row r="512" spans="2:9" s="16" customFormat="1">
      <c r="B512" s="50"/>
      <c r="C512" s="49"/>
      <c r="D512" s="49"/>
    </row>
    <row r="513" spans="2:9" s="16" customFormat="1">
      <c r="B513" s="42" t="str">
        <f ca="1">IFERROR(IF(9&gt;COUNTIF(Data!$BP:$BP,CONCATENATE(Liste!$C$3,$B$287)),"",INDEX(Tab_DaBa[],MATCH(CONCATENATE(Liste!$C$3,$B$287),Data!$BP:$BP,0)+6,3)),"")</f>
        <v>2.9 test2 (E+9L+A)</v>
      </c>
    </row>
    <row r="514" spans="2:9" s="16" customFormat="1"/>
    <row r="515" spans="2:9" s="16" customFormat="1" ht="15.75">
      <c r="B515" s="35" t="str">
        <f ca="1">IFERROR(INDEX(Tab_DaBa[],MATCH(CONCATENATE(Liste!$C$3,$B$287,$B$513),Data!$BO:$BO,0)-2,9),"")</f>
        <v>Eingang</v>
      </c>
      <c r="C515" s="54"/>
      <c r="D515" s="35" t="str">
        <f ca="1">IFERROR(IF(INDEX(Tab_DaBa[],MATCH(CONCATENATE(Liste!$C$3,$B$287,$B$513),Data!$BO:$BO,0)-2,18)=0,INDEX(Tab_DaBa[],MATCH(CONCATENATE(Liste!$C$3,$B$287,$B$513),Data!$BO:$BO,0)-2,14),INDEX(Tab_DaBa[],MATCH(CONCATENATE(Liste!$C$3,$B$287,$B$513),Data!$BO:$BO,0)-2,19)),"")</f>
        <v>Logik 01</v>
      </c>
      <c r="E515" s="33"/>
      <c r="F515" s="35" t="str">
        <f ca="1">IFERROR(IF(AND(INDEX(Tab_DaBa[],MATCH(CONCATENATE(Liste!$C$3,$B$287,$B$513),Data!$BO:$BO,0)-2,18)&lt;&gt;"",INDEX(Tab_DaBa[],MATCH(CONCATENATE(Liste!$C$3,$B$287,$B$513),Data!$BO:$BO,0)-2,23)=0),INDEX(Tab_DaBa[],MATCH(CONCATENATE(Liste!$C$3,$B$287,$B$513),Data!$BO:$BO,0)-2,14),IF(INDEX(Tab_DaBa[],MATCH(CONCATENATE(Liste!$C$3,$B$287,$B$513),Data!$BO:$BO,0)-2,23)&lt;&gt;"",INDEX(Tab_DaBa[],MATCH(CONCATENATE(Liste!$C$3,$B$287,$B$513),Data!$BO:$BO,0)-2,24),"")),"")</f>
        <v>Logik 02</v>
      </c>
      <c r="G515" s="39"/>
      <c r="H515" s="35" t="str">
        <f ca="1">IFERROR(IF(AND(INDEX(Tab_DaBa[],MATCH(CONCATENATE(Liste!$C$3,$B$287,$B$513),Data!$BO:$BO,0)-2,23)&lt;&gt;"",INDEX(Tab_DaBa[],MATCH(CONCATENATE(Liste!$C$3,$B$287,$B$513),Data!$BO:$BO,0)-2,28)=0),INDEX(Tab_DaBa[],MATCH(CONCATENATE(Liste!$C$3,$B$287,$B$513),Data!$BO:$BO,0)-2,14),IF(INDEX(Tab_DaBa[],MATCH(CONCATENATE(Liste!$C$3,$B$287,$B$513),Data!$BO:$BO,0)-2,23)&lt;&gt;"",INDEX(Tab_DaBa[],MATCH(CONCATENATE(Liste!$C$3,$B$287,$B$513),Data!$BO:$BO,0)-2,29),"")),"")</f>
        <v>Logik 03</v>
      </c>
      <c r="I515" s="39"/>
    </row>
    <row r="516" spans="2:9" s="16" customFormat="1" ht="15.75">
      <c r="B516" s="35" t="str">
        <f ca="1">IFERROR(INDEX(Tab_DaBa[],MATCH(CONCATENATE(Liste!$C$3,$B$287,$B$513),Data!$BO:$BO,0)-2,7),"")</f>
        <v>eeee-22_9</v>
      </c>
      <c r="C516" s="54"/>
      <c r="D516" s="35" t="str">
        <f ca="1">IFERROR(IF(INDEX(Tab_DaBa[],MATCH(CONCATENATE(Liste!$C$3,$B$287,$B$513),Data!$BO:$BO,0)-2,18)="",INDEX(Tab_DaBa[],MATCH(CONCATENATE(Liste!$C$3,$B$287,$B$513),Data!$BO:$BO,0)-2,12),INDEX(Tab_DaBa[],MATCH(CONCATENATE(Liste!$C$3,$B$287,$B$513),Data!$BO:$BO,0)-2,17)),"")</f>
        <v>Log02-02_09</v>
      </c>
      <c r="E516" s="36"/>
      <c r="F516" s="35" t="str">
        <f ca="1">IFERROR(IF(AND(INDEX(Tab_DaBa[],MATCH(CONCATENATE(Liste!$C$3,$B$287,$B$513),Data!$BO:$BO,0)-2,18)&lt;&gt;"",INDEX(Tab_DaBa[],MATCH(CONCATENATE(Liste!$C$3,$B$287,$B$513),Data!$BO:$BO,0)-2,23)=0),INDEX(Tab_DaBa[],MATCH(CONCATENATE(Liste!$C$3,$B$287,$B$513),Data!$BO:$BO,0)-2,12),IF(INDEX(Tab_DaBa[],MATCH(CONCATENATE(Liste!$C$3,$B$287,$B$513),Data!$BO:$BO,0)-2,23)&lt;&gt;"",INDEX(Tab_DaBa[],MATCH(CONCATENATE(Liste!$C$3,$B$287,$B$513),Data!$BO:$BO,0)-2,22),"")),"")</f>
        <v>Lo02-22_9</v>
      </c>
      <c r="G516" s="39"/>
      <c r="H516" s="35" t="str">
        <f ca="1">IFERROR(IF(AND(INDEX(Tab_DaBa[],MATCH(CONCATENATE(Liste!$C$3,$B$287,$B$513),Data!$BO:$BO,0)-2,23)&lt;&gt;"",INDEX(Tab_DaBa[],MATCH(CONCATENATE(Liste!$C$3,$B$287,$B$513),Data!$BO:$BO,0)-2,28)=0),INDEX(Tab_DaBa[],MATCH(CONCATENATE(Liste!$C$3,$B$287,$B$513),Data!$BO:$BO,0)-2,12),IF(INDEX(Tab_DaBa[],MATCH(CONCATENATE(Liste!$C$3,$B$287,$B$513),Data!$BO:$BO,0)-2,23)&lt;&gt;"",INDEX(Tab_DaBa[],MATCH(CONCATENATE(Liste!$C$3,$B$287,$B$513),Data!$BO:$BO,0)-2,27),"")),"")</f>
        <v>Lo02-22_9</v>
      </c>
      <c r="I516" s="39"/>
    </row>
    <row r="517" spans="2:9" s="16" customFormat="1" ht="15.75">
      <c r="B517" s="35" t="str">
        <f ca="1">IFERROR(INDEX(Tab_DaBa[],MATCH(CONCATENATE(Liste!$C$3,$B$287,$B$513),Data!$BO:$BO,0)-2,8),"")</f>
        <v>Bez_Ein2_9</v>
      </c>
      <c r="C517" s="40">
        <f ca="1">IF(D515="","",4)</f>
        <v>4</v>
      </c>
      <c r="D517" s="35" t="str">
        <f ca="1">IFERROR(IF(INDEX(Tab_DaBa[],MATCH(CONCATENATE(Liste!$C$3,$B$287,$B$513),Data!$BO:$BO,0)-2,18)="",INDEX(Tab_DaBa[],MATCH(CONCATENATE(Liste!$C$3,$B$287,$B$513),Data!$BO:$BO,0)-2,13),INDEX(Tab_DaBa[],MATCH(CONCATENATE(Liste!$C$3,$B$287,$B$513),Data!$BO:$BO,0)-2,18)),"")</f>
        <v>Bez_Log01_02_09</v>
      </c>
      <c r="E517" s="40">
        <f ca="1">IF(F515="","",4)</f>
        <v>4</v>
      </c>
      <c r="F517" s="35" t="str">
        <f ca="1">IFERROR(IF(AND(INDEX(Tab_DaBa[],MATCH(CONCATENATE(Liste!$C$3,$B$287,$B$513),Data!$BO:$BO,0)-2,18)&lt;&gt;"",INDEX(Tab_DaBa[],MATCH(CONCATENATE(Liste!$C$3,$B$287,$B$513),Data!$BO:$BO,0)-2,23)=""),INDEX(Tab_DaBa[],MATCH(CONCATENATE(Liste!$C$3,$B$287,$B$513),Data!$BO:$BO,0)-2,13),IF(INDEX(Tab_DaBa[],MATCH(CONCATENATE(Liste!$C$3,$B$287,$B$513),Data!$BO:$BO,0)-2,23)&lt;&gt;"",INDEX(Tab_DaBa[],MATCH(CONCATENATE(Liste!$C$3,$B$287,$B$513),Data!$BO:$BO,0)-2,23),"")),"")</f>
        <v>Bez_Lo02_9</v>
      </c>
      <c r="G517" s="38">
        <f ca="1">IF(H515="","",4)</f>
        <v>4</v>
      </c>
      <c r="H517" s="35" t="str">
        <f ca="1">IFERROR(IF(AND(INDEX(Tab_DaBa[],MATCH(CONCATENATE(Liste!$C$3,$B$287,$B$513),Data!$BO:$BO,0)-2,23)&lt;&gt;"",INDEX(Tab_DaBa[],MATCH(CONCATENATE(Liste!$C$3,$B$287,$B$513),Data!$BO:$BO,0)-2,28)=""),INDEX(Tab_DaBa[],MATCH(CONCATENATE(Liste!$C$3,$B$287,$B$513),Data!$BO:$BO,0)-2,13),IF(INDEX(Tab_DaBa[],MATCH(CONCATENATE(Liste!$C$3,$B$287,$B$513),Data!$BO:$BO,0)-2,23)&lt;&gt;"",INDEX(Tab_DaBa[],MATCH(CONCATENATE(Liste!$C$3,$B$287,$B$513),Data!$BO:$BO,0)-2,28),"")),"")</f>
        <v>Bez_Lo02_9</v>
      </c>
      <c r="I517" s="38">
        <f ca="1">IF(B523="","",6)</f>
        <v>6</v>
      </c>
    </row>
    <row r="518" spans="2:9" s="16" customFormat="1" ht="15.75">
      <c r="B518" s="35" t="str">
        <f ca="1">IFERROR("Performance Level: "&amp;INDEX(Tab_DaBa[],MATCH(CONCATENATE(Liste!$C$3,$B$287,$B$513),Data!$BO:$BO,0)-2,10),"")</f>
        <v>Performance Level: PL_Ein2_9</v>
      </c>
      <c r="C518" s="54"/>
      <c r="D518" s="35" t="str">
        <f ca="1">IFERROR(IF(INDEX(Tab_DaBa[],MATCH(CONCATENATE(Liste!$C$3,$B$287,$B$513),Data!$BO:$BO,0)-2,18)="","Performance Level: "&amp;INDEX(Tab_DaBa[],MATCH(CONCATENATE(Liste!$C$3,$B$287,$B$513),Data!$BO:$BO,0)-2,15),"Performance Level: "&amp;INDEX(Tab_DaBa[],MATCH(CONCATENATE(Liste!$C$3,$B$287,$B$513),Data!$BO:$BO,0)-2,20)),"")</f>
        <v>Performance Level: PL_Lo02_9</v>
      </c>
      <c r="E518" s="36"/>
      <c r="F518" s="35" t="str">
        <f ca="1">IFERROR(IF(AND(INDEX(Tab_DaBa[],MATCH(CONCATENATE(Liste!$C$3,$B$287,$B$513),Data!$BO:$BO,0)-2,18)&lt;&gt;"",INDEX(Tab_DaBa[],MATCH(CONCATENATE(Liste!$C$3,$B$287,$B$513),Data!$BO:$BO,0)-2,23)=""),"Performance Level: "&amp;INDEX(Tab_DaBa[],MATCH(CONCATENATE(Liste!$C$3,$B$287,$B$513),Data!$BO:$BO,0)-2,15),IF(INDEX(Tab_DaBa[],MATCH(CONCATENATE(Liste!$C$3,$B$287,$B$513),Data!$BO:$BO,0)-2,23)&lt;&gt;"","Performance Level: "&amp;INDEX(Tab_DaBa[],MATCH(CONCATENATE(Liste!$C$3,$B$287,$B$513),Data!$BO:$BO,0)-2,25),"")),"")</f>
        <v>Performance Level: PL_Lo02_9</v>
      </c>
      <c r="G518" s="39"/>
      <c r="H518" s="35" t="str">
        <f ca="1">IFERROR(IF(AND(INDEX(Tab_DaBa[],MATCH(CONCATENATE(Liste!$C$3,$B$287,$B$513),Data!$BO:$BO,0)-2,23)&lt;&gt;"",INDEX(Tab_DaBa[],MATCH(CONCATENATE(Liste!$C$3,$B$287,$B$513),Data!$BO:$BO,0)-2,28)=""),"Performance Level: "&amp;INDEX(Tab_DaBa[],MATCH(CONCATENATE(Liste!$C$3,$B$287,$B$513),Data!$BO:$BO,0)-2,15),IF(INDEX(Tab_DaBa[],MATCH(CONCATENATE(Liste!$C$3,$B$287,$B$513),Data!$BO:$BO,0)-2,23)&lt;&gt;"","Performance Level: "&amp;INDEX(Tab_DaBa[],MATCH(CONCATENATE(Liste!$C$3,$B$287,$B$513),Data!$BO:$BO,0)-2,30),"")),"")</f>
        <v>Performance Level: PL_Lo02_9</v>
      </c>
      <c r="I518" s="38"/>
    </row>
    <row r="519" spans="2:9" s="16" customFormat="1" ht="15.75">
      <c r="B519" s="53" t="str">
        <f ca="1">IFERROR("PFH [1/h] = "&amp;10^9*INDEX(Tab_DaBa[],MATCH(CONCATENATE(Liste!$C$3,$B$287,$B$513),Data!$BO:$BO,0)-2,11)&amp;"E-9","")</f>
        <v>PFH [1/h] = 42,9E-9</v>
      </c>
      <c r="C519" s="54"/>
      <c r="D519" s="35" t="str">
        <f ca="1">IFERROR(IF(INDEX(Tab_DaBa[],MATCH(CONCATENATE(Liste!$C$3,$B$287,$B$513),Data!$BO:$BO,0)-2,18)="","PFH [1/h] = "&amp;10^9*INDEX(Tab_DaBa[],MATCH(CONCATENATE(Liste!$C$3,$B$287,$B$513),Data!$BO:$BO,0)-2,16)&amp;"E-9","PFH [1/h] = "&amp;10^9*INDEX(Tab_DaBa[],MATCH(CONCATENATE(Liste!$C$3,$B$287,$B$513),Data!$BO:$BO,0)-2,21)&amp;"E-9"),"")</f>
        <v>PFH [1/h] = 4,19E-9</v>
      </c>
      <c r="E519" s="36"/>
      <c r="F519" s="35" t="str">
        <f ca="1">IFERROR(IF(AND(INDEX(Tab_DaBa[],MATCH(CONCATENATE(Liste!$C$3,$B$287,$B$513),Data!$BO:$BO,0)-2,18)&lt;&gt;"",INDEX(Tab_DaBa[],MATCH(CONCATENATE(Liste!$C$3,$B$287,$B$513),Data!$BO:$BO,0)-2,23)=""),"PFH [1/h] = "&amp;10^9*INDEX(Tab_DaBa[],MATCH(CONCATENATE(Liste!$C$3,$B$287,$B$513),Data!$BO:$BO,0)-2,16)&amp;"E-9",IF(INDEX(Tab_DaBa[],MATCH(CONCATENATE(Liste!$C$3,$B$287,$B$513),Data!$BO:$BO,0)-2,23)&lt;&gt;"","PFH [1/h] = "&amp;10^9*INDEX(Tab_DaBa[],MATCH(CONCATENATE(Liste!$C$3,$B$287,$B$513),Data!$BO:$BO,0)-2,26)&amp;"E-9","")),"")</f>
        <v>PFH [1/h] = 4,19E-9</v>
      </c>
      <c r="G519" s="39"/>
      <c r="H519" s="35" t="str">
        <f ca="1">IFERROR(IF(AND(INDEX(Tab_DaBa[],MATCH(CONCATENATE(Liste!$C$3,$B$287,$B$513),Data!$BO:$BO,0)-2,23)&lt;&gt;"",INDEX(Tab_DaBa[],MATCH(CONCATENATE(Liste!$C$3,$B$287,$B$513),Data!$BO:$BO,0)-2,28)=""),"PFH [1/h] = "&amp;10^9*INDEX(Tab_DaBa[],MATCH(CONCATENATE(Liste!$C$3,$B$287,$B$513),Data!$BO:$BO,0)-2,16)&amp;"E-9",IF(INDEX(Tab_DaBa[],MATCH(CONCATENATE(Liste!$C$3,$B$287,$B$513),Data!$BO:$BO,0)-2,23)&lt;&gt;"","PFH [1/h] = "&amp;10^9*INDEX(Tab_DaBa[],MATCH(CONCATENATE(Liste!$C$3,$B$287,$B$513),Data!$BO:$BO,0)-2,31)&amp;"E-9","")),"")</f>
        <v>PFH [1/h] = 4,19E-9</v>
      </c>
      <c r="I519" s="39"/>
    </row>
    <row r="520" spans="2:9" s="16" customFormat="1">
      <c r="B520" s="33"/>
      <c r="C520" s="34"/>
      <c r="D520" s="33"/>
      <c r="E520" s="33"/>
      <c r="F520" s="33"/>
      <c r="G520" s="33"/>
      <c r="H520" s="33"/>
      <c r="I520" s="33"/>
    </row>
    <row r="521" spans="2:9" s="16" customFormat="1" ht="15.75">
      <c r="B521" s="38">
        <f ca="1">IF(B523="","",6)</f>
        <v>6</v>
      </c>
      <c r="C521" s="34"/>
      <c r="D521" s="38">
        <f ca="1">IF(B523="","",3)</f>
        <v>3</v>
      </c>
      <c r="E521" s="33"/>
      <c r="F521" s="38">
        <f ca="1">IF(B523="","",3)</f>
        <v>3</v>
      </c>
      <c r="G521" s="33"/>
      <c r="H521" s="38">
        <f ca="1">IF(B523="","",3)</f>
        <v>3</v>
      </c>
      <c r="I521" s="33"/>
    </row>
    <row r="522" spans="2:9" s="16" customFormat="1" ht="15.75">
      <c r="B522" s="39"/>
      <c r="C522" s="33"/>
      <c r="D522" s="33"/>
      <c r="E522" s="33"/>
      <c r="F522" s="33"/>
      <c r="G522" s="33"/>
      <c r="H522" s="33"/>
      <c r="I522" s="33"/>
    </row>
    <row r="523" spans="2:9" s="16" customFormat="1" ht="15.75">
      <c r="B523" s="35" t="str">
        <f ca="1">IFERROR(IF(AND(INDEX(Tab_DaBa[],MATCH(CONCATENATE(Liste!$C$3,$B$287,$B$513),Data!$BO:$BO,0)-2,28)&lt;&gt;"",INDEX(Tab_DaBa[],MATCH(CONCATENATE(Liste!$C$3,$B$287,$B$513),Data!$BO:$BO,0)-2,33)=0),INDEX(Tab_DaBa[],MATCH(CONCATENATE(Liste!$C$3,$B$287,$B$513),Data!$BO:$BO,0)-2,14),IF(INDEX(Tab_DaBa[],MATCH(CONCATENATE(Liste!$C$3,$B$287,$B$513),Data!$BO:$BO,0)-2,28)&lt;&gt;"",INDEX(Tab_DaBa[],MATCH(CONCATENATE(Liste!$C$3,$B$287,$B$513),Data!$BO:$BO,0)-2,34),"")),"")</f>
        <v>Logik 04</v>
      </c>
      <c r="C523" s="39"/>
      <c r="D523" s="35" t="str">
        <f ca="1">IFERROR(IF(AND(INDEX(Tab_DaBa[],MATCH(CONCATENATE(Liste!$C$3,$B$287,$B$513),Data!$BO:$BO,0)-2,33)&lt;&gt;"",INDEX(Tab_DaBa[],MATCH(CONCATENATE(Liste!$C$3,$B$287,$B$513),Data!$BO:$BO,0)-2,38)=0),INDEX(Tab_DaBa[],MATCH(CONCATENATE(Liste!$C$3,$B$287,$B$513),Data!$BO:$BO,0)-2,14),IF(INDEX(Tab_DaBa[],MATCH(CONCATENATE(Liste!$C$3,$B$287,$B$513),Data!$BO:$BO,0)-2,33)&lt;&gt;"",INDEX(Tab_DaBa[],MATCH(CONCATENATE(Liste!$C$3,$B$287,$B$513),Data!$BO:$BO,0)-2,39),"")),"")</f>
        <v>Logik 07</v>
      </c>
      <c r="E523" s="33"/>
      <c r="F523" s="35" t="str">
        <f ca="1">IFERROR(IF(AND(INDEX(Tab_DaBa[],MATCH(CONCATENATE(Liste!$C$3,$B$287,$B$513),Data!$BO:$BO,0)-2,38)&lt;&gt;"",INDEX(Tab_DaBa[],MATCH(CONCATENATE(Liste!$C$3,$B$287,$B$513),Data!$BO:$BO,0)-2,43)=0),INDEX(Tab_DaBa[],MATCH(CONCATENATE(Liste!$C$3,$B$287,$B$513),Data!$BO:$BO,0)-2,14),IF(INDEX(Tab_DaBa[],MATCH(CONCATENATE(Liste!$C$3,$B$287,$B$513),Data!$BO:$BO,0)-2,38)&lt;&gt;"",INDEX(Tab_DaBa[],MATCH(CONCATENATE(Liste!$C$3,$B$287,$B$513),Data!$BO:$BO,0)-2,44),"")),"")</f>
        <v>Logik 06</v>
      </c>
      <c r="G523" s="39"/>
      <c r="H523" s="35" t="str">
        <f ca="1">IFERROR(IF(AND(INDEX(Tab_DaBa[],MATCH(CONCATENATE(Liste!$C$3,$B$287,$B$513),Data!$BO:$BO,0)-2,43)&lt;&gt;"",INDEX(Tab_DaBa[],MATCH(CONCATENATE(Liste!$C$3,$B$287,$B$513),Data!$BO:$BO,0)-2,48)=0),INDEX(Tab_DaBa[],MATCH(CONCATENATE(Liste!$C$3,$B$287,$B$513),Data!$BO:$BO,0)-2,14),IF(INDEX(Tab_DaBa[],MATCH(CONCATENATE(Liste!$C$3,$B$287,$B$513),Data!$BO:$BO,0)-2,43)&lt;&gt;"",INDEX(Tab_DaBa[],MATCH(CONCATENATE(Liste!$C$3,$B$287,$B$513),Data!$BO:$BO,0)-2,49),"")),"")</f>
        <v>Logik 07</v>
      </c>
      <c r="I523" s="39"/>
    </row>
    <row r="524" spans="2:9" s="16" customFormat="1" ht="15.75">
      <c r="B524" s="35" t="str">
        <f ca="1">IFERROR(IF(AND(INDEX(Tab_DaBa[],MATCH(CONCATENATE(Liste!$C$3,$B$287,$B$513),Data!$BO:$BO,0)-2,28)&lt;&gt;"",INDEX(Tab_DaBa[],MATCH(CONCATENATE(Liste!$C$3,$B$287,$B$513),Data!$BO:$BO,0)-2,33)=0),INDEX(Tab_DaBa[],MATCH(CONCATENATE(Liste!$C$3,$B$287,$B$513),Data!$BO:$BO,0)-2,12),IF(INDEX(Tab_DaBa[],MATCH(CONCATENATE(Liste!$C$3,$B$287,$B$513),Data!$BO:$BO,0)-2,28)&lt;&gt;"",INDEX(Tab_DaBa[],MATCH(CONCATENATE(Liste!$C$3,$B$287,$B$513),Data!$BO:$BO,0)-2,32),"")),"")</f>
        <v>Lo02-22_9</v>
      </c>
      <c r="C524" s="39"/>
      <c r="D524" s="35" t="str">
        <f ca="1">IFERROR(IF(AND(INDEX(Tab_DaBa[],MATCH(CONCATENATE(Liste!$C$3,$B$287,$B$513),Data!$BO:$BO,0)-2,33)&lt;&gt;"",INDEX(Tab_DaBa[],MATCH(CONCATENATE(Liste!$C$3,$B$287,$B$513),Data!$BO:$BO,0)-2,38)=0),INDEX(Tab_DaBa[],MATCH(CONCATENATE(Liste!$C$3,$B$287,$B$513),Data!$BO:$BO,0)-2,12),IF(INDEX(Tab_DaBa[],MATCH(CONCATENATE(Liste!$C$3,$B$287,$B$513),Data!$BO:$BO,0)-2,33)&lt;&gt;"",INDEX(Tab_DaBa[],MATCH(CONCATENATE(Liste!$C$3,$B$287,$B$513),Data!$BO:$BO,0)-2,37),"")),"")</f>
        <v>Lo02-22_9</v>
      </c>
      <c r="E524" s="37"/>
      <c r="F524" s="35" t="str">
        <f ca="1">IFERROR(IF(AND(INDEX(Tab_DaBa[],MATCH(CONCATENATE(Liste!$C$3,$B$287,$B$513),Data!$BO:$BO,0)-2,38)&lt;&gt;"",INDEX(Tab_DaBa[],MATCH(CONCATENATE(Liste!$C$3,$B$287,$B$513),Data!$BO:$BO,0)-2,43)=0),INDEX(Tab_DaBa[],MATCH(CONCATENATE(Liste!$C$3,$B$287,$B$513),Data!$BO:$BO,0)-2,12),IF(INDEX(Tab_DaBa[],MATCH(CONCATENATE(Liste!$C$3,$B$287,$B$513),Data!$BO:$BO,0)-2,38)&lt;&gt;"",INDEX(Tab_DaBa[],MATCH(CONCATENATE(Liste!$C$3,$B$287,$B$513),Data!$BO:$BO,0)-2,42),"")),"")</f>
        <v>Lo02-22_09</v>
      </c>
      <c r="G524" s="39"/>
      <c r="H524" s="35" t="str">
        <f ca="1">IFERROR(IF(AND(INDEX(Tab_DaBa[],MATCH(CONCATENATE(Liste!$C$3,$B$287,$B$513),Data!$BO:$BO,0)-2,43)&lt;&gt;"",INDEX(Tab_DaBa[],MATCH(CONCATENATE(Liste!$C$3,$B$287,$B$513),Data!$BO:$BO,0)-2,48)=0),INDEX(Tab_DaBa[],MATCH(CONCATENATE(Liste!$C$3,$B$287,$B$513),Data!$BO:$BO,0)-2,12),IF(INDEX(Tab_DaBa[],MATCH(CONCATENATE(Liste!$C$3,$B$287,$B$513),Data!$BO:$BO,0)-2,43)&lt;&gt;"",INDEX(Tab_DaBa[],MATCH(CONCATENATE(Liste!$C$3,$B$287,$B$513),Data!$BO:$BO,0)-2,47),"")),"")</f>
        <v>Lo02-22_09</v>
      </c>
      <c r="I524" s="39"/>
    </row>
    <row r="525" spans="2:9" s="16" customFormat="1" ht="15.75">
      <c r="B525" s="35" t="str">
        <f ca="1">IFERROR(IF(AND(INDEX(Tab_DaBa[],MATCH(CONCATENATE(Liste!$C$3,$B$287,$B$513),Data!$BO:$BO,0)-2,28)&lt;&gt;"",INDEX(Tab_DaBa[],MATCH(CONCATENATE(Liste!$C$3,$B$287,$B$513),Data!$BO:$BO,0)-2,33)=""),INDEX(Tab_DaBa[],MATCH(CONCATENATE(Liste!$C$3,$B$287,$B$513),Data!$BO:$BO,0)-2,13),IF(INDEX(Tab_DaBa[],MATCH(CONCATENATE(Liste!$C$3,$B$287,$B$513),Data!$BO:$BO,0)-2,28)&lt;&gt;"",INDEX(Tab_DaBa[],MATCH(CONCATENATE(Liste!$C$3,$B$287,$B$513),Data!$BO:$BO,0)-2,33),"")),"")</f>
        <v>Bez_Lo02_9</v>
      </c>
      <c r="C525" s="38">
        <f ca="1">IF(D523="","",4)</f>
        <v>4</v>
      </c>
      <c r="D525" s="35" t="str">
        <f ca="1">IFERROR(IF(AND(INDEX(Tab_DaBa[],MATCH(CONCATENATE(Liste!$C$3,$B$287,$B$513),Data!$BO:$BO,0)-2,33)&lt;&gt;"",INDEX(Tab_DaBa[],MATCH(CONCATENATE(Liste!$C$3,$B$287,$B$513),Data!$BO:$BO,0)-2,38)=""),INDEX(Tab_DaBa[],MATCH(CONCATENATE(Liste!$C$3,$B$287,$B$513),Data!$BO:$BO,0)-2,13),IF(INDEX(Tab_DaBa[],MATCH(CONCATENATE(Liste!$C$3,$B$287,$B$513),Data!$BO:$BO,0)-2,33)&lt;&gt;"",INDEX(Tab_DaBa[],MATCH(CONCATENATE(Liste!$C$3,$B$287,$B$513),Data!$BO:$BO,0)-2,38),"")),"")</f>
        <v>Bez_Lo02_9</v>
      </c>
      <c r="E525" s="38">
        <f ca="1">IF(F523="","",4)</f>
        <v>4</v>
      </c>
      <c r="F525" s="35" t="str">
        <f ca="1">IFERROR(IF(AND(INDEX(Tab_DaBa[],MATCH(CONCATENATE(Liste!$C$3,$B$287,$B$513),Data!$BO:$BO,0)-2,38)&lt;&gt;"",INDEX(Tab_DaBa[],MATCH(CONCATENATE(Liste!$C$3,$B$287,$B$513),Data!$BO:$BO,0)-2,43)=""),INDEX(Tab_DaBa[],MATCH(CONCATENATE(Liste!$C$3,$B$287,$B$513),Data!$BO:$BO,0)-2,13),IF(INDEX(Tab_DaBa[],MATCH(CONCATENATE(Liste!$C$3,$B$287,$B$513),Data!$BO:$BO,0)-2,38)&lt;&gt;"",INDEX(Tab_DaBa[],MATCH(CONCATENATE(Liste!$C$3,$B$287,$B$513),Data!$BO:$BO,0)-2,43),"")),"")</f>
        <v>Bez_Lo02_09</v>
      </c>
      <c r="G525" s="38">
        <f ca="1">IF(H523="","",4)</f>
        <v>4</v>
      </c>
      <c r="H525" s="35" t="str">
        <f ca="1">IFERROR(IF(AND(INDEX(Tab_DaBa[],MATCH(CONCATENATE(Liste!$C$3,$B$287,$B$513),Data!$BO:$BO,0)-2,43)&lt;&gt;"",INDEX(Tab_DaBa[],MATCH(CONCATENATE(Liste!$C$3,$B$287,$B$513),Data!$BO:$BO,0)-2,48)=""),INDEX(Tab_DaBa[],MATCH(CONCATENATE(Liste!$C$3,$B$287,$B$513),Data!$BO:$BO,0)-2,13),IF(INDEX(Tab_DaBa[],MATCH(CONCATENATE(Liste!$C$3,$B$287,$B$513),Data!$BO:$BO,0)-2,43)&lt;&gt;"",INDEX(Tab_DaBa[],MATCH(CONCATENATE(Liste!$C$3,$B$287,$B$513),Data!$BO:$BO,0)-2,48),"")),"")</f>
        <v>Bez_Lo02_09</v>
      </c>
      <c r="I525" s="38">
        <f ca="1">IF(B531="","",6)</f>
        <v>6</v>
      </c>
    </row>
    <row r="526" spans="2:9" s="16" customFormat="1" ht="15.75">
      <c r="B526" s="35" t="str">
        <f ca="1">IFERROR(IF(AND(INDEX(Tab_DaBa[],MATCH(CONCATENATE(Liste!$C$3,$B$287,$B$513),Data!$BO:$BO,0)-2,28)&lt;&gt;"",INDEX(Tab_DaBa[],MATCH(CONCATENATE(Liste!$C$3,$B$287,$B$513),Data!$BO:$BO,0)-2,33)=""),"Performance Level: "&amp;INDEX(Tab_DaBa[],MATCH(CONCATENATE(Liste!$C$3,$B$287,$B$513),Data!$BO:$BO,0)-2,15),IF(INDEX(Tab_DaBa[],MATCH(CONCATENATE(Liste!$C$3,$B$287,$B$513),Data!$BO:$BO,0)-2,28)&lt;&gt;"","Performance Level: "&amp;INDEX(Tab_DaBa[],MATCH(CONCATENATE(Liste!$C$3,$B$287,$B$513),Data!$BO:$BO,0)-2,35),"")),"")</f>
        <v>Performance Level: PL_Lo02_9</v>
      </c>
      <c r="C526" s="39"/>
      <c r="D526" s="35" t="str">
        <f ca="1">IFERROR(IF(AND(INDEX(Tab_DaBa[],MATCH(CONCATENATE(Liste!$C$3,$B$287,$B$513),Data!$BO:$BO,0)-2,33)&lt;&gt;"",INDEX(Tab_DaBa[],MATCH(CONCATENATE(Liste!$C$3,$B$287,$B$513),Data!$BO:$BO,0)-2,38)=""),"Performance Level: "&amp;INDEX(Tab_DaBa[],MATCH(CONCATENATE(Liste!$C$3,$B$287,$B$513),Data!$BO:$BO,0)-2,15),IF(INDEX(Tab_DaBa[],MATCH(CONCATENATE(Liste!$C$3,$B$287,$B$513),Data!$BO:$BO,0)-2,33)&lt;&gt;"","Performance Level: "&amp;INDEX(Tab_DaBa[],MATCH(CONCATENATE(Liste!$C$3,$B$287,$B$513),Data!$BO:$BO,0)-2,40),"")),"")</f>
        <v>Performance Level: PL_Lo02_9</v>
      </c>
      <c r="E526" s="37"/>
      <c r="F526" s="35" t="str">
        <f ca="1">IFERROR(IF(AND(INDEX(Tab_DaBa[],MATCH(CONCATENATE(Liste!$C$3,$B$287,$B$513),Data!$BO:$BO,0)-2,38)&lt;&gt;"",INDEX(Tab_DaBa[],MATCH(CONCATENATE(Liste!$C$3,$B$287,$B$513),Data!$BO:$BO,0)-2,43)=""),"Performance Level: "&amp;INDEX(Tab_DaBa[],MATCH(CONCATENATE(Liste!$C$3,$B$287,$B$513),Data!$BO:$BO,0)-2,15),IF(INDEX(Tab_DaBa[],MATCH(CONCATENATE(Liste!$C$3,$B$287,$B$513),Data!$BO:$BO,0)-2,38)&lt;&gt;"","Performance Level: "&amp;INDEX(Tab_DaBa[],MATCH(CONCATENATE(Liste!$C$3,$B$287,$B$513),Data!$BO:$BO,0)-2,45),"")),"")</f>
        <v>Performance Level: PL_Lo02_09</v>
      </c>
      <c r="G526" s="39"/>
      <c r="H526" s="35" t="str">
        <f ca="1">IFERROR(IF(AND(INDEX(Tab_DaBa[],MATCH(CONCATENATE(Liste!$C$3,$B$287,$B$513),Data!$BO:$BO,0)-2,43)&lt;&gt;"",INDEX(Tab_DaBa[],MATCH(CONCATENATE(Liste!$C$3,$B$287,$B$513),Data!$BO:$BO,0)-2,48)=""),"Performance Level: "&amp;INDEX(Tab_DaBa[],MATCH(CONCATENATE(Liste!$C$3,$B$287,$B$513),Data!$BO:$BO,0)-2,15),IF(INDEX(Tab_DaBa[],MATCH(CONCATENATE(Liste!$C$3,$B$287,$B$513),Data!$BO:$BO,0)-2,43)&lt;&gt;"","Performance Level: "&amp;INDEX(Tab_DaBa[],MATCH(CONCATENATE(Liste!$C$3,$B$287,$B$513),Data!$BO:$BO,0)-2,50),"")),"")</f>
        <v>Performance Level: PL_Lo02_09</v>
      </c>
      <c r="I526" s="39"/>
    </row>
    <row r="527" spans="2:9" s="16" customFormat="1" ht="15.75">
      <c r="B527" s="35" t="str">
        <f ca="1">IFERROR(IF(AND(INDEX(Tab_DaBa[],MATCH(CONCATENATE(Liste!$C$3,$B$287,$B$513),Data!$BO:$BO,0)-2,28)&lt;&gt;"",INDEX(Tab_DaBa[],MATCH(CONCATENATE(Liste!$C$3,$B$287,$B$513),Data!$BO:$BO,0)-2,33)=""),"PFH [1/h] = "&amp;10^9*INDEX(Tab_DaBa[],MATCH(CONCATENATE(Liste!$C$3,$B$287,$B$513),Data!$BO:$BO,0)-2,16)&amp;"E-9",IF(INDEX(Tab_DaBa[],MATCH(CONCATENATE(Liste!$C$3,$B$287,$B$513),Data!$BO:$BO,0)-2,28)&lt;&gt;"","PFH [1/h] = "&amp;10^9*INDEX(Tab_DaBa[],MATCH(CONCATENATE(Liste!$C$3,$B$287,$B$513),Data!$BO:$BO,0)-2,36)&amp;"E-9","")),"")</f>
        <v>PFH [1/h] = 4,19E-9</v>
      </c>
      <c r="C527" s="39"/>
      <c r="D527" s="35" t="str">
        <f ca="1">IFERROR(IF(AND(INDEX(Tab_DaBa[],MATCH(CONCATENATE(Liste!$C$3,$B$287,$B$513),Data!$BO:$BO,0)-2,33)&lt;&gt;"",INDEX(Tab_DaBa[],MATCH(CONCATENATE(Liste!$C$3,$B$287,$B$513),Data!$BO:$BO,0)-2,38)=""),"PFH [1/h] = "&amp;10^9*INDEX(Tab_DaBa[],MATCH(CONCATENATE(Liste!$C$3,$B$287,$B$513),Data!$BO:$BO,0)-2,16)&amp;"E-9",IF(INDEX(Tab_DaBa[],MATCH(CONCATENATE(Liste!$C$3,$B$287,$B$513),Data!$BO:$BO,0)-2,33)&lt;&gt;"","PFH [1/h] = "&amp;10^9*INDEX(Tab_DaBa[],MATCH(CONCATENATE(Liste!$C$3,$B$287,$B$513),Data!$BO:$BO,0)-2,41)&amp;"E-9","")),"")</f>
        <v>PFH [1/h] = 4,19E-9</v>
      </c>
      <c r="E527" s="37"/>
      <c r="F527" s="35" t="str">
        <f ca="1">IFERROR(IF(AND(INDEX(Tab_DaBa[],MATCH(CONCATENATE(Liste!$C$3,$B$287,$B$513),Data!$BO:$BO,0)-2,38)&lt;&gt;"",INDEX(Tab_DaBa[],MATCH(CONCATENATE(Liste!$C$3,$B$287,$B$513),Data!$BO:$BO,0)-2,43)=""),"PFH [1/h] = "&amp;10^9*INDEX(Tab_DaBa[],MATCH(CONCATENATE(Liste!$C$3,$B$287,$B$513),Data!$BO:$BO,0)-2,16)&amp;"E-9",IF(INDEX(Tab_DaBa[],MATCH(CONCATENATE(Liste!$C$3,$B$287,$B$513),Data!$BO:$BO,0)-2,38)&lt;&gt;"","PFH [1/h] = "&amp;10^9*INDEX(Tab_DaBa[],MATCH(CONCATENATE(Liste!$C$3,$B$287,$B$513),Data!$BO:$BO,0)-2,46)&amp;"E-9","")),"")</f>
        <v>PFH [1/h] = 4,19E-9</v>
      </c>
      <c r="G527" s="39"/>
      <c r="H527" s="35" t="str">
        <f ca="1">IFERROR(IF(AND(INDEX(Tab_DaBa[],MATCH(CONCATENATE(Liste!$C$3,$B$287,$B$513),Data!$BO:$BO,0)-2,43)&lt;&gt;"",INDEX(Tab_DaBa[],MATCH(CONCATENATE(Liste!$C$3,$B$287,$B$513),Data!$BO:$BO,0)-2,48)=""),"PFH [1/h] = "&amp;10^9*INDEX(Tab_DaBa[],MATCH(CONCATENATE(Liste!$C$3,$B$287,$B$513),Data!$BO:$BO,0)-2,16)&amp;"E-9",IF(INDEX(Tab_DaBa[],MATCH(CONCATENATE(Liste!$C$3,$B$287,$B$513),Data!$BO:$BO,0)-2,43)&lt;&gt;"","PFH [1/h] = "&amp;10^9*INDEX(Tab_DaBa[],MATCH(CONCATENATE(Liste!$C$3,$B$287,$B$513),Data!$BO:$BO,0)-2,51)&amp;"E-9","")),"")</f>
        <v>PFH [1/h] = 4,19E-9</v>
      </c>
      <c r="I527" s="39"/>
    </row>
    <row r="528" spans="2:9" s="16" customFormat="1">
      <c r="B528" s="33"/>
      <c r="C528" s="33"/>
      <c r="D528" s="33"/>
      <c r="E528" s="33"/>
      <c r="F528" s="33"/>
      <c r="G528" s="33"/>
      <c r="H528" s="33"/>
      <c r="I528" s="33"/>
    </row>
    <row r="529" spans="2:9" s="16" customFormat="1" ht="15.75">
      <c r="B529" s="38">
        <f ca="1">IF(B531="","",6)</f>
        <v>6</v>
      </c>
      <c r="C529" s="33"/>
      <c r="D529" s="38">
        <f ca="1">IF(B531="","",3)</f>
        <v>3</v>
      </c>
      <c r="E529" s="33"/>
      <c r="F529" s="38">
        <f ca="1">IF(B531="","",3)</f>
        <v>3</v>
      </c>
      <c r="G529" s="33"/>
      <c r="H529" s="38">
        <f ca="1">IF(B531="","",3)</f>
        <v>3</v>
      </c>
      <c r="I529" s="33"/>
    </row>
    <row r="530" spans="2:9" s="16" customFormat="1" ht="15.75">
      <c r="B530" s="39"/>
      <c r="C530" s="33"/>
      <c r="D530" s="33"/>
      <c r="E530" s="33"/>
      <c r="F530" s="33"/>
      <c r="G530" s="33"/>
      <c r="H530" s="33"/>
      <c r="I530" s="33"/>
    </row>
    <row r="531" spans="2:9" s="16" customFormat="1" ht="15.75">
      <c r="B531" s="35" t="str">
        <f ca="1">IFERROR(IF(AND(INDEX(Tab_DaBa[],MATCH(CONCATENATE(Liste!$C$3,$B$287,$B$513),Data!$BO:$BO,0)-2,48)&lt;&gt;"",INDEX(Tab_DaBa[],MATCH(CONCATENATE(Liste!$C$3,$B$287,$B$513),Data!$BO:$BO,0)-2,53)=0),INDEX(Tab_DaBa[],MATCH(CONCATENATE(Liste!$C$3,$B$287,$B$513),Data!$BO:$BO,0)-2,14),IF(INDEX(Tab_DaBa[],MATCH(CONCATENATE(Liste!$C$3,$B$287,$B$513),Data!$BO:$BO,0)-2,48)&lt;&gt;"",INDEX(Tab_DaBa[],MATCH(CONCATENATE(Liste!$C$3,$B$287,$B$513),Data!$BO:$BO,0)-2,54),"")),"")</f>
        <v>Logik 08</v>
      </c>
      <c r="C531" s="39"/>
      <c r="D531" s="35" t="str">
        <f ca="1">IFERROR(IF(AND(INDEX(Tab_DaBa[],MATCH(CONCATENATE(Liste!$C$3,$B$287,$B$513),Data!$BO:$BO,0)-2,53)&lt;&gt;"",INDEX(Tab_DaBa[],MATCH(CONCATENATE(Liste!$C$3,$B$287,$B$513),Data!$BO:$BO,0)-2,58)=0),INDEX(Tab_DaBa[],MATCH(CONCATENATE(Liste!$C$3,$B$287,$B$513),Data!$BO:$BO,0)-2,14),IF(INDEX(Tab_DaBa[],MATCH(CONCATENATE(Liste!$C$3,$B$287,$B$513),Data!$BO:$BO,0)-2,53)&lt;&gt;"",INDEX(Tab_DaBa[],MATCH(CONCATENATE(Liste!$C$3,$B$287,$B$513),Data!$BO:$BO,0)-2,59),"")),"")</f>
        <v>Logik 09</v>
      </c>
      <c r="E531" s="33"/>
      <c r="F531" s="35" t="str">
        <f ca="1">IFERROR(IF(AND(INDEX(Tab_DaBa[],MATCH(CONCATENATE(Liste!$C$3,$B$287,$B$513),Data!$BO:$BO,0)-2,58)&lt;&gt;"",INDEX(Tab_DaBa[],MATCH(CONCATENATE(Liste!$C$3,$B$287,$B$513),Data!$BO:$BO,0)-2,63)=0),INDEX(Tab_DaBa[],MATCH(CONCATENATE(Liste!$C$3,$B$287,$B$513),Data!$BO:$BO,0)-2,14),IF(INDEX(Tab_DaBa[],MATCH(CONCATENATE(Liste!$C$3,$B$287,$B$513),Data!$BO:$BO,0)-2,58)&lt;&gt;"",INDEX(Tab_DaBa[],MATCH(CONCATENATE(Liste!$C$3,$B$287,$B$513),Data!$BO:$BO,0)-2,64),"")),"")</f>
        <v>Ausgang</v>
      </c>
      <c r="G531" s="39"/>
      <c r="H531" s="35" t="str">
        <f ca="1">IFERROR(IF(INDEX(Tab_DaBa[],MATCH(CONCATENATE(Liste!$C$3,$B$287,$B$513),Data!$BO:$BO,0)-2,63)&lt;&gt;"",INDEX(Tab_DaBa[],MATCH(CONCATENATE(Liste!$C$3,$B$287,$B$513),Data!$BO:$BO,0)-2,14),""),"")</f>
        <v/>
      </c>
    </row>
    <row r="532" spans="2:9" s="16" customFormat="1" ht="15.75">
      <c r="B532" s="35" t="str">
        <f ca="1">IFERROR(IF(AND(INDEX(Tab_DaBa[],MATCH(CONCATENATE(Liste!$C$3,$B$287,$B$513),Data!$BO:$BO,0)-2,48)&lt;&gt;"",INDEX(Tab_DaBa[],MATCH(CONCATENATE(Liste!$C$3,$B$287,$B$513),Data!$BO:$BO,0)-2,53)=0),INDEX(Tab_DaBa[],MATCH(CONCATENATE(Liste!$C$3,$B$287,$B$513),Data!$BO:$BO,0)-2,12),IF(INDEX(Tab_DaBa[],MATCH(CONCATENATE(Liste!$C$3,$B$287,$B$513),Data!$BO:$BO,0)-2,48)&lt;&gt;"",INDEX(Tab_DaBa[],MATCH(CONCATENATE(Liste!$C$3,$B$287,$B$513),Data!$BO:$BO,0)-2,52),"")),"")</f>
        <v>Lo02-88_09</v>
      </c>
      <c r="C532" s="39"/>
      <c r="D532" s="35" t="str">
        <f ca="1">IFERROR(IF(AND(INDEX(Tab_DaBa[],MATCH(CONCATENATE(Liste!$C$3,$B$287,$B$513),Data!$BO:$BO,0)-2,53)&lt;&gt;"",INDEX(Tab_DaBa[],MATCH(CONCATENATE(Liste!$C$3,$B$287,$B$513),Data!$BO:$BO,0)-2,58)=0),INDEX(Tab_DaBa[],MATCH(CONCATENATE(Liste!$C$3,$B$287,$B$513),Data!$BO:$BO,0)-2,12),IF(INDEX(Tab_DaBa[],MATCH(CONCATENATE(Liste!$C$3,$B$287,$B$513),Data!$BO:$BO,0)-2,53)&lt;&gt;"",INDEX(Tab_DaBa[],MATCH(CONCATENATE(Liste!$C$3,$B$287,$B$513),Data!$BO:$BO,0)-2,57),"")),"")</f>
        <v>Lo02-22_09</v>
      </c>
      <c r="E532" s="37"/>
      <c r="F532" s="35" t="str">
        <f ca="1">IFERROR(IF(AND(INDEX(Tab_DaBa[],MATCH(CONCATENATE(Liste!$C$3,$B$287,$B$513),Data!$BO:$BO,0)-2,58)&lt;&gt;"",INDEX(Tab_DaBa[],MATCH(CONCATENATE(Liste!$C$3,$B$287,$B$513),Data!$BO:$BO,0)-2,63)=0),INDEX(Tab_DaBa[],MATCH(CONCATENATE(Liste!$C$3,$B$287,$B$513),Data!$BO:$BO,0)-2,12),IF(INDEX(Tab_DaBa[],MATCH(CONCATENATE(Liste!$C$3,$B$287,$B$513),Data!$BO:$BO,0)-2,58)&lt;&gt;"",INDEX(Tab_DaBa[],MATCH(CONCATENATE(Liste!$C$3,$B$287,$B$513),Data!$BO:$BO,0)-2,62),"")),"")</f>
        <v>aaaa-22_9</v>
      </c>
      <c r="G532" s="39"/>
      <c r="H532" s="35" t="str">
        <f ca="1">IFERROR(IF(INDEX(Tab_DaBa[],MATCH(CONCATENATE(Liste!$C$3,$B$287,$B$513),Data!$BO:$BO,0)-2,63)&lt;&gt;"",INDEX(Tab_DaBa[],MATCH(CONCATENATE(Liste!$C$3,$B$287,$B$513),Data!$BO:$BO,0)-2,12),""),"")</f>
        <v/>
      </c>
    </row>
    <row r="533" spans="2:9" s="16" customFormat="1" ht="15.75">
      <c r="B533" s="35" t="str">
        <f ca="1">IFERROR(IF(AND(INDEX(Tab_DaBa[],MATCH(CONCATENATE(Liste!$C$3,$B$287,$B$513),Data!$BO:$BO,0)-2,48)&lt;&gt;"",INDEX(Tab_DaBa[],MATCH(CONCATENATE(Liste!$C$3,$B$287,$B$513),Data!$BO:$BO,0)-2,53)=""),INDEX(Tab_DaBa[],MATCH(CONCATENATE(Liste!$C$3,$B$287,$B$513),Data!$BO:$BO,0)-2,13),IF(INDEX(Tab_DaBa[],MATCH(CONCATENATE(Liste!$C$3,$B$287,$B$513),Data!$BO:$BO,0)-2,48)&lt;&gt;"",INDEX(Tab_DaBa[],MATCH(CONCATENATE(Liste!$C$3,$B$287,$B$513),Data!$BO:$BO,0)-2,53),"")),"")</f>
        <v>Bez_Lo02_09</v>
      </c>
      <c r="C533" s="38">
        <f ca="1">IF(D531="","",4)</f>
        <v>4</v>
      </c>
      <c r="D533" s="35" t="str">
        <f ca="1">IFERROR(IF(AND(INDEX(Tab_DaBa[],MATCH(CONCATENATE(Liste!$C$3,$B$287,$B$513),Data!$BO:$BO,0)-2,53)&lt;&gt;"",INDEX(Tab_DaBa[],MATCH(CONCATENATE(Liste!$C$3,$B$287,$B$513),Data!$BO:$BO,0)-2,58)=""),INDEX(Tab_DaBa[],MATCH(CONCATENATE(Liste!$C$3,$B$287,$B$513),Data!$BO:$BO,0)-2,13),IF(INDEX(Tab_DaBa[],MATCH(CONCATENATE(Liste!$C$3,$B$287,$B$513),Data!$BO:$BO,0)-2,53)&lt;&gt;"",INDEX(Tab_DaBa[],MATCH(CONCATENATE(Liste!$C$3,$B$287,$B$513),Data!$BO:$BO,0)-2,58),"")),"")</f>
        <v>Bez_Lo02_09</v>
      </c>
      <c r="E533" s="38">
        <f ca="1">IF(F531="","",4)</f>
        <v>4</v>
      </c>
      <c r="F533" s="35" t="str">
        <f ca="1">IFERROR(IF(AND(INDEX(Tab_DaBa[],MATCH(CONCATENATE(Liste!$C$3,$B$287,$B$513),Data!$BO:$BO,0)-2,58)&lt;&gt;"",INDEX(Tab_DaBa[],MATCH(CONCATENATE(Liste!$C$3,$B$287,$B$513),Data!$BO:$BO,0)-2,63)=""),INDEX(Tab_DaBa[],MATCH(CONCATENATE(Liste!$C$3,$B$287,$B$513),Data!$BO:$BO,0)-2,13),IF(INDEX(Tab_DaBa[],MATCH(CONCATENATE(Liste!$C$3,$B$287,$B$513),Data!$BO:$BO,0)-2,58)&lt;&gt;"",INDEX(Tab_DaBa[],MATCH(CONCATENATE(Liste!$C$3,$B$287,$B$513),Data!$BO:$BO,0)-2,63),"")),"")</f>
        <v>Bez_Aus2_9</v>
      </c>
      <c r="G533" s="38" t="str">
        <f ca="1">IF(H531="","",4)</f>
        <v/>
      </c>
      <c r="H533" s="35" t="str">
        <f ca="1">IFERROR(IF(INDEX(Tab_DaBa[],MATCH(CONCATENATE(Liste!$C$3,$B$287,$B$513),Data!$BO:$BO,0)-2,63)&lt;&gt;"",INDEX(Tab_DaBa[],MATCH(CONCATENATE(Liste!$C$3,$B$287,$B$513),Data!$BO:$BO,0)-2,13),""),"")</f>
        <v/>
      </c>
    </row>
    <row r="534" spans="2:9" s="16" customFormat="1" ht="15.75">
      <c r="B534" s="35" t="str">
        <f ca="1">IFERROR(IF(AND(INDEX(Tab_DaBa[],MATCH(CONCATENATE(Liste!$C$3,$B$287,$B$513),Data!$BO:$BO,0)-2,48)&lt;&gt;"",INDEX(Tab_DaBa[],MATCH(CONCATENATE(Liste!$C$3,$B$287,$B$513),Data!$BO:$BO,0)-2,53)=""),"Performance Level: "&amp;INDEX(Tab_DaBa[],MATCH(CONCATENATE(Liste!$C$3,$B$287,$B$513),Data!$BO:$BO,0)-2,15),IF(INDEX(Tab_DaBa[],MATCH(CONCATENATE(Liste!$C$3,$B$287,$B$513),Data!$BO:$BO,0)-2,48)&lt;&gt;"","Performance Level: "&amp;INDEX(Tab_DaBa[],MATCH(CONCATENATE(Liste!$C$3,$B$287,$B$513),Data!$BO:$BO,0)-2,55),"")),"")</f>
        <v>Performance Level: PL_Lo02_09</v>
      </c>
      <c r="C534" s="39"/>
      <c r="D534" s="35" t="str">
        <f ca="1">IFERROR(IF(AND(INDEX(Tab_DaBa[],MATCH(CONCATENATE(Liste!$C$3,$B$287,$B$513),Data!$BO:$BO,0)-2,53)&lt;&gt;"",INDEX(Tab_DaBa[],MATCH(CONCATENATE(Liste!$C$3,$B$287,$B$513),Data!$BO:$BO,0)-2,58)=""),"Performance Level: "&amp;INDEX(Tab_DaBa[],MATCH(CONCATENATE(Liste!$C$3,$B$287,$B$513),Data!$BO:$BO,0)-2,15),IF(INDEX(Tab_DaBa[],MATCH(CONCATENATE(Liste!$C$3,$B$287,$B$513),Data!$BO:$BO,0)-2,53)&lt;&gt;"","Performance Level: "&amp;INDEX(Tab_DaBa[],MATCH(CONCATENATE(Liste!$C$3,$B$287,$B$513),Data!$BO:$BO,0)-2,60),"")),"")</f>
        <v>Performance Level: PL_Lo02_09</v>
      </c>
      <c r="E534" s="37"/>
      <c r="F534" s="35" t="str">
        <f ca="1">IFERROR(IF(AND(INDEX(Tab_DaBa[],MATCH(CONCATENATE(Liste!$C$3,$B$287,$B$513),Data!$BO:$BO,0)-2,58)&lt;&gt;"",INDEX(Tab_DaBa[],MATCH(CONCATENATE(Liste!$C$3,$B$287,$B$513),Data!$BO:$BO,0)-2,63)=""),"Performance Level: "&amp;INDEX(Tab_DaBa[],MATCH(CONCATENATE(Liste!$C$3,$B$287,$B$513),Data!$BO:$BO,0)-2,15),IF(INDEX(Tab_DaBa[],MATCH(CONCATENATE(Liste!$C$3,$B$287,$B$513),Data!$BO:$BO,0)-2,58)&lt;&gt;"","Performance Level: "&amp;INDEX(Tab_DaBa[],MATCH(CONCATENATE(Liste!$C$3,$B$287,$B$513),Data!$BO:$BO,0)-2,65),"")),"")</f>
        <v>Performance Level: PL_Aus2_9</v>
      </c>
      <c r="G534" s="39"/>
      <c r="H534" s="35" t="str">
        <f ca="1">IFERROR(IF(INDEX(Tab_DaBa[],MATCH(CONCATENATE(Liste!$C$3,$B$287,$B$513),Data!$BO:$BO,0)-2,63)&lt;&gt;"","Performance Level: "&amp;INDEX(Tab_DaBa[],MATCH(CONCATENATE(Liste!$C$3,$B$287,$B$513),Data!$BO:$BO,0)-2,15),""),"")</f>
        <v/>
      </c>
    </row>
    <row r="535" spans="2:9" s="16" customFormat="1" ht="15.75">
      <c r="B535" s="35" t="str">
        <f ca="1">IFERROR(IF(AND(INDEX(Tab_DaBa[],MATCH(CONCATENATE(Liste!$C$3,$B$287,$B$513),Data!$BO:$BO,0)-2,48)&lt;&gt;"",INDEX(Tab_DaBa[],MATCH(CONCATENATE(Liste!$C$3,$B$287,$B$513),Data!$BO:$BO,0)-2,53)=""),"PFH [1/h] = "&amp;10^9*INDEX(Tab_DaBa[],MATCH(CONCATENATE(Liste!$C$3,$B$287,$B$513),Data!$BO:$BO,0)-2,16)&amp;"E-9",IF(INDEX(Tab_DaBa[],MATCH(CONCATENATE(Liste!$C$3,$B$287,$B$513),Data!$BO:$BO,0)-2,48)&lt;&gt;"","PFH [1/h] = "&amp;10^9*INDEX(Tab_DaBa[],MATCH(CONCATENATE(Liste!$C$3,$B$287,$B$513),Data!$BO:$BO,0)-2,56)&amp;"E-9","")),"")</f>
        <v>PFH [1/h] = 4,19E-9</v>
      </c>
      <c r="C535" s="39"/>
      <c r="D535" s="35" t="str">
        <f ca="1">IFERROR(IF(AND(INDEX(Tab_DaBa[],MATCH(CONCATENATE(Liste!$C$3,$B$287,$B$513),Data!$BO:$BO,0)-2,53)&lt;&gt;"",INDEX(Tab_DaBa[],MATCH(CONCATENATE(Liste!$C$3,$B$287,$B$513),Data!$BO:$BO,0)-2,58)=""),"PFH [1/h] = "&amp;10^9*INDEX(Tab_DaBa[],MATCH(CONCATENATE(Liste!$C$3,$B$287,$B$513),Data!$BO:$BO,0)-2,16)&amp;"E-9",IF(INDEX(Tab_DaBa[],MATCH(CONCATENATE(Liste!$C$3,$B$287,$B$513),Data!$BO:$BO,0)-2,53)&lt;&gt;"","PFH [1/h] = "&amp;10^9*INDEX(Tab_DaBa[],MATCH(CONCATENATE(Liste!$C$3,$B$287,$B$513),Data!$BO:$BO,0)-2,61)&amp;"E-9","")),"")</f>
        <v>PFH [1/h] = 4,19E-9</v>
      </c>
      <c r="E535" s="37"/>
      <c r="F535" s="35" t="str">
        <f ca="1">IFERROR(IF(AND(INDEX(Tab_DaBa[],MATCH(CONCATENATE(Liste!$C$3,$B$287,$B$513),Data!$BO:$BO,0)-2,58)&lt;&gt;"",INDEX(Tab_DaBa[],MATCH(CONCATENATE(Liste!$C$3,$B$287,$B$513),Data!$BO:$BO,0)-2,63)=""),"PFH [1/h] = "&amp;10^9*INDEX(Tab_DaBa[],MATCH(CONCATENATE(Liste!$C$3,$B$287,$B$513),Data!$BO:$BO,0)-2,16)&amp;"E-9",IF(INDEX(Tab_DaBa[],MATCH(CONCATENATE(Liste!$C$3,$B$287,$B$513),Data!$BO:$BO,0)-2,58)&lt;&gt;"","PFH [1/h] = "&amp;10^9*INDEX(Tab_DaBa[],MATCH(CONCATENATE(Liste!$C$3,$B$287,$B$513),Data!$BO:$BO,0)-2,66)&amp;"E-9","")),"")</f>
        <v>PFH [1/h] = 24,7E-9</v>
      </c>
      <c r="G535" s="39"/>
      <c r="H535" s="35" t="str">
        <f ca="1">IFERROR(IF(INDEX(Tab_DaBa[],MATCH(CONCATENATE(Liste!$C$3,$B$287,$B$513),Data!$BO:$BO,0)-2,63)&lt;&gt;"","PFH [1/h] = "&amp;10^9*INDEX(Tab_DaBa[],MATCH(CONCATENATE(Liste!$C$3,$B$287,$B$513),Data!$BO:$BO,0)-2,16)&amp;"E-9",""),"")</f>
        <v/>
      </c>
    </row>
    <row r="536" spans="2:9" s="16" customFormat="1"/>
    <row r="537" spans="2:9" s="16" customFormat="1">
      <c r="B537" s="43" t="str">
        <f ca="1">IF(D537="","","Erforderlich")</f>
        <v>Erforderlich</v>
      </c>
      <c r="D537" s="44" t="str">
        <f ca="1">IFERROR("Performance Level: "&amp;INDEX(Tab_DaBa[],MATCH(CONCATENATE(Liste!$C$3,$B$287,$B$513),Data!$BO:$BO,0)-2,4),"")</f>
        <v>Performance Level: PLr_ges2_9</v>
      </c>
    </row>
    <row r="538" spans="2:9" s="16" customFormat="1">
      <c r="B538" s="45"/>
    </row>
    <row r="539" spans="2:9" s="16" customFormat="1">
      <c r="B539" s="46" t="str">
        <f ca="1">IF(D539="","","Erreicht")</f>
        <v>Erreicht</v>
      </c>
      <c r="D539" s="47" t="str">
        <f ca="1">IFERROR("Performance Level: "&amp;INDEX(Tab_DaBa[],MATCH(CONCATENATE(Liste!$C$3,$B$287,$B$513),Data!$BO:$BO,0)-2,5)&amp;"          PFH [1/h] = "&amp;10^9*INDEX(Tab_DaBa[],MATCH(CONCATENATE(Liste!$C$3,$B$287,$B$513),Data!$BO:$BO,0)-2,6)&amp;"E-9","")</f>
        <v>Performance Level: Pl_ges2_9          PFH [1/h] = 71,7E-9</v>
      </c>
    </row>
    <row r="540" spans="2:9" s="16" customFormat="1">
      <c r="B540" s="50"/>
      <c r="C540" s="49"/>
      <c r="D540" s="49"/>
    </row>
    <row r="541" spans="2:9" s="16" customFormat="1">
      <c r="B541" s="42" t="str">
        <f ca="1">IFERROR(IF(10&gt;COUNTIF(Data!$BP:$BP,CONCATENATE(Liste!$C$3,$B$287)),"",INDEX(Tab_DaBa[],MATCH(CONCATENATE(Liste!$C$3,$B$287),Data!$BP:$BP,0)+7,3)),"")</f>
        <v>2.10 test2 (E+10L+A)</v>
      </c>
    </row>
    <row r="542" spans="2:9" s="16" customFormat="1"/>
    <row r="543" spans="2:9" s="16" customFormat="1" ht="15.75">
      <c r="B543" s="35" t="str">
        <f ca="1">IFERROR(INDEX(Tab_DaBa[],MATCH(CONCATENATE(Liste!$C$3,$B$287,$B$541),Data!$BO:$BO,0)-2,9),"")</f>
        <v>Eingang</v>
      </c>
      <c r="C543" s="54"/>
      <c r="D543" s="35" t="str">
        <f ca="1">IFERROR(IF(INDEX(Tab_DaBa[],MATCH(CONCATENATE(Liste!$C$3,$B$287,$B$541),Data!$BO:$BO,0)-2,18)=0,INDEX(Tab_DaBa[],MATCH(CONCATENATE(Liste!$C$3,$B$287,$B$541),Data!$BO:$BO,0)-2,14),INDEX(Tab_DaBa[],MATCH(CONCATENATE(Liste!$C$3,$B$287,$B$541),Data!$BO:$BO,0)-2,19)),"")</f>
        <v>Logik 01</v>
      </c>
      <c r="E543" s="33"/>
      <c r="F543" s="35" t="str">
        <f ca="1">IFERROR(IF(AND(INDEX(Tab_DaBa[],MATCH(CONCATENATE(Liste!$C$3,$B$287,$B$541),Data!$BO:$BO,0)-2,18)&lt;&gt;"",INDEX(Tab_DaBa[],MATCH(CONCATENATE(Liste!$C$3,$B$287,$B$541),Data!$BO:$BO,0)-2,23)=0),INDEX(Tab_DaBa[],MATCH(CONCATENATE(Liste!$C$3,$B$287,$B$541),Data!$BO:$BO,0)-2,14),IF(INDEX(Tab_DaBa[],MATCH(CONCATENATE(Liste!$C$3,$B$287,$B$541),Data!$BO:$BO,0)-2,23)&lt;&gt;"",INDEX(Tab_DaBa[],MATCH(CONCATENATE(Liste!$C$3,$B$287,$B$541),Data!$BO:$BO,0)-2,24),"")),"")</f>
        <v>Logik 02</v>
      </c>
      <c r="G543" s="39"/>
      <c r="H543" s="35" t="str">
        <f ca="1">IFERROR(IF(AND(INDEX(Tab_DaBa[],MATCH(CONCATENATE(Liste!$C$3,$B$287,$B$541),Data!$BO:$BO,0)-2,23)&lt;&gt;"",INDEX(Tab_DaBa[],MATCH(CONCATENATE(Liste!$C$3,$B$287,$B$541),Data!$BO:$BO,0)-2,28)=0),INDEX(Tab_DaBa[],MATCH(CONCATENATE(Liste!$C$3,$B$287,$B$541),Data!$BO:$BO,0)-2,14),IF(INDEX(Tab_DaBa[],MATCH(CONCATENATE(Liste!$C$3,$B$287,$B$541),Data!$BO:$BO,0)-2,23)&lt;&gt;"",INDEX(Tab_DaBa[],MATCH(CONCATENATE(Liste!$C$3,$B$287,$B$541),Data!$BO:$BO,0)-2,29),"")),"")</f>
        <v>Logik 03</v>
      </c>
      <c r="I543" s="39"/>
    </row>
    <row r="544" spans="2:9" s="16" customFormat="1" ht="15.75">
      <c r="B544" s="35" t="str">
        <f ca="1">IFERROR(INDEX(Tab_DaBa[],MATCH(CONCATENATE(Liste!$C$3,$B$287,$B$541),Data!$BO:$BO,0)-2,7),"")</f>
        <v>eeee-22_10</v>
      </c>
      <c r="C544" s="54"/>
      <c r="D544" s="35" t="str">
        <f ca="1">IFERROR(IF(INDEX(Tab_DaBa[],MATCH(CONCATENATE(Liste!$C$3,$B$287,$B$541),Data!$BO:$BO,0)-2,18)="",INDEX(Tab_DaBa[],MATCH(CONCATENATE(Liste!$C$3,$B$287,$B$541),Data!$BO:$BO,0)-2,12),INDEX(Tab_DaBa[],MATCH(CONCATENATE(Liste!$C$3,$B$287,$B$541),Data!$BO:$BO,0)-2,17)),"")</f>
        <v>Log02-02_10</v>
      </c>
      <c r="E544" s="36"/>
      <c r="F544" s="35" t="str">
        <f ca="1">IFERROR(IF(AND(INDEX(Tab_DaBa[],MATCH(CONCATENATE(Liste!$C$3,$B$287,$B$541),Data!$BO:$BO,0)-2,18)&lt;&gt;"",INDEX(Tab_DaBa[],MATCH(CONCATENATE(Liste!$C$3,$B$287,$B$541),Data!$BO:$BO,0)-2,23)=0),INDEX(Tab_DaBa[],MATCH(CONCATENATE(Liste!$C$3,$B$287,$B$541),Data!$BO:$BO,0)-2,12),IF(INDEX(Tab_DaBa[],MATCH(CONCATENATE(Liste!$C$3,$B$287,$B$541),Data!$BO:$BO,0)-2,23)&lt;&gt;"",INDEX(Tab_DaBa[],MATCH(CONCATENATE(Liste!$C$3,$B$287,$B$541),Data!$BO:$BO,0)-2,22),"")),"")</f>
        <v>Lo02-22_10</v>
      </c>
      <c r="G544" s="39"/>
      <c r="H544" s="35" t="str">
        <f ca="1">IFERROR(IF(AND(INDEX(Tab_DaBa[],MATCH(CONCATENATE(Liste!$C$3,$B$287,$B$541),Data!$BO:$BO,0)-2,23)&lt;&gt;"",INDEX(Tab_DaBa[],MATCH(CONCATENATE(Liste!$C$3,$B$287,$B$541),Data!$BO:$BO,0)-2,28)=0),INDEX(Tab_DaBa[],MATCH(CONCATENATE(Liste!$C$3,$B$287,$B$541),Data!$BO:$BO,0)-2,12),IF(INDEX(Tab_DaBa[],MATCH(CONCATENATE(Liste!$C$3,$B$287,$B$541),Data!$BO:$BO,0)-2,23)&lt;&gt;"",INDEX(Tab_DaBa[],MATCH(CONCATENATE(Liste!$C$3,$B$287,$B$541),Data!$BO:$BO,0)-2,27),"")),"")</f>
        <v>Lo02-22_10</v>
      </c>
      <c r="I544" s="39"/>
    </row>
    <row r="545" spans="2:9" s="16" customFormat="1" ht="15.75">
      <c r="B545" s="35" t="str">
        <f ca="1">IFERROR(INDEX(Tab_DaBa[],MATCH(CONCATENATE(Liste!$C$3,$B$287,$B$541),Data!$BO:$BO,0)-2,8),"")</f>
        <v>Bez_Ein2_10</v>
      </c>
      <c r="C545" s="40">
        <f ca="1">IF(D543="","",4)</f>
        <v>4</v>
      </c>
      <c r="D545" s="35" t="str">
        <f ca="1">IFERROR(IF(INDEX(Tab_DaBa[],MATCH(CONCATENATE(Liste!$C$3,$B$287,$B$541),Data!$BO:$BO,0)-2,18)="",INDEX(Tab_DaBa[],MATCH(CONCATENATE(Liste!$C$3,$B$287,$B$541),Data!$BO:$BO,0)-2,13),INDEX(Tab_DaBa[],MATCH(CONCATENATE(Liste!$C$3,$B$287,$B$541),Data!$BO:$BO,0)-2,18)),"")</f>
        <v>Bez_Log01_02_10</v>
      </c>
      <c r="E545" s="40">
        <f ca="1">IF(F543="","",4)</f>
        <v>4</v>
      </c>
      <c r="F545" s="35" t="str">
        <f ca="1">IFERROR(IF(AND(INDEX(Tab_DaBa[],MATCH(CONCATENATE(Liste!$C$3,$B$287,$B$541),Data!$BO:$BO,0)-2,18)&lt;&gt;"",INDEX(Tab_DaBa[],MATCH(CONCATENATE(Liste!$C$3,$B$287,$B$541),Data!$BO:$BO,0)-2,23)=""),INDEX(Tab_DaBa[],MATCH(CONCATENATE(Liste!$C$3,$B$287,$B$541),Data!$BO:$BO,0)-2,13),IF(INDEX(Tab_DaBa[],MATCH(CONCATENATE(Liste!$C$3,$B$287,$B$541),Data!$BO:$BO,0)-2,23)&lt;&gt;"",INDEX(Tab_DaBa[],MATCH(CONCATENATE(Liste!$C$3,$B$287,$B$541),Data!$BO:$BO,0)-2,23),"")),"")</f>
        <v>Bez_Lo02_10</v>
      </c>
      <c r="G545" s="38">
        <f ca="1">IF(H543="","",4)</f>
        <v>4</v>
      </c>
      <c r="H545" s="35" t="str">
        <f ca="1">IFERROR(IF(AND(INDEX(Tab_DaBa[],MATCH(CONCATENATE(Liste!$C$3,$B$287,$B$541),Data!$BO:$BO,0)-2,23)&lt;&gt;"",INDEX(Tab_DaBa[],MATCH(CONCATENATE(Liste!$C$3,$B$287,$B$541),Data!$BO:$BO,0)-2,28)=""),INDEX(Tab_DaBa[],MATCH(CONCATENATE(Liste!$C$3,$B$287,$B$541),Data!$BO:$BO,0)-2,13),IF(INDEX(Tab_DaBa[],MATCH(CONCATENATE(Liste!$C$3,$B$287,$B$541),Data!$BO:$BO,0)-2,23)&lt;&gt;"",INDEX(Tab_DaBa[],MATCH(CONCATENATE(Liste!$C$3,$B$287,$B$541),Data!$BO:$BO,0)-2,28),"")),"")</f>
        <v>Bez_Lo02_10</v>
      </c>
      <c r="I545" s="38">
        <f ca="1">IF(B551="","",6)</f>
        <v>6</v>
      </c>
    </row>
    <row r="546" spans="2:9" s="16" customFormat="1" ht="15.75">
      <c r="B546" s="35" t="str">
        <f ca="1">IFERROR("Performance Level: "&amp;INDEX(Tab_DaBa[],MATCH(CONCATENATE(Liste!$C$3,$B$287,$B$541),Data!$BO:$BO,0)-2,10),"")</f>
        <v>Performance Level: PL_Ein2_10</v>
      </c>
      <c r="C546" s="54"/>
      <c r="D546" s="35" t="str">
        <f ca="1">IFERROR(IF(INDEX(Tab_DaBa[],MATCH(CONCATENATE(Liste!$C$3,$B$287,$B$541),Data!$BO:$BO,0)-2,18)="","Performance Level: "&amp;INDEX(Tab_DaBa[],MATCH(CONCATENATE(Liste!$C$3,$B$287,$B$541),Data!$BO:$BO,0)-2,15),"Performance Level: "&amp;INDEX(Tab_DaBa[],MATCH(CONCATENATE(Liste!$C$3,$B$287,$B$541),Data!$BO:$BO,0)-2,20)),"")</f>
        <v>Performance Level: PL_Lo02_10</v>
      </c>
      <c r="E546" s="36"/>
      <c r="F546" s="35" t="str">
        <f ca="1">IFERROR(IF(AND(INDEX(Tab_DaBa[],MATCH(CONCATENATE(Liste!$C$3,$B$287,$B$541),Data!$BO:$BO,0)-2,18)&lt;&gt;"",INDEX(Tab_DaBa[],MATCH(CONCATENATE(Liste!$C$3,$B$287,$B$541),Data!$BO:$BO,0)-2,23)=""),"Performance Level: "&amp;INDEX(Tab_DaBa[],MATCH(CONCATENATE(Liste!$C$3,$B$287,$B$541),Data!$BO:$BO,0)-2,15),IF(INDEX(Tab_DaBa[],MATCH(CONCATENATE(Liste!$C$3,$B$287,$B$541),Data!$BO:$BO,0)-2,23)&lt;&gt;"","Performance Level: "&amp;INDEX(Tab_DaBa[],MATCH(CONCATENATE(Liste!$C$3,$B$287,$B$541),Data!$BO:$BO,0)-2,25),"")),"")</f>
        <v>Performance Level: PL_Lo02_10</v>
      </c>
      <c r="G546" s="39"/>
      <c r="H546" s="35" t="str">
        <f ca="1">IFERROR(IF(AND(INDEX(Tab_DaBa[],MATCH(CONCATENATE(Liste!$C$3,$B$287,$B$541),Data!$BO:$BO,0)-2,23)&lt;&gt;"",INDEX(Tab_DaBa[],MATCH(CONCATENATE(Liste!$C$3,$B$287,$B$541),Data!$BO:$BO,0)-2,28)=""),"Performance Level: "&amp;INDEX(Tab_DaBa[],MATCH(CONCATENATE(Liste!$C$3,$B$287,$B$541),Data!$BO:$BO,0)-2,15),IF(INDEX(Tab_DaBa[],MATCH(CONCATENATE(Liste!$C$3,$B$287,$B$541),Data!$BO:$BO,0)-2,23)&lt;&gt;"","Performance Level: "&amp;INDEX(Tab_DaBa[],MATCH(CONCATENATE(Liste!$C$3,$B$287,$B$541),Data!$BO:$BO,0)-2,30),"")),"")</f>
        <v>Performance Level: PL_Lo02_10</v>
      </c>
      <c r="I546" s="38"/>
    </row>
    <row r="547" spans="2:9" s="16" customFormat="1" ht="15.75">
      <c r="B547" s="53" t="str">
        <f ca="1">IFERROR("PFH [1/h] = "&amp;10^9*INDEX(Tab_DaBa[],MATCH(CONCATENATE(Liste!$C$3,$B$287,$B$541),Data!$BO:$BO,0)-2,11)&amp;"E-9","")</f>
        <v>PFH [1/h] = 42,9E-9</v>
      </c>
      <c r="C547" s="54"/>
      <c r="D547" s="35" t="str">
        <f ca="1">IFERROR(IF(INDEX(Tab_DaBa[],MATCH(CONCATENATE(Liste!$C$3,$B$287,$B$541),Data!$BO:$BO,0)-2,18)="","PFH [1/h] = "&amp;10^9*INDEX(Tab_DaBa[],MATCH(CONCATENATE(Liste!$C$3,$B$287,$B$541),Data!$BO:$BO,0)-2,16)&amp;"E-9","PFH [1/h] = "&amp;10^9*INDEX(Tab_DaBa[],MATCH(CONCATENATE(Liste!$C$3,$B$287,$B$541),Data!$BO:$BO,0)-2,21)&amp;"E-9"),"")</f>
        <v>PFH [1/h] = 4,19E-9</v>
      </c>
      <c r="E547" s="36"/>
      <c r="F547" s="35" t="str">
        <f ca="1">IFERROR(IF(AND(INDEX(Tab_DaBa[],MATCH(CONCATENATE(Liste!$C$3,$B$287,$B$541),Data!$BO:$BO,0)-2,18)&lt;&gt;"",INDEX(Tab_DaBa[],MATCH(CONCATENATE(Liste!$C$3,$B$287,$B$541),Data!$BO:$BO,0)-2,23)=""),"PFH [1/h] = "&amp;10^9*INDEX(Tab_DaBa[],MATCH(CONCATENATE(Liste!$C$3,$B$287,$B$541),Data!$BO:$BO,0)-2,16)&amp;"E-9",IF(INDEX(Tab_DaBa[],MATCH(CONCATENATE(Liste!$C$3,$B$287,$B$541),Data!$BO:$BO,0)-2,23)&lt;&gt;"","PFH [1/h] = "&amp;10^9*INDEX(Tab_DaBa[],MATCH(CONCATENATE(Liste!$C$3,$B$287,$B$541),Data!$BO:$BO,0)-2,26)&amp;"E-9","")),"")</f>
        <v>PFH [1/h] = 4,19E-9</v>
      </c>
      <c r="G547" s="39"/>
      <c r="H547" s="35" t="str">
        <f ca="1">IFERROR(IF(AND(INDEX(Tab_DaBa[],MATCH(CONCATENATE(Liste!$C$3,$B$287,$B$541),Data!$BO:$BO,0)-2,23)&lt;&gt;"",INDEX(Tab_DaBa[],MATCH(CONCATENATE(Liste!$C$3,$B$287,$B$541),Data!$BO:$BO,0)-2,28)=""),"PFH [1/h] = "&amp;10^9*INDEX(Tab_DaBa[],MATCH(CONCATENATE(Liste!$C$3,$B$287,$B$541),Data!$BO:$BO,0)-2,16)&amp;"E-9",IF(INDEX(Tab_DaBa[],MATCH(CONCATENATE(Liste!$C$3,$B$287,$B$541),Data!$BO:$BO,0)-2,23)&lt;&gt;"","PFH [1/h] = "&amp;10^9*INDEX(Tab_DaBa[],MATCH(CONCATENATE(Liste!$C$3,$B$287,$B$541),Data!$BO:$BO,0)-2,31)&amp;"E-9","")),"")</f>
        <v>PFH [1/h] = 4,19E-9</v>
      </c>
      <c r="I547" s="39"/>
    </row>
    <row r="548" spans="2:9" s="16" customFormat="1">
      <c r="B548" s="33"/>
      <c r="C548" s="34"/>
      <c r="D548" s="33"/>
      <c r="E548" s="33"/>
      <c r="F548" s="33"/>
      <c r="G548" s="33"/>
      <c r="H548" s="33"/>
      <c r="I548" s="33"/>
    </row>
    <row r="549" spans="2:9" s="16" customFormat="1" ht="15.75">
      <c r="B549" s="38">
        <f ca="1">IF(B551="","",6)</f>
        <v>6</v>
      </c>
      <c r="C549" s="34"/>
      <c r="D549" s="38">
        <f ca="1">IF(B551="","",3)</f>
        <v>3</v>
      </c>
      <c r="E549" s="33"/>
      <c r="F549" s="38">
        <f ca="1">IF(B551="","",3)</f>
        <v>3</v>
      </c>
      <c r="G549" s="33"/>
      <c r="H549" s="38">
        <f ca="1">IF(B551="","",3)</f>
        <v>3</v>
      </c>
      <c r="I549" s="33"/>
    </row>
    <row r="550" spans="2:9" s="16" customFormat="1" ht="15.75">
      <c r="B550" s="39"/>
      <c r="C550" s="33"/>
      <c r="D550" s="33"/>
      <c r="E550" s="33"/>
      <c r="F550" s="33"/>
      <c r="G550" s="33"/>
      <c r="H550" s="33"/>
      <c r="I550" s="33"/>
    </row>
    <row r="551" spans="2:9" s="16" customFormat="1" ht="15.75">
      <c r="B551" s="35" t="str">
        <f ca="1">IFERROR(IF(AND(INDEX(Tab_DaBa[],MATCH(CONCATENATE(Liste!$C$3,$B$287,$B$541),Data!$BO:$BO,0)-2,28)&lt;&gt;"",INDEX(Tab_DaBa[],MATCH(CONCATENATE(Liste!$C$3,$B$287,$B$541),Data!$BO:$BO,0)-2,33)=0),INDEX(Tab_DaBa[],MATCH(CONCATENATE(Liste!$C$3,$B$287,$B$541),Data!$BO:$BO,0)-2,14),IF(INDEX(Tab_DaBa[],MATCH(CONCATENATE(Liste!$C$3,$B$287,$B$541),Data!$BO:$BO,0)-2,28)&lt;&gt;"",INDEX(Tab_DaBa[],MATCH(CONCATENATE(Liste!$C$3,$B$287,$B$541),Data!$BO:$BO,0)-2,34),"")),"")</f>
        <v>Logik 04</v>
      </c>
      <c r="C551" s="39"/>
      <c r="D551" s="35" t="str">
        <f ca="1">IFERROR(IF(AND(INDEX(Tab_DaBa[],MATCH(CONCATENATE(Liste!$C$3,$B$287,$B$541),Data!$BO:$BO,0)-2,33)&lt;&gt;"",INDEX(Tab_DaBa[],MATCH(CONCATENATE(Liste!$C$3,$B$287,$B$541),Data!$BO:$BO,0)-2,38)=0),INDEX(Tab_DaBa[],MATCH(CONCATENATE(Liste!$C$3,$B$287,$B$541),Data!$BO:$BO,0)-2,14),IF(INDEX(Tab_DaBa[],MATCH(CONCATENATE(Liste!$C$3,$B$287,$B$541),Data!$BO:$BO,0)-2,33)&lt;&gt;"",INDEX(Tab_DaBa[],MATCH(CONCATENATE(Liste!$C$3,$B$287,$B$541),Data!$BO:$BO,0)-2,39),"")),"")</f>
        <v>Logik 08</v>
      </c>
      <c r="E551" s="33"/>
      <c r="F551" s="35" t="str">
        <f ca="1">IFERROR(IF(AND(INDEX(Tab_DaBa[],MATCH(CONCATENATE(Liste!$C$3,$B$287,$B$541),Data!$BO:$BO,0)-2,38)&lt;&gt;"",INDEX(Tab_DaBa[],MATCH(CONCATENATE(Liste!$C$3,$B$287,$B$541),Data!$BO:$BO,0)-2,43)=0),INDEX(Tab_DaBa[],MATCH(CONCATENATE(Liste!$C$3,$B$287,$B$541),Data!$BO:$BO,0)-2,14),IF(INDEX(Tab_DaBa[],MATCH(CONCATENATE(Liste!$C$3,$B$287,$B$541),Data!$BO:$BO,0)-2,38)&lt;&gt;"",INDEX(Tab_DaBa[],MATCH(CONCATENATE(Liste!$C$3,$B$287,$B$541),Data!$BO:$BO,0)-2,44),"")),"")</f>
        <v>Logik 06</v>
      </c>
      <c r="G551" s="39"/>
      <c r="H551" s="35" t="str">
        <f ca="1">IFERROR(IF(AND(INDEX(Tab_DaBa[],MATCH(CONCATENATE(Liste!$C$3,$B$287,$B$541),Data!$BO:$BO,0)-2,43)&lt;&gt;"",INDEX(Tab_DaBa[],MATCH(CONCATENATE(Liste!$C$3,$B$287,$B$541),Data!$BO:$BO,0)-2,48)=0),INDEX(Tab_DaBa[],MATCH(CONCATENATE(Liste!$C$3,$B$287,$B$541),Data!$BO:$BO,0)-2,14),IF(INDEX(Tab_DaBa[],MATCH(CONCATENATE(Liste!$C$3,$B$287,$B$541),Data!$BO:$BO,0)-2,43)&lt;&gt;"",INDEX(Tab_DaBa[],MATCH(CONCATENATE(Liste!$C$3,$B$287,$B$541),Data!$BO:$BO,0)-2,49),"")),"")</f>
        <v>Logik 07</v>
      </c>
      <c r="I551" s="39"/>
    </row>
    <row r="552" spans="2:9" s="16" customFormat="1" ht="15.75">
      <c r="B552" s="35" t="str">
        <f ca="1">IFERROR(IF(AND(INDEX(Tab_DaBa[],MATCH(CONCATENATE(Liste!$C$3,$B$287,$B$541),Data!$BO:$BO,0)-2,28)&lt;&gt;"",INDEX(Tab_DaBa[],MATCH(CONCATENATE(Liste!$C$3,$B$287,$B$541),Data!$BO:$BO,0)-2,33)=0),INDEX(Tab_DaBa[],MATCH(CONCATENATE(Liste!$C$3,$B$287,$B$541),Data!$BO:$BO,0)-2,12),IF(INDEX(Tab_DaBa[],MATCH(CONCATENATE(Liste!$C$3,$B$287,$B$541),Data!$BO:$BO,0)-2,28)&lt;&gt;"",INDEX(Tab_DaBa[],MATCH(CONCATENATE(Liste!$C$3,$B$287,$B$541),Data!$BO:$BO,0)-2,32),"")),"")</f>
        <v>Lo02-22_10</v>
      </c>
      <c r="C552" s="39"/>
      <c r="D552" s="35" t="str">
        <f ca="1">IFERROR(IF(AND(INDEX(Tab_DaBa[],MATCH(CONCATENATE(Liste!$C$3,$B$287,$B$541),Data!$BO:$BO,0)-2,33)&lt;&gt;"",INDEX(Tab_DaBa[],MATCH(CONCATENATE(Liste!$C$3,$B$287,$B$541),Data!$BO:$BO,0)-2,38)=0),INDEX(Tab_DaBa[],MATCH(CONCATENATE(Liste!$C$3,$B$287,$B$541),Data!$BO:$BO,0)-2,12),IF(INDEX(Tab_DaBa[],MATCH(CONCATENATE(Liste!$C$3,$B$287,$B$541),Data!$BO:$BO,0)-2,33)&lt;&gt;"",INDEX(Tab_DaBa[],MATCH(CONCATENATE(Liste!$C$3,$B$287,$B$541),Data!$BO:$BO,0)-2,37),"")),"")</f>
        <v>Lo02-22_10</v>
      </c>
      <c r="E552" s="37"/>
      <c r="F552" s="35" t="str">
        <f ca="1">IFERROR(IF(AND(INDEX(Tab_DaBa[],MATCH(CONCATENATE(Liste!$C$3,$B$287,$B$541),Data!$BO:$BO,0)-2,38)&lt;&gt;"",INDEX(Tab_DaBa[],MATCH(CONCATENATE(Liste!$C$3,$B$287,$B$541),Data!$BO:$BO,0)-2,43)=0),INDEX(Tab_DaBa[],MATCH(CONCATENATE(Liste!$C$3,$B$287,$B$541),Data!$BO:$BO,0)-2,12),IF(INDEX(Tab_DaBa[],MATCH(CONCATENATE(Liste!$C$3,$B$287,$B$541),Data!$BO:$BO,0)-2,38)&lt;&gt;"",INDEX(Tab_DaBa[],MATCH(CONCATENATE(Liste!$C$3,$B$287,$B$541),Data!$BO:$BO,0)-2,42),"")),"")</f>
        <v>Lo02-22_10</v>
      </c>
      <c r="G552" s="39"/>
      <c r="H552" s="35" t="str">
        <f ca="1">IFERROR(IF(AND(INDEX(Tab_DaBa[],MATCH(CONCATENATE(Liste!$C$3,$B$287,$B$541),Data!$BO:$BO,0)-2,43)&lt;&gt;"",INDEX(Tab_DaBa[],MATCH(CONCATENATE(Liste!$C$3,$B$287,$B$541),Data!$BO:$BO,0)-2,48)=0),INDEX(Tab_DaBa[],MATCH(CONCATENATE(Liste!$C$3,$B$287,$B$541),Data!$BO:$BO,0)-2,12),IF(INDEX(Tab_DaBa[],MATCH(CONCATENATE(Liste!$C$3,$B$287,$B$541),Data!$BO:$BO,0)-2,43)&lt;&gt;"",INDEX(Tab_DaBa[],MATCH(CONCATENATE(Liste!$C$3,$B$287,$B$541),Data!$BO:$BO,0)-2,47),"")),"")</f>
        <v>Lo02-22_10</v>
      </c>
      <c r="I552" s="39"/>
    </row>
    <row r="553" spans="2:9" s="16" customFormat="1" ht="15.75">
      <c r="B553" s="35" t="str">
        <f ca="1">IFERROR(IF(AND(INDEX(Tab_DaBa[],MATCH(CONCATENATE(Liste!$C$3,$B$287,$B$541),Data!$BO:$BO,0)-2,28)&lt;&gt;"",INDEX(Tab_DaBa[],MATCH(CONCATENATE(Liste!$C$3,$B$287,$B$541),Data!$BO:$BO,0)-2,33)=""),INDEX(Tab_DaBa[],MATCH(CONCATENATE(Liste!$C$3,$B$287,$B$541),Data!$BO:$BO,0)-2,13),IF(INDEX(Tab_DaBa[],MATCH(CONCATENATE(Liste!$C$3,$B$287,$B$541),Data!$BO:$BO,0)-2,28)&lt;&gt;"",INDEX(Tab_DaBa[],MATCH(CONCATENATE(Liste!$C$3,$B$287,$B$541),Data!$BO:$BO,0)-2,33),"")),"")</f>
        <v>Bez_Lo02_10</v>
      </c>
      <c r="C553" s="38">
        <f ca="1">IF(D551="","",4)</f>
        <v>4</v>
      </c>
      <c r="D553" s="35" t="str">
        <f ca="1">IFERROR(IF(AND(INDEX(Tab_DaBa[],MATCH(CONCATENATE(Liste!$C$3,$B$287,$B$541),Data!$BO:$BO,0)-2,33)&lt;&gt;"",INDEX(Tab_DaBa[],MATCH(CONCATENATE(Liste!$C$3,$B$287,$B$541),Data!$BO:$BO,0)-2,38)=""),INDEX(Tab_DaBa[],MATCH(CONCATENATE(Liste!$C$3,$B$287,$B$541),Data!$BO:$BO,0)-2,13),IF(INDEX(Tab_DaBa[],MATCH(CONCATENATE(Liste!$C$3,$B$287,$B$541),Data!$BO:$BO,0)-2,33)&lt;&gt;"",INDEX(Tab_DaBa[],MATCH(CONCATENATE(Liste!$C$3,$B$287,$B$541),Data!$BO:$BO,0)-2,38),"")),"")</f>
        <v>Bez_Lo02_10</v>
      </c>
      <c r="E553" s="38">
        <f ca="1">IF(F551="","",4)</f>
        <v>4</v>
      </c>
      <c r="F553" s="35" t="str">
        <f ca="1">IFERROR(IF(AND(INDEX(Tab_DaBa[],MATCH(CONCATENATE(Liste!$C$3,$B$287,$B$541),Data!$BO:$BO,0)-2,38)&lt;&gt;"",INDEX(Tab_DaBa[],MATCH(CONCATENATE(Liste!$C$3,$B$287,$B$541),Data!$BO:$BO,0)-2,43)=""),INDEX(Tab_DaBa[],MATCH(CONCATENATE(Liste!$C$3,$B$287,$B$541),Data!$BO:$BO,0)-2,13),IF(INDEX(Tab_DaBa[],MATCH(CONCATENATE(Liste!$C$3,$B$287,$B$541),Data!$BO:$BO,0)-2,38)&lt;&gt;"",INDEX(Tab_DaBa[],MATCH(CONCATENATE(Liste!$C$3,$B$287,$B$541),Data!$BO:$BO,0)-2,43),"")),"")</f>
        <v>Bez_Lo02_10</v>
      </c>
      <c r="G553" s="38">
        <f ca="1">IF(H551="","",4)</f>
        <v>4</v>
      </c>
      <c r="H553" s="35" t="str">
        <f ca="1">IFERROR(IF(AND(INDEX(Tab_DaBa[],MATCH(CONCATENATE(Liste!$C$3,$B$287,$B$541),Data!$BO:$BO,0)-2,43)&lt;&gt;"",INDEX(Tab_DaBa[],MATCH(CONCATENATE(Liste!$C$3,$B$287,$B$541),Data!$BO:$BO,0)-2,48)=""),INDEX(Tab_DaBa[],MATCH(CONCATENATE(Liste!$C$3,$B$287,$B$541),Data!$BO:$BO,0)-2,13),IF(INDEX(Tab_DaBa[],MATCH(CONCATENATE(Liste!$C$3,$B$287,$B$541),Data!$BO:$BO,0)-2,43)&lt;&gt;"",INDEX(Tab_DaBa[],MATCH(CONCATENATE(Liste!$C$3,$B$287,$B$541),Data!$BO:$BO,0)-2,48),"")),"")</f>
        <v>Bez_Lo02_10</v>
      </c>
      <c r="I553" s="38">
        <f ca="1">IF(B559="","",6)</f>
        <v>6</v>
      </c>
    </row>
    <row r="554" spans="2:9" s="16" customFormat="1" ht="15.75">
      <c r="B554" s="35" t="str">
        <f ca="1">IFERROR(IF(AND(INDEX(Tab_DaBa[],MATCH(CONCATENATE(Liste!$C$3,$B$287,$B$541),Data!$BO:$BO,0)-2,28)&lt;&gt;"",INDEX(Tab_DaBa[],MATCH(CONCATENATE(Liste!$C$3,$B$287,$B$541),Data!$BO:$BO,0)-2,33)=""),"Performance Level: "&amp;INDEX(Tab_DaBa[],MATCH(CONCATENATE(Liste!$C$3,$B$287,$B$541),Data!$BO:$BO,0)-2,15),IF(INDEX(Tab_DaBa[],MATCH(CONCATENATE(Liste!$C$3,$B$287,$B$541),Data!$BO:$BO,0)-2,28)&lt;&gt;"","Performance Level: "&amp;INDEX(Tab_DaBa[],MATCH(CONCATENATE(Liste!$C$3,$B$287,$B$541),Data!$BO:$BO,0)-2,35),"")),"")</f>
        <v>Performance Level: PL_Lo02_10</v>
      </c>
      <c r="C554" s="39"/>
      <c r="D554" s="35" t="str">
        <f ca="1">IFERROR(IF(AND(INDEX(Tab_DaBa[],MATCH(CONCATENATE(Liste!$C$3,$B$287,$B$541),Data!$BO:$BO,0)-2,33)&lt;&gt;"",INDEX(Tab_DaBa[],MATCH(CONCATENATE(Liste!$C$3,$B$287,$B$541),Data!$BO:$BO,0)-2,38)=""),"Performance Level: "&amp;INDEX(Tab_DaBa[],MATCH(CONCATENATE(Liste!$C$3,$B$287,$B$541),Data!$BO:$BO,0)-2,15),IF(INDEX(Tab_DaBa[],MATCH(CONCATENATE(Liste!$C$3,$B$287,$B$541),Data!$BO:$BO,0)-2,33)&lt;&gt;"","Performance Level: "&amp;INDEX(Tab_DaBa[],MATCH(CONCATENATE(Liste!$C$3,$B$287,$B$541),Data!$BO:$BO,0)-2,40),"")),"")</f>
        <v>Performance Level: PL_Lo02_10</v>
      </c>
      <c r="E554" s="37"/>
      <c r="F554" s="35" t="str">
        <f ca="1">IFERROR(IF(AND(INDEX(Tab_DaBa[],MATCH(CONCATENATE(Liste!$C$3,$B$287,$B$541),Data!$BO:$BO,0)-2,38)&lt;&gt;"",INDEX(Tab_DaBa[],MATCH(CONCATENATE(Liste!$C$3,$B$287,$B$541),Data!$BO:$BO,0)-2,43)=""),"Performance Level: "&amp;INDEX(Tab_DaBa[],MATCH(CONCATENATE(Liste!$C$3,$B$287,$B$541),Data!$BO:$BO,0)-2,15),IF(INDEX(Tab_DaBa[],MATCH(CONCATENATE(Liste!$C$3,$B$287,$B$541),Data!$BO:$BO,0)-2,38)&lt;&gt;"","Performance Level: "&amp;INDEX(Tab_DaBa[],MATCH(CONCATENATE(Liste!$C$3,$B$287,$B$541),Data!$BO:$BO,0)-2,45),"")),"")</f>
        <v>Performance Level: PL_Lo02_10</v>
      </c>
      <c r="G554" s="39"/>
      <c r="H554" s="35" t="str">
        <f ca="1">IFERROR(IF(AND(INDEX(Tab_DaBa[],MATCH(CONCATENATE(Liste!$C$3,$B$287,$B$541),Data!$BO:$BO,0)-2,43)&lt;&gt;"",INDEX(Tab_DaBa[],MATCH(CONCATENATE(Liste!$C$3,$B$287,$B$541),Data!$BO:$BO,0)-2,48)=""),"Performance Level: "&amp;INDEX(Tab_DaBa[],MATCH(CONCATENATE(Liste!$C$3,$B$287,$B$541),Data!$BO:$BO,0)-2,15),IF(INDEX(Tab_DaBa[],MATCH(CONCATENATE(Liste!$C$3,$B$287,$B$541),Data!$BO:$BO,0)-2,43)&lt;&gt;"","Performance Level: "&amp;INDEX(Tab_DaBa[],MATCH(CONCATENATE(Liste!$C$3,$B$287,$B$541),Data!$BO:$BO,0)-2,50),"")),"")</f>
        <v>Performance Level: PL_Lo02_10</v>
      </c>
      <c r="I554" s="39"/>
    </row>
    <row r="555" spans="2:9" s="16" customFormat="1" ht="15.75">
      <c r="B555" s="35" t="str">
        <f ca="1">IFERROR(IF(AND(INDEX(Tab_DaBa[],MATCH(CONCATENATE(Liste!$C$3,$B$287,$B$541),Data!$BO:$BO,0)-2,28)&lt;&gt;"",INDEX(Tab_DaBa[],MATCH(CONCATENATE(Liste!$C$3,$B$287,$B$541),Data!$BO:$BO,0)-2,33)=""),"PFH [1/h] = "&amp;10^9*INDEX(Tab_DaBa[],MATCH(CONCATENATE(Liste!$C$3,$B$287,$B$541),Data!$BO:$BO,0)-2,16)&amp;"E-9",IF(INDEX(Tab_DaBa[],MATCH(CONCATENATE(Liste!$C$3,$B$287,$B$541),Data!$BO:$BO,0)-2,28)&lt;&gt;"","PFH [1/h] = "&amp;10^9*INDEX(Tab_DaBa[],MATCH(CONCATENATE(Liste!$C$3,$B$287,$B$541),Data!$BO:$BO,0)-2,36)&amp;"E-9","")),"")</f>
        <v>PFH [1/h] = 4,19E-9</v>
      </c>
      <c r="C555" s="39"/>
      <c r="D555" s="35" t="str">
        <f ca="1">IFERROR(IF(AND(INDEX(Tab_DaBa[],MATCH(CONCATENATE(Liste!$C$3,$B$287,$B$541),Data!$BO:$BO,0)-2,33)&lt;&gt;"",INDEX(Tab_DaBa[],MATCH(CONCATENATE(Liste!$C$3,$B$287,$B$541),Data!$BO:$BO,0)-2,38)=""),"PFH [1/h] = "&amp;10^9*INDEX(Tab_DaBa[],MATCH(CONCATENATE(Liste!$C$3,$B$287,$B$541),Data!$BO:$BO,0)-2,16)&amp;"E-9",IF(INDEX(Tab_DaBa[],MATCH(CONCATENATE(Liste!$C$3,$B$287,$B$541),Data!$BO:$BO,0)-2,33)&lt;&gt;"","PFH [1/h] = "&amp;10^9*INDEX(Tab_DaBa[],MATCH(CONCATENATE(Liste!$C$3,$B$287,$B$541),Data!$BO:$BO,0)-2,41)&amp;"E-9","")),"")</f>
        <v>PFH [1/h] = 4,19E-9</v>
      </c>
      <c r="E555" s="37"/>
      <c r="F555" s="35" t="str">
        <f ca="1">IFERROR(IF(AND(INDEX(Tab_DaBa[],MATCH(CONCATENATE(Liste!$C$3,$B$287,$B$541),Data!$BO:$BO,0)-2,38)&lt;&gt;"",INDEX(Tab_DaBa[],MATCH(CONCATENATE(Liste!$C$3,$B$287,$B$541),Data!$BO:$BO,0)-2,43)=""),"PFH [1/h] = "&amp;10^9*INDEX(Tab_DaBa[],MATCH(CONCATENATE(Liste!$C$3,$B$287,$B$541),Data!$BO:$BO,0)-2,16)&amp;"E-9",IF(INDEX(Tab_DaBa[],MATCH(CONCATENATE(Liste!$C$3,$B$287,$B$541),Data!$BO:$BO,0)-2,38)&lt;&gt;"","PFH [1/h] = "&amp;10^9*INDEX(Tab_DaBa[],MATCH(CONCATENATE(Liste!$C$3,$B$287,$B$541),Data!$BO:$BO,0)-2,46)&amp;"E-9","")),"")</f>
        <v>PFH [1/h] = 4,19E-9</v>
      </c>
      <c r="G555" s="39"/>
      <c r="H555" s="35" t="str">
        <f ca="1">IFERROR(IF(AND(INDEX(Tab_DaBa[],MATCH(CONCATENATE(Liste!$C$3,$B$287,$B$541),Data!$BO:$BO,0)-2,43)&lt;&gt;"",INDEX(Tab_DaBa[],MATCH(CONCATENATE(Liste!$C$3,$B$287,$B$541),Data!$BO:$BO,0)-2,48)=""),"PFH [1/h] = "&amp;10^9*INDEX(Tab_DaBa[],MATCH(CONCATENATE(Liste!$C$3,$B$287,$B$541),Data!$BO:$BO,0)-2,16)&amp;"E-9",IF(INDEX(Tab_DaBa[],MATCH(CONCATENATE(Liste!$C$3,$B$287,$B$541),Data!$BO:$BO,0)-2,43)&lt;&gt;"","PFH [1/h] = "&amp;10^9*INDEX(Tab_DaBa[],MATCH(CONCATENATE(Liste!$C$3,$B$287,$B$541),Data!$BO:$BO,0)-2,51)&amp;"E-9","")),"")</f>
        <v>PFH [1/h] = 4,19E-9</v>
      </c>
      <c r="I555" s="39"/>
    </row>
    <row r="556" spans="2:9" s="16" customFormat="1">
      <c r="B556" s="33"/>
      <c r="C556" s="33"/>
      <c r="D556" s="33"/>
      <c r="E556" s="33"/>
      <c r="F556" s="33"/>
      <c r="G556" s="33"/>
      <c r="H556" s="33"/>
      <c r="I556" s="33"/>
    </row>
    <row r="557" spans="2:9" s="16" customFormat="1" ht="15.75">
      <c r="B557" s="38">
        <f ca="1">IF(B559="","",6)</f>
        <v>6</v>
      </c>
      <c r="C557" s="33"/>
      <c r="D557" s="38">
        <f ca="1">IF(B559="","",3)</f>
        <v>3</v>
      </c>
      <c r="E557" s="33"/>
      <c r="F557" s="38">
        <f ca="1">IF(B559="","",3)</f>
        <v>3</v>
      </c>
      <c r="G557" s="33"/>
      <c r="H557" s="38">
        <f ca="1">IF(B559="","",3)</f>
        <v>3</v>
      </c>
      <c r="I557" s="33"/>
    </row>
    <row r="558" spans="2:9" s="16" customFormat="1" ht="15.75">
      <c r="B558" s="39"/>
      <c r="C558" s="33"/>
      <c r="D558" s="33"/>
      <c r="E558" s="33"/>
      <c r="F558" s="33"/>
      <c r="G558" s="33"/>
      <c r="H558" s="33"/>
      <c r="I558" s="33"/>
    </row>
    <row r="559" spans="2:9" s="16" customFormat="1" ht="15.75">
      <c r="B559" s="35" t="str">
        <f ca="1">IFERROR(IF(AND(INDEX(Tab_DaBa[],MATCH(CONCATENATE(Liste!$C$3,$B$287,$B$541),Data!$BO:$BO,0)-2,48)&lt;&gt;"",INDEX(Tab_DaBa[],MATCH(CONCATENATE(Liste!$C$3,$B$287,$B$541),Data!$BO:$BO,0)-2,53)=0),INDEX(Tab_DaBa[],MATCH(CONCATENATE(Liste!$C$3,$B$287,$B$541),Data!$BO:$BO,0)-2,14),IF(INDEX(Tab_DaBa[],MATCH(CONCATENATE(Liste!$C$3,$B$287,$B$541),Data!$BO:$BO,0)-2,48)&lt;&gt;"",INDEX(Tab_DaBa[],MATCH(CONCATENATE(Liste!$C$3,$B$287,$B$541),Data!$BO:$BO,0)-2,54),"")),"")</f>
        <v>Logik 08</v>
      </c>
      <c r="C559" s="39"/>
      <c r="D559" s="35" t="str">
        <f ca="1">IFERROR(IF(AND(INDEX(Tab_DaBa[],MATCH(CONCATENATE(Liste!$C$3,$B$287,$B$541),Data!$BO:$BO,0)-2,53)&lt;&gt;"",INDEX(Tab_DaBa[],MATCH(CONCATENATE(Liste!$C$3,$B$287,$B$541),Data!$BO:$BO,0)-2,58)=0),INDEX(Tab_DaBa[],MATCH(CONCATENATE(Liste!$C$3,$B$287,$B$541),Data!$BO:$BO,0)-2,14),IF(INDEX(Tab_DaBa[],MATCH(CONCATENATE(Liste!$C$3,$B$287,$B$541),Data!$BO:$BO,0)-2,53)&lt;&gt;"",INDEX(Tab_DaBa[],MATCH(CONCATENATE(Liste!$C$3,$B$287,$B$541),Data!$BO:$BO,0)-2,59),"")),"")</f>
        <v>Logik 09</v>
      </c>
      <c r="E559" s="33"/>
      <c r="F559" s="35" t="str">
        <f ca="1">IFERROR(IF(AND(INDEX(Tab_DaBa[],MATCH(CONCATENATE(Liste!$C$3,$B$287,$B$541),Data!$BO:$BO,0)-2,58)&lt;&gt;"",INDEX(Tab_DaBa[],MATCH(CONCATENATE(Liste!$C$3,$B$287,$B$541),Data!$BO:$BO,0)-2,63)=0),INDEX(Tab_DaBa[],MATCH(CONCATENATE(Liste!$C$3,$B$287,$B$541),Data!$BO:$BO,0)-2,14),IF(INDEX(Tab_DaBa[],MATCH(CONCATENATE(Liste!$C$3,$B$287,$B$541),Data!$BO:$BO,0)-2,58)&lt;&gt;"",INDEX(Tab_DaBa[],MATCH(CONCATENATE(Liste!$C$3,$B$287,$B$541),Data!$BO:$BO,0)-2,64),"")),"")</f>
        <v>Logik 10</v>
      </c>
      <c r="G559" s="39"/>
      <c r="H559" s="35" t="str">
        <f ca="1">IFERROR(IF(INDEX(Tab_DaBa[],MATCH(CONCATENATE(Liste!$C$3,$B$287,$B$541),Data!$BO:$BO,0)-2,63)&lt;&gt;"",INDEX(Tab_DaBa[],MATCH(CONCATENATE(Liste!$C$3,$B$287,$B$541),Data!$BO:$BO,0)-2,14),""),"")</f>
        <v>Ausgang</v>
      </c>
    </row>
    <row r="560" spans="2:9" s="16" customFormat="1" ht="15.75">
      <c r="B560" s="35" t="str">
        <f ca="1">IFERROR(IF(AND(INDEX(Tab_DaBa[],MATCH(CONCATENATE(Liste!$C$3,$B$287,$B$541),Data!$BO:$BO,0)-2,48)&lt;&gt;"",INDEX(Tab_DaBa[],MATCH(CONCATENATE(Liste!$C$3,$B$287,$B$541),Data!$BO:$BO,0)-2,53)=0),INDEX(Tab_DaBa[],MATCH(CONCATENATE(Liste!$C$3,$B$287,$B$541),Data!$BO:$BO,0)-2,12),IF(INDEX(Tab_DaBa[],MATCH(CONCATENATE(Liste!$C$3,$B$287,$B$541),Data!$BO:$BO,0)-2,48)&lt;&gt;"",INDEX(Tab_DaBa[],MATCH(CONCATENATE(Liste!$C$3,$B$287,$B$541),Data!$BO:$BO,0)-2,52),"")),"")</f>
        <v>Lo02-88_10</v>
      </c>
      <c r="C560" s="39"/>
      <c r="D560" s="35" t="str">
        <f ca="1">IFERROR(IF(AND(INDEX(Tab_DaBa[],MATCH(CONCATENATE(Liste!$C$3,$B$287,$B$541),Data!$BO:$BO,0)-2,53)&lt;&gt;"",INDEX(Tab_DaBa[],MATCH(CONCATENATE(Liste!$C$3,$B$287,$B$541),Data!$BO:$BO,0)-2,58)=0),INDEX(Tab_DaBa[],MATCH(CONCATENATE(Liste!$C$3,$B$287,$B$541),Data!$BO:$BO,0)-2,12),IF(INDEX(Tab_DaBa[],MATCH(CONCATENATE(Liste!$C$3,$B$287,$B$541),Data!$BO:$BO,0)-2,53)&lt;&gt;"",INDEX(Tab_DaBa[],MATCH(CONCATENATE(Liste!$C$3,$B$287,$B$541),Data!$BO:$BO,0)-2,57),"")),"")</f>
        <v>Lo02-22_10</v>
      </c>
      <c r="E560" s="37"/>
      <c r="F560" s="35" t="str">
        <f ca="1">IFERROR(IF(AND(INDEX(Tab_DaBa[],MATCH(CONCATENATE(Liste!$C$3,$B$287,$B$541),Data!$BO:$BO,0)-2,58)&lt;&gt;"",INDEX(Tab_DaBa[],MATCH(CONCATENATE(Liste!$C$3,$B$287,$B$541),Data!$BO:$BO,0)-2,63)=0),INDEX(Tab_DaBa[],MATCH(CONCATENATE(Liste!$C$3,$B$287,$B$541),Data!$BO:$BO,0)-2,12),IF(INDEX(Tab_DaBa[],MATCH(CONCATENATE(Liste!$C$3,$B$287,$B$541),Data!$BO:$BO,0)-2,58)&lt;&gt;"",INDEX(Tab_DaBa[],MATCH(CONCATENATE(Liste!$C$3,$B$287,$B$541),Data!$BO:$BO,0)-2,62),"")),"")</f>
        <v>Lo02-10_10</v>
      </c>
      <c r="G560" s="39"/>
      <c r="H560" s="35" t="str">
        <f ca="1">IFERROR(IF(INDEX(Tab_DaBa[],MATCH(CONCATENATE(Liste!$C$3,$B$287,$B$541),Data!$BO:$BO,0)-2,63)&lt;&gt;"",INDEX(Tab_DaBa[],MATCH(CONCATENATE(Liste!$C$3,$B$287,$B$541),Data!$BO:$BO,0)-2,12),""),"")</f>
        <v>aaaa-22_10</v>
      </c>
    </row>
    <row r="561" spans="2:9" s="16" customFormat="1" ht="15.75">
      <c r="B561" s="35" t="str">
        <f ca="1">IFERROR(IF(AND(INDEX(Tab_DaBa[],MATCH(CONCATENATE(Liste!$C$3,$B$287,$B$541),Data!$BO:$BO,0)-2,48)&lt;&gt;"",INDEX(Tab_DaBa[],MATCH(CONCATENATE(Liste!$C$3,$B$287,$B$541),Data!$BO:$BO,0)-2,53)=""),INDEX(Tab_DaBa[],MATCH(CONCATENATE(Liste!$C$3,$B$287,$B$541),Data!$BO:$BO,0)-2,13),IF(INDEX(Tab_DaBa[],MATCH(CONCATENATE(Liste!$C$3,$B$287,$B$541),Data!$BO:$BO,0)-2,48)&lt;&gt;"",INDEX(Tab_DaBa[],MATCH(CONCATENATE(Liste!$C$3,$B$287,$B$541),Data!$BO:$BO,0)-2,53),"")),"")</f>
        <v>Bez_Lo02_10</v>
      </c>
      <c r="C561" s="38">
        <f ca="1">IF(D559="","",4)</f>
        <v>4</v>
      </c>
      <c r="D561" s="35" t="str">
        <f ca="1">IFERROR(IF(AND(INDEX(Tab_DaBa[],MATCH(CONCATENATE(Liste!$C$3,$B$287,$B$541),Data!$BO:$BO,0)-2,53)&lt;&gt;"",INDEX(Tab_DaBa[],MATCH(CONCATENATE(Liste!$C$3,$B$287,$B$541),Data!$BO:$BO,0)-2,58)=""),INDEX(Tab_DaBa[],MATCH(CONCATENATE(Liste!$C$3,$B$287,$B$541),Data!$BO:$BO,0)-2,13),IF(INDEX(Tab_DaBa[],MATCH(CONCATENATE(Liste!$C$3,$B$287,$B$541),Data!$BO:$BO,0)-2,53)&lt;&gt;"",INDEX(Tab_DaBa[],MATCH(CONCATENATE(Liste!$C$3,$B$287,$B$541),Data!$BO:$BO,0)-2,58),"")),"")</f>
        <v>Bez_Lo02_10</v>
      </c>
      <c r="E561" s="38">
        <f ca="1">IF(F559="","",4)</f>
        <v>4</v>
      </c>
      <c r="F561" s="35" t="str">
        <f ca="1">IFERROR(IF(AND(INDEX(Tab_DaBa[],MATCH(CONCATENATE(Liste!$C$3,$B$287,$B$541),Data!$BO:$BO,0)-2,58)&lt;&gt;"",INDEX(Tab_DaBa[],MATCH(CONCATENATE(Liste!$C$3,$B$287,$B$541),Data!$BO:$BO,0)-2,63)=""),INDEX(Tab_DaBa[],MATCH(CONCATENATE(Liste!$C$3,$B$287,$B$541),Data!$BO:$BO,0)-2,13),IF(INDEX(Tab_DaBa[],MATCH(CONCATENATE(Liste!$C$3,$B$287,$B$541),Data!$BO:$BO,0)-2,58)&lt;&gt;"",INDEX(Tab_DaBa[],MATCH(CONCATENATE(Liste!$C$3,$B$287,$B$541),Data!$BO:$BO,0)-2,63),"")),"")</f>
        <v>Bez_Lo02_10</v>
      </c>
      <c r="G561" s="38">
        <f ca="1">IF(H559="","",4)</f>
        <v>4</v>
      </c>
      <c r="H561" s="35" t="str">
        <f ca="1">IFERROR(IF(INDEX(Tab_DaBa[],MATCH(CONCATENATE(Liste!$C$3,$B$287,$B$541),Data!$BO:$BO,0)-2,63)&lt;&gt;"",INDEX(Tab_DaBa[],MATCH(CONCATENATE(Liste!$C$3,$B$287,$B$541),Data!$BO:$BO,0)-2,13),""),"")</f>
        <v>Bez_Aus2_10</v>
      </c>
    </row>
    <row r="562" spans="2:9" s="16" customFormat="1" ht="15.75">
      <c r="B562" s="35" t="str">
        <f ca="1">IFERROR(IF(AND(INDEX(Tab_DaBa[],MATCH(CONCATENATE(Liste!$C$3,$B$287,$B$541),Data!$BO:$BO,0)-2,48)&lt;&gt;"",INDEX(Tab_DaBa[],MATCH(CONCATENATE(Liste!$C$3,$B$287,$B$541),Data!$BO:$BO,0)-2,53)=""),"Performance Level: "&amp;INDEX(Tab_DaBa[],MATCH(CONCATENATE(Liste!$C$3,$B$287,$B$541),Data!$BO:$BO,0)-2,15),IF(INDEX(Tab_DaBa[],MATCH(CONCATENATE(Liste!$C$3,$B$287,$B$541),Data!$BO:$BO,0)-2,48)&lt;&gt;"","Performance Level: "&amp;INDEX(Tab_DaBa[],MATCH(CONCATENATE(Liste!$C$3,$B$287,$B$541),Data!$BO:$BO,0)-2,55),"")),"")</f>
        <v>Performance Level: PL_Lo02_10</v>
      </c>
      <c r="C562" s="39"/>
      <c r="D562" s="35" t="str">
        <f ca="1">IFERROR(IF(AND(INDEX(Tab_DaBa[],MATCH(CONCATENATE(Liste!$C$3,$B$287,$B$541),Data!$BO:$BO,0)-2,53)&lt;&gt;"",INDEX(Tab_DaBa[],MATCH(CONCATENATE(Liste!$C$3,$B$287,$B$541),Data!$BO:$BO,0)-2,58)=""),"Performance Level: "&amp;INDEX(Tab_DaBa[],MATCH(CONCATENATE(Liste!$C$3,$B$287,$B$541),Data!$BO:$BO,0)-2,15),IF(INDEX(Tab_DaBa[],MATCH(CONCATENATE(Liste!$C$3,$B$287,$B$541),Data!$BO:$BO,0)-2,53)&lt;&gt;"","Performance Level: "&amp;INDEX(Tab_DaBa[],MATCH(CONCATENATE(Liste!$C$3,$B$287,$B$541),Data!$BO:$BO,0)-2,60),"")),"")</f>
        <v>Performance Level: PL_Lo02_10</v>
      </c>
      <c r="E562" s="37"/>
      <c r="F562" s="35" t="str">
        <f ca="1">IFERROR(IF(AND(INDEX(Tab_DaBa[],MATCH(CONCATENATE(Liste!$C$3,$B$287,$B$541),Data!$BO:$BO,0)-2,58)&lt;&gt;"",INDEX(Tab_DaBa[],MATCH(CONCATENATE(Liste!$C$3,$B$287,$B$541),Data!$BO:$BO,0)-2,63)=""),"Performance Level: "&amp;INDEX(Tab_DaBa[],MATCH(CONCATENATE(Liste!$C$3,$B$287,$B$541),Data!$BO:$BO,0)-2,15),IF(INDEX(Tab_DaBa[],MATCH(CONCATENATE(Liste!$C$3,$B$287,$B$541),Data!$BO:$BO,0)-2,58)&lt;&gt;"","Performance Level: "&amp;INDEX(Tab_DaBa[],MATCH(CONCATENATE(Liste!$C$3,$B$287,$B$541),Data!$BO:$BO,0)-2,65),"")),"")</f>
        <v>Performance Level: PL_Lo02_10</v>
      </c>
      <c r="G562" s="39"/>
      <c r="H562" s="35" t="str">
        <f ca="1">IFERROR(IF(INDEX(Tab_DaBa[],MATCH(CONCATENATE(Liste!$C$3,$B$287,$B$541),Data!$BO:$BO,0)-2,63)&lt;&gt;"","Performance Level: "&amp;INDEX(Tab_DaBa[],MATCH(CONCATENATE(Liste!$C$3,$B$287,$B$541),Data!$BO:$BO,0)-2,15),""),"")</f>
        <v>Performance Level: PL_Aus2_10</v>
      </c>
    </row>
    <row r="563" spans="2:9" s="16" customFormat="1" ht="15.75">
      <c r="B563" s="35" t="str">
        <f ca="1">IFERROR(IF(AND(INDEX(Tab_DaBa[],MATCH(CONCATENATE(Liste!$C$3,$B$287,$B$541),Data!$BO:$BO,0)-2,48)&lt;&gt;"",INDEX(Tab_DaBa[],MATCH(CONCATENATE(Liste!$C$3,$B$287,$B$541),Data!$BO:$BO,0)-2,53)=""),"PFH [1/h] = "&amp;10^9*INDEX(Tab_DaBa[],MATCH(CONCATENATE(Liste!$C$3,$B$287,$B$541),Data!$BO:$BO,0)-2,16)&amp;"E-9",IF(INDEX(Tab_DaBa[],MATCH(CONCATENATE(Liste!$C$3,$B$287,$B$541),Data!$BO:$BO,0)-2,48)&lt;&gt;"","PFH [1/h] = "&amp;10^9*INDEX(Tab_DaBa[],MATCH(CONCATENATE(Liste!$C$3,$B$287,$B$541),Data!$BO:$BO,0)-2,56)&amp;"E-9","")),"")</f>
        <v>PFH [1/h] = 4,19E-9</v>
      </c>
      <c r="C563" s="39"/>
      <c r="D563" s="35" t="str">
        <f ca="1">IFERROR(IF(AND(INDEX(Tab_DaBa[],MATCH(CONCATENATE(Liste!$C$3,$B$287,$B$541),Data!$BO:$BO,0)-2,53)&lt;&gt;"",INDEX(Tab_DaBa[],MATCH(CONCATENATE(Liste!$C$3,$B$287,$B$541),Data!$BO:$BO,0)-2,58)=""),"PFH [1/h] = "&amp;10^9*INDEX(Tab_DaBa[],MATCH(CONCATENATE(Liste!$C$3,$B$287,$B$541),Data!$BO:$BO,0)-2,16)&amp;"E-9",IF(INDEX(Tab_DaBa[],MATCH(CONCATENATE(Liste!$C$3,$B$287,$B$541),Data!$BO:$BO,0)-2,53)&lt;&gt;"","PFH [1/h] = "&amp;10^9*INDEX(Tab_DaBa[],MATCH(CONCATENATE(Liste!$C$3,$B$287,$B$541),Data!$BO:$BO,0)-2,61)&amp;"E-9","")),"")</f>
        <v>PFH [1/h] = 4,19E-9</v>
      </c>
      <c r="E563" s="37"/>
      <c r="F563" s="35" t="str">
        <f ca="1">IFERROR(IF(AND(INDEX(Tab_DaBa[],MATCH(CONCATENATE(Liste!$C$3,$B$287,$B$541),Data!$BO:$BO,0)-2,58)&lt;&gt;"",INDEX(Tab_DaBa[],MATCH(CONCATENATE(Liste!$C$3,$B$287,$B$541),Data!$BO:$BO,0)-2,63)=""),"PFH [1/h] = "&amp;10^9*INDEX(Tab_DaBa[],MATCH(CONCATENATE(Liste!$C$3,$B$287,$B$541),Data!$BO:$BO,0)-2,16)&amp;"E-9",IF(INDEX(Tab_DaBa[],MATCH(CONCATENATE(Liste!$C$3,$B$287,$B$541),Data!$BO:$BO,0)-2,58)&lt;&gt;"","PFH [1/h] = "&amp;10^9*INDEX(Tab_DaBa[],MATCH(CONCATENATE(Liste!$C$3,$B$287,$B$541),Data!$BO:$BO,0)-2,66)&amp;"E-9","")),"")</f>
        <v>PFH [1/h] = 4,19E-9</v>
      </c>
      <c r="G563" s="39"/>
      <c r="H563" s="35" t="str">
        <f ca="1">IFERROR(IF(INDEX(Tab_DaBa[],MATCH(CONCATENATE(Liste!$C$3,$B$287,$B$541),Data!$BO:$BO,0)-2,63)&lt;&gt;"","PFH [1/h] = "&amp;10^9*INDEX(Tab_DaBa[],MATCH(CONCATENATE(Liste!$C$3,$B$287,$B$541),Data!$BO:$BO,0)-2,16)&amp;"E-9",""),"")</f>
        <v>PFH [1/h] = 24,7E-9</v>
      </c>
    </row>
    <row r="564" spans="2:9" s="16" customFormat="1"/>
    <row r="565" spans="2:9" s="16" customFormat="1">
      <c r="B565" s="43" t="str">
        <f ca="1">IF(D565="","","Erforderlich")</f>
        <v>Erforderlich</v>
      </c>
      <c r="D565" s="44" t="str">
        <f ca="1">IFERROR("Performance Level: "&amp;INDEX(Tab_DaBa[],MATCH(CONCATENATE(Liste!$C$3,$B$287,$B$541),Data!$BO:$BO,0)-2,4),"")</f>
        <v>Performance Level: PLr_ges2_10</v>
      </c>
    </row>
    <row r="566" spans="2:9" s="16" customFormat="1">
      <c r="B566" s="45"/>
    </row>
    <row r="567" spans="2:9" s="16" customFormat="1">
      <c r="B567" s="46" t="str">
        <f ca="1">IF(D567="","","Erreicht")</f>
        <v>Erreicht</v>
      </c>
      <c r="D567" s="47" t="str">
        <f ca="1">IFERROR("Performance Level: "&amp;INDEX(Tab_DaBa[],MATCH(CONCATENATE(Liste!$C$3,$B$287,$B$541),Data!$BO:$BO,0)-2,5)&amp;"          PFH [1/h] = "&amp;10^9*INDEX(Tab_DaBa[],MATCH(CONCATENATE(Liste!$C$3,$B$287,$B$541),Data!$BO:$BO,0)-2,6)&amp;"E-9","")</f>
        <v>Performance Level: Pl_ges2_10          PFH [1/h] = 71,7E-9</v>
      </c>
    </row>
    <row r="568" spans="2:9" s="16" customFormat="1"/>
    <row r="569" spans="2:9" s="16" customFormat="1">
      <c r="B569" s="55" t="str">
        <f ca="1">Liste!$D$6</f>
        <v>3. Test3</v>
      </c>
    </row>
    <row r="570" spans="2:9" s="16" customFormat="1"/>
    <row r="571" spans="2:9" s="16" customFormat="1">
      <c r="B571" s="42" t="str">
        <f ca="1">IFERROR(IF(1&gt;COUNTIF(Data!$BP:$BP,CONCATENATE(Liste!$C$3,$B$569)),"",INDEX(Tab_DaBa[],MATCH(CONCATENATE(Liste!$C$3,$B$569),Data!$BP:$BP,0)-2,3)),"")</f>
        <v>3.1 Test3 (E+1L+A)</v>
      </c>
    </row>
    <row r="572" spans="2:9" s="16" customFormat="1"/>
    <row r="573" spans="2:9" s="16" customFormat="1" ht="15.75">
      <c r="B573" s="35" t="str">
        <f ca="1">IFERROR(INDEX(Tab_DaBa[],MATCH(CONCATENATE(Liste!$C$3,$B$569,$B$571),Data!$BO:$BO,0)-2,9),"")</f>
        <v>Eingang</v>
      </c>
      <c r="C573" s="54"/>
      <c r="D573" s="35" t="str">
        <f ca="1">IFERROR(IF(INDEX(Tab_DaBa[],MATCH(CONCATENATE(Liste!$C$3,$B$569,$B$571),Data!$BO:$BO,0)-2,18)=0,INDEX(Tab_DaBa[],MATCH(CONCATENATE(Liste!$C$3,$B$569,$B$571),Data!$BO:$BO,0)-2,14),INDEX(Tab_DaBa[],MATCH(CONCATENATE(Liste!$C$3,$B$569,$B$571),Data!$BO:$BO,0)-2,19)),"")</f>
        <v>Logik 01</v>
      </c>
      <c r="E573" s="33"/>
      <c r="F573" s="35" t="str">
        <f ca="1">IFERROR(IF(AND(INDEX(Tab_DaBa[],MATCH(CONCATENATE(Liste!$C$3,$B$569,$B$571),Data!$BO:$BO,0)-2,18)&lt;&gt;"",INDEX(Tab_DaBa[],MATCH(CONCATENATE(Liste!$C$3,$B$569,$B$571),Data!$BO:$BO,0)-2,23)=0),INDEX(Tab_DaBa[],MATCH(CONCATENATE(Liste!$C$3,$B$569,$B$571),Data!$BO:$BO,0)-2,14),IF(INDEX(Tab_DaBa[],MATCH(CONCATENATE(Liste!$C$3,$B$569,$B$571),Data!$BO:$BO,0)-2,23)&lt;&gt;"",INDEX(Tab_DaBa[],MATCH(CONCATENATE(Liste!$C$3,$B$569,$B$571),Data!$BO:$BO,0)-2,24),"")),"")</f>
        <v>Ausgang</v>
      </c>
      <c r="G573" s="39"/>
      <c r="H573" s="35" t="str">
        <f ca="1">IFERROR(IF(AND(INDEX(Tab_DaBa[],MATCH(CONCATENATE(Liste!$C$3,$B$569,$B$571),Data!$BO:$BO,0)-2,23)&lt;&gt;"",INDEX(Tab_DaBa[],MATCH(CONCATENATE(Liste!$C$3,$B$569,$B$571),Data!$BO:$BO,0)-2,28)=0),INDEX(Tab_DaBa[],MATCH(CONCATENATE(Liste!$C$3,$B$569,$B$571),Data!$BO:$BO,0)-2,14),IF(INDEX(Tab_DaBa[],MATCH(CONCATENATE(Liste!$C$3,$B$569,$B$571),Data!$BO:$BO,0)-2,23)&lt;&gt;"",INDEX(Tab_DaBa[],MATCH(CONCATENATE(Liste!$C$3,$B$569,$B$571),Data!$BO:$BO,0)-2,29),"")),"")</f>
        <v/>
      </c>
      <c r="I573" s="39"/>
    </row>
    <row r="574" spans="2:9" s="16" customFormat="1" ht="15.75">
      <c r="B574" s="35" t="str">
        <f ca="1">IFERROR(INDEX(Tab_DaBa[],MATCH(CONCATENATE(Liste!$C$3,$B$569,$B$571),Data!$BO:$BO,0)-2,7),"")</f>
        <v>eeee-33_1</v>
      </c>
      <c r="C574" s="54"/>
      <c r="D574" s="35" t="str">
        <f ca="1">IFERROR(IF(INDEX(Tab_DaBa[],MATCH(CONCATENATE(Liste!$C$3,$B$569,$B$571),Data!$BO:$BO,0)-2,18)="",INDEX(Tab_DaBa[],MATCH(CONCATENATE(Liste!$C$3,$B$569,$B$571),Data!$BO:$BO,0)-2,12),INDEX(Tab_DaBa[],MATCH(CONCATENATE(Liste!$C$3,$B$569,$B$571),Data!$BO:$BO,0)-2,17)),"")</f>
        <v>Log01-03_01</v>
      </c>
      <c r="E574" s="36"/>
      <c r="F574" s="35" t="str">
        <f ca="1">IFERROR(IF(AND(INDEX(Tab_DaBa[],MATCH(CONCATENATE(Liste!$C$3,$B$569,$B$571),Data!$BO:$BO,0)-2,18)&lt;&gt;"",INDEX(Tab_DaBa[],MATCH(CONCATENATE(Liste!$C$3,$B$569,$B$571),Data!$BO:$BO,0)-2,23)=0),INDEX(Tab_DaBa[],MATCH(CONCATENATE(Liste!$C$3,$B$569,$B$571),Data!$BO:$BO,0)-2,12),IF(INDEX(Tab_DaBa[],MATCH(CONCATENATE(Liste!$C$3,$B$569,$B$571),Data!$BO:$BO,0)-2,23)&lt;&gt;"",INDEX(Tab_DaBa[],MATCH(CONCATENATE(Liste!$C$3,$B$569,$B$571),Data!$BO:$BO,0)-2,22),"")),"")</f>
        <v>aaaa-33_1</v>
      </c>
      <c r="G574" s="39"/>
      <c r="H574" s="35" t="str">
        <f ca="1">IFERROR(IF(AND(INDEX(Tab_DaBa[],MATCH(CONCATENATE(Liste!$C$3,$B$569,$B$571),Data!$BO:$BO,0)-2,23)&lt;&gt;"",INDEX(Tab_DaBa[],MATCH(CONCATENATE(Liste!$C$3,$B$569,$B$571),Data!$BO:$BO,0)-2,28)=0),INDEX(Tab_DaBa[],MATCH(CONCATENATE(Liste!$C$3,$B$569,$B$571),Data!$BO:$BO,0)-2,12),IF(INDEX(Tab_DaBa[],MATCH(CONCATENATE(Liste!$C$3,$B$569,$B$571),Data!$BO:$BO,0)-2,23)&lt;&gt;"",INDEX(Tab_DaBa[],MATCH(CONCATENATE(Liste!$C$3,$B$569,$B$571),Data!$BO:$BO,0)-2,27),"")),"")</f>
        <v/>
      </c>
      <c r="I574" s="39"/>
    </row>
    <row r="575" spans="2:9" s="16" customFormat="1" ht="15.75">
      <c r="B575" s="35" t="str">
        <f ca="1">IFERROR(INDEX(Tab_DaBa[],MATCH(CONCATENATE(Liste!$C$3,$B$569,$B$571),Data!$BO:$BO,0)-2,8),"")</f>
        <v>Bez_Ein3_1</v>
      </c>
      <c r="C575" s="40">
        <f ca="1">IF(D573="","",4)</f>
        <v>4</v>
      </c>
      <c r="D575" s="35" t="str">
        <f ca="1">IFERROR(IF(INDEX(Tab_DaBa[],MATCH(CONCATENATE(Liste!$C$3,$B$569,$B$571),Data!$BO:$BO,0)-2,18)="",INDEX(Tab_DaBa[],MATCH(CONCATENATE(Liste!$C$3,$B$569,$B$571),Data!$BO:$BO,0)-2,13),INDEX(Tab_DaBa[],MATCH(CONCATENATE(Liste!$C$3,$B$569,$B$571),Data!$BO:$BO,0)-2,18)),"")</f>
        <v>Bez_Log01_03_01</v>
      </c>
      <c r="E575" s="40">
        <f ca="1">IF(F573="","",4)</f>
        <v>4</v>
      </c>
      <c r="F575" s="35" t="str">
        <f ca="1">IFERROR(IF(AND(INDEX(Tab_DaBa[],MATCH(CONCATENATE(Liste!$C$3,$B$569,$B$571),Data!$BO:$BO,0)-2,18)&lt;&gt;"",INDEX(Tab_DaBa[],MATCH(CONCATENATE(Liste!$C$3,$B$569,$B$571),Data!$BO:$BO,0)-2,23)=""),INDEX(Tab_DaBa[],MATCH(CONCATENATE(Liste!$C$3,$B$569,$B$571),Data!$BO:$BO,0)-2,13),IF(INDEX(Tab_DaBa[],MATCH(CONCATENATE(Liste!$C$3,$B$569,$B$571),Data!$BO:$BO,0)-2,23)&lt;&gt;"",INDEX(Tab_DaBa[],MATCH(CONCATENATE(Liste!$C$3,$B$569,$B$571),Data!$BO:$BO,0)-2,23),"")),"")</f>
        <v>Bez_Aus3_1</v>
      </c>
      <c r="G575" s="38" t="str">
        <f ca="1">IF(H573="","",4)</f>
        <v/>
      </c>
      <c r="H575" s="35" t="str">
        <f ca="1">IFERROR(IF(AND(INDEX(Tab_DaBa[],MATCH(CONCATENATE(Liste!$C$3,$B$569,$B$571),Data!$BO:$BO,0)-2,23)&lt;&gt;"",INDEX(Tab_DaBa[],MATCH(CONCATENATE(Liste!$C$3,$B$569,$B$571),Data!$BO:$BO,0)-2,28)=""),INDEX(Tab_DaBa[],MATCH(CONCATENATE(Liste!$C$3,$B$569,$B$571),Data!$BO:$BO,0)-2,13),IF(INDEX(Tab_DaBa[],MATCH(CONCATENATE(Liste!$C$3,$B$569,$B$571),Data!$BO:$BO,0)-2,23)&lt;&gt;"",INDEX(Tab_DaBa[],MATCH(CONCATENATE(Liste!$C$3,$B$569,$B$571),Data!$BO:$BO,0)-2,28),"")),"")</f>
        <v/>
      </c>
      <c r="I575" s="38" t="str">
        <f ca="1">IF(B581="","",6)</f>
        <v/>
      </c>
    </row>
    <row r="576" spans="2:9" s="16" customFormat="1" ht="15.75">
      <c r="B576" s="35" t="str">
        <f ca="1">IFERROR("Performance Level: "&amp;INDEX(Tab_DaBa[],MATCH(CONCATENATE(Liste!$C$3,$B$569,$B$571),Data!$BO:$BO,0)-2,10),"")</f>
        <v>Performance Level: PL_Ein3_1</v>
      </c>
      <c r="C576" s="54"/>
      <c r="D576" s="35" t="str">
        <f ca="1">IFERROR(IF(INDEX(Tab_DaBa[],MATCH(CONCATENATE(Liste!$C$3,$B$569,$B$571),Data!$BO:$BO,0)-2,18)="","Performance Level: "&amp;INDEX(Tab_DaBa[],MATCH(CONCATENATE(Liste!$C$3,$B$569,$B$571),Data!$BO:$BO,0)-2,15),"Performance Level: "&amp;INDEX(Tab_DaBa[],MATCH(CONCATENATE(Liste!$C$3,$B$569,$B$571),Data!$BO:$BO,0)-2,20)),"")</f>
        <v>Performance Level: PL_Log01_03_01</v>
      </c>
      <c r="E576" s="36"/>
      <c r="F576" s="35" t="str">
        <f ca="1">IFERROR(IF(AND(INDEX(Tab_DaBa[],MATCH(CONCATENATE(Liste!$C$3,$B$569,$B$571),Data!$BO:$BO,0)-2,18)&lt;&gt;"",INDEX(Tab_DaBa[],MATCH(CONCATENATE(Liste!$C$3,$B$569,$B$571),Data!$BO:$BO,0)-2,23)=""),"Performance Level: "&amp;INDEX(Tab_DaBa[],MATCH(CONCATENATE(Liste!$C$3,$B$569,$B$571),Data!$BO:$BO,0)-2,15),IF(INDEX(Tab_DaBa[],MATCH(CONCATENATE(Liste!$C$3,$B$569,$B$571),Data!$BO:$BO,0)-2,23)&lt;&gt;"","Performance Level: "&amp;INDEX(Tab_DaBa[],MATCH(CONCATENATE(Liste!$C$3,$B$569,$B$571),Data!$BO:$BO,0)-2,25),"")),"")</f>
        <v>Performance Level: PL_Aus3_1</v>
      </c>
      <c r="G576" s="39"/>
      <c r="H576" s="35" t="str">
        <f ca="1">IFERROR(IF(AND(INDEX(Tab_DaBa[],MATCH(CONCATENATE(Liste!$C$3,$B$569,$B$571),Data!$BO:$BO,0)-2,23)&lt;&gt;"",INDEX(Tab_DaBa[],MATCH(CONCATENATE(Liste!$C$3,$B$569,$B$571),Data!$BO:$BO,0)-2,28)=""),"Performance Level: "&amp;INDEX(Tab_DaBa[],MATCH(CONCATENATE(Liste!$C$3,$B$569,$B$571),Data!$BO:$BO,0)-2,15),IF(INDEX(Tab_DaBa[],MATCH(CONCATENATE(Liste!$C$3,$B$569,$B$571),Data!$BO:$BO,0)-2,23)&lt;&gt;"","Performance Level: "&amp;INDEX(Tab_DaBa[],MATCH(CONCATENATE(Liste!$C$3,$B$569,$B$571),Data!$BO:$BO,0)-2,30),"")),"")</f>
        <v/>
      </c>
      <c r="I576" s="38"/>
    </row>
    <row r="577" spans="2:9" s="16" customFormat="1" ht="15.75">
      <c r="B577" s="53" t="str">
        <f ca="1">IFERROR("PFH [1/h] = "&amp;10^9*INDEX(Tab_DaBa[],MATCH(CONCATENATE(Liste!$C$3,$B$569,$B$571),Data!$BO:$BO,0)-2,11)&amp;"E-9","")</f>
        <v>PFH [1/h] = 42,9E-9</v>
      </c>
      <c r="C577" s="54"/>
      <c r="D577" s="35" t="str">
        <f ca="1">IFERROR(IF(INDEX(Tab_DaBa[],MATCH(CONCATENATE(Liste!$C$3,$B$569,$B$571),Data!$BO:$BO,0)-2,18)="","PFH [1/h] = "&amp;10^9*INDEX(Tab_DaBa[],MATCH(CONCATENATE(Liste!$C$3,$B$569,$B$571),Data!$BO:$BO,0)-2,16)&amp;"E-9","PFH [1/h] = "&amp;10^9*INDEX(Tab_DaBa[],MATCH(CONCATENATE(Liste!$C$3,$B$569,$B$571),Data!$BO:$BO,0)-2,21)&amp;"E-9"),"")</f>
        <v>PFH [1/h] = 4,19E-9</v>
      </c>
      <c r="E577" s="36"/>
      <c r="F577" s="35" t="str">
        <f ca="1">IFERROR(IF(AND(INDEX(Tab_DaBa[],MATCH(CONCATENATE(Liste!$C$3,$B$569,$B$571),Data!$BO:$BO,0)-2,18)&lt;&gt;"",INDEX(Tab_DaBa[],MATCH(CONCATENATE(Liste!$C$3,$B$569,$B$571),Data!$BO:$BO,0)-2,23)=""),"PFH [1/h] = "&amp;10^9*INDEX(Tab_DaBa[],MATCH(CONCATENATE(Liste!$C$3,$B$569,$B$571),Data!$BO:$BO,0)-2,16)&amp;"E-9",IF(INDEX(Tab_DaBa[],MATCH(CONCATENATE(Liste!$C$3,$B$569,$B$571),Data!$BO:$BO,0)-2,23)&lt;&gt;"","PFH [1/h] = "&amp;10^9*INDEX(Tab_DaBa[],MATCH(CONCATENATE(Liste!$C$3,$B$569,$B$571),Data!$BO:$BO,0)-2,26)&amp;"E-9","")),"")</f>
        <v>PFH [1/h] = 24,7E-9</v>
      </c>
      <c r="G577" s="39"/>
      <c r="H577" s="35" t="str">
        <f ca="1">IFERROR(IF(AND(INDEX(Tab_DaBa[],MATCH(CONCATENATE(Liste!$C$3,$B$569,$B$571),Data!$BO:$BO,0)-2,23)&lt;&gt;"",INDEX(Tab_DaBa[],MATCH(CONCATENATE(Liste!$C$3,$B$569,$B$571),Data!$BO:$BO,0)-2,28)=""),"PFH [1/h] = "&amp;10^9*INDEX(Tab_DaBa[],MATCH(CONCATENATE(Liste!$C$3,$B$569,$B$571),Data!$BO:$BO,0)-2,16)&amp;"E-9",IF(INDEX(Tab_DaBa[],MATCH(CONCATENATE(Liste!$C$3,$B$569,$B$571),Data!$BO:$BO,0)-2,23)&lt;&gt;"","PFH [1/h] = "&amp;10^9*INDEX(Tab_DaBa[],MATCH(CONCATENATE(Liste!$C$3,$B$569,$B$571),Data!$BO:$BO,0)-2,31)&amp;"E-9","")),"")</f>
        <v/>
      </c>
      <c r="I577" s="39"/>
    </row>
    <row r="578" spans="2:9" s="16" customFormat="1">
      <c r="B578" s="33"/>
      <c r="C578" s="34"/>
      <c r="D578" s="33"/>
      <c r="E578" s="33"/>
      <c r="F578" s="33"/>
      <c r="G578" s="33"/>
      <c r="H578" s="33"/>
      <c r="I578" s="33"/>
    </row>
    <row r="579" spans="2:9" s="16" customFormat="1" ht="15.75">
      <c r="B579" s="38" t="str">
        <f ca="1">IF(B581="","",6)</f>
        <v/>
      </c>
      <c r="C579" s="34"/>
      <c r="D579" s="38" t="str">
        <f ca="1">IF(B581="","",3)</f>
        <v/>
      </c>
      <c r="E579" s="33"/>
      <c r="F579" s="38" t="str">
        <f ca="1">IF(B581="","",3)</f>
        <v/>
      </c>
      <c r="G579" s="33"/>
      <c r="H579" s="38" t="str">
        <f ca="1">IF(B581="","",3)</f>
        <v/>
      </c>
      <c r="I579" s="33"/>
    </row>
    <row r="580" spans="2:9" s="16" customFormat="1" ht="15.75">
      <c r="B580" s="39"/>
      <c r="C580" s="33"/>
      <c r="D580" s="33"/>
      <c r="E580" s="33"/>
      <c r="F580" s="33"/>
      <c r="G580" s="33"/>
      <c r="H580" s="33"/>
      <c r="I580" s="33"/>
    </row>
    <row r="581" spans="2:9" s="16" customFormat="1" ht="15.75">
      <c r="B581" s="35" t="str">
        <f ca="1">IFERROR(IF(AND(INDEX(Tab_DaBa[],MATCH(CONCATENATE(Liste!$C$3,$B$569,$B$571),Data!$BO:$BO,0)-2,28)&lt;&gt;"",INDEX(Tab_DaBa[],MATCH(CONCATENATE(Liste!$C$3,$B$569,$B$571),Data!$BO:$BO,0)-2,33)=0),INDEX(Tab_DaBa[],MATCH(CONCATENATE(Liste!$C$3,$B$569,$B$571),Data!$BO:$BO,0)-2,14),IF(INDEX(Tab_DaBa[],MATCH(CONCATENATE(Liste!$C$3,$B$569,$B$571),Data!$BO:$BO,0)-2,28)&lt;&gt;"",INDEX(Tab_DaBa[],MATCH(CONCATENATE(Liste!$C$3,$B$569,$B$571),Data!$BO:$BO,0)-2,34),"")),"")</f>
        <v/>
      </c>
      <c r="C581" s="39"/>
      <c r="D581" s="35" t="str">
        <f ca="1">IFERROR(IF(AND(INDEX(Tab_DaBa[],MATCH(CONCATENATE(Liste!$C$3,$B$569,$B$571),Data!$BO:$BO,0)-2,33)&lt;&gt;"",INDEX(Tab_DaBa[],MATCH(CONCATENATE(Liste!$C$3,$B$569,$B$571),Data!$BO:$BO,0)-2,38)=0),INDEX(Tab_DaBa[],MATCH(CONCATENATE(Liste!$C$3,$B$569,$B$571),Data!$BO:$BO,0)-2,14),IF(INDEX(Tab_DaBa[],MATCH(CONCATENATE(Liste!$C$3,$B$569,$B$571),Data!$BO:$BO,0)-2,33)&lt;&gt;"",INDEX(Tab_DaBa[],MATCH(CONCATENATE(Liste!$C$3,$B$569,$B$571),Data!$BO:$BO,0)-2,39),"")),"")</f>
        <v/>
      </c>
      <c r="E581" s="33"/>
      <c r="F581" s="35" t="str">
        <f ca="1">IFERROR(IF(AND(INDEX(Tab_DaBa[],MATCH(CONCATENATE(Liste!$C$3,$B$569,$B$571),Data!$BO:$BO,0)-2,38)&lt;&gt;"",INDEX(Tab_DaBa[],MATCH(CONCATENATE(Liste!$C$3,$B$569,$B$571),Data!$BO:$BO,0)-2,43)=0),INDEX(Tab_DaBa[],MATCH(CONCATENATE(Liste!$C$3,$B$569,$B$571),Data!$BO:$BO,0)-2,14),IF(INDEX(Tab_DaBa[],MATCH(CONCATENATE(Liste!$C$3,$B$569,$B$571),Data!$BO:$BO,0)-2,38)&lt;&gt;"",INDEX(Tab_DaBa[],MATCH(CONCATENATE(Liste!$C$3,$B$569,$B$571),Data!$BO:$BO,0)-2,44),"")),"")</f>
        <v/>
      </c>
      <c r="G581" s="39"/>
      <c r="H581" s="35" t="str">
        <f ca="1">IFERROR(IF(AND(INDEX(Tab_DaBa[],MATCH(CONCATENATE(Liste!$C$3,$B$569,$B$571),Data!$BO:$BO,0)-2,43)&lt;&gt;"",INDEX(Tab_DaBa[],MATCH(CONCATENATE(Liste!$C$3,$B$569,$B$571),Data!$BO:$BO,0)-2,48)=0),INDEX(Tab_DaBa[],MATCH(CONCATENATE(Liste!$C$3,$B$569,$B$571),Data!$BO:$BO,0)-2,14),IF(INDEX(Tab_DaBa[],MATCH(CONCATENATE(Liste!$C$3,$B$569,$B$571),Data!$BO:$BO,0)-2,43)&lt;&gt;"",INDEX(Tab_DaBa[],MATCH(CONCATENATE(Liste!$C$3,$B$569,$B$571),Data!$BO:$BO,0)-2,49),"")),"")</f>
        <v/>
      </c>
      <c r="I581" s="39"/>
    </row>
    <row r="582" spans="2:9" s="16" customFormat="1" ht="15.75">
      <c r="B582" s="35" t="str">
        <f ca="1">IFERROR(IF(AND(INDEX(Tab_DaBa[],MATCH(CONCATENATE(Liste!$C$3,$B$569,$B$571),Data!$BO:$BO,0)-2,28)&lt;&gt;"",INDEX(Tab_DaBa[],MATCH(CONCATENATE(Liste!$C$3,$B$569,$B$571),Data!$BO:$BO,0)-2,33)=0),INDEX(Tab_DaBa[],MATCH(CONCATENATE(Liste!$C$3,$B$569,$B$571),Data!$BO:$BO,0)-2,12),IF(INDEX(Tab_DaBa[],MATCH(CONCATENATE(Liste!$C$3,$B$569,$B$571),Data!$BO:$BO,0)-2,28)&lt;&gt;"",INDEX(Tab_DaBa[],MATCH(CONCATENATE(Liste!$C$3,$B$569,$B$571),Data!$BO:$BO,0)-2,32),"")),"")</f>
        <v/>
      </c>
      <c r="C582" s="39"/>
      <c r="D582" s="35" t="str">
        <f ca="1">IFERROR(IF(AND(INDEX(Tab_DaBa[],MATCH(CONCATENATE(Liste!$C$3,$B$569,$B$571),Data!$BO:$BO,0)-2,33)&lt;&gt;"",INDEX(Tab_DaBa[],MATCH(CONCATENATE(Liste!$C$3,$B$569,$B$571),Data!$BO:$BO,0)-2,38)=0),INDEX(Tab_DaBa[],MATCH(CONCATENATE(Liste!$C$3,$B$569,$B$571),Data!$BO:$BO,0)-2,12),IF(INDEX(Tab_DaBa[],MATCH(CONCATENATE(Liste!$C$3,$B$569,$B$571),Data!$BO:$BO,0)-2,33)&lt;&gt;"",INDEX(Tab_DaBa[],MATCH(CONCATENATE(Liste!$C$3,$B$569,$B$571),Data!$BO:$BO,0)-2,37),"")),"")</f>
        <v/>
      </c>
      <c r="E582" s="37"/>
      <c r="F582" s="35" t="str">
        <f ca="1">IFERROR(IF(AND(INDEX(Tab_DaBa[],MATCH(CONCATENATE(Liste!$C$3,$B$569,$B$571),Data!$BO:$BO,0)-2,38)&lt;&gt;"",INDEX(Tab_DaBa[],MATCH(CONCATENATE(Liste!$C$3,$B$569,$B$571),Data!$BO:$BO,0)-2,43)=0),INDEX(Tab_DaBa[],MATCH(CONCATENATE(Liste!$C$3,$B$569,$B$571),Data!$BO:$BO,0)-2,12),IF(INDEX(Tab_DaBa[],MATCH(CONCATENATE(Liste!$C$3,$B$569,$B$571),Data!$BO:$BO,0)-2,38)&lt;&gt;"",INDEX(Tab_DaBa[],MATCH(CONCATENATE(Liste!$C$3,$B$569,$B$571),Data!$BO:$BO,0)-2,42),"")),"")</f>
        <v/>
      </c>
      <c r="G582" s="39"/>
      <c r="H582" s="35" t="str">
        <f ca="1">IFERROR(IF(AND(INDEX(Tab_DaBa[],MATCH(CONCATENATE(Liste!$C$3,$B$569,$B$571),Data!$BO:$BO,0)-2,43)&lt;&gt;"",INDEX(Tab_DaBa[],MATCH(CONCATENATE(Liste!$C$3,$B$569,$B$571),Data!$BO:$BO,0)-2,48)=0),INDEX(Tab_DaBa[],MATCH(CONCATENATE(Liste!$C$3,$B$569,$B$571),Data!$BO:$BO,0)-2,12),IF(INDEX(Tab_DaBa[],MATCH(CONCATENATE(Liste!$C$3,$B$569,$B$571),Data!$BO:$BO,0)-2,43)&lt;&gt;"",INDEX(Tab_DaBa[],MATCH(CONCATENATE(Liste!$C$3,$B$569,$B$571),Data!$BO:$BO,0)-2,47),"")),"")</f>
        <v/>
      </c>
      <c r="I582" s="39"/>
    </row>
    <row r="583" spans="2:9" s="16" customFormat="1" ht="15.75">
      <c r="B583" s="35" t="str">
        <f ca="1">IFERROR(IF(AND(INDEX(Tab_DaBa[],MATCH(CONCATENATE(Liste!$C$3,$B$569,$B$571),Data!$BO:$BO,0)-2,28)&lt;&gt;"",INDEX(Tab_DaBa[],MATCH(CONCATENATE(Liste!$C$3,$B$569,$B$571),Data!$BO:$BO,0)-2,33)=""),INDEX(Tab_DaBa[],MATCH(CONCATENATE(Liste!$C$3,$B$569,$B$571),Data!$BO:$BO,0)-2,13),IF(INDEX(Tab_DaBa[],MATCH(CONCATENATE(Liste!$C$3,$B$569,$B$571),Data!$BO:$BO,0)-2,28)&lt;&gt;"",INDEX(Tab_DaBa[],MATCH(CONCATENATE(Liste!$C$3,$B$569,$B$571),Data!$BO:$BO,0)-2,33),"")),"")</f>
        <v/>
      </c>
      <c r="C583" s="38" t="str">
        <f ca="1">IF(D581="","",4)</f>
        <v/>
      </c>
      <c r="D583" s="35" t="str">
        <f ca="1">IFERROR(IF(AND(INDEX(Tab_DaBa[],MATCH(CONCATENATE(Liste!$C$3,$B$569,$B$571),Data!$BO:$BO,0)-2,33)&lt;&gt;"",INDEX(Tab_DaBa[],MATCH(CONCATENATE(Liste!$C$3,$B$569,$B$571),Data!$BO:$BO,0)-2,38)=""),INDEX(Tab_DaBa[],MATCH(CONCATENATE(Liste!$C$3,$B$569,$B$571),Data!$BO:$BO,0)-2,13),IF(INDEX(Tab_DaBa[],MATCH(CONCATENATE(Liste!$C$3,$B$569,$B$571),Data!$BO:$BO,0)-2,33)&lt;&gt;"",INDEX(Tab_DaBa[],MATCH(CONCATENATE(Liste!$C$3,$B$569,$B$571),Data!$BO:$BO,0)-2,38),"")),"")</f>
        <v/>
      </c>
      <c r="E583" s="38" t="str">
        <f ca="1">IF(F581="","",4)</f>
        <v/>
      </c>
      <c r="F583" s="35" t="str">
        <f ca="1">IFERROR(IF(AND(INDEX(Tab_DaBa[],MATCH(CONCATENATE(Liste!$C$3,$B$569,$B$571),Data!$BO:$BO,0)-2,38)&lt;&gt;"",INDEX(Tab_DaBa[],MATCH(CONCATENATE(Liste!$C$3,$B$569,$B$571),Data!$BO:$BO,0)-2,43)=""),INDEX(Tab_DaBa[],MATCH(CONCATENATE(Liste!$C$3,$B$569,$B$571),Data!$BO:$BO,0)-2,13),IF(INDEX(Tab_DaBa[],MATCH(CONCATENATE(Liste!$C$3,$B$569,$B$571),Data!$BO:$BO,0)-2,38)&lt;&gt;"",INDEX(Tab_DaBa[],MATCH(CONCATENATE(Liste!$C$3,$B$569,$B$571),Data!$BO:$BO,0)-2,43),"")),"")</f>
        <v/>
      </c>
      <c r="G583" s="38" t="str">
        <f ca="1">IF(H581="","",4)</f>
        <v/>
      </c>
      <c r="H583" s="35" t="str">
        <f ca="1">IFERROR(IF(AND(INDEX(Tab_DaBa[],MATCH(CONCATENATE(Liste!$C$3,$B$569,$B$571),Data!$BO:$BO,0)-2,43)&lt;&gt;"",INDEX(Tab_DaBa[],MATCH(CONCATENATE(Liste!$C$3,$B$569,$B$571),Data!$BO:$BO,0)-2,48)=""),INDEX(Tab_DaBa[],MATCH(CONCATENATE(Liste!$C$3,$B$569,$B$571),Data!$BO:$BO,0)-2,13),IF(INDEX(Tab_DaBa[],MATCH(CONCATENATE(Liste!$C$3,$B$569,$B$571),Data!$BO:$BO,0)-2,43)&lt;&gt;"",INDEX(Tab_DaBa[],MATCH(CONCATENATE(Liste!$C$3,$B$569,$B$571),Data!$BO:$BO,0)-2,48),"")),"")</f>
        <v/>
      </c>
      <c r="I583" s="38" t="str">
        <f ca="1">IF(B589="","",6)</f>
        <v/>
      </c>
    </row>
    <row r="584" spans="2:9" s="16" customFormat="1" ht="15.75">
      <c r="B584" s="35" t="str">
        <f ca="1">IFERROR(IF(AND(INDEX(Tab_DaBa[],MATCH(CONCATENATE(Liste!$C$3,$B$569,$B$571),Data!$BO:$BO,0)-2,28)&lt;&gt;"",INDEX(Tab_DaBa[],MATCH(CONCATENATE(Liste!$C$3,$B$569,$B$571),Data!$BO:$BO,0)-2,33)=""),"Performance Level: "&amp;INDEX(Tab_DaBa[],MATCH(CONCATENATE(Liste!$C$3,$B$569,$B$571),Data!$BO:$BO,0)-2,15),IF(INDEX(Tab_DaBa[],MATCH(CONCATENATE(Liste!$C$3,$B$569,$B$571),Data!$BO:$BO,0)-2,28)&lt;&gt;"","Performance Level: "&amp;INDEX(Tab_DaBa[],MATCH(CONCATENATE(Liste!$C$3,$B$569,$B$571),Data!$BO:$BO,0)-2,35),"")),"")</f>
        <v/>
      </c>
      <c r="C584" s="39"/>
      <c r="D584" s="35" t="str">
        <f ca="1">IFERROR(IF(AND(INDEX(Tab_DaBa[],MATCH(CONCATENATE(Liste!$C$3,$B$569,$B$571),Data!$BO:$BO,0)-2,33)&lt;&gt;"",INDEX(Tab_DaBa[],MATCH(CONCATENATE(Liste!$C$3,$B$569,$B$571),Data!$BO:$BO,0)-2,38)=""),"Performance Level: "&amp;INDEX(Tab_DaBa[],MATCH(CONCATENATE(Liste!$C$3,$B$569,$B$571),Data!$BO:$BO,0)-2,15),IF(INDEX(Tab_DaBa[],MATCH(CONCATENATE(Liste!$C$3,$B$569,$B$571),Data!$BO:$BO,0)-2,33)&lt;&gt;"","Performance Level: "&amp;INDEX(Tab_DaBa[],MATCH(CONCATENATE(Liste!$C$3,$B$569,$B$571),Data!$BO:$BO,0)-2,40),"")),"")</f>
        <v/>
      </c>
      <c r="E584" s="37"/>
      <c r="F584" s="35" t="str">
        <f ca="1">IFERROR(IF(AND(INDEX(Tab_DaBa[],MATCH(CONCATENATE(Liste!$C$3,$B$569,$B$571),Data!$BO:$BO,0)-2,38)&lt;&gt;"",INDEX(Tab_DaBa[],MATCH(CONCATENATE(Liste!$C$3,$B$569,$B$571),Data!$BO:$BO,0)-2,43)=""),"Performance Level: "&amp;INDEX(Tab_DaBa[],MATCH(CONCATENATE(Liste!$C$3,$B$569,$B$571),Data!$BO:$BO,0)-2,15),IF(INDEX(Tab_DaBa[],MATCH(CONCATENATE(Liste!$C$3,$B$569,$B$571),Data!$BO:$BO,0)-2,38)&lt;&gt;"","Performance Level: "&amp;INDEX(Tab_DaBa[],MATCH(CONCATENATE(Liste!$C$3,$B$569,$B$571),Data!$BO:$BO,0)-2,45),"")),"")</f>
        <v/>
      </c>
      <c r="G584" s="39"/>
      <c r="H584" s="35" t="str">
        <f ca="1">IFERROR(IF(AND(INDEX(Tab_DaBa[],MATCH(CONCATENATE(Liste!$C$3,$B$569,$B$571),Data!$BO:$BO,0)-2,43)&lt;&gt;"",INDEX(Tab_DaBa[],MATCH(CONCATENATE(Liste!$C$3,$B$569,$B$571),Data!$BO:$BO,0)-2,48)=""),"Performance Level: "&amp;INDEX(Tab_DaBa[],MATCH(CONCATENATE(Liste!$C$3,$B$569,$B$571),Data!$BO:$BO,0)-2,15),IF(INDEX(Tab_DaBa[],MATCH(CONCATENATE(Liste!$C$3,$B$569,$B$571),Data!$BO:$BO,0)-2,43)&lt;&gt;"","Performance Level: "&amp;INDEX(Tab_DaBa[],MATCH(CONCATENATE(Liste!$C$3,$B$569,$B$571),Data!$BO:$BO,0)-2,50),"")),"")</f>
        <v/>
      </c>
      <c r="I584" s="39"/>
    </row>
    <row r="585" spans="2:9" s="16" customFormat="1" ht="15.75">
      <c r="B585" s="35" t="str">
        <f ca="1">IFERROR(IF(AND(INDEX(Tab_DaBa[],MATCH(CONCATENATE(Liste!$C$3,$B$569,$B$571),Data!$BO:$BO,0)-2,28)&lt;&gt;"",INDEX(Tab_DaBa[],MATCH(CONCATENATE(Liste!$C$3,$B$569,$B$571),Data!$BO:$BO,0)-2,33)=""),"PFH [1/h] = "&amp;10^9*INDEX(Tab_DaBa[],MATCH(CONCATENATE(Liste!$C$3,$B$569,$B$571),Data!$BO:$BO,0)-2,16)&amp;"E-9",IF(INDEX(Tab_DaBa[],MATCH(CONCATENATE(Liste!$C$3,$B$569,$B$571),Data!$BO:$BO,0)-2,28)&lt;&gt;"","PFH [1/h] = "&amp;10^9*INDEX(Tab_DaBa[],MATCH(CONCATENATE(Liste!$C$3,$B$569,$B$571),Data!$BO:$BO,0)-2,36)&amp;"E-9","")),"")</f>
        <v/>
      </c>
      <c r="C585" s="39"/>
      <c r="D585" s="35" t="str">
        <f ca="1">IFERROR(IF(AND(INDEX(Tab_DaBa[],MATCH(CONCATENATE(Liste!$C$3,$B$569,$B$571),Data!$BO:$BO,0)-2,33)&lt;&gt;"",INDEX(Tab_DaBa[],MATCH(CONCATENATE(Liste!$C$3,$B$569,$B$571),Data!$BO:$BO,0)-2,38)=""),"PFH [1/h] = "&amp;10^9*INDEX(Tab_DaBa[],MATCH(CONCATENATE(Liste!$C$3,$B$569,$B$571),Data!$BO:$BO,0)-2,16)&amp;"E-9",IF(INDEX(Tab_DaBa[],MATCH(CONCATENATE(Liste!$C$3,$B$569,$B$571),Data!$BO:$BO,0)-2,33)&lt;&gt;"","PFH [1/h] = "&amp;10^9*INDEX(Tab_DaBa[],MATCH(CONCATENATE(Liste!$C$3,$B$569,$B$571),Data!$BO:$BO,0)-2,41)&amp;"E-9","")),"")</f>
        <v/>
      </c>
      <c r="E585" s="37"/>
      <c r="F585" s="35" t="str">
        <f ca="1">IFERROR(IF(AND(INDEX(Tab_DaBa[],MATCH(CONCATENATE(Liste!$C$3,$B$569,$B$571),Data!$BO:$BO,0)-2,38)&lt;&gt;"",INDEX(Tab_DaBa[],MATCH(CONCATENATE(Liste!$C$3,$B$569,$B$571),Data!$BO:$BO,0)-2,43)=""),"PFH [1/h] = "&amp;10^9*INDEX(Tab_DaBa[],MATCH(CONCATENATE(Liste!$C$3,$B$569,$B$571),Data!$BO:$BO,0)-2,16)&amp;"E-9",IF(INDEX(Tab_DaBa[],MATCH(CONCATENATE(Liste!$C$3,$B$569,$B$571),Data!$BO:$BO,0)-2,38)&lt;&gt;"","PFH [1/h] = "&amp;10^9*INDEX(Tab_DaBa[],MATCH(CONCATENATE(Liste!$C$3,$B$569,$B$571),Data!$BO:$BO,0)-2,46)&amp;"E-9","")),"")</f>
        <v/>
      </c>
      <c r="G585" s="39"/>
      <c r="H585" s="35" t="str">
        <f ca="1">IFERROR(IF(AND(INDEX(Tab_DaBa[],MATCH(CONCATENATE(Liste!$C$3,$B$569,$B$571),Data!$BO:$BO,0)-2,43)&lt;&gt;"",INDEX(Tab_DaBa[],MATCH(CONCATENATE(Liste!$C$3,$B$569,$B$571),Data!$BO:$BO,0)-2,48)=""),"PFH [1/h] = "&amp;10^9*INDEX(Tab_DaBa[],MATCH(CONCATENATE(Liste!$C$3,$B$569,$B$571),Data!$BO:$BO,0)-2,16)&amp;"E-9",IF(INDEX(Tab_DaBa[],MATCH(CONCATENATE(Liste!$C$3,$B$569,$B$571),Data!$BO:$BO,0)-2,43)&lt;&gt;"","PFH [1/h] = "&amp;10^9*INDEX(Tab_DaBa[],MATCH(CONCATENATE(Liste!$C$3,$B$569,$B$571),Data!$BO:$BO,0)-2,51)&amp;"E-9","")),"")</f>
        <v/>
      </c>
      <c r="I585" s="39"/>
    </row>
    <row r="586" spans="2:9" s="16" customFormat="1">
      <c r="B586" s="33"/>
      <c r="C586" s="33"/>
      <c r="D586" s="33"/>
      <c r="E586" s="33"/>
      <c r="F586" s="33"/>
      <c r="G586" s="33"/>
      <c r="H586" s="33"/>
      <c r="I586" s="33"/>
    </row>
    <row r="587" spans="2:9" s="16" customFormat="1" ht="15.75">
      <c r="B587" s="38" t="str">
        <f ca="1">IF(B589="","",6)</f>
        <v/>
      </c>
      <c r="C587" s="33"/>
      <c r="D587" s="38" t="str">
        <f ca="1">IF(B589="","",3)</f>
        <v/>
      </c>
      <c r="E587" s="33"/>
      <c r="F587" s="38" t="str">
        <f ca="1">IF(B589="","",3)</f>
        <v/>
      </c>
      <c r="G587" s="33"/>
      <c r="H587" s="38" t="str">
        <f ca="1">IF(B589="","",3)</f>
        <v/>
      </c>
      <c r="I587" s="33"/>
    </row>
    <row r="588" spans="2:9" s="16" customFormat="1" ht="15.75">
      <c r="B588" s="39"/>
      <c r="C588" s="33"/>
      <c r="D588" s="33"/>
      <c r="E588" s="33"/>
      <c r="F588" s="33"/>
      <c r="G588" s="33"/>
      <c r="H588" s="33"/>
      <c r="I588" s="33"/>
    </row>
    <row r="589" spans="2:9" s="16" customFormat="1" ht="15.75">
      <c r="B589" s="35" t="str">
        <f ca="1">IFERROR(IF(AND(INDEX(Tab_DaBa[],MATCH(CONCATENATE(Liste!$C$3,$B$569,$B$571),Data!$BO:$BO,0)-2,48)&lt;&gt;"",INDEX(Tab_DaBa[],MATCH(CONCATENATE(Liste!$C$3,$B$569,$B$571),Data!$BO:$BO,0)-2,53)=0),INDEX(Tab_DaBa[],MATCH(CONCATENATE(Liste!$C$3,$B$569,$B$571),Data!$BO:$BO,0)-2,14),IF(INDEX(Tab_DaBa[],MATCH(CONCATENATE(Liste!$C$3,$B$569,$B$571),Data!$BO:$BO,0)-2,48)&lt;&gt;"",INDEX(Tab_DaBa[],MATCH(CONCATENATE(Liste!$C$3,$B$569,$B$571),Data!$BO:$BO,0)-2,54),"")),"")</f>
        <v/>
      </c>
      <c r="C589" s="39"/>
      <c r="D589" s="35" t="str">
        <f ca="1">IFERROR(IF(AND(INDEX(Tab_DaBa[],MATCH(CONCATENATE(Liste!$C$3,$B$569,$B$571),Data!$BO:$BO,0)-2,53)&lt;&gt;"",INDEX(Tab_DaBa[],MATCH(CONCATENATE(Liste!$C$3,$B$569,$B$571),Data!$BO:$BO,0)-2,58)=0),INDEX(Tab_DaBa[],MATCH(CONCATENATE(Liste!$C$3,$B$569,$B$571),Data!$BO:$BO,0)-2,14),IF(INDEX(Tab_DaBa[],MATCH(CONCATENATE(Liste!$C$3,$B$569,$B$571),Data!$BO:$BO,0)-2,53)&lt;&gt;"",INDEX(Tab_DaBa[],MATCH(CONCATENATE(Liste!$C$3,$B$569,$B$571),Data!$BO:$BO,0)-2,59),"")),"")</f>
        <v/>
      </c>
      <c r="E589" s="33"/>
      <c r="F589" s="35" t="str">
        <f ca="1">IFERROR(IF(AND(INDEX(Tab_DaBa[],MATCH(CONCATENATE(Liste!$C$3,$B$569,$B$571),Data!$BO:$BO,0)-2,58)&lt;&gt;"",INDEX(Tab_DaBa[],MATCH(CONCATENATE(Liste!$C$3,$B$569,$B$571),Data!$BO:$BO,0)-2,63)=0),INDEX(Tab_DaBa[],MATCH(CONCATENATE(Liste!$C$3,$B$569,$B$571),Data!$BO:$BO,0)-2,14),IF(INDEX(Tab_DaBa[],MATCH(CONCATENATE(Liste!$C$3,$B$569,$B$571),Data!$BO:$BO,0)-2,58)&lt;&gt;"",INDEX(Tab_DaBa[],MATCH(CONCATENATE(Liste!$C$3,$B$569,$B$571),Data!$BO:$BO,0)-2,64),"")),"")</f>
        <v/>
      </c>
      <c r="G589" s="39"/>
      <c r="H589" s="35" t="str">
        <f ca="1">IFERROR(IF(INDEX(Tab_DaBa[],MATCH(CONCATENATE(Liste!$C$3,$B$569,$B$571),Data!$BO:$BO,0)-2,63)&lt;&gt;"",INDEX(Tab_DaBa[],MATCH(CONCATENATE(Liste!$C$3,$B$569,$B$571),Data!$BO:$BO,0)-2,14),""),"")</f>
        <v/>
      </c>
    </row>
    <row r="590" spans="2:9" s="16" customFormat="1" ht="15.75">
      <c r="B590" s="35" t="str">
        <f ca="1">IFERROR(IF(AND(INDEX(Tab_DaBa[],MATCH(CONCATENATE(Liste!$C$3,$B$569,$B$571),Data!$BO:$BO,0)-2,48)&lt;&gt;"",INDEX(Tab_DaBa[],MATCH(CONCATENATE(Liste!$C$3,$B$569,$B$571),Data!$BO:$BO,0)-2,53)=0),INDEX(Tab_DaBa[],MATCH(CONCATENATE(Liste!$C$3,$B$569,$B$571),Data!$BO:$BO,0)-2,12),IF(INDEX(Tab_DaBa[],MATCH(CONCATENATE(Liste!$C$3,$B$569,$B$571),Data!$BO:$BO,0)-2,48)&lt;&gt;"",INDEX(Tab_DaBa[],MATCH(CONCATENATE(Liste!$C$3,$B$569,$B$571),Data!$BO:$BO,0)-2,52),"")),"")</f>
        <v/>
      </c>
      <c r="C590" s="39"/>
      <c r="D590" s="35" t="str">
        <f ca="1">IFERROR(IF(AND(INDEX(Tab_DaBa[],MATCH(CONCATENATE(Liste!$C$3,$B$569,$B$571),Data!$BO:$BO,0)-2,53)&lt;&gt;"",INDEX(Tab_DaBa[],MATCH(CONCATENATE(Liste!$C$3,$B$569,$B$571),Data!$BO:$BO,0)-2,58)=0),INDEX(Tab_DaBa[],MATCH(CONCATENATE(Liste!$C$3,$B$569,$B$571),Data!$BO:$BO,0)-2,12),IF(INDEX(Tab_DaBa[],MATCH(CONCATENATE(Liste!$C$3,$B$569,$B$571),Data!$BO:$BO,0)-2,53)&lt;&gt;"",INDEX(Tab_DaBa[],MATCH(CONCATENATE(Liste!$C$3,$B$569,$B$571),Data!$BO:$BO,0)-2,57),"")),"")</f>
        <v/>
      </c>
      <c r="E590" s="37"/>
      <c r="F590" s="35" t="str">
        <f ca="1">IFERROR(IF(AND(INDEX(Tab_DaBa[],MATCH(CONCATENATE(Liste!$C$3,$B$569,$B$571),Data!$BO:$BO,0)-2,58)&lt;&gt;"",INDEX(Tab_DaBa[],MATCH(CONCATENATE(Liste!$C$3,$B$569,$B$571),Data!$BO:$BO,0)-2,63)=0),INDEX(Tab_DaBa[],MATCH(CONCATENATE(Liste!$C$3,$B$569,$B$571),Data!$BO:$BO,0)-2,12),IF(INDEX(Tab_DaBa[],MATCH(CONCATENATE(Liste!$C$3,$B$569,$B$571),Data!$BO:$BO,0)-2,58)&lt;&gt;"",INDEX(Tab_DaBa[],MATCH(CONCATENATE(Liste!$C$3,$B$569,$B$571),Data!$BO:$BO,0)-2,62),"")),"")</f>
        <v/>
      </c>
      <c r="G590" s="39"/>
      <c r="H590" s="35" t="str">
        <f ca="1">IFERROR(IF(INDEX(Tab_DaBa[],MATCH(CONCATENATE(Liste!$C$3,$B$569,$B$571),Data!$BO:$BO,0)-2,63)&lt;&gt;"",INDEX(Tab_DaBa[],MATCH(CONCATENATE(Liste!$C$3,$B$569,$B$571),Data!$BO:$BO,0)-2,12),""),"")</f>
        <v/>
      </c>
    </row>
    <row r="591" spans="2:9" s="16" customFormat="1" ht="15.75">
      <c r="B591" s="35" t="str">
        <f ca="1">IFERROR(IF(AND(INDEX(Tab_DaBa[],MATCH(CONCATENATE(Liste!$C$3,$B$569,$B$571),Data!$BO:$BO,0)-2,48)&lt;&gt;"",INDEX(Tab_DaBa[],MATCH(CONCATENATE(Liste!$C$3,$B$569,$B$571),Data!$BO:$BO,0)-2,53)=""),INDEX(Tab_DaBa[],MATCH(CONCATENATE(Liste!$C$3,$B$569,$B$571),Data!$BO:$BO,0)-2,13),IF(INDEX(Tab_DaBa[],MATCH(CONCATENATE(Liste!$C$3,$B$569,$B$571),Data!$BO:$BO,0)-2,48)&lt;&gt;"",INDEX(Tab_DaBa[],MATCH(CONCATENATE(Liste!$C$3,$B$569,$B$571),Data!$BO:$BO,0)-2,53),"")),"")</f>
        <v/>
      </c>
      <c r="C591" s="38" t="str">
        <f ca="1">IF(D589="","",4)</f>
        <v/>
      </c>
      <c r="D591" s="35" t="str">
        <f ca="1">IFERROR(IF(AND(INDEX(Tab_DaBa[],MATCH(CONCATENATE(Liste!$C$3,$B$569,$B$571),Data!$BO:$BO,0)-2,53)&lt;&gt;"",INDEX(Tab_DaBa[],MATCH(CONCATENATE(Liste!$C$3,$B$569,$B$571),Data!$BO:$BO,0)-2,58)=""),INDEX(Tab_DaBa[],MATCH(CONCATENATE(Liste!$C$3,$B$569,$B$571),Data!$BO:$BO,0)-2,13),IF(INDEX(Tab_DaBa[],MATCH(CONCATENATE(Liste!$C$3,$B$569,$B$571),Data!$BO:$BO,0)-2,53)&lt;&gt;"",INDEX(Tab_DaBa[],MATCH(CONCATENATE(Liste!$C$3,$B$569,$B$571),Data!$BO:$BO,0)-2,58),"")),"")</f>
        <v/>
      </c>
      <c r="E591" s="38" t="str">
        <f ca="1">IF(F589="","",4)</f>
        <v/>
      </c>
      <c r="F591" s="35" t="str">
        <f ca="1">IFERROR(IF(AND(INDEX(Tab_DaBa[],MATCH(CONCATENATE(Liste!$C$3,$B$569,$B$571),Data!$BO:$BO,0)-2,58)&lt;&gt;"",INDEX(Tab_DaBa[],MATCH(CONCATENATE(Liste!$C$3,$B$569,$B$571),Data!$BO:$BO,0)-2,63)=""),INDEX(Tab_DaBa[],MATCH(CONCATENATE(Liste!$C$3,$B$569,$B$571),Data!$BO:$BO,0)-2,13),IF(INDEX(Tab_DaBa[],MATCH(CONCATENATE(Liste!$C$3,$B$569,$B$571),Data!$BO:$BO,0)-2,58)&lt;&gt;"",INDEX(Tab_DaBa[],MATCH(CONCATENATE(Liste!$C$3,$B$569,$B$571),Data!$BO:$BO,0)-2,63),"")),"")</f>
        <v/>
      </c>
      <c r="G591" s="38" t="str">
        <f ca="1">IF(H589="","",4)</f>
        <v/>
      </c>
      <c r="H591" s="35" t="str">
        <f ca="1">IFERROR(IF(INDEX(Tab_DaBa[],MATCH(CONCATENATE(Liste!$C$3,$B$569,$B$571),Data!$BO:$BO,0)-2,63)&lt;&gt;"",INDEX(Tab_DaBa[],MATCH(CONCATENATE(Liste!$C$3,$B$569,$B$571),Data!$BO:$BO,0)-2,13),""),"")</f>
        <v/>
      </c>
    </row>
    <row r="592" spans="2:9" s="16" customFormat="1" ht="15.75">
      <c r="B592" s="35" t="str">
        <f ca="1">IFERROR(IF(AND(INDEX(Tab_DaBa[],MATCH(CONCATENATE(Liste!$C$3,$B$569,$B$571),Data!$BO:$BO,0)-2,48)&lt;&gt;"",INDEX(Tab_DaBa[],MATCH(CONCATENATE(Liste!$C$3,$B$569,$B$571),Data!$BO:$BO,0)-2,53)=""),"Performance Level: "&amp;INDEX(Tab_DaBa[],MATCH(CONCATENATE(Liste!$C$3,$B$569,$B$571),Data!$BO:$BO,0)-2,15),IF(INDEX(Tab_DaBa[],MATCH(CONCATENATE(Liste!$C$3,$B$569,$B$571),Data!$BO:$BO,0)-2,48)&lt;&gt;"","Performance Level: "&amp;INDEX(Tab_DaBa[],MATCH(CONCATENATE(Liste!$C$3,$B$569,$B$571),Data!$BO:$BO,0)-2,55),"")),"")</f>
        <v/>
      </c>
      <c r="C592" s="39"/>
      <c r="D592" s="35" t="str">
        <f ca="1">IFERROR(IF(AND(INDEX(Tab_DaBa[],MATCH(CONCATENATE(Liste!$C$3,$B$569,$B$571),Data!$BO:$BO,0)-2,53)&lt;&gt;"",INDEX(Tab_DaBa[],MATCH(CONCATENATE(Liste!$C$3,$B$569,$B$571),Data!$BO:$BO,0)-2,58)=""),"Performance Level: "&amp;INDEX(Tab_DaBa[],MATCH(CONCATENATE(Liste!$C$3,$B$569,$B$571),Data!$BO:$BO,0)-2,15),IF(INDEX(Tab_DaBa[],MATCH(CONCATENATE(Liste!$C$3,$B$569,$B$571),Data!$BO:$BO,0)-2,53)&lt;&gt;"","Performance Level: "&amp;INDEX(Tab_DaBa[],MATCH(CONCATENATE(Liste!$C$3,$B$569,$B$571),Data!$BO:$BO,0)-2,60),"")),"")</f>
        <v/>
      </c>
      <c r="E592" s="37"/>
      <c r="F592" s="35" t="str">
        <f ca="1">IFERROR(IF(AND(INDEX(Tab_DaBa[],MATCH(CONCATENATE(Liste!$C$3,$B$569,$B$571),Data!$BO:$BO,0)-2,58)&lt;&gt;"",INDEX(Tab_DaBa[],MATCH(CONCATENATE(Liste!$C$3,$B$569,$B$571),Data!$BO:$BO,0)-2,63)=""),"Performance Level: "&amp;INDEX(Tab_DaBa[],MATCH(CONCATENATE(Liste!$C$3,$B$569,$B$571),Data!$BO:$BO,0)-2,15),IF(INDEX(Tab_DaBa[],MATCH(CONCATENATE(Liste!$C$3,$B$569,$B$571),Data!$BO:$BO,0)-2,58)&lt;&gt;"","Performance Level: "&amp;INDEX(Tab_DaBa[],MATCH(CONCATENATE(Liste!$C$3,$B$569,$B$571),Data!$BO:$BO,0)-2,65),"")),"")</f>
        <v/>
      </c>
      <c r="G592" s="39"/>
      <c r="H592" s="35" t="str">
        <f ca="1">IFERROR(IF(INDEX(Tab_DaBa[],MATCH(CONCATENATE(Liste!$C$3,$B$569,$B$571),Data!$BO:$BO,0)-2,63)&lt;&gt;"","Performance Level: "&amp;INDEX(Tab_DaBa[],MATCH(CONCATENATE(Liste!$C$3,$B$569,$B$571),Data!$BO:$BO,0)-2,15),""),"")</f>
        <v/>
      </c>
    </row>
    <row r="593" spans="2:9" s="16" customFormat="1" ht="15.75">
      <c r="B593" s="35" t="str">
        <f ca="1">IFERROR(IF(AND(INDEX(Tab_DaBa[],MATCH(CONCATENATE(Liste!$C$3,$B$569,$B$571),Data!$BO:$BO,0)-2,48)&lt;&gt;"",INDEX(Tab_DaBa[],MATCH(CONCATENATE(Liste!$C$3,$B$569,$B$571),Data!$BO:$BO,0)-2,53)=""),"PFH [1/h] = "&amp;10^9*INDEX(Tab_DaBa[],MATCH(CONCATENATE(Liste!$C$3,$B$569,$B$571),Data!$BO:$BO,0)-2,16)&amp;"E-9",IF(INDEX(Tab_DaBa[],MATCH(CONCATENATE(Liste!$C$3,$B$569,$B$571),Data!$BO:$BO,0)-2,48)&lt;&gt;"","PFH [1/h] = "&amp;10^9*INDEX(Tab_DaBa[],MATCH(CONCATENATE(Liste!$C$3,$B$569,$B$571),Data!$BO:$BO,0)-2,56)&amp;"E-9","")),"")</f>
        <v/>
      </c>
      <c r="C593" s="39"/>
      <c r="D593" s="35" t="str">
        <f ca="1">IFERROR(IF(AND(INDEX(Tab_DaBa[],MATCH(CONCATENATE(Liste!$C$3,$B$569,$B$571),Data!$BO:$BO,0)-2,53)&lt;&gt;"",INDEX(Tab_DaBa[],MATCH(CONCATENATE(Liste!$C$3,$B$569,$B$571),Data!$BO:$BO,0)-2,58)=""),"PFH [1/h] = "&amp;10^9*INDEX(Tab_DaBa[],MATCH(CONCATENATE(Liste!$C$3,$B$569,$B$571),Data!$BO:$BO,0)-2,16)&amp;"E-9",IF(INDEX(Tab_DaBa[],MATCH(CONCATENATE(Liste!$C$3,$B$569,$B$571),Data!$BO:$BO,0)-2,53)&lt;&gt;"","PFH [1/h] = "&amp;10^9*INDEX(Tab_DaBa[],MATCH(CONCATENATE(Liste!$C$3,$B$569,$B$571),Data!$BO:$BO,0)-2,61)&amp;"E-9","")),"")</f>
        <v/>
      </c>
      <c r="E593" s="37"/>
      <c r="F593" s="35" t="str">
        <f ca="1">IFERROR(IF(AND(INDEX(Tab_DaBa[],MATCH(CONCATENATE(Liste!$C$3,$B$569,$B$571),Data!$BO:$BO,0)-2,58)&lt;&gt;"",INDEX(Tab_DaBa[],MATCH(CONCATENATE(Liste!$C$3,$B$569,$B$571),Data!$BO:$BO,0)-2,63)=""),"PFH [1/h] = "&amp;10^9*INDEX(Tab_DaBa[],MATCH(CONCATENATE(Liste!$C$3,$B$569,$B$571),Data!$BO:$BO,0)-2,16)&amp;"E-9",IF(INDEX(Tab_DaBa[],MATCH(CONCATENATE(Liste!$C$3,$B$569,$B$571),Data!$BO:$BO,0)-2,58)&lt;&gt;"","PFH [1/h] = "&amp;10^9*INDEX(Tab_DaBa[],MATCH(CONCATENATE(Liste!$C$3,$B$569,$B$571),Data!$BO:$BO,0)-2,66)&amp;"E-9","")),"")</f>
        <v/>
      </c>
      <c r="G593" s="39"/>
      <c r="H593" s="35" t="str">
        <f ca="1">IFERROR(IF(INDEX(Tab_DaBa[],MATCH(CONCATENATE(Liste!$C$3,$B$569,$B$571),Data!$BO:$BO,0)-2,63)&lt;&gt;"","PFH [1/h] = "&amp;10^9*INDEX(Tab_DaBa[],MATCH(CONCATENATE(Liste!$C$3,$B$569,$B$571),Data!$BO:$BO,0)-2,16)&amp;"E-9",""),"")</f>
        <v/>
      </c>
    </row>
    <row r="594" spans="2:9" s="16" customFormat="1"/>
    <row r="595" spans="2:9" s="16" customFormat="1">
      <c r="B595" s="43" t="str">
        <f ca="1">IF(D595="","","Erforderlich")</f>
        <v>Erforderlich</v>
      </c>
      <c r="D595" s="44" t="str">
        <f ca="1">IFERROR("Performance Level: "&amp;INDEX(Tab_DaBa[],MATCH(CONCATENATE(Liste!$C$3,$B$569,$B$571),Data!$BO:$BO,0)-2,4),"")</f>
        <v>Performance Level: PLr_ges3_1</v>
      </c>
    </row>
    <row r="596" spans="2:9" s="16" customFormat="1">
      <c r="B596" s="45"/>
    </row>
    <row r="597" spans="2:9" s="16" customFormat="1">
      <c r="B597" s="46" t="str">
        <f ca="1">IF(D597="","","Erreicht")</f>
        <v>Erreicht</v>
      </c>
      <c r="D597" s="47" t="str">
        <f ca="1">IFERROR("Performance Level: "&amp;INDEX(Tab_DaBa[],MATCH(CONCATENATE(Liste!$C$3,$B$569,$B$571),Data!$BO:$BO,0)-2,5)&amp;"          PFH [1/h] = "&amp;10^9*INDEX(Tab_DaBa[],MATCH(CONCATENATE(Liste!$C$3,$B$569,$B$571),Data!$BO:$BO,0)-2,6)&amp;"E-9","")</f>
        <v>Performance Level: Pl_ges3_1          PFH [1/h] = 71,7E-9</v>
      </c>
    </row>
    <row r="598" spans="2:9" s="16" customFormat="1"/>
    <row r="599" spans="2:9" s="16" customFormat="1">
      <c r="B599" s="42" t="str">
        <f ca="1">IFERROR(IF(2&gt;COUNTIF(Data!$BP:$BP,CONCATENATE(Liste!$C$3,$B$569)),"",INDEX(Tab_DaBa[],MATCH(CONCATENATE(Liste!$C$3,$B$569),Data!$BP:$BP,0)-1,3)),"")</f>
        <v>3.2 Test3 (E+2L+A)</v>
      </c>
    </row>
    <row r="600" spans="2:9" s="16" customFormat="1"/>
    <row r="601" spans="2:9" s="16" customFormat="1" ht="15.75">
      <c r="B601" s="35" t="str">
        <f ca="1">IFERROR(INDEX(Tab_DaBa[],MATCH(CONCATENATE(Liste!$C$3,$B$569,$B$599),Data!$BO:$BO,0)-2,9),"")</f>
        <v>Eingang</v>
      </c>
      <c r="C601" s="54"/>
      <c r="D601" s="35" t="str">
        <f ca="1">IFERROR(IF(INDEX(Tab_DaBa[],MATCH(CONCATENATE(Liste!$C$3,$B$569,$B$599),Data!$BO:$BO,0)-2,18)=0,INDEX(Tab_DaBa[],MATCH(CONCATENATE(Liste!$C$3,$B$569,$B$599),Data!$BO:$BO,0)-2,14),INDEX(Tab_DaBa[],MATCH(CONCATENATE(Liste!$C$3,$B$569,$B$599),Data!$BO:$BO,0)-2,19)),"")</f>
        <v>Logik 01</v>
      </c>
      <c r="E601" s="33"/>
      <c r="F601" s="35" t="str">
        <f ca="1">IFERROR(IF(AND(INDEX(Tab_DaBa[],MATCH(CONCATENATE(Liste!$C$3,$B$569,$B$599),Data!$BO:$BO,0)-2,18)&lt;&gt;"",INDEX(Tab_DaBa[],MATCH(CONCATENATE(Liste!$C$3,$B$569,$B$599),Data!$BO:$BO,0)-2,23)=0),INDEX(Tab_DaBa[],MATCH(CONCATENATE(Liste!$C$3,$B$569,$B$599),Data!$BO:$BO,0)-2,14),IF(INDEX(Tab_DaBa[],MATCH(CONCATENATE(Liste!$C$3,$B$569,$B$599),Data!$BO:$BO,0)-2,23)&lt;&gt;"",INDEX(Tab_DaBa[],MATCH(CONCATENATE(Liste!$C$3,$B$569,$B$599),Data!$BO:$BO,0)-2,24),"")),"")</f>
        <v>Logik 02</v>
      </c>
      <c r="G601" s="39"/>
      <c r="H601" s="35" t="str">
        <f ca="1">IFERROR(IF(AND(INDEX(Tab_DaBa[],MATCH(CONCATENATE(Liste!$C$3,$B$569,$B$599),Data!$BO:$BO,0)-2,23)&lt;&gt;"",INDEX(Tab_DaBa[],MATCH(CONCATENATE(Liste!$C$3,$B$569,$B$599),Data!$BO:$BO,0)-2,28)=0),INDEX(Tab_DaBa[],MATCH(CONCATENATE(Liste!$C$3,$B$569,$B$599),Data!$BO:$BO,0)-2,14),IF(INDEX(Tab_DaBa[],MATCH(CONCATENATE(Liste!$C$3,$B$569,$B$599),Data!$BO:$BO,0)-2,23)&lt;&gt;"",INDEX(Tab_DaBa[],MATCH(CONCATENATE(Liste!$C$3,$B$569,$B$599),Data!$BO:$BO,0)-2,29),"")),"")</f>
        <v>Ausgang</v>
      </c>
      <c r="I601" s="39"/>
    </row>
    <row r="602" spans="2:9" s="16" customFormat="1" ht="15.75">
      <c r="B602" s="35" t="str">
        <f ca="1">IFERROR(INDEX(Tab_DaBa[],MATCH(CONCATENATE(Liste!$C$3,$B$569,$B$599),Data!$BO:$BO,0)-2,7),"")</f>
        <v>eeee-33_2</v>
      </c>
      <c r="C602" s="54"/>
      <c r="D602" s="35" t="str">
        <f ca="1">IFERROR(IF(INDEX(Tab_DaBa[],MATCH(CONCATENATE(Liste!$C$3,$B$569,$B$599),Data!$BO:$BO,0)-2,18)="",INDEX(Tab_DaBa[],MATCH(CONCATENATE(Liste!$C$3,$B$569,$B$599),Data!$BO:$BO,0)-2,12),INDEX(Tab_DaBa[],MATCH(CONCATENATE(Liste!$C$3,$B$569,$B$599),Data!$BO:$BO,0)-2,17)),"")</f>
        <v>Log01-03_02</v>
      </c>
      <c r="E602" s="36"/>
      <c r="F602" s="35" t="str">
        <f ca="1">IFERROR(IF(AND(INDEX(Tab_DaBa[],MATCH(CONCATENATE(Liste!$C$3,$B$569,$B$599),Data!$BO:$BO,0)-2,18)&lt;&gt;"",INDEX(Tab_DaBa[],MATCH(CONCATENATE(Liste!$C$3,$B$569,$B$599),Data!$BO:$BO,0)-2,23)=0),INDEX(Tab_DaBa[],MATCH(CONCATENATE(Liste!$C$3,$B$569,$B$599),Data!$BO:$BO,0)-2,12),IF(INDEX(Tab_DaBa[],MATCH(CONCATENATE(Liste!$C$3,$B$569,$B$599),Data!$BO:$BO,0)-2,23)&lt;&gt;"",INDEX(Tab_DaBa[],MATCH(CONCATENATE(Liste!$C$3,$B$569,$B$599),Data!$BO:$BO,0)-2,22),"")),"")</f>
        <v>Log02-03_02</v>
      </c>
      <c r="G602" s="39"/>
      <c r="H602" s="35" t="str">
        <f ca="1">IFERROR(IF(AND(INDEX(Tab_DaBa[],MATCH(CONCATENATE(Liste!$C$3,$B$569,$B$599),Data!$BO:$BO,0)-2,23)&lt;&gt;"",INDEX(Tab_DaBa[],MATCH(CONCATENATE(Liste!$C$3,$B$569,$B$599),Data!$BO:$BO,0)-2,28)=0),INDEX(Tab_DaBa[],MATCH(CONCATENATE(Liste!$C$3,$B$569,$B$599),Data!$BO:$BO,0)-2,12),IF(INDEX(Tab_DaBa[],MATCH(CONCATENATE(Liste!$C$3,$B$569,$B$599),Data!$BO:$BO,0)-2,23)&lt;&gt;"",INDEX(Tab_DaBa[],MATCH(CONCATENATE(Liste!$C$3,$B$569,$B$599),Data!$BO:$BO,0)-2,27),"")),"")</f>
        <v>aaaa-33_2</v>
      </c>
      <c r="I602" s="39"/>
    </row>
    <row r="603" spans="2:9" s="16" customFormat="1" ht="15.75">
      <c r="B603" s="35" t="str">
        <f ca="1">IFERROR(INDEX(Tab_DaBa[],MATCH(CONCATENATE(Liste!$C$3,$B$569,$B$599),Data!$BO:$BO,0)-2,8),"")</f>
        <v>Bez_Ein3_2</v>
      </c>
      <c r="C603" s="40">
        <f ca="1">IF(D601="","",4)</f>
        <v>4</v>
      </c>
      <c r="D603" s="35" t="str">
        <f ca="1">IFERROR(IF(INDEX(Tab_DaBa[],MATCH(CONCATENATE(Liste!$C$3,$B$569,$B$599),Data!$BO:$BO,0)-2,18)="",INDEX(Tab_DaBa[],MATCH(CONCATENATE(Liste!$C$3,$B$569,$B$599),Data!$BO:$BO,0)-2,13),INDEX(Tab_DaBa[],MATCH(CONCATENATE(Liste!$C$3,$B$569,$B$599),Data!$BO:$BO,0)-2,18)),"")</f>
        <v>Bez_Log01_03_02</v>
      </c>
      <c r="E603" s="40">
        <f ca="1">IF(F601="","",4)</f>
        <v>4</v>
      </c>
      <c r="F603" s="35" t="str">
        <f ca="1">IFERROR(IF(AND(INDEX(Tab_DaBa[],MATCH(CONCATENATE(Liste!$C$3,$B$569,$B$599),Data!$BO:$BO,0)-2,18)&lt;&gt;"",INDEX(Tab_DaBa[],MATCH(CONCATENATE(Liste!$C$3,$B$569,$B$599),Data!$BO:$BO,0)-2,23)=""),INDEX(Tab_DaBa[],MATCH(CONCATENATE(Liste!$C$3,$B$569,$B$599),Data!$BO:$BO,0)-2,13),IF(INDEX(Tab_DaBa[],MATCH(CONCATENATE(Liste!$C$3,$B$569,$B$599),Data!$BO:$BO,0)-2,23)&lt;&gt;"",INDEX(Tab_DaBa[],MATCH(CONCATENATE(Liste!$C$3,$B$569,$B$599),Data!$BO:$BO,0)-2,23),"")),"")</f>
        <v>Bez_Log02_03_2</v>
      </c>
      <c r="G603" s="38">
        <f ca="1">IF(H601="","",4)</f>
        <v>4</v>
      </c>
      <c r="H603" s="35" t="str">
        <f ca="1">IFERROR(IF(AND(INDEX(Tab_DaBa[],MATCH(CONCATENATE(Liste!$C$3,$B$569,$B$599),Data!$BO:$BO,0)-2,23)&lt;&gt;"",INDEX(Tab_DaBa[],MATCH(CONCATENATE(Liste!$C$3,$B$569,$B$599),Data!$BO:$BO,0)-2,28)=""),INDEX(Tab_DaBa[],MATCH(CONCATENATE(Liste!$C$3,$B$569,$B$599),Data!$BO:$BO,0)-2,13),IF(INDEX(Tab_DaBa[],MATCH(CONCATENATE(Liste!$C$3,$B$569,$B$599),Data!$BO:$BO,0)-2,23)&lt;&gt;"",INDEX(Tab_DaBa[],MATCH(CONCATENATE(Liste!$C$3,$B$569,$B$599),Data!$BO:$BO,0)-2,28),"")),"")</f>
        <v>Bez_Aus3_2</v>
      </c>
      <c r="I603" s="38" t="str">
        <f ca="1">IF(B609="","",6)</f>
        <v/>
      </c>
    </row>
    <row r="604" spans="2:9" s="16" customFormat="1" ht="15.75">
      <c r="B604" s="35" t="str">
        <f ca="1">IFERROR("Performance Level: "&amp;INDEX(Tab_DaBa[],MATCH(CONCATENATE(Liste!$C$3,$B$569,$B$599),Data!$BO:$BO,0)-2,10),"")</f>
        <v>Performance Level: PL_Ein3_2</v>
      </c>
      <c r="C604" s="54"/>
      <c r="D604" s="35" t="str">
        <f ca="1">IFERROR(IF(INDEX(Tab_DaBa[],MATCH(CONCATENATE(Liste!$C$3,$B$569,$B$599),Data!$BO:$BO,0)-2,18)="","Performance Level: "&amp;INDEX(Tab_DaBa[],MATCH(CONCATENATE(Liste!$C$3,$B$569,$B$599),Data!$BO:$BO,0)-2,15),"Performance Level: "&amp;INDEX(Tab_DaBa[],MATCH(CONCATENATE(Liste!$C$3,$B$569,$B$599),Data!$BO:$BO,0)-2,20)),"")</f>
        <v>Performance Level: PL_Log01_03_02</v>
      </c>
      <c r="E604" s="36"/>
      <c r="F604" s="35" t="str">
        <f ca="1">IFERROR(IF(AND(INDEX(Tab_DaBa[],MATCH(CONCATENATE(Liste!$C$3,$B$569,$B$599),Data!$BO:$BO,0)-2,18)&lt;&gt;"",INDEX(Tab_DaBa[],MATCH(CONCATENATE(Liste!$C$3,$B$569,$B$599),Data!$BO:$BO,0)-2,23)=""),"Performance Level: "&amp;INDEX(Tab_DaBa[],MATCH(CONCATENATE(Liste!$C$3,$B$569,$B$599),Data!$BO:$BO,0)-2,15),IF(INDEX(Tab_DaBa[],MATCH(CONCATENATE(Liste!$C$3,$B$569,$B$599),Data!$BO:$BO,0)-2,23)&lt;&gt;"","Performance Level: "&amp;INDEX(Tab_DaBa[],MATCH(CONCATENATE(Liste!$C$3,$B$569,$B$599),Data!$BO:$BO,0)-2,25),"")),"")</f>
        <v>Performance Level: PL_Lo03_2</v>
      </c>
      <c r="G604" s="39"/>
      <c r="H604" s="35" t="str">
        <f ca="1">IFERROR(IF(AND(INDEX(Tab_DaBa[],MATCH(CONCATENATE(Liste!$C$3,$B$569,$B$599),Data!$BO:$BO,0)-2,23)&lt;&gt;"",INDEX(Tab_DaBa[],MATCH(CONCATENATE(Liste!$C$3,$B$569,$B$599),Data!$BO:$BO,0)-2,28)=""),"Performance Level: "&amp;INDEX(Tab_DaBa[],MATCH(CONCATENATE(Liste!$C$3,$B$569,$B$599),Data!$BO:$BO,0)-2,15),IF(INDEX(Tab_DaBa[],MATCH(CONCATENATE(Liste!$C$3,$B$569,$B$599),Data!$BO:$BO,0)-2,23)&lt;&gt;"","Performance Level: "&amp;INDEX(Tab_DaBa[],MATCH(CONCATENATE(Liste!$C$3,$B$569,$B$599),Data!$BO:$BO,0)-2,30),"")),"")</f>
        <v>Performance Level: PL_Aus3_2</v>
      </c>
      <c r="I604" s="38"/>
    </row>
    <row r="605" spans="2:9" s="16" customFormat="1" ht="15.75">
      <c r="B605" s="53" t="str">
        <f ca="1">IFERROR("PFH [1/h] = "&amp;10^9*INDEX(Tab_DaBa[],MATCH(CONCATENATE(Liste!$C$3,$B$569,$B$599),Data!$BO:$BO,0)-2,11)&amp;"E-9","")</f>
        <v>PFH [1/h] = 42,9E-9</v>
      </c>
      <c r="C605" s="54"/>
      <c r="D605" s="35" t="str">
        <f ca="1">IFERROR(IF(INDEX(Tab_DaBa[],MATCH(CONCATENATE(Liste!$C$3,$B$569,$B$599),Data!$BO:$BO,0)-2,18)="","PFH [1/h] = "&amp;10^9*INDEX(Tab_DaBa[],MATCH(CONCATENATE(Liste!$C$3,$B$569,$B$599),Data!$BO:$BO,0)-2,16)&amp;"E-9","PFH [1/h] = "&amp;10^9*INDEX(Tab_DaBa[],MATCH(CONCATENATE(Liste!$C$3,$B$569,$B$599),Data!$BO:$BO,0)-2,21)&amp;"E-9"),"")</f>
        <v>PFH [1/h] = 4,19E-9</v>
      </c>
      <c r="E605" s="36"/>
      <c r="F605" s="35" t="str">
        <f ca="1">IFERROR(IF(AND(INDEX(Tab_DaBa[],MATCH(CONCATENATE(Liste!$C$3,$B$569,$B$599),Data!$BO:$BO,0)-2,18)&lt;&gt;"",INDEX(Tab_DaBa[],MATCH(CONCATENATE(Liste!$C$3,$B$569,$B$599),Data!$BO:$BO,0)-2,23)=""),"PFH [1/h] = "&amp;10^9*INDEX(Tab_DaBa[],MATCH(CONCATENATE(Liste!$C$3,$B$569,$B$599),Data!$BO:$BO,0)-2,16)&amp;"E-9",IF(INDEX(Tab_DaBa[],MATCH(CONCATENATE(Liste!$C$3,$B$569,$B$599),Data!$BO:$BO,0)-2,23)&lt;&gt;"","PFH [1/h] = "&amp;10^9*INDEX(Tab_DaBa[],MATCH(CONCATENATE(Liste!$C$3,$B$569,$B$599),Data!$BO:$BO,0)-2,26)&amp;"E-9","")),"")</f>
        <v>PFH [1/h] = 4,19E-9</v>
      </c>
      <c r="G605" s="39"/>
      <c r="H605" s="35" t="str">
        <f ca="1">IFERROR(IF(AND(INDEX(Tab_DaBa[],MATCH(CONCATENATE(Liste!$C$3,$B$569,$B$599),Data!$BO:$BO,0)-2,23)&lt;&gt;"",INDEX(Tab_DaBa[],MATCH(CONCATENATE(Liste!$C$3,$B$569,$B$599),Data!$BO:$BO,0)-2,28)=""),"PFH [1/h] = "&amp;10^9*INDEX(Tab_DaBa[],MATCH(CONCATENATE(Liste!$C$3,$B$569,$B$599),Data!$BO:$BO,0)-2,16)&amp;"E-9",IF(INDEX(Tab_DaBa[],MATCH(CONCATENATE(Liste!$C$3,$B$569,$B$599),Data!$BO:$BO,0)-2,23)&lt;&gt;"","PFH [1/h] = "&amp;10^9*INDEX(Tab_DaBa[],MATCH(CONCATENATE(Liste!$C$3,$B$569,$B$599),Data!$BO:$BO,0)-2,31)&amp;"E-9","")),"")</f>
        <v>PFH [1/h] = 24,7E-9</v>
      </c>
      <c r="I605" s="39"/>
    </row>
    <row r="606" spans="2:9" s="16" customFormat="1">
      <c r="B606" s="33"/>
      <c r="C606" s="34"/>
      <c r="D606" s="33"/>
      <c r="E606" s="33"/>
      <c r="F606" s="33"/>
      <c r="G606" s="33"/>
      <c r="H606" s="33"/>
      <c r="I606" s="33"/>
    </row>
    <row r="607" spans="2:9" s="16" customFormat="1" ht="15.75">
      <c r="B607" s="38" t="str">
        <f ca="1">IF(B609="","",6)</f>
        <v/>
      </c>
      <c r="C607" s="34"/>
      <c r="D607" s="38" t="str">
        <f ca="1">IF(B609="","",3)</f>
        <v/>
      </c>
      <c r="E607" s="33"/>
      <c r="F607" s="38" t="str">
        <f ca="1">IF(B609="","",3)</f>
        <v/>
      </c>
      <c r="G607" s="33"/>
      <c r="H607" s="38" t="str">
        <f ca="1">IF(B609="","",3)</f>
        <v/>
      </c>
      <c r="I607" s="33"/>
    </row>
    <row r="608" spans="2:9" s="16" customFormat="1" ht="15.75">
      <c r="B608" s="39"/>
      <c r="C608" s="33"/>
      <c r="D608" s="33"/>
      <c r="E608" s="33"/>
      <c r="F608" s="33"/>
      <c r="G608" s="33"/>
      <c r="H608" s="33"/>
      <c r="I608" s="33"/>
    </row>
    <row r="609" spans="2:9" s="16" customFormat="1" ht="15.75">
      <c r="B609" s="35" t="str">
        <f ca="1">IFERROR(IF(AND(INDEX(Tab_DaBa[],MATCH(CONCATENATE(Liste!$C$3,$B$569,$B$599),Data!$BO:$BO,0)-2,28)&lt;&gt;"",INDEX(Tab_DaBa[],MATCH(CONCATENATE(Liste!$C$3,$B$569,$B$599),Data!$BO:$BO,0)-2,33)=0),INDEX(Tab_DaBa[],MATCH(CONCATENATE(Liste!$C$3,$B$569,$B$599),Data!$BO:$BO,0)-2,14),IF(INDEX(Tab_DaBa[],MATCH(CONCATENATE(Liste!$C$3,$B$569,$B$599),Data!$BO:$BO,0)-2,28)&lt;&gt;"",INDEX(Tab_DaBa[],MATCH(CONCATENATE(Liste!$C$3,$B$569,$B$599),Data!$BO:$BO,0)-2,34),"")),"")</f>
        <v/>
      </c>
      <c r="C609" s="39"/>
      <c r="D609" s="35" t="str">
        <f ca="1">IFERROR(IF(AND(INDEX(Tab_DaBa[],MATCH(CONCATENATE(Liste!$C$3,$B$569,$B$599),Data!$BO:$BO,0)-2,33)&lt;&gt;"",INDEX(Tab_DaBa[],MATCH(CONCATENATE(Liste!$C$3,$B$569,$B$599),Data!$BO:$BO,0)-2,38)=0),INDEX(Tab_DaBa[],MATCH(CONCATENATE(Liste!$C$3,$B$569,$B$599),Data!$BO:$BO,0)-2,14),IF(INDEX(Tab_DaBa[],MATCH(CONCATENATE(Liste!$C$3,$B$569,$B$599),Data!$BO:$BO,0)-2,33)&lt;&gt;"",INDEX(Tab_DaBa[],MATCH(CONCATENATE(Liste!$C$3,$B$569,$B$599),Data!$BO:$BO,0)-2,39),"")),"")</f>
        <v/>
      </c>
      <c r="E609" s="33"/>
      <c r="F609" s="35" t="str">
        <f ca="1">IFERROR(IF(AND(INDEX(Tab_DaBa[],MATCH(CONCATENATE(Liste!$C$3,$B$569,$B$599),Data!$BO:$BO,0)-2,38)&lt;&gt;"",INDEX(Tab_DaBa[],MATCH(CONCATENATE(Liste!$C$3,$B$569,$B$599),Data!$BO:$BO,0)-2,43)=0),INDEX(Tab_DaBa[],MATCH(CONCATENATE(Liste!$C$3,$B$569,$B$599),Data!$BO:$BO,0)-2,14),IF(INDEX(Tab_DaBa[],MATCH(CONCATENATE(Liste!$C$3,$B$569,$B$599),Data!$BO:$BO,0)-2,38)&lt;&gt;"",INDEX(Tab_DaBa[],MATCH(CONCATENATE(Liste!$C$3,$B$569,$B$599),Data!$BO:$BO,0)-2,44),"")),"")</f>
        <v/>
      </c>
      <c r="G609" s="39"/>
      <c r="H609" s="35" t="str">
        <f ca="1">IFERROR(IF(AND(INDEX(Tab_DaBa[],MATCH(CONCATENATE(Liste!$C$3,$B$569,$B$599),Data!$BO:$BO,0)-2,43)&lt;&gt;"",INDEX(Tab_DaBa[],MATCH(CONCATENATE(Liste!$C$3,$B$569,$B$599),Data!$BO:$BO,0)-2,48)=0),INDEX(Tab_DaBa[],MATCH(CONCATENATE(Liste!$C$3,$B$569,$B$599),Data!$BO:$BO,0)-2,14),IF(INDEX(Tab_DaBa[],MATCH(CONCATENATE(Liste!$C$3,$B$569,$B$599),Data!$BO:$BO,0)-2,43)&lt;&gt;"",INDEX(Tab_DaBa[],MATCH(CONCATENATE(Liste!$C$3,$B$569,$B$599),Data!$BO:$BO,0)-2,49),"")),"")</f>
        <v/>
      </c>
      <c r="I609" s="39"/>
    </row>
    <row r="610" spans="2:9" s="16" customFormat="1" ht="15.75">
      <c r="B610" s="35" t="str">
        <f ca="1">IFERROR(IF(AND(INDEX(Tab_DaBa[],MATCH(CONCATENATE(Liste!$C$3,$B$569,$B$599),Data!$BO:$BO,0)-2,28)&lt;&gt;"",INDEX(Tab_DaBa[],MATCH(CONCATENATE(Liste!$C$3,$B$569,$B$599),Data!$BO:$BO,0)-2,33)=0),INDEX(Tab_DaBa[],MATCH(CONCATENATE(Liste!$C$3,$B$569,$B$599),Data!$BO:$BO,0)-2,12),IF(INDEX(Tab_DaBa[],MATCH(CONCATENATE(Liste!$C$3,$B$569,$B$599),Data!$BO:$BO,0)-2,28)&lt;&gt;"",INDEX(Tab_DaBa[],MATCH(CONCATENATE(Liste!$C$3,$B$569,$B$599),Data!$BO:$BO,0)-2,32),"")),"")</f>
        <v/>
      </c>
      <c r="C610" s="39"/>
      <c r="D610" s="35" t="str">
        <f ca="1">IFERROR(IF(AND(INDEX(Tab_DaBa[],MATCH(CONCATENATE(Liste!$C$3,$B$569,$B$599),Data!$BO:$BO,0)-2,33)&lt;&gt;"",INDEX(Tab_DaBa[],MATCH(CONCATENATE(Liste!$C$3,$B$569,$B$599),Data!$BO:$BO,0)-2,38)=0),INDEX(Tab_DaBa[],MATCH(CONCATENATE(Liste!$C$3,$B$569,$B$599),Data!$BO:$BO,0)-2,12),IF(INDEX(Tab_DaBa[],MATCH(CONCATENATE(Liste!$C$3,$B$569,$B$599),Data!$BO:$BO,0)-2,33)&lt;&gt;"",INDEX(Tab_DaBa[],MATCH(CONCATENATE(Liste!$C$3,$B$569,$B$599),Data!$BO:$BO,0)-2,37),"")),"")</f>
        <v/>
      </c>
      <c r="E610" s="37"/>
      <c r="F610" s="35" t="str">
        <f ca="1">IFERROR(IF(AND(INDEX(Tab_DaBa[],MATCH(CONCATENATE(Liste!$C$3,$B$569,$B$599),Data!$BO:$BO,0)-2,38)&lt;&gt;"",INDEX(Tab_DaBa[],MATCH(CONCATENATE(Liste!$C$3,$B$569,$B$599),Data!$BO:$BO,0)-2,43)=0),INDEX(Tab_DaBa[],MATCH(CONCATENATE(Liste!$C$3,$B$569,$B$599),Data!$BO:$BO,0)-2,12),IF(INDEX(Tab_DaBa[],MATCH(CONCATENATE(Liste!$C$3,$B$569,$B$599),Data!$BO:$BO,0)-2,38)&lt;&gt;"",INDEX(Tab_DaBa[],MATCH(CONCATENATE(Liste!$C$3,$B$569,$B$599),Data!$BO:$BO,0)-2,42),"")),"")</f>
        <v/>
      </c>
      <c r="G610" s="39"/>
      <c r="H610" s="35" t="str">
        <f ca="1">IFERROR(IF(AND(INDEX(Tab_DaBa[],MATCH(CONCATENATE(Liste!$C$3,$B$569,$B$599),Data!$BO:$BO,0)-2,43)&lt;&gt;"",INDEX(Tab_DaBa[],MATCH(CONCATENATE(Liste!$C$3,$B$569,$B$599),Data!$BO:$BO,0)-2,48)=0),INDEX(Tab_DaBa[],MATCH(CONCATENATE(Liste!$C$3,$B$569,$B$599),Data!$BO:$BO,0)-2,12),IF(INDEX(Tab_DaBa[],MATCH(CONCATENATE(Liste!$C$3,$B$569,$B$599),Data!$BO:$BO,0)-2,43)&lt;&gt;"",INDEX(Tab_DaBa[],MATCH(CONCATENATE(Liste!$C$3,$B$569,$B$599),Data!$BO:$BO,0)-2,47),"")),"")</f>
        <v/>
      </c>
      <c r="I610" s="39"/>
    </row>
    <row r="611" spans="2:9" s="16" customFormat="1" ht="15.75">
      <c r="B611" s="35" t="str">
        <f ca="1">IFERROR(IF(AND(INDEX(Tab_DaBa[],MATCH(CONCATENATE(Liste!$C$3,$B$569,$B$599),Data!$BO:$BO,0)-2,28)&lt;&gt;"",INDEX(Tab_DaBa[],MATCH(CONCATENATE(Liste!$C$3,$B$569,$B$599),Data!$BO:$BO,0)-2,33)=""),INDEX(Tab_DaBa[],MATCH(CONCATENATE(Liste!$C$3,$B$569,$B$599),Data!$BO:$BO,0)-2,13),IF(INDEX(Tab_DaBa[],MATCH(CONCATENATE(Liste!$C$3,$B$569,$B$599),Data!$BO:$BO,0)-2,28)&lt;&gt;"",INDEX(Tab_DaBa[],MATCH(CONCATENATE(Liste!$C$3,$B$569,$B$599),Data!$BO:$BO,0)-2,33),"")),"")</f>
        <v/>
      </c>
      <c r="C611" s="38" t="str">
        <f ca="1">IF(D609="","",4)</f>
        <v/>
      </c>
      <c r="D611" s="35" t="str">
        <f ca="1">IFERROR(IF(AND(INDEX(Tab_DaBa[],MATCH(CONCATENATE(Liste!$C$3,$B$569,$B$599),Data!$BO:$BO,0)-2,33)&lt;&gt;"",INDEX(Tab_DaBa[],MATCH(CONCATENATE(Liste!$C$3,$B$569,$B$599),Data!$BO:$BO,0)-2,38)=""),INDEX(Tab_DaBa[],MATCH(CONCATENATE(Liste!$C$3,$B$569,$B$599),Data!$BO:$BO,0)-2,13),IF(INDEX(Tab_DaBa[],MATCH(CONCATENATE(Liste!$C$3,$B$569,$B$599),Data!$BO:$BO,0)-2,33)&lt;&gt;"",INDEX(Tab_DaBa[],MATCH(CONCATENATE(Liste!$C$3,$B$569,$B$599),Data!$BO:$BO,0)-2,38),"")),"")</f>
        <v/>
      </c>
      <c r="E611" s="38" t="str">
        <f ca="1">IF(F609="","",4)</f>
        <v/>
      </c>
      <c r="F611" s="35" t="str">
        <f ca="1">IFERROR(IF(AND(INDEX(Tab_DaBa[],MATCH(CONCATENATE(Liste!$C$3,$B$569,$B$599),Data!$BO:$BO,0)-2,38)&lt;&gt;"",INDEX(Tab_DaBa[],MATCH(CONCATENATE(Liste!$C$3,$B$569,$B$599),Data!$BO:$BO,0)-2,43)=""),INDEX(Tab_DaBa[],MATCH(CONCATENATE(Liste!$C$3,$B$569,$B$599),Data!$BO:$BO,0)-2,13),IF(INDEX(Tab_DaBa[],MATCH(CONCATENATE(Liste!$C$3,$B$569,$B$599),Data!$BO:$BO,0)-2,38)&lt;&gt;"",INDEX(Tab_DaBa[],MATCH(CONCATENATE(Liste!$C$3,$B$569,$B$599),Data!$BO:$BO,0)-2,43),"")),"")</f>
        <v/>
      </c>
      <c r="G611" s="38" t="str">
        <f ca="1">IF(H609="","",4)</f>
        <v/>
      </c>
      <c r="H611" s="35" t="str">
        <f ca="1">IFERROR(IF(AND(INDEX(Tab_DaBa[],MATCH(CONCATENATE(Liste!$C$3,$B$569,$B$599),Data!$BO:$BO,0)-2,43)&lt;&gt;"",INDEX(Tab_DaBa[],MATCH(CONCATENATE(Liste!$C$3,$B$569,$B$599),Data!$BO:$BO,0)-2,48)=""),INDEX(Tab_DaBa[],MATCH(CONCATENATE(Liste!$C$3,$B$569,$B$599),Data!$BO:$BO,0)-2,13),IF(INDEX(Tab_DaBa[],MATCH(CONCATENATE(Liste!$C$3,$B$569,$B$599),Data!$BO:$BO,0)-2,43)&lt;&gt;"",INDEX(Tab_DaBa[],MATCH(CONCATENATE(Liste!$C$3,$B$569,$B$599),Data!$BO:$BO,0)-2,48),"")),"")</f>
        <v/>
      </c>
      <c r="I611" s="38" t="str">
        <f ca="1">IF(B617="","",6)</f>
        <v/>
      </c>
    </row>
    <row r="612" spans="2:9" s="16" customFormat="1" ht="15.75">
      <c r="B612" s="35" t="str">
        <f ca="1">IFERROR(IF(AND(INDEX(Tab_DaBa[],MATCH(CONCATENATE(Liste!$C$3,$B$569,$B$599),Data!$BO:$BO,0)-2,28)&lt;&gt;"",INDEX(Tab_DaBa[],MATCH(CONCATENATE(Liste!$C$3,$B$569,$B$599),Data!$BO:$BO,0)-2,33)=""),"Performance Level: "&amp;INDEX(Tab_DaBa[],MATCH(CONCATENATE(Liste!$C$3,$B$569,$B$599),Data!$BO:$BO,0)-2,15),IF(INDEX(Tab_DaBa[],MATCH(CONCATENATE(Liste!$C$3,$B$569,$B$599),Data!$BO:$BO,0)-2,28)&lt;&gt;"","Performance Level: "&amp;INDEX(Tab_DaBa[],MATCH(CONCATENATE(Liste!$C$3,$B$569,$B$599),Data!$BO:$BO,0)-2,35),"")),"")</f>
        <v/>
      </c>
      <c r="C612" s="39"/>
      <c r="D612" s="35" t="str">
        <f ca="1">IFERROR(IF(AND(INDEX(Tab_DaBa[],MATCH(CONCATENATE(Liste!$C$3,$B$569,$B$599),Data!$BO:$BO,0)-2,33)&lt;&gt;"",INDEX(Tab_DaBa[],MATCH(CONCATENATE(Liste!$C$3,$B$569,$B$599),Data!$BO:$BO,0)-2,38)=""),"Performance Level: "&amp;INDEX(Tab_DaBa[],MATCH(CONCATENATE(Liste!$C$3,$B$569,$B$599),Data!$BO:$BO,0)-2,15),IF(INDEX(Tab_DaBa[],MATCH(CONCATENATE(Liste!$C$3,$B$569,$B$599),Data!$BO:$BO,0)-2,33)&lt;&gt;"","Performance Level: "&amp;INDEX(Tab_DaBa[],MATCH(CONCATENATE(Liste!$C$3,$B$569,$B$599),Data!$BO:$BO,0)-2,40),"")),"")</f>
        <v/>
      </c>
      <c r="E612" s="37"/>
      <c r="F612" s="35" t="str">
        <f ca="1">IFERROR(IF(AND(INDEX(Tab_DaBa[],MATCH(CONCATENATE(Liste!$C$3,$B$569,$B$599),Data!$BO:$BO,0)-2,38)&lt;&gt;"",INDEX(Tab_DaBa[],MATCH(CONCATENATE(Liste!$C$3,$B$569,$B$599),Data!$BO:$BO,0)-2,43)=""),"Performance Level: "&amp;INDEX(Tab_DaBa[],MATCH(CONCATENATE(Liste!$C$3,$B$569,$B$599),Data!$BO:$BO,0)-2,15),IF(INDEX(Tab_DaBa[],MATCH(CONCATENATE(Liste!$C$3,$B$569,$B$599),Data!$BO:$BO,0)-2,38)&lt;&gt;"","Performance Level: "&amp;INDEX(Tab_DaBa[],MATCH(CONCATENATE(Liste!$C$3,$B$569,$B$599),Data!$BO:$BO,0)-2,45),"")),"")</f>
        <v/>
      </c>
      <c r="G612" s="39"/>
      <c r="H612" s="35" t="str">
        <f ca="1">IFERROR(IF(AND(INDEX(Tab_DaBa[],MATCH(CONCATENATE(Liste!$C$3,$B$569,$B$599),Data!$BO:$BO,0)-2,43)&lt;&gt;"",INDEX(Tab_DaBa[],MATCH(CONCATENATE(Liste!$C$3,$B$569,$B$599),Data!$BO:$BO,0)-2,48)=""),"Performance Level: "&amp;INDEX(Tab_DaBa[],MATCH(CONCATENATE(Liste!$C$3,$B$569,$B$599),Data!$BO:$BO,0)-2,15),IF(INDEX(Tab_DaBa[],MATCH(CONCATENATE(Liste!$C$3,$B$569,$B$599),Data!$BO:$BO,0)-2,43)&lt;&gt;"","Performance Level: "&amp;INDEX(Tab_DaBa[],MATCH(CONCATENATE(Liste!$C$3,$B$569,$B$599),Data!$BO:$BO,0)-2,50),"")),"")</f>
        <v/>
      </c>
      <c r="I612" s="39"/>
    </row>
    <row r="613" spans="2:9" s="16" customFormat="1" ht="15.75">
      <c r="B613" s="35" t="str">
        <f ca="1">IFERROR(IF(AND(INDEX(Tab_DaBa[],MATCH(CONCATENATE(Liste!$C$3,$B$569,$B$599),Data!$BO:$BO,0)-2,28)&lt;&gt;"",INDEX(Tab_DaBa[],MATCH(CONCATENATE(Liste!$C$3,$B$569,$B$599),Data!$BO:$BO,0)-2,33)=""),"PFH [1/h] = "&amp;10^9*INDEX(Tab_DaBa[],MATCH(CONCATENATE(Liste!$C$3,$B$569,$B$599),Data!$BO:$BO,0)-2,16)&amp;"E-9",IF(INDEX(Tab_DaBa[],MATCH(CONCATENATE(Liste!$C$3,$B$569,$B$599),Data!$BO:$BO,0)-2,28)&lt;&gt;"","PFH [1/h] = "&amp;10^9*INDEX(Tab_DaBa[],MATCH(CONCATENATE(Liste!$C$3,$B$569,$B$599),Data!$BO:$BO,0)-2,36)&amp;"E-9","")),"")</f>
        <v/>
      </c>
      <c r="C613" s="39"/>
      <c r="D613" s="35" t="str">
        <f ca="1">IFERROR(IF(AND(INDEX(Tab_DaBa[],MATCH(CONCATENATE(Liste!$C$3,$B$569,$B$599),Data!$BO:$BO,0)-2,33)&lt;&gt;"",INDEX(Tab_DaBa[],MATCH(CONCATENATE(Liste!$C$3,$B$569,$B$599),Data!$BO:$BO,0)-2,38)=""),"PFH [1/h] = "&amp;10^9*INDEX(Tab_DaBa[],MATCH(CONCATENATE(Liste!$C$3,$B$569,$B$599),Data!$BO:$BO,0)-2,16)&amp;"E-9",IF(INDEX(Tab_DaBa[],MATCH(CONCATENATE(Liste!$C$3,$B$569,$B$599),Data!$BO:$BO,0)-2,33)&lt;&gt;"","PFH [1/h] = "&amp;10^9*INDEX(Tab_DaBa[],MATCH(CONCATENATE(Liste!$C$3,$B$569,$B$599),Data!$BO:$BO,0)-2,41)&amp;"E-9","")),"")</f>
        <v/>
      </c>
      <c r="E613" s="37"/>
      <c r="F613" s="35" t="str">
        <f ca="1">IFERROR(IF(AND(INDEX(Tab_DaBa[],MATCH(CONCATENATE(Liste!$C$3,$B$569,$B$599),Data!$BO:$BO,0)-2,38)&lt;&gt;"",INDEX(Tab_DaBa[],MATCH(CONCATENATE(Liste!$C$3,$B$569,$B$599),Data!$BO:$BO,0)-2,43)=""),"PFH [1/h] = "&amp;10^9*INDEX(Tab_DaBa[],MATCH(CONCATENATE(Liste!$C$3,$B$569,$B$599),Data!$BO:$BO,0)-2,16)&amp;"E-9",IF(INDEX(Tab_DaBa[],MATCH(CONCATENATE(Liste!$C$3,$B$569,$B$599),Data!$BO:$BO,0)-2,38)&lt;&gt;"","PFH [1/h] = "&amp;10^9*INDEX(Tab_DaBa[],MATCH(CONCATENATE(Liste!$C$3,$B$569,$B$599),Data!$BO:$BO,0)-2,46)&amp;"E-9","")),"")</f>
        <v/>
      </c>
      <c r="G613" s="39"/>
      <c r="H613" s="35" t="str">
        <f ca="1">IFERROR(IF(AND(INDEX(Tab_DaBa[],MATCH(CONCATENATE(Liste!$C$3,$B$569,$B$599),Data!$BO:$BO,0)-2,43)&lt;&gt;"",INDEX(Tab_DaBa[],MATCH(CONCATENATE(Liste!$C$3,$B$569,$B$599),Data!$BO:$BO,0)-2,48)=""),"PFH [1/h] = "&amp;10^9*INDEX(Tab_DaBa[],MATCH(CONCATENATE(Liste!$C$3,$B$569,$B$599),Data!$BO:$BO,0)-2,16)&amp;"E-9",IF(INDEX(Tab_DaBa[],MATCH(CONCATENATE(Liste!$C$3,$B$569,$B$599),Data!$BO:$BO,0)-2,43)&lt;&gt;"","PFH [1/h] = "&amp;10^9*INDEX(Tab_DaBa[],MATCH(CONCATENATE(Liste!$C$3,$B$569,$B$599),Data!$BO:$BO,0)-2,51)&amp;"E-9","")),"")</f>
        <v/>
      </c>
      <c r="I613" s="39"/>
    </row>
    <row r="614" spans="2:9" s="16" customFormat="1">
      <c r="B614" s="33"/>
      <c r="C614" s="33"/>
      <c r="D614" s="33"/>
      <c r="E614" s="33"/>
      <c r="F614" s="33"/>
      <c r="G614" s="33"/>
      <c r="H614" s="33"/>
      <c r="I614" s="33"/>
    </row>
    <row r="615" spans="2:9" s="16" customFormat="1" ht="15.75">
      <c r="B615" s="38" t="str">
        <f ca="1">IF(B617="","",6)</f>
        <v/>
      </c>
      <c r="C615" s="33"/>
      <c r="D615" s="38" t="str">
        <f ca="1">IF(B617="","",3)</f>
        <v/>
      </c>
      <c r="E615" s="33"/>
      <c r="F615" s="38" t="str">
        <f ca="1">IF(B617="","",3)</f>
        <v/>
      </c>
      <c r="G615" s="33"/>
      <c r="H615" s="38" t="str">
        <f ca="1">IF(B617="","",3)</f>
        <v/>
      </c>
      <c r="I615" s="33"/>
    </row>
    <row r="616" spans="2:9" s="16" customFormat="1" ht="15.75">
      <c r="B616" s="39"/>
      <c r="C616" s="33"/>
      <c r="D616" s="33"/>
      <c r="E616" s="33"/>
      <c r="F616" s="33"/>
      <c r="G616" s="33"/>
      <c r="H616" s="33"/>
      <c r="I616" s="33"/>
    </row>
    <row r="617" spans="2:9" s="16" customFormat="1" ht="15.75">
      <c r="B617" s="35" t="str">
        <f ca="1">IFERROR(IF(AND(INDEX(Tab_DaBa[],MATCH(CONCATENATE(Liste!$C$3,$B$569,$B$599),Data!$BO:$BO,0)-2,48)&lt;&gt;"",INDEX(Tab_DaBa[],MATCH(CONCATENATE(Liste!$C$3,$B$569,$B$599),Data!$BO:$BO,0)-2,53)=0),INDEX(Tab_DaBa[],MATCH(CONCATENATE(Liste!$C$3,$B$569,$B$599),Data!$BO:$BO,0)-2,14),IF(INDEX(Tab_DaBa[],MATCH(CONCATENATE(Liste!$C$3,$B$569,$B$599),Data!$BO:$BO,0)-2,48)&lt;&gt;"",INDEX(Tab_DaBa[],MATCH(CONCATENATE(Liste!$C$3,$B$569,$B$599),Data!$BO:$BO,0)-2,54),"")),"")</f>
        <v/>
      </c>
      <c r="C617" s="39"/>
      <c r="D617" s="35" t="str">
        <f ca="1">IFERROR(IF(AND(INDEX(Tab_DaBa[],MATCH(CONCATENATE(Liste!$C$3,$B$569,$B$599),Data!$BO:$BO,0)-2,53)&lt;&gt;"",INDEX(Tab_DaBa[],MATCH(CONCATENATE(Liste!$C$3,$B$569,$B$599),Data!$BO:$BO,0)-2,58)=0),INDEX(Tab_DaBa[],MATCH(CONCATENATE(Liste!$C$3,$B$569,$B$599),Data!$BO:$BO,0)-2,14),IF(INDEX(Tab_DaBa[],MATCH(CONCATENATE(Liste!$C$3,$B$569,$B$599),Data!$BO:$BO,0)-2,53)&lt;&gt;"",INDEX(Tab_DaBa[],MATCH(CONCATENATE(Liste!$C$3,$B$569,$B$599),Data!$BO:$BO,0)-2,59),"")),"")</f>
        <v/>
      </c>
      <c r="E617" s="33"/>
      <c r="F617" s="35" t="str">
        <f ca="1">IFERROR(IF(AND(INDEX(Tab_DaBa[],MATCH(CONCATENATE(Liste!$C$3,$B$569,$B$599),Data!$BO:$BO,0)-2,58)&lt;&gt;"",INDEX(Tab_DaBa[],MATCH(CONCATENATE(Liste!$C$3,$B$569,$B$599),Data!$BO:$BO,0)-2,63)=0),INDEX(Tab_DaBa[],MATCH(CONCATENATE(Liste!$C$3,$B$569,$B$599),Data!$BO:$BO,0)-2,14),IF(INDEX(Tab_DaBa[],MATCH(CONCATENATE(Liste!$C$3,$B$569,$B$599),Data!$BO:$BO,0)-2,58)&lt;&gt;"",INDEX(Tab_DaBa[],MATCH(CONCATENATE(Liste!$C$3,$B$569,$B$599),Data!$BO:$BO,0)-2,64),"")),"")</f>
        <v/>
      </c>
      <c r="G617" s="39"/>
      <c r="H617" s="35" t="str">
        <f ca="1">IFERROR(IF(INDEX(Tab_DaBa[],MATCH(CONCATENATE(Liste!$C$3,$B$569,$B$599),Data!$BO:$BO,0)-2,63)&lt;&gt;"",INDEX(Tab_DaBa[],MATCH(CONCATENATE(Liste!$C$3,$B$569,$B$599),Data!$BO:$BO,0)-2,14),""),"")</f>
        <v/>
      </c>
    </row>
    <row r="618" spans="2:9" s="16" customFormat="1" ht="15.75">
      <c r="B618" s="35" t="str">
        <f ca="1">IFERROR(IF(AND(INDEX(Tab_DaBa[],MATCH(CONCATENATE(Liste!$C$3,$B$569,$B$599),Data!$BO:$BO,0)-2,48)&lt;&gt;"",INDEX(Tab_DaBa[],MATCH(CONCATENATE(Liste!$C$3,$B$569,$B$599),Data!$BO:$BO,0)-2,53)=0),INDEX(Tab_DaBa[],MATCH(CONCATENATE(Liste!$C$3,$B$569,$B$599),Data!$BO:$BO,0)-2,12),IF(INDEX(Tab_DaBa[],MATCH(CONCATENATE(Liste!$C$3,$B$569,$B$599),Data!$BO:$BO,0)-2,48)&lt;&gt;"",INDEX(Tab_DaBa[],MATCH(CONCATENATE(Liste!$C$3,$B$569,$B$599),Data!$BO:$BO,0)-2,52),"")),"")</f>
        <v/>
      </c>
      <c r="C618" s="39"/>
      <c r="D618" s="35" t="str">
        <f ca="1">IFERROR(IF(AND(INDEX(Tab_DaBa[],MATCH(CONCATENATE(Liste!$C$3,$B$569,$B$599),Data!$BO:$BO,0)-2,53)&lt;&gt;"",INDEX(Tab_DaBa[],MATCH(CONCATENATE(Liste!$C$3,$B$569,$B$599),Data!$BO:$BO,0)-2,58)=0),INDEX(Tab_DaBa[],MATCH(CONCATENATE(Liste!$C$3,$B$569,$B$599),Data!$BO:$BO,0)-2,12),IF(INDEX(Tab_DaBa[],MATCH(CONCATENATE(Liste!$C$3,$B$569,$B$599),Data!$BO:$BO,0)-2,53)&lt;&gt;"",INDEX(Tab_DaBa[],MATCH(CONCATENATE(Liste!$C$3,$B$569,$B$599),Data!$BO:$BO,0)-2,57),"")),"")</f>
        <v/>
      </c>
      <c r="E618" s="37"/>
      <c r="F618" s="35" t="str">
        <f ca="1">IFERROR(IF(AND(INDEX(Tab_DaBa[],MATCH(CONCATENATE(Liste!$C$3,$B$569,$B$599),Data!$BO:$BO,0)-2,58)&lt;&gt;"",INDEX(Tab_DaBa[],MATCH(CONCATENATE(Liste!$C$3,$B$569,$B$599),Data!$BO:$BO,0)-2,63)=0),INDEX(Tab_DaBa[],MATCH(CONCATENATE(Liste!$C$3,$B$569,$B$599),Data!$BO:$BO,0)-2,12),IF(INDEX(Tab_DaBa[],MATCH(CONCATENATE(Liste!$C$3,$B$569,$B$599),Data!$BO:$BO,0)-2,58)&lt;&gt;"",INDEX(Tab_DaBa[],MATCH(CONCATENATE(Liste!$C$3,$B$569,$B$599),Data!$BO:$BO,0)-2,62),"")),"")</f>
        <v/>
      </c>
      <c r="G618" s="39"/>
      <c r="H618" s="35" t="str">
        <f ca="1">IFERROR(IF(INDEX(Tab_DaBa[],MATCH(CONCATENATE(Liste!$C$3,$B$569,$B$599),Data!$BO:$BO,0)-2,63)&lt;&gt;"",INDEX(Tab_DaBa[],MATCH(CONCATENATE(Liste!$C$3,$B$569,$B$599),Data!$BO:$BO,0)-2,12),""),"")</f>
        <v/>
      </c>
    </row>
    <row r="619" spans="2:9" s="16" customFormat="1" ht="15.75">
      <c r="B619" s="35" t="str">
        <f ca="1">IFERROR(IF(AND(INDEX(Tab_DaBa[],MATCH(CONCATENATE(Liste!$C$3,$B$569,$B$599),Data!$BO:$BO,0)-2,48)&lt;&gt;"",INDEX(Tab_DaBa[],MATCH(CONCATENATE(Liste!$C$3,$B$569,$B$599),Data!$BO:$BO,0)-2,53)=""),INDEX(Tab_DaBa[],MATCH(CONCATENATE(Liste!$C$3,$B$569,$B$599),Data!$BO:$BO,0)-2,13),IF(INDEX(Tab_DaBa[],MATCH(CONCATENATE(Liste!$C$3,$B$569,$B$599),Data!$BO:$BO,0)-2,48)&lt;&gt;"",INDEX(Tab_DaBa[],MATCH(CONCATENATE(Liste!$C$3,$B$569,$B$599),Data!$BO:$BO,0)-2,53),"")),"")</f>
        <v/>
      </c>
      <c r="C619" s="38" t="str">
        <f ca="1">IF(D617="","",4)</f>
        <v/>
      </c>
      <c r="D619" s="35" t="str">
        <f ca="1">IFERROR(IF(AND(INDEX(Tab_DaBa[],MATCH(CONCATENATE(Liste!$C$3,$B$569,$B$599),Data!$BO:$BO,0)-2,53)&lt;&gt;"",INDEX(Tab_DaBa[],MATCH(CONCATENATE(Liste!$C$3,$B$569,$B$599),Data!$BO:$BO,0)-2,58)=""),INDEX(Tab_DaBa[],MATCH(CONCATENATE(Liste!$C$3,$B$569,$B$599),Data!$BO:$BO,0)-2,13),IF(INDEX(Tab_DaBa[],MATCH(CONCATENATE(Liste!$C$3,$B$569,$B$599),Data!$BO:$BO,0)-2,53)&lt;&gt;"",INDEX(Tab_DaBa[],MATCH(CONCATENATE(Liste!$C$3,$B$569,$B$599),Data!$BO:$BO,0)-2,58),"")),"")</f>
        <v/>
      </c>
      <c r="E619" s="38" t="str">
        <f ca="1">IF(F617="","",4)</f>
        <v/>
      </c>
      <c r="F619" s="35" t="str">
        <f ca="1">IFERROR(IF(AND(INDEX(Tab_DaBa[],MATCH(CONCATENATE(Liste!$C$3,$B$569,$B$599),Data!$BO:$BO,0)-2,58)&lt;&gt;"",INDEX(Tab_DaBa[],MATCH(CONCATENATE(Liste!$C$3,$B$569,$B$599),Data!$BO:$BO,0)-2,63)=""),INDEX(Tab_DaBa[],MATCH(CONCATENATE(Liste!$C$3,$B$569,$B$599),Data!$BO:$BO,0)-2,13),IF(INDEX(Tab_DaBa[],MATCH(CONCATENATE(Liste!$C$3,$B$569,$B$599),Data!$BO:$BO,0)-2,58)&lt;&gt;"",INDEX(Tab_DaBa[],MATCH(CONCATENATE(Liste!$C$3,$B$569,$B$599),Data!$BO:$BO,0)-2,63),"")),"")</f>
        <v/>
      </c>
      <c r="G619" s="38" t="str">
        <f ca="1">IF(H617="","",4)</f>
        <v/>
      </c>
      <c r="H619" s="35" t="str">
        <f ca="1">IFERROR(IF(INDEX(Tab_DaBa[],MATCH(CONCATENATE(Liste!$C$3,$B$569,$B$599),Data!$BO:$BO,0)-2,63)&lt;&gt;"",INDEX(Tab_DaBa[],MATCH(CONCATENATE(Liste!$C$3,$B$569,$B$599),Data!$BO:$BO,0)-2,13),""),"")</f>
        <v/>
      </c>
    </row>
    <row r="620" spans="2:9" s="16" customFormat="1" ht="15.75">
      <c r="B620" s="35" t="str">
        <f ca="1">IFERROR(IF(AND(INDEX(Tab_DaBa[],MATCH(CONCATENATE(Liste!$C$3,$B$569,$B$599),Data!$BO:$BO,0)-2,48)&lt;&gt;"",INDEX(Tab_DaBa[],MATCH(CONCATENATE(Liste!$C$3,$B$569,$B$599),Data!$BO:$BO,0)-2,53)=""),"Performance Level: "&amp;INDEX(Tab_DaBa[],MATCH(CONCATENATE(Liste!$C$3,$B$569,$B$599),Data!$BO:$BO,0)-2,15),IF(INDEX(Tab_DaBa[],MATCH(CONCATENATE(Liste!$C$3,$B$569,$B$599),Data!$BO:$BO,0)-2,48)&lt;&gt;"","Performance Level: "&amp;INDEX(Tab_DaBa[],MATCH(CONCATENATE(Liste!$C$3,$B$569,$B$599),Data!$BO:$BO,0)-2,55),"")),"")</f>
        <v/>
      </c>
      <c r="C620" s="39"/>
      <c r="D620" s="35" t="str">
        <f ca="1">IFERROR(IF(AND(INDEX(Tab_DaBa[],MATCH(CONCATENATE(Liste!$C$3,$B$569,$B$599),Data!$BO:$BO,0)-2,53)&lt;&gt;"",INDEX(Tab_DaBa[],MATCH(CONCATENATE(Liste!$C$3,$B$569,$B$599),Data!$BO:$BO,0)-2,58)=""),"Performance Level: "&amp;INDEX(Tab_DaBa[],MATCH(CONCATENATE(Liste!$C$3,$B$569,$B$599),Data!$BO:$BO,0)-2,15),IF(INDEX(Tab_DaBa[],MATCH(CONCATENATE(Liste!$C$3,$B$569,$B$599),Data!$BO:$BO,0)-2,53)&lt;&gt;"","Performance Level: "&amp;INDEX(Tab_DaBa[],MATCH(CONCATENATE(Liste!$C$3,$B$569,$B$599),Data!$BO:$BO,0)-2,60),"")),"")</f>
        <v/>
      </c>
      <c r="E620" s="37"/>
      <c r="F620" s="35" t="str">
        <f ca="1">IFERROR(IF(AND(INDEX(Tab_DaBa[],MATCH(CONCATENATE(Liste!$C$3,$B$569,$B$599),Data!$BO:$BO,0)-2,58)&lt;&gt;"",INDEX(Tab_DaBa[],MATCH(CONCATENATE(Liste!$C$3,$B$569,$B$599),Data!$BO:$BO,0)-2,63)=""),"Performance Level: "&amp;INDEX(Tab_DaBa[],MATCH(CONCATENATE(Liste!$C$3,$B$569,$B$599),Data!$BO:$BO,0)-2,15),IF(INDEX(Tab_DaBa[],MATCH(CONCATENATE(Liste!$C$3,$B$569,$B$599),Data!$BO:$BO,0)-2,58)&lt;&gt;"","Performance Level: "&amp;INDEX(Tab_DaBa[],MATCH(CONCATENATE(Liste!$C$3,$B$569,$B$599),Data!$BO:$BO,0)-2,65),"")),"")</f>
        <v/>
      </c>
      <c r="G620" s="39"/>
      <c r="H620" s="35" t="str">
        <f ca="1">IFERROR(IF(INDEX(Tab_DaBa[],MATCH(CONCATENATE(Liste!$C$3,$B$569,$B$599),Data!$BO:$BO,0)-2,63)&lt;&gt;"","Performance Level: "&amp;INDEX(Tab_DaBa[],MATCH(CONCATENATE(Liste!$C$3,$B$569,$B$599),Data!$BO:$BO,0)-2,15),""),"")</f>
        <v/>
      </c>
    </row>
    <row r="621" spans="2:9" s="16" customFormat="1" ht="15.75">
      <c r="B621" s="35" t="str">
        <f ca="1">IFERROR(IF(AND(INDEX(Tab_DaBa[],MATCH(CONCATENATE(Liste!$C$3,$B$569,$B$599),Data!$BO:$BO,0)-2,48)&lt;&gt;"",INDEX(Tab_DaBa[],MATCH(CONCATENATE(Liste!$C$3,$B$569,$B$599),Data!$BO:$BO,0)-2,53)=""),"PFH [1/h] = "&amp;10^9*INDEX(Tab_DaBa[],MATCH(CONCATENATE(Liste!$C$3,$B$569,$B$599),Data!$BO:$BO,0)-2,16)&amp;"E-9",IF(INDEX(Tab_DaBa[],MATCH(CONCATENATE(Liste!$C$3,$B$569,$B$599),Data!$BO:$BO,0)-2,48)&lt;&gt;"","PFH [1/h] = "&amp;10^9*INDEX(Tab_DaBa[],MATCH(CONCATENATE(Liste!$C$3,$B$569,$B$599),Data!$BO:$BO,0)-2,56)&amp;"E-9","")),"")</f>
        <v/>
      </c>
      <c r="C621" s="39"/>
      <c r="D621" s="35" t="str">
        <f ca="1">IFERROR(IF(AND(INDEX(Tab_DaBa[],MATCH(CONCATENATE(Liste!$C$3,$B$569,$B$599),Data!$BO:$BO,0)-2,53)&lt;&gt;"",INDEX(Tab_DaBa[],MATCH(CONCATENATE(Liste!$C$3,$B$569,$B$599),Data!$BO:$BO,0)-2,58)=""),"PFH [1/h] = "&amp;10^9*INDEX(Tab_DaBa[],MATCH(CONCATENATE(Liste!$C$3,$B$569,$B$599),Data!$BO:$BO,0)-2,16)&amp;"E-9",IF(INDEX(Tab_DaBa[],MATCH(CONCATENATE(Liste!$C$3,$B$569,$B$599),Data!$BO:$BO,0)-2,53)&lt;&gt;"","PFH [1/h] = "&amp;10^9*INDEX(Tab_DaBa[],MATCH(CONCATENATE(Liste!$C$3,$B$569,$B$599),Data!$BO:$BO,0)-2,61)&amp;"E-9","")),"")</f>
        <v/>
      </c>
      <c r="E621" s="37"/>
      <c r="F621" s="35" t="str">
        <f ca="1">IFERROR(IF(AND(INDEX(Tab_DaBa[],MATCH(CONCATENATE(Liste!$C$3,$B$569,$B$599),Data!$BO:$BO,0)-2,58)&lt;&gt;"",INDEX(Tab_DaBa[],MATCH(CONCATENATE(Liste!$C$3,$B$569,$B$599),Data!$BO:$BO,0)-2,63)=""),"PFH [1/h] = "&amp;10^9*INDEX(Tab_DaBa[],MATCH(CONCATENATE(Liste!$C$3,$B$569,$B$599),Data!$BO:$BO,0)-2,16)&amp;"E-9",IF(INDEX(Tab_DaBa[],MATCH(CONCATENATE(Liste!$C$3,$B$569,$B$599),Data!$BO:$BO,0)-2,58)&lt;&gt;"","PFH [1/h] = "&amp;10^9*INDEX(Tab_DaBa[],MATCH(CONCATENATE(Liste!$C$3,$B$569,$B$599),Data!$BO:$BO,0)-2,66)&amp;"E-9","")),"")</f>
        <v/>
      </c>
      <c r="G621" s="39"/>
      <c r="H621" s="35" t="str">
        <f ca="1">IFERROR(IF(INDEX(Tab_DaBa[],MATCH(CONCATENATE(Liste!$C$3,$B$569,$B$599),Data!$BO:$BO,0)-2,63)&lt;&gt;"","PFH [1/h] = "&amp;10^9*INDEX(Tab_DaBa[],MATCH(CONCATENATE(Liste!$C$3,$B$569,$B$599),Data!$BO:$BO,0)-2,16)&amp;"E-9",""),"")</f>
        <v/>
      </c>
    </row>
    <row r="622" spans="2:9" s="16" customFormat="1"/>
    <row r="623" spans="2:9" s="16" customFormat="1">
      <c r="B623" s="43" t="str">
        <f ca="1">IF(D623="","","Erforderlich")</f>
        <v>Erforderlich</v>
      </c>
      <c r="D623" s="44" t="str">
        <f ca="1">IFERROR("Performance Level: "&amp;INDEX(Tab_DaBa[],MATCH(CONCATENATE(Liste!$C$3,$B$569,$B$599),Data!$BO:$BO,0)-2,4),"")</f>
        <v>Performance Level: PLr_ges3_2</v>
      </c>
    </row>
    <row r="624" spans="2:9" s="16" customFormat="1">
      <c r="B624" s="45"/>
    </row>
    <row r="625" spans="2:9" s="16" customFormat="1">
      <c r="B625" s="46" t="str">
        <f ca="1">IF(D625="","","Erreicht")</f>
        <v>Erreicht</v>
      </c>
      <c r="D625" s="47" t="str">
        <f ca="1">IFERROR("Performance Level: "&amp;INDEX(Tab_DaBa[],MATCH(CONCATENATE(Liste!$C$3,$B$569,$B$599),Data!$BO:$BO,0)-2,5)&amp;"          PFH [1/h] = "&amp;10^9*INDEX(Tab_DaBa[],MATCH(CONCATENATE(Liste!$C$3,$B$569,$B$599),Data!$BO:$BO,0)-2,6)&amp;"E-9","")</f>
        <v>Performance Level: Pl_ges3_2          PFH [1/h] = 71,7E-9</v>
      </c>
    </row>
    <row r="626" spans="2:9" s="16" customFormat="1"/>
    <row r="627" spans="2:9" s="16" customFormat="1">
      <c r="B627" s="42" t="str">
        <f ca="1">IFERROR(IF(3&gt;COUNTIF(Data!$BP:$BP,CONCATENATE(Liste!$C$3,$B$569)),"",INDEX(Tab_DaBa[],MATCH(CONCATENATE(Liste!$C$3,$B$569),Data!$BP:$BP,0),3)),"")</f>
        <v>3.3 Test3 (E+3L+A)</v>
      </c>
    </row>
    <row r="628" spans="2:9" s="16" customFormat="1"/>
    <row r="629" spans="2:9" s="16" customFormat="1" ht="15.75">
      <c r="B629" s="35" t="str">
        <f ca="1">IFERROR(INDEX(Tab_DaBa[],MATCH(CONCATENATE(Liste!$C$3,$B$569,$B$627),Data!$BO:$BO,0)-2,9),"")</f>
        <v>Eingang</v>
      </c>
      <c r="C629" s="54"/>
      <c r="D629" s="35" t="str">
        <f ca="1">IFERROR(IF(INDEX(Tab_DaBa[],MATCH(CONCATENATE(Liste!$C$3,$B$569,$B$627),Data!$BO:$BO,0)-2,18)=0,INDEX(Tab_DaBa[],MATCH(CONCATENATE(Liste!$C$3,$B$569,$B$627),Data!$BO:$BO,0)-2,14),INDEX(Tab_DaBa[],MATCH(CONCATENATE(Liste!$C$3,$B$569,$B$627),Data!$BO:$BO,0)-2,19)),"")</f>
        <v>Logik 01</v>
      </c>
      <c r="E629" s="33"/>
      <c r="F629" s="35" t="str">
        <f ca="1">IFERROR(IF(AND(INDEX(Tab_DaBa[],MATCH(CONCATENATE(Liste!$C$3,$B$569,$B$627),Data!$BO:$BO,0)-2,18)&lt;&gt;"",INDEX(Tab_DaBa[],MATCH(CONCATENATE(Liste!$C$3,$B$569,$B$627),Data!$BO:$BO,0)-2,23)=0),INDEX(Tab_DaBa[],MATCH(CONCATENATE(Liste!$C$3,$B$569,$B$627),Data!$BO:$BO,0)-2,14),IF(INDEX(Tab_DaBa[],MATCH(CONCATENATE(Liste!$C$3,$B$569,$B$627),Data!$BO:$BO,0)-2,23)&lt;&gt;"",INDEX(Tab_DaBa[],MATCH(CONCATENATE(Liste!$C$3,$B$569,$B$627),Data!$BO:$BO,0)-2,24),"")),"")</f>
        <v>Logik 02</v>
      </c>
      <c r="G629" s="39"/>
      <c r="H629" s="35" t="str">
        <f ca="1">IFERROR(IF(AND(INDEX(Tab_DaBa[],MATCH(CONCATENATE(Liste!$C$3,$B$569,$B$627),Data!$BO:$BO,0)-2,23)&lt;&gt;"",INDEX(Tab_DaBa[],MATCH(CONCATENATE(Liste!$C$3,$B$569,$B$627),Data!$BO:$BO,0)-2,28)=0),INDEX(Tab_DaBa[],MATCH(CONCATENATE(Liste!$C$3,$B$569,$B$627),Data!$BO:$BO,0)-2,14),IF(INDEX(Tab_DaBa[],MATCH(CONCATENATE(Liste!$C$3,$B$569,$B$627),Data!$BO:$BO,0)-2,23)&lt;&gt;"",INDEX(Tab_DaBa[],MATCH(CONCATENATE(Liste!$C$3,$B$569,$B$627),Data!$BO:$BO,0)-2,29),"")),"")</f>
        <v>Logik 03</v>
      </c>
      <c r="I629" s="39"/>
    </row>
    <row r="630" spans="2:9" s="16" customFormat="1" ht="15.75">
      <c r="B630" s="35" t="str">
        <f ca="1">IFERROR(INDEX(Tab_DaBa[],MATCH(CONCATENATE(Liste!$C$3,$B$569,$B$627),Data!$BO:$BO,0)-2,7),"")</f>
        <v>eeee-33_3</v>
      </c>
      <c r="C630" s="54"/>
      <c r="D630" s="35" t="str">
        <f ca="1">IFERROR(IF(INDEX(Tab_DaBa[],MATCH(CONCATENATE(Liste!$C$3,$B$569,$B$627),Data!$BO:$BO,0)-2,18)="",INDEX(Tab_DaBa[],MATCH(CONCATENATE(Liste!$C$3,$B$569,$B$627),Data!$BO:$BO,0)-2,12),INDEX(Tab_DaBa[],MATCH(CONCATENATE(Liste!$C$3,$B$569,$B$627),Data!$BO:$BO,0)-2,17)),"")</f>
        <v>Log01-03_03</v>
      </c>
      <c r="E630" s="36"/>
      <c r="F630" s="35" t="str">
        <f ca="1">IFERROR(IF(AND(INDEX(Tab_DaBa[],MATCH(CONCATENATE(Liste!$C$3,$B$569,$B$627),Data!$BO:$BO,0)-2,18)&lt;&gt;"",INDEX(Tab_DaBa[],MATCH(CONCATENATE(Liste!$C$3,$B$569,$B$627),Data!$BO:$BO,0)-2,23)=0),INDEX(Tab_DaBa[],MATCH(CONCATENATE(Liste!$C$3,$B$569,$B$627),Data!$BO:$BO,0)-2,12),IF(INDEX(Tab_DaBa[],MATCH(CONCATENATE(Liste!$C$3,$B$569,$B$627),Data!$BO:$BO,0)-2,23)&lt;&gt;"",INDEX(Tab_DaBa[],MATCH(CONCATENATE(Liste!$C$3,$B$569,$B$627),Data!$BO:$BO,0)-2,22),"")),"")</f>
        <v>Log02-03_03</v>
      </c>
      <c r="G630" s="39"/>
      <c r="H630" s="35" t="str">
        <f ca="1">IFERROR(IF(AND(INDEX(Tab_DaBa[],MATCH(CONCATENATE(Liste!$C$3,$B$569,$B$627),Data!$BO:$BO,0)-2,23)&lt;&gt;"",INDEX(Tab_DaBa[],MATCH(CONCATENATE(Liste!$C$3,$B$569,$B$627),Data!$BO:$BO,0)-2,28)=0),INDEX(Tab_DaBa[],MATCH(CONCATENATE(Liste!$C$3,$B$569,$B$627),Data!$BO:$BO,0)-2,12),IF(INDEX(Tab_DaBa[],MATCH(CONCATENATE(Liste!$C$3,$B$569,$B$627),Data!$BO:$BO,0)-2,23)&lt;&gt;"",INDEX(Tab_DaBa[],MATCH(CONCATENATE(Liste!$C$3,$B$569,$B$627),Data!$BO:$BO,0)-2,27),"")),"")</f>
        <v>Lo03-33_3</v>
      </c>
      <c r="I630" s="39"/>
    </row>
    <row r="631" spans="2:9" s="16" customFormat="1" ht="15.75">
      <c r="B631" s="35" t="str">
        <f ca="1">IFERROR(INDEX(Tab_DaBa[],MATCH(CONCATENATE(Liste!$C$3,$B$569,$B$627),Data!$BO:$BO,0)-2,8),"")</f>
        <v>Bez_Ein3_3</v>
      </c>
      <c r="C631" s="40">
        <f ca="1">IF(D629="","",4)</f>
        <v>4</v>
      </c>
      <c r="D631" s="35" t="str">
        <f ca="1">IFERROR(IF(INDEX(Tab_DaBa[],MATCH(CONCATENATE(Liste!$C$3,$B$569,$B$627),Data!$BO:$BO,0)-2,18)="",INDEX(Tab_DaBa[],MATCH(CONCATENATE(Liste!$C$3,$B$569,$B$627),Data!$BO:$BO,0)-2,13),INDEX(Tab_DaBa[],MATCH(CONCATENATE(Liste!$C$3,$B$569,$B$627),Data!$BO:$BO,0)-2,18)),"")</f>
        <v>Bez_Log01_03_03</v>
      </c>
      <c r="E631" s="40">
        <f ca="1">IF(F629="","",4)</f>
        <v>4</v>
      </c>
      <c r="F631" s="35" t="str">
        <f ca="1">IFERROR(IF(AND(INDEX(Tab_DaBa[],MATCH(CONCATENATE(Liste!$C$3,$B$569,$B$627),Data!$BO:$BO,0)-2,18)&lt;&gt;"",INDEX(Tab_DaBa[],MATCH(CONCATENATE(Liste!$C$3,$B$569,$B$627),Data!$BO:$BO,0)-2,23)=""),INDEX(Tab_DaBa[],MATCH(CONCATENATE(Liste!$C$3,$B$569,$B$627),Data!$BO:$BO,0)-2,13),IF(INDEX(Tab_DaBa[],MATCH(CONCATENATE(Liste!$C$3,$B$569,$B$627),Data!$BO:$BO,0)-2,23)&lt;&gt;"",INDEX(Tab_DaBa[],MATCH(CONCATENATE(Liste!$C$3,$B$569,$B$627),Data!$BO:$BO,0)-2,23),"")),"")</f>
        <v>Bez_Log02_03_3</v>
      </c>
      <c r="G631" s="38">
        <f ca="1">IF(H629="","",4)</f>
        <v>4</v>
      </c>
      <c r="H631" s="35" t="str">
        <f ca="1">IFERROR(IF(AND(INDEX(Tab_DaBa[],MATCH(CONCATENATE(Liste!$C$3,$B$569,$B$627),Data!$BO:$BO,0)-2,23)&lt;&gt;"",INDEX(Tab_DaBa[],MATCH(CONCATENATE(Liste!$C$3,$B$569,$B$627),Data!$BO:$BO,0)-2,28)=""),INDEX(Tab_DaBa[],MATCH(CONCATENATE(Liste!$C$3,$B$569,$B$627),Data!$BO:$BO,0)-2,13),IF(INDEX(Tab_DaBa[],MATCH(CONCATENATE(Liste!$C$3,$B$569,$B$627),Data!$BO:$BO,0)-2,23)&lt;&gt;"",INDEX(Tab_DaBa[],MATCH(CONCATENATE(Liste!$C$3,$B$569,$B$627),Data!$BO:$BO,0)-2,28),"")),"")</f>
        <v>Bez_Lo03_3</v>
      </c>
      <c r="I631" s="38">
        <f ca="1">IF(B637="","",6)</f>
        <v>6</v>
      </c>
    </row>
    <row r="632" spans="2:9" s="16" customFormat="1" ht="15.75">
      <c r="B632" s="35" t="str">
        <f ca="1">IFERROR("Performance Level: "&amp;INDEX(Tab_DaBa[],MATCH(CONCATENATE(Liste!$C$3,$B$569,$B$627),Data!$BO:$BO,0)-2,10),"")</f>
        <v>Performance Level: PL_Ein3_3</v>
      </c>
      <c r="C632" s="54"/>
      <c r="D632" s="35" t="str">
        <f ca="1">IFERROR(IF(INDEX(Tab_DaBa[],MATCH(CONCATENATE(Liste!$C$3,$B$569,$B$627),Data!$BO:$BO,0)-2,18)="","Performance Level: "&amp;INDEX(Tab_DaBa[],MATCH(CONCATENATE(Liste!$C$3,$B$569,$B$627),Data!$BO:$BO,0)-2,15),"Performance Level: "&amp;INDEX(Tab_DaBa[],MATCH(CONCATENATE(Liste!$C$3,$B$569,$B$627),Data!$BO:$BO,0)-2,20)),"")</f>
        <v>Performance Level: PL_Log01_03_03</v>
      </c>
      <c r="E632" s="36"/>
      <c r="F632" s="35" t="str">
        <f ca="1">IFERROR(IF(AND(INDEX(Tab_DaBa[],MATCH(CONCATENATE(Liste!$C$3,$B$569,$B$627),Data!$BO:$BO,0)-2,18)&lt;&gt;"",INDEX(Tab_DaBa[],MATCH(CONCATENATE(Liste!$C$3,$B$569,$B$627),Data!$BO:$BO,0)-2,23)=""),"Performance Level: "&amp;INDEX(Tab_DaBa[],MATCH(CONCATENATE(Liste!$C$3,$B$569,$B$627),Data!$BO:$BO,0)-2,15),IF(INDEX(Tab_DaBa[],MATCH(CONCATENATE(Liste!$C$3,$B$569,$B$627),Data!$BO:$BO,0)-2,23)&lt;&gt;"","Performance Level: "&amp;INDEX(Tab_DaBa[],MATCH(CONCATENATE(Liste!$C$3,$B$569,$B$627),Data!$BO:$BO,0)-2,25),"")),"")</f>
        <v>Performance Level: PL_Lo03_3</v>
      </c>
      <c r="G632" s="39"/>
      <c r="H632" s="35" t="str">
        <f ca="1">IFERROR(IF(AND(INDEX(Tab_DaBa[],MATCH(CONCATENATE(Liste!$C$3,$B$569,$B$627),Data!$BO:$BO,0)-2,23)&lt;&gt;"",INDEX(Tab_DaBa[],MATCH(CONCATENATE(Liste!$C$3,$B$569,$B$627),Data!$BO:$BO,0)-2,28)=""),"Performance Level: "&amp;INDEX(Tab_DaBa[],MATCH(CONCATENATE(Liste!$C$3,$B$569,$B$627),Data!$BO:$BO,0)-2,15),IF(INDEX(Tab_DaBa[],MATCH(CONCATENATE(Liste!$C$3,$B$569,$B$627),Data!$BO:$BO,0)-2,23)&lt;&gt;"","Performance Level: "&amp;INDEX(Tab_DaBa[],MATCH(CONCATENATE(Liste!$C$3,$B$569,$B$627),Data!$BO:$BO,0)-2,30),"")),"")</f>
        <v>Performance Level: PL_Lo03_3</v>
      </c>
      <c r="I632" s="38"/>
    </row>
    <row r="633" spans="2:9" s="16" customFormat="1" ht="15.75">
      <c r="B633" s="53" t="str">
        <f ca="1">IFERROR("PFH [1/h] = "&amp;10^9*INDEX(Tab_DaBa[],MATCH(CONCATENATE(Liste!$C$3,$B$569,$B$627),Data!$BO:$BO,0)-2,11)&amp;"E-9","")</f>
        <v>PFH [1/h] = 42,9E-9</v>
      </c>
      <c r="C633" s="54"/>
      <c r="D633" s="35" t="str">
        <f ca="1">IFERROR(IF(INDEX(Tab_DaBa[],MATCH(CONCATENATE(Liste!$C$3,$B$569,$B$627),Data!$BO:$BO,0)-2,18)="","PFH [1/h] = "&amp;10^9*INDEX(Tab_DaBa[],MATCH(CONCATENATE(Liste!$C$3,$B$569,$B$627),Data!$BO:$BO,0)-2,16)&amp;"E-9","PFH [1/h] = "&amp;10^9*INDEX(Tab_DaBa[],MATCH(CONCATENATE(Liste!$C$3,$B$569,$B$627),Data!$BO:$BO,0)-2,21)&amp;"E-9"),"")</f>
        <v>PFH [1/h] = 4,19E-9</v>
      </c>
      <c r="E633" s="36"/>
      <c r="F633" s="35" t="str">
        <f ca="1">IFERROR(IF(AND(INDEX(Tab_DaBa[],MATCH(CONCATENATE(Liste!$C$3,$B$569,$B$627),Data!$BO:$BO,0)-2,18)&lt;&gt;"",INDEX(Tab_DaBa[],MATCH(CONCATENATE(Liste!$C$3,$B$569,$B$627),Data!$BO:$BO,0)-2,23)=""),"PFH [1/h] = "&amp;10^9*INDEX(Tab_DaBa[],MATCH(CONCATENATE(Liste!$C$3,$B$569,$B$627),Data!$BO:$BO,0)-2,16)&amp;"E-9",IF(INDEX(Tab_DaBa[],MATCH(CONCATENATE(Liste!$C$3,$B$569,$B$627),Data!$BO:$BO,0)-2,23)&lt;&gt;"","PFH [1/h] = "&amp;10^9*INDEX(Tab_DaBa[],MATCH(CONCATENATE(Liste!$C$3,$B$569,$B$627),Data!$BO:$BO,0)-2,26)&amp;"E-9","")),"")</f>
        <v>PFH [1/h] = 4,19E-9</v>
      </c>
      <c r="G633" s="39"/>
      <c r="H633" s="35" t="str">
        <f ca="1">IFERROR(IF(AND(INDEX(Tab_DaBa[],MATCH(CONCATENATE(Liste!$C$3,$B$569,$B$627),Data!$BO:$BO,0)-2,23)&lt;&gt;"",INDEX(Tab_DaBa[],MATCH(CONCATENATE(Liste!$C$3,$B$569,$B$627),Data!$BO:$BO,0)-2,28)=""),"PFH [1/h] = "&amp;10^9*INDEX(Tab_DaBa[],MATCH(CONCATENATE(Liste!$C$3,$B$569,$B$627),Data!$BO:$BO,0)-2,16)&amp;"E-9",IF(INDEX(Tab_DaBa[],MATCH(CONCATENATE(Liste!$C$3,$B$569,$B$627),Data!$BO:$BO,0)-2,23)&lt;&gt;"","PFH [1/h] = "&amp;10^9*INDEX(Tab_DaBa[],MATCH(CONCATENATE(Liste!$C$3,$B$569,$B$627),Data!$BO:$BO,0)-2,31)&amp;"E-9","")),"")</f>
        <v>PFH [1/h] = 4,19E-9</v>
      </c>
      <c r="I633" s="39"/>
    </row>
    <row r="634" spans="2:9" s="16" customFormat="1">
      <c r="B634" s="33"/>
      <c r="C634" s="34"/>
      <c r="D634" s="33"/>
      <c r="E634" s="33"/>
      <c r="F634" s="33"/>
      <c r="G634" s="33"/>
      <c r="H634" s="33"/>
      <c r="I634" s="33"/>
    </row>
    <row r="635" spans="2:9" s="16" customFormat="1" ht="15.75">
      <c r="B635" s="38">
        <f ca="1">IF(B637="","",6)</f>
        <v>6</v>
      </c>
      <c r="C635" s="34"/>
      <c r="D635" s="38">
        <f ca="1">IF(B637="","",3)</f>
        <v>3</v>
      </c>
      <c r="E635" s="33"/>
      <c r="F635" s="38">
        <f ca="1">IF(B637="","",3)</f>
        <v>3</v>
      </c>
      <c r="G635" s="33"/>
      <c r="H635" s="38">
        <f ca="1">IF(B637="","",3)</f>
        <v>3</v>
      </c>
      <c r="I635" s="33"/>
    </row>
    <row r="636" spans="2:9" s="16" customFormat="1" ht="15.75">
      <c r="B636" s="39"/>
      <c r="C636" s="33"/>
      <c r="D636" s="33"/>
      <c r="E636" s="33"/>
      <c r="F636" s="33"/>
      <c r="G636" s="33"/>
      <c r="H636" s="33"/>
      <c r="I636" s="33"/>
    </row>
    <row r="637" spans="2:9" s="16" customFormat="1" ht="15.75">
      <c r="B637" s="35" t="str">
        <f ca="1">IFERROR(IF(AND(INDEX(Tab_DaBa[],MATCH(CONCATENATE(Liste!$C$3,$B$569,$B$627),Data!$BO:$BO,0)-2,28)&lt;&gt;"",INDEX(Tab_DaBa[],MATCH(CONCATENATE(Liste!$C$3,$B$569,$B$627),Data!$BO:$BO,0)-2,33)=0),INDEX(Tab_DaBa[],MATCH(CONCATENATE(Liste!$C$3,$B$569,$B$627),Data!$BO:$BO,0)-2,14),IF(INDEX(Tab_DaBa[],MATCH(CONCATENATE(Liste!$C$3,$B$569,$B$627),Data!$BO:$BO,0)-2,28)&lt;&gt;"",INDEX(Tab_DaBa[],MATCH(CONCATENATE(Liste!$C$3,$B$569,$B$627),Data!$BO:$BO,0)-2,34),"")),"")</f>
        <v>Ausgang</v>
      </c>
      <c r="C637" s="39"/>
      <c r="D637" s="35" t="str">
        <f ca="1">IFERROR(IF(AND(INDEX(Tab_DaBa[],MATCH(CONCATENATE(Liste!$C$3,$B$569,$B$627),Data!$BO:$BO,0)-2,33)&lt;&gt;"",INDEX(Tab_DaBa[],MATCH(CONCATENATE(Liste!$C$3,$B$569,$B$627),Data!$BO:$BO,0)-2,38)=0),INDEX(Tab_DaBa[],MATCH(CONCATENATE(Liste!$C$3,$B$569,$B$627),Data!$BO:$BO,0)-2,14),IF(INDEX(Tab_DaBa[],MATCH(CONCATENATE(Liste!$C$3,$B$569,$B$627),Data!$BO:$BO,0)-2,33)&lt;&gt;"",INDEX(Tab_DaBa[],MATCH(CONCATENATE(Liste!$C$3,$B$569,$B$627),Data!$BO:$BO,0)-2,39),"")),"")</f>
        <v/>
      </c>
      <c r="E637" s="33"/>
      <c r="F637" s="35" t="str">
        <f ca="1">IFERROR(IF(AND(INDEX(Tab_DaBa[],MATCH(CONCATENATE(Liste!$C$3,$B$569,$B$627),Data!$BO:$BO,0)-2,38)&lt;&gt;"",INDEX(Tab_DaBa[],MATCH(CONCATENATE(Liste!$C$3,$B$569,$B$627),Data!$BO:$BO,0)-2,43)=0),INDEX(Tab_DaBa[],MATCH(CONCATENATE(Liste!$C$3,$B$569,$B$627),Data!$BO:$BO,0)-2,14),IF(INDEX(Tab_DaBa[],MATCH(CONCATENATE(Liste!$C$3,$B$569,$B$627),Data!$BO:$BO,0)-2,38)&lt;&gt;"",INDEX(Tab_DaBa[],MATCH(CONCATENATE(Liste!$C$3,$B$569,$B$627),Data!$BO:$BO,0)-2,44),"")),"")</f>
        <v/>
      </c>
      <c r="G637" s="39"/>
      <c r="H637" s="35" t="str">
        <f ca="1">IFERROR(IF(AND(INDEX(Tab_DaBa[],MATCH(CONCATENATE(Liste!$C$3,$B$569,$B$627),Data!$BO:$BO,0)-2,43)&lt;&gt;"",INDEX(Tab_DaBa[],MATCH(CONCATENATE(Liste!$C$3,$B$569,$B$627),Data!$BO:$BO,0)-2,48)=0),INDEX(Tab_DaBa[],MATCH(CONCATENATE(Liste!$C$3,$B$569,$B$627),Data!$BO:$BO,0)-2,14),IF(INDEX(Tab_DaBa[],MATCH(CONCATENATE(Liste!$C$3,$B$569,$B$627),Data!$BO:$BO,0)-2,43)&lt;&gt;"",INDEX(Tab_DaBa[],MATCH(CONCATENATE(Liste!$C$3,$B$569,$B$627),Data!$BO:$BO,0)-2,49),"")),"")</f>
        <v/>
      </c>
      <c r="I637" s="39"/>
    </row>
    <row r="638" spans="2:9" s="16" customFormat="1" ht="15.75">
      <c r="B638" s="35" t="str">
        <f ca="1">IFERROR(IF(AND(INDEX(Tab_DaBa[],MATCH(CONCATENATE(Liste!$C$3,$B$569,$B$627),Data!$BO:$BO,0)-2,28)&lt;&gt;"",INDEX(Tab_DaBa[],MATCH(CONCATENATE(Liste!$C$3,$B$569,$B$627),Data!$BO:$BO,0)-2,33)=0),INDEX(Tab_DaBa[],MATCH(CONCATENATE(Liste!$C$3,$B$569,$B$627),Data!$BO:$BO,0)-2,12),IF(INDEX(Tab_DaBa[],MATCH(CONCATENATE(Liste!$C$3,$B$569,$B$627),Data!$BO:$BO,0)-2,28)&lt;&gt;"",INDEX(Tab_DaBa[],MATCH(CONCATENATE(Liste!$C$3,$B$569,$B$627),Data!$BO:$BO,0)-2,32),"")),"")</f>
        <v>aaaa-33_3</v>
      </c>
      <c r="C638" s="39"/>
      <c r="D638" s="35" t="str">
        <f ca="1">IFERROR(IF(AND(INDEX(Tab_DaBa[],MATCH(CONCATENATE(Liste!$C$3,$B$569,$B$627),Data!$BO:$BO,0)-2,33)&lt;&gt;"",INDEX(Tab_DaBa[],MATCH(CONCATENATE(Liste!$C$3,$B$569,$B$627),Data!$BO:$BO,0)-2,38)=0),INDEX(Tab_DaBa[],MATCH(CONCATENATE(Liste!$C$3,$B$569,$B$627),Data!$BO:$BO,0)-2,12),IF(INDEX(Tab_DaBa[],MATCH(CONCATENATE(Liste!$C$3,$B$569,$B$627),Data!$BO:$BO,0)-2,33)&lt;&gt;"",INDEX(Tab_DaBa[],MATCH(CONCATENATE(Liste!$C$3,$B$569,$B$627),Data!$BO:$BO,0)-2,37),"")),"")</f>
        <v/>
      </c>
      <c r="E638" s="37"/>
      <c r="F638" s="35" t="str">
        <f ca="1">IFERROR(IF(AND(INDEX(Tab_DaBa[],MATCH(CONCATENATE(Liste!$C$3,$B$569,$B$627),Data!$BO:$BO,0)-2,38)&lt;&gt;"",INDEX(Tab_DaBa[],MATCH(CONCATENATE(Liste!$C$3,$B$569,$B$627),Data!$BO:$BO,0)-2,43)=0),INDEX(Tab_DaBa[],MATCH(CONCATENATE(Liste!$C$3,$B$569,$B$627),Data!$BO:$BO,0)-2,12),IF(INDEX(Tab_DaBa[],MATCH(CONCATENATE(Liste!$C$3,$B$569,$B$627),Data!$BO:$BO,0)-2,38)&lt;&gt;"",INDEX(Tab_DaBa[],MATCH(CONCATENATE(Liste!$C$3,$B$569,$B$627),Data!$BO:$BO,0)-2,42),"")),"")</f>
        <v/>
      </c>
      <c r="G638" s="39"/>
      <c r="H638" s="35" t="str">
        <f ca="1">IFERROR(IF(AND(INDEX(Tab_DaBa[],MATCH(CONCATENATE(Liste!$C$3,$B$569,$B$627),Data!$BO:$BO,0)-2,43)&lt;&gt;"",INDEX(Tab_DaBa[],MATCH(CONCATENATE(Liste!$C$3,$B$569,$B$627),Data!$BO:$BO,0)-2,48)=0),INDEX(Tab_DaBa[],MATCH(CONCATENATE(Liste!$C$3,$B$569,$B$627),Data!$BO:$BO,0)-2,12),IF(INDEX(Tab_DaBa[],MATCH(CONCATENATE(Liste!$C$3,$B$569,$B$627),Data!$BO:$BO,0)-2,43)&lt;&gt;"",INDEX(Tab_DaBa[],MATCH(CONCATENATE(Liste!$C$3,$B$569,$B$627),Data!$BO:$BO,0)-2,47),"")),"")</f>
        <v/>
      </c>
      <c r="I638" s="39"/>
    </row>
    <row r="639" spans="2:9" s="16" customFormat="1" ht="15.75">
      <c r="B639" s="35" t="str">
        <f ca="1">IFERROR(IF(AND(INDEX(Tab_DaBa[],MATCH(CONCATENATE(Liste!$C$3,$B$569,$B$627),Data!$BO:$BO,0)-2,28)&lt;&gt;"",INDEX(Tab_DaBa[],MATCH(CONCATENATE(Liste!$C$3,$B$569,$B$627),Data!$BO:$BO,0)-2,33)=""),INDEX(Tab_DaBa[],MATCH(CONCATENATE(Liste!$C$3,$B$569,$B$627),Data!$BO:$BO,0)-2,13),IF(INDEX(Tab_DaBa[],MATCH(CONCATENATE(Liste!$C$3,$B$569,$B$627),Data!$BO:$BO,0)-2,28)&lt;&gt;"",INDEX(Tab_DaBa[],MATCH(CONCATENATE(Liste!$C$3,$B$569,$B$627),Data!$BO:$BO,0)-2,33),"")),"")</f>
        <v>Bez_Aus3_3</v>
      </c>
      <c r="C639" s="38" t="str">
        <f ca="1">IF(D637="","",4)</f>
        <v/>
      </c>
      <c r="D639" s="35" t="str">
        <f ca="1">IFERROR(IF(AND(INDEX(Tab_DaBa[],MATCH(CONCATENATE(Liste!$C$3,$B$569,$B$627),Data!$BO:$BO,0)-2,33)&lt;&gt;"",INDEX(Tab_DaBa[],MATCH(CONCATENATE(Liste!$C$3,$B$569,$B$627),Data!$BO:$BO,0)-2,38)=""),INDEX(Tab_DaBa[],MATCH(CONCATENATE(Liste!$C$3,$B$569,$B$627),Data!$BO:$BO,0)-2,13),IF(INDEX(Tab_DaBa[],MATCH(CONCATENATE(Liste!$C$3,$B$569,$B$627),Data!$BO:$BO,0)-2,33)&lt;&gt;"",INDEX(Tab_DaBa[],MATCH(CONCATENATE(Liste!$C$3,$B$569,$B$627),Data!$BO:$BO,0)-2,38),"")),"")</f>
        <v/>
      </c>
      <c r="E639" s="38" t="str">
        <f ca="1">IF(F637="","",4)</f>
        <v/>
      </c>
      <c r="F639" s="35" t="str">
        <f ca="1">IFERROR(IF(AND(INDEX(Tab_DaBa[],MATCH(CONCATENATE(Liste!$C$3,$B$569,$B$627),Data!$BO:$BO,0)-2,38)&lt;&gt;"",INDEX(Tab_DaBa[],MATCH(CONCATENATE(Liste!$C$3,$B$569,$B$627),Data!$BO:$BO,0)-2,43)=""),INDEX(Tab_DaBa[],MATCH(CONCATENATE(Liste!$C$3,$B$569,$B$627),Data!$BO:$BO,0)-2,13),IF(INDEX(Tab_DaBa[],MATCH(CONCATENATE(Liste!$C$3,$B$569,$B$627),Data!$BO:$BO,0)-2,38)&lt;&gt;"",INDEX(Tab_DaBa[],MATCH(CONCATENATE(Liste!$C$3,$B$569,$B$627),Data!$BO:$BO,0)-2,43),"")),"")</f>
        <v/>
      </c>
      <c r="G639" s="38" t="str">
        <f ca="1">IF(H637="","",4)</f>
        <v/>
      </c>
      <c r="H639" s="35" t="str">
        <f ca="1">IFERROR(IF(AND(INDEX(Tab_DaBa[],MATCH(CONCATENATE(Liste!$C$3,$B$569,$B$627),Data!$BO:$BO,0)-2,43)&lt;&gt;"",INDEX(Tab_DaBa[],MATCH(CONCATENATE(Liste!$C$3,$B$569,$B$627),Data!$BO:$BO,0)-2,48)=""),INDEX(Tab_DaBa[],MATCH(CONCATENATE(Liste!$C$3,$B$569,$B$627),Data!$BO:$BO,0)-2,13),IF(INDEX(Tab_DaBa[],MATCH(CONCATENATE(Liste!$C$3,$B$569,$B$627),Data!$BO:$BO,0)-2,43)&lt;&gt;"",INDEX(Tab_DaBa[],MATCH(CONCATENATE(Liste!$C$3,$B$569,$B$627),Data!$BO:$BO,0)-2,48),"")),"")</f>
        <v/>
      </c>
      <c r="I639" s="38" t="str">
        <f ca="1">IF(B645="","",6)</f>
        <v/>
      </c>
    </row>
    <row r="640" spans="2:9" s="16" customFormat="1" ht="15.75">
      <c r="B640" s="35" t="str">
        <f ca="1">IFERROR(IF(AND(INDEX(Tab_DaBa[],MATCH(CONCATENATE(Liste!$C$3,$B$569,$B$627),Data!$BO:$BO,0)-2,28)&lt;&gt;"",INDEX(Tab_DaBa[],MATCH(CONCATENATE(Liste!$C$3,$B$569,$B$627),Data!$BO:$BO,0)-2,33)=""),"Performance Level: "&amp;INDEX(Tab_DaBa[],MATCH(CONCATENATE(Liste!$C$3,$B$569,$B$627),Data!$BO:$BO,0)-2,15),IF(INDEX(Tab_DaBa[],MATCH(CONCATENATE(Liste!$C$3,$B$569,$B$627),Data!$BO:$BO,0)-2,28)&lt;&gt;"","Performance Level: "&amp;INDEX(Tab_DaBa[],MATCH(CONCATENATE(Liste!$C$3,$B$569,$B$627),Data!$BO:$BO,0)-2,35),"")),"")</f>
        <v>Performance Level: PL_Aus3_3</v>
      </c>
      <c r="C640" s="39"/>
      <c r="D640" s="35" t="str">
        <f ca="1">IFERROR(IF(AND(INDEX(Tab_DaBa[],MATCH(CONCATENATE(Liste!$C$3,$B$569,$B$627),Data!$BO:$BO,0)-2,33)&lt;&gt;"",INDEX(Tab_DaBa[],MATCH(CONCATENATE(Liste!$C$3,$B$569,$B$627),Data!$BO:$BO,0)-2,38)=""),"Performance Level: "&amp;INDEX(Tab_DaBa[],MATCH(CONCATENATE(Liste!$C$3,$B$569,$B$627),Data!$BO:$BO,0)-2,15),IF(INDEX(Tab_DaBa[],MATCH(CONCATENATE(Liste!$C$3,$B$569,$B$627),Data!$BO:$BO,0)-2,33)&lt;&gt;"","Performance Level: "&amp;INDEX(Tab_DaBa[],MATCH(CONCATENATE(Liste!$C$3,$B$569,$B$627),Data!$BO:$BO,0)-2,40),"")),"")</f>
        <v/>
      </c>
      <c r="E640" s="37"/>
      <c r="F640" s="35" t="str">
        <f ca="1">IFERROR(IF(AND(INDEX(Tab_DaBa[],MATCH(CONCATENATE(Liste!$C$3,$B$569,$B$627),Data!$BO:$BO,0)-2,38)&lt;&gt;"",INDEX(Tab_DaBa[],MATCH(CONCATENATE(Liste!$C$3,$B$569,$B$627),Data!$BO:$BO,0)-2,43)=""),"Performance Level: "&amp;INDEX(Tab_DaBa[],MATCH(CONCATENATE(Liste!$C$3,$B$569,$B$627),Data!$BO:$BO,0)-2,15),IF(INDEX(Tab_DaBa[],MATCH(CONCATENATE(Liste!$C$3,$B$569,$B$627),Data!$BO:$BO,0)-2,38)&lt;&gt;"","Performance Level: "&amp;INDEX(Tab_DaBa[],MATCH(CONCATENATE(Liste!$C$3,$B$569,$B$627),Data!$BO:$BO,0)-2,45),"")),"")</f>
        <v/>
      </c>
      <c r="G640" s="39"/>
      <c r="H640" s="35" t="str">
        <f ca="1">IFERROR(IF(AND(INDEX(Tab_DaBa[],MATCH(CONCATENATE(Liste!$C$3,$B$569,$B$627),Data!$BO:$BO,0)-2,43)&lt;&gt;"",INDEX(Tab_DaBa[],MATCH(CONCATENATE(Liste!$C$3,$B$569,$B$627),Data!$BO:$BO,0)-2,48)=""),"Performance Level: "&amp;INDEX(Tab_DaBa[],MATCH(CONCATENATE(Liste!$C$3,$B$569,$B$627),Data!$BO:$BO,0)-2,15),IF(INDEX(Tab_DaBa[],MATCH(CONCATENATE(Liste!$C$3,$B$569,$B$627),Data!$BO:$BO,0)-2,43)&lt;&gt;"","Performance Level: "&amp;INDEX(Tab_DaBa[],MATCH(CONCATENATE(Liste!$C$3,$B$569,$B$627),Data!$BO:$BO,0)-2,50),"")),"")</f>
        <v/>
      </c>
      <c r="I640" s="39"/>
    </row>
    <row r="641" spans="2:9" s="16" customFormat="1" ht="15.75">
      <c r="B641" s="35" t="str">
        <f ca="1">IFERROR(IF(AND(INDEX(Tab_DaBa[],MATCH(CONCATENATE(Liste!$C$3,$B$569,$B$627),Data!$BO:$BO,0)-2,28)&lt;&gt;"",INDEX(Tab_DaBa[],MATCH(CONCATENATE(Liste!$C$3,$B$569,$B$627),Data!$BO:$BO,0)-2,33)=""),"PFH [1/h] = "&amp;10^9*INDEX(Tab_DaBa[],MATCH(CONCATENATE(Liste!$C$3,$B$569,$B$627),Data!$BO:$BO,0)-2,16)&amp;"E-9",IF(INDEX(Tab_DaBa[],MATCH(CONCATENATE(Liste!$C$3,$B$569,$B$627),Data!$BO:$BO,0)-2,28)&lt;&gt;"","PFH [1/h] = "&amp;10^9*INDEX(Tab_DaBa[],MATCH(CONCATENATE(Liste!$C$3,$B$569,$B$627),Data!$BO:$BO,0)-2,36)&amp;"E-9","")),"")</f>
        <v>PFH [1/h] = 24,7E-9</v>
      </c>
      <c r="C641" s="39"/>
      <c r="D641" s="35" t="str">
        <f ca="1">IFERROR(IF(AND(INDEX(Tab_DaBa[],MATCH(CONCATENATE(Liste!$C$3,$B$569,$B$627),Data!$BO:$BO,0)-2,33)&lt;&gt;"",INDEX(Tab_DaBa[],MATCH(CONCATENATE(Liste!$C$3,$B$569,$B$627),Data!$BO:$BO,0)-2,38)=""),"PFH [1/h] = "&amp;10^9*INDEX(Tab_DaBa[],MATCH(CONCATENATE(Liste!$C$3,$B$569,$B$627),Data!$BO:$BO,0)-2,16)&amp;"E-9",IF(INDEX(Tab_DaBa[],MATCH(CONCATENATE(Liste!$C$3,$B$569,$B$627),Data!$BO:$BO,0)-2,33)&lt;&gt;"","PFH [1/h] = "&amp;10^9*INDEX(Tab_DaBa[],MATCH(CONCATENATE(Liste!$C$3,$B$569,$B$627),Data!$BO:$BO,0)-2,41)&amp;"E-9","")),"")</f>
        <v/>
      </c>
      <c r="E641" s="37"/>
      <c r="F641" s="35" t="str">
        <f ca="1">IFERROR(IF(AND(INDEX(Tab_DaBa[],MATCH(CONCATENATE(Liste!$C$3,$B$569,$B$627),Data!$BO:$BO,0)-2,38)&lt;&gt;"",INDEX(Tab_DaBa[],MATCH(CONCATENATE(Liste!$C$3,$B$569,$B$627),Data!$BO:$BO,0)-2,43)=""),"PFH [1/h] = "&amp;10^9*INDEX(Tab_DaBa[],MATCH(CONCATENATE(Liste!$C$3,$B$569,$B$627),Data!$BO:$BO,0)-2,16)&amp;"E-9",IF(INDEX(Tab_DaBa[],MATCH(CONCATENATE(Liste!$C$3,$B$569,$B$627),Data!$BO:$BO,0)-2,38)&lt;&gt;"","PFH [1/h] = "&amp;10^9*INDEX(Tab_DaBa[],MATCH(CONCATENATE(Liste!$C$3,$B$569,$B$627),Data!$BO:$BO,0)-2,46)&amp;"E-9","")),"")</f>
        <v/>
      </c>
      <c r="G641" s="39"/>
      <c r="H641" s="35" t="str">
        <f ca="1">IFERROR(IF(AND(INDEX(Tab_DaBa[],MATCH(CONCATENATE(Liste!$C$3,$B$569,$B$627),Data!$BO:$BO,0)-2,43)&lt;&gt;"",INDEX(Tab_DaBa[],MATCH(CONCATENATE(Liste!$C$3,$B$569,$B$627),Data!$BO:$BO,0)-2,48)=""),"PFH [1/h] = "&amp;10^9*INDEX(Tab_DaBa[],MATCH(CONCATENATE(Liste!$C$3,$B$569,$B$627),Data!$BO:$BO,0)-2,16)&amp;"E-9",IF(INDEX(Tab_DaBa[],MATCH(CONCATENATE(Liste!$C$3,$B$569,$B$627),Data!$BO:$BO,0)-2,43)&lt;&gt;"","PFH [1/h] = "&amp;10^9*INDEX(Tab_DaBa[],MATCH(CONCATENATE(Liste!$C$3,$B$569,$B$627),Data!$BO:$BO,0)-2,51)&amp;"E-9","")),"")</f>
        <v/>
      </c>
      <c r="I641" s="39"/>
    </row>
    <row r="642" spans="2:9" s="16" customFormat="1">
      <c r="B642" s="33"/>
      <c r="C642" s="33"/>
      <c r="D642" s="33"/>
      <c r="E642" s="33"/>
      <c r="F642" s="33"/>
      <c r="G642" s="33"/>
      <c r="H642" s="33"/>
      <c r="I642" s="33"/>
    </row>
    <row r="643" spans="2:9" s="16" customFormat="1" ht="15.75">
      <c r="B643" s="38" t="str">
        <f ca="1">IF(B645="","",6)</f>
        <v/>
      </c>
      <c r="C643" s="33"/>
      <c r="D643" s="38" t="str">
        <f ca="1">IF(B645="","",3)</f>
        <v/>
      </c>
      <c r="E643" s="33"/>
      <c r="F643" s="38" t="str">
        <f ca="1">IF(B645="","",3)</f>
        <v/>
      </c>
      <c r="G643" s="33"/>
      <c r="H643" s="38" t="str">
        <f ca="1">IF(B645="","",3)</f>
        <v/>
      </c>
      <c r="I643" s="33"/>
    </row>
    <row r="644" spans="2:9" s="16" customFormat="1" ht="15.75">
      <c r="B644" s="39"/>
      <c r="C644" s="33"/>
      <c r="D644" s="33"/>
      <c r="E644" s="33"/>
      <c r="F644" s="33"/>
      <c r="G644" s="33"/>
      <c r="H644" s="33"/>
      <c r="I644" s="33"/>
    </row>
    <row r="645" spans="2:9" s="16" customFormat="1" ht="15.75">
      <c r="B645" s="35" t="str">
        <f ca="1">IFERROR(IF(AND(INDEX(Tab_DaBa[],MATCH(CONCATENATE(Liste!$C$3,$B$569,$B$627),Data!$BO:$BO,0)-2,48)&lt;&gt;"",INDEX(Tab_DaBa[],MATCH(CONCATENATE(Liste!$C$3,$B$569,$B$627),Data!$BO:$BO,0)-2,53)=0),INDEX(Tab_DaBa[],MATCH(CONCATENATE(Liste!$C$3,$B$569,$B$627),Data!$BO:$BO,0)-2,14),IF(INDEX(Tab_DaBa[],MATCH(CONCATENATE(Liste!$C$3,$B$569,$B$627),Data!$BO:$BO,0)-2,48)&lt;&gt;"",INDEX(Tab_DaBa[],MATCH(CONCATENATE(Liste!$C$3,$B$569,$B$627),Data!$BO:$BO,0)-2,54),"")),"")</f>
        <v/>
      </c>
      <c r="C645" s="39"/>
      <c r="D645" s="35" t="str">
        <f ca="1">IFERROR(IF(AND(INDEX(Tab_DaBa[],MATCH(CONCATENATE(Liste!$C$3,$B$569,$B$627),Data!$BO:$BO,0)-2,53)&lt;&gt;"",INDEX(Tab_DaBa[],MATCH(CONCATENATE(Liste!$C$3,$B$569,$B$627),Data!$BO:$BO,0)-2,58)=0),INDEX(Tab_DaBa[],MATCH(CONCATENATE(Liste!$C$3,$B$569,$B$627),Data!$BO:$BO,0)-2,14),IF(INDEX(Tab_DaBa[],MATCH(CONCATENATE(Liste!$C$3,$B$569,$B$627),Data!$BO:$BO,0)-2,53)&lt;&gt;"",INDEX(Tab_DaBa[],MATCH(CONCATENATE(Liste!$C$3,$B$569,$B$627),Data!$BO:$BO,0)-2,59),"")),"")</f>
        <v/>
      </c>
      <c r="E645" s="33"/>
      <c r="F645" s="35" t="str">
        <f ca="1">IFERROR(IF(AND(INDEX(Tab_DaBa[],MATCH(CONCATENATE(Liste!$C$3,$B$569,$B$627),Data!$BO:$BO,0)-2,58)&lt;&gt;"",INDEX(Tab_DaBa[],MATCH(CONCATENATE(Liste!$C$3,$B$569,$B$627),Data!$BO:$BO,0)-2,63)=0),INDEX(Tab_DaBa[],MATCH(CONCATENATE(Liste!$C$3,$B$569,$B$627),Data!$BO:$BO,0)-2,14),IF(INDEX(Tab_DaBa[],MATCH(CONCATENATE(Liste!$C$3,$B$569,$B$627),Data!$BO:$BO,0)-2,58)&lt;&gt;"",INDEX(Tab_DaBa[],MATCH(CONCATENATE(Liste!$C$3,$B$569,$B$627),Data!$BO:$BO,0)-2,64),"")),"")</f>
        <v/>
      </c>
      <c r="G645" s="39"/>
      <c r="H645" s="35" t="str">
        <f ca="1">IFERROR(IF(INDEX(Tab_DaBa[],MATCH(CONCATENATE(Liste!$C$3,$B$569,$B$627),Data!$BO:$BO,0)-2,63)&lt;&gt;"",INDEX(Tab_DaBa[],MATCH(CONCATENATE(Liste!$C$3,$B$569,$B$627),Data!$BO:$BO,0)-2,14),""),"")</f>
        <v/>
      </c>
    </row>
    <row r="646" spans="2:9" s="16" customFormat="1" ht="15.75">
      <c r="B646" s="35" t="str">
        <f ca="1">IFERROR(IF(AND(INDEX(Tab_DaBa[],MATCH(CONCATENATE(Liste!$C$3,$B$569,$B$627),Data!$BO:$BO,0)-2,48)&lt;&gt;"",INDEX(Tab_DaBa[],MATCH(CONCATENATE(Liste!$C$3,$B$569,$B$627),Data!$BO:$BO,0)-2,53)=0),INDEX(Tab_DaBa[],MATCH(CONCATENATE(Liste!$C$3,$B$569,$B$627),Data!$BO:$BO,0)-2,12),IF(INDEX(Tab_DaBa[],MATCH(CONCATENATE(Liste!$C$3,$B$569,$B$627),Data!$BO:$BO,0)-2,48)&lt;&gt;"",INDEX(Tab_DaBa[],MATCH(CONCATENATE(Liste!$C$3,$B$569,$B$627),Data!$BO:$BO,0)-2,52),"")),"")</f>
        <v/>
      </c>
      <c r="C646" s="39"/>
      <c r="D646" s="35" t="str">
        <f ca="1">IFERROR(IF(AND(INDEX(Tab_DaBa[],MATCH(CONCATENATE(Liste!$C$3,$B$569,$B$627),Data!$BO:$BO,0)-2,53)&lt;&gt;"",INDEX(Tab_DaBa[],MATCH(CONCATENATE(Liste!$C$3,$B$569,$B$627),Data!$BO:$BO,0)-2,58)=0),INDEX(Tab_DaBa[],MATCH(CONCATENATE(Liste!$C$3,$B$569,$B$627),Data!$BO:$BO,0)-2,12),IF(INDEX(Tab_DaBa[],MATCH(CONCATENATE(Liste!$C$3,$B$569,$B$627),Data!$BO:$BO,0)-2,53)&lt;&gt;"",INDEX(Tab_DaBa[],MATCH(CONCATENATE(Liste!$C$3,$B$569,$B$627),Data!$BO:$BO,0)-2,57),"")),"")</f>
        <v/>
      </c>
      <c r="E646" s="37"/>
      <c r="F646" s="35" t="str">
        <f ca="1">IFERROR(IF(AND(INDEX(Tab_DaBa[],MATCH(CONCATENATE(Liste!$C$3,$B$569,$B$627),Data!$BO:$BO,0)-2,58)&lt;&gt;"",INDEX(Tab_DaBa[],MATCH(CONCATENATE(Liste!$C$3,$B$569,$B$627),Data!$BO:$BO,0)-2,63)=0),INDEX(Tab_DaBa[],MATCH(CONCATENATE(Liste!$C$3,$B$569,$B$627),Data!$BO:$BO,0)-2,12),IF(INDEX(Tab_DaBa[],MATCH(CONCATENATE(Liste!$C$3,$B$569,$B$627),Data!$BO:$BO,0)-2,58)&lt;&gt;"",INDEX(Tab_DaBa[],MATCH(CONCATENATE(Liste!$C$3,$B$569,$B$627),Data!$BO:$BO,0)-2,62),"")),"")</f>
        <v/>
      </c>
      <c r="G646" s="39"/>
      <c r="H646" s="35" t="str">
        <f ca="1">IFERROR(IF(INDEX(Tab_DaBa[],MATCH(CONCATENATE(Liste!$C$3,$B$569,$B$627),Data!$BO:$BO,0)-2,63)&lt;&gt;"",INDEX(Tab_DaBa[],MATCH(CONCATENATE(Liste!$C$3,$B$569,$B$627),Data!$BO:$BO,0)-2,12),""),"")</f>
        <v/>
      </c>
    </row>
    <row r="647" spans="2:9" s="16" customFormat="1" ht="15.75">
      <c r="B647" s="35" t="str">
        <f ca="1">IFERROR(IF(AND(INDEX(Tab_DaBa[],MATCH(CONCATENATE(Liste!$C$3,$B$569,$B$627),Data!$BO:$BO,0)-2,48)&lt;&gt;"",INDEX(Tab_DaBa[],MATCH(CONCATENATE(Liste!$C$3,$B$569,$B$627),Data!$BO:$BO,0)-2,53)=""),INDEX(Tab_DaBa[],MATCH(CONCATENATE(Liste!$C$3,$B$569,$B$627),Data!$BO:$BO,0)-2,13),IF(INDEX(Tab_DaBa[],MATCH(CONCATENATE(Liste!$C$3,$B$569,$B$627),Data!$BO:$BO,0)-2,48)&lt;&gt;"",INDEX(Tab_DaBa[],MATCH(CONCATENATE(Liste!$C$3,$B$569,$B$627),Data!$BO:$BO,0)-2,53),"")),"")</f>
        <v/>
      </c>
      <c r="C647" s="38" t="str">
        <f ca="1">IF(D645="","",4)</f>
        <v/>
      </c>
      <c r="D647" s="35" t="str">
        <f ca="1">IFERROR(IF(AND(INDEX(Tab_DaBa[],MATCH(CONCATENATE(Liste!$C$3,$B$569,$B$627),Data!$BO:$BO,0)-2,53)&lt;&gt;"",INDEX(Tab_DaBa[],MATCH(CONCATENATE(Liste!$C$3,$B$569,$B$627),Data!$BO:$BO,0)-2,58)=""),INDEX(Tab_DaBa[],MATCH(CONCATENATE(Liste!$C$3,$B$569,$B$627),Data!$BO:$BO,0)-2,13),IF(INDEX(Tab_DaBa[],MATCH(CONCATENATE(Liste!$C$3,$B$569,$B$627),Data!$BO:$BO,0)-2,53)&lt;&gt;"",INDEX(Tab_DaBa[],MATCH(CONCATENATE(Liste!$C$3,$B$569,$B$627),Data!$BO:$BO,0)-2,58),"")),"")</f>
        <v/>
      </c>
      <c r="E647" s="38" t="str">
        <f ca="1">IF(F645="","",4)</f>
        <v/>
      </c>
      <c r="F647" s="35" t="str">
        <f ca="1">IFERROR(IF(AND(INDEX(Tab_DaBa[],MATCH(CONCATENATE(Liste!$C$3,$B$569,$B$627),Data!$BO:$BO,0)-2,58)&lt;&gt;"",INDEX(Tab_DaBa[],MATCH(CONCATENATE(Liste!$C$3,$B$569,$B$627),Data!$BO:$BO,0)-2,63)=""),INDEX(Tab_DaBa[],MATCH(CONCATENATE(Liste!$C$3,$B$569,$B$627),Data!$BO:$BO,0)-2,13),IF(INDEX(Tab_DaBa[],MATCH(CONCATENATE(Liste!$C$3,$B$569,$B$627),Data!$BO:$BO,0)-2,58)&lt;&gt;"",INDEX(Tab_DaBa[],MATCH(CONCATENATE(Liste!$C$3,$B$569,$B$627),Data!$BO:$BO,0)-2,63),"")),"")</f>
        <v/>
      </c>
      <c r="G647" s="38" t="str">
        <f ca="1">IF(H645="","",4)</f>
        <v/>
      </c>
      <c r="H647" s="35" t="str">
        <f ca="1">IFERROR(IF(INDEX(Tab_DaBa[],MATCH(CONCATENATE(Liste!$C$3,$B$569,$B$627),Data!$BO:$BO,0)-2,63)&lt;&gt;"",INDEX(Tab_DaBa[],MATCH(CONCATENATE(Liste!$C$3,$B$569,$B$627),Data!$BO:$BO,0)-2,13),""),"")</f>
        <v/>
      </c>
    </row>
    <row r="648" spans="2:9" s="16" customFormat="1" ht="15.75">
      <c r="B648" s="35" t="str">
        <f ca="1">IFERROR(IF(AND(INDEX(Tab_DaBa[],MATCH(CONCATENATE(Liste!$C$3,$B$569,$B$627),Data!$BO:$BO,0)-2,48)&lt;&gt;"",INDEX(Tab_DaBa[],MATCH(CONCATENATE(Liste!$C$3,$B$569,$B$627),Data!$BO:$BO,0)-2,53)=""),"Performance Level: "&amp;INDEX(Tab_DaBa[],MATCH(CONCATENATE(Liste!$C$3,$B$569,$B$627),Data!$BO:$BO,0)-2,15),IF(INDEX(Tab_DaBa[],MATCH(CONCATENATE(Liste!$C$3,$B$569,$B$627),Data!$BO:$BO,0)-2,48)&lt;&gt;"","Performance Level: "&amp;INDEX(Tab_DaBa[],MATCH(CONCATENATE(Liste!$C$3,$B$569,$B$627),Data!$BO:$BO,0)-2,55),"")),"")</f>
        <v/>
      </c>
      <c r="C648" s="39"/>
      <c r="D648" s="35" t="str">
        <f ca="1">IFERROR(IF(AND(INDEX(Tab_DaBa[],MATCH(CONCATENATE(Liste!$C$3,$B$569,$B$627),Data!$BO:$BO,0)-2,53)&lt;&gt;"",INDEX(Tab_DaBa[],MATCH(CONCATENATE(Liste!$C$3,$B$569,$B$627),Data!$BO:$BO,0)-2,58)=""),"Performance Level: "&amp;INDEX(Tab_DaBa[],MATCH(CONCATENATE(Liste!$C$3,$B$569,$B$627),Data!$BO:$BO,0)-2,15),IF(INDEX(Tab_DaBa[],MATCH(CONCATENATE(Liste!$C$3,$B$569,$B$627),Data!$BO:$BO,0)-2,53)&lt;&gt;"","Performance Level: "&amp;INDEX(Tab_DaBa[],MATCH(CONCATENATE(Liste!$C$3,$B$569,$B$627),Data!$BO:$BO,0)-2,60),"")),"")</f>
        <v/>
      </c>
      <c r="E648" s="37"/>
      <c r="F648" s="35" t="str">
        <f ca="1">IFERROR(IF(AND(INDEX(Tab_DaBa[],MATCH(CONCATENATE(Liste!$C$3,$B$569,$B$627),Data!$BO:$BO,0)-2,58)&lt;&gt;"",INDEX(Tab_DaBa[],MATCH(CONCATENATE(Liste!$C$3,$B$569,$B$627),Data!$BO:$BO,0)-2,63)=""),"Performance Level: "&amp;INDEX(Tab_DaBa[],MATCH(CONCATENATE(Liste!$C$3,$B$569,$B$627),Data!$BO:$BO,0)-2,15),IF(INDEX(Tab_DaBa[],MATCH(CONCATENATE(Liste!$C$3,$B$569,$B$627),Data!$BO:$BO,0)-2,58)&lt;&gt;"","Performance Level: "&amp;INDEX(Tab_DaBa[],MATCH(CONCATENATE(Liste!$C$3,$B$569,$B$627),Data!$BO:$BO,0)-2,65),"")),"")</f>
        <v/>
      </c>
      <c r="G648" s="39"/>
      <c r="H648" s="35" t="str">
        <f ca="1">IFERROR(IF(INDEX(Tab_DaBa[],MATCH(CONCATENATE(Liste!$C$3,$B$569,$B$627),Data!$BO:$BO,0)-2,63)&lt;&gt;"","Performance Level: "&amp;INDEX(Tab_DaBa[],MATCH(CONCATENATE(Liste!$C$3,$B$569,$B$627),Data!$BO:$BO,0)-2,15),""),"")</f>
        <v/>
      </c>
    </row>
    <row r="649" spans="2:9" s="16" customFormat="1" ht="15.75">
      <c r="B649" s="35" t="str">
        <f ca="1">IFERROR(IF(AND(INDEX(Tab_DaBa[],MATCH(CONCATENATE(Liste!$C$3,$B$569,$B$627),Data!$BO:$BO,0)-2,48)&lt;&gt;"",INDEX(Tab_DaBa[],MATCH(CONCATENATE(Liste!$C$3,$B$569,$B$627),Data!$BO:$BO,0)-2,53)=""),"PFH [1/h] = "&amp;10^9*INDEX(Tab_DaBa[],MATCH(CONCATENATE(Liste!$C$3,$B$569,$B$627),Data!$BO:$BO,0)-2,16)&amp;"E-9",IF(INDEX(Tab_DaBa[],MATCH(CONCATENATE(Liste!$C$3,$B$569,$B$627),Data!$BO:$BO,0)-2,48)&lt;&gt;"","PFH [1/h] = "&amp;10^9*INDEX(Tab_DaBa[],MATCH(CONCATENATE(Liste!$C$3,$B$569,$B$627),Data!$BO:$BO,0)-2,56)&amp;"E-9","")),"")</f>
        <v/>
      </c>
      <c r="C649" s="39"/>
      <c r="D649" s="35" t="str">
        <f ca="1">IFERROR(IF(AND(INDEX(Tab_DaBa[],MATCH(CONCATENATE(Liste!$C$3,$B$569,$B$627),Data!$BO:$BO,0)-2,53)&lt;&gt;"",INDEX(Tab_DaBa[],MATCH(CONCATENATE(Liste!$C$3,$B$569,$B$627),Data!$BO:$BO,0)-2,58)=""),"PFH [1/h] = "&amp;10^9*INDEX(Tab_DaBa[],MATCH(CONCATENATE(Liste!$C$3,$B$569,$B$627),Data!$BO:$BO,0)-2,16)&amp;"E-9",IF(INDEX(Tab_DaBa[],MATCH(CONCATENATE(Liste!$C$3,$B$569,$B$627),Data!$BO:$BO,0)-2,53)&lt;&gt;"","PFH [1/h] = "&amp;10^9*INDEX(Tab_DaBa[],MATCH(CONCATENATE(Liste!$C$3,$B$569,$B$627),Data!$BO:$BO,0)-2,61)&amp;"E-9","")),"")</f>
        <v/>
      </c>
      <c r="E649" s="37"/>
      <c r="F649" s="35" t="str">
        <f ca="1">IFERROR(IF(AND(INDEX(Tab_DaBa[],MATCH(CONCATENATE(Liste!$C$3,$B$569,$B$627),Data!$BO:$BO,0)-2,58)&lt;&gt;"",INDEX(Tab_DaBa[],MATCH(CONCATENATE(Liste!$C$3,$B$569,$B$627),Data!$BO:$BO,0)-2,63)=""),"PFH [1/h] = "&amp;10^9*INDEX(Tab_DaBa[],MATCH(CONCATENATE(Liste!$C$3,$B$569,$B$627),Data!$BO:$BO,0)-2,16)&amp;"E-9",IF(INDEX(Tab_DaBa[],MATCH(CONCATENATE(Liste!$C$3,$B$569,$B$627),Data!$BO:$BO,0)-2,58)&lt;&gt;"","PFH [1/h] = "&amp;10^9*INDEX(Tab_DaBa[],MATCH(CONCATENATE(Liste!$C$3,$B$569,$B$627),Data!$BO:$BO,0)-2,66)&amp;"E-9","")),"")</f>
        <v/>
      </c>
      <c r="G649" s="39"/>
      <c r="H649" s="35" t="str">
        <f ca="1">IFERROR(IF(INDEX(Tab_DaBa[],MATCH(CONCATENATE(Liste!$C$3,$B$569,$B$627),Data!$BO:$BO,0)-2,63)&lt;&gt;"","PFH [1/h] = "&amp;10^9*INDEX(Tab_DaBa[],MATCH(CONCATENATE(Liste!$C$3,$B$569,$B$627),Data!$BO:$BO,0)-2,16)&amp;"E-9",""),"")</f>
        <v/>
      </c>
    </row>
    <row r="650" spans="2:9" s="16" customFormat="1"/>
    <row r="651" spans="2:9" s="16" customFormat="1">
      <c r="B651" s="43" t="str">
        <f ca="1">IF(D651="","","Erforderlich")</f>
        <v>Erforderlich</v>
      </c>
      <c r="D651" s="44" t="str">
        <f ca="1">IFERROR("Performance Level: "&amp;INDEX(Tab_DaBa[],MATCH(CONCATENATE(Liste!$C$3,$B$569,$B$627),Data!$BO:$BO,0)-2,4),"")</f>
        <v>Performance Level: PLr_ges3_3</v>
      </c>
    </row>
    <row r="652" spans="2:9" s="16" customFormat="1">
      <c r="B652" s="45"/>
    </row>
    <row r="653" spans="2:9" s="16" customFormat="1">
      <c r="B653" s="46" t="str">
        <f ca="1">IF(D653="","","Erreicht")</f>
        <v>Erreicht</v>
      </c>
      <c r="D653" s="47" t="str">
        <f ca="1">IFERROR("Performance Level: "&amp;INDEX(Tab_DaBa[],MATCH(CONCATENATE(Liste!$C$3,$B$569,$B$627),Data!$BO:$BO,0)-2,5)&amp;"          PFH [1/h] = "&amp;10^9*INDEX(Tab_DaBa[],MATCH(CONCATENATE(Liste!$C$3,$B$569,$B$627),Data!$BO:$BO,0)-2,6)&amp;"E-9","")</f>
        <v>Performance Level: Pl_ges3_3          PFH [1/h] = 71,7E-9</v>
      </c>
    </row>
    <row r="654" spans="2:9" s="16" customFormat="1"/>
    <row r="655" spans="2:9" s="16" customFormat="1">
      <c r="B655" s="42" t="str">
        <f ca="1">IFERROR(IF(4&gt;COUNTIF(Data!$BP:$BP,CONCATENATE(Liste!$C$3,$B$569)),"",INDEX(Tab_DaBa[],MATCH(CONCATENATE(Liste!$C$3,$B$569),Data!$BP:$BP,0)+1,3)),"")</f>
        <v>3.4 Test3 (E+4L+A)</v>
      </c>
    </row>
    <row r="656" spans="2:9" s="16" customFormat="1"/>
    <row r="657" spans="2:9" s="16" customFormat="1" ht="15.75">
      <c r="B657" s="35" t="str">
        <f ca="1">IFERROR(INDEX(Tab_DaBa[],MATCH(CONCATENATE(Liste!$C$3,$B$569,$B$655),Data!$BO:$BO,0)-2,9),"")</f>
        <v>Eingang</v>
      </c>
      <c r="C657" s="54"/>
      <c r="D657" s="35" t="str">
        <f ca="1">IFERROR(IF(INDEX(Tab_DaBa[],MATCH(CONCATENATE(Liste!$C$3,$B$569,$B$655),Data!$BO:$BO,0)-2,18)=0,INDEX(Tab_DaBa[],MATCH(CONCATENATE(Liste!$C$3,$B$569,$B$655),Data!$BO:$BO,0)-2,14),INDEX(Tab_DaBa[],MATCH(CONCATENATE(Liste!$C$3,$B$569,$B$655),Data!$BO:$BO,0)-2,19)),"")</f>
        <v>Logik 01</v>
      </c>
      <c r="E657" s="33"/>
      <c r="F657" s="35" t="str">
        <f ca="1">IFERROR(IF(AND(INDEX(Tab_DaBa[],MATCH(CONCATENATE(Liste!$C$3,$B$569,$B$655),Data!$BO:$BO,0)-2,18)&lt;&gt;"",INDEX(Tab_DaBa[],MATCH(CONCATENATE(Liste!$C$3,$B$569,$B$655),Data!$BO:$BO,0)-2,23)=0),INDEX(Tab_DaBa[],MATCH(CONCATENATE(Liste!$C$3,$B$569,$B$655),Data!$BO:$BO,0)-2,14),IF(INDEX(Tab_DaBa[],MATCH(CONCATENATE(Liste!$C$3,$B$569,$B$655),Data!$BO:$BO,0)-2,23)&lt;&gt;"",INDEX(Tab_DaBa[],MATCH(CONCATENATE(Liste!$C$3,$B$569,$B$655),Data!$BO:$BO,0)-2,24),"")),"")</f>
        <v>Logik 02</v>
      </c>
      <c r="G657" s="39"/>
      <c r="H657" s="35" t="str">
        <f ca="1">IFERROR(IF(AND(INDEX(Tab_DaBa[],MATCH(CONCATENATE(Liste!$C$3,$B$569,$B$655),Data!$BO:$BO,0)-2,23)&lt;&gt;"",INDEX(Tab_DaBa[],MATCH(CONCATENATE(Liste!$C$3,$B$569,$B$655),Data!$BO:$BO,0)-2,28)=0),INDEX(Tab_DaBa[],MATCH(CONCATENATE(Liste!$C$3,$B$569,$B$655),Data!$BO:$BO,0)-2,14),IF(INDEX(Tab_DaBa[],MATCH(CONCATENATE(Liste!$C$3,$B$569,$B$655),Data!$BO:$BO,0)-2,23)&lt;&gt;"",INDEX(Tab_DaBa[],MATCH(CONCATENATE(Liste!$C$3,$B$569,$B$655),Data!$BO:$BO,0)-2,29),"")),"")</f>
        <v>Logik 03</v>
      </c>
      <c r="I657" s="39"/>
    </row>
    <row r="658" spans="2:9" s="16" customFormat="1" ht="15.75">
      <c r="B658" s="35" t="str">
        <f ca="1">IFERROR(INDEX(Tab_DaBa[],MATCH(CONCATENATE(Liste!$C$3,$B$569,$B$655),Data!$BO:$BO,0)-2,7),"")</f>
        <v>eeee-33_4</v>
      </c>
      <c r="C658" s="54"/>
      <c r="D658" s="35" t="str">
        <f ca="1">IFERROR(IF(INDEX(Tab_DaBa[],MATCH(CONCATENATE(Liste!$C$3,$B$569,$B$655),Data!$BO:$BO,0)-2,18)="",INDEX(Tab_DaBa[],MATCH(CONCATENATE(Liste!$C$3,$B$569,$B$655),Data!$BO:$BO,0)-2,12),INDEX(Tab_DaBa[],MATCH(CONCATENATE(Liste!$C$3,$B$569,$B$655),Data!$BO:$BO,0)-2,17)),"")</f>
        <v>Log01-03_04</v>
      </c>
      <c r="E658" s="36"/>
      <c r="F658" s="35" t="str">
        <f ca="1">IFERROR(IF(AND(INDEX(Tab_DaBa[],MATCH(CONCATENATE(Liste!$C$3,$B$569,$B$655),Data!$BO:$BO,0)-2,18)&lt;&gt;"",INDEX(Tab_DaBa[],MATCH(CONCATENATE(Liste!$C$3,$B$569,$B$655),Data!$BO:$BO,0)-2,23)=0),INDEX(Tab_DaBa[],MATCH(CONCATENATE(Liste!$C$3,$B$569,$B$655),Data!$BO:$BO,0)-2,12),IF(INDEX(Tab_DaBa[],MATCH(CONCATENATE(Liste!$C$3,$B$569,$B$655),Data!$BO:$BO,0)-2,23)&lt;&gt;"",INDEX(Tab_DaBa[],MATCH(CONCATENATE(Liste!$C$3,$B$569,$B$655),Data!$BO:$BO,0)-2,22),"")),"")</f>
        <v>Log02-03_04</v>
      </c>
      <c r="G658" s="39"/>
      <c r="H658" s="35" t="str">
        <f ca="1">IFERROR(IF(AND(INDEX(Tab_DaBa[],MATCH(CONCATENATE(Liste!$C$3,$B$569,$B$655),Data!$BO:$BO,0)-2,23)&lt;&gt;"",INDEX(Tab_DaBa[],MATCH(CONCATENATE(Liste!$C$3,$B$569,$B$655),Data!$BO:$BO,0)-2,28)=0),INDEX(Tab_DaBa[],MATCH(CONCATENATE(Liste!$C$3,$B$569,$B$655),Data!$BO:$BO,0)-2,12),IF(INDEX(Tab_DaBa[],MATCH(CONCATENATE(Liste!$C$3,$B$569,$B$655),Data!$BO:$BO,0)-2,23)&lt;&gt;"",INDEX(Tab_DaBa[],MATCH(CONCATENATE(Liste!$C$3,$B$569,$B$655),Data!$BO:$BO,0)-2,27),"")),"")</f>
        <v>Lo03-33_4</v>
      </c>
      <c r="I658" s="39"/>
    </row>
    <row r="659" spans="2:9" s="16" customFormat="1" ht="15.75">
      <c r="B659" s="35" t="str">
        <f ca="1">IFERROR(INDEX(Tab_DaBa[],MATCH(CONCATENATE(Liste!$C$3,$B$569,$B$655),Data!$BO:$BO,0)-2,8),"")</f>
        <v>Bez_Ein3_4</v>
      </c>
      <c r="C659" s="40">
        <f ca="1">IF(D657="","",4)</f>
        <v>4</v>
      </c>
      <c r="D659" s="35" t="str">
        <f ca="1">IFERROR(IF(INDEX(Tab_DaBa[],MATCH(CONCATENATE(Liste!$C$3,$B$569,$B$655),Data!$BO:$BO,0)-2,18)="",INDEX(Tab_DaBa[],MATCH(CONCATENATE(Liste!$C$3,$B$569,$B$655),Data!$BO:$BO,0)-2,13),INDEX(Tab_DaBa[],MATCH(CONCATENATE(Liste!$C$3,$B$569,$B$655),Data!$BO:$BO,0)-2,18)),"")</f>
        <v>Bez_Log01_03_04</v>
      </c>
      <c r="E659" s="40">
        <f ca="1">IF(F657="","",4)</f>
        <v>4</v>
      </c>
      <c r="F659" s="35" t="str">
        <f ca="1">IFERROR(IF(AND(INDEX(Tab_DaBa[],MATCH(CONCATENATE(Liste!$C$3,$B$569,$B$655),Data!$BO:$BO,0)-2,18)&lt;&gt;"",INDEX(Tab_DaBa[],MATCH(CONCATENATE(Liste!$C$3,$B$569,$B$655),Data!$BO:$BO,0)-2,23)=""),INDEX(Tab_DaBa[],MATCH(CONCATENATE(Liste!$C$3,$B$569,$B$655),Data!$BO:$BO,0)-2,13),IF(INDEX(Tab_DaBa[],MATCH(CONCATENATE(Liste!$C$3,$B$569,$B$655),Data!$BO:$BO,0)-2,23)&lt;&gt;"",INDEX(Tab_DaBa[],MATCH(CONCATENATE(Liste!$C$3,$B$569,$B$655),Data!$BO:$BO,0)-2,23),"")),"")</f>
        <v>Bez_Log02_03_4</v>
      </c>
      <c r="G659" s="38">
        <f ca="1">IF(H657="","",4)</f>
        <v>4</v>
      </c>
      <c r="H659" s="35" t="str">
        <f ca="1">IFERROR(IF(AND(INDEX(Tab_DaBa[],MATCH(CONCATENATE(Liste!$C$3,$B$569,$B$655),Data!$BO:$BO,0)-2,23)&lt;&gt;"",INDEX(Tab_DaBa[],MATCH(CONCATENATE(Liste!$C$3,$B$569,$B$655),Data!$BO:$BO,0)-2,28)=""),INDEX(Tab_DaBa[],MATCH(CONCATENATE(Liste!$C$3,$B$569,$B$655),Data!$BO:$BO,0)-2,13),IF(INDEX(Tab_DaBa[],MATCH(CONCATENATE(Liste!$C$3,$B$569,$B$655),Data!$BO:$BO,0)-2,23)&lt;&gt;"",INDEX(Tab_DaBa[],MATCH(CONCATENATE(Liste!$C$3,$B$569,$B$655),Data!$BO:$BO,0)-2,28),"")),"")</f>
        <v>Bez_Lo03_4</v>
      </c>
      <c r="I659" s="38">
        <f ca="1">IF(B665="","",6)</f>
        <v>6</v>
      </c>
    </row>
    <row r="660" spans="2:9" s="16" customFormat="1" ht="15.75">
      <c r="B660" s="35" t="str">
        <f ca="1">IFERROR("Performance Level: "&amp;INDEX(Tab_DaBa[],MATCH(CONCATENATE(Liste!$C$3,$B$569,$B$655),Data!$BO:$BO,0)-2,10),"")</f>
        <v>Performance Level: PL_Ein3_4</v>
      </c>
      <c r="C660" s="54"/>
      <c r="D660" s="35" t="str">
        <f ca="1">IFERROR(IF(INDEX(Tab_DaBa[],MATCH(CONCATENATE(Liste!$C$3,$B$569,$B$655),Data!$BO:$BO,0)-2,18)="","Performance Level: "&amp;INDEX(Tab_DaBa[],MATCH(CONCATENATE(Liste!$C$3,$B$569,$B$655),Data!$BO:$BO,0)-2,15),"Performance Level: "&amp;INDEX(Tab_DaBa[],MATCH(CONCATENATE(Liste!$C$3,$B$569,$B$655),Data!$BO:$BO,0)-2,20)),"")</f>
        <v>Performance Level: PL_Log01_03_04</v>
      </c>
      <c r="E660" s="36"/>
      <c r="F660" s="35" t="str">
        <f ca="1">IFERROR(IF(AND(INDEX(Tab_DaBa[],MATCH(CONCATENATE(Liste!$C$3,$B$569,$B$655),Data!$BO:$BO,0)-2,18)&lt;&gt;"",INDEX(Tab_DaBa[],MATCH(CONCATENATE(Liste!$C$3,$B$569,$B$655),Data!$BO:$BO,0)-2,23)=""),"Performance Level: "&amp;INDEX(Tab_DaBa[],MATCH(CONCATENATE(Liste!$C$3,$B$569,$B$655),Data!$BO:$BO,0)-2,15),IF(INDEX(Tab_DaBa[],MATCH(CONCATENATE(Liste!$C$3,$B$569,$B$655),Data!$BO:$BO,0)-2,23)&lt;&gt;"","Performance Level: "&amp;INDEX(Tab_DaBa[],MATCH(CONCATENATE(Liste!$C$3,$B$569,$B$655),Data!$BO:$BO,0)-2,25),"")),"")</f>
        <v>Performance Level: PL_Lo03_4</v>
      </c>
      <c r="G660" s="39"/>
      <c r="H660" s="35" t="str">
        <f ca="1">IFERROR(IF(AND(INDEX(Tab_DaBa[],MATCH(CONCATENATE(Liste!$C$3,$B$569,$B$655),Data!$BO:$BO,0)-2,23)&lt;&gt;"",INDEX(Tab_DaBa[],MATCH(CONCATENATE(Liste!$C$3,$B$569,$B$655),Data!$BO:$BO,0)-2,28)=""),"Performance Level: "&amp;INDEX(Tab_DaBa[],MATCH(CONCATENATE(Liste!$C$3,$B$569,$B$655),Data!$BO:$BO,0)-2,15),IF(INDEX(Tab_DaBa[],MATCH(CONCATENATE(Liste!$C$3,$B$569,$B$655),Data!$BO:$BO,0)-2,23)&lt;&gt;"","Performance Level: "&amp;INDEX(Tab_DaBa[],MATCH(CONCATENATE(Liste!$C$3,$B$569,$B$655),Data!$BO:$BO,0)-2,30),"")),"")</f>
        <v>Performance Level: PL_Lo03_4</v>
      </c>
      <c r="I660" s="38"/>
    </row>
    <row r="661" spans="2:9" s="16" customFormat="1" ht="15.75">
      <c r="B661" s="53" t="str">
        <f ca="1">IFERROR("PFH [1/h] = "&amp;10^9*INDEX(Tab_DaBa[],MATCH(CONCATENATE(Liste!$C$3,$B$569,$B$655),Data!$BO:$BO,0)-2,11)&amp;"E-9","")</f>
        <v>PFH [1/h] = 42,9E-9</v>
      </c>
      <c r="C661" s="54"/>
      <c r="D661" s="35" t="str">
        <f ca="1">IFERROR(IF(INDEX(Tab_DaBa[],MATCH(CONCATENATE(Liste!$C$3,$B$569,$B$655),Data!$BO:$BO,0)-2,18)="","PFH [1/h] = "&amp;10^9*INDEX(Tab_DaBa[],MATCH(CONCATENATE(Liste!$C$3,$B$569,$B$655),Data!$BO:$BO,0)-2,16)&amp;"E-9","PFH [1/h] = "&amp;10^9*INDEX(Tab_DaBa[],MATCH(CONCATENATE(Liste!$C$3,$B$569,$B$655),Data!$BO:$BO,0)-2,21)&amp;"E-9"),"")</f>
        <v>PFH [1/h] = 4,19E-9</v>
      </c>
      <c r="E661" s="36"/>
      <c r="F661" s="35" t="str">
        <f ca="1">IFERROR(IF(AND(INDEX(Tab_DaBa[],MATCH(CONCATENATE(Liste!$C$3,$B$569,$B$655),Data!$BO:$BO,0)-2,18)&lt;&gt;"",INDEX(Tab_DaBa[],MATCH(CONCATENATE(Liste!$C$3,$B$569,$B$655),Data!$BO:$BO,0)-2,23)=""),"PFH [1/h] = "&amp;10^9*INDEX(Tab_DaBa[],MATCH(CONCATENATE(Liste!$C$3,$B$569,$B$655),Data!$BO:$BO,0)-2,16)&amp;"E-9",IF(INDEX(Tab_DaBa[],MATCH(CONCATENATE(Liste!$C$3,$B$569,$B$655),Data!$BO:$BO,0)-2,23)&lt;&gt;"","PFH [1/h] = "&amp;10^9*INDEX(Tab_DaBa[],MATCH(CONCATENATE(Liste!$C$3,$B$569,$B$655),Data!$BO:$BO,0)-2,26)&amp;"E-9","")),"")</f>
        <v>PFH [1/h] = 4,19E-9</v>
      </c>
      <c r="G661" s="39"/>
      <c r="H661" s="35" t="str">
        <f ca="1">IFERROR(IF(AND(INDEX(Tab_DaBa[],MATCH(CONCATENATE(Liste!$C$3,$B$569,$B$655),Data!$BO:$BO,0)-2,23)&lt;&gt;"",INDEX(Tab_DaBa[],MATCH(CONCATENATE(Liste!$C$3,$B$569,$B$655),Data!$BO:$BO,0)-2,28)=""),"PFH [1/h] = "&amp;10^9*INDEX(Tab_DaBa[],MATCH(CONCATENATE(Liste!$C$3,$B$569,$B$655),Data!$BO:$BO,0)-2,16)&amp;"E-9",IF(INDEX(Tab_DaBa[],MATCH(CONCATENATE(Liste!$C$3,$B$569,$B$655),Data!$BO:$BO,0)-2,23)&lt;&gt;"","PFH [1/h] = "&amp;10^9*INDEX(Tab_DaBa[],MATCH(CONCATENATE(Liste!$C$3,$B$569,$B$655),Data!$BO:$BO,0)-2,31)&amp;"E-9","")),"")</f>
        <v>PFH [1/h] = 4,19E-9</v>
      </c>
      <c r="I661" s="39"/>
    </row>
    <row r="662" spans="2:9" s="16" customFormat="1">
      <c r="B662" s="33"/>
      <c r="C662" s="34"/>
      <c r="D662" s="33"/>
      <c r="E662" s="33"/>
      <c r="F662" s="33"/>
      <c r="G662" s="33"/>
      <c r="H662" s="33"/>
      <c r="I662" s="33"/>
    </row>
    <row r="663" spans="2:9" s="16" customFormat="1" ht="15.75">
      <c r="B663" s="38">
        <f ca="1">IF(B665="","",6)</f>
        <v>6</v>
      </c>
      <c r="C663" s="34"/>
      <c r="D663" s="38">
        <f ca="1">IF(B665="","",3)</f>
        <v>3</v>
      </c>
      <c r="E663" s="33"/>
      <c r="F663" s="38">
        <f ca="1">IF(B665="","",3)</f>
        <v>3</v>
      </c>
      <c r="G663" s="33"/>
      <c r="H663" s="38">
        <f ca="1">IF(B665="","",3)</f>
        <v>3</v>
      </c>
      <c r="I663" s="33"/>
    </row>
    <row r="664" spans="2:9" s="16" customFormat="1" ht="15.75">
      <c r="B664" s="39"/>
      <c r="C664" s="33"/>
      <c r="D664" s="33"/>
      <c r="E664" s="33"/>
      <c r="F664" s="33"/>
      <c r="G664" s="33"/>
      <c r="H664" s="33"/>
      <c r="I664" s="33"/>
    </row>
    <row r="665" spans="2:9" s="16" customFormat="1" ht="15.75">
      <c r="B665" s="35" t="str">
        <f ca="1">IFERROR(IF(AND(INDEX(Tab_DaBa[],MATCH(CONCATENATE(Liste!$C$3,$B$569,$B$655),Data!$BO:$BO,0)-2,28)&lt;&gt;"",INDEX(Tab_DaBa[],MATCH(CONCATENATE(Liste!$C$3,$B$569,$B$655),Data!$BO:$BO,0)-2,33)=0),INDEX(Tab_DaBa[],MATCH(CONCATENATE(Liste!$C$3,$B$569,$B$655),Data!$BO:$BO,0)-2,14),IF(INDEX(Tab_DaBa[],MATCH(CONCATENATE(Liste!$C$3,$B$569,$B$655),Data!$BO:$BO,0)-2,28)&lt;&gt;"",INDEX(Tab_DaBa[],MATCH(CONCATENATE(Liste!$C$3,$B$569,$B$655),Data!$BO:$BO,0)-2,34),"")),"")</f>
        <v>Logik 04</v>
      </c>
      <c r="C665" s="39"/>
      <c r="D665" s="35" t="str">
        <f ca="1">IFERROR(IF(AND(INDEX(Tab_DaBa[],MATCH(CONCATENATE(Liste!$C$3,$B$569,$B$655),Data!$BO:$BO,0)-2,33)&lt;&gt;"",INDEX(Tab_DaBa[],MATCH(CONCATENATE(Liste!$C$3,$B$569,$B$655),Data!$BO:$BO,0)-2,38)=0),INDEX(Tab_DaBa[],MATCH(CONCATENATE(Liste!$C$3,$B$569,$B$655),Data!$BO:$BO,0)-2,14),IF(INDEX(Tab_DaBa[],MATCH(CONCATENATE(Liste!$C$3,$B$569,$B$655),Data!$BO:$BO,0)-2,33)&lt;&gt;"",INDEX(Tab_DaBa[],MATCH(CONCATENATE(Liste!$C$3,$B$569,$B$655),Data!$BO:$BO,0)-2,39),"")),"")</f>
        <v>Ausgang</v>
      </c>
      <c r="E665" s="33"/>
      <c r="F665" s="35" t="str">
        <f ca="1">IFERROR(IF(AND(INDEX(Tab_DaBa[],MATCH(CONCATENATE(Liste!$C$3,$B$569,$B$655),Data!$BO:$BO,0)-2,38)&lt;&gt;"",INDEX(Tab_DaBa[],MATCH(CONCATENATE(Liste!$C$3,$B$569,$B$655),Data!$BO:$BO,0)-2,43)=0),INDEX(Tab_DaBa[],MATCH(CONCATENATE(Liste!$C$3,$B$569,$B$655),Data!$BO:$BO,0)-2,14),IF(INDEX(Tab_DaBa[],MATCH(CONCATENATE(Liste!$C$3,$B$569,$B$655),Data!$BO:$BO,0)-2,38)&lt;&gt;"",INDEX(Tab_DaBa[],MATCH(CONCATENATE(Liste!$C$3,$B$569,$B$655),Data!$BO:$BO,0)-2,44),"")),"")</f>
        <v/>
      </c>
      <c r="G665" s="39"/>
      <c r="H665" s="35" t="str">
        <f ca="1">IFERROR(IF(AND(INDEX(Tab_DaBa[],MATCH(CONCATENATE(Liste!$C$3,$B$569,$B$655),Data!$BO:$BO,0)-2,43)&lt;&gt;"",INDEX(Tab_DaBa[],MATCH(CONCATENATE(Liste!$C$3,$B$569,$B$655),Data!$BO:$BO,0)-2,48)=0),INDEX(Tab_DaBa[],MATCH(CONCATENATE(Liste!$C$3,$B$569,$B$655),Data!$BO:$BO,0)-2,14),IF(INDEX(Tab_DaBa[],MATCH(CONCATENATE(Liste!$C$3,$B$569,$B$655),Data!$BO:$BO,0)-2,43)&lt;&gt;"",INDEX(Tab_DaBa[],MATCH(CONCATENATE(Liste!$C$3,$B$569,$B$655),Data!$BO:$BO,0)-2,49),"")),"")</f>
        <v/>
      </c>
      <c r="I665" s="39"/>
    </row>
    <row r="666" spans="2:9" s="16" customFormat="1" ht="15.75">
      <c r="B666" s="35" t="str">
        <f ca="1">IFERROR(IF(AND(INDEX(Tab_DaBa[],MATCH(CONCATENATE(Liste!$C$3,$B$569,$B$655),Data!$BO:$BO,0)-2,28)&lt;&gt;"",INDEX(Tab_DaBa[],MATCH(CONCATENATE(Liste!$C$3,$B$569,$B$655),Data!$BO:$BO,0)-2,33)=0),INDEX(Tab_DaBa[],MATCH(CONCATENATE(Liste!$C$3,$B$569,$B$655),Data!$BO:$BO,0)-2,12),IF(INDEX(Tab_DaBa[],MATCH(CONCATENATE(Liste!$C$3,$B$569,$B$655),Data!$BO:$BO,0)-2,28)&lt;&gt;"",INDEX(Tab_DaBa[],MATCH(CONCATENATE(Liste!$C$3,$B$569,$B$655),Data!$BO:$BO,0)-2,32),"")),"")</f>
        <v>Lo03-33_04</v>
      </c>
      <c r="C666" s="39"/>
      <c r="D666" s="35" t="str">
        <f ca="1">IFERROR(IF(AND(INDEX(Tab_DaBa[],MATCH(CONCATENATE(Liste!$C$3,$B$569,$B$655),Data!$BO:$BO,0)-2,33)&lt;&gt;"",INDEX(Tab_DaBa[],MATCH(CONCATENATE(Liste!$C$3,$B$569,$B$655),Data!$BO:$BO,0)-2,38)=0),INDEX(Tab_DaBa[],MATCH(CONCATENATE(Liste!$C$3,$B$569,$B$655),Data!$BO:$BO,0)-2,12),IF(INDEX(Tab_DaBa[],MATCH(CONCATENATE(Liste!$C$3,$B$569,$B$655),Data!$BO:$BO,0)-2,33)&lt;&gt;"",INDEX(Tab_DaBa[],MATCH(CONCATENATE(Liste!$C$3,$B$569,$B$655),Data!$BO:$BO,0)-2,37),"")),"")</f>
        <v>aaaa-33_4</v>
      </c>
      <c r="E666" s="37"/>
      <c r="F666" s="35" t="str">
        <f ca="1">IFERROR(IF(AND(INDEX(Tab_DaBa[],MATCH(CONCATENATE(Liste!$C$3,$B$569,$B$655),Data!$BO:$BO,0)-2,38)&lt;&gt;"",INDEX(Tab_DaBa[],MATCH(CONCATENATE(Liste!$C$3,$B$569,$B$655),Data!$BO:$BO,0)-2,43)=0),INDEX(Tab_DaBa[],MATCH(CONCATENATE(Liste!$C$3,$B$569,$B$655),Data!$BO:$BO,0)-2,12),IF(INDEX(Tab_DaBa[],MATCH(CONCATENATE(Liste!$C$3,$B$569,$B$655),Data!$BO:$BO,0)-2,38)&lt;&gt;"",INDEX(Tab_DaBa[],MATCH(CONCATENATE(Liste!$C$3,$B$569,$B$655),Data!$BO:$BO,0)-2,42),"")),"")</f>
        <v/>
      </c>
      <c r="G666" s="39"/>
      <c r="H666" s="35" t="str">
        <f ca="1">IFERROR(IF(AND(INDEX(Tab_DaBa[],MATCH(CONCATENATE(Liste!$C$3,$B$569,$B$655),Data!$BO:$BO,0)-2,43)&lt;&gt;"",INDEX(Tab_DaBa[],MATCH(CONCATENATE(Liste!$C$3,$B$569,$B$655),Data!$BO:$BO,0)-2,48)=0),INDEX(Tab_DaBa[],MATCH(CONCATENATE(Liste!$C$3,$B$569,$B$655),Data!$BO:$BO,0)-2,12),IF(INDEX(Tab_DaBa[],MATCH(CONCATENATE(Liste!$C$3,$B$569,$B$655),Data!$BO:$BO,0)-2,43)&lt;&gt;"",INDEX(Tab_DaBa[],MATCH(CONCATENATE(Liste!$C$3,$B$569,$B$655),Data!$BO:$BO,0)-2,47),"")),"")</f>
        <v/>
      </c>
      <c r="I666" s="39"/>
    </row>
    <row r="667" spans="2:9" s="16" customFormat="1" ht="15.75">
      <c r="B667" s="35" t="str">
        <f ca="1">IFERROR(IF(AND(INDEX(Tab_DaBa[],MATCH(CONCATENATE(Liste!$C$3,$B$569,$B$655),Data!$BO:$BO,0)-2,28)&lt;&gt;"",INDEX(Tab_DaBa[],MATCH(CONCATENATE(Liste!$C$3,$B$569,$B$655),Data!$BO:$BO,0)-2,33)=""),INDEX(Tab_DaBa[],MATCH(CONCATENATE(Liste!$C$3,$B$569,$B$655),Data!$BO:$BO,0)-2,13),IF(INDEX(Tab_DaBa[],MATCH(CONCATENATE(Liste!$C$3,$B$569,$B$655),Data!$BO:$BO,0)-2,28)&lt;&gt;"",INDEX(Tab_DaBa[],MATCH(CONCATENATE(Liste!$C$3,$B$569,$B$655),Data!$BO:$BO,0)-2,33),"")),"")</f>
        <v>Bez_Lo03_04</v>
      </c>
      <c r="C667" s="38">
        <f ca="1">IF(D665="","",4)</f>
        <v>4</v>
      </c>
      <c r="D667" s="35" t="str">
        <f ca="1">IFERROR(IF(AND(INDEX(Tab_DaBa[],MATCH(CONCATENATE(Liste!$C$3,$B$569,$B$655),Data!$BO:$BO,0)-2,33)&lt;&gt;"",INDEX(Tab_DaBa[],MATCH(CONCATENATE(Liste!$C$3,$B$569,$B$655),Data!$BO:$BO,0)-2,38)=""),INDEX(Tab_DaBa[],MATCH(CONCATENATE(Liste!$C$3,$B$569,$B$655),Data!$BO:$BO,0)-2,13),IF(INDEX(Tab_DaBa[],MATCH(CONCATENATE(Liste!$C$3,$B$569,$B$655),Data!$BO:$BO,0)-2,33)&lt;&gt;"",INDEX(Tab_DaBa[],MATCH(CONCATENATE(Liste!$C$3,$B$569,$B$655),Data!$BO:$BO,0)-2,38),"")),"")</f>
        <v>Bez_Aus3_4</v>
      </c>
      <c r="E667" s="38" t="str">
        <f ca="1">IF(F665="","",4)</f>
        <v/>
      </c>
      <c r="F667" s="35" t="str">
        <f ca="1">IFERROR(IF(AND(INDEX(Tab_DaBa[],MATCH(CONCATENATE(Liste!$C$3,$B$569,$B$655),Data!$BO:$BO,0)-2,38)&lt;&gt;"",INDEX(Tab_DaBa[],MATCH(CONCATENATE(Liste!$C$3,$B$569,$B$655),Data!$BO:$BO,0)-2,43)=""),INDEX(Tab_DaBa[],MATCH(CONCATENATE(Liste!$C$3,$B$569,$B$655),Data!$BO:$BO,0)-2,13),IF(INDEX(Tab_DaBa[],MATCH(CONCATENATE(Liste!$C$3,$B$569,$B$655),Data!$BO:$BO,0)-2,38)&lt;&gt;"",INDEX(Tab_DaBa[],MATCH(CONCATENATE(Liste!$C$3,$B$569,$B$655),Data!$BO:$BO,0)-2,43),"")),"")</f>
        <v/>
      </c>
      <c r="G667" s="38" t="str">
        <f ca="1">IF(H665="","",4)</f>
        <v/>
      </c>
      <c r="H667" s="35" t="str">
        <f ca="1">IFERROR(IF(AND(INDEX(Tab_DaBa[],MATCH(CONCATENATE(Liste!$C$3,$B$569,$B$655),Data!$BO:$BO,0)-2,43)&lt;&gt;"",INDEX(Tab_DaBa[],MATCH(CONCATENATE(Liste!$C$3,$B$569,$B$655),Data!$BO:$BO,0)-2,48)=""),INDEX(Tab_DaBa[],MATCH(CONCATENATE(Liste!$C$3,$B$569,$B$655),Data!$BO:$BO,0)-2,13),IF(INDEX(Tab_DaBa[],MATCH(CONCATENATE(Liste!$C$3,$B$569,$B$655),Data!$BO:$BO,0)-2,43)&lt;&gt;"",INDEX(Tab_DaBa[],MATCH(CONCATENATE(Liste!$C$3,$B$569,$B$655),Data!$BO:$BO,0)-2,48),"")),"")</f>
        <v/>
      </c>
      <c r="I667" s="38" t="str">
        <f ca="1">IF(B673="","",6)</f>
        <v/>
      </c>
    </row>
    <row r="668" spans="2:9" s="16" customFormat="1" ht="15.75">
      <c r="B668" s="35" t="str">
        <f ca="1">IFERROR(IF(AND(INDEX(Tab_DaBa[],MATCH(CONCATENATE(Liste!$C$3,$B$569,$B$655),Data!$BO:$BO,0)-2,28)&lt;&gt;"",INDEX(Tab_DaBa[],MATCH(CONCATENATE(Liste!$C$3,$B$569,$B$655),Data!$BO:$BO,0)-2,33)=""),"Performance Level: "&amp;INDEX(Tab_DaBa[],MATCH(CONCATENATE(Liste!$C$3,$B$569,$B$655),Data!$BO:$BO,0)-2,15),IF(INDEX(Tab_DaBa[],MATCH(CONCATENATE(Liste!$C$3,$B$569,$B$655),Data!$BO:$BO,0)-2,28)&lt;&gt;"","Performance Level: "&amp;INDEX(Tab_DaBa[],MATCH(CONCATENATE(Liste!$C$3,$B$569,$B$655),Data!$BO:$BO,0)-2,35),"")),"")</f>
        <v>Performance Level: PL_Lo03_04</v>
      </c>
      <c r="C668" s="39"/>
      <c r="D668" s="35" t="str">
        <f ca="1">IFERROR(IF(AND(INDEX(Tab_DaBa[],MATCH(CONCATENATE(Liste!$C$3,$B$569,$B$655),Data!$BO:$BO,0)-2,33)&lt;&gt;"",INDEX(Tab_DaBa[],MATCH(CONCATENATE(Liste!$C$3,$B$569,$B$655),Data!$BO:$BO,0)-2,38)=""),"Performance Level: "&amp;INDEX(Tab_DaBa[],MATCH(CONCATENATE(Liste!$C$3,$B$569,$B$655),Data!$BO:$BO,0)-2,15),IF(INDEX(Tab_DaBa[],MATCH(CONCATENATE(Liste!$C$3,$B$569,$B$655),Data!$BO:$BO,0)-2,33)&lt;&gt;"","Performance Level: "&amp;INDEX(Tab_DaBa[],MATCH(CONCATENATE(Liste!$C$3,$B$569,$B$655),Data!$BO:$BO,0)-2,40),"")),"")</f>
        <v>Performance Level: PL_Aus3_4</v>
      </c>
      <c r="E668" s="37"/>
      <c r="F668" s="35" t="str">
        <f ca="1">IFERROR(IF(AND(INDEX(Tab_DaBa[],MATCH(CONCATENATE(Liste!$C$3,$B$569,$B$655),Data!$BO:$BO,0)-2,38)&lt;&gt;"",INDEX(Tab_DaBa[],MATCH(CONCATENATE(Liste!$C$3,$B$569,$B$655),Data!$BO:$BO,0)-2,43)=""),"Performance Level: "&amp;INDEX(Tab_DaBa[],MATCH(CONCATENATE(Liste!$C$3,$B$569,$B$655),Data!$BO:$BO,0)-2,15),IF(INDEX(Tab_DaBa[],MATCH(CONCATENATE(Liste!$C$3,$B$569,$B$655),Data!$BO:$BO,0)-2,38)&lt;&gt;"","Performance Level: "&amp;INDEX(Tab_DaBa[],MATCH(CONCATENATE(Liste!$C$3,$B$569,$B$655),Data!$BO:$BO,0)-2,45),"")),"")</f>
        <v/>
      </c>
      <c r="G668" s="39"/>
      <c r="H668" s="35" t="str">
        <f ca="1">IFERROR(IF(AND(INDEX(Tab_DaBa[],MATCH(CONCATENATE(Liste!$C$3,$B$569,$B$655),Data!$BO:$BO,0)-2,43)&lt;&gt;"",INDEX(Tab_DaBa[],MATCH(CONCATENATE(Liste!$C$3,$B$569,$B$655),Data!$BO:$BO,0)-2,48)=""),"Performance Level: "&amp;INDEX(Tab_DaBa[],MATCH(CONCATENATE(Liste!$C$3,$B$569,$B$655),Data!$BO:$BO,0)-2,15),IF(INDEX(Tab_DaBa[],MATCH(CONCATENATE(Liste!$C$3,$B$569,$B$655),Data!$BO:$BO,0)-2,43)&lt;&gt;"","Performance Level: "&amp;INDEX(Tab_DaBa[],MATCH(CONCATENATE(Liste!$C$3,$B$569,$B$655),Data!$BO:$BO,0)-2,50),"")),"")</f>
        <v/>
      </c>
      <c r="I668" s="39"/>
    </row>
    <row r="669" spans="2:9" s="16" customFormat="1" ht="15.75">
      <c r="B669" s="35" t="str">
        <f ca="1">IFERROR(IF(AND(INDEX(Tab_DaBa[],MATCH(CONCATENATE(Liste!$C$3,$B$569,$B$655),Data!$BO:$BO,0)-2,28)&lt;&gt;"",INDEX(Tab_DaBa[],MATCH(CONCATENATE(Liste!$C$3,$B$569,$B$655),Data!$BO:$BO,0)-2,33)=""),"PFH [1/h] = "&amp;10^9*INDEX(Tab_DaBa[],MATCH(CONCATENATE(Liste!$C$3,$B$569,$B$655),Data!$BO:$BO,0)-2,16)&amp;"E-9",IF(INDEX(Tab_DaBa[],MATCH(CONCATENATE(Liste!$C$3,$B$569,$B$655),Data!$BO:$BO,0)-2,28)&lt;&gt;"","PFH [1/h] = "&amp;10^9*INDEX(Tab_DaBa[],MATCH(CONCATENATE(Liste!$C$3,$B$569,$B$655),Data!$BO:$BO,0)-2,36)&amp;"E-9","")),"")</f>
        <v>PFH [1/h] = 4,19E-9</v>
      </c>
      <c r="C669" s="39"/>
      <c r="D669" s="35" t="str">
        <f ca="1">IFERROR(IF(AND(INDEX(Tab_DaBa[],MATCH(CONCATENATE(Liste!$C$3,$B$569,$B$655),Data!$BO:$BO,0)-2,33)&lt;&gt;"",INDEX(Tab_DaBa[],MATCH(CONCATENATE(Liste!$C$3,$B$569,$B$655),Data!$BO:$BO,0)-2,38)=""),"PFH [1/h] = "&amp;10^9*INDEX(Tab_DaBa[],MATCH(CONCATENATE(Liste!$C$3,$B$569,$B$655),Data!$BO:$BO,0)-2,16)&amp;"E-9",IF(INDEX(Tab_DaBa[],MATCH(CONCATENATE(Liste!$C$3,$B$569,$B$655),Data!$BO:$BO,0)-2,33)&lt;&gt;"","PFH [1/h] = "&amp;10^9*INDEX(Tab_DaBa[],MATCH(CONCATENATE(Liste!$C$3,$B$569,$B$655),Data!$BO:$BO,0)-2,41)&amp;"E-9","")),"")</f>
        <v>PFH [1/h] = 24,7E-9</v>
      </c>
      <c r="E669" s="37"/>
      <c r="F669" s="35" t="str">
        <f ca="1">IFERROR(IF(AND(INDEX(Tab_DaBa[],MATCH(CONCATENATE(Liste!$C$3,$B$569,$B$655),Data!$BO:$BO,0)-2,38)&lt;&gt;"",INDEX(Tab_DaBa[],MATCH(CONCATENATE(Liste!$C$3,$B$569,$B$655),Data!$BO:$BO,0)-2,43)=""),"PFH [1/h] = "&amp;10^9*INDEX(Tab_DaBa[],MATCH(CONCATENATE(Liste!$C$3,$B$569,$B$655),Data!$BO:$BO,0)-2,16)&amp;"E-9",IF(INDEX(Tab_DaBa[],MATCH(CONCATENATE(Liste!$C$3,$B$569,$B$655),Data!$BO:$BO,0)-2,38)&lt;&gt;"","PFH [1/h] = "&amp;10^9*INDEX(Tab_DaBa[],MATCH(CONCATENATE(Liste!$C$3,$B$569,$B$655),Data!$BO:$BO,0)-2,46)&amp;"E-9","")),"")</f>
        <v/>
      </c>
      <c r="G669" s="39"/>
      <c r="H669" s="35" t="str">
        <f ca="1">IFERROR(IF(AND(INDEX(Tab_DaBa[],MATCH(CONCATENATE(Liste!$C$3,$B$569,$B$655),Data!$BO:$BO,0)-2,43)&lt;&gt;"",INDEX(Tab_DaBa[],MATCH(CONCATENATE(Liste!$C$3,$B$569,$B$655),Data!$BO:$BO,0)-2,48)=""),"PFH [1/h] = "&amp;10^9*INDEX(Tab_DaBa[],MATCH(CONCATENATE(Liste!$C$3,$B$569,$B$655),Data!$BO:$BO,0)-2,16)&amp;"E-9",IF(INDEX(Tab_DaBa[],MATCH(CONCATENATE(Liste!$C$3,$B$569,$B$655),Data!$BO:$BO,0)-2,43)&lt;&gt;"","PFH [1/h] = "&amp;10^9*INDEX(Tab_DaBa[],MATCH(CONCATENATE(Liste!$C$3,$B$569,$B$655),Data!$BO:$BO,0)-2,51)&amp;"E-9","")),"")</f>
        <v/>
      </c>
      <c r="I669" s="39"/>
    </row>
    <row r="670" spans="2:9" s="16" customFormat="1">
      <c r="B670" s="33"/>
      <c r="C670" s="33"/>
      <c r="D670" s="33"/>
      <c r="E670" s="33"/>
      <c r="F670" s="33"/>
      <c r="G670" s="33"/>
      <c r="H670" s="33"/>
      <c r="I670" s="33"/>
    </row>
    <row r="671" spans="2:9" s="16" customFormat="1" ht="15.75">
      <c r="B671" s="38" t="str">
        <f ca="1">IF(B673="","",6)</f>
        <v/>
      </c>
      <c r="C671" s="33"/>
      <c r="D671" s="38" t="str">
        <f ca="1">IF(B673="","",3)</f>
        <v/>
      </c>
      <c r="E671" s="33"/>
      <c r="F671" s="38" t="str">
        <f ca="1">IF(B673="","",3)</f>
        <v/>
      </c>
      <c r="G671" s="33"/>
      <c r="H671" s="38" t="str">
        <f ca="1">IF(B673="","",3)</f>
        <v/>
      </c>
      <c r="I671" s="33"/>
    </row>
    <row r="672" spans="2:9" s="16" customFormat="1" ht="15.75">
      <c r="B672" s="39"/>
      <c r="C672" s="33"/>
      <c r="D672" s="33"/>
      <c r="E672" s="33"/>
      <c r="F672" s="33"/>
      <c r="G672" s="33"/>
      <c r="H672" s="33"/>
      <c r="I672" s="33"/>
    </row>
    <row r="673" spans="2:9" s="16" customFormat="1" ht="15.75">
      <c r="B673" s="35" t="str">
        <f ca="1">IFERROR(IF(AND(INDEX(Tab_DaBa[],MATCH(CONCATENATE(Liste!$C$3,$B$569,$B$655),Data!$BO:$BO,0)-2,48)&lt;&gt;"",INDEX(Tab_DaBa[],MATCH(CONCATENATE(Liste!$C$3,$B$569,$B$655),Data!$BO:$BO,0)-2,53)=0),INDEX(Tab_DaBa[],MATCH(CONCATENATE(Liste!$C$3,$B$569,$B$655),Data!$BO:$BO,0)-2,14),IF(INDEX(Tab_DaBa[],MATCH(CONCATENATE(Liste!$C$3,$B$569,$B$655),Data!$BO:$BO,0)-2,48)&lt;&gt;"",INDEX(Tab_DaBa[],MATCH(CONCATENATE(Liste!$C$3,$B$569,$B$655),Data!$BO:$BO,0)-2,54),"")),"")</f>
        <v/>
      </c>
      <c r="C673" s="39"/>
      <c r="D673" s="35" t="str">
        <f ca="1">IFERROR(IF(AND(INDEX(Tab_DaBa[],MATCH(CONCATENATE(Liste!$C$3,$B$569,$B$655),Data!$BO:$BO,0)-2,53)&lt;&gt;"",INDEX(Tab_DaBa[],MATCH(CONCATENATE(Liste!$C$3,$B$569,$B$655),Data!$BO:$BO,0)-2,58)=0),INDEX(Tab_DaBa[],MATCH(CONCATENATE(Liste!$C$3,$B$569,$B$655),Data!$BO:$BO,0)-2,14),IF(INDEX(Tab_DaBa[],MATCH(CONCATENATE(Liste!$C$3,$B$569,$B$655),Data!$BO:$BO,0)-2,53)&lt;&gt;"",INDEX(Tab_DaBa[],MATCH(CONCATENATE(Liste!$C$3,$B$569,$B$655),Data!$BO:$BO,0)-2,59),"")),"")</f>
        <v/>
      </c>
      <c r="E673" s="33"/>
      <c r="F673" s="35" t="str">
        <f ca="1">IFERROR(IF(AND(INDEX(Tab_DaBa[],MATCH(CONCATENATE(Liste!$C$3,$B$569,$B$655),Data!$BO:$BO,0)-2,58)&lt;&gt;"",INDEX(Tab_DaBa[],MATCH(CONCATENATE(Liste!$C$3,$B$569,$B$655),Data!$BO:$BO,0)-2,63)=0),INDEX(Tab_DaBa[],MATCH(CONCATENATE(Liste!$C$3,$B$569,$B$655),Data!$BO:$BO,0)-2,14),IF(INDEX(Tab_DaBa[],MATCH(CONCATENATE(Liste!$C$3,$B$569,$B$655),Data!$BO:$BO,0)-2,58)&lt;&gt;"",INDEX(Tab_DaBa[],MATCH(CONCATENATE(Liste!$C$3,$B$569,$B$655),Data!$BO:$BO,0)-2,64),"")),"")</f>
        <v/>
      </c>
      <c r="G673" s="39"/>
      <c r="H673" s="35" t="str">
        <f ca="1">IFERROR(IF(INDEX(Tab_DaBa[],MATCH(CONCATENATE(Liste!$C$3,$B$569,$B$655),Data!$BO:$BO,0)-2,63)&lt;&gt;"",INDEX(Tab_DaBa[],MATCH(CONCATENATE(Liste!$C$3,$B$569,$B$655),Data!$BO:$BO,0)-2,14),""),"")</f>
        <v/>
      </c>
    </row>
    <row r="674" spans="2:9" s="16" customFormat="1" ht="15.75">
      <c r="B674" s="35" t="str">
        <f ca="1">IFERROR(IF(AND(INDEX(Tab_DaBa[],MATCH(CONCATENATE(Liste!$C$3,$B$569,$B$655),Data!$BO:$BO,0)-2,48)&lt;&gt;"",INDEX(Tab_DaBa[],MATCH(CONCATENATE(Liste!$C$3,$B$569,$B$655),Data!$BO:$BO,0)-2,53)=0),INDEX(Tab_DaBa[],MATCH(CONCATENATE(Liste!$C$3,$B$569,$B$655),Data!$BO:$BO,0)-2,12),IF(INDEX(Tab_DaBa[],MATCH(CONCATENATE(Liste!$C$3,$B$569,$B$655),Data!$BO:$BO,0)-2,48)&lt;&gt;"",INDEX(Tab_DaBa[],MATCH(CONCATENATE(Liste!$C$3,$B$569,$B$655),Data!$BO:$BO,0)-2,52),"")),"")</f>
        <v/>
      </c>
      <c r="C674" s="39"/>
      <c r="D674" s="35" t="str">
        <f ca="1">IFERROR(IF(AND(INDEX(Tab_DaBa[],MATCH(CONCATENATE(Liste!$C$3,$B$569,$B$655),Data!$BO:$BO,0)-2,53)&lt;&gt;"",INDEX(Tab_DaBa[],MATCH(CONCATENATE(Liste!$C$3,$B$569,$B$655),Data!$BO:$BO,0)-2,58)=0),INDEX(Tab_DaBa[],MATCH(CONCATENATE(Liste!$C$3,$B$569,$B$655),Data!$BO:$BO,0)-2,12),IF(INDEX(Tab_DaBa[],MATCH(CONCATENATE(Liste!$C$3,$B$569,$B$655),Data!$BO:$BO,0)-2,53)&lt;&gt;"",INDEX(Tab_DaBa[],MATCH(CONCATENATE(Liste!$C$3,$B$569,$B$655),Data!$BO:$BO,0)-2,57),"")),"")</f>
        <v/>
      </c>
      <c r="E674" s="37"/>
      <c r="F674" s="35" t="str">
        <f ca="1">IFERROR(IF(AND(INDEX(Tab_DaBa[],MATCH(CONCATENATE(Liste!$C$3,$B$569,$B$655),Data!$BO:$BO,0)-2,58)&lt;&gt;"",INDEX(Tab_DaBa[],MATCH(CONCATENATE(Liste!$C$3,$B$569,$B$655),Data!$BO:$BO,0)-2,63)=0),INDEX(Tab_DaBa[],MATCH(CONCATENATE(Liste!$C$3,$B$569,$B$655),Data!$BO:$BO,0)-2,12),IF(INDEX(Tab_DaBa[],MATCH(CONCATENATE(Liste!$C$3,$B$569,$B$655),Data!$BO:$BO,0)-2,58)&lt;&gt;"",INDEX(Tab_DaBa[],MATCH(CONCATENATE(Liste!$C$3,$B$569,$B$655),Data!$BO:$BO,0)-2,62),"")),"")</f>
        <v/>
      </c>
      <c r="G674" s="39"/>
      <c r="H674" s="35" t="str">
        <f ca="1">IFERROR(IF(INDEX(Tab_DaBa[],MATCH(CONCATENATE(Liste!$C$3,$B$569,$B$655),Data!$BO:$BO,0)-2,63)&lt;&gt;"",INDEX(Tab_DaBa[],MATCH(CONCATENATE(Liste!$C$3,$B$569,$B$655),Data!$BO:$BO,0)-2,12),""),"")</f>
        <v/>
      </c>
    </row>
    <row r="675" spans="2:9" s="16" customFormat="1" ht="15.75">
      <c r="B675" s="35" t="str">
        <f ca="1">IFERROR(IF(AND(INDEX(Tab_DaBa[],MATCH(CONCATENATE(Liste!$C$3,$B$569,$B$655),Data!$BO:$BO,0)-2,48)&lt;&gt;"",INDEX(Tab_DaBa[],MATCH(CONCATENATE(Liste!$C$3,$B$569,$B$655),Data!$BO:$BO,0)-2,53)=""),INDEX(Tab_DaBa[],MATCH(CONCATENATE(Liste!$C$3,$B$569,$B$655),Data!$BO:$BO,0)-2,13),IF(INDEX(Tab_DaBa[],MATCH(CONCATENATE(Liste!$C$3,$B$569,$B$655),Data!$BO:$BO,0)-2,48)&lt;&gt;"",INDEX(Tab_DaBa[],MATCH(CONCATENATE(Liste!$C$3,$B$569,$B$655),Data!$BO:$BO,0)-2,53),"")),"")</f>
        <v/>
      </c>
      <c r="C675" s="38" t="str">
        <f ca="1">IF(D673="","",4)</f>
        <v/>
      </c>
      <c r="D675" s="35" t="str">
        <f ca="1">IFERROR(IF(AND(INDEX(Tab_DaBa[],MATCH(CONCATENATE(Liste!$C$3,$B$569,$B$655),Data!$BO:$BO,0)-2,53)&lt;&gt;"",INDEX(Tab_DaBa[],MATCH(CONCATENATE(Liste!$C$3,$B$569,$B$655),Data!$BO:$BO,0)-2,58)=""),INDEX(Tab_DaBa[],MATCH(CONCATENATE(Liste!$C$3,$B$569,$B$655),Data!$BO:$BO,0)-2,13),IF(INDEX(Tab_DaBa[],MATCH(CONCATENATE(Liste!$C$3,$B$569,$B$655),Data!$BO:$BO,0)-2,53)&lt;&gt;"",INDEX(Tab_DaBa[],MATCH(CONCATENATE(Liste!$C$3,$B$569,$B$655),Data!$BO:$BO,0)-2,58),"")),"")</f>
        <v/>
      </c>
      <c r="E675" s="38" t="str">
        <f ca="1">IF(F673="","",4)</f>
        <v/>
      </c>
      <c r="F675" s="35" t="str">
        <f ca="1">IFERROR(IF(AND(INDEX(Tab_DaBa[],MATCH(CONCATENATE(Liste!$C$3,$B$569,$B$655),Data!$BO:$BO,0)-2,58)&lt;&gt;"",INDEX(Tab_DaBa[],MATCH(CONCATENATE(Liste!$C$3,$B$569,$B$655),Data!$BO:$BO,0)-2,63)=""),INDEX(Tab_DaBa[],MATCH(CONCATENATE(Liste!$C$3,$B$569,$B$655),Data!$BO:$BO,0)-2,13),IF(INDEX(Tab_DaBa[],MATCH(CONCATENATE(Liste!$C$3,$B$569,$B$655),Data!$BO:$BO,0)-2,58)&lt;&gt;"",INDEX(Tab_DaBa[],MATCH(CONCATENATE(Liste!$C$3,$B$569,$B$655),Data!$BO:$BO,0)-2,63),"")),"")</f>
        <v/>
      </c>
      <c r="G675" s="38" t="str">
        <f ca="1">IF(H673="","",4)</f>
        <v/>
      </c>
      <c r="H675" s="35" t="str">
        <f ca="1">IFERROR(IF(INDEX(Tab_DaBa[],MATCH(CONCATENATE(Liste!$C$3,$B$569,$B$655),Data!$BO:$BO,0)-2,63)&lt;&gt;"",INDEX(Tab_DaBa[],MATCH(CONCATENATE(Liste!$C$3,$B$569,$B$655),Data!$BO:$BO,0)-2,13),""),"")</f>
        <v/>
      </c>
    </row>
    <row r="676" spans="2:9" s="16" customFormat="1" ht="15.75">
      <c r="B676" s="35" t="str">
        <f ca="1">IFERROR(IF(AND(INDEX(Tab_DaBa[],MATCH(CONCATENATE(Liste!$C$3,$B$569,$B$655),Data!$BO:$BO,0)-2,48)&lt;&gt;"",INDEX(Tab_DaBa[],MATCH(CONCATENATE(Liste!$C$3,$B$569,$B$655),Data!$BO:$BO,0)-2,53)=""),"Performance Level: "&amp;INDEX(Tab_DaBa[],MATCH(CONCATENATE(Liste!$C$3,$B$569,$B$655),Data!$BO:$BO,0)-2,15),IF(INDEX(Tab_DaBa[],MATCH(CONCATENATE(Liste!$C$3,$B$569,$B$655),Data!$BO:$BO,0)-2,48)&lt;&gt;"","Performance Level: "&amp;INDEX(Tab_DaBa[],MATCH(CONCATENATE(Liste!$C$3,$B$569,$B$655),Data!$BO:$BO,0)-2,55),"")),"")</f>
        <v/>
      </c>
      <c r="C676" s="39"/>
      <c r="D676" s="35" t="str">
        <f ca="1">IFERROR(IF(AND(INDEX(Tab_DaBa[],MATCH(CONCATENATE(Liste!$C$3,$B$569,$B$655),Data!$BO:$BO,0)-2,53)&lt;&gt;"",INDEX(Tab_DaBa[],MATCH(CONCATENATE(Liste!$C$3,$B$569,$B$655),Data!$BO:$BO,0)-2,58)=""),"Performance Level: "&amp;INDEX(Tab_DaBa[],MATCH(CONCATENATE(Liste!$C$3,$B$569,$B$655),Data!$BO:$BO,0)-2,15),IF(INDEX(Tab_DaBa[],MATCH(CONCATENATE(Liste!$C$3,$B$569,$B$655),Data!$BO:$BO,0)-2,53)&lt;&gt;"","Performance Level: "&amp;INDEX(Tab_DaBa[],MATCH(CONCATENATE(Liste!$C$3,$B$569,$B$655),Data!$BO:$BO,0)-2,60),"")),"")</f>
        <v/>
      </c>
      <c r="E676" s="37"/>
      <c r="F676" s="35" t="str">
        <f ca="1">IFERROR(IF(AND(INDEX(Tab_DaBa[],MATCH(CONCATENATE(Liste!$C$3,$B$569,$B$655),Data!$BO:$BO,0)-2,58)&lt;&gt;"",INDEX(Tab_DaBa[],MATCH(CONCATENATE(Liste!$C$3,$B$569,$B$655),Data!$BO:$BO,0)-2,63)=""),"Performance Level: "&amp;INDEX(Tab_DaBa[],MATCH(CONCATENATE(Liste!$C$3,$B$569,$B$655),Data!$BO:$BO,0)-2,15),IF(INDEX(Tab_DaBa[],MATCH(CONCATENATE(Liste!$C$3,$B$569,$B$655),Data!$BO:$BO,0)-2,58)&lt;&gt;"","Performance Level: "&amp;INDEX(Tab_DaBa[],MATCH(CONCATENATE(Liste!$C$3,$B$569,$B$655),Data!$BO:$BO,0)-2,65),"")),"")</f>
        <v/>
      </c>
      <c r="G676" s="39"/>
      <c r="H676" s="35" t="str">
        <f ca="1">IFERROR(IF(INDEX(Tab_DaBa[],MATCH(CONCATENATE(Liste!$C$3,$B$569,$B$655),Data!$BO:$BO,0)-2,63)&lt;&gt;"","Performance Level: "&amp;INDEX(Tab_DaBa[],MATCH(CONCATENATE(Liste!$C$3,$B$569,$B$655),Data!$BO:$BO,0)-2,15),""),"")</f>
        <v/>
      </c>
    </row>
    <row r="677" spans="2:9" s="16" customFormat="1" ht="15.75">
      <c r="B677" s="35" t="str">
        <f ca="1">IFERROR(IF(AND(INDEX(Tab_DaBa[],MATCH(CONCATENATE(Liste!$C$3,$B$569,$B$655),Data!$BO:$BO,0)-2,48)&lt;&gt;"",INDEX(Tab_DaBa[],MATCH(CONCATENATE(Liste!$C$3,$B$569,$B$655),Data!$BO:$BO,0)-2,53)=""),"PFH [1/h] = "&amp;10^9*INDEX(Tab_DaBa[],MATCH(CONCATENATE(Liste!$C$3,$B$569,$B$655),Data!$BO:$BO,0)-2,16)&amp;"E-9",IF(INDEX(Tab_DaBa[],MATCH(CONCATENATE(Liste!$C$3,$B$569,$B$655),Data!$BO:$BO,0)-2,48)&lt;&gt;"","PFH [1/h] = "&amp;10^9*INDEX(Tab_DaBa[],MATCH(CONCATENATE(Liste!$C$3,$B$569,$B$655),Data!$BO:$BO,0)-2,56)&amp;"E-9","")),"")</f>
        <v/>
      </c>
      <c r="C677" s="39"/>
      <c r="D677" s="35" t="str">
        <f ca="1">IFERROR(IF(AND(INDEX(Tab_DaBa[],MATCH(CONCATENATE(Liste!$C$3,$B$569,$B$655),Data!$BO:$BO,0)-2,53)&lt;&gt;"",INDEX(Tab_DaBa[],MATCH(CONCATENATE(Liste!$C$3,$B$569,$B$655),Data!$BO:$BO,0)-2,58)=""),"PFH [1/h] = "&amp;10^9*INDEX(Tab_DaBa[],MATCH(CONCATENATE(Liste!$C$3,$B$569,$B$655),Data!$BO:$BO,0)-2,16)&amp;"E-9",IF(INDEX(Tab_DaBa[],MATCH(CONCATENATE(Liste!$C$3,$B$569,$B$655),Data!$BO:$BO,0)-2,53)&lt;&gt;"","PFH [1/h] = "&amp;10^9*INDEX(Tab_DaBa[],MATCH(CONCATENATE(Liste!$C$3,$B$569,$B$655),Data!$BO:$BO,0)-2,61)&amp;"E-9","")),"")</f>
        <v/>
      </c>
      <c r="E677" s="37"/>
      <c r="F677" s="35" t="str">
        <f ca="1">IFERROR(IF(AND(INDEX(Tab_DaBa[],MATCH(CONCATENATE(Liste!$C$3,$B$569,$B$655),Data!$BO:$BO,0)-2,58)&lt;&gt;"",INDEX(Tab_DaBa[],MATCH(CONCATENATE(Liste!$C$3,$B$569,$B$655),Data!$BO:$BO,0)-2,63)=""),"PFH [1/h] = "&amp;10^9*INDEX(Tab_DaBa[],MATCH(CONCATENATE(Liste!$C$3,$B$569,$B$655),Data!$BO:$BO,0)-2,16)&amp;"E-9",IF(INDEX(Tab_DaBa[],MATCH(CONCATENATE(Liste!$C$3,$B$569,$B$655),Data!$BO:$BO,0)-2,58)&lt;&gt;"","PFH [1/h] = "&amp;10^9*INDEX(Tab_DaBa[],MATCH(CONCATENATE(Liste!$C$3,$B$569,$B$655),Data!$BO:$BO,0)-2,66)&amp;"E-9","")),"")</f>
        <v/>
      </c>
      <c r="G677" s="39"/>
      <c r="H677" s="35" t="str">
        <f ca="1">IFERROR(IF(INDEX(Tab_DaBa[],MATCH(CONCATENATE(Liste!$C$3,$B$569,$B$655),Data!$BO:$BO,0)-2,63)&lt;&gt;"","PFH [1/h] = "&amp;10^9*INDEX(Tab_DaBa[],MATCH(CONCATENATE(Liste!$C$3,$B$569,$B$655),Data!$BO:$BO,0)-2,16)&amp;"E-9",""),"")</f>
        <v/>
      </c>
    </row>
    <row r="678" spans="2:9" s="16" customFormat="1"/>
    <row r="679" spans="2:9" s="16" customFormat="1">
      <c r="B679" s="43" t="str">
        <f ca="1">IF(D679="","","Erforderlich")</f>
        <v>Erforderlich</v>
      </c>
      <c r="D679" s="44" t="str">
        <f ca="1">IFERROR("Performance Level: "&amp;INDEX(Tab_DaBa[],MATCH(CONCATENATE(Liste!$C$3,$B$569,$B$655),Data!$BO:$BO,0)-2,4),"")</f>
        <v>Performance Level: PLr_ges3_4</v>
      </c>
    </row>
    <row r="680" spans="2:9" s="16" customFormat="1">
      <c r="B680" s="45"/>
    </row>
    <row r="681" spans="2:9" s="16" customFormat="1">
      <c r="B681" s="46" t="str">
        <f ca="1">IF(D681="","","Erreicht")</f>
        <v>Erreicht</v>
      </c>
      <c r="D681" s="47" t="str">
        <f ca="1">IFERROR("Performance Level: "&amp;INDEX(Tab_DaBa[],MATCH(CONCATENATE(Liste!$C$3,$B$569,$B$655),Data!$BO:$BO,0)-2,5)&amp;"          PFH [1/h] = "&amp;10^9*INDEX(Tab_DaBa[],MATCH(CONCATENATE(Liste!$C$3,$B$569,$B$655),Data!$BO:$BO,0)-2,6)&amp;"E-9","")</f>
        <v>Performance Level: Pl_ges3_4          PFH [1/h] = 71,7E-9</v>
      </c>
    </row>
    <row r="682" spans="2:9" s="16" customFormat="1"/>
    <row r="683" spans="2:9" s="16" customFormat="1">
      <c r="B683" s="42" t="str">
        <f ca="1">IFERROR(IF(5&gt;COUNTIF(Data!$BP:$BP,CONCATENATE(Liste!$C$3,$B$569)),"",INDEX(Tab_DaBa[],MATCH(CONCATENATE(Liste!$C$3,$B$569),Data!$BP:$BP,0)+2,3)),"")</f>
        <v>3.5 Test3 (E+5L+A)</v>
      </c>
    </row>
    <row r="684" spans="2:9" s="16" customFormat="1"/>
    <row r="685" spans="2:9" s="16" customFormat="1" ht="15.75">
      <c r="B685" s="35" t="str">
        <f ca="1">IFERROR(INDEX(Tab_DaBa[],MATCH(CONCATENATE(Liste!$C$3,$B$569,$B$683),Data!$BO:$BO,0)-2,9),"")</f>
        <v>Eingang</v>
      </c>
      <c r="C685" s="54"/>
      <c r="D685" s="35" t="str">
        <f ca="1">IFERROR(IF(INDEX(Tab_DaBa[],MATCH(CONCATENATE(Liste!$C$3,$B$569,$B$683),Data!$BO:$BO,0)-2,18)=0,INDEX(Tab_DaBa[],MATCH(CONCATENATE(Liste!$C$3,$B$569,$B$683),Data!$BO:$BO,0)-2,14),INDEX(Tab_DaBa[],MATCH(CONCATENATE(Liste!$C$3,$B$569,$B$683),Data!$BO:$BO,0)-2,19)),"")</f>
        <v>Logik 01</v>
      </c>
      <c r="E685" s="33"/>
      <c r="F685" s="35" t="str">
        <f ca="1">IFERROR(IF(AND(INDEX(Tab_DaBa[],MATCH(CONCATENATE(Liste!$C$3,$B$569,$B$683),Data!$BO:$BO,0)-2,18)&lt;&gt;"",INDEX(Tab_DaBa[],MATCH(CONCATENATE(Liste!$C$3,$B$569,$B$683),Data!$BO:$BO,0)-2,23)=0),INDEX(Tab_DaBa[],MATCH(CONCATENATE(Liste!$C$3,$B$569,$B$683),Data!$BO:$BO,0)-2,14),IF(INDEX(Tab_DaBa[],MATCH(CONCATENATE(Liste!$C$3,$B$569,$B$683),Data!$BO:$BO,0)-2,23)&lt;&gt;"",INDEX(Tab_DaBa[],MATCH(CONCATENATE(Liste!$C$3,$B$569,$B$683),Data!$BO:$BO,0)-2,24),"")),"")</f>
        <v>Logik 02</v>
      </c>
      <c r="G685" s="39"/>
      <c r="H685" s="35" t="str">
        <f ca="1">IFERROR(IF(AND(INDEX(Tab_DaBa[],MATCH(CONCATENATE(Liste!$C$3,$B$569,$B$683),Data!$BO:$BO,0)-2,23)&lt;&gt;"",INDEX(Tab_DaBa[],MATCH(CONCATENATE(Liste!$C$3,$B$569,$B$683),Data!$BO:$BO,0)-2,28)=0),INDEX(Tab_DaBa[],MATCH(CONCATENATE(Liste!$C$3,$B$569,$B$683),Data!$BO:$BO,0)-2,14),IF(INDEX(Tab_DaBa[],MATCH(CONCATENATE(Liste!$C$3,$B$569,$B$683),Data!$BO:$BO,0)-2,23)&lt;&gt;"",INDEX(Tab_DaBa[],MATCH(CONCATENATE(Liste!$C$3,$B$569,$B$683),Data!$BO:$BO,0)-2,29),"")),"")</f>
        <v>Logik 03</v>
      </c>
      <c r="I685" s="39"/>
    </row>
    <row r="686" spans="2:9" s="16" customFormat="1" ht="15.75">
      <c r="B686" s="35" t="str">
        <f ca="1">IFERROR(INDEX(Tab_DaBa[],MATCH(CONCATENATE(Liste!$C$3,$B$569,$B$683),Data!$BO:$BO,0)-2,7),"")</f>
        <v>eeee-33_5</v>
      </c>
      <c r="C686" s="54"/>
      <c r="D686" s="35" t="str">
        <f ca="1">IFERROR(IF(INDEX(Tab_DaBa[],MATCH(CONCATENATE(Liste!$C$3,$B$569,$B$683),Data!$BO:$BO,0)-2,18)="",INDEX(Tab_DaBa[],MATCH(CONCATENATE(Liste!$C$3,$B$569,$B$683),Data!$BO:$BO,0)-2,12),INDEX(Tab_DaBa[],MATCH(CONCATENATE(Liste!$C$3,$B$569,$B$683),Data!$BO:$BO,0)-2,17)),"")</f>
        <v>Log01-03_05</v>
      </c>
      <c r="E686" s="36"/>
      <c r="F686" s="35" t="str">
        <f ca="1">IFERROR(IF(AND(INDEX(Tab_DaBa[],MATCH(CONCATENATE(Liste!$C$3,$B$569,$B$683),Data!$BO:$BO,0)-2,18)&lt;&gt;"",INDEX(Tab_DaBa[],MATCH(CONCATENATE(Liste!$C$3,$B$569,$B$683),Data!$BO:$BO,0)-2,23)=0),INDEX(Tab_DaBa[],MATCH(CONCATENATE(Liste!$C$3,$B$569,$B$683),Data!$BO:$BO,0)-2,12),IF(INDEX(Tab_DaBa[],MATCH(CONCATENATE(Liste!$C$3,$B$569,$B$683),Data!$BO:$BO,0)-2,23)&lt;&gt;"",INDEX(Tab_DaBa[],MATCH(CONCATENATE(Liste!$C$3,$B$569,$B$683),Data!$BO:$BO,0)-2,22),"")),"")</f>
        <v>Log02-03_05</v>
      </c>
      <c r="G686" s="39"/>
      <c r="H686" s="35" t="str">
        <f ca="1">IFERROR(IF(AND(INDEX(Tab_DaBa[],MATCH(CONCATENATE(Liste!$C$3,$B$569,$B$683),Data!$BO:$BO,0)-2,23)&lt;&gt;"",INDEX(Tab_DaBa[],MATCH(CONCATENATE(Liste!$C$3,$B$569,$B$683),Data!$BO:$BO,0)-2,28)=0),INDEX(Tab_DaBa[],MATCH(CONCATENATE(Liste!$C$3,$B$569,$B$683),Data!$BO:$BO,0)-2,12),IF(INDEX(Tab_DaBa[],MATCH(CONCATENATE(Liste!$C$3,$B$569,$B$683),Data!$BO:$BO,0)-2,23)&lt;&gt;"",INDEX(Tab_DaBa[],MATCH(CONCATENATE(Liste!$C$3,$B$569,$B$683),Data!$BO:$BO,0)-2,27),"")),"")</f>
        <v>Lo03-33_5</v>
      </c>
      <c r="I686" s="39"/>
    </row>
    <row r="687" spans="2:9" s="16" customFormat="1" ht="15.75">
      <c r="B687" s="35" t="str">
        <f ca="1">IFERROR(INDEX(Tab_DaBa[],MATCH(CONCATENATE(Liste!$C$3,$B$569,$B$683),Data!$BO:$BO,0)-2,8),"")</f>
        <v>Bez_Ein3_5</v>
      </c>
      <c r="C687" s="40">
        <f ca="1">IF(D685="","",4)</f>
        <v>4</v>
      </c>
      <c r="D687" s="35" t="str">
        <f ca="1">IFERROR(IF(INDEX(Tab_DaBa[],MATCH(CONCATENATE(Liste!$C$3,$B$569,$B$683),Data!$BO:$BO,0)-2,18)="",INDEX(Tab_DaBa[],MATCH(CONCATENATE(Liste!$C$3,$B$569,$B$683),Data!$BO:$BO,0)-2,13),INDEX(Tab_DaBa[],MATCH(CONCATENATE(Liste!$C$3,$B$569,$B$683),Data!$BO:$BO,0)-2,18)),"")</f>
        <v>Bez_Log01_03_05</v>
      </c>
      <c r="E687" s="40">
        <f ca="1">IF(F685="","",4)</f>
        <v>4</v>
      </c>
      <c r="F687" s="35" t="str">
        <f ca="1">IFERROR(IF(AND(INDEX(Tab_DaBa[],MATCH(CONCATENATE(Liste!$C$3,$B$569,$B$683),Data!$BO:$BO,0)-2,18)&lt;&gt;"",INDEX(Tab_DaBa[],MATCH(CONCATENATE(Liste!$C$3,$B$569,$B$683),Data!$BO:$BO,0)-2,23)=""),INDEX(Tab_DaBa[],MATCH(CONCATENATE(Liste!$C$3,$B$569,$B$683),Data!$BO:$BO,0)-2,13),IF(INDEX(Tab_DaBa[],MATCH(CONCATENATE(Liste!$C$3,$B$569,$B$683),Data!$BO:$BO,0)-2,23)&lt;&gt;"",INDEX(Tab_DaBa[],MATCH(CONCATENATE(Liste!$C$3,$B$569,$B$683),Data!$BO:$BO,0)-2,23),"")),"")</f>
        <v>Bez_Log02_03_5</v>
      </c>
      <c r="G687" s="38">
        <f ca="1">IF(H685="","",4)</f>
        <v>4</v>
      </c>
      <c r="H687" s="35" t="str">
        <f ca="1">IFERROR(IF(AND(INDEX(Tab_DaBa[],MATCH(CONCATENATE(Liste!$C$3,$B$569,$B$683),Data!$BO:$BO,0)-2,23)&lt;&gt;"",INDEX(Tab_DaBa[],MATCH(CONCATENATE(Liste!$C$3,$B$569,$B$683),Data!$BO:$BO,0)-2,28)=""),INDEX(Tab_DaBa[],MATCH(CONCATENATE(Liste!$C$3,$B$569,$B$683),Data!$BO:$BO,0)-2,13),IF(INDEX(Tab_DaBa[],MATCH(CONCATENATE(Liste!$C$3,$B$569,$B$683),Data!$BO:$BO,0)-2,23)&lt;&gt;"",INDEX(Tab_DaBa[],MATCH(CONCATENATE(Liste!$C$3,$B$569,$B$683),Data!$BO:$BO,0)-2,28),"")),"")</f>
        <v>Bez_Lo03_5</v>
      </c>
      <c r="I687" s="38">
        <f ca="1">IF(B693="","",6)</f>
        <v>6</v>
      </c>
    </row>
    <row r="688" spans="2:9" s="16" customFormat="1" ht="15.75">
      <c r="B688" s="35" t="str">
        <f ca="1">IFERROR("Performance Level: "&amp;INDEX(Tab_DaBa[],MATCH(CONCATENATE(Liste!$C$3,$B$569,$B$683),Data!$BO:$BO,0)-2,10),"")</f>
        <v>Performance Level: PL_Ein3_5</v>
      </c>
      <c r="C688" s="54"/>
      <c r="D688" s="35" t="str">
        <f ca="1">IFERROR(IF(INDEX(Tab_DaBa[],MATCH(CONCATENATE(Liste!$C$3,$B$569,$B$683),Data!$BO:$BO,0)-2,18)="","Performance Level: "&amp;INDEX(Tab_DaBa[],MATCH(CONCATENATE(Liste!$C$3,$B$569,$B$683),Data!$BO:$BO,0)-2,15),"Performance Level: "&amp;INDEX(Tab_DaBa[],MATCH(CONCATENATE(Liste!$C$3,$B$569,$B$683),Data!$BO:$BO,0)-2,20)),"")</f>
        <v>Performance Level: PL_Log01_03_05</v>
      </c>
      <c r="E688" s="36"/>
      <c r="F688" s="35" t="str">
        <f ca="1">IFERROR(IF(AND(INDEX(Tab_DaBa[],MATCH(CONCATENATE(Liste!$C$3,$B$569,$B$683),Data!$BO:$BO,0)-2,18)&lt;&gt;"",INDEX(Tab_DaBa[],MATCH(CONCATENATE(Liste!$C$3,$B$569,$B$683),Data!$BO:$BO,0)-2,23)=""),"Performance Level: "&amp;INDEX(Tab_DaBa[],MATCH(CONCATENATE(Liste!$C$3,$B$569,$B$683),Data!$BO:$BO,0)-2,15),IF(INDEX(Tab_DaBa[],MATCH(CONCATENATE(Liste!$C$3,$B$569,$B$683),Data!$BO:$BO,0)-2,23)&lt;&gt;"","Performance Level: "&amp;INDEX(Tab_DaBa[],MATCH(CONCATENATE(Liste!$C$3,$B$569,$B$683),Data!$BO:$BO,0)-2,25),"")),"")</f>
        <v>Performance Level: PL_Lo03_5</v>
      </c>
      <c r="G688" s="39"/>
      <c r="H688" s="35" t="str">
        <f ca="1">IFERROR(IF(AND(INDEX(Tab_DaBa[],MATCH(CONCATENATE(Liste!$C$3,$B$569,$B$683),Data!$BO:$BO,0)-2,23)&lt;&gt;"",INDEX(Tab_DaBa[],MATCH(CONCATENATE(Liste!$C$3,$B$569,$B$683),Data!$BO:$BO,0)-2,28)=""),"Performance Level: "&amp;INDEX(Tab_DaBa[],MATCH(CONCATENATE(Liste!$C$3,$B$569,$B$683),Data!$BO:$BO,0)-2,15),IF(INDEX(Tab_DaBa[],MATCH(CONCATENATE(Liste!$C$3,$B$569,$B$683),Data!$BO:$BO,0)-2,23)&lt;&gt;"","Performance Level: "&amp;INDEX(Tab_DaBa[],MATCH(CONCATENATE(Liste!$C$3,$B$569,$B$683),Data!$BO:$BO,0)-2,30),"")),"")</f>
        <v>Performance Level: PL_Lo03_5</v>
      </c>
      <c r="I688" s="38"/>
    </row>
    <row r="689" spans="2:9" s="16" customFormat="1" ht="15.75">
      <c r="B689" s="53" t="str">
        <f ca="1">IFERROR("PFH [1/h] = "&amp;10^9*INDEX(Tab_DaBa[],MATCH(CONCATENATE(Liste!$C$3,$B$569,$B$683),Data!$BO:$BO,0)-2,11)&amp;"E-9","")</f>
        <v>PFH [1/h] = 42,9E-9</v>
      </c>
      <c r="C689" s="54"/>
      <c r="D689" s="35" t="str">
        <f ca="1">IFERROR(IF(INDEX(Tab_DaBa[],MATCH(CONCATENATE(Liste!$C$3,$B$569,$B$683),Data!$BO:$BO,0)-2,18)="","PFH [1/h] = "&amp;10^9*INDEX(Tab_DaBa[],MATCH(CONCATENATE(Liste!$C$3,$B$569,$B$683),Data!$BO:$BO,0)-2,16)&amp;"E-9","PFH [1/h] = "&amp;10^9*INDEX(Tab_DaBa[],MATCH(CONCATENATE(Liste!$C$3,$B$569,$B$683),Data!$BO:$BO,0)-2,21)&amp;"E-9"),"")</f>
        <v>PFH [1/h] = 4,19E-9</v>
      </c>
      <c r="E689" s="36"/>
      <c r="F689" s="35" t="str">
        <f ca="1">IFERROR(IF(AND(INDEX(Tab_DaBa[],MATCH(CONCATENATE(Liste!$C$3,$B$569,$B$683),Data!$BO:$BO,0)-2,18)&lt;&gt;"",INDEX(Tab_DaBa[],MATCH(CONCATENATE(Liste!$C$3,$B$569,$B$683),Data!$BO:$BO,0)-2,23)=""),"PFH [1/h] = "&amp;10^9*INDEX(Tab_DaBa[],MATCH(CONCATENATE(Liste!$C$3,$B$569,$B$683),Data!$BO:$BO,0)-2,16)&amp;"E-9",IF(INDEX(Tab_DaBa[],MATCH(CONCATENATE(Liste!$C$3,$B$569,$B$683),Data!$BO:$BO,0)-2,23)&lt;&gt;"","PFH [1/h] = "&amp;10^9*INDEX(Tab_DaBa[],MATCH(CONCATENATE(Liste!$C$3,$B$569,$B$683),Data!$BO:$BO,0)-2,26)&amp;"E-9","")),"")</f>
        <v>PFH [1/h] = 4,19E-9</v>
      </c>
      <c r="G689" s="39"/>
      <c r="H689" s="35" t="str">
        <f ca="1">IFERROR(IF(AND(INDEX(Tab_DaBa[],MATCH(CONCATENATE(Liste!$C$3,$B$569,$B$683),Data!$BO:$BO,0)-2,23)&lt;&gt;"",INDEX(Tab_DaBa[],MATCH(CONCATENATE(Liste!$C$3,$B$569,$B$683),Data!$BO:$BO,0)-2,28)=""),"PFH [1/h] = "&amp;10^9*INDEX(Tab_DaBa[],MATCH(CONCATENATE(Liste!$C$3,$B$569,$B$683),Data!$BO:$BO,0)-2,16)&amp;"E-9",IF(INDEX(Tab_DaBa[],MATCH(CONCATENATE(Liste!$C$3,$B$569,$B$683),Data!$BO:$BO,0)-2,23)&lt;&gt;"","PFH [1/h] = "&amp;10^9*INDEX(Tab_DaBa[],MATCH(CONCATENATE(Liste!$C$3,$B$569,$B$683),Data!$BO:$BO,0)-2,31)&amp;"E-9","")),"")</f>
        <v>PFH [1/h] = 4,19E-9</v>
      </c>
      <c r="I689" s="39"/>
    </row>
    <row r="690" spans="2:9" s="16" customFormat="1">
      <c r="B690" s="33"/>
      <c r="C690" s="34"/>
      <c r="D690" s="33"/>
      <c r="E690" s="33"/>
      <c r="F690" s="33"/>
      <c r="G690" s="33"/>
      <c r="H690" s="33"/>
      <c r="I690" s="33"/>
    </row>
    <row r="691" spans="2:9" s="16" customFormat="1" ht="15.75">
      <c r="B691" s="38">
        <f ca="1">IF(B693="","",6)</f>
        <v>6</v>
      </c>
      <c r="C691" s="34"/>
      <c r="D691" s="38">
        <f ca="1">IF(B693="","",3)</f>
        <v>3</v>
      </c>
      <c r="E691" s="33"/>
      <c r="F691" s="38">
        <f ca="1">IF(B693="","",3)</f>
        <v>3</v>
      </c>
      <c r="G691" s="33"/>
      <c r="H691" s="38">
        <f ca="1">IF(B693="","",3)</f>
        <v>3</v>
      </c>
      <c r="I691" s="33"/>
    </row>
    <row r="692" spans="2:9" s="16" customFormat="1" ht="15.75">
      <c r="B692" s="39"/>
      <c r="C692" s="33"/>
      <c r="D692" s="33"/>
      <c r="E692" s="33"/>
      <c r="F692" s="33"/>
      <c r="G692" s="33"/>
      <c r="H692" s="33"/>
      <c r="I692" s="33"/>
    </row>
    <row r="693" spans="2:9" s="16" customFormat="1" ht="15.75">
      <c r="B693" s="35" t="str">
        <f ca="1">IFERROR(IF(AND(INDEX(Tab_DaBa[],MATCH(CONCATENATE(Liste!$C$3,$B$569,$B$683),Data!$BO:$BO,0)-2,28)&lt;&gt;"",INDEX(Tab_DaBa[],MATCH(CONCATENATE(Liste!$C$3,$B$569,$B$683),Data!$BO:$BO,0)-2,33)=0),INDEX(Tab_DaBa[],MATCH(CONCATENATE(Liste!$C$3,$B$569,$B$683),Data!$BO:$BO,0)-2,14),IF(INDEX(Tab_DaBa[],MATCH(CONCATENATE(Liste!$C$3,$B$569,$B$683),Data!$BO:$BO,0)-2,28)&lt;&gt;"",INDEX(Tab_DaBa[],MATCH(CONCATENATE(Liste!$C$3,$B$569,$B$683),Data!$BO:$BO,0)-2,34),"")),"")</f>
        <v>Logik 04</v>
      </c>
      <c r="C693" s="39"/>
      <c r="D693" s="35" t="str">
        <f ca="1">IFERROR(IF(AND(INDEX(Tab_DaBa[],MATCH(CONCATENATE(Liste!$C$3,$B$569,$B$683),Data!$BO:$BO,0)-2,33)&lt;&gt;"",INDEX(Tab_DaBa[],MATCH(CONCATENATE(Liste!$C$3,$B$569,$B$683),Data!$BO:$BO,0)-2,38)=0),INDEX(Tab_DaBa[],MATCH(CONCATENATE(Liste!$C$3,$B$569,$B$683),Data!$BO:$BO,0)-2,14),IF(INDEX(Tab_DaBa[],MATCH(CONCATENATE(Liste!$C$3,$B$569,$B$683),Data!$BO:$BO,0)-2,33)&lt;&gt;"",INDEX(Tab_DaBa[],MATCH(CONCATENATE(Liste!$C$3,$B$569,$B$683),Data!$BO:$BO,0)-2,39),"")),"")</f>
        <v>Logik 05</v>
      </c>
      <c r="E693" s="33"/>
      <c r="F693" s="35" t="str">
        <f ca="1">IFERROR(IF(AND(INDEX(Tab_DaBa[],MATCH(CONCATENATE(Liste!$C$3,$B$569,$B$683),Data!$BO:$BO,0)-2,38)&lt;&gt;"",INDEX(Tab_DaBa[],MATCH(CONCATENATE(Liste!$C$3,$B$569,$B$683),Data!$BO:$BO,0)-2,43)=0),INDEX(Tab_DaBa[],MATCH(CONCATENATE(Liste!$C$3,$B$569,$B$683),Data!$BO:$BO,0)-2,14),IF(INDEX(Tab_DaBa[],MATCH(CONCATENATE(Liste!$C$3,$B$569,$B$683),Data!$BO:$BO,0)-2,38)&lt;&gt;"",INDEX(Tab_DaBa[],MATCH(CONCATENATE(Liste!$C$3,$B$569,$B$683),Data!$BO:$BO,0)-2,44),"")),"")</f>
        <v>Ausgang</v>
      </c>
      <c r="G693" s="39"/>
      <c r="H693" s="35" t="str">
        <f ca="1">IFERROR(IF(AND(INDEX(Tab_DaBa[],MATCH(CONCATENATE(Liste!$C$3,$B$569,$B$683),Data!$BO:$BO,0)-2,43)&lt;&gt;"",INDEX(Tab_DaBa[],MATCH(CONCATENATE(Liste!$C$3,$B$569,$B$683),Data!$BO:$BO,0)-2,48)=0),INDEX(Tab_DaBa[],MATCH(CONCATENATE(Liste!$C$3,$B$569,$B$683),Data!$BO:$BO,0)-2,14),IF(INDEX(Tab_DaBa[],MATCH(CONCATENATE(Liste!$C$3,$B$569,$B$683),Data!$BO:$BO,0)-2,43)&lt;&gt;"",INDEX(Tab_DaBa[],MATCH(CONCATENATE(Liste!$C$3,$B$569,$B$683),Data!$BO:$BO,0)-2,49),"")),"")</f>
        <v/>
      </c>
      <c r="I693" s="39"/>
    </row>
    <row r="694" spans="2:9" s="16" customFormat="1" ht="15.75">
      <c r="B694" s="35" t="str">
        <f ca="1">IFERROR(IF(AND(INDEX(Tab_DaBa[],MATCH(CONCATENATE(Liste!$C$3,$B$569,$B$683),Data!$BO:$BO,0)-2,28)&lt;&gt;"",INDEX(Tab_DaBa[],MATCH(CONCATENATE(Liste!$C$3,$B$569,$B$683),Data!$BO:$BO,0)-2,33)=0),INDEX(Tab_DaBa[],MATCH(CONCATENATE(Liste!$C$3,$B$569,$B$683),Data!$BO:$BO,0)-2,12),IF(INDEX(Tab_DaBa[],MATCH(CONCATENATE(Liste!$C$3,$B$569,$B$683),Data!$BO:$BO,0)-2,28)&lt;&gt;"",INDEX(Tab_DaBa[],MATCH(CONCATENATE(Liste!$C$3,$B$569,$B$683),Data!$BO:$BO,0)-2,32),"")),"")</f>
        <v>Lo03-33_05</v>
      </c>
      <c r="C694" s="39"/>
      <c r="D694" s="35" t="str">
        <f ca="1">IFERROR(IF(AND(INDEX(Tab_DaBa[],MATCH(CONCATENATE(Liste!$C$3,$B$569,$B$683),Data!$BO:$BO,0)-2,33)&lt;&gt;"",INDEX(Tab_DaBa[],MATCH(CONCATENATE(Liste!$C$3,$B$569,$B$683),Data!$BO:$BO,0)-2,38)=0),INDEX(Tab_DaBa[],MATCH(CONCATENATE(Liste!$C$3,$B$569,$B$683),Data!$BO:$BO,0)-2,12),IF(INDEX(Tab_DaBa[],MATCH(CONCATENATE(Liste!$C$3,$B$569,$B$683),Data!$BO:$BO,0)-2,33)&lt;&gt;"",INDEX(Tab_DaBa[],MATCH(CONCATENATE(Liste!$C$3,$B$569,$B$683),Data!$BO:$BO,0)-2,37),"")),"")</f>
        <v>Lo03-33_05</v>
      </c>
      <c r="E694" s="37"/>
      <c r="F694" s="35" t="str">
        <f ca="1">IFERROR(IF(AND(INDEX(Tab_DaBa[],MATCH(CONCATENATE(Liste!$C$3,$B$569,$B$683),Data!$BO:$BO,0)-2,38)&lt;&gt;"",INDEX(Tab_DaBa[],MATCH(CONCATENATE(Liste!$C$3,$B$569,$B$683),Data!$BO:$BO,0)-2,43)=0),INDEX(Tab_DaBa[],MATCH(CONCATENATE(Liste!$C$3,$B$569,$B$683),Data!$BO:$BO,0)-2,12),IF(INDEX(Tab_DaBa[],MATCH(CONCATENATE(Liste!$C$3,$B$569,$B$683),Data!$BO:$BO,0)-2,38)&lt;&gt;"",INDEX(Tab_DaBa[],MATCH(CONCATENATE(Liste!$C$3,$B$569,$B$683),Data!$BO:$BO,0)-2,42),"")),"")</f>
        <v>aaaa-33_5</v>
      </c>
      <c r="G694" s="39"/>
      <c r="H694" s="35" t="str">
        <f ca="1">IFERROR(IF(AND(INDEX(Tab_DaBa[],MATCH(CONCATENATE(Liste!$C$3,$B$569,$B$683),Data!$BO:$BO,0)-2,43)&lt;&gt;"",INDEX(Tab_DaBa[],MATCH(CONCATENATE(Liste!$C$3,$B$569,$B$683),Data!$BO:$BO,0)-2,48)=0),INDEX(Tab_DaBa[],MATCH(CONCATENATE(Liste!$C$3,$B$569,$B$683),Data!$BO:$BO,0)-2,12),IF(INDEX(Tab_DaBa[],MATCH(CONCATENATE(Liste!$C$3,$B$569,$B$683),Data!$BO:$BO,0)-2,43)&lt;&gt;"",INDEX(Tab_DaBa[],MATCH(CONCATENATE(Liste!$C$3,$B$569,$B$683),Data!$BO:$BO,0)-2,47),"")),"")</f>
        <v/>
      </c>
      <c r="I694" s="39"/>
    </row>
    <row r="695" spans="2:9" s="16" customFormat="1" ht="15.75">
      <c r="B695" s="35" t="str">
        <f ca="1">IFERROR(IF(AND(INDEX(Tab_DaBa[],MATCH(CONCATENATE(Liste!$C$3,$B$569,$B$683),Data!$BO:$BO,0)-2,28)&lt;&gt;"",INDEX(Tab_DaBa[],MATCH(CONCATENATE(Liste!$C$3,$B$569,$B$683),Data!$BO:$BO,0)-2,33)=""),INDEX(Tab_DaBa[],MATCH(CONCATENATE(Liste!$C$3,$B$569,$B$683),Data!$BO:$BO,0)-2,13),IF(INDEX(Tab_DaBa[],MATCH(CONCATENATE(Liste!$C$3,$B$569,$B$683),Data!$BO:$BO,0)-2,28)&lt;&gt;"",INDEX(Tab_DaBa[],MATCH(CONCATENATE(Liste!$C$3,$B$569,$B$683),Data!$BO:$BO,0)-2,33),"")),"")</f>
        <v>Bez_Lo03_05</v>
      </c>
      <c r="C695" s="38">
        <f ca="1">IF(D693="","",4)</f>
        <v>4</v>
      </c>
      <c r="D695" s="35" t="str">
        <f ca="1">IFERROR(IF(AND(INDEX(Tab_DaBa[],MATCH(CONCATENATE(Liste!$C$3,$B$569,$B$683),Data!$BO:$BO,0)-2,33)&lt;&gt;"",INDEX(Tab_DaBa[],MATCH(CONCATENATE(Liste!$C$3,$B$569,$B$683),Data!$BO:$BO,0)-2,38)=""),INDEX(Tab_DaBa[],MATCH(CONCATENATE(Liste!$C$3,$B$569,$B$683),Data!$BO:$BO,0)-2,13),IF(INDEX(Tab_DaBa[],MATCH(CONCATENATE(Liste!$C$3,$B$569,$B$683),Data!$BO:$BO,0)-2,33)&lt;&gt;"",INDEX(Tab_DaBa[],MATCH(CONCATENATE(Liste!$C$3,$B$569,$B$683),Data!$BO:$BO,0)-2,38),"")),"")</f>
        <v>Bez_Lo03_05</v>
      </c>
      <c r="E695" s="38">
        <f ca="1">IF(F693="","",4)</f>
        <v>4</v>
      </c>
      <c r="F695" s="35" t="str">
        <f ca="1">IFERROR(IF(AND(INDEX(Tab_DaBa[],MATCH(CONCATENATE(Liste!$C$3,$B$569,$B$683),Data!$BO:$BO,0)-2,38)&lt;&gt;"",INDEX(Tab_DaBa[],MATCH(CONCATENATE(Liste!$C$3,$B$569,$B$683),Data!$BO:$BO,0)-2,43)=""),INDEX(Tab_DaBa[],MATCH(CONCATENATE(Liste!$C$3,$B$569,$B$683),Data!$BO:$BO,0)-2,13),IF(INDEX(Tab_DaBa[],MATCH(CONCATENATE(Liste!$C$3,$B$569,$B$683),Data!$BO:$BO,0)-2,38)&lt;&gt;"",INDEX(Tab_DaBa[],MATCH(CONCATENATE(Liste!$C$3,$B$569,$B$683),Data!$BO:$BO,0)-2,43),"")),"")</f>
        <v>Bez_Aus3_5</v>
      </c>
      <c r="G695" s="38" t="str">
        <f ca="1">IF(H693="","",4)</f>
        <v/>
      </c>
      <c r="H695" s="35" t="str">
        <f ca="1">IFERROR(IF(AND(INDEX(Tab_DaBa[],MATCH(CONCATENATE(Liste!$C$3,$B$569,$B$683),Data!$BO:$BO,0)-2,43)&lt;&gt;"",INDEX(Tab_DaBa[],MATCH(CONCATENATE(Liste!$C$3,$B$569,$B$683),Data!$BO:$BO,0)-2,48)=""),INDEX(Tab_DaBa[],MATCH(CONCATENATE(Liste!$C$3,$B$569,$B$683),Data!$BO:$BO,0)-2,13),IF(INDEX(Tab_DaBa[],MATCH(CONCATENATE(Liste!$C$3,$B$569,$B$683),Data!$BO:$BO,0)-2,43)&lt;&gt;"",INDEX(Tab_DaBa[],MATCH(CONCATENATE(Liste!$C$3,$B$569,$B$683),Data!$BO:$BO,0)-2,48),"")),"")</f>
        <v/>
      </c>
      <c r="I695" s="38" t="str">
        <f ca="1">IF(B701="","",6)</f>
        <v/>
      </c>
    </row>
    <row r="696" spans="2:9" s="16" customFormat="1" ht="15.75">
      <c r="B696" s="35" t="str">
        <f ca="1">IFERROR(IF(AND(INDEX(Tab_DaBa[],MATCH(CONCATENATE(Liste!$C$3,$B$569,$B$683),Data!$BO:$BO,0)-2,28)&lt;&gt;"",INDEX(Tab_DaBa[],MATCH(CONCATENATE(Liste!$C$3,$B$569,$B$683),Data!$BO:$BO,0)-2,33)=""),"Performance Level: "&amp;INDEX(Tab_DaBa[],MATCH(CONCATENATE(Liste!$C$3,$B$569,$B$683),Data!$BO:$BO,0)-2,15),IF(INDEX(Tab_DaBa[],MATCH(CONCATENATE(Liste!$C$3,$B$569,$B$683),Data!$BO:$BO,0)-2,28)&lt;&gt;"","Performance Level: "&amp;INDEX(Tab_DaBa[],MATCH(CONCATENATE(Liste!$C$3,$B$569,$B$683),Data!$BO:$BO,0)-2,35),"")),"")</f>
        <v>Performance Level: PL_Lo03_05</v>
      </c>
      <c r="C696" s="39"/>
      <c r="D696" s="35" t="str">
        <f ca="1">IFERROR(IF(AND(INDEX(Tab_DaBa[],MATCH(CONCATENATE(Liste!$C$3,$B$569,$B$683),Data!$BO:$BO,0)-2,33)&lt;&gt;"",INDEX(Tab_DaBa[],MATCH(CONCATENATE(Liste!$C$3,$B$569,$B$683),Data!$BO:$BO,0)-2,38)=""),"Performance Level: "&amp;INDEX(Tab_DaBa[],MATCH(CONCATENATE(Liste!$C$3,$B$569,$B$683),Data!$BO:$BO,0)-2,15),IF(INDEX(Tab_DaBa[],MATCH(CONCATENATE(Liste!$C$3,$B$569,$B$683),Data!$BO:$BO,0)-2,33)&lt;&gt;"","Performance Level: "&amp;INDEX(Tab_DaBa[],MATCH(CONCATENATE(Liste!$C$3,$B$569,$B$683),Data!$BO:$BO,0)-2,40),"")),"")</f>
        <v>Performance Level: PL_Lo03_5</v>
      </c>
      <c r="E696" s="37"/>
      <c r="F696" s="35" t="str">
        <f ca="1">IFERROR(IF(AND(INDEX(Tab_DaBa[],MATCH(CONCATENATE(Liste!$C$3,$B$569,$B$683),Data!$BO:$BO,0)-2,38)&lt;&gt;"",INDEX(Tab_DaBa[],MATCH(CONCATENATE(Liste!$C$3,$B$569,$B$683),Data!$BO:$BO,0)-2,43)=""),"Performance Level: "&amp;INDEX(Tab_DaBa[],MATCH(CONCATENATE(Liste!$C$3,$B$569,$B$683),Data!$BO:$BO,0)-2,15),IF(INDEX(Tab_DaBa[],MATCH(CONCATENATE(Liste!$C$3,$B$569,$B$683),Data!$BO:$BO,0)-2,38)&lt;&gt;"","Performance Level: "&amp;INDEX(Tab_DaBa[],MATCH(CONCATENATE(Liste!$C$3,$B$569,$B$683),Data!$BO:$BO,0)-2,45),"")),"")</f>
        <v>Performance Level: PL_Aus3_5</v>
      </c>
      <c r="G696" s="39"/>
      <c r="H696" s="35" t="str">
        <f ca="1">IFERROR(IF(AND(INDEX(Tab_DaBa[],MATCH(CONCATENATE(Liste!$C$3,$B$569,$B$683),Data!$BO:$BO,0)-2,43)&lt;&gt;"",INDEX(Tab_DaBa[],MATCH(CONCATENATE(Liste!$C$3,$B$569,$B$683),Data!$BO:$BO,0)-2,48)=""),"Performance Level: "&amp;INDEX(Tab_DaBa[],MATCH(CONCATENATE(Liste!$C$3,$B$569,$B$683),Data!$BO:$BO,0)-2,15),IF(INDEX(Tab_DaBa[],MATCH(CONCATENATE(Liste!$C$3,$B$569,$B$683),Data!$BO:$BO,0)-2,43)&lt;&gt;"","Performance Level: "&amp;INDEX(Tab_DaBa[],MATCH(CONCATENATE(Liste!$C$3,$B$569,$B$683),Data!$BO:$BO,0)-2,50),"")),"")</f>
        <v/>
      </c>
      <c r="I696" s="39"/>
    </row>
    <row r="697" spans="2:9" s="16" customFormat="1" ht="15.75">
      <c r="B697" s="35" t="str">
        <f ca="1">IFERROR(IF(AND(INDEX(Tab_DaBa[],MATCH(CONCATENATE(Liste!$C$3,$B$569,$B$683),Data!$BO:$BO,0)-2,28)&lt;&gt;"",INDEX(Tab_DaBa[],MATCH(CONCATENATE(Liste!$C$3,$B$569,$B$683),Data!$BO:$BO,0)-2,33)=""),"PFH [1/h] = "&amp;10^9*INDEX(Tab_DaBa[],MATCH(CONCATENATE(Liste!$C$3,$B$569,$B$683),Data!$BO:$BO,0)-2,16)&amp;"E-9",IF(INDEX(Tab_DaBa[],MATCH(CONCATENATE(Liste!$C$3,$B$569,$B$683),Data!$BO:$BO,0)-2,28)&lt;&gt;"","PFH [1/h] = "&amp;10^9*INDEX(Tab_DaBa[],MATCH(CONCATENATE(Liste!$C$3,$B$569,$B$683),Data!$BO:$BO,0)-2,36)&amp;"E-9","")),"")</f>
        <v>PFH [1/h] = 4,19E-9</v>
      </c>
      <c r="C697" s="39"/>
      <c r="D697" s="35" t="str">
        <f ca="1">IFERROR(IF(AND(INDEX(Tab_DaBa[],MATCH(CONCATENATE(Liste!$C$3,$B$569,$B$683),Data!$BO:$BO,0)-2,33)&lt;&gt;"",INDEX(Tab_DaBa[],MATCH(CONCATENATE(Liste!$C$3,$B$569,$B$683),Data!$BO:$BO,0)-2,38)=""),"PFH [1/h] = "&amp;10^9*INDEX(Tab_DaBa[],MATCH(CONCATENATE(Liste!$C$3,$B$569,$B$683),Data!$BO:$BO,0)-2,16)&amp;"E-9",IF(INDEX(Tab_DaBa[],MATCH(CONCATENATE(Liste!$C$3,$B$569,$B$683),Data!$BO:$BO,0)-2,33)&lt;&gt;"","PFH [1/h] = "&amp;10^9*INDEX(Tab_DaBa[],MATCH(CONCATENATE(Liste!$C$3,$B$569,$B$683),Data!$BO:$BO,0)-2,41)&amp;"E-9","")),"")</f>
        <v>PFH [1/h] = 4,19E-9</v>
      </c>
      <c r="E697" s="37"/>
      <c r="F697" s="35" t="str">
        <f ca="1">IFERROR(IF(AND(INDEX(Tab_DaBa[],MATCH(CONCATENATE(Liste!$C$3,$B$569,$B$683),Data!$BO:$BO,0)-2,38)&lt;&gt;"",INDEX(Tab_DaBa[],MATCH(CONCATENATE(Liste!$C$3,$B$569,$B$683),Data!$BO:$BO,0)-2,43)=""),"PFH [1/h] = "&amp;10^9*INDEX(Tab_DaBa[],MATCH(CONCATENATE(Liste!$C$3,$B$569,$B$683),Data!$BO:$BO,0)-2,16)&amp;"E-9",IF(INDEX(Tab_DaBa[],MATCH(CONCATENATE(Liste!$C$3,$B$569,$B$683),Data!$BO:$BO,0)-2,38)&lt;&gt;"","PFH [1/h] = "&amp;10^9*INDEX(Tab_DaBa[],MATCH(CONCATENATE(Liste!$C$3,$B$569,$B$683),Data!$BO:$BO,0)-2,46)&amp;"E-9","")),"")</f>
        <v>PFH [1/h] = 24,7E-9</v>
      </c>
      <c r="G697" s="39"/>
      <c r="H697" s="35" t="str">
        <f ca="1">IFERROR(IF(AND(INDEX(Tab_DaBa[],MATCH(CONCATENATE(Liste!$C$3,$B$569,$B$683),Data!$BO:$BO,0)-2,43)&lt;&gt;"",INDEX(Tab_DaBa[],MATCH(CONCATENATE(Liste!$C$3,$B$569,$B$683),Data!$BO:$BO,0)-2,48)=""),"PFH [1/h] = "&amp;10^9*INDEX(Tab_DaBa[],MATCH(CONCATENATE(Liste!$C$3,$B$569,$B$683),Data!$BO:$BO,0)-2,16)&amp;"E-9",IF(INDEX(Tab_DaBa[],MATCH(CONCATENATE(Liste!$C$3,$B$569,$B$683),Data!$BO:$BO,0)-2,43)&lt;&gt;"","PFH [1/h] = "&amp;10^9*INDEX(Tab_DaBa[],MATCH(CONCATENATE(Liste!$C$3,$B$569,$B$683),Data!$BO:$BO,0)-2,51)&amp;"E-9","")),"")</f>
        <v/>
      </c>
      <c r="I697" s="39"/>
    </row>
    <row r="698" spans="2:9" s="16" customFormat="1">
      <c r="B698" s="33"/>
      <c r="C698" s="33"/>
      <c r="D698" s="33"/>
      <c r="E698" s="33"/>
      <c r="F698" s="33"/>
      <c r="G698" s="33"/>
      <c r="H698" s="33"/>
      <c r="I698" s="33"/>
    </row>
    <row r="699" spans="2:9" s="16" customFormat="1" ht="15.75">
      <c r="B699" s="38" t="str">
        <f ca="1">IF(B701="","",6)</f>
        <v/>
      </c>
      <c r="C699" s="33"/>
      <c r="D699" s="38" t="str">
        <f ca="1">IF(B701="","",3)</f>
        <v/>
      </c>
      <c r="E699" s="33"/>
      <c r="F699" s="38" t="str">
        <f ca="1">IF(B701="","",3)</f>
        <v/>
      </c>
      <c r="G699" s="33"/>
      <c r="H699" s="38" t="str">
        <f ca="1">IF(B701="","",3)</f>
        <v/>
      </c>
      <c r="I699" s="33"/>
    </row>
    <row r="700" spans="2:9" s="16" customFormat="1" ht="15.75">
      <c r="B700" s="39"/>
      <c r="C700" s="33"/>
      <c r="D700" s="33"/>
      <c r="E700" s="33"/>
      <c r="F700" s="33"/>
      <c r="G700" s="33"/>
      <c r="H700" s="33"/>
      <c r="I700" s="33"/>
    </row>
    <row r="701" spans="2:9" s="16" customFormat="1" ht="15.75">
      <c r="B701" s="35" t="str">
        <f ca="1">IFERROR(IF(AND(INDEX(Tab_DaBa[],MATCH(CONCATENATE(Liste!$C$3,$B$569,$B$683),Data!$BO:$BO,0)-2,48)&lt;&gt;"",INDEX(Tab_DaBa[],MATCH(CONCATENATE(Liste!$C$3,$B$569,$B$683),Data!$BO:$BO,0)-2,53)=0),INDEX(Tab_DaBa[],MATCH(CONCATENATE(Liste!$C$3,$B$569,$B$683),Data!$BO:$BO,0)-2,14),IF(INDEX(Tab_DaBa[],MATCH(CONCATENATE(Liste!$C$3,$B$569,$B$683),Data!$BO:$BO,0)-2,48)&lt;&gt;"",INDEX(Tab_DaBa[],MATCH(CONCATENATE(Liste!$C$3,$B$569,$B$683),Data!$BO:$BO,0)-2,54),"")),"")</f>
        <v/>
      </c>
      <c r="C701" s="39"/>
      <c r="D701" s="35" t="str">
        <f ca="1">IFERROR(IF(AND(INDEX(Tab_DaBa[],MATCH(CONCATENATE(Liste!$C$3,$B$569,$B$683),Data!$BO:$BO,0)-2,53)&lt;&gt;"",INDEX(Tab_DaBa[],MATCH(CONCATENATE(Liste!$C$3,$B$569,$B$683),Data!$BO:$BO,0)-2,58)=0),INDEX(Tab_DaBa[],MATCH(CONCATENATE(Liste!$C$3,$B$569,$B$683),Data!$BO:$BO,0)-2,14),IF(INDEX(Tab_DaBa[],MATCH(CONCATENATE(Liste!$C$3,$B$569,$B$683),Data!$BO:$BO,0)-2,53)&lt;&gt;"",INDEX(Tab_DaBa[],MATCH(CONCATENATE(Liste!$C$3,$B$569,$B$683),Data!$BO:$BO,0)-2,59),"")),"")</f>
        <v/>
      </c>
      <c r="E701" s="33"/>
      <c r="F701" s="35" t="str">
        <f ca="1">IFERROR(IF(AND(INDEX(Tab_DaBa[],MATCH(CONCATENATE(Liste!$C$3,$B$569,$B$683),Data!$BO:$BO,0)-2,58)&lt;&gt;"",INDEX(Tab_DaBa[],MATCH(CONCATENATE(Liste!$C$3,$B$569,$B$683),Data!$BO:$BO,0)-2,63)=0),INDEX(Tab_DaBa[],MATCH(CONCATENATE(Liste!$C$3,$B$569,$B$683),Data!$BO:$BO,0)-2,14),IF(INDEX(Tab_DaBa[],MATCH(CONCATENATE(Liste!$C$3,$B$569,$B$683),Data!$BO:$BO,0)-2,58)&lt;&gt;"",INDEX(Tab_DaBa[],MATCH(CONCATENATE(Liste!$C$3,$B$569,$B$683),Data!$BO:$BO,0)-2,64),"")),"")</f>
        <v/>
      </c>
      <c r="G701" s="39"/>
      <c r="H701" s="35" t="str">
        <f ca="1">IFERROR(IF(INDEX(Tab_DaBa[],MATCH(CONCATENATE(Liste!$C$3,$B$569,$B$683),Data!$BO:$BO,0)-2,63)&lt;&gt;"",INDEX(Tab_DaBa[],MATCH(CONCATENATE(Liste!$C$3,$B$569,$B$683),Data!$BO:$BO,0)-2,14),""),"")</f>
        <v/>
      </c>
    </row>
    <row r="702" spans="2:9" s="16" customFormat="1" ht="15.75">
      <c r="B702" s="35" t="str">
        <f ca="1">IFERROR(IF(AND(INDEX(Tab_DaBa[],MATCH(CONCATENATE(Liste!$C$3,$B$569,$B$683),Data!$BO:$BO,0)-2,48)&lt;&gt;"",INDEX(Tab_DaBa[],MATCH(CONCATENATE(Liste!$C$3,$B$569,$B$683),Data!$BO:$BO,0)-2,53)=0),INDEX(Tab_DaBa[],MATCH(CONCATENATE(Liste!$C$3,$B$569,$B$683),Data!$BO:$BO,0)-2,12),IF(INDEX(Tab_DaBa[],MATCH(CONCATENATE(Liste!$C$3,$B$569,$B$683),Data!$BO:$BO,0)-2,48)&lt;&gt;"",INDEX(Tab_DaBa[],MATCH(CONCATENATE(Liste!$C$3,$B$569,$B$683),Data!$BO:$BO,0)-2,52),"")),"")</f>
        <v/>
      </c>
      <c r="C702" s="39"/>
      <c r="D702" s="35" t="str">
        <f ca="1">IFERROR(IF(AND(INDEX(Tab_DaBa[],MATCH(CONCATENATE(Liste!$C$3,$B$569,$B$683),Data!$BO:$BO,0)-2,53)&lt;&gt;"",INDEX(Tab_DaBa[],MATCH(CONCATENATE(Liste!$C$3,$B$569,$B$683),Data!$BO:$BO,0)-2,58)=0),INDEX(Tab_DaBa[],MATCH(CONCATENATE(Liste!$C$3,$B$569,$B$683),Data!$BO:$BO,0)-2,12),IF(INDEX(Tab_DaBa[],MATCH(CONCATENATE(Liste!$C$3,$B$569,$B$683),Data!$BO:$BO,0)-2,53)&lt;&gt;"",INDEX(Tab_DaBa[],MATCH(CONCATENATE(Liste!$C$3,$B$569,$B$683),Data!$BO:$BO,0)-2,57),"")),"")</f>
        <v/>
      </c>
      <c r="E702" s="37"/>
      <c r="F702" s="35" t="str">
        <f ca="1">IFERROR(IF(AND(INDEX(Tab_DaBa[],MATCH(CONCATENATE(Liste!$C$3,$B$569,$B$683),Data!$BO:$BO,0)-2,58)&lt;&gt;"",INDEX(Tab_DaBa[],MATCH(CONCATENATE(Liste!$C$3,$B$569,$B$683),Data!$BO:$BO,0)-2,63)=0),INDEX(Tab_DaBa[],MATCH(CONCATENATE(Liste!$C$3,$B$569,$B$683),Data!$BO:$BO,0)-2,12),IF(INDEX(Tab_DaBa[],MATCH(CONCATENATE(Liste!$C$3,$B$569,$B$683),Data!$BO:$BO,0)-2,58)&lt;&gt;"",INDEX(Tab_DaBa[],MATCH(CONCATENATE(Liste!$C$3,$B$569,$B$683),Data!$BO:$BO,0)-2,62),"")),"")</f>
        <v/>
      </c>
      <c r="G702" s="39"/>
      <c r="H702" s="35" t="str">
        <f ca="1">IFERROR(IF(INDEX(Tab_DaBa[],MATCH(CONCATENATE(Liste!$C$3,$B$569,$B$683),Data!$BO:$BO,0)-2,63)&lt;&gt;"",INDEX(Tab_DaBa[],MATCH(CONCATENATE(Liste!$C$3,$B$569,$B$683),Data!$BO:$BO,0)-2,12),""),"")</f>
        <v/>
      </c>
    </row>
    <row r="703" spans="2:9" s="16" customFormat="1" ht="15.75">
      <c r="B703" s="35" t="str">
        <f ca="1">IFERROR(IF(AND(INDEX(Tab_DaBa[],MATCH(CONCATENATE(Liste!$C$3,$B$569,$B$683),Data!$BO:$BO,0)-2,48)&lt;&gt;"",INDEX(Tab_DaBa[],MATCH(CONCATENATE(Liste!$C$3,$B$569,$B$683),Data!$BO:$BO,0)-2,53)=""),INDEX(Tab_DaBa[],MATCH(CONCATENATE(Liste!$C$3,$B$569,$B$683),Data!$BO:$BO,0)-2,13),IF(INDEX(Tab_DaBa[],MATCH(CONCATENATE(Liste!$C$3,$B$569,$B$683),Data!$BO:$BO,0)-2,48)&lt;&gt;"",INDEX(Tab_DaBa[],MATCH(CONCATENATE(Liste!$C$3,$B$569,$B$683),Data!$BO:$BO,0)-2,53),"")),"")</f>
        <v/>
      </c>
      <c r="C703" s="38" t="str">
        <f ca="1">IF(D701="","",4)</f>
        <v/>
      </c>
      <c r="D703" s="35" t="str">
        <f ca="1">IFERROR(IF(AND(INDEX(Tab_DaBa[],MATCH(CONCATENATE(Liste!$C$3,$B$569,$B$683),Data!$BO:$BO,0)-2,53)&lt;&gt;"",INDEX(Tab_DaBa[],MATCH(CONCATENATE(Liste!$C$3,$B$569,$B$683),Data!$BO:$BO,0)-2,58)=""),INDEX(Tab_DaBa[],MATCH(CONCATENATE(Liste!$C$3,$B$569,$B$683),Data!$BO:$BO,0)-2,13),IF(INDEX(Tab_DaBa[],MATCH(CONCATENATE(Liste!$C$3,$B$569,$B$683),Data!$BO:$BO,0)-2,53)&lt;&gt;"",INDEX(Tab_DaBa[],MATCH(CONCATENATE(Liste!$C$3,$B$569,$B$683),Data!$BO:$BO,0)-2,58),"")),"")</f>
        <v/>
      </c>
      <c r="E703" s="38" t="str">
        <f ca="1">IF(F701="","",4)</f>
        <v/>
      </c>
      <c r="F703" s="35" t="str">
        <f ca="1">IFERROR(IF(AND(INDEX(Tab_DaBa[],MATCH(CONCATENATE(Liste!$C$3,$B$569,$B$683),Data!$BO:$BO,0)-2,58)&lt;&gt;"",INDEX(Tab_DaBa[],MATCH(CONCATENATE(Liste!$C$3,$B$569,$B$683),Data!$BO:$BO,0)-2,63)=""),INDEX(Tab_DaBa[],MATCH(CONCATENATE(Liste!$C$3,$B$569,$B$683),Data!$BO:$BO,0)-2,13),IF(INDEX(Tab_DaBa[],MATCH(CONCATENATE(Liste!$C$3,$B$569,$B$683),Data!$BO:$BO,0)-2,58)&lt;&gt;"",INDEX(Tab_DaBa[],MATCH(CONCATENATE(Liste!$C$3,$B$569,$B$683),Data!$BO:$BO,0)-2,63),"")),"")</f>
        <v/>
      </c>
      <c r="G703" s="38" t="str">
        <f ca="1">IF(H701="","",4)</f>
        <v/>
      </c>
      <c r="H703" s="35" t="str">
        <f ca="1">IFERROR(IF(INDEX(Tab_DaBa[],MATCH(CONCATENATE(Liste!$C$3,$B$569,$B$683),Data!$BO:$BO,0)-2,63)&lt;&gt;"",INDEX(Tab_DaBa[],MATCH(CONCATENATE(Liste!$C$3,$B$569,$B$683),Data!$BO:$BO,0)-2,13),""),"")</f>
        <v/>
      </c>
    </row>
    <row r="704" spans="2:9" s="16" customFormat="1" ht="15.75">
      <c r="B704" s="35" t="str">
        <f ca="1">IFERROR(IF(AND(INDEX(Tab_DaBa[],MATCH(CONCATENATE(Liste!$C$3,$B$569,$B$683),Data!$BO:$BO,0)-2,48)&lt;&gt;"",INDEX(Tab_DaBa[],MATCH(CONCATENATE(Liste!$C$3,$B$569,$B$683),Data!$BO:$BO,0)-2,53)=""),"Performance Level: "&amp;INDEX(Tab_DaBa[],MATCH(CONCATENATE(Liste!$C$3,$B$569,$B$683),Data!$BO:$BO,0)-2,15),IF(INDEX(Tab_DaBa[],MATCH(CONCATENATE(Liste!$C$3,$B$569,$B$683),Data!$BO:$BO,0)-2,48)&lt;&gt;"","Performance Level: "&amp;INDEX(Tab_DaBa[],MATCH(CONCATENATE(Liste!$C$3,$B$569,$B$683),Data!$BO:$BO,0)-2,55),"")),"")</f>
        <v/>
      </c>
      <c r="C704" s="39"/>
      <c r="D704" s="35" t="str">
        <f ca="1">IFERROR(IF(AND(INDEX(Tab_DaBa[],MATCH(CONCATENATE(Liste!$C$3,$B$569,$B$683),Data!$BO:$BO,0)-2,53)&lt;&gt;"",INDEX(Tab_DaBa[],MATCH(CONCATENATE(Liste!$C$3,$B$569,$B$683),Data!$BO:$BO,0)-2,58)=""),"Performance Level: "&amp;INDEX(Tab_DaBa[],MATCH(CONCATENATE(Liste!$C$3,$B$569,$B$683),Data!$BO:$BO,0)-2,15),IF(INDEX(Tab_DaBa[],MATCH(CONCATENATE(Liste!$C$3,$B$569,$B$683),Data!$BO:$BO,0)-2,53)&lt;&gt;"","Performance Level: "&amp;INDEX(Tab_DaBa[],MATCH(CONCATENATE(Liste!$C$3,$B$569,$B$683),Data!$BO:$BO,0)-2,60),"")),"")</f>
        <v/>
      </c>
      <c r="E704" s="37"/>
      <c r="F704" s="35" t="str">
        <f ca="1">IFERROR(IF(AND(INDEX(Tab_DaBa[],MATCH(CONCATENATE(Liste!$C$3,$B$569,$B$683),Data!$BO:$BO,0)-2,58)&lt;&gt;"",INDEX(Tab_DaBa[],MATCH(CONCATENATE(Liste!$C$3,$B$569,$B$683),Data!$BO:$BO,0)-2,63)=""),"Performance Level: "&amp;INDEX(Tab_DaBa[],MATCH(CONCATENATE(Liste!$C$3,$B$569,$B$683),Data!$BO:$BO,0)-2,15),IF(INDEX(Tab_DaBa[],MATCH(CONCATENATE(Liste!$C$3,$B$569,$B$683),Data!$BO:$BO,0)-2,58)&lt;&gt;"","Performance Level: "&amp;INDEX(Tab_DaBa[],MATCH(CONCATENATE(Liste!$C$3,$B$569,$B$683),Data!$BO:$BO,0)-2,65),"")),"")</f>
        <v/>
      </c>
      <c r="G704" s="39"/>
      <c r="H704" s="35" t="str">
        <f ca="1">IFERROR(IF(INDEX(Tab_DaBa[],MATCH(CONCATENATE(Liste!$C$3,$B$569,$B$683),Data!$BO:$BO,0)-2,63)&lt;&gt;"","Performance Level: "&amp;INDEX(Tab_DaBa[],MATCH(CONCATENATE(Liste!$C$3,$B$569,$B$683),Data!$BO:$BO,0)-2,15),""),"")</f>
        <v/>
      </c>
    </row>
    <row r="705" spans="2:9" s="16" customFormat="1" ht="15.75">
      <c r="B705" s="35" t="str">
        <f ca="1">IFERROR(IF(AND(INDEX(Tab_DaBa[],MATCH(CONCATENATE(Liste!$C$3,$B$569,$B$683),Data!$BO:$BO,0)-2,48)&lt;&gt;"",INDEX(Tab_DaBa[],MATCH(CONCATENATE(Liste!$C$3,$B$569,$B$683),Data!$BO:$BO,0)-2,53)=""),"PFH [1/h] = "&amp;10^9*INDEX(Tab_DaBa[],MATCH(CONCATENATE(Liste!$C$3,$B$569,$B$683),Data!$BO:$BO,0)-2,16)&amp;"E-9",IF(INDEX(Tab_DaBa[],MATCH(CONCATENATE(Liste!$C$3,$B$569,$B$683),Data!$BO:$BO,0)-2,48)&lt;&gt;"","PFH [1/h] = "&amp;10^9*INDEX(Tab_DaBa[],MATCH(CONCATENATE(Liste!$C$3,$B$569,$B$683),Data!$BO:$BO,0)-2,56)&amp;"E-9","")),"")</f>
        <v/>
      </c>
      <c r="C705" s="39"/>
      <c r="D705" s="35" t="str">
        <f ca="1">IFERROR(IF(AND(INDEX(Tab_DaBa[],MATCH(CONCATENATE(Liste!$C$3,$B$569,$B$683),Data!$BO:$BO,0)-2,53)&lt;&gt;"",INDEX(Tab_DaBa[],MATCH(CONCATENATE(Liste!$C$3,$B$569,$B$683),Data!$BO:$BO,0)-2,58)=""),"PFH [1/h] = "&amp;10^9*INDEX(Tab_DaBa[],MATCH(CONCATENATE(Liste!$C$3,$B$569,$B$683),Data!$BO:$BO,0)-2,16)&amp;"E-9",IF(INDEX(Tab_DaBa[],MATCH(CONCATENATE(Liste!$C$3,$B$569,$B$683),Data!$BO:$BO,0)-2,53)&lt;&gt;"","PFH [1/h] = "&amp;10^9*INDEX(Tab_DaBa[],MATCH(CONCATENATE(Liste!$C$3,$B$569,$B$683),Data!$BO:$BO,0)-2,61)&amp;"E-9","")),"")</f>
        <v/>
      </c>
      <c r="E705" s="37"/>
      <c r="F705" s="35" t="str">
        <f ca="1">IFERROR(IF(AND(INDEX(Tab_DaBa[],MATCH(CONCATENATE(Liste!$C$3,$B$569,$B$683),Data!$BO:$BO,0)-2,58)&lt;&gt;"",INDEX(Tab_DaBa[],MATCH(CONCATENATE(Liste!$C$3,$B$569,$B$683),Data!$BO:$BO,0)-2,63)=""),"PFH [1/h] = "&amp;10^9*INDEX(Tab_DaBa[],MATCH(CONCATENATE(Liste!$C$3,$B$569,$B$683),Data!$BO:$BO,0)-2,16)&amp;"E-9",IF(INDEX(Tab_DaBa[],MATCH(CONCATENATE(Liste!$C$3,$B$569,$B$683),Data!$BO:$BO,0)-2,58)&lt;&gt;"","PFH [1/h] = "&amp;10^9*INDEX(Tab_DaBa[],MATCH(CONCATENATE(Liste!$C$3,$B$569,$B$683),Data!$BO:$BO,0)-2,66)&amp;"E-9","")),"")</f>
        <v/>
      </c>
      <c r="G705" s="39"/>
      <c r="H705" s="35" t="str">
        <f ca="1">IFERROR(IF(INDEX(Tab_DaBa[],MATCH(CONCATENATE(Liste!$C$3,$B$569,$B$683),Data!$BO:$BO,0)-2,63)&lt;&gt;"","PFH [1/h] = "&amp;10^9*INDEX(Tab_DaBa[],MATCH(CONCATENATE(Liste!$C$3,$B$569,$B$683),Data!$BO:$BO,0)-2,16)&amp;"E-9",""),"")</f>
        <v/>
      </c>
    </row>
    <row r="706" spans="2:9" s="16" customFormat="1"/>
    <row r="707" spans="2:9" s="16" customFormat="1">
      <c r="B707" s="43" t="str">
        <f ca="1">IF(D707="","","Erforderlich")</f>
        <v>Erforderlich</v>
      </c>
      <c r="D707" s="44" t="str">
        <f ca="1">IFERROR("Performance Level: "&amp;INDEX(Tab_DaBa[],MATCH(CONCATENATE(Liste!$C$3,$B$569,$B$683),Data!$BO:$BO,0)-2,4),"")</f>
        <v>Performance Level: PLr_ges3_5</v>
      </c>
    </row>
    <row r="708" spans="2:9" s="16" customFormat="1">
      <c r="B708" s="45"/>
    </row>
    <row r="709" spans="2:9" s="16" customFormat="1">
      <c r="B709" s="46" t="str">
        <f ca="1">IF(D709="","","Erreicht")</f>
        <v>Erreicht</v>
      </c>
      <c r="D709" s="47" t="str">
        <f ca="1">IFERROR("Performance Level: "&amp;INDEX(Tab_DaBa[],MATCH(CONCATENATE(Liste!$C$3,$B$569,$B$683),Data!$BO:$BO,0)-2,5)&amp;"          PFH [1/h] = "&amp;10^9*INDEX(Tab_DaBa[],MATCH(CONCATENATE(Liste!$C$3,$B$569,$B$683),Data!$BO:$BO,0)-2,6)&amp;"E-9","")</f>
        <v>Performance Level: Pl_ges3_5          PFH [1/h] = 71,7E-9</v>
      </c>
    </row>
    <row r="710" spans="2:9" s="16" customFormat="1"/>
    <row r="711" spans="2:9" s="16" customFormat="1">
      <c r="B711" s="42" t="str">
        <f ca="1">IFERROR(IF(6&gt;COUNTIF(Data!$BP:$BP,CONCATENATE(Liste!$C$3,$B$569)),"",INDEX(Tab_DaBa[],MATCH(CONCATENATE(Liste!$C$3,$B$569),Data!$BP:$BP,0)+3,3)),"")</f>
        <v>3.6 Test3 (E+6L+A)</v>
      </c>
    </row>
    <row r="712" spans="2:9" s="16" customFormat="1"/>
    <row r="713" spans="2:9" s="16" customFormat="1" ht="15.75">
      <c r="B713" s="35" t="str">
        <f ca="1">IFERROR(INDEX(Tab_DaBa[],MATCH(CONCATENATE(Liste!$C$3,$B$569,$B$711),Data!$BO:$BO,0)-2,9),"")</f>
        <v>Eingang</v>
      </c>
      <c r="C713" s="54"/>
      <c r="D713" s="35" t="str">
        <f ca="1">IFERROR(IF(INDEX(Tab_DaBa[],MATCH(CONCATENATE(Liste!$C$3,$B$569,$B$711),Data!$BO:$BO,0)-2,18)=0,INDEX(Tab_DaBa[],MATCH(CONCATENATE(Liste!$C$3,$B$569,$B$711),Data!$BO:$BO,0)-2,14),INDEX(Tab_DaBa[],MATCH(CONCATENATE(Liste!$C$3,$B$569,$B$711),Data!$BO:$BO,0)-2,19)),"")</f>
        <v>Logik 01</v>
      </c>
      <c r="E713" s="33"/>
      <c r="F713" s="35" t="str">
        <f ca="1">IFERROR(IF(AND(INDEX(Tab_DaBa[],MATCH(CONCATENATE(Liste!$C$3,$B$569,$B$711),Data!$BO:$BO,0)-2,18)&lt;&gt;"",INDEX(Tab_DaBa[],MATCH(CONCATENATE(Liste!$C$3,$B$569,$B$711),Data!$BO:$BO,0)-2,23)=0),INDEX(Tab_DaBa[],MATCH(CONCATENATE(Liste!$C$3,$B$569,$B$711),Data!$BO:$BO,0)-2,14),IF(INDEX(Tab_DaBa[],MATCH(CONCATENATE(Liste!$C$3,$B$569,$B$711),Data!$BO:$BO,0)-2,23)&lt;&gt;"",INDEX(Tab_DaBa[],MATCH(CONCATENATE(Liste!$C$3,$B$569,$B$711),Data!$BO:$BO,0)-2,24),"")),"")</f>
        <v>Logik 02</v>
      </c>
      <c r="G713" s="39"/>
      <c r="H713" s="35" t="str">
        <f ca="1">IFERROR(IF(AND(INDEX(Tab_DaBa[],MATCH(CONCATENATE(Liste!$C$3,$B$569,$B$711),Data!$BO:$BO,0)-2,23)&lt;&gt;"",INDEX(Tab_DaBa[],MATCH(CONCATENATE(Liste!$C$3,$B$569,$B$711),Data!$BO:$BO,0)-2,28)=0),INDEX(Tab_DaBa[],MATCH(CONCATENATE(Liste!$C$3,$B$569,$B$711),Data!$BO:$BO,0)-2,14),IF(INDEX(Tab_DaBa[],MATCH(CONCATENATE(Liste!$C$3,$B$569,$B$711),Data!$BO:$BO,0)-2,23)&lt;&gt;"",INDEX(Tab_DaBa[],MATCH(CONCATENATE(Liste!$C$3,$B$569,$B$711),Data!$BO:$BO,0)-2,29),"")),"")</f>
        <v>Logik 03</v>
      </c>
      <c r="I713" s="39"/>
    </row>
    <row r="714" spans="2:9" s="16" customFormat="1" ht="15.75">
      <c r="B714" s="35" t="str">
        <f ca="1">IFERROR(INDEX(Tab_DaBa[],MATCH(CONCATENATE(Liste!$C$3,$B$569,$B$711),Data!$BO:$BO,0)-2,7),"")</f>
        <v>eeee-33_6</v>
      </c>
      <c r="C714" s="54"/>
      <c r="D714" s="35" t="str">
        <f ca="1">IFERROR(IF(INDEX(Tab_DaBa[],MATCH(CONCATENATE(Liste!$C$3,$B$569,$B$711),Data!$BO:$BO,0)-2,18)="",INDEX(Tab_DaBa[],MATCH(CONCATENATE(Liste!$C$3,$B$569,$B$711),Data!$BO:$BO,0)-2,12),INDEX(Tab_DaBa[],MATCH(CONCATENATE(Liste!$C$3,$B$569,$B$711),Data!$BO:$BO,0)-2,17)),"")</f>
        <v>Log01-03_06</v>
      </c>
      <c r="E714" s="36"/>
      <c r="F714" s="35" t="str">
        <f ca="1">IFERROR(IF(AND(INDEX(Tab_DaBa[],MATCH(CONCATENATE(Liste!$C$3,$B$569,$B$711),Data!$BO:$BO,0)-2,18)&lt;&gt;"",INDEX(Tab_DaBa[],MATCH(CONCATENATE(Liste!$C$3,$B$569,$B$711),Data!$BO:$BO,0)-2,23)=0),INDEX(Tab_DaBa[],MATCH(CONCATENATE(Liste!$C$3,$B$569,$B$711),Data!$BO:$BO,0)-2,12),IF(INDEX(Tab_DaBa[],MATCH(CONCATENATE(Liste!$C$3,$B$569,$B$711),Data!$BO:$BO,0)-2,23)&lt;&gt;"",INDEX(Tab_DaBa[],MATCH(CONCATENATE(Liste!$C$3,$B$569,$B$711),Data!$BO:$BO,0)-2,22),"")),"")</f>
        <v>Log02-03_06</v>
      </c>
      <c r="G714" s="39"/>
      <c r="H714" s="35" t="str">
        <f ca="1">IFERROR(IF(AND(INDEX(Tab_DaBa[],MATCH(CONCATENATE(Liste!$C$3,$B$569,$B$711),Data!$BO:$BO,0)-2,23)&lt;&gt;"",INDEX(Tab_DaBa[],MATCH(CONCATENATE(Liste!$C$3,$B$569,$B$711),Data!$BO:$BO,0)-2,28)=0),INDEX(Tab_DaBa[],MATCH(CONCATENATE(Liste!$C$3,$B$569,$B$711),Data!$BO:$BO,0)-2,12),IF(INDEX(Tab_DaBa[],MATCH(CONCATENATE(Liste!$C$3,$B$569,$B$711),Data!$BO:$BO,0)-2,23)&lt;&gt;"",INDEX(Tab_DaBa[],MATCH(CONCATENATE(Liste!$C$3,$B$569,$B$711),Data!$BO:$BO,0)-2,27),"")),"")</f>
        <v>Lo03-33_6</v>
      </c>
      <c r="I714" s="39"/>
    </row>
    <row r="715" spans="2:9" s="16" customFormat="1" ht="15.75">
      <c r="B715" s="35" t="str">
        <f ca="1">IFERROR(INDEX(Tab_DaBa[],MATCH(CONCATENATE(Liste!$C$3,$B$569,$B$711),Data!$BO:$BO,0)-2,8),"")</f>
        <v>Bez_Ein3_6</v>
      </c>
      <c r="C715" s="40">
        <f ca="1">IF(D713="","",4)</f>
        <v>4</v>
      </c>
      <c r="D715" s="35" t="str">
        <f ca="1">IFERROR(IF(INDEX(Tab_DaBa[],MATCH(CONCATENATE(Liste!$C$3,$B$569,$B$711),Data!$BO:$BO,0)-2,18)="",INDEX(Tab_DaBa[],MATCH(CONCATENATE(Liste!$C$3,$B$569,$B$711),Data!$BO:$BO,0)-2,13),INDEX(Tab_DaBa[],MATCH(CONCATENATE(Liste!$C$3,$B$569,$B$711),Data!$BO:$BO,0)-2,18)),"")</f>
        <v>Bez_Log01_03_06</v>
      </c>
      <c r="E715" s="40">
        <f ca="1">IF(F713="","",4)</f>
        <v>4</v>
      </c>
      <c r="F715" s="35" t="str">
        <f ca="1">IFERROR(IF(AND(INDEX(Tab_DaBa[],MATCH(CONCATENATE(Liste!$C$3,$B$569,$B$711),Data!$BO:$BO,0)-2,18)&lt;&gt;"",INDEX(Tab_DaBa[],MATCH(CONCATENATE(Liste!$C$3,$B$569,$B$711),Data!$BO:$BO,0)-2,23)=""),INDEX(Tab_DaBa[],MATCH(CONCATENATE(Liste!$C$3,$B$569,$B$711),Data!$BO:$BO,0)-2,13),IF(INDEX(Tab_DaBa[],MATCH(CONCATENATE(Liste!$C$3,$B$569,$B$711),Data!$BO:$BO,0)-2,23)&lt;&gt;"",INDEX(Tab_DaBa[],MATCH(CONCATENATE(Liste!$C$3,$B$569,$B$711),Data!$BO:$BO,0)-2,23),"")),"")</f>
        <v>Bez_Log02_03_6</v>
      </c>
      <c r="G715" s="38">
        <f ca="1">IF(H713="","",4)</f>
        <v>4</v>
      </c>
      <c r="H715" s="35" t="str">
        <f ca="1">IFERROR(IF(AND(INDEX(Tab_DaBa[],MATCH(CONCATENATE(Liste!$C$3,$B$569,$B$711),Data!$BO:$BO,0)-2,23)&lt;&gt;"",INDEX(Tab_DaBa[],MATCH(CONCATENATE(Liste!$C$3,$B$569,$B$711),Data!$BO:$BO,0)-2,28)=""),INDEX(Tab_DaBa[],MATCH(CONCATENATE(Liste!$C$3,$B$569,$B$711),Data!$BO:$BO,0)-2,13),IF(INDEX(Tab_DaBa[],MATCH(CONCATENATE(Liste!$C$3,$B$569,$B$711),Data!$BO:$BO,0)-2,23)&lt;&gt;"",INDEX(Tab_DaBa[],MATCH(CONCATENATE(Liste!$C$3,$B$569,$B$711),Data!$BO:$BO,0)-2,28),"")),"")</f>
        <v>Bez_Lo03_6</v>
      </c>
      <c r="I715" s="38">
        <f ca="1">IF(B721="","",6)</f>
        <v>6</v>
      </c>
    </row>
    <row r="716" spans="2:9" s="16" customFormat="1" ht="15.75">
      <c r="B716" s="35" t="str">
        <f ca="1">IFERROR("Performance Level: "&amp;INDEX(Tab_DaBa[],MATCH(CONCATENATE(Liste!$C$3,$B$569,$B$711),Data!$BO:$BO,0)-2,10),"")</f>
        <v>Performance Level: PL_Ein3_6</v>
      </c>
      <c r="C716" s="54"/>
      <c r="D716" s="35" t="str">
        <f ca="1">IFERROR(IF(INDEX(Tab_DaBa[],MATCH(CONCATENATE(Liste!$C$3,$B$569,$B$711),Data!$BO:$BO,0)-2,18)="","Performance Level: "&amp;INDEX(Tab_DaBa[],MATCH(CONCATENATE(Liste!$C$3,$B$569,$B$711),Data!$BO:$BO,0)-2,15),"Performance Level: "&amp;INDEX(Tab_DaBa[],MATCH(CONCATENATE(Liste!$C$3,$B$569,$B$711),Data!$BO:$BO,0)-2,20)),"")</f>
        <v>Performance Level: PL_Log01_03_06</v>
      </c>
      <c r="E716" s="36"/>
      <c r="F716" s="35" t="str">
        <f ca="1">IFERROR(IF(AND(INDEX(Tab_DaBa[],MATCH(CONCATENATE(Liste!$C$3,$B$569,$B$711),Data!$BO:$BO,0)-2,18)&lt;&gt;"",INDEX(Tab_DaBa[],MATCH(CONCATENATE(Liste!$C$3,$B$569,$B$711),Data!$BO:$BO,0)-2,23)=""),"Performance Level: "&amp;INDEX(Tab_DaBa[],MATCH(CONCATENATE(Liste!$C$3,$B$569,$B$711),Data!$BO:$BO,0)-2,15),IF(INDEX(Tab_DaBa[],MATCH(CONCATENATE(Liste!$C$3,$B$569,$B$711),Data!$BO:$BO,0)-2,23)&lt;&gt;"","Performance Level: "&amp;INDEX(Tab_DaBa[],MATCH(CONCATENATE(Liste!$C$3,$B$569,$B$711),Data!$BO:$BO,0)-2,25),"")),"")</f>
        <v>Performance Level: PL_Lo03_6</v>
      </c>
      <c r="G716" s="39"/>
      <c r="H716" s="35" t="str">
        <f ca="1">IFERROR(IF(AND(INDEX(Tab_DaBa[],MATCH(CONCATENATE(Liste!$C$3,$B$569,$B$711),Data!$BO:$BO,0)-2,23)&lt;&gt;"",INDEX(Tab_DaBa[],MATCH(CONCATENATE(Liste!$C$3,$B$569,$B$711),Data!$BO:$BO,0)-2,28)=""),"Performance Level: "&amp;INDEX(Tab_DaBa[],MATCH(CONCATENATE(Liste!$C$3,$B$569,$B$711),Data!$BO:$BO,0)-2,15),IF(INDEX(Tab_DaBa[],MATCH(CONCATENATE(Liste!$C$3,$B$569,$B$711),Data!$BO:$BO,0)-2,23)&lt;&gt;"","Performance Level: "&amp;INDEX(Tab_DaBa[],MATCH(CONCATENATE(Liste!$C$3,$B$569,$B$711),Data!$BO:$BO,0)-2,30),"")),"")</f>
        <v>Performance Level: PL_Lo03_6</v>
      </c>
      <c r="I716" s="38"/>
    </row>
    <row r="717" spans="2:9" s="16" customFormat="1" ht="15.75">
      <c r="B717" s="53" t="str">
        <f ca="1">IFERROR("PFH [1/h] = "&amp;10^9*INDEX(Tab_DaBa[],MATCH(CONCATENATE(Liste!$C$3,$B$569,$B$711),Data!$BO:$BO,0)-2,11)&amp;"E-9","")</f>
        <v>PFH [1/h] = 42,9E-9</v>
      </c>
      <c r="C717" s="54"/>
      <c r="D717" s="35" t="str">
        <f ca="1">IFERROR(IF(INDEX(Tab_DaBa[],MATCH(CONCATENATE(Liste!$C$3,$B$569,$B$711),Data!$BO:$BO,0)-2,18)="","PFH [1/h] = "&amp;10^9*INDEX(Tab_DaBa[],MATCH(CONCATENATE(Liste!$C$3,$B$569,$B$711),Data!$BO:$BO,0)-2,16)&amp;"E-9","PFH [1/h] = "&amp;10^9*INDEX(Tab_DaBa[],MATCH(CONCATENATE(Liste!$C$3,$B$569,$B$711),Data!$BO:$BO,0)-2,21)&amp;"E-9"),"")</f>
        <v>PFH [1/h] = 4,19E-9</v>
      </c>
      <c r="E717" s="36"/>
      <c r="F717" s="35" t="str">
        <f ca="1">IFERROR(IF(AND(INDEX(Tab_DaBa[],MATCH(CONCATENATE(Liste!$C$3,$B$569,$B$711),Data!$BO:$BO,0)-2,18)&lt;&gt;"",INDEX(Tab_DaBa[],MATCH(CONCATENATE(Liste!$C$3,$B$569,$B$711),Data!$BO:$BO,0)-2,23)=""),"PFH [1/h] = "&amp;10^9*INDEX(Tab_DaBa[],MATCH(CONCATENATE(Liste!$C$3,$B$569,$B$711),Data!$BO:$BO,0)-2,16)&amp;"E-9",IF(INDEX(Tab_DaBa[],MATCH(CONCATENATE(Liste!$C$3,$B$569,$B$711),Data!$BO:$BO,0)-2,23)&lt;&gt;"","PFH [1/h] = "&amp;10^9*INDEX(Tab_DaBa[],MATCH(CONCATENATE(Liste!$C$3,$B$569,$B$711),Data!$BO:$BO,0)-2,26)&amp;"E-9","")),"")</f>
        <v>PFH [1/h] = 4,19E-9</v>
      </c>
      <c r="G717" s="39"/>
      <c r="H717" s="35" t="str">
        <f ca="1">IFERROR(IF(AND(INDEX(Tab_DaBa[],MATCH(CONCATENATE(Liste!$C$3,$B$569,$B$711),Data!$BO:$BO,0)-2,23)&lt;&gt;"",INDEX(Tab_DaBa[],MATCH(CONCATENATE(Liste!$C$3,$B$569,$B$711),Data!$BO:$BO,0)-2,28)=""),"PFH [1/h] = "&amp;10^9*INDEX(Tab_DaBa[],MATCH(CONCATENATE(Liste!$C$3,$B$569,$B$711),Data!$BO:$BO,0)-2,16)&amp;"E-9",IF(INDEX(Tab_DaBa[],MATCH(CONCATENATE(Liste!$C$3,$B$569,$B$711),Data!$BO:$BO,0)-2,23)&lt;&gt;"","PFH [1/h] = "&amp;10^9*INDEX(Tab_DaBa[],MATCH(CONCATENATE(Liste!$C$3,$B$569,$B$711),Data!$BO:$BO,0)-2,31)&amp;"E-9","")),"")</f>
        <v>PFH [1/h] = 4,19E-9</v>
      </c>
      <c r="I717" s="39"/>
    </row>
    <row r="718" spans="2:9" s="16" customFormat="1">
      <c r="B718" s="33"/>
      <c r="C718" s="34"/>
      <c r="D718" s="33"/>
      <c r="E718" s="33"/>
      <c r="F718" s="33"/>
      <c r="G718" s="33"/>
      <c r="H718" s="33"/>
      <c r="I718" s="33"/>
    </row>
    <row r="719" spans="2:9" s="16" customFormat="1" ht="15.75">
      <c r="B719" s="38">
        <f ca="1">IF(B721="","",6)</f>
        <v>6</v>
      </c>
      <c r="C719" s="34"/>
      <c r="D719" s="38">
        <f ca="1">IF(B721="","",3)</f>
        <v>3</v>
      </c>
      <c r="E719" s="33"/>
      <c r="F719" s="38">
        <f ca="1">IF(B721="","",3)</f>
        <v>3</v>
      </c>
      <c r="G719" s="33"/>
      <c r="H719" s="38">
        <f ca="1">IF(B721="","",3)</f>
        <v>3</v>
      </c>
      <c r="I719" s="33"/>
    </row>
    <row r="720" spans="2:9" s="16" customFormat="1" ht="15.75">
      <c r="B720" s="39"/>
      <c r="C720" s="33"/>
      <c r="D720" s="33"/>
      <c r="E720" s="33"/>
      <c r="F720" s="33"/>
      <c r="G720" s="33"/>
      <c r="H720" s="33"/>
      <c r="I720" s="33"/>
    </row>
    <row r="721" spans="2:9" s="16" customFormat="1" ht="15.75">
      <c r="B721" s="35" t="str">
        <f ca="1">IFERROR(IF(AND(INDEX(Tab_DaBa[],MATCH(CONCATENATE(Liste!$C$3,$B$569,$B$711),Data!$BO:$BO,0)-2,28)&lt;&gt;"",INDEX(Tab_DaBa[],MATCH(CONCATENATE(Liste!$C$3,$B$569,$B$711),Data!$BO:$BO,0)-2,33)=0),INDEX(Tab_DaBa[],MATCH(CONCATENATE(Liste!$C$3,$B$569,$B$711),Data!$BO:$BO,0)-2,14),IF(INDEX(Tab_DaBa[],MATCH(CONCATENATE(Liste!$C$3,$B$569,$B$711),Data!$BO:$BO,0)-2,28)&lt;&gt;"",INDEX(Tab_DaBa[],MATCH(CONCATENATE(Liste!$C$3,$B$569,$B$711),Data!$BO:$BO,0)-2,34),"")),"")</f>
        <v>Logik 04</v>
      </c>
      <c r="C721" s="39"/>
      <c r="D721" s="35" t="str">
        <f ca="1">IFERROR(IF(AND(INDEX(Tab_DaBa[],MATCH(CONCATENATE(Liste!$C$3,$B$569,$B$711),Data!$BO:$BO,0)-2,33)&lt;&gt;"",INDEX(Tab_DaBa[],MATCH(CONCATENATE(Liste!$C$3,$B$569,$B$711),Data!$BO:$BO,0)-2,38)=0),INDEX(Tab_DaBa[],MATCH(CONCATENATE(Liste!$C$3,$B$569,$B$711),Data!$BO:$BO,0)-2,14),IF(INDEX(Tab_DaBa[],MATCH(CONCATENATE(Liste!$C$3,$B$569,$B$711),Data!$BO:$BO,0)-2,33)&lt;&gt;"",INDEX(Tab_DaBa[],MATCH(CONCATENATE(Liste!$C$3,$B$569,$B$711),Data!$BO:$BO,0)-2,39),"")),"")</f>
        <v>Logik 05</v>
      </c>
      <c r="E721" s="33"/>
      <c r="F721" s="35" t="str">
        <f ca="1">IFERROR(IF(AND(INDEX(Tab_DaBa[],MATCH(CONCATENATE(Liste!$C$3,$B$569,$B$711),Data!$BO:$BO,0)-2,38)&lt;&gt;"",INDEX(Tab_DaBa[],MATCH(CONCATENATE(Liste!$C$3,$B$569,$B$711),Data!$BO:$BO,0)-2,43)=0),INDEX(Tab_DaBa[],MATCH(CONCATENATE(Liste!$C$3,$B$569,$B$711),Data!$BO:$BO,0)-2,14),IF(INDEX(Tab_DaBa[],MATCH(CONCATENATE(Liste!$C$3,$B$569,$B$711),Data!$BO:$BO,0)-2,38)&lt;&gt;"",INDEX(Tab_DaBa[],MATCH(CONCATENATE(Liste!$C$3,$B$569,$B$711),Data!$BO:$BO,0)-2,44),"")),"")</f>
        <v>Logik 06</v>
      </c>
      <c r="G721" s="39"/>
      <c r="H721" s="35" t="str">
        <f ca="1">IFERROR(IF(AND(INDEX(Tab_DaBa[],MATCH(CONCATENATE(Liste!$C$3,$B$569,$B$711),Data!$BO:$BO,0)-2,43)&lt;&gt;"",INDEX(Tab_DaBa[],MATCH(CONCATENATE(Liste!$C$3,$B$569,$B$711),Data!$BO:$BO,0)-2,48)=0),INDEX(Tab_DaBa[],MATCH(CONCATENATE(Liste!$C$3,$B$569,$B$711),Data!$BO:$BO,0)-2,14),IF(INDEX(Tab_DaBa[],MATCH(CONCATENATE(Liste!$C$3,$B$569,$B$711),Data!$BO:$BO,0)-2,43)&lt;&gt;"",INDEX(Tab_DaBa[],MATCH(CONCATENATE(Liste!$C$3,$B$569,$B$711),Data!$BO:$BO,0)-2,49),"")),"")</f>
        <v>Ausgang</v>
      </c>
      <c r="I721" s="39"/>
    </row>
    <row r="722" spans="2:9" s="16" customFormat="1" ht="15.75">
      <c r="B722" s="35" t="str">
        <f ca="1">IFERROR(IF(AND(INDEX(Tab_DaBa[],MATCH(CONCATENATE(Liste!$C$3,$B$569,$B$711),Data!$BO:$BO,0)-2,28)&lt;&gt;"",INDEX(Tab_DaBa[],MATCH(CONCATENATE(Liste!$C$3,$B$569,$B$711),Data!$BO:$BO,0)-2,33)=0),INDEX(Tab_DaBa[],MATCH(CONCATENATE(Liste!$C$3,$B$569,$B$711),Data!$BO:$BO,0)-2,12),IF(INDEX(Tab_DaBa[],MATCH(CONCATENATE(Liste!$C$3,$B$569,$B$711),Data!$BO:$BO,0)-2,28)&lt;&gt;"",INDEX(Tab_DaBa[],MATCH(CONCATENATE(Liste!$C$3,$B$569,$B$711),Data!$BO:$BO,0)-2,32),"")),"")</f>
        <v>Lo03-33_06</v>
      </c>
      <c r="C722" s="39"/>
      <c r="D722" s="35" t="str">
        <f ca="1">IFERROR(IF(AND(INDEX(Tab_DaBa[],MATCH(CONCATENATE(Liste!$C$3,$B$569,$B$711),Data!$BO:$BO,0)-2,33)&lt;&gt;"",INDEX(Tab_DaBa[],MATCH(CONCATENATE(Liste!$C$3,$B$569,$B$711),Data!$BO:$BO,0)-2,38)=0),INDEX(Tab_DaBa[],MATCH(CONCATENATE(Liste!$C$3,$B$569,$B$711),Data!$BO:$BO,0)-2,12),IF(INDEX(Tab_DaBa[],MATCH(CONCATENATE(Liste!$C$3,$B$569,$B$711),Data!$BO:$BO,0)-2,33)&lt;&gt;"",INDEX(Tab_DaBa[],MATCH(CONCATENATE(Liste!$C$3,$B$569,$B$711),Data!$BO:$BO,0)-2,37),"")),"")</f>
        <v>Lo03-33_06</v>
      </c>
      <c r="E722" s="37"/>
      <c r="F722" s="35" t="str">
        <f ca="1">IFERROR(IF(AND(INDEX(Tab_DaBa[],MATCH(CONCATENATE(Liste!$C$3,$B$569,$B$711),Data!$BO:$BO,0)-2,38)&lt;&gt;"",INDEX(Tab_DaBa[],MATCH(CONCATENATE(Liste!$C$3,$B$569,$B$711),Data!$BO:$BO,0)-2,43)=0),INDEX(Tab_DaBa[],MATCH(CONCATENATE(Liste!$C$3,$B$569,$B$711),Data!$BO:$BO,0)-2,12),IF(INDEX(Tab_DaBa[],MATCH(CONCATENATE(Liste!$C$3,$B$569,$B$711),Data!$BO:$BO,0)-2,38)&lt;&gt;"",INDEX(Tab_DaBa[],MATCH(CONCATENATE(Liste!$C$3,$B$569,$B$711),Data!$BO:$BO,0)-2,42),"")),"")</f>
        <v>Lo03-33_06</v>
      </c>
      <c r="G722" s="39"/>
      <c r="H722" s="35" t="str">
        <f ca="1">IFERROR(IF(AND(INDEX(Tab_DaBa[],MATCH(CONCATENATE(Liste!$C$3,$B$569,$B$711),Data!$BO:$BO,0)-2,43)&lt;&gt;"",INDEX(Tab_DaBa[],MATCH(CONCATENATE(Liste!$C$3,$B$569,$B$711),Data!$BO:$BO,0)-2,48)=0),INDEX(Tab_DaBa[],MATCH(CONCATENATE(Liste!$C$3,$B$569,$B$711),Data!$BO:$BO,0)-2,12),IF(INDEX(Tab_DaBa[],MATCH(CONCATENATE(Liste!$C$3,$B$569,$B$711),Data!$BO:$BO,0)-2,43)&lt;&gt;"",INDEX(Tab_DaBa[],MATCH(CONCATENATE(Liste!$C$3,$B$569,$B$711),Data!$BO:$BO,0)-2,47),"")),"")</f>
        <v>aaaa-33_6</v>
      </c>
      <c r="I722" s="39"/>
    </row>
    <row r="723" spans="2:9" s="16" customFormat="1" ht="15.75">
      <c r="B723" s="35" t="str">
        <f ca="1">IFERROR(IF(AND(INDEX(Tab_DaBa[],MATCH(CONCATENATE(Liste!$C$3,$B$569,$B$711),Data!$BO:$BO,0)-2,28)&lt;&gt;"",INDEX(Tab_DaBa[],MATCH(CONCATENATE(Liste!$C$3,$B$569,$B$711),Data!$BO:$BO,0)-2,33)=""),INDEX(Tab_DaBa[],MATCH(CONCATENATE(Liste!$C$3,$B$569,$B$711),Data!$BO:$BO,0)-2,13),IF(INDEX(Tab_DaBa[],MATCH(CONCATENATE(Liste!$C$3,$B$569,$B$711),Data!$BO:$BO,0)-2,28)&lt;&gt;"",INDEX(Tab_DaBa[],MATCH(CONCATENATE(Liste!$C$3,$B$569,$B$711),Data!$BO:$BO,0)-2,33),"")),"")</f>
        <v>Bez_Lo03_06</v>
      </c>
      <c r="C723" s="38">
        <f ca="1">IF(D721="","",4)</f>
        <v>4</v>
      </c>
      <c r="D723" s="35" t="str">
        <f ca="1">IFERROR(IF(AND(INDEX(Tab_DaBa[],MATCH(CONCATENATE(Liste!$C$3,$B$569,$B$711),Data!$BO:$BO,0)-2,33)&lt;&gt;"",INDEX(Tab_DaBa[],MATCH(CONCATENATE(Liste!$C$3,$B$569,$B$711),Data!$BO:$BO,0)-2,38)=""),INDEX(Tab_DaBa[],MATCH(CONCATENATE(Liste!$C$3,$B$569,$B$711),Data!$BO:$BO,0)-2,13),IF(INDEX(Tab_DaBa[],MATCH(CONCATENATE(Liste!$C$3,$B$569,$B$711),Data!$BO:$BO,0)-2,33)&lt;&gt;"",INDEX(Tab_DaBa[],MATCH(CONCATENATE(Liste!$C$3,$B$569,$B$711),Data!$BO:$BO,0)-2,38),"")),"")</f>
        <v>Bez_Lo03_06</v>
      </c>
      <c r="E723" s="38">
        <f ca="1">IF(F721="","",4)</f>
        <v>4</v>
      </c>
      <c r="F723" s="35" t="str">
        <f ca="1">IFERROR(IF(AND(INDEX(Tab_DaBa[],MATCH(CONCATENATE(Liste!$C$3,$B$569,$B$711),Data!$BO:$BO,0)-2,38)&lt;&gt;"",INDEX(Tab_DaBa[],MATCH(CONCATENATE(Liste!$C$3,$B$569,$B$711),Data!$BO:$BO,0)-2,43)=""),INDEX(Tab_DaBa[],MATCH(CONCATENATE(Liste!$C$3,$B$569,$B$711),Data!$BO:$BO,0)-2,13),IF(INDEX(Tab_DaBa[],MATCH(CONCATENATE(Liste!$C$3,$B$569,$B$711),Data!$BO:$BO,0)-2,38)&lt;&gt;"",INDEX(Tab_DaBa[],MATCH(CONCATENATE(Liste!$C$3,$B$569,$B$711),Data!$BO:$BO,0)-2,43),"")),"")</f>
        <v>Bez_Lo03_06</v>
      </c>
      <c r="G723" s="38">
        <f ca="1">IF(H721="","",4)</f>
        <v>4</v>
      </c>
      <c r="H723" s="35" t="str">
        <f ca="1">IFERROR(IF(AND(INDEX(Tab_DaBa[],MATCH(CONCATENATE(Liste!$C$3,$B$569,$B$711),Data!$BO:$BO,0)-2,43)&lt;&gt;"",INDEX(Tab_DaBa[],MATCH(CONCATENATE(Liste!$C$3,$B$569,$B$711),Data!$BO:$BO,0)-2,48)=""),INDEX(Tab_DaBa[],MATCH(CONCATENATE(Liste!$C$3,$B$569,$B$711),Data!$BO:$BO,0)-2,13),IF(INDEX(Tab_DaBa[],MATCH(CONCATENATE(Liste!$C$3,$B$569,$B$711),Data!$BO:$BO,0)-2,43)&lt;&gt;"",INDEX(Tab_DaBa[],MATCH(CONCATENATE(Liste!$C$3,$B$569,$B$711),Data!$BO:$BO,0)-2,48),"")),"")</f>
        <v>Bez_Aus3_6</v>
      </c>
      <c r="I723" s="38" t="str">
        <f ca="1">IF(B729="","",6)</f>
        <v/>
      </c>
    </row>
    <row r="724" spans="2:9" s="16" customFormat="1" ht="15.75">
      <c r="B724" s="35" t="str">
        <f ca="1">IFERROR(IF(AND(INDEX(Tab_DaBa[],MATCH(CONCATENATE(Liste!$C$3,$B$569,$B$711),Data!$BO:$BO,0)-2,28)&lt;&gt;"",INDEX(Tab_DaBa[],MATCH(CONCATENATE(Liste!$C$3,$B$569,$B$711),Data!$BO:$BO,0)-2,33)=""),"Performance Level: "&amp;INDEX(Tab_DaBa[],MATCH(CONCATENATE(Liste!$C$3,$B$569,$B$711),Data!$BO:$BO,0)-2,15),IF(INDEX(Tab_DaBa[],MATCH(CONCATENATE(Liste!$C$3,$B$569,$B$711),Data!$BO:$BO,0)-2,28)&lt;&gt;"","Performance Level: "&amp;INDEX(Tab_DaBa[],MATCH(CONCATENATE(Liste!$C$3,$B$569,$B$711),Data!$BO:$BO,0)-2,35),"")),"")</f>
        <v>Performance Level: PL_Lo03_06</v>
      </c>
      <c r="C724" s="39"/>
      <c r="D724" s="35" t="str">
        <f ca="1">IFERROR(IF(AND(INDEX(Tab_DaBa[],MATCH(CONCATENATE(Liste!$C$3,$B$569,$B$711),Data!$BO:$BO,0)-2,33)&lt;&gt;"",INDEX(Tab_DaBa[],MATCH(CONCATENATE(Liste!$C$3,$B$569,$B$711),Data!$BO:$BO,0)-2,38)=""),"Performance Level: "&amp;INDEX(Tab_DaBa[],MATCH(CONCATENATE(Liste!$C$3,$B$569,$B$711),Data!$BO:$BO,0)-2,15),IF(INDEX(Tab_DaBa[],MATCH(CONCATENATE(Liste!$C$3,$B$569,$B$711),Data!$BO:$BO,0)-2,33)&lt;&gt;"","Performance Level: "&amp;INDEX(Tab_DaBa[],MATCH(CONCATENATE(Liste!$C$3,$B$569,$B$711),Data!$BO:$BO,0)-2,40),"")),"")</f>
        <v>Performance Level: PL_Lo03_6</v>
      </c>
      <c r="E724" s="37"/>
      <c r="F724" s="35" t="str">
        <f ca="1">IFERROR(IF(AND(INDEX(Tab_DaBa[],MATCH(CONCATENATE(Liste!$C$3,$B$569,$B$711),Data!$BO:$BO,0)-2,38)&lt;&gt;"",INDEX(Tab_DaBa[],MATCH(CONCATENATE(Liste!$C$3,$B$569,$B$711),Data!$BO:$BO,0)-2,43)=""),"Performance Level: "&amp;INDEX(Tab_DaBa[],MATCH(CONCATENATE(Liste!$C$3,$B$569,$B$711),Data!$BO:$BO,0)-2,15),IF(INDEX(Tab_DaBa[],MATCH(CONCATENATE(Liste!$C$3,$B$569,$B$711),Data!$BO:$BO,0)-2,38)&lt;&gt;"","Performance Level: "&amp;INDEX(Tab_DaBa[],MATCH(CONCATENATE(Liste!$C$3,$B$569,$B$711),Data!$BO:$BO,0)-2,45),"")),"")</f>
        <v>Performance Level: PL_Lo03_06</v>
      </c>
      <c r="G724" s="39"/>
      <c r="H724" s="35" t="str">
        <f ca="1">IFERROR(IF(AND(INDEX(Tab_DaBa[],MATCH(CONCATENATE(Liste!$C$3,$B$569,$B$711),Data!$BO:$BO,0)-2,43)&lt;&gt;"",INDEX(Tab_DaBa[],MATCH(CONCATENATE(Liste!$C$3,$B$569,$B$711),Data!$BO:$BO,0)-2,48)=""),"Performance Level: "&amp;INDEX(Tab_DaBa[],MATCH(CONCATENATE(Liste!$C$3,$B$569,$B$711),Data!$BO:$BO,0)-2,15),IF(INDEX(Tab_DaBa[],MATCH(CONCATENATE(Liste!$C$3,$B$569,$B$711),Data!$BO:$BO,0)-2,43)&lt;&gt;"","Performance Level: "&amp;INDEX(Tab_DaBa[],MATCH(CONCATENATE(Liste!$C$3,$B$569,$B$711),Data!$BO:$BO,0)-2,50),"")),"")</f>
        <v>Performance Level: PL_Aus3_6</v>
      </c>
      <c r="I724" s="39"/>
    </row>
    <row r="725" spans="2:9" s="16" customFormat="1" ht="15.75">
      <c r="B725" s="35" t="str">
        <f ca="1">IFERROR(IF(AND(INDEX(Tab_DaBa[],MATCH(CONCATENATE(Liste!$C$3,$B$569,$B$711),Data!$BO:$BO,0)-2,28)&lt;&gt;"",INDEX(Tab_DaBa[],MATCH(CONCATENATE(Liste!$C$3,$B$569,$B$711),Data!$BO:$BO,0)-2,33)=""),"PFH [1/h] = "&amp;10^9*INDEX(Tab_DaBa[],MATCH(CONCATENATE(Liste!$C$3,$B$569,$B$711),Data!$BO:$BO,0)-2,16)&amp;"E-9",IF(INDEX(Tab_DaBa[],MATCH(CONCATENATE(Liste!$C$3,$B$569,$B$711),Data!$BO:$BO,0)-2,28)&lt;&gt;"","PFH [1/h] = "&amp;10^9*INDEX(Tab_DaBa[],MATCH(CONCATENATE(Liste!$C$3,$B$569,$B$711),Data!$BO:$BO,0)-2,36)&amp;"E-9","")),"")</f>
        <v>PFH [1/h] = 4,19E-9</v>
      </c>
      <c r="C725" s="39"/>
      <c r="D725" s="35" t="str">
        <f ca="1">IFERROR(IF(AND(INDEX(Tab_DaBa[],MATCH(CONCATENATE(Liste!$C$3,$B$569,$B$711),Data!$BO:$BO,0)-2,33)&lt;&gt;"",INDEX(Tab_DaBa[],MATCH(CONCATENATE(Liste!$C$3,$B$569,$B$711),Data!$BO:$BO,0)-2,38)=""),"PFH [1/h] = "&amp;10^9*INDEX(Tab_DaBa[],MATCH(CONCATENATE(Liste!$C$3,$B$569,$B$711),Data!$BO:$BO,0)-2,16)&amp;"E-9",IF(INDEX(Tab_DaBa[],MATCH(CONCATENATE(Liste!$C$3,$B$569,$B$711),Data!$BO:$BO,0)-2,33)&lt;&gt;"","PFH [1/h] = "&amp;10^9*INDEX(Tab_DaBa[],MATCH(CONCATENATE(Liste!$C$3,$B$569,$B$711),Data!$BO:$BO,0)-2,41)&amp;"E-9","")),"")</f>
        <v>PFH [1/h] = 4,19E-9</v>
      </c>
      <c r="E725" s="37"/>
      <c r="F725" s="35" t="str">
        <f ca="1">IFERROR(IF(AND(INDEX(Tab_DaBa[],MATCH(CONCATENATE(Liste!$C$3,$B$569,$B$711),Data!$BO:$BO,0)-2,38)&lt;&gt;"",INDEX(Tab_DaBa[],MATCH(CONCATENATE(Liste!$C$3,$B$569,$B$711),Data!$BO:$BO,0)-2,43)=""),"PFH [1/h] = "&amp;10^9*INDEX(Tab_DaBa[],MATCH(CONCATENATE(Liste!$C$3,$B$569,$B$711),Data!$BO:$BO,0)-2,16)&amp;"E-9",IF(INDEX(Tab_DaBa[],MATCH(CONCATENATE(Liste!$C$3,$B$569,$B$711),Data!$BO:$BO,0)-2,38)&lt;&gt;"","PFH [1/h] = "&amp;10^9*INDEX(Tab_DaBa[],MATCH(CONCATENATE(Liste!$C$3,$B$569,$B$711),Data!$BO:$BO,0)-2,46)&amp;"E-9","")),"")</f>
        <v>PFH [1/h] = 4,19E-9</v>
      </c>
      <c r="G725" s="39"/>
      <c r="H725" s="35" t="str">
        <f ca="1">IFERROR(IF(AND(INDEX(Tab_DaBa[],MATCH(CONCATENATE(Liste!$C$3,$B$569,$B$711),Data!$BO:$BO,0)-2,43)&lt;&gt;"",INDEX(Tab_DaBa[],MATCH(CONCATENATE(Liste!$C$3,$B$569,$B$711),Data!$BO:$BO,0)-2,48)=""),"PFH [1/h] = "&amp;10^9*INDEX(Tab_DaBa[],MATCH(CONCATENATE(Liste!$C$3,$B$569,$B$711),Data!$BO:$BO,0)-2,16)&amp;"E-9",IF(INDEX(Tab_DaBa[],MATCH(CONCATENATE(Liste!$C$3,$B$569,$B$711),Data!$BO:$BO,0)-2,43)&lt;&gt;"","PFH [1/h] = "&amp;10^9*INDEX(Tab_DaBa[],MATCH(CONCATENATE(Liste!$C$3,$B$569,$B$711),Data!$BO:$BO,0)-2,51)&amp;"E-9","")),"")</f>
        <v>PFH [1/h] = 24,7E-9</v>
      </c>
      <c r="I725" s="39"/>
    </row>
    <row r="726" spans="2:9" s="16" customFormat="1">
      <c r="B726" s="33"/>
      <c r="C726" s="33"/>
      <c r="D726" s="33"/>
      <c r="E726" s="33"/>
      <c r="F726" s="33"/>
      <c r="G726" s="33"/>
      <c r="H726" s="33"/>
      <c r="I726" s="33"/>
    </row>
    <row r="727" spans="2:9" s="16" customFormat="1" ht="15.75">
      <c r="B727" s="38" t="str">
        <f ca="1">IF(B729="","",6)</f>
        <v/>
      </c>
      <c r="C727" s="33"/>
      <c r="D727" s="38" t="str">
        <f ca="1">IF(B729="","",3)</f>
        <v/>
      </c>
      <c r="E727" s="33"/>
      <c r="F727" s="38" t="str">
        <f ca="1">IF(B729="","",3)</f>
        <v/>
      </c>
      <c r="G727" s="33"/>
      <c r="H727" s="38" t="str">
        <f ca="1">IF(B729="","",3)</f>
        <v/>
      </c>
      <c r="I727" s="33"/>
    </row>
    <row r="728" spans="2:9" s="16" customFormat="1" ht="15.75">
      <c r="B728" s="39"/>
      <c r="C728" s="33"/>
      <c r="D728" s="33"/>
      <c r="E728" s="33"/>
      <c r="F728" s="33"/>
      <c r="G728" s="33"/>
      <c r="H728" s="33"/>
      <c r="I728" s="33"/>
    </row>
    <row r="729" spans="2:9" s="16" customFormat="1" ht="15.75">
      <c r="B729" s="35" t="str">
        <f ca="1">IFERROR(IF(AND(INDEX(Tab_DaBa[],MATCH(CONCATENATE(Liste!$C$3,$B$569,$B$711),Data!$BO:$BO,0)-2,48)&lt;&gt;"",INDEX(Tab_DaBa[],MATCH(CONCATENATE(Liste!$C$3,$B$569,$B$711),Data!$BO:$BO,0)-2,53)=0),INDEX(Tab_DaBa[],MATCH(CONCATENATE(Liste!$C$3,$B$569,$B$711),Data!$BO:$BO,0)-2,14),IF(INDEX(Tab_DaBa[],MATCH(CONCATENATE(Liste!$C$3,$B$569,$B$711),Data!$BO:$BO,0)-2,48)&lt;&gt;"",INDEX(Tab_DaBa[],MATCH(CONCATENATE(Liste!$C$3,$B$569,$B$711),Data!$BO:$BO,0)-2,54),"")),"")</f>
        <v/>
      </c>
      <c r="C729" s="39"/>
      <c r="D729" s="35" t="str">
        <f ca="1">IFERROR(IF(AND(INDEX(Tab_DaBa[],MATCH(CONCATENATE(Liste!$C$3,$B$569,$B$711),Data!$BO:$BO,0)-2,53)&lt;&gt;"",INDEX(Tab_DaBa[],MATCH(CONCATENATE(Liste!$C$3,$B$569,$B$711),Data!$BO:$BO,0)-2,58)=0),INDEX(Tab_DaBa[],MATCH(CONCATENATE(Liste!$C$3,$B$569,$B$711),Data!$BO:$BO,0)-2,14),IF(INDEX(Tab_DaBa[],MATCH(CONCATENATE(Liste!$C$3,$B$569,$B$711),Data!$BO:$BO,0)-2,53)&lt;&gt;"",INDEX(Tab_DaBa[],MATCH(CONCATENATE(Liste!$C$3,$B$569,$B$711),Data!$BO:$BO,0)-2,59),"")),"")</f>
        <v/>
      </c>
      <c r="E729" s="33"/>
      <c r="F729" s="35" t="str">
        <f ca="1">IFERROR(IF(AND(INDEX(Tab_DaBa[],MATCH(CONCATENATE(Liste!$C$3,$B$569,$B$711),Data!$BO:$BO,0)-2,58)&lt;&gt;"",INDEX(Tab_DaBa[],MATCH(CONCATENATE(Liste!$C$3,$B$569,$B$711),Data!$BO:$BO,0)-2,63)=0),INDEX(Tab_DaBa[],MATCH(CONCATENATE(Liste!$C$3,$B$569,$B$711),Data!$BO:$BO,0)-2,14),IF(INDEX(Tab_DaBa[],MATCH(CONCATENATE(Liste!$C$3,$B$569,$B$711),Data!$BO:$BO,0)-2,58)&lt;&gt;"",INDEX(Tab_DaBa[],MATCH(CONCATENATE(Liste!$C$3,$B$569,$B$711),Data!$BO:$BO,0)-2,64),"")),"")</f>
        <v/>
      </c>
      <c r="G729" s="39"/>
      <c r="H729" s="35" t="str">
        <f ca="1">IFERROR(IF(INDEX(Tab_DaBa[],MATCH(CONCATENATE(Liste!$C$3,$B$569,$B$711),Data!$BO:$BO,0)-2,63)&lt;&gt;"",INDEX(Tab_DaBa[],MATCH(CONCATENATE(Liste!$C$3,$B$569,$B$711),Data!$BO:$BO,0)-2,14),""),"")</f>
        <v/>
      </c>
    </row>
    <row r="730" spans="2:9" s="16" customFormat="1" ht="15.75">
      <c r="B730" s="35" t="str">
        <f ca="1">IFERROR(IF(AND(INDEX(Tab_DaBa[],MATCH(CONCATENATE(Liste!$C$3,$B$569,$B$711),Data!$BO:$BO,0)-2,48)&lt;&gt;"",INDEX(Tab_DaBa[],MATCH(CONCATENATE(Liste!$C$3,$B$569,$B$711),Data!$BO:$BO,0)-2,53)=0),INDEX(Tab_DaBa[],MATCH(CONCATENATE(Liste!$C$3,$B$569,$B$711),Data!$BO:$BO,0)-2,12),IF(INDEX(Tab_DaBa[],MATCH(CONCATENATE(Liste!$C$3,$B$569,$B$711),Data!$BO:$BO,0)-2,48)&lt;&gt;"",INDEX(Tab_DaBa[],MATCH(CONCATENATE(Liste!$C$3,$B$569,$B$711),Data!$BO:$BO,0)-2,52),"")),"")</f>
        <v/>
      </c>
      <c r="C730" s="39"/>
      <c r="D730" s="35" t="str">
        <f ca="1">IFERROR(IF(AND(INDEX(Tab_DaBa[],MATCH(CONCATENATE(Liste!$C$3,$B$569,$B$711),Data!$BO:$BO,0)-2,53)&lt;&gt;"",INDEX(Tab_DaBa[],MATCH(CONCATENATE(Liste!$C$3,$B$569,$B$711),Data!$BO:$BO,0)-2,58)=0),INDEX(Tab_DaBa[],MATCH(CONCATENATE(Liste!$C$3,$B$569,$B$711),Data!$BO:$BO,0)-2,12),IF(INDEX(Tab_DaBa[],MATCH(CONCATENATE(Liste!$C$3,$B$569,$B$711),Data!$BO:$BO,0)-2,53)&lt;&gt;"",INDEX(Tab_DaBa[],MATCH(CONCATENATE(Liste!$C$3,$B$569,$B$711),Data!$BO:$BO,0)-2,57),"")),"")</f>
        <v/>
      </c>
      <c r="E730" s="37"/>
      <c r="F730" s="35" t="str">
        <f ca="1">IFERROR(IF(AND(INDEX(Tab_DaBa[],MATCH(CONCATENATE(Liste!$C$3,$B$569,$B$711),Data!$BO:$BO,0)-2,58)&lt;&gt;"",INDEX(Tab_DaBa[],MATCH(CONCATENATE(Liste!$C$3,$B$569,$B$711),Data!$BO:$BO,0)-2,63)=0),INDEX(Tab_DaBa[],MATCH(CONCATENATE(Liste!$C$3,$B$569,$B$711),Data!$BO:$BO,0)-2,12),IF(INDEX(Tab_DaBa[],MATCH(CONCATENATE(Liste!$C$3,$B$569,$B$711),Data!$BO:$BO,0)-2,58)&lt;&gt;"",INDEX(Tab_DaBa[],MATCH(CONCATENATE(Liste!$C$3,$B$569,$B$711),Data!$BO:$BO,0)-2,62),"")),"")</f>
        <v/>
      </c>
      <c r="G730" s="39"/>
      <c r="H730" s="35" t="str">
        <f ca="1">IFERROR(IF(INDEX(Tab_DaBa[],MATCH(CONCATENATE(Liste!$C$3,$B$569,$B$711),Data!$BO:$BO,0)-2,63)&lt;&gt;"",INDEX(Tab_DaBa[],MATCH(CONCATENATE(Liste!$C$3,$B$569,$B$711),Data!$BO:$BO,0)-2,12),""),"")</f>
        <v/>
      </c>
    </row>
    <row r="731" spans="2:9" s="16" customFormat="1" ht="15.75">
      <c r="B731" s="35" t="str">
        <f ca="1">IFERROR(IF(AND(INDEX(Tab_DaBa[],MATCH(CONCATENATE(Liste!$C$3,$B$569,$B$711),Data!$BO:$BO,0)-2,48)&lt;&gt;"",INDEX(Tab_DaBa[],MATCH(CONCATENATE(Liste!$C$3,$B$569,$B$711),Data!$BO:$BO,0)-2,53)=""),INDEX(Tab_DaBa[],MATCH(CONCATENATE(Liste!$C$3,$B$569,$B$711),Data!$BO:$BO,0)-2,13),IF(INDEX(Tab_DaBa[],MATCH(CONCATENATE(Liste!$C$3,$B$569,$B$711),Data!$BO:$BO,0)-2,48)&lt;&gt;"",INDEX(Tab_DaBa[],MATCH(CONCATENATE(Liste!$C$3,$B$569,$B$711),Data!$BO:$BO,0)-2,53),"")),"")</f>
        <v/>
      </c>
      <c r="C731" s="38" t="str">
        <f ca="1">IF(D729="","",4)</f>
        <v/>
      </c>
      <c r="D731" s="35" t="str">
        <f ca="1">IFERROR(IF(AND(INDEX(Tab_DaBa[],MATCH(CONCATENATE(Liste!$C$3,$B$569,$B$711),Data!$BO:$BO,0)-2,53)&lt;&gt;"",INDEX(Tab_DaBa[],MATCH(CONCATENATE(Liste!$C$3,$B$569,$B$711),Data!$BO:$BO,0)-2,58)=""),INDEX(Tab_DaBa[],MATCH(CONCATENATE(Liste!$C$3,$B$569,$B$711),Data!$BO:$BO,0)-2,13),IF(INDEX(Tab_DaBa[],MATCH(CONCATENATE(Liste!$C$3,$B$569,$B$711),Data!$BO:$BO,0)-2,53)&lt;&gt;"",INDEX(Tab_DaBa[],MATCH(CONCATENATE(Liste!$C$3,$B$569,$B$711),Data!$BO:$BO,0)-2,58),"")),"")</f>
        <v/>
      </c>
      <c r="E731" s="38" t="str">
        <f ca="1">IF(F729="","",4)</f>
        <v/>
      </c>
      <c r="F731" s="35" t="str">
        <f ca="1">IFERROR(IF(AND(INDEX(Tab_DaBa[],MATCH(CONCATENATE(Liste!$C$3,$B$569,$B$711),Data!$BO:$BO,0)-2,58)&lt;&gt;"",INDEX(Tab_DaBa[],MATCH(CONCATENATE(Liste!$C$3,$B$569,$B$711),Data!$BO:$BO,0)-2,63)=""),INDEX(Tab_DaBa[],MATCH(CONCATENATE(Liste!$C$3,$B$569,$B$711),Data!$BO:$BO,0)-2,13),IF(INDEX(Tab_DaBa[],MATCH(CONCATENATE(Liste!$C$3,$B$569,$B$711),Data!$BO:$BO,0)-2,58)&lt;&gt;"",INDEX(Tab_DaBa[],MATCH(CONCATENATE(Liste!$C$3,$B$569,$B$711),Data!$BO:$BO,0)-2,63),"")),"")</f>
        <v/>
      </c>
      <c r="G731" s="38" t="str">
        <f ca="1">IF(H729="","",4)</f>
        <v/>
      </c>
      <c r="H731" s="35" t="str">
        <f ca="1">IFERROR(IF(INDEX(Tab_DaBa[],MATCH(CONCATENATE(Liste!$C$3,$B$569,$B$711),Data!$BO:$BO,0)-2,63)&lt;&gt;"",INDEX(Tab_DaBa[],MATCH(CONCATENATE(Liste!$C$3,$B$569,$B$711),Data!$BO:$BO,0)-2,13),""),"")</f>
        <v/>
      </c>
    </row>
    <row r="732" spans="2:9" s="16" customFormat="1" ht="15.75">
      <c r="B732" s="35" t="str">
        <f ca="1">IFERROR(IF(AND(INDEX(Tab_DaBa[],MATCH(CONCATENATE(Liste!$C$3,$B$569,$B$711),Data!$BO:$BO,0)-2,48)&lt;&gt;"",INDEX(Tab_DaBa[],MATCH(CONCATENATE(Liste!$C$3,$B$569,$B$711),Data!$BO:$BO,0)-2,53)=""),"Performance Level: "&amp;INDEX(Tab_DaBa[],MATCH(CONCATENATE(Liste!$C$3,$B$569,$B$711),Data!$BO:$BO,0)-2,15),IF(INDEX(Tab_DaBa[],MATCH(CONCATENATE(Liste!$C$3,$B$569,$B$711),Data!$BO:$BO,0)-2,48)&lt;&gt;"","Performance Level: "&amp;INDEX(Tab_DaBa[],MATCH(CONCATENATE(Liste!$C$3,$B$569,$B$711),Data!$BO:$BO,0)-2,55),"")),"")</f>
        <v/>
      </c>
      <c r="C732" s="39"/>
      <c r="D732" s="35" t="str">
        <f ca="1">IFERROR(IF(AND(INDEX(Tab_DaBa[],MATCH(CONCATENATE(Liste!$C$3,$B$569,$B$711),Data!$BO:$BO,0)-2,53)&lt;&gt;"",INDEX(Tab_DaBa[],MATCH(CONCATENATE(Liste!$C$3,$B$569,$B$711),Data!$BO:$BO,0)-2,58)=""),"Performance Level: "&amp;INDEX(Tab_DaBa[],MATCH(CONCATENATE(Liste!$C$3,$B$569,$B$711),Data!$BO:$BO,0)-2,15),IF(INDEX(Tab_DaBa[],MATCH(CONCATENATE(Liste!$C$3,$B$569,$B$711),Data!$BO:$BO,0)-2,53)&lt;&gt;"","Performance Level: "&amp;INDEX(Tab_DaBa[],MATCH(CONCATENATE(Liste!$C$3,$B$569,$B$711),Data!$BO:$BO,0)-2,60),"")),"")</f>
        <v/>
      </c>
      <c r="E732" s="37"/>
      <c r="F732" s="35" t="str">
        <f ca="1">IFERROR(IF(AND(INDEX(Tab_DaBa[],MATCH(CONCATENATE(Liste!$C$3,$B$569,$B$711),Data!$BO:$BO,0)-2,58)&lt;&gt;"",INDEX(Tab_DaBa[],MATCH(CONCATENATE(Liste!$C$3,$B$569,$B$711),Data!$BO:$BO,0)-2,63)=""),"Performance Level: "&amp;INDEX(Tab_DaBa[],MATCH(CONCATENATE(Liste!$C$3,$B$569,$B$711),Data!$BO:$BO,0)-2,15),IF(INDEX(Tab_DaBa[],MATCH(CONCATENATE(Liste!$C$3,$B$569,$B$711),Data!$BO:$BO,0)-2,58)&lt;&gt;"","Performance Level: "&amp;INDEX(Tab_DaBa[],MATCH(CONCATENATE(Liste!$C$3,$B$569,$B$711),Data!$BO:$BO,0)-2,65),"")),"")</f>
        <v/>
      </c>
      <c r="G732" s="39"/>
      <c r="H732" s="35" t="str">
        <f ca="1">IFERROR(IF(INDEX(Tab_DaBa[],MATCH(CONCATENATE(Liste!$C$3,$B$569,$B$711),Data!$BO:$BO,0)-2,63)&lt;&gt;"","Performance Level: "&amp;INDEX(Tab_DaBa[],MATCH(CONCATENATE(Liste!$C$3,$B$569,$B$711),Data!$BO:$BO,0)-2,15),""),"")</f>
        <v/>
      </c>
    </row>
    <row r="733" spans="2:9" s="16" customFormat="1" ht="15.75">
      <c r="B733" s="35" t="str">
        <f ca="1">IFERROR(IF(AND(INDEX(Tab_DaBa[],MATCH(CONCATENATE(Liste!$C$3,$B$569,$B$711),Data!$BO:$BO,0)-2,48)&lt;&gt;"",INDEX(Tab_DaBa[],MATCH(CONCATENATE(Liste!$C$3,$B$569,$B$711),Data!$BO:$BO,0)-2,53)=""),"PFH [1/h] = "&amp;10^9*INDEX(Tab_DaBa[],MATCH(CONCATENATE(Liste!$C$3,$B$569,$B$711),Data!$BO:$BO,0)-2,16)&amp;"E-9",IF(INDEX(Tab_DaBa[],MATCH(CONCATENATE(Liste!$C$3,$B$569,$B$711),Data!$BO:$BO,0)-2,48)&lt;&gt;"","PFH [1/h] = "&amp;10^9*INDEX(Tab_DaBa[],MATCH(CONCATENATE(Liste!$C$3,$B$569,$B$711),Data!$BO:$BO,0)-2,56)&amp;"E-9","")),"")</f>
        <v/>
      </c>
      <c r="C733" s="39"/>
      <c r="D733" s="35" t="str">
        <f ca="1">IFERROR(IF(AND(INDEX(Tab_DaBa[],MATCH(CONCATENATE(Liste!$C$3,$B$569,$B$711),Data!$BO:$BO,0)-2,53)&lt;&gt;"",INDEX(Tab_DaBa[],MATCH(CONCATENATE(Liste!$C$3,$B$569,$B$711),Data!$BO:$BO,0)-2,58)=""),"PFH [1/h] = "&amp;10^9*INDEX(Tab_DaBa[],MATCH(CONCATENATE(Liste!$C$3,$B$569,$B$711),Data!$BO:$BO,0)-2,16)&amp;"E-9",IF(INDEX(Tab_DaBa[],MATCH(CONCATENATE(Liste!$C$3,$B$569,$B$711),Data!$BO:$BO,0)-2,53)&lt;&gt;"","PFH [1/h] = "&amp;10^9*INDEX(Tab_DaBa[],MATCH(CONCATENATE(Liste!$C$3,$B$569,$B$711),Data!$BO:$BO,0)-2,61)&amp;"E-9","")),"")</f>
        <v/>
      </c>
      <c r="E733" s="37"/>
      <c r="F733" s="35" t="str">
        <f ca="1">IFERROR(IF(AND(INDEX(Tab_DaBa[],MATCH(CONCATENATE(Liste!$C$3,$B$569,$B$711),Data!$BO:$BO,0)-2,58)&lt;&gt;"",INDEX(Tab_DaBa[],MATCH(CONCATENATE(Liste!$C$3,$B$569,$B$711),Data!$BO:$BO,0)-2,63)=""),"PFH [1/h] = "&amp;10^9*INDEX(Tab_DaBa[],MATCH(CONCATENATE(Liste!$C$3,$B$569,$B$711),Data!$BO:$BO,0)-2,16)&amp;"E-9",IF(INDEX(Tab_DaBa[],MATCH(CONCATENATE(Liste!$C$3,$B$569,$B$711),Data!$BO:$BO,0)-2,58)&lt;&gt;"","PFH [1/h] = "&amp;10^9*INDEX(Tab_DaBa[],MATCH(CONCATENATE(Liste!$C$3,$B$569,$B$711),Data!$BO:$BO,0)-2,66)&amp;"E-9","")),"")</f>
        <v/>
      </c>
      <c r="G733" s="39"/>
      <c r="H733" s="35" t="str">
        <f ca="1">IFERROR(IF(INDEX(Tab_DaBa[],MATCH(CONCATENATE(Liste!$C$3,$B$569,$B$711),Data!$BO:$BO,0)-2,63)&lt;&gt;"","PFH [1/h] = "&amp;10^9*INDEX(Tab_DaBa[],MATCH(CONCATENATE(Liste!$C$3,$B$569,$B$711),Data!$BO:$BO,0)-2,16)&amp;"E-9",""),"")</f>
        <v/>
      </c>
    </row>
    <row r="734" spans="2:9" s="16" customFormat="1"/>
    <row r="735" spans="2:9" s="16" customFormat="1">
      <c r="B735" s="43" t="str">
        <f ca="1">IF(D735="","","Erforderlich")</f>
        <v>Erforderlich</v>
      </c>
      <c r="D735" s="44" t="str">
        <f ca="1">IFERROR("Performance Level: "&amp;INDEX(Tab_DaBa[],MATCH(CONCATENATE(Liste!$C$3,$B$569,$B$711),Data!$BO:$BO,0)-2,4),"")</f>
        <v>Performance Level: PLr_ges3_6</v>
      </c>
    </row>
    <row r="736" spans="2:9" s="16" customFormat="1">
      <c r="B736" s="45"/>
    </row>
    <row r="737" spans="2:9" s="16" customFormat="1">
      <c r="B737" s="46" t="str">
        <f ca="1">IF(D737="","","Erreicht")</f>
        <v>Erreicht</v>
      </c>
      <c r="D737" s="47" t="str">
        <f ca="1">IFERROR("Performance Level: "&amp;INDEX(Tab_DaBa[],MATCH(CONCATENATE(Liste!$C$3,$B$569,$B$711),Data!$BO:$BO,0)-2,5)&amp;"          PFH [1/h] = "&amp;10^9*INDEX(Tab_DaBa[],MATCH(CONCATENATE(Liste!$C$3,$B$569,$B$711),Data!$BO:$BO,0)-2,6)&amp;"E-9","")</f>
        <v>Performance Level: Pl_ges3_6          PFH [1/h] = 71,7E-9</v>
      </c>
    </row>
    <row r="738" spans="2:9" s="16" customFormat="1"/>
    <row r="739" spans="2:9" s="16" customFormat="1">
      <c r="B739" s="42" t="str">
        <f ca="1">IFERROR(IF(7&gt;COUNTIF(Data!$BP:$BP,CONCATENATE(Liste!$C$3,$B$569)),"",INDEX(Tab_DaBa[],MATCH(CONCATENATE(Liste!$C$3,$B$569),Data!$BP:$BP,0)+4,3)),"")</f>
        <v>3.7 Test3 (E+7L+A)</v>
      </c>
    </row>
    <row r="740" spans="2:9" s="16" customFormat="1"/>
    <row r="741" spans="2:9" s="16" customFormat="1" ht="15.75">
      <c r="B741" s="35" t="str">
        <f ca="1">IFERROR(INDEX(Tab_DaBa[],MATCH(CONCATENATE(Liste!$C$3,$B$569,$B$739),Data!$BO:$BO,0)-2,9),"")</f>
        <v>Eingang</v>
      </c>
      <c r="C741" s="54"/>
      <c r="D741" s="35" t="str">
        <f ca="1">IFERROR(IF(INDEX(Tab_DaBa[],MATCH(CONCATENATE(Liste!$C$3,$B$569,$B$739),Data!$BO:$BO,0)-2,18)=0,INDEX(Tab_DaBa[],MATCH(CONCATENATE(Liste!$C$3,$B$569,$B$739),Data!$BO:$BO,0)-2,14),INDEX(Tab_DaBa[],MATCH(CONCATENATE(Liste!$C$3,$B$569,$B$739),Data!$BO:$BO,0)-2,19)),"")</f>
        <v>Logik 01</v>
      </c>
      <c r="E741" s="33"/>
      <c r="F741" s="35" t="str">
        <f ca="1">IFERROR(IF(AND(INDEX(Tab_DaBa[],MATCH(CONCATENATE(Liste!$C$3,$B$569,$B$739),Data!$BO:$BO,0)-2,18)&lt;&gt;"",INDEX(Tab_DaBa[],MATCH(CONCATENATE(Liste!$C$3,$B$569,$B$739),Data!$BO:$BO,0)-2,23)=0),INDEX(Tab_DaBa[],MATCH(CONCATENATE(Liste!$C$3,$B$569,$B$739),Data!$BO:$BO,0)-2,14),IF(INDEX(Tab_DaBa[],MATCH(CONCATENATE(Liste!$C$3,$B$569,$B$739),Data!$BO:$BO,0)-2,23)&lt;&gt;"",INDEX(Tab_DaBa[],MATCH(CONCATENATE(Liste!$C$3,$B$569,$B$739),Data!$BO:$BO,0)-2,24),"")),"")</f>
        <v>Logik 02</v>
      </c>
      <c r="G741" s="39"/>
      <c r="H741" s="35" t="str">
        <f ca="1">IFERROR(IF(AND(INDEX(Tab_DaBa[],MATCH(CONCATENATE(Liste!$C$3,$B$569,$B$739),Data!$BO:$BO,0)-2,23)&lt;&gt;"",INDEX(Tab_DaBa[],MATCH(CONCATENATE(Liste!$C$3,$B$569,$B$739),Data!$BO:$BO,0)-2,28)=0),INDEX(Tab_DaBa[],MATCH(CONCATENATE(Liste!$C$3,$B$569,$B$739),Data!$BO:$BO,0)-2,14),IF(INDEX(Tab_DaBa[],MATCH(CONCATENATE(Liste!$C$3,$B$569,$B$739),Data!$BO:$BO,0)-2,23)&lt;&gt;"",INDEX(Tab_DaBa[],MATCH(CONCATENATE(Liste!$C$3,$B$569,$B$739),Data!$BO:$BO,0)-2,29),"")),"")</f>
        <v>Logik 03</v>
      </c>
      <c r="I741" s="39"/>
    </row>
    <row r="742" spans="2:9" s="16" customFormat="1" ht="15.75">
      <c r="B742" s="35" t="str">
        <f ca="1">IFERROR(INDEX(Tab_DaBa[],MATCH(CONCATENATE(Liste!$C$3,$B$569,$B$739),Data!$BO:$BO,0)-2,7),"")</f>
        <v>eeee-33_7</v>
      </c>
      <c r="C742" s="54"/>
      <c r="D742" s="35" t="str">
        <f ca="1">IFERROR(IF(INDEX(Tab_DaBa[],MATCH(CONCATENATE(Liste!$C$3,$B$569,$B$739),Data!$BO:$BO,0)-2,18)="",INDEX(Tab_DaBa[],MATCH(CONCATENATE(Liste!$C$3,$B$569,$B$739),Data!$BO:$BO,0)-2,12),INDEX(Tab_DaBa[],MATCH(CONCATENATE(Liste!$C$3,$B$569,$B$739),Data!$BO:$BO,0)-2,17)),"")</f>
        <v>Log01-03_07</v>
      </c>
      <c r="E742" s="36"/>
      <c r="F742" s="35" t="str">
        <f ca="1">IFERROR(IF(AND(INDEX(Tab_DaBa[],MATCH(CONCATENATE(Liste!$C$3,$B$569,$B$739),Data!$BO:$BO,0)-2,18)&lt;&gt;"",INDEX(Tab_DaBa[],MATCH(CONCATENATE(Liste!$C$3,$B$569,$B$739),Data!$BO:$BO,0)-2,23)=0),INDEX(Tab_DaBa[],MATCH(CONCATENATE(Liste!$C$3,$B$569,$B$739),Data!$BO:$BO,0)-2,12),IF(INDEX(Tab_DaBa[],MATCH(CONCATENATE(Liste!$C$3,$B$569,$B$739),Data!$BO:$BO,0)-2,23)&lt;&gt;"",INDEX(Tab_DaBa[],MATCH(CONCATENATE(Liste!$C$3,$B$569,$B$739),Data!$BO:$BO,0)-2,22),"")),"")</f>
        <v>Log02-03_07</v>
      </c>
      <c r="G742" s="39"/>
      <c r="H742" s="35" t="str">
        <f ca="1">IFERROR(IF(AND(INDEX(Tab_DaBa[],MATCH(CONCATENATE(Liste!$C$3,$B$569,$B$739),Data!$BO:$BO,0)-2,23)&lt;&gt;"",INDEX(Tab_DaBa[],MATCH(CONCATENATE(Liste!$C$3,$B$569,$B$739),Data!$BO:$BO,0)-2,28)=0),INDEX(Tab_DaBa[],MATCH(CONCATENATE(Liste!$C$3,$B$569,$B$739),Data!$BO:$BO,0)-2,12),IF(INDEX(Tab_DaBa[],MATCH(CONCATENATE(Liste!$C$3,$B$569,$B$739),Data!$BO:$BO,0)-2,23)&lt;&gt;"",INDEX(Tab_DaBa[],MATCH(CONCATENATE(Liste!$C$3,$B$569,$B$739),Data!$BO:$BO,0)-2,27),"")),"")</f>
        <v>Lo03-33_7</v>
      </c>
      <c r="I742" s="39"/>
    </row>
    <row r="743" spans="2:9" s="16" customFormat="1" ht="15.75">
      <c r="B743" s="35" t="str">
        <f ca="1">IFERROR(INDEX(Tab_DaBa[],MATCH(CONCATENATE(Liste!$C$3,$B$569,$B$739),Data!$BO:$BO,0)-2,8),"")</f>
        <v>Bez_Ein3_7</v>
      </c>
      <c r="C743" s="40">
        <f ca="1">IF(D741="","",4)</f>
        <v>4</v>
      </c>
      <c r="D743" s="35" t="str">
        <f ca="1">IFERROR(IF(INDEX(Tab_DaBa[],MATCH(CONCATENATE(Liste!$C$3,$B$569,$B$739),Data!$BO:$BO,0)-2,18)="",INDEX(Tab_DaBa[],MATCH(CONCATENATE(Liste!$C$3,$B$569,$B$739),Data!$BO:$BO,0)-2,13),INDEX(Tab_DaBa[],MATCH(CONCATENATE(Liste!$C$3,$B$569,$B$739),Data!$BO:$BO,0)-2,18)),"")</f>
        <v>Bez_Log01_03_07</v>
      </c>
      <c r="E743" s="40">
        <f ca="1">IF(F741="","",4)</f>
        <v>4</v>
      </c>
      <c r="F743" s="35" t="str">
        <f ca="1">IFERROR(IF(AND(INDEX(Tab_DaBa[],MATCH(CONCATENATE(Liste!$C$3,$B$569,$B$739),Data!$BO:$BO,0)-2,18)&lt;&gt;"",INDEX(Tab_DaBa[],MATCH(CONCATENATE(Liste!$C$3,$B$569,$B$739),Data!$BO:$BO,0)-2,23)=""),INDEX(Tab_DaBa[],MATCH(CONCATENATE(Liste!$C$3,$B$569,$B$739),Data!$BO:$BO,0)-2,13),IF(INDEX(Tab_DaBa[],MATCH(CONCATENATE(Liste!$C$3,$B$569,$B$739),Data!$BO:$BO,0)-2,23)&lt;&gt;"",INDEX(Tab_DaBa[],MATCH(CONCATENATE(Liste!$C$3,$B$569,$B$739),Data!$BO:$BO,0)-2,23),"")),"")</f>
        <v>Bez_Log02_03_7</v>
      </c>
      <c r="G743" s="38">
        <f ca="1">IF(H741="","",4)</f>
        <v>4</v>
      </c>
      <c r="H743" s="35" t="str">
        <f ca="1">IFERROR(IF(AND(INDEX(Tab_DaBa[],MATCH(CONCATENATE(Liste!$C$3,$B$569,$B$739),Data!$BO:$BO,0)-2,23)&lt;&gt;"",INDEX(Tab_DaBa[],MATCH(CONCATENATE(Liste!$C$3,$B$569,$B$739),Data!$BO:$BO,0)-2,28)=""),INDEX(Tab_DaBa[],MATCH(CONCATENATE(Liste!$C$3,$B$569,$B$739),Data!$BO:$BO,0)-2,13),IF(INDEX(Tab_DaBa[],MATCH(CONCATENATE(Liste!$C$3,$B$569,$B$739),Data!$BO:$BO,0)-2,23)&lt;&gt;"",INDEX(Tab_DaBa[],MATCH(CONCATENATE(Liste!$C$3,$B$569,$B$739),Data!$BO:$BO,0)-2,28),"")),"")</f>
        <v>Bez_Lo03_7</v>
      </c>
      <c r="I743" s="38">
        <f ca="1">IF(B749="","",6)</f>
        <v>6</v>
      </c>
    </row>
    <row r="744" spans="2:9" s="16" customFormat="1" ht="15.75">
      <c r="B744" s="35" t="str">
        <f ca="1">IFERROR("Performance Level: "&amp;INDEX(Tab_DaBa[],MATCH(CONCATENATE(Liste!$C$3,$B$569,$B$739),Data!$BO:$BO,0)-2,10),"")</f>
        <v>Performance Level: PL_Ein3_7</v>
      </c>
      <c r="C744" s="54"/>
      <c r="D744" s="35" t="str">
        <f ca="1">IFERROR(IF(INDEX(Tab_DaBa[],MATCH(CONCATENATE(Liste!$C$3,$B$569,$B$739),Data!$BO:$BO,0)-2,18)="","Performance Level: "&amp;INDEX(Tab_DaBa[],MATCH(CONCATENATE(Liste!$C$3,$B$569,$B$739),Data!$BO:$BO,0)-2,15),"Performance Level: "&amp;INDEX(Tab_DaBa[],MATCH(CONCATENATE(Liste!$C$3,$B$569,$B$739),Data!$BO:$BO,0)-2,20)),"")</f>
        <v>Performance Level: PL_Log01_03_07</v>
      </c>
      <c r="E744" s="36"/>
      <c r="F744" s="35" t="str">
        <f ca="1">IFERROR(IF(AND(INDEX(Tab_DaBa[],MATCH(CONCATENATE(Liste!$C$3,$B$569,$B$739),Data!$BO:$BO,0)-2,18)&lt;&gt;"",INDEX(Tab_DaBa[],MATCH(CONCATENATE(Liste!$C$3,$B$569,$B$739),Data!$BO:$BO,0)-2,23)=""),"Performance Level: "&amp;INDEX(Tab_DaBa[],MATCH(CONCATENATE(Liste!$C$3,$B$569,$B$739),Data!$BO:$BO,0)-2,15),IF(INDEX(Tab_DaBa[],MATCH(CONCATENATE(Liste!$C$3,$B$569,$B$739),Data!$BO:$BO,0)-2,23)&lt;&gt;"","Performance Level: "&amp;INDEX(Tab_DaBa[],MATCH(CONCATENATE(Liste!$C$3,$B$569,$B$739),Data!$BO:$BO,0)-2,25),"")),"")</f>
        <v>Performance Level: PL_Lo03_7</v>
      </c>
      <c r="G744" s="39"/>
      <c r="H744" s="35" t="str">
        <f ca="1">IFERROR(IF(AND(INDEX(Tab_DaBa[],MATCH(CONCATENATE(Liste!$C$3,$B$569,$B$739),Data!$BO:$BO,0)-2,23)&lt;&gt;"",INDEX(Tab_DaBa[],MATCH(CONCATENATE(Liste!$C$3,$B$569,$B$739),Data!$BO:$BO,0)-2,28)=""),"Performance Level: "&amp;INDEX(Tab_DaBa[],MATCH(CONCATENATE(Liste!$C$3,$B$569,$B$739),Data!$BO:$BO,0)-2,15),IF(INDEX(Tab_DaBa[],MATCH(CONCATENATE(Liste!$C$3,$B$569,$B$739),Data!$BO:$BO,0)-2,23)&lt;&gt;"","Performance Level: "&amp;INDEX(Tab_DaBa[],MATCH(CONCATENATE(Liste!$C$3,$B$569,$B$739),Data!$BO:$BO,0)-2,30),"")),"")</f>
        <v>Performance Level: PL_Lo03_7</v>
      </c>
      <c r="I744" s="38"/>
    </row>
    <row r="745" spans="2:9" s="16" customFormat="1" ht="15.75">
      <c r="B745" s="53" t="str">
        <f ca="1">IFERROR("PFH [1/h] = "&amp;10^9*INDEX(Tab_DaBa[],MATCH(CONCATENATE(Liste!$C$3,$B$569,$B$739),Data!$BO:$BO,0)-2,11)&amp;"E-9","")</f>
        <v>PFH [1/h] = 42,9E-9</v>
      </c>
      <c r="C745" s="54"/>
      <c r="D745" s="35" t="str">
        <f ca="1">IFERROR(IF(INDEX(Tab_DaBa[],MATCH(CONCATENATE(Liste!$C$3,$B$569,$B$739),Data!$BO:$BO,0)-2,18)="","PFH [1/h] = "&amp;10^9*INDEX(Tab_DaBa[],MATCH(CONCATENATE(Liste!$C$3,$B$569,$B$739),Data!$BO:$BO,0)-2,16)&amp;"E-9","PFH [1/h] = "&amp;10^9*INDEX(Tab_DaBa[],MATCH(CONCATENATE(Liste!$C$3,$B$569,$B$739),Data!$BO:$BO,0)-2,21)&amp;"E-9"),"")</f>
        <v>PFH [1/h] = 4,19E-9</v>
      </c>
      <c r="E745" s="36"/>
      <c r="F745" s="35" t="str">
        <f ca="1">IFERROR(IF(AND(INDEX(Tab_DaBa[],MATCH(CONCATENATE(Liste!$C$3,$B$569,$B$739),Data!$BO:$BO,0)-2,18)&lt;&gt;"",INDEX(Tab_DaBa[],MATCH(CONCATENATE(Liste!$C$3,$B$569,$B$739),Data!$BO:$BO,0)-2,23)=""),"PFH [1/h] = "&amp;10^9*INDEX(Tab_DaBa[],MATCH(CONCATENATE(Liste!$C$3,$B$569,$B$739),Data!$BO:$BO,0)-2,16)&amp;"E-9",IF(INDEX(Tab_DaBa[],MATCH(CONCATENATE(Liste!$C$3,$B$569,$B$739),Data!$BO:$BO,0)-2,23)&lt;&gt;"","PFH [1/h] = "&amp;10^9*INDEX(Tab_DaBa[],MATCH(CONCATENATE(Liste!$C$3,$B$569,$B$739),Data!$BO:$BO,0)-2,26)&amp;"E-9","")),"")</f>
        <v>PFH [1/h] = 4,19E-9</v>
      </c>
      <c r="G745" s="39"/>
      <c r="H745" s="35" t="str">
        <f ca="1">IFERROR(IF(AND(INDEX(Tab_DaBa[],MATCH(CONCATENATE(Liste!$C$3,$B$569,$B$739),Data!$BO:$BO,0)-2,23)&lt;&gt;"",INDEX(Tab_DaBa[],MATCH(CONCATENATE(Liste!$C$3,$B$569,$B$739),Data!$BO:$BO,0)-2,28)=""),"PFH [1/h] = "&amp;10^9*INDEX(Tab_DaBa[],MATCH(CONCATENATE(Liste!$C$3,$B$569,$B$739),Data!$BO:$BO,0)-2,16)&amp;"E-9",IF(INDEX(Tab_DaBa[],MATCH(CONCATENATE(Liste!$C$3,$B$569,$B$739),Data!$BO:$BO,0)-2,23)&lt;&gt;"","PFH [1/h] = "&amp;10^9*INDEX(Tab_DaBa[],MATCH(CONCATENATE(Liste!$C$3,$B$569,$B$739),Data!$BO:$BO,0)-2,31)&amp;"E-9","")),"")</f>
        <v>PFH [1/h] = 4,19E-9</v>
      </c>
      <c r="I745" s="39"/>
    </row>
    <row r="746" spans="2:9" s="16" customFormat="1">
      <c r="B746" s="33"/>
      <c r="C746" s="34"/>
      <c r="D746" s="33"/>
      <c r="E746" s="33"/>
      <c r="F746" s="33"/>
      <c r="G746" s="33"/>
      <c r="H746" s="33"/>
      <c r="I746" s="33"/>
    </row>
    <row r="747" spans="2:9" s="16" customFormat="1" ht="15.75">
      <c r="B747" s="38">
        <f ca="1">IF(B749="","",6)</f>
        <v>6</v>
      </c>
      <c r="C747" s="34"/>
      <c r="D747" s="38">
        <f ca="1">IF(B749="","",3)</f>
        <v>3</v>
      </c>
      <c r="E747" s="33"/>
      <c r="F747" s="38">
        <f ca="1">IF(B749="","",3)</f>
        <v>3</v>
      </c>
      <c r="G747" s="33"/>
      <c r="H747" s="38">
        <f ca="1">IF(B749="","",3)</f>
        <v>3</v>
      </c>
      <c r="I747" s="33"/>
    </row>
    <row r="748" spans="2:9" s="16" customFormat="1" ht="15.75">
      <c r="B748" s="39"/>
      <c r="C748" s="33"/>
      <c r="D748" s="33"/>
      <c r="E748" s="33"/>
      <c r="F748" s="33"/>
      <c r="G748" s="33"/>
      <c r="H748" s="33"/>
      <c r="I748" s="33"/>
    </row>
    <row r="749" spans="2:9" s="16" customFormat="1" ht="15.75">
      <c r="B749" s="35" t="str">
        <f ca="1">IFERROR(IF(AND(INDEX(Tab_DaBa[],MATCH(CONCATENATE(Liste!$C$3,$B$569,$B$739),Data!$BO:$BO,0)-2,28)&lt;&gt;"",INDEX(Tab_DaBa[],MATCH(CONCATENATE(Liste!$C$3,$B$569,$B$739),Data!$BO:$BO,0)-2,33)=0),INDEX(Tab_DaBa[],MATCH(CONCATENATE(Liste!$C$3,$B$569,$B$739),Data!$BO:$BO,0)-2,14),IF(INDEX(Tab_DaBa[],MATCH(CONCATENATE(Liste!$C$3,$B$569,$B$739),Data!$BO:$BO,0)-2,28)&lt;&gt;"",INDEX(Tab_DaBa[],MATCH(CONCATENATE(Liste!$C$3,$B$569,$B$739),Data!$BO:$BO,0)-2,34),"")),"")</f>
        <v>Logik 04</v>
      </c>
      <c r="C749" s="39"/>
      <c r="D749" s="35" t="str">
        <f ca="1">IFERROR(IF(AND(INDEX(Tab_DaBa[],MATCH(CONCATENATE(Liste!$C$3,$B$569,$B$739),Data!$BO:$BO,0)-2,33)&lt;&gt;"",INDEX(Tab_DaBa[],MATCH(CONCATENATE(Liste!$C$3,$B$569,$B$739),Data!$BO:$BO,0)-2,38)=0),INDEX(Tab_DaBa[],MATCH(CONCATENATE(Liste!$C$3,$B$569,$B$739),Data!$BO:$BO,0)-2,14),IF(INDEX(Tab_DaBa[],MATCH(CONCATENATE(Liste!$C$3,$B$569,$B$739),Data!$BO:$BO,0)-2,33)&lt;&gt;"",INDEX(Tab_DaBa[],MATCH(CONCATENATE(Liste!$C$3,$B$569,$B$739),Data!$BO:$BO,0)-2,39),"")),"")</f>
        <v>Logik 05</v>
      </c>
      <c r="E749" s="33"/>
      <c r="F749" s="35" t="str">
        <f ca="1">IFERROR(IF(AND(INDEX(Tab_DaBa[],MATCH(CONCATENATE(Liste!$C$3,$B$569,$B$739),Data!$BO:$BO,0)-2,38)&lt;&gt;"",INDEX(Tab_DaBa[],MATCH(CONCATENATE(Liste!$C$3,$B$569,$B$739),Data!$BO:$BO,0)-2,43)=0),INDEX(Tab_DaBa[],MATCH(CONCATENATE(Liste!$C$3,$B$569,$B$739),Data!$BO:$BO,0)-2,14),IF(INDEX(Tab_DaBa[],MATCH(CONCATENATE(Liste!$C$3,$B$569,$B$739),Data!$BO:$BO,0)-2,38)&lt;&gt;"",INDEX(Tab_DaBa[],MATCH(CONCATENATE(Liste!$C$3,$B$569,$B$739),Data!$BO:$BO,0)-2,44),"")),"")</f>
        <v>Logik 06</v>
      </c>
      <c r="G749" s="39"/>
      <c r="H749" s="35" t="str">
        <f ca="1">IFERROR(IF(AND(INDEX(Tab_DaBa[],MATCH(CONCATENATE(Liste!$C$3,$B$569,$B$739),Data!$BO:$BO,0)-2,43)&lt;&gt;"",INDEX(Tab_DaBa[],MATCH(CONCATENATE(Liste!$C$3,$B$569,$B$739),Data!$BO:$BO,0)-2,48)=0),INDEX(Tab_DaBa[],MATCH(CONCATENATE(Liste!$C$3,$B$569,$B$739),Data!$BO:$BO,0)-2,14),IF(INDEX(Tab_DaBa[],MATCH(CONCATENATE(Liste!$C$3,$B$569,$B$739),Data!$BO:$BO,0)-2,43)&lt;&gt;"",INDEX(Tab_DaBa[],MATCH(CONCATENATE(Liste!$C$3,$B$569,$B$739),Data!$BO:$BO,0)-2,49),"")),"")</f>
        <v>Logik 07</v>
      </c>
      <c r="I749" s="39"/>
    </row>
    <row r="750" spans="2:9" s="16" customFormat="1" ht="15.75">
      <c r="B750" s="35" t="str">
        <f ca="1">IFERROR(IF(AND(INDEX(Tab_DaBa[],MATCH(CONCATENATE(Liste!$C$3,$B$569,$B$739),Data!$BO:$BO,0)-2,28)&lt;&gt;"",INDEX(Tab_DaBa[],MATCH(CONCATENATE(Liste!$C$3,$B$569,$B$739),Data!$BO:$BO,0)-2,33)=0),INDEX(Tab_DaBa[],MATCH(CONCATENATE(Liste!$C$3,$B$569,$B$739),Data!$BO:$BO,0)-2,12),IF(INDEX(Tab_DaBa[],MATCH(CONCATENATE(Liste!$C$3,$B$569,$B$739),Data!$BO:$BO,0)-2,28)&lt;&gt;"",INDEX(Tab_DaBa[],MATCH(CONCATENATE(Liste!$C$3,$B$569,$B$739),Data!$BO:$BO,0)-2,32),"")),"")</f>
        <v>Lo03-33_07</v>
      </c>
      <c r="C750" s="39"/>
      <c r="D750" s="35" t="str">
        <f ca="1">IFERROR(IF(AND(INDEX(Tab_DaBa[],MATCH(CONCATENATE(Liste!$C$3,$B$569,$B$739),Data!$BO:$BO,0)-2,33)&lt;&gt;"",INDEX(Tab_DaBa[],MATCH(CONCATENATE(Liste!$C$3,$B$569,$B$739),Data!$BO:$BO,0)-2,38)=0),INDEX(Tab_DaBa[],MATCH(CONCATENATE(Liste!$C$3,$B$569,$B$739),Data!$BO:$BO,0)-2,12),IF(INDEX(Tab_DaBa[],MATCH(CONCATENATE(Liste!$C$3,$B$569,$B$739),Data!$BO:$BO,0)-2,33)&lt;&gt;"",INDEX(Tab_DaBa[],MATCH(CONCATENATE(Liste!$C$3,$B$569,$B$739),Data!$BO:$BO,0)-2,37),"")),"")</f>
        <v>Lo03-33_07</v>
      </c>
      <c r="E750" s="37"/>
      <c r="F750" s="35" t="str">
        <f ca="1">IFERROR(IF(AND(INDEX(Tab_DaBa[],MATCH(CONCATENATE(Liste!$C$3,$B$569,$B$739),Data!$BO:$BO,0)-2,38)&lt;&gt;"",INDEX(Tab_DaBa[],MATCH(CONCATENATE(Liste!$C$3,$B$569,$B$739),Data!$BO:$BO,0)-2,43)=0),INDEX(Tab_DaBa[],MATCH(CONCATENATE(Liste!$C$3,$B$569,$B$739),Data!$BO:$BO,0)-2,12),IF(INDEX(Tab_DaBa[],MATCH(CONCATENATE(Liste!$C$3,$B$569,$B$739),Data!$BO:$BO,0)-2,38)&lt;&gt;"",INDEX(Tab_DaBa[],MATCH(CONCATENATE(Liste!$C$3,$B$569,$B$739),Data!$BO:$BO,0)-2,42),"")),"")</f>
        <v>Lo03-33_07</v>
      </c>
      <c r="G750" s="39"/>
      <c r="H750" s="35" t="str">
        <f ca="1">IFERROR(IF(AND(INDEX(Tab_DaBa[],MATCH(CONCATENATE(Liste!$C$3,$B$569,$B$739),Data!$BO:$BO,0)-2,43)&lt;&gt;"",INDEX(Tab_DaBa[],MATCH(CONCATENATE(Liste!$C$3,$B$569,$B$739),Data!$BO:$BO,0)-2,48)=0),INDEX(Tab_DaBa[],MATCH(CONCATENATE(Liste!$C$3,$B$569,$B$739),Data!$BO:$BO,0)-2,12),IF(INDEX(Tab_DaBa[],MATCH(CONCATENATE(Liste!$C$3,$B$569,$B$739),Data!$BO:$BO,0)-2,43)&lt;&gt;"",INDEX(Tab_DaBa[],MATCH(CONCATENATE(Liste!$C$3,$B$569,$B$739),Data!$BO:$BO,0)-2,47),"")),"")</f>
        <v>Lo03-33_07</v>
      </c>
      <c r="I750" s="39"/>
    </row>
    <row r="751" spans="2:9" s="16" customFormat="1" ht="15.75">
      <c r="B751" s="35" t="str">
        <f ca="1">IFERROR(IF(AND(INDEX(Tab_DaBa[],MATCH(CONCATENATE(Liste!$C$3,$B$569,$B$739),Data!$BO:$BO,0)-2,28)&lt;&gt;"",INDEX(Tab_DaBa[],MATCH(CONCATENATE(Liste!$C$3,$B$569,$B$739),Data!$BO:$BO,0)-2,33)=""),INDEX(Tab_DaBa[],MATCH(CONCATENATE(Liste!$C$3,$B$569,$B$739),Data!$BO:$BO,0)-2,13),IF(INDEX(Tab_DaBa[],MATCH(CONCATENATE(Liste!$C$3,$B$569,$B$739),Data!$BO:$BO,0)-2,28)&lt;&gt;"",INDEX(Tab_DaBa[],MATCH(CONCATENATE(Liste!$C$3,$B$569,$B$739),Data!$BO:$BO,0)-2,33),"")),"")</f>
        <v>Bez_Lo03_07</v>
      </c>
      <c r="C751" s="38">
        <f ca="1">IF(D749="","",4)</f>
        <v>4</v>
      </c>
      <c r="D751" s="35" t="str">
        <f ca="1">IFERROR(IF(AND(INDEX(Tab_DaBa[],MATCH(CONCATENATE(Liste!$C$3,$B$569,$B$739),Data!$BO:$BO,0)-2,33)&lt;&gt;"",INDEX(Tab_DaBa[],MATCH(CONCATENATE(Liste!$C$3,$B$569,$B$739),Data!$BO:$BO,0)-2,38)=""),INDEX(Tab_DaBa[],MATCH(CONCATENATE(Liste!$C$3,$B$569,$B$739),Data!$BO:$BO,0)-2,13),IF(INDEX(Tab_DaBa[],MATCH(CONCATENATE(Liste!$C$3,$B$569,$B$739),Data!$BO:$BO,0)-2,33)&lt;&gt;"",INDEX(Tab_DaBa[],MATCH(CONCATENATE(Liste!$C$3,$B$569,$B$739),Data!$BO:$BO,0)-2,38),"")),"")</f>
        <v>Bez_Lo03_07</v>
      </c>
      <c r="E751" s="38">
        <f ca="1">IF(F749="","",4)</f>
        <v>4</v>
      </c>
      <c r="F751" s="35" t="str">
        <f ca="1">IFERROR(IF(AND(INDEX(Tab_DaBa[],MATCH(CONCATENATE(Liste!$C$3,$B$569,$B$739),Data!$BO:$BO,0)-2,38)&lt;&gt;"",INDEX(Tab_DaBa[],MATCH(CONCATENATE(Liste!$C$3,$B$569,$B$739),Data!$BO:$BO,0)-2,43)=""),INDEX(Tab_DaBa[],MATCH(CONCATENATE(Liste!$C$3,$B$569,$B$739),Data!$BO:$BO,0)-2,13),IF(INDEX(Tab_DaBa[],MATCH(CONCATENATE(Liste!$C$3,$B$569,$B$739),Data!$BO:$BO,0)-2,38)&lt;&gt;"",INDEX(Tab_DaBa[],MATCH(CONCATENATE(Liste!$C$3,$B$569,$B$739),Data!$BO:$BO,0)-2,43),"")),"")</f>
        <v>Bez_Lo03_07</v>
      </c>
      <c r="G751" s="38">
        <f ca="1">IF(H749="","",4)</f>
        <v>4</v>
      </c>
      <c r="H751" s="35" t="str">
        <f ca="1">IFERROR(IF(AND(INDEX(Tab_DaBa[],MATCH(CONCATENATE(Liste!$C$3,$B$569,$B$739),Data!$BO:$BO,0)-2,43)&lt;&gt;"",INDEX(Tab_DaBa[],MATCH(CONCATENATE(Liste!$C$3,$B$569,$B$739),Data!$BO:$BO,0)-2,48)=""),INDEX(Tab_DaBa[],MATCH(CONCATENATE(Liste!$C$3,$B$569,$B$739),Data!$BO:$BO,0)-2,13),IF(INDEX(Tab_DaBa[],MATCH(CONCATENATE(Liste!$C$3,$B$569,$B$739),Data!$BO:$BO,0)-2,43)&lt;&gt;"",INDEX(Tab_DaBa[],MATCH(CONCATENATE(Liste!$C$3,$B$569,$B$739),Data!$BO:$BO,0)-2,48),"")),"")</f>
        <v>Bez_Lo03_07</v>
      </c>
      <c r="I751" s="38">
        <f ca="1">IF(B757="","",6)</f>
        <v>6</v>
      </c>
    </row>
    <row r="752" spans="2:9" s="16" customFormat="1" ht="15.75">
      <c r="B752" s="35" t="str">
        <f ca="1">IFERROR(IF(AND(INDEX(Tab_DaBa[],MATCH(CONCATENATE(Liste!$C$3,$B$569,$B$739),Data!$BO:$BO,0)-2,28)&lt;&gt;"",INDEX(Tab_DaBa[],MATCH(CONCATENATE(Liste!$C$3,$B$569,$B$739),Data!$BO:$BO,0)-2,33)=""),"Performance Level: "&amp;INDEX(Tab_DaBa[],MATCH(CONCATENATE(Liste!$C$3,$B$569,$B$739),Data!$BO:$BO,0)-2,15),IF(INDEX(Tab_DaBa[],MATCH(CONCATENATE(Liste!$C$3,$B$569,$B$739),Data!$BO:$BO,0)-2,28)&lt;&gt;"","Performance Level: "&amp;INDEX(Tab_DaBa[],MATCH(CONCATENATE(Liste!$C$3,$B$569,$B$739),Data!$BO:$BO,0)-2,35),"")),"")</f>
        <v>Performance Level: PL_Lo03_07</v>
      </c>
      <c r="C752" s="39"/>
      <c r="D752" s="35" t="str">
        <f ca="1">IFERROR(IF(AND(INDEX(Tab_DaBa[],MATCH(CONCATENATE(Liste!$C$3,$B$569,$B$739),Data!$BO:$BO,0)-2,33)&lt;&gt;"",INDEX(Tab_DaBa[],MATCH(CONCATENATE(Liste!$C$3,$B$569,$B$739),Data!$BO:$BO,0)-2,38)=""),"Performance Level: "&amp;INDEX(Tab_DaBa[],MATCH(CONCATENATE(Liste!$C$3,$B$569,$B$739),Data!$BO:$BO,0)-2,15),IF(INDEX(Tab_DaBa[],MATCH(CONCATENATE(Liste!$C$3,$B$569,$B$739),Data!$BO:$BO,0)-2,33)&lt;&gt;"","Performance Level: "&amp;INDEX(Tab_DaBa[],MATCH(CONCATENATE(Liste!$C$3,$B$569,$B$739),Data!$BO:$BO,0)-2,40),"")),"")</f>
        <v>Performance Level: PL_Lo03_7</v>
      </c>
      <c r="E752" s="37"/>
      <c r="F752" s="35" t="str">
        <f ca="1">IFERROR(IF(AND(INDEX(Tab_DaBa[],MATCH(CONCATENATE(Liste!$C$3,$B$569,$B$739),Data!$BO:$BO,0)-2,38)&lt;&gt;"",INDEX(Tab_DaBa[],MATCH(CONCATENATE(Liste!$C$3,$B$569,$B$739),Data!$BO:$BO,0)-2,43)=""),"Performance Level: "&amp;INDEX(Tab_DaBa[],MATCH(CONCATENATE(Liste!$C$3,$B$569,$B$739),Data!$BO:$BO,0)-2,15),IF(INDEX(Tab_DaBa[],MATCH(CONCATENATE(Liste!$C$3,$B$569,$B$739),Data!$BO:$BO,0)-2,38)&lt;&gt;"","Performance Level: "&amp;INDEX(Tab_DaBa[],MATCH(CONCATENATE(Liste!$C$3,$B$569,$B$739),Data!$BO:$BO,0)-2,45),"")),"")</f>
        <v>Performance Level: PL_Lo03_07</v>
      </c>
      <c r="G752" s="39"/>
      <c r="H752" s="35" t="str">
        <f ca="1">IFERROR(IF(AND(INDEX(Tab_DaBa[],MATCH(CONCATENATE(Liste!$C$3,$B$569,$B$739),Data!$BO:$BO,0)-2,43)&lt;&gt;"",INDEX(Tab_DaBa[],MATCH(CONCATENATE(Liste!$C$3,$B$569,$B$739),Data!$BO:$BO,0)-2,48)=""),"Performance Level: "&amp;INDEX(Tab_DaBa[],MATCH(CONCATENATE(Liste!$C$3,$B$569,$B$739),Data!$BO:$BO,0)-2,15),IF(INDEX(Tab_DaBa[],MATCH(CONCATENATE(Liste!$C$3,$B$569,$B$739),Data!$BO:$BO,0)-2,43)&lt;&gt;"","Performance Level: "&amp;INDEX(Tab_DaBa[],MATCH(CONCATENATE(Liste!$C$3,$B$569,$B$739),Data!$BO:$BO,0)-2,50),"")),"")</f>
        <v>Performance Level: PL_Lo03_07</v>
      </c>
      <c r="I752" s="39"/>
    </row>
    <row r="753" spans="2:9" s="16" customFormat="1" ht="15.75">
      <c r="B753" s="35" t="str">
        <f ca="1">IFERROR(IF(AND(INDEX(Tab_DaBa[],MATCH(CONCATENATE(Liste!$C$3,$B$569,$B$739),Data!$BO:$BO,0)-2,28)&lt;&gt;"",INDEX(Tab_DaBa[],MATCH(CONCATENATE(Liste!$C$3,$B$569,$B$739),Data!$BO:$BO,0)-2,33)=""),"PFH [1/h] = "&amp;10^9*INDEX(Tab_DaBa[],MATCH(CONCATENATE(Liste!$C$3,$B$569,$B$739),Data!$BO:$BO,0)-2,16)&amp;"E-9",IF(INDEX(Tab_DaBa[],MATCH(CONCATENATE(Liste!$C$3,$B$569,$B$739),Data!$BO:$BO,0)-2,28)&lt;&gt;"","PFH [1/h] = "&amp;10^9*INDEX(Tab_DaBa[],MATCH(CONCATENATE(Liste!$C$3,$B$569,$B$739),Data!$BO:$BO,0)-2,36)&amp;"E-9","")),"")</f>
        <v>PFH [1/h] = 4,19E-9</v>
      </c>
      <c r="C753" s="39"/>
      <c r="D753" s="35" t="str">
        <f ca="1">IFERROR(IF(AND(INDEX(Tab_DaBa[],MATCH(CONCATENATE(Liste!$C$3,$B$569,$B$739),Data!$BO:$BO,0)-2,33)&lt;&gt;"",INDEX(Tab_DaBa[],MATCH(CONCATENATE(Liste!$C$3,$B$569,$B$739),Data!$BO:$BO,0)-2,38)=""),"PFH [1/h] = "&amp;10^9*INDEX(Tab_DaBa[],MATCH(CONCATENATE(Liste!$C$3,$B$569,$B$739),Data!$BO:$BO,0)-2,16)&amp;"E-9",IF(INDEX(Tab_DaBa[],MATCH(CONCATENATE(Liste!$C$3,$B$569,$B$739),Data!$BO:$BO,0)-2,33)&lt;&gt;"","PFH [1/h] = "&amp;10^9*INDEX(Tab_DaBa[],MATCH(CONCATENATE(Liste!$C$3,$B$569,$B$739),Data!$BO:$BO,0)-2,41)&amp;"E-9","")),"")</f>
        <v>PFH [1/h] = 4,19E-9</v>
      </c>
      <c r="E753" s="37"/>
      <c r="F753" s="35" t="str">
        <f ca="1">IFERROR(IF(AND(INDEX(Tab_DaBa[],MATCH(CONCATENATE(Liste!$C$3,$B$569,$B$739),Data!$BO:$BO,0)-2,38)&lt;&gt;"",INDEX(Tab_DaBa[],MATCH(CONCATENATE(Liste!$C$3,$B$569,$B$739),Data!$BO:$BO,0)-2,43)=""),"PFH [1/h] = "&amp;10^9*INDEX(Tab_DaBa[],MATCH(CONCATENATE(Liste!$C$3,$B$569,$B$739),Data!$BO:$BO,0)-2,16)&amp;"E-9",IF(INDEX(Tab_DaBa[],MATCH(CONCATENATE(Liste!$C$3,$B$569,$B$739),Data!$BO:$BO,0)-2,38)&lt;&gt;"","PFH [1/h] = "&amp;10^9*INDEX(Tab_DaBa[],MATCH(CONCATENATE(Liste!$C$3,$B$569,$B$739),Data!$BO:$BO,0)-2,46)&amp;"E-9","")),"")</f>
        <v>PFH [1/h] = 4,19E-9</v>
      </c>
      <c r="G753" s="39"/>
      <c r="H753" s="35" t="str">
        <f ca="1">IFERROR(IF(AND(INDEX(Tab_DaBa[],MATCH(CONCATENATE(Liste!$C$3,$B$569,$B$739),Data!$BO:$BO,0)-2,43)&lt;&gt;"",INDEX(Tab_DaBa[],MATCH(CONCATENATE(Liste!$C$3,$B$569,$B$739),Data!$BO:$BO,0)-2,48)=""),"PFH [1/h] = "&amp;10^9*INDEX(Tab_DaBa[],MATCH(CONCATENATE(Liste!$C$3,$B$569,$B$739),Data!$BO:$BO,0)-2,16)&amp;"E-9",IF(INDEX(Tab_DaBa[],MATCH(CONCATENATE(Liste!$C$3,$B$569,$B$739),Data!$BO:$BO,0)-2,43)&lt;&gt;"","PFH [1/h] = "&amp;10^9*INDEX(Tab_DaBa[],MATCH(CONCATENATE(Liste!$C$3,$B$569,$B$739),Data!$BO:$BO,0)-2,51)&amp;"E-9","")),"")</f>
        <v>PFH [1/h] = 4,19E-9</v>
      </c>
      <c r="I753" s="39"/>
    </row>
    <row r="754" spans="2:9" s="16" customFormat="1">
      <c r="B754" s="33"/>
      <c r="C754" s="33"/>
      <c r="D754" s="33"/>
      <c r="E754" s="33"/>
      <c r="F754" s="33"/>
      <c r="G754" s="33"/>
      <c r="H754" s="33"/>
      <c r="I754" s="33"/>
    </row>
    <row r="755" spans="2:9" s="16" customFormat="1" ht="15.75">
      <c r="B755" s="38">
        <f ca="1">IF(B757="","",6)</f>
        <v>6</v>
      </c>
      <c r="C755" s="33"/>
      <c r="D755" s="38">
        <f ca="1">IF(B757="","",3)</f>
        <v>3</v>
      </c>
      <c r="E755" s="33"/>
      <c r="F755" s="38">
        <f ca="1">IF(B757="","",3)</f>
        <v>3</v>
      </c>
      <c r="G755" s="33"/>
      <c r="H755" s="38">
        <f ca="1">IF(B757="","",3)</f>
        <v>3</v>
      </c>
      <c r="I755" s="33"/>
    </row>
    <row r="756" spans="2:9" s="16" customFormat="1" ht="15.75">
      <c r="B756" s="39"/>
      <c r="C756" s="33"/>
      <c r="D756" s="33"/>
      <c r="E756" s="33"/>
      <c r="F756" s="33"/>
      <c r="G756" s="33"/>
      <c r="H756" s="33"/>
      <c r="I756" s="33"/>
    </row>
    <row r="757" spans="2:9" s="16" customFormat="1" ht="15.75">
      <c r="B757" s="35" t="str">
        <f ca="1">IFERROR(IF(AND(INDEX(Tab_DaBa[],MATCH(CONCATENATE(Liste!$C$3,$B$569,$B$739),Data!$BO:$BO,0)-2,48)&lt;&gt;"",INDEX(Tab_DaBa[],MATCH(CONCATENATE(Liste!$C$3,$B$569,$B$739),Data!$BO:$BO,0)-2,53)=0),INDEX(Tab_DaBa[],MATCH(CONCATENATE(Liste!$C$3,$B$569,$B$739),Data!$BO:$BO,0)-2,14),IF(INDEX(Tab_DaBa[],MATCH(CONCATENATE(Liste!$C$3,$B$569,$B$739),Data!$BO:$BO,0)-2,48)&lt;&gt;"",INDEX(Tab_DaBa[],MATCH(CONCATENATE(Liste!$C$3,$B$569,$B$739),Data!$BO:$BO,0)-2,54),"")),"")</f>
        <v>Ausgang</v>
      </c>
      <c r="C757" s="39"/>
      <c r="D757" s="35" t="str">
        <f ca="1">IFERROR(IF(AND(INDEX(Tab_DaBa[],MATCH(CONCATENATE(Liste!$C$3,$B$569,$B$739),Data!$BO:$BO,0)-2,53)&lt;&gt;"",INDEX(Tab_DaBa[],MATCH(CONCATENATE(Liste!$C$3,$B$569,$B$739),Data!$BO:$BO,0)-2,58)=0),INDEX(Tab_DaBa[],MATCH(CONCATENATE(Liste!$C$3,$B$569,$B$739),Data!$BO:$BO,0)-2,14),IF(INDEX(Tab_DaBa[],MATCH(CONCATENATE(Liste!$C$3,$B$569,$B$739),Data!$BO:$BO,0)-2,53)&lt;&gt;"",INDEX(Tab_DaBa[],MATCH(CONCATENATE(Liste!$C$3,$B$569,$B$739),Data!$BO:$BO,0)-2,59),"")),"")</f>
        <v/>
      </c>
      <c r="E757" s="33"/>
      <c r="F757" s="35" t="str">
        <f ca="1">IFERROR(IF(AND(INDEX(Tab_DaBa[],MATCH(CONCATENATE(Liste!$C$3,$B$569,$B$739),Data!$BO:$BO,0)-2,58)&lt;&gt;"",INDEX(Tab_DaBa[],MATCH(CONCATENATE(Liste!$C$3,$B$569,$B$739),Data!$BO:$BO,0)-2,63)=0),INDEX(Tab_DaBa[],MATCH(CONCATENATE(Liste!$C$3,$B$569,$B$739),Data!$BO:$BO,0)-2,14),IF(INDEX(Tab_DaBa[],MATCH(CONCATENATE(Liste!$C$3,$B$569,$B$739),Data!$BO:$BO,0)-2,58)&lt;&gt;"",INDEX(Tab_DaBa[],MATCH(CONCATENATE(Liste!$C$3,$B$569,$B$739),Data!$BO:$BO,0)-2,64),"")),"")</f>
        <v/>
      </c>
      <c r="G757" s="39"/>
      <c r="H757" s="35" t="str">
        <f ca="1">IFERROR(IF(INDEX(Tab_DaBa[],MATCH(CONCATENATE(Liste!$C$3,$B$569,$B$739),Data!$BO:$BO,0)-2,63)&lt;&gt;"",INDEX(Tab_DaBa[],MATCH(CONCATENATE(Liste!$C$3,$B$569,$B$739),Data!$BO:$BO,0)-2,14),""),"")</f>
        <v/>
      </c>
    </row>
    <row r="758" spans="2:9" s="16" customFormat="1" ht="15.75">
      <c r="B758" s="35" t="str">
        <f ca="1">IFERROR(IF(AND(INDEX(Tab_DaBa[],MATCH(CONCATENATE(Liste!$C$3,$B$569,$B$739),Data!$BO:$BO,0)-2,48)&lt;&gt;"",INDEX(Tab_DaBa[],MATCH(CONCATENATE(Liste!$C$3,$B$569,$B$739),Data!$BO:$BO,0)-2,53)=0),INDEX(Tab_DaBa[],MATCH(CONCATENATE(Liste!$C$3,$B$569,$B$739),Data!$BO:$BO,0)-2,12),IF(INDEX(Tab_DaBa[],MATCH(CONCATENATE(Liste!$C$3,$B$569,$B$739),Data!$BO:$BO,0)-2,48)&lt;&gt;"",INDEX(Tab_DaBa[],MATCH(CONCATENATE(Liste!$C$3,$B$569,$B$739),Data!$BO:$BO,0)-2,52),"")),"")</f>
        <v>aaaa-33_7</v>
      </c>
      <c r="C758" s="39"/>
      <c r="D758" s="35" t="str">
        <f ca="1">IFERROR(IF(AND(INDEX(Tab_DaBa[],MATCH(CONCATENATE(Liste!$C$3,$B$569,$B$739),Data!$BO:$BO,0)-2,53)&lt;&gt;"",INDEX(Tab_DaBa[],MATCH(CONCATENATE(Liste!$C$3,$B$569,$B$739),Data!$BO:$BO,0)-2,58)=0),INDEX(Tab_DaBa[],MATCH(CONCATENATE(Liste!$C$3,$B$569,$B$739),Data!$BO:$BO,0)-2,12),IF(INDEX(Tab_DaBa[],MATCH(CONCATENATE(Liste!$C$3,$B$569,$B$739),Data!$BO:$BO,0)-2,53)&lt;&gt;"",INDEX(Tab_DaBa[],MATCH(CONCATENATE(Liste!$C$3,$B$569,$B$739),Data!$BO:$BO,0)-2,57),"")),"")</f>
        <v/>
      </c>
      <c r="E758" s="37"/>
      <c r="F758" s="35" t="str">
        <f ca="1">IFERROR(IF(AND(INDEX(Tab_DaBa[],MATCH(CONCATENATE(Liste!$C$3,$B$569,$B$739),Data!$BO:$BO,0)-2,58)&lt;&gt;"",INDEX(Tab_DaBa[],MATCH(CONCATENATE(Liste!$C$3,$B$569,$B$739),Data!$BO:$BO,0)-2,63)=0),INDEX(Tab_DaBa[],MATCH(CONCATENATE(Liste!$C$3,$B$569,$B$739),Data!$BO:$BO,0)-2,12),IF(INDEX(Tab_DaBa[],MATCH(CONCATENATE(Liste!$C$3,$B$569,$B$739),Data!$BO:$BO,0)-2,58)&lt;&gt;"",INDEX(Tab_DaBa[],MATCH(CONCATENATE(Liste!$C$3,$B$569,$B$739),Data!$BO:$BO,0)-2,62),"")),"")</f>
        <v/>
      </c>
      <c r="G758" s="39"/>
      <c r="H758" s="35" t="str">
        <f ca="1">IFERROR(IF(INDEX(Tab_DaBa[],MATCH(CONCATENATE(Liste!$C$3,$B$569,$B$739),Data!$BO:$BO,0)-2,63)&lt;&gt;"",INDEX(Tab_DaBa[],MATCH(CONCATENATE(Liste!$C$3,$B$569,$B$739),Data!$BO:$BO,0)-2,12),""),"")</f>
        <v/>
      </c>
    </row>
    <row r="759" spans="2:9" s="16" customFormat="1" ht="15.75">
      <c r="B759" s="35" t="str">
        <f ca="1">IFERROR(IF(AND(INDEX(Tab_DaBa[],MATCH(CONCATENATE(Liste!$C$3,$B$569,$B$739),Data!$BO:$BO,0)-2,48)&lt;&gt;"",INDEX(Tab_DaBa[],MATCH(CONCATENATE(Liste!$C$3,$B$569,$B$739),Data!$BO:$BO,0)-2,53)=""),INDEX(Tab_DaBa[],MATCH(CONCATENATE(Liste!$C$3,$B$569,$B$739),Data!$BO:$BO,0)-2,13),IF(INDEX(Tab_DaBa[],MATCH(CONCATENATE(Liste!$C$3,$B$569,$B$739),Data!$BO:$BO,0)-2,48)&lt;&gt;"",INDEX(Tab_DaBa[],MATCH(CONCATENATE(Liste!$C$3,$B$569,$B$739),Data!$BO:$BO,0)-2,53),"")),"")</f>
        <v>Bez_Aus3_7</v>
      </c>
      <c r="C759" s="38" t="str">
        <f ca="1">IF(D757="","",4)</f>
        <v/>
      </c>
      <c r="D759" s="35" t="str">
        <f ca="1">IFERROR(IF(AND(INDEX(Tab_DaBa[],MATCH(CONCATENATE(Liste!$C$3,$B$569,$B$739),Data!$BO:$BO,0)-2,53)&lt;&gt;"",INDEX(Tab_DaBa[],MATCH(CONCATENATE(Liste!$C$3,$B$569,$B$739),Data!$BO:$BO,0)-2,58)=""),INDEX(Tab_DaBa[],MATCH(CONCATENATE(Liste!$C$3,$B$569,$B$739),Data!$BO:$BO,0)-2,13),IF(INDEX(Tab_DaBa[],MATCH(CONCATENATE(Liste!$C$3,$B$569,$B$739),Data!$BO:$BO,0)-2,53)&lt;&gt;"",INDEX(Tab_DaBa[],MATCH(CONCATENATE(Liste!$C$3,$B$569,$B$739),Data!$BO:$BO,0)-2,58),"")),"")</f>
        <v/>
      </c>
      <c r="E759" s="38" t="str">
        <f ca="1">IF(F757="","",4)</f>
        <v/>
      </c>
      <c r="F759" s="35" t="str">
        <f ca="1">IFERROR(IF(AND(INDEX(Tab_DaBa[],MATCH(CONCATENATE(Liste!$C$3,$B$569,$B$739),Data!$BO:$BO,0)-2,58)&lt;&gt;"",INDEX(Tab_DaBa[],MATCH(CONCATENATE(Liste!$C$3,$B$569,$B$739),Data!$BO:$BO,0)-2,63)=""),INDEX(Tab_DaBa[],MATCH(CONCATENATE(Liste!$C$3,$B$569,$B$739),Data!$BO:$BO,0)-2,13),IF(INDEX(Tab_DaBa[],MATCH(CONCATENATE(Liste!$C$3,$B$569,$B$739),Data!$BO:$BO,0)-2,58)&lt;&gt;"",INDEX(Tab_DaBa[],MATCH(CONCATENATE(Liste!$C$3,$B$569,$B$739),Data!$BO:$BO,0)-2,63),"")),"")</f>
        <v/>
      </c>
      <c r="G759" s="38" t="str">
        <f ca="1">IF(H757="","",4)</f>
        <v/>
      </c>
      <c r="H759" s="35" t="str">
        <f ca="1">IFERROR(IF(INDEX(Tab_DaBa[],MATCH(CONCATENATE(Liste!$C$3,$B$569,$B$739),Data!$BO:$BO,0)-2,63)&lt;&gt;"",INDEX(Tab_DaBa[],MATCH(CONCATENATE(Liste!$C$3,$B$569,$B$739),Data!$BO:$BO,0)-2,13),""),"")</f>
        <v/>
      </c>
    </row>
    <row r="760" spans="2:9" s="16" customFormat="1" ht="15.75">
      <c r="B760" s="35" t="str">
        <f ca="1">IFERROR(IF(AND(INDEX(Tab_DaBa[],MATCH(CONCATENATE(Liste!$C$3,$B$569,$B$739),Data!$BO:$BO,0)-2,48)&lt;&gt;"",INDEX(Tab_DaBa[],MATCH(CONCATENATE(Liste!$C$3,$B$569,$B$739),Data!$BO:$BO,0)-2,53)=""),"Performance Level: "&amp;INDEX(Tab_DaBa[],MATCH(CONCATENATE(Liste!$C$3,$B$569,$B$739),Data!$BO:$BO,0)-2,15),IF(INDEX(Tab_DaBa[],MATCH(CONCATENATE(Liste!$C$3,$B$569,$B$739),Data!$BO:$BO,0)-2,48)&lt;&gt;"","Performance Level: "&amp;INDEX(Tab_DaBa[],MATCH(CONCATENATE(Liste!$C$3,$B$569,$B$739),Data!$BO:$BO,0)-2,55),"")),"")</f>
        <v>Performance Level: PL_Aus3_7</v>
      </c>
      <c r="C760" s="39"/>
      <c r="D760" s="35" t="str">
        <f ca="1">IFERROR(IF(AND(INDEX(Tab_DaBa[],MATCH(CONCATENATE(Liste!$C$3,$B$569,$B$739),Data!$BO:$BO,0)-2,53)&lt;&gt;"",INDEX(Tab_DaBa[],MATCH(CONCATENATE(Liste!$C$3,$B$569,$B$739),Data!$BO:$BO,0)-2,58)=""),"Performance Level: "&amp;INDEX(Tab_DaBa[],MATCH(CONCATENATE(Liste!$C$3,$B$569,$B$739),Data!$BO:$BO,0)-2,15),IF(INDEX(Tab_DaBa[],MATCH(CONCATENATE(Liste!$C$3,$B$569,$B$739),Data!$BO:$BO,0)-2,53)&lt;&gt;"","Performance Level: "&amp;INDEX(Tab_DaBa[],MATCH(CONCATENATE(Liste!$C$3,$B$569,$B$739),Data!$BO:$BO,0)-2,60),"")),"")</f>
        <v/>
      </c>
      <c r="E760" s="37"/>
      <c r="F760" s="35" t="str">
        <f ca="1">IFERROR(IF(AND(INDEX(Tab_DaBa[],MATCH(CONCATENATE(Liste!$C$3,$B$569,$B$739),Data!$BO:$BO,0)-2,58)&lt;&gt;"",INDEX(Tab_DaBa[],MATCH(CONCATENATE(Liste!$C$3,$B$569,$B$739),Data!$BO:$BO,0)-2,63)=""),"Performance Level: "&amp;INDEX(Tab_DaBa[],MATCH(CONCATENATE(Liste!$C$3,$B$569,$B$739),Data!$BO:$BO,0)-2,15),IF(INDEX(Tab_DaBa[],MATCH(CONCATENATE(Liste!$C$3,$B$569,$B$739),Data!$BO:$BO,0)-2,58)&lt;&gt;"","Performance Level: "&amp;INDEX(Tab_DaBa[],MATCH(CONCATENATE(Liste!$C$3,$B$569,$B$739),Data!$BO:$BO,0)-2,65),"")),"")</f>
        <v/>
      </c>
      <c r="G760" s="39"/>
      <c r="H760" s="35" t="str">
        <f ca="1">IFERROR(IF(INDEX(Tab_DaBa[],MATCH(CONCATENATE(Liste!$C$3,$B$569,$B$739),Data!$BO:$BO,0)-2,63)&lt;&gt;"","Performance Level: "&amp;INDEX(Tab_DaBa[],MATCH(CONCATENATE(Liste!$C$3,$B$569,$B$739),Data!$BO:$BO,0)-2,15),""),"")</f>
        <v/>
      </c>
    </row>
    <row r="761" spans="2:9" s="16" customFormat="1" ht="15.75">
      <c r="B761" s="35" t="str">
        <f ca="1">IFERROR(IF(AND(INDEX(Tab_DaBa[],MATCH(CONCATENATE(Liste!$C$3,$B$569,$B$739),Data!$BO:$BO,0)-2,48)&lt;&gt;"",INDEX(Tab_DaBa[],MATCH(CONCATENATE(Liste!$C$3,$B$569,$B$739),Data!$BO:$BO,0)-2,53)=""),"PFH [1/h] = "&amp;10^9*INDEX(Tab_DaBa[],MATCH(CONCATENATE(Liste!$C$3,$B$569,$B$739),Data!$BO:$BO,0)-2,16)&amp;"E-9",IF(INDEX(Tab_DaBa[],MATCH(CONCATENATE(Liste!$C$3,$B$569,$B$739),Data!$BO:$BO,0)-2,48)&lt;&gt;"","PFH [1/h] = "&amp;10^9*INDEX(Tab_DaBa[],MATCH(CONCATENATE(Liste!$C$3,$B$569,$B$739),Data!$BO:$BO,0)-2,56)&amp;"E-9","")),"")</f>
        <v>PFH [1/h] = 24,7E-9</v>
      </c>
      <c r="C761" s="39"/>
      <c r="D761" s="35" t="str">
        <f ca="1">IFERROR(IF(AND(INDEX(Tab_DaBa[],MATCH(CONCATENATE(Liste!$C$3,$B$569,$B$739),Data!$BO:$BO,0)-2,53)&lt;&gt;"",INDEX(Tab_DaBa[],MATCH(CONCATENATE(Liste!$C$3,$B$569,$B$739),Data!$BO:$BO,0)-2,58)=""),"PFH [1/h] = "&amp;10^9*INDEX(Tab_DaBa[],MATCH(CONCATENATE(Liste!$C$3,$B$569,$B$739),Data!$BO:$BO,0)-2,16)&amp;"E-9",IF(INDEX(Tab_DaBa[],MATCH(CONCATENATE(Liste!$C$3,$B$569,$B$739),Data!$BO:$BO,0)-2,53)&lt;&gt;"","PFH [1/h] = "&amp;10^9*INDEX(Tab_DaBa[],MATCH(CONCATENATE(Liste!$C$3,$B$569,$B$739),Data!$BO:$BO,0)-2,61)&amp;"E-9","")),"")</f>
        <v/>
      </c>
      <c r="E761" s="37"/>
      <c r="F761" s="35" t="str">
        <f ca="1">IFERROR(IF(AND(INDEX(Tab_DaBa[],MATCH(CONCATENATE(Liste!$C$3,$B$569,$B$739),Data!$BO:$BO,0)-2,58)&lt;&gt;"",INDEX(Tab_DaBa[],MATCH(CONCATENATE(Liste!$C$3,$B$569,$B$739),Data!$BO:$BO,0)-2,63)=""),"PFH [1/h] = "&amp;10^9*INDEX(Tab_DaBa[],MATCH(CONCATENATE(Liste!$C$3,$B$569,$B$739),Data!$BO:$BO,0)-2,16)&amp;"E-9",IF(INDEX(Tab_DaBa[],MATCH(CONCATENATE(Liste!$C$3,$B$569,$B$739),Data!$BO:$BO,0)-2,58)&lt;&gt;"","PFH [1/h] = "&amp;10^9*INDEX(Tab_DaBa[],MATCH(CONCATENATE(Liste!$C$3,$B$569,$B$739),Data!$BO:$BO,0)-2,66)&amp;"E-9","")),"")</f>
        <v/>
      </c>
      <c r="G761" s="39"/>
      <c r="H761" s="35" t="str">
        <f ca="1">IFERROR(IF(INDEX(Tab_DaBa[],MATCH(CONCATENATE(Liste!$C$3,$B$569,$B$739),Data!$BO:$BO,0)-2,63)&lt;&gt;"","PFH [1/h] = "&amp;10^9*INDEX(Tab_DaBa[],MATCH(CONCATENATE(Liste!$C$3,$B$569,$B$739),Data!$BO:$BO,0)-2,16)&amp;"E-9",""),"")</f>
        <v/>
      </c>
    </row>
    <row r="762" spans="2:9" s="16" customFormat="1"/>
    <row r="763" spans="2:9" s="16" customFormat="1">
      <c r="B763" s="43" t="str">
        <f ca="1">IF(D763="","","Erforderlich")</f>
        <v>Erforderlich</v>
      </c>
      <c r="D763" s="44" t="str">
        <f ca="1">IFERROR("Performance Level: "&amp;INDEX(Tab_DaBa[],MATCH(CONCATENATE(Liste!$C$3,$B$569,$B$739),Data!$BO:$BO,0)-2,4),"")</f>
        <v>Performance Level: PLr_ges3_7</v>
      </c>
    </row>
    <row r="764" spans="2:9" s="16" customFormat="1">
      <c r="B764" s="45"/>
    </row>
    <row r="765" spans="2:9" s="16" customFormat="1">
      <c r="B765" s="46" t="str">
        <f ca="1">IF(D765="","","Erreicht")</f>
        <v>Erreicht</v>
      </c>
      <c r="D765" s="47" t="str">
        <f ca="1">IFERROR("Performance Level: "&amp;INDEX(Tab_DaBa[],MATCH(CONCATENATE(Liste!$C$3,$B$569,$B$739),Data!$BO:$BO,0)-2,5)&amp;"          PFH [1/h] = "&amp;10^9*INDEX(Tab_DaBa[],MATCH(CONCATENATE(Liste!$C$3,$B$569,$B$739),Data!$BO:$BO,0)-2,6)&amp;"E-9","")</f>
        <v>Performance Level: Pl_ges3_7          PFH [1/h] = 71,7E-9</v>
      </c>
    </row>
    <row r="766" spans="2:9" s="16" customFormat="1"/>
    <row r="767" spans="2:9" s="16" customFormat="1">
      <c r="B767" s="42" t="str">
        <f ca="1">IFERROR(IF(8&gt;COUNTIF(Data!$BP:$BP,CONCATENATE(Liste!$C$3,$B$569)),"",INDEX(Tab_DaBa[],MATCH(CONCATENATE(Liste!$C$3,$B$569),Data!$BP:$BP,0)+5,3)),"")</f>
        <v>3.8 Test3 (E+8L+A)</v>
      </c>
    </row>
    <row r="768" spans="2:9" s="16" customFormat="1"/>
    <row r="769" spans="2:9" s="16" customFormat="1" ht="15.75">
      <c r="B769" s="35" t="str">
        <f ca="1">IFERROR(INDEX(Tab_DaBa[],MATCH(CONCATENATE(Liste!$C$3,$B$569,$B$767),Data!$BO:$BO,0)-2,9),"")</f>
        <v>Eingang</v>
      </c>
      <c r="C769" s="54"/>
      <c r="D769" s="35" t="str">
        <f ca="1">IFERROR(IF(INDEX(Tab_DaBa[],MATCH(CONCATENATE(Liste!$C$3,$B$569,$B$767),Data!$BO:$BO,0)-2,18)=0,INDEX(Tab_DaBa[],MATCH(CONCATENATE(Liste!$C$3,$B$569,$B$767),Data!$BO:$BO,0)-2,14),INDEX(Tab_DaBa[],MATCH(CONCATENATE(Liste!$C$3,$B$569,$B$767),Data!$BO:$BO,0)-2,19)),"")</f>
        <v>Logik 01</v>
      </c>
      <c r="E769" s="33"/>
      <c r="F769" s="35" t="str">
        <f ca="1">IFERROR(IF(AND(INDEX(Tab_DaBa[],MATCH(CONCATENATE(Liste!$C$3,$B$569,$B$767),Data!$BO:$BO,0)-2,18)&lt;&gt;"",INDEX(Tab_DaBa[],MATCH(CONCATENATE(Liste!$C$3,$B$569,$B$767),Data!$BO:$BO,0)-2,23)=0),INDEX(Tab_DaBa[],MATCH(CONCATENATE(Liste!$C$3,$B$569,$B$767),Data!$BO:$BO,0)-2,14),IF(INDEX(Tab_DaBa[],MATCH(CONCATENATE(Liste!$C$3,$B$569,$B$767),Data!$BO:$BO,0)-2,23)&lt;&gt;"",INDEX(Tab_DaBa[],MATCH(CONCATENATE(Liste!$C$3,$B$569,$B$767),Data!$BO:$BO,0)-2,24),"")),"")</f>
        <v>Logik 02</v>
      </c>
      <c r="G769" s="39"/>
      <c r="H769" s="35" t="str">
        <f ca="1">IFERROR(IF(AND(INDEX(Tab_DaBa[],MATCH(CONCATENATE(Liste!$C$3,$B$569,$B$767),Data!$BO:$BO,0)-2,23)&lt;&gt;"",INDEX(Tab_DaBa[],MATCH(CONCATENATE(Liste!$C$3,$B$569,$B$767),Data!$BO:$BO,0)-2,28)=0),INDEX(Tab_DaBa[],MATCH(CONCATENATE(Liste!$C$3,$B$569,$B$767),Data!$BO:$BO,0)-2,14),IF(INDEX(Tab_DaBa[],MATCH(CONCATENATE(Liste!$C$3,$B$569,$B$767),Data!$BO:$BO,0)-2,23)&lt;&gt;"",INDEX(Tab_DaBa[],MATCH(CONCATENATE(Liste!$C$3,$B$569,$B$767),Data!$BO:$BO,0)-2,29),"")),"")</f>
        <v>Logik 03</v>
      </c>
      <c r="I769" s="39"/>
    </row>
    <row r="770" spans="2:9" s="16" customFormat="1" ht="15.75">
      <c r="B770" s="35" t="str">
        <f ca="1">IFERROR(INDEX(Tab_DaBa[],MATCH(CONCATENATE(Liste!$C$3,$B$569,$B$767),Data!$BO:$BO,0)-2,7),"")</f>
        <v>eeee-33_8</v>
      </c>
      <c r="C770" s="54"/>
      <c r="D770" s="35" t="str">
        <f ca="1">IFERROR(IF(INDEX(Tab_DaBa[],MATCH(CONCATENATE(Liste!$C$3,$B$569,$B$767),Data!$BO:$BO,0)-2,18)="",INDEX(Tab_DaBa[],MATCH(CONCATENATE(Liste!$C$3,$B$569,$B$767),Data!$BO:$BO,0)-2,12),INDEX(Tab_DaBa[],MATCH(CONCATENATE(Liste!$C$3,$B$569,$B$767),Data!$BO:$BO,0)-2,17)),"")</f>
        <v>Log01-03_08</v>
      </c>
      <c r="E770" s="36"/>
      <c r="F770" s="35" t="str">
        <f ca="1">IFERROR(IF(AND(INDEX(Tab_DaBa[],MATCH(CONCATENATE(Liste!$C$3,$B$569,$B$767),Data!$BO:$BO,0)-2,18)&lt;&gt;"",INDEX(Tab_DaBa[],MATCH(CONCATENATE(Liste!$C$3,$B$569,$B$767),Data!$BO:$BO,0)-2,23)=0),INDEX(Tab_DaBa[],MATCH(CONCATENATE(Liste!$C$3,$B$569,$B$767),Data!$BO:$BO,0)-2,12),IF(INDEX(Tab_DaBa[],MATCH(CONCATENATE(Liste!$C$3,$B$569,$B$767),Data!$BO:$BO,0)-2,23)&lt;&gt;"",INDEX(Tab_DaBa[],MATCH(CONCATENATE(Liste!$C$3,$B$569,$B$767),Data!$BO:$BO,0)-2,22),"")),"")</f>
        <v>Log02-03_08</v>
      </c>
      <c r="G770" s="39"/>
      <c r="H770" s="35" t="str">
        <f ca="1">IFERROR(IF(AND(INDEX(Tab_DaBa[],MATCH(CONCATENATE(Liste!$C$3,$B$569,$B$767),Data!$BO:$BO,0)-2,23)&lt;&gt;"",INDEX(Tab_DaBa[],MATCH(CONCATENATE(Liste!$C$3,$B$569,$B$767),Data!$BO:$BO,0)-2,28)=0),INDEX(Tab_DaBa[],MATCH(CONCATENATE(Liste!$C$3,$B$569,$B$767),Data!$BO:$BO,0)-2,12),IF(INDEX(Tab_DaBa[],MATCH(CONCATENATE(Liste!$C$3,$B$569,$B$767),Data!$BO:$BO,0)-2,23)&lt;&gt;"",INDEX(Tab_DaBa[],MATCH(CONCATENATE(Liste!$C$3,$B$569,$B$767),Data!$BO:$BO,0)-2,27),"")),"")</f>
        <v>Lo03-33_8</v>
      </c>
      <c r="I770" s="39"/>
    </row>
    <row r="771" spans="2:9" s="16" customFormat="1" ht="15.75">
      <c r="B771" s="35" t="str">
        <f ca="1">IFERROR(INDEX(Tab_DaBa[],MATCH(CONCATENATE(Liste!$C$3,$B$569,$B$767),Data!$BO:$BO,0)-2,8),"")</f>
        <v>Bez_Ein3_8</v>
      </c>
      <c r="C771" s="40">
        <f ca="1">IF(D769="","",4)</f>
        <v>4</v>
      </c>
      <c r="D771" s="35" t="str">
        <f ca="1">IFERROR(IF(INDEX(Tab_DaBa[],MATCH(CONCATENATE(Liste!$C$3,$B$569,$B$767),Data!$BO:$BO,0)-2,18)="",INDEX(Tab_DaBa[],MATCH(CONCATENATE(Liste!$C$3,$B$569,$B$767),Data!$BO:$BO,0)-2,13),INDEX(Tab_DaBa[],MATCH(CONCATENATE(Liste!$C$3,$B$569,$B$767),Data!$BO:$BO,0)-2,18)),"")</f>
        <v>Bez_Log01_03_08</v>
      </c>
      <c r="E771" s="40">
        <f ca="1">IF(F769="","",4)</f>
        <v>4</v>
      </c>
      <c r="F771" s="35" t="str">
        <f ca="1">IFERROR(IF(AND(INDEX(Tab_DaBa[],MATCH(CONCATENATE(Liste!$C$3,$B$569,$B$767),Data!$BO:$BO,0)-2,18)&lt;&gt;"",INDEX(Tab_DaBa[],MATCH(CONCATENATE(Liste!$C$3,$B$569,$B$767),Data!$BO:$BO,0)-2,23)=""),INDEX(Tab_DaBa[],MATCH(CONCATENATE(Liste!$C$3,$B$569,$B$767),Data!$BO:$BO,0)-2,13),IF(INDEX(Tab_DaBa[],MATCH(CONCATENATE(Liste!$C$3,$B$569,$B$767),Data!$BO:$BO,0)-2,23)&lt;&gt;"",INDEX(Tab_DaBa[],MATCH(CONCATENATE(Liste!$C$3,$B$569,$B$767),Data!$BO:$BO,0)-2,23),"")),"")</f>
        <v>Bez_Log02_03_8</v>
      </c>
      <c r="G771" s="38">
        <f ca="1">IF(H769="","",4)</f>
        <v>4</v>
      </c>
      <c r="H771" s="35" t="str">
        <f ca="1">IFERROR(IF(AND(INDEX(Tab_DaBa[],MATCH(CONCATENATE(Liste!$C$3,$B$569,$B$767),Data!$BO:$BO,0)-2,23)&lt;&gt;"",INDEX(Tab_DaBa[],MATCH(CONCATENATE(Liste!$C$3,$B$569,$B$767),Data!$BO:$BO,0)-2,28)=""),INDEX(Tab_DaBa[],MATCH(CONCATENATE(Liste!$C$3,$B$569,$B$767),Data!$BO:$BO,0)-2,13),IF(INDEX(Tab_DaBa[],MATCH(CONCATENATE(Liste!$C$3,$B$569,$B$767),Data!$BO:$BO,0)-2,23)&lt;&gt;"",INDEX(Tab_DaBa[],MATCH(CONCATENATE(Liste!$C$3,$B$569,$B$767),Data!$BO:$BO,0)-2,28),"")),"")</f>
        <v>Bez_Lo03_8</v>
      </c>
      <c r="I771" s="38">
        <f ca="1">IF(B777="","",6)</f>
        <v>6</v>
      </c>
    </row>
    <row r="772" spans="2:9" s="16" customFormat="1" ht="15.75">
      <c r="B772" s="35" t="str">
        <f ca="1">IFERROR("Performance Level: "&amp;INDEX(Tab_DaBa[],MATCH(CONCATENATE(Liste!$C$3,$B$569,$B$767),Data!$BO:$BO,0)-2,10),"")</f>
        <v>Performance Level: PL_Ein3_8</v>
      </c>
      <c r="C772" s="54"/>
      <c r="D772" s="35" t="str">
        <f ca="1">IFERROR(IF(INDEX(Tab_DaBa[],MATCH(CONCATENATE(Liste!$C$3,$B$569,$B$767),Data!$BO:$BO,0)-2,18)="","Performance Level: "&amp;INDEX(Tab_DaBa[],MATCH(CONCATENATE(Liste!$C$3,$B$569,$B$767),Data!$BO:$BO,0)-2,15),"Performance Level: "&amp;INDEX(Tab_DaBa[],MATCH(CONCATENATE(Liste!$C$3,$B$569,$B$767),Data!$BO:$BO,0)-2,20)),"")</f>
        <v>Performance Level: PL_Log01_03_08</v>
      </c>
      <c r="E772" s="36"/>
      <c r="F772" s="35" t="str">
        <f ca="1">IFERROR(IF(AND(INDEX(Tab_DaBa[],MATCH(CONCATENATE(Liste!$C$3,$B$569,$B$767),Data!$BO:$BO,0)-2,18)&lt;&gt;"",INDEX(Tab_DaBa[],MATCH(CONCATENATE(Liste!$C$3,$B$569,$B$767),Data!$BO:$BO,0)-2,23)=""),"Performance Level: "&amp;INDEX(Tab_DaBa[],MATCH(CONCATENATE(Liste!$C$3,$B$569,$B$767),Data!$BO:$BO,0)-2,15),IF(INDEX(Tab_DaBa[],MATCH(CONCATENATE(Liste!$C$3,$B$569,$B$767),Data!$BO:$BO,0)-2,23)&lt;&gt;"","Performance Level: "&amp;INDEX(Tab_DaBa[],MATCH(CONCATENATE(Liste!$C$3,$B$569,$B$767),Data!$BO:$BO,0)-2,25),"")),"")</f>
        <v>Performance Level: PL_Lo03_8</v>
      </c>
      <c r="G772" s="39"/>
      <c r="H772" s="35" t="str">
        <f ca="1">IFERROR(IF(AND(INDEX(Tab_DaBa[],MATCH(CONCATENATE(Liste!$C$3,$B$569,$B$767),Data!$BO:$BO,0)-2,23)&lt;&gt;"",INDEX(Tab_DaBa[],MATCH(CONCATENATE(Liste!$C$3,$B$569,$B$767),Data!$BO:$BO,0)-2,28)=""),"Performance Level: "&amp;INDEX(Tab_DaBa[],MATCH(CONCATENATE(Liste!$C$3,$B$569,$B$767),Data!$BO:$BO,0)-2,15),IF(INDEX(Tab_DaBa[],MATCH(CONCATENATE(Liste!$C$3,$B$569,$B$767),Data!$BO:$BO,0)-2,23)&lt;&gt;"","Performance Level: "&amp;INDEX(Tab_DaBa[],MATCH(CONCATENATE(Liste!$C$3,$B$569,$B$767),Data!$BO:$BO,0)-2,30),"")),"")</f>
        <v>Performance Level: PL_Lo03_8</v>
      </c>
      <c r="I772" s="38"/>
    </row>
    <row r="773" spans="2:9" s="16" customFormat="1" ht="15.75">
      <c r="B773" s="53" t="str">
        <f ca="1">IFERROR("PFH [1/h] = "&amp;10^9*INDEX(Tab_DaBa[],MATCH(CONCATENATE(Liste!$C$3,$B$569,$B$767),Data!$BO:$BO,0)-2,11)&amp;"E-9","")</f>
        <v>PFH [1/h] = 42,9E-9</v>
      </c>
      <c r="C773" s="54"/>
      <c r="D773" s="35" t="str">
        <f ca="1">IFERROR(IF(INDEX(Tab_DaBa[],MATCH(CONCATENATE(Liste!$C$3,$B$569,$B$767),Data!$BO:$BO,0)-2,18)="","PFH [1/h] = "&amp;10^9*INDEX(Tab_DaBa[],MATCH(CONCATENATE(Liste!$C$3,$B$569,$B$767),Data!$BO:$BO,0)-2,16)&amp;"E-9","PFH [1/h] = "&amp;10^9*INDEX(Tab_DaBa[],MATCH(CONCATENATE(Liste!$C$3,$B$569,$B$767),Data!$BO:$BO,0)-2,21)&amp;"E-9"),"")</f>
        <v>PFH [1/h] = 4,19E-9</v>
      </c>
      <c r="E773" s="36"/>
      <c r="F773" s="35" t="str">
        <f ca="1">IFERROR(IF(AND(INDEX(Tab_DaBa[],MATCH(CONCATENATE(Liste!$C$3,$B$569,$B$767),Data!$BO:$BO,0)-2,18)&lt;&gt;"",INDEX(Tab_DaBa[],MATCH(CONCATENATE(Liste!$C$3,$B$569,$B$767),Data!$BO:$BO,0)-2,23)=""),"PFH [1/h] = "&amp;10^9*INDEX(Tab_DaBa[],MATCH(CONCATENATE(Liste!$C$3,$B$569,$B$767),Data!$BO:$BO,0)-2,16)&amp;"E-9",IF(INDEX(Tab_DaBa[],MATCH(CONCATENATE(Liste!$C$3,$B$569,$B$767),Data!$BO:$BO,0)-2,23)&lt;&gt;"","PFH [1/h] = "&amp;10^9*INDEX(Tab_DaBa[],MATCH(CONCATENATE(Liste!$C$3,$B$569,$B$767),Data!$BO:$BO,0)-2,26)&amp;"E-9","")),"")</f>
        <v>PFH [1/h] = 4,19E-9</v>
      </c>
      <c r="G773" s="39"/>
      <c r="H773" s="35" t="str">
        <f ca="1">IFERROR(IF(AND(INDEX(Tab_DaBa[],MATCH(CONCATENATE(Liste!$C$3,$B$569,$B$767),Data!$BO:$BO,0)-2,23)&lt;&gt;"",INDEX(Tab_DaBa[],MATCH(CONCATENATE(Liste!$C$3,$B$569,$B$767),Data!$BO:$BO,0)-2,28)=""),"PFH [1/h] = "&amp;10^9*INDEX(Tab_DaBa[],MATCH(CONCATENATE(Liste!$C$3,$B$569,$B$767),Data!$BO:$BO,0)-2,16)&amp;"E-9",IF(INDEX(Tab_DaBa[],MATCH(CONCATENATE(Liste!$C$3,$B$569,$B$767),Data!$BO:$BO,0)-2,23)&lt;&gt;"","PFH [1/h] = "&amp;10^9*INDEX(Tab_DaBa[],MATCH(CONCATENATE(Liste!$C$3,$B$569,$B$767),Data!$BO:$BO,0)-2,31)&amp;"E-9","")),"")</f>
        <v>PFH [1/h] = 4,19E-9</v>
      </c>
      <c r="I773" s="39"/>
    </row>
    <row r="774" spans="2:9" s="16" customFormat="1">
      <c r="B774" s="33"/>
      <c r="C774" s="34"/>
      <c r="D774" s="33"/>
      <c r="E774" s="33"/>
      <c r="F774" s="33"/>
      <c r="G774" s="33"/>
      <c r="H774" s="33"/>
      <c r="I774" s="33"/>
    </row>
    <row r="775" spans="2:9" s="16" customFormat="1" ht="15.75">
      <c r="B775" s="38">
        <f ca="1">IF(B777="","",6)</f>
        <v>6</v>
      </c>
      <c r="C775" s="34"/>
      <c r="D775" s="38">
        <f ca="1">IF(B777="","",3)</f>
        <v>3</v>
      </c>
      <c r="E775" s="33"/>
      <c r="F775" s="38">
        <f ca="1">IF(B777="","",3)</f>
        <v>3</v>
      </c>
      <c r="G775" s="33"/>
      <c r="H775" s="38">
        <f ca="1">IF(B777="","",3)</f>
        <v>3</v>
      </c>
      <c r="I775" s="33"/>
    </row>
    <row r="776" spans="2:9" s="16" customFormat="1" ht="15.75">
      <c r="B776" s="39"/>
      <c r="C776" s="33"/>
      <c r="D776" s="33"/>
      <c r="E776" s="33"/>
      <c r="F776" s="33"/>
      <c r="G776" s="33"/>
      <c r="H776" s="33"/>
      <c r="I776" s="33"/>
    </row>
    <row r="777" spans="2:9" s="16" customFormat="1" ht="15.75">
      <c r="B777" s="35" t="str">
        <f ca="1">IFERROR(IF(AND(INDEX(Tab_DaBa[],MATCH(CONCATENATE(Liste!$C$3,$B$569,$B$767),Data!$BO:$BO,0)-2,28)&lt;&gt;"",INDEX(Tab_DaBa[],MATCH(CONCATENATE(Liste!$C$3,$B$569,$B$767),Data!$BO:$BO,0)-2,33)=0),INDEX(Tab_DaBa[],MATCH(CONCATENATE(Liste!$C$3,$B$569,$B$767),Data!$BO:$BO,0)-2,14),IF(INDEX(Tab_DaBa[],MATCH(CONCATENATE(Liste!$C$3,$B$569,$B$767),Data!$BO:$BO,0)-2,28)&lt;&gt;"",INDEX(Tab_DaBa[],MATCH(CONCATENATE(Liste!$C$3,$B$569,$B$767),Data!$BO:$BO,0)-2,34),"")),"")</f>
        <v>Logik 04</v>
      </c>
      <c r="C777" s="39"/>
      <c r="D777" s="35" t="str">
        <f ca="1">IFERROR(IF(AND(INDEX(Tab_DaBa[],MATCH(CONCATENATE(Liste!$C$3,$B$569,$B$767),Data!$BO:$BO,0)-2,33)&lt;&gt;"",INDEX(Tab_DaBa[],MATCH(CONCATENATE(Liste!$C$3,$B$569,$B$767),Data!$BO:$BO,0)-2,38)=0),INDEX(Tab_DaBa[],MATCH(CONCATENATE(Liste!$C$3,$B$569,$B$767),Data!$BO:$BO,0)-2,14),IF(INDEX(Tab_DaBa[],MATCH(CONCATENATE(Liste!$C$3,$B$569,$B$767),Data!$BO:$BO,0)-2,33)&lt;&gt;"",INDEX(Tab_DaBa[],MATCH(CONCATENATE(Liste!$C$3,$B$569,$B$767),Data!$BO:$BO,0)-2,39),"")),"")</f>
        <v>Logik 06</v>
      </c>
      <c r="E777" s="33"/>
      <c r="F777" s="35" t="str">
        <f ca="1">IFERROR(IF(AND(INDEX(Tab_DaBa[],MATCH(CONCATENATE(Liste!$C$3,$B$569,$B$767),Data!$BO:$BO,0)-2,38)&lt;&gt;"",INDEX(Tab_DaBa[],MATCH(CONCATENATE(Liste!$C$3,$B$569,$B$767),Data!$BO:$BO,0)-2,43)=0),INDEX(Tab_DaBa[],MATCH(CONCATENATE(Liste!$C$3,$B$569,$B$767),Data!$BO:$BO,0)-2,14),IF(INDEX(Tab_DaBa[],MATCH(CONCATENATE(Liste!$C$3,$B$569,$B$767),Data!$BO:$BO,0)-2,38)&lt;&gt;"",INDEX(Tab_DaBa[],MATCH(CONCATENATE(Liste!$C$3,$B$569,$B$767),Data!$BO:$BO,0)-2,44),"")),"")</f>
        <v>Logik 06</v>
      </c>
      <c r="G777" s="39"/>
      <c r="H777" s="35" t="str">
        <f ca="1">IFERROR(IF(AND(INDEX(Tab_DaBa[],MATCH(CONCATENATE(Liste!$C$3,$B$569,$B$767),Data!$BO:$BO,0)-2,43)&lt;&gt;"",INDEX(Tab_DaBa[],MATCH(CONCATENATE(Liste!$C$3,$B$569,$B$767),Data!$BO:$BO,0)-2,48)=0),INDEX(Tab_DaBa[],MATCH(CONCATENATE(Liste!$C$3,$B$569,$B$767),Data!$BO:$BO,0)-2,14),IF(INDEX(Tab_DaBa[],MATCH(CONCATENATE(Liste!$C$3,$B$569,$B$767),Data!$BO:$BO,0)-2,43)&lt;&gt;"",INDEX(Tab_DaBa[],MATCH(CONCATENATE(Liste!$C$3,$B$569,$B$767),Data!$BO:$BO,0)-2,49),"")),"")</f>
        <v>Logik 07</v>
      </c>
      <c r="I777" s="39"/>
    </row>
    <row r="778" spans="2:9" s="16" customFormat="1" ht="15.75">
      <c r="B778" s="35" t="str">
        <f ca="1">IFERROR(IF(AND(INDEX(Tab_DaBa[],MATCH(CONCATENATE(Liste!$C$3,$B$569,$B$767),Data!$BO:$BO,0)-2,28)&lt;&gt;"",INDEX(Tab_DaBa[],MATCH(CONCATENATE(Liste!$C$3,$B$569,$B$767),Data!$BO:$BO,0)-2,33)=0),INDEX(Tab_DaBa[],MATCH(CONCATENATE(Liste!$C$3,$B$569,$B$767),Data!$BO:$BO,0)-2,12),IF(INDEX(Tab_DaBa[],MATCH(CONCATENATE(Liste!$C$3,$B$569,$B$767),Data!$BO:$BO,0)-2,28)&lt;&gt;"",INDEX(Tab_DaBa[],MATCH(CONCATENATE(Liste!$C$3,$B$569,$B$767),Data!$BO:$BO,0)-2,32),"")),"")</f>
        <v>Lo03-33_08</v>
      </c>
      <c r="C778" s="39"/>
      <c r="D778" s="35" t="str">
        <f ca="1">IFERROR(IF(AND(INDEX(Tab_DaBa[],MATCH(CONCATENATE(Liste!$C$3,$B$569,$B$767),Data!$BO:$BO,0)-2,33)&lt;&gt;"",INDEX(Tab_DaBa[],MATCH(CONCATENATE(Liste!$C$3,$B$569,$B$767),Data!$BO:$BO,0)-2,38)=0),INDEX(Tab_DaBa[],MATCH(CONCATENATE(Liste!$C$3,$B$569,$B$767),Data!$BO:$BO,0)-2,12),IF(INDEX(Tab_DaBa[],MATCH(CONCATENATE(Liste!$C$3,$B$569,$B$767),Data!$BO:$BO,0)-2,33)&lt;&gt;"",INDEX(Tab_DaBa[],MATCH(CONCATENATE(Liste!$C$3,$B$569,$B$767),Data!$BO:$BO,0)-2,37),"")),"")</f>
        <v>Lo03-33_08</v>
      </c>
      <c r="E778" s="37"/>
      <c r="F778" s="35" t="str">
        <f ca="1">IFERROR(IF(AND(INDEX(Tab_DaBa[],MATCH(CONCATENATE(Liste!$C$3,$B$569,$B$767),Data!$BO:$BO,0)-2,38)&lt;&gt;"",INDEX(Tab_DaBa[],MATCH(CONCATENATE(Liste!$C$3,$B$569,$B$767),Data!$BO:$BO,0)-2,43)=0),INDEX(Tab_DaBa[],MATCH(CONCATENATE(Liste!$C$3,$B$569,$B$767),Data!$BO:$BO,0)-2,12),IF(INDEX(Tab_DaBa[],MATCH(CONCATENATE(Liste!$C$3,$B$569,$B$767),Data!$BO:$BO,0)-2,38)&lt;&gt;"",INDEX(Tab_DaBa[],MATCH(CONCATENATE(Liste!$C$3,$B$569,$B$767),Data!$BO:$BO,0)-2,42),"")),"")</f>
        <v>Lo03-33_08</v>
      </c>
      <c r="G778" s="39"/>
      <c r="H778" s="35" t="str">
        <f ca="1">IFERROR(IF(AND(INDEX(Tab_DaBa[],MATCH(CONCATENATE(Liste!$C$3,$B$569,$B$767),Data!$BO:$BO,0)-2,43)&lt;&gt;"",INDEX(Tab_DaBa[],MATCH(CONCATENATE(Liste!$C$3,$B$569,$B$767),Data!$BO:$BO,0)-2,48)=0),INDEX(Tab_DaBa[],MATCH(CONCATENATE(Liste!$C$3,$B$569,$B$767),Data!$BO:$BO,0)-2,12),IF(INDEX(Tab_DaBa[],MATCH(CONCATENATE(Liste!$C$3,$B$569,$B$767),Data!$BO:$BO,0)-2,43)&lt;&gt;"",INDEX(Tab_DaBa[],MATCH(CONCATENATE(Liste!$C$3,$B$569,$B$767),Data!$BO:$BO,0)-2,47),"")),"")</f>
        <v>Lo03-33_08</v>
      </c>
      <c r="I778" s="39"/>
    </row>
    <row r="779" spans="2:9" s="16" customFormat="1" ht="15.75">
      <c r="B779" s="35" t="str">
        <f ca="1">IFERROR(IF(AND(INDEX(Tab_DaBa[],MATCH(CONCATENATE(Liste!$C$3,$B$569,$B$767),Data!$BO:$BO,0)-2,28)&lt;&gt;"",INDEX(Tab_DaBa[],MATCH(CONCATENATE(Liste!$C$3,$B$569,$B$767),Data!$BO:$BO,0)-2,33)=""),INDEX(Tab_DaBa[],MATCH(CONCATENATE(Liste!$C$3,$B$569,$B$767),Data!$BO:$BO,0)-2,13),IF(INDEX(Tab_DaBa[],MATCH(CONCATENATE(Liste!$C$3,$B$569,$B$767),Data!$BO:$BO,0)-2,28)&lt;&gt;"",INDEX(Tab_DaBa[],MATCH(CONCATENATE(Liste!$C$3,$B$569,$B$767),Data!$BO:$BO,0)-2,33),"")),"")</f>
        <v>Bez_Lo03_08</v>
      </c>
      <c r="C779" s="38">
        <f ca="1">IF(D777="","",4)</f>
        <v>4</v>
      </c>
      <c r="D779" s="35" t="str">
        <f ca="1">IFERROR(IF(AND(INDEX(Tab_DaBa[],MATCH(CONCATENATE(Liste!$C$3,$B$569,$B$767),Data!$BO:$BO,0)-2,33)&lt;&gt;"",INDEX(Tab_DaBa[],MATCH(CONCATENATE(Liste!$C$3,$B$569,$B$767),Data!$BO:$BO,0)-2,38)=""),INDEX(Tab_DaBa[],MATCH(CONCATENATE(Liste!$C$3,$B$569,$B$767),Data!$BO:$BO,0)-2,13),IF(INDEX(Tab_DaBa[],MATCH(CONCATENATE(Liste!$C$3,$B$569,$B$767),Data!$BO:$BO,0)-2,33)&lt;&gt;"",INDEX(Tab_DaBa[],MATCH(CONCATENATE(Liste!$C$3,$B$569,$B$767),Data!$BO:$BO,0)-2,38),"")),"")</f>
        <v>Bez_Lo03_08</v>
      </c>
      <c r="E779" s="38">
        <f ca="1">IF(F777="","",4)</f>
        <v>4</v>
      </c>
      <c r="F779" s="35" t="str">
        <f ca="1">IFERROR(IF(AND(INDEX(Tab_DaBa[],MATCH(CONCATENATE(Liste!$C$3,$B$569,$B$767),Data!$BO:$BO,0)-2,38)&lt;&gt;"",INDEX(Tab_DaBa[],MATCH(CONCATENATE(Liste!$C$3,$B$569,$B$767),Data!$BO:$BO,0)-2,43)=""),INDEX(Tab_DaBa[],MATCH(CONCATENATE(Liste!$C$3,$B$569,$B$767),Data!$BO:$BO,0)-2,13),IF(INDEX(Tab_DaBa[],MATCH(CONCATENATE(Liste!$C$3,$B$569,$B$767),Data!$BO:$BO,0)-2,38)&lt;&gt;"",INDEX(Tab_DaBa[],MATCH(CONCATENATE(Liste!$C$3,$B$569,$B$767),Data!$BO:$BO,0)-2,43),"")),"")</f>
        <v>Bez_Lo03_08</v>
      </c>
      <c r="G779" s="38">
        <f ca="1">IF(H777="","",4)</f>
        <v>4</v>
      </c>
      <c r="H779" s="35" t="str">
        <f ca="1">IFERROR(IF(AND(INDEX(Tab_DaBa[],MATCH(CONCATENATE(Liste!$C$3,$B$569,$B$767),Data!$BO:$BO,0)-2,43)&lt;&gt;"",INDEX(Tab_DaBa[],MATCH(CONCATENATE(Liste!$C$3,$B$569,$B$767),Data!$BO:$BO,0)-2,48)=""),INDEX(Tab_DaBa[],MATCH(CONCATENATE(Liste!$C$3,$B$569,$B$767),Data!$BO:$BO,0)-2,13),IF(INDEX(Tab_DaBa[],MATCH(CONCATENATE(Liste!$C$3,$B$569,$B$767),Data!$BO:$BO,0)-2,43)&lt;&gt;"",INDEX(Tab_DaBa[],MATCH(CONCATENATE(Liste!$C$3,$B$569,$B$767),Data!$BO:$BO,0)-2,48),"")),"")</f>
        <v>Bez_Lo03_08</v>
      </c>
      <c r="I779" s="38">
        <f ca="1">IF(B785="","",6)</f>
        <v>6</v>
      </c>
    </row>
    <row r="780" spans="2:9" s="16" customFormat="1" ht="15.75">
      <c r="B780" s="35" t="str">
        <f ca="1">IFERROR(IF(AND(INDEX(Tab_DaBa[],MATCH(CONCATENATE(Liste!$C$3,$B$569,$B$767),Data!$BO:$BO,0)-2,28)&lt;&gt;"",INDEX(Tab_DaBa[],MATCH(CONCATENATE(Liste!$C$3,$B$569,$B$767),Data!$BO:$BO,0)-2,33)=""),"Performance Level: "&amp;INDEX(Tab_DaBa[],MATCH(CONCATENATE(Liste!$C$3,$B$569,$B$767),Data!$BO:$BO,0)-2,15),IF(INDEX(Tab_DaBa[],MATCH(CONCATENATE(Liste!$C$3,$B$569,$B$767),Data!$BO:$BO,0)-2,28)&lt;&gt;"","Performance Level: "&amp;INDEX(Tab_DaBa[],MATCH(CONCATENATE(Liste!$C$3,$B$569,$B$767),Data!$BO:$BO,0)-2,35),"")),"")</f>
        <v>Performance Level: PL_Lo03_08</v>
      </c>
      <c r="C780" s="39"/>
      <c r="D780" s="35" t="str">
        <f ca="1">IFERROR(IF(AND(INDEX(Tab_DaBa[],MATCH(CONCATENATE(Liste!$C$3,$B$569,$B$767),Data!$BO:$BO,0)-2,33)&lt;&gt;"",INDEX(Tab_DaBa[],MATCH(CONCATENATE(Liste!$C$3,$B$569,$B$767),Data!$BO:$BO,0)-2,38)=""),"Performance Level: "&amp;INDEX(Tab_DaBa[],MATCH(CONCATENATE(Liste!$C$3,$B$569,$B$767),Data!$BO:$BO,0)-2,15),IF(INDEX(Tab_DaBa[],MATCH(CONCATENATE(Liste!$C$3,$B$569,$B$767),Data!$BO:$BO,0)-2,33)&lt;&gt;"","Performance Level: "&amp;INDEX(Tab_DaBa[],MATCH(CONCATENATE(Liste!$C$3,$B$569,$B$767),Data!$BO:$BO,0)-2,40),"")),"")</f>
        <v>Performance Level: PL_Lo03_8</v>
      </c>
      <c r="E780" s="37"/>
      <c r="F780" s="35" t="str">
        <f ca="1">IFERROR(IF(AND(INDEX(Tab_DaBa[],MATCH(CONCATENATE(Liste!$C$3,$B$569,$B$767),Data!$BO:$BO,0)-2,38)&lt;&gt;"",INDEX(Tab_DaBa[],MATCH(CONCATENATE(Liste!$C$3,$B$569,$B$767),Data!$BO:$BO,0)-2,43)=""),"Performance Level: "&amp;INDEX(Tab_DaBa[],MATCH(CONCATENATE(Liste!$C$3,$B$569,$B$767),Data!$BO:$BO,0)-2,15),IF(INDEX(Tab_DaBa[],MATCH(CONCATENATE(Liste!$C$3,$B$569,$B$767),Data!$BO:$BO,0)-2,38)&lt;&gt;"","Performance Level: "&amp;INDEX(Tab_DaBa[],MATCH(CONCATENATE(Liste!$C$3,$B$569,$B$767),Data!$BO:$BO,0)-2,45),"")),"")</f>
        <v>Performance Level: PL_Lo03_08</v>
      </c>
      <c r="G780" s="39"/>
      <c r="H780" s="35" t="str">
        <f ca="1">IFERROR(IF(AND(INDEX(Tab_DaBa[],MATCH(CONCATENATE(Liste!$C$3,$B$569,$B$767),Data!$BO:$BO,0)-2,43)&lt;&gt;"",INDEX(Tab_DaBa[],MATCH(CONCATENATE(Liste!$C$3,$B$569,$B$767),Data!$BO:$BO,0)-2,48)=""),"Performance Level: "&amp;INDEX(Tab_DaBa[],MATCH(CONCATENATE(Liste!$C$3,$B$569,$B$767),Data!$BO:$BO,0)-2,15),IF(INDEX(Tab_DaBa[],MATCH(CONCATENATE(Liste!$C$3,$B$569,$B$767),Data!$BO:$BO,0)-2,43)&lt;&gt;"","Performance Level: "&amp;INDEX(Tab_DaBa[],MATCH(CONCATENATE(Liste!$C$3,$B$569,$B$767),Data!$BO:$BO,0)-2,50),"")),"")</f>
        <v>Performance Level: PL_Lo03_08</v>
      </c>
      <c r="I780" s="39"/>
    </row>
    <row r="781" spans="2:9" s="16" customFormat="1" ht="15.75">
      <c r="B781" s="35" t="str">
        <f ca="1">IFERROR(IF(AND(INDEX(Tab_DaBa[],MATCH(CONCATENATE(Liste!$C$3,$B$569,$B$767),Data!$BO:$BO,0)-2,28)&lt;&gt;"",INDEX(Tab_DaBa[],MATCH(CONCATENATE(Liste!$C$3,$B$569,$B$767),Data!$BO:$BO,0)-2,33)=""),"PFH [1/h] = "&amp;10^9*INDEX(Tab_DaBa[],MATCH(CONCATENATE(Liste!$C$3,$B$569,$B$767),Data!$BO:$BO,0)-2,16)&amp;"E-9",IF(INDEX(Tab_DaBa[],MATCH(CONCATENATE(Liste!$C$3,$B$569,$B$767),Data!$BO:$BO,0)-2,28)&lt;&gt;"","PFH [1/h] = "&amp;10^9*INDEX(Tab_DaBa[],MATCH(CONCATENATE(Liste!$C$3,$B$569,$B$767),Data!$BO:$BO,0)-2,36)&amp;"E-9","")),"")</f>
        <v>PFH [1/h] = 4,19E-9</v>
      </c>
      <c r="C781" s="39"/>
      <c r="D781" s="35" t="str">
        <f ca="1">IFERROR(IF(AND(INDEX(Tab_DaBa[],MATCH(CONCATENATE(Liste!$C$3,$B$569,$B$767),Data!$BO:$BO,0)-2,33)&lt;&gt;"",INDEX(Tab_DaBa[],MATCH(CONCATENATE(Liste!$C$3,$B$569,$B$767),Data!$BO:$BO,0)-2,38)=""),"PFH [1/h] = "&amp;10^9*INDEX(Tab_DaBa[],MATCH(CONCATENATE(Liste!$C$3,$B$569,$B$767),Data!$BO:$BO,0)-2,16)&amp;"E-9",IF(INDEX(Tab_DaBa[],MATCH(CONCATENATE(Liste!$C$3,$B$569,$B$767),Data!$BO:$BO,0)-2,33)&lt;&gt;"","PFH [1/h] = "&amp;10^9*INDEX(Tab_DaBa[],MATCH(CONCATENATE(Liste!$C$3,$B$569,$B$767),Data!$BO:$BO,0)-2,41)&amp;"E-9","")),"")</f>
        <v>PFH [1/h] = 4,19E-9</v>
      </c>
      <c r="E781" s="37"/>
      <c r="F781" s="35" t="str">
        <f ca="1">IFERROR(IF(AND(INDEX(Tab_DaBa[],MATCH(CONCATENATE(Liste!$C$3,$B$569,$B$767),Data!$BO:$BO,0)-2,38)&lt;&gt;"",INDEX(Tab_DaBa[],MATCH(CONCATENATE(Liste!$C$3,$B$569,$B$767),Data!$BO:$BO,0)-2,43)=""),"PFH [1/h] = "&amp;10^9*INDEX(Tab_DaBa[],MATCH(CONCATENATE(Liste!$C$3,$B$569,$B$767),Data!$BO:$BO,0)-2,16)&amp;"E-9",IF(INDEX(Tab_DaBa[],MATCH(CONCATENATE(Liste!$C$3,$B$569,$B$767),Data!$BO:$BO,0)-2,38)&lt;&gt;"","PFH [1/h] = "&amp;10^9*INDEX(Tab_DaBa[],MATCH(CONCATENATE(Liste!$C$3,$B$569,$B$767),Data!$BO:$BO,0)-2,46)&amp;"E-9","")),"")</f>
        <v>PFH [1/h] = 4,19E-9</v>
      </c>
      <c r="G781" s="39"/>
      <c r="H781" s="35" t="str">
        <f ca="1">IFERROR(IF(AND(INDEX(Tab_DaBa[],MATCH(CONCATENATE(Liste!$C$3,$B$569,$B$767),Data!$BO:$BO,0)-2,43)&lt;&gt;"",INDEX(Tab_DaBa[],MATCH(CONCATENATE(Liste!$C$3,$B$569,$B$767),Data!$BO:$BO,0)-2,48)=""),"PFH [1/h] = "&amp;10^9*INDEX(Tab_DaBa[],MATCH(CONCATENATE(Liste!$C$3,$B$569,$B$767),Data!$BO:$BO,0)-2,16)&amp;"E-9",IF(INDEX(Tab_DaBa[],MATCH(CONCATENATE(Liste!$C$3,$B$569,$B$767),Data!$BO:$BO,0)-2,43)&lt;&gt;"","PFH [1/h] = "&amp;10^9*INDEX(Tab_DaBa[],MATCH(CONCATENATE(Liste!$C$3,$B$569,$B$767),Data!$BO:$BO,0)-2,51)&amp;"E-9","")),"")</f>
        <v>PFH [1/h] = 4,19E-9</v>
      </c>
      <c r="I781" s="39"/>
    </row>
    <row r="782" spans="2:9" s="16" customFormat="1">
      <c r="B782" s="33"/>
      <c r="C782" s="33"/>
      <c r="D782" s="33"/>
      <c r="E782" s="33"/>
      <c r="F782" s="33"/>
      <c r="G782" s="33"/>
      <c r="H782" s="33"/>
      <c r="I782" s="33"/>
    </row>
    <row r="783" spans="2:9" s="16" customFormat="1" ht="15.75">
      <c r="B783" s="38">
        <f ca="1">IF(B785="","",6)</f>
        <v>6</v>
      </c>
      <c r="C783" s="33"/>
      <c r="D783" s="38">
        <f ca="1">IF(B785="","",3)</f>
        <v>3</v>
      </c>
      <c r="E783" s="33"/>
      <c r="F783" s="38">
        <f ca="1">IF(B785="","",3)</f>
        <v>3</v>
      </c>
      <c r="G783" s="33"/>
      <c r="H783" s="38">
        <f ca="1">IF(B785="","",3)</f>
        <v>3</v>
      </c>
      <c r="I783" s="33"/>
    </row>
    <row r="784" spans="2:9" s="16" customFormat="1" ht="15.75">
      <c r="B784" s="39"/>
      <c r="C784" s="33"/>
      <c r="D784" s="33"/>
      <c r="E784" s="33"/>
      <c r="F784" s="33"/>
      <c r="G784" s="33"/>
      <c r="H784" s="33"/>
      <c r="I784" s="33"/>
    </row>
    <row r="785" spans="2:9" s="16" customFormat="1" ht="15.75">
      <c r="B785" s="35" t="str">
        <f ca="1">IFERROR(IF(AND(INDEX(Tab_DaBa[],MATCH(CONCATENATE(Liste!$C$3,$B$569,$B$767),Data!$BO:$BO,0)-2,48)&lt;&gt;"",INDEX(Tab_DaBa[],MATCH(CONCATENATE(Liste!$C$3,$B$569,$B$767),Data!$BO:$BO,0)-2,53)=0),INDEX(Tab_DaBa[],MATCH(CONCATENATE(Liste!$C$3,$B$569,$B$767),Data!$BO:$BO,0)-2,14),IF(INDEX(Tab_DaBa[],MATCH(CONCATENATE(Liste!$C$3,$B$569,$B$767),Data!$BO:$BO,0)-2,48)&lt;&gt;"",INDEX(Tab_DaBa[],MATCH(CONCATENATE(Liste!$C$3,$B$569,$B$767),Data!$BO:$BO,0)-2,54),"")),"")</f>
        <v>Logik 08</v>
      </c>
      <c r="C785" s="39"/>
      <c r="D785" s="35" t="str">
        <f ca="1">IFERROR(IF(AND(INDEX(Tab_DaBa[],MATCH(CONCATENATE(Liste!$C$3,$B$569,$B$767),Data!$BO:$BO,0)-2,53)&lt;&gt;"",INDEX(Tab_DaBa[],MATCH(CONCATENATE(Liste!$C$3,$B$569,$B$767),Data!$BO:$BO,0)-2,58)=0),INDEX(Tab_DaBa[],MATCH(CONCATENATE(Liste!$C$3,$B$569,$B$767),Data!$BO:$BO,0)-2,14),IF(INDEX(Tab_DaBa[],MATCH(CONCATENATE(Liste!$C$3,$B$569,$B$767),Data!$BO:$BO,0)-2,53)&lt;&gt;"",INDEX(Tab_DaBa[],MATCH(CONCATENATE(Liste!$C$3,$B$569,$B$767),Data!$BO:$BO,0)-2,59),"")),"")</f>
        <v>Ausgang</v>
      </c>
      <c r="E785" s="33"/>
      <c r="F785" s="35" t="str">
        <f ca="1">IFERROR(IF(AND(INDEX(Tab_DaBa[],MATCH(CONCATENATE(Liste!$C$3,$B$569,$B$767),Data!$BO:$BO,0)-2,58)&lt;&gt;"",INDEX(Tab_DaBa[],MATCH(CONCATENATE(Liste!$C$3,$B$569,$B$767),Data!$BO:$BO,0)-2,63)=0),INDEX(Tab_DaBa[],MATCH(CONCATENATE(Liste!$C$3,$B$569,$B$767),Data!$BO:$BO,0)-2,14),IF(INDEX(Tab_DaBa[],MATCH(CONCATENATE(Liste!$C$3,$B$569,$B$767),Data!$BO:$BO,0)-2,58)&lt;&gt;"",INDEX(Tab_DaBa[],MATCH(CONCATENATE(Liste!$C$3,$B$569,$B$767),Data!$BO:$BO,0)-2,64),"")),"")</f>
        <v/>
      </c>
      <c r="G785" s="39"/>
      <c r="H785" s="35" t="str">
        <f ca="1">IFERROR(IF(INDEX(Tab_DaBa[],MATCH(CONCATENATE(Liste!$C$3,$B$569,$B$767),Data!$BO:$BO,0)-2,63)&lt;&gt;"",INDEX(Tab_DaBa[],MATCH(CONCATENATE(Liste!$C$3,$B$569,$B$767),Data!$BO:$BO,0)-2,14),""),"")</f>
        <v/>
      </c>
    </row>
    <row r="786" spans="2:9" s="16" customFormat="1" ht="15.75">
      <c r="B786" s="35" t="str">
        <f ca="1">IFERROR(IF(AND(INDEX(Tab_DaBa[],MATCH(CONCATENATE(Liste!$C$3,$B$569,$B$767),Data!$BO:$BO,0)-2,48)&lt;&gt;"",INDEX(Tab_DaBa[],MATCH(CONCATENATE(Liste!$C$3,$B$569,$B$767),Data!$BO:$BO,0)-2,53)=0),INDEX(Tab_DaBa[],MATCH(CONCATENATE(Liste!$C$3,$B$569,$B$767),Data!$BO:$BO,0)-2,12),IF(INDEX(Tab_DaBa[],MATCH(CONCATENATE(Liste!$C$3,$B$569,$B$767),Data!$BO:$BO,0)-2,48)&lt;&gt;"",INDEX(Tab_DaBa[],MATCH(CONCATENATE(Liste!$C$3,$B$569,$B$767),Data!$BO:$BO,0)-2,52),"")),"")</f>
        <v>Lo03-88_08</v>
      </c>
      <c r="C786" s="39"/>
      <c r="D786" s="35" t="str">
        <f ca="1">IFERROR(IF(AND(INDEX(Tab_DaBa[],MATCH(CONCATENATE(Liste!$C$3,$B$569,$B$767),Data!$BO:$BO,0)-2,53)&lt;&gt;"",INDEX(Tab_DaBa[],MATCH(CONCATENATE(Liste!$C$3,$B$569,$B$767),Data!$BO:$BO,0)-2,58)=0),INDEX(Tab_DaBa[],MATCH(CONCATENATE(Liste!$C$3,$B$569,$B$767),Data!$BO:$BO,0)-2,12),IF(INDEX(Tab_DaBa[],MATCH(CONCATENATE(Liste!$C$3,$B$569,$B$767),Data!$BO:$BO,0)-2,53)&lt;&gt;"",INDEX(Tab_DaBa[],MATCH(CONCATENATE(Liste!$C$3,$B$569,$B$767),Data!$BO:$BO,0)-2,57),"")),"")</f>
        <v>aaaa-33_8</v>
      </c>
      <c r="E786" s="37"/>
      <c r="F786" s="35" t="str">
        <f ca="1">IFERROR(IF(AND(INDEX(Tab_DaBa[],MATCH(CONCATENATE(Liste!$C$3,$B$569,$B$767),Data!$BO:$BO,0)-2,58)&lt;&gt;"",INDEX(Tab_DaBa[],MATCH(CONCATENATE(Liste!$C$3,$B$569,$B$767),Data!$BO:$BO,0)-2,63)=0),INDEX(Tab_DaBa[],MATCH(CONCATENATE(Liste!$C$3,$B$569,$B$767),Data!$BO:$BO,0)-2,12),IF(INDEX(Tab_DaBa[],MATCH(CONCATENATE(Liste!$C$3,$B$569,$B$767),Data!$BO:$BO,0)-2,58)&lt;&gt;"",INDEX(Tab_DaBa[],MATCH(CONCATENATE(Liste!$C$3,$B$569,$B$767),Data!$BO:$BO,0)-2,62),"")),"")</f>
        <v/>
      </c>
      <c r="G786" s="39"/>
      <c r="H786" s="35" t="str">
        <f ca="1">IFERROR(IF(INDEX(Tab_DaBa[],MATCH(CONCATENATE(Liste!$C$3,$B$569,$B$767),Data!$BO:$BO,0)-2,63)&lt;&gt;"",INDEX(Tab_DaBa[],MATCH(CONCATENATE(Liste!$C$3,$B$569,$B$767),Data!$BO:$BO,0)-2,12),""),"")</f>
        <v/>
      </c>
    </row>
    <row r="787" spans="2:9" s="16" customFormat="1" ht="15.75">
      <c r="B787" s="35" t="str">
        <f ca="1">IFERROR(IF(AND(INDEX(Tab_DaBa[],MATCH(CONCATENATE(Liste!$C$3,$B$569,$B$767),Data!$BO:$BO,0)-2,48)&lt;&gt;"",INDEX(Tab_DaBa[],MATCH(CONCATENATE(Liste!$C$3,$B$569,$B$767),Data!$BO:$BO,0)-2,53)=""),INDEX(Tab_DaBa[],MATCH(CONCATENATE(Liste!$C$3,$B$569,$B$767),Data!$BO:$BO,0)-2,13),IF(INDEX(Tab_DaBa[],MATCH(CONCATENATE(Liste!$C$3,$B$569,$B$767),Data!$BO:$BO,0)-2,48)&lt;&gt;"",INDEX(Tab_DaBa[],MATCH(CONCATENATE(Liste!$C$3,$B$569,$B$767),Data!$BO:$BO,0)-2,53),"")),"")</f>
        <v>Bez_Lo03_08</v>
      </c>
      <c r="C787" s="38">
        <f ca="1">IF(D785="","",4)</f>
        <v>4</v>
      </c>
      <c r="D787" s="35" t="str">
        <f ca="1">IFERROR(IF(AND(INDEX(Tab_DaBa[],MATCH(CONCATENATE(Liste!$C$3,$B$569,$B$767),Data!$BO:$BO,0)-2,53)&lt;&gt;"",INDEX(Tab_DaBa[],MATCH(CONCATENATE(Liste!$C$3,$B$569,$B$767),Data!$BO:$BO,0)-2,58)=""),INDEX(Tab_DaBa[],MATCH(CONCATENATE(Liste!$C$3,$B$569,$B$767),Data!$BO:$BO,0)-2,13),IF(INDEX(Tab_DaBa[],MATCH(CONCATENATE(Liste!$C$3,$B$569,$B$767),Data!$BO:$BO,0)-2,53)&lt;&gt;"",INDEX(Tab_DaBa[],MATCH(CONCATENATE(Liste!$C$3,$B$569,$B$767),Data!$BO:$BO,0)-2,58),"")),"")</f>
        <v>Bez_Aus3_8</v>
      </c>
      <c r="E787" s="38" t="str">
        <f ca="1">IF(F785="","",4)</f>
        <v/>
      </c>
      <c r="F787" s="35" t="str">
        <f ca="1">IFERROR(IF(AND(INDEX(Tab_DaBa[],MATCH(CONCATENATE(Liste!$C$3,$B$569,$B$767),Data!$BO:$BO,0)-2,58)&lt;&gt;"",INDEX(Tab_DaBa[],MATCH(CONCATENATE(Liste!$C$3,$B$569,$B$767),Data!$BO:$BO,0)-2,63)=""),INDEX(Tab_DaBa[],MATCH(CONCATENATE(Liste!$C$3,$B$569,$B$767),Data!$BO:$BO,0)-2,13),IF(INDEX(Tab_DaBa[],MATCH(CONCATENATE(Liste!$C$3,$B$569,$B$767),Data!$BO:$BO,0)-2,58)&lt;&gt;"",INDEX(Tab_DaBa[],MATCH(CONCATENATE(Liste!$C$3,$B$569,$B$767),Data!$BO:$BO,0)-2,63),"")),"")</f>
        <v/>
      </c>
      <c r="G787" s="38" t="str">
        <f ca="1">IF(H785="","",4)</f>
        <v/>
      </c>
      <c r="H787" s="35" t="str">
        <f ca="1">IFERROR(IF(INDEX(Tab_DaBa[],MATCH(CONCATENATE(Liste!$C$3,$B$569,$B$767),Data!$BO:$BO,0)-2,63)&lt;&gt;"",INDEX(Tab_DaBa[],MATCH(CONCATENATE(Liste!$C$3,$B$569,$B$767),Data!$BO:$BO,0)-2,13),""),"")</f>
        <v/>
      </c>
    </row>
    <row r="788" spans="2:9" s="16" customFormat="1" ht="15.75">
      <c r="B788" s="35" t="str">
        <f ca="1">IFERROR(IF(AND(INDEX(Tab_DaBa[],MATCH(CONCATENATE(Liste!$C$3,$B$569,$B$767),Data!$BO:$BO,0)-2,48)&lt;&gt;"",INDEX(Tab_DaBa[],MATCH(CONCATENATE(Liste!$C$3,$B$569,$B$767),Data!$BO:$BO,0)-2,53)=""),"Performance Level: "&amp;INDEX(Tab_DaBa[],MATCH(CONCATENATE(Liste!$C$3,$B$569,$B$767),Data!$BO:$BO,0)-2,15),IF(INDEX(Tab_DaBa[],MATCH(CONCATENATE(Liste!$C$3,$B$569,$B$767),Data!$BO:$BO,0)-2,48)&lt;&gt;"","Performance Level: "&amp;INDEX(Tab_DaBa[],MATCH(CONCATENATE(Liste!$C$3,$B$569,$B$767),Data!$BO:$BO,0)-2,55),"")),"")</f>
        <v>Performance Level: PL_Lo03_08</v>
      </c>
      <c r="C788" s="39"/>
      <c r="D788" s="35" t="str">
        <f ca="1">IFERROR(IF(AND(INDEX(Tab_DaBa[],MATCH(CONCATENATE(Liste!$C$3,$B$569,$B$767),Data!$BO:$BO,0)-2,53)&lt;&gt;"",INDEX(Tab_DaBa[],MATCH(CONCATENATE(Liste!$C$3,$B$569,$B$767),Data!$BO:$BO,0)-2,58)=""),"Performance Level: "&amp;INDEX(Tab_DaBa[],MATCH(CONCATENATE(Liste!$C$3,$B$569,$B$767),Data!$BO:$BO,0)-2,15),IF(INDEX(Tab_DaBa[],MATCH(CONCATENATE(Liste!$C$3,$B$569,$B$767),Data!$BO:$BO,0)-2,53)&lt;&gt;"","Performance Level: "&amp;INDEX(Tab_DaBa[],MATCH(CONCATENATE(Liste!$C$3,$B$569,$B$767),Data!$BO:$BO,0)-2,60),"")),"")</f>
        <v>Performance Level: PL_Aus3_8</v>
      </c>
      <c r="E788" s="37"/>
      <c r="F788" s="35" t="str">
        <f ca="1">IFERROR(IF(AND(INDEX(Tab_DaBa[],MATCH(CONCATENATE(Liste!$C$3,$B$569,$B$767),Data!$BO:$BO,0)-2,58)&lt;&gt;"",INDEX(Tab_DaBa[],MATCH(CONCATENATE(Liste!$C$3,$B$569,$B$767),Data!$BO:$BO,0)-2,63)=""),"Performance Level: "&amp;INDEX(Tab_DaBa[],MATCH(CONCATENATE(Liste!$C$3,$B$569,$B$767),Data!$BO:$BO,0)-2,15),IF(INDEX(Tab_DaBa[],MATCH(CONCATENATE(Liste!$C$3,$B$569,$B$767),Data!$BO:$BO,0)-2,58)&lt;&gt;"","Performance Level: "&amp;INDEX(Tab_DaBa[],MATCH(CONCATENATE(Liste!$C$3,$B$569,$B$767),Data!$BO:$BO,0)-2,65),"")),"")</f>
        <v/>
      </c>
      <c r="G788" s="39"/>
      <c r="H788" s="35" t="str">
        <f ca="1">IFERROR(IF(INDEX(Tab_DaBa[],MATCH(CONCATENATE(Liste!$C$3,$B$569,$B$767),Data!$BO:$BO,0)-2,63)&lt;&gt;"","Performance Level: "&amp;INDEX(Tab_DaBa[],MATCH(CONCATENATE(Liste!$C$3,$B$569,$B$767),Data!$BO:$BO,0)-2,15),""),"")</f>
        <v/>
      </c>
    </row>
    <row r="789" spans="2:9" s="16" customFormat="1" ht="15.75">
      <c r="B789" s="35" t="str">
        <f ca="1">IFERROR(IF(AND(INDEX(Tab_DaBa[],MATCH(CONCATENATE(Liste!$C$3,$B$569,$B$767),Data!$BO:$BO,0)-2,48)&lt;&gt;"",INDEX(Tab_DaBa[],MATCH(CONCATENATE(Liste!$C$3,$B$569,$B$767),Data!$BO:$BO,0)-2,53)=""),"PFH [1/h] = "&amp;10^9*INDEX(Tab_DaBa[],MATCH(CONCATENATE(Liste!$C$3,$B$569,$B$767),Data!$BO:$BO,0)-2,16)&amp;"E-9",IF(INDEX(Tab_DaBa[],MATCH(CONCATENATE(Liste!$C$3,$B$569,$B$767),Data!$BO:$BO,0)-2,48)&lt;&gt;"","PFH [1/h] = "&amp;10^9*INDEX(Tab_DaBa[],MATCH(CONCATENATE(Liste!$C$3,$B$569,$B$767),Data!$BO:$BO,0)-2,56)&amp;"E-9","")),"")</f>
        <v>PFH [1/h] = 4,19E-9</v>
      </c>
      <c r="C789" s="39"/>
      <c r="D789" s="35" t="str">
        <f ca="1">IFERROR(IF(AND(INDEX(Tab_DaBa[],MATCH(CONCATENATE(Liste!$C$3,$B$569,$B$767),Data!$BO:$BO,0)-2,53)&lt;&gt;"",INDEX(Tab_DaBa[],MATCH(CONCATENATE(Liste!$C$3,$B$569,$B$767),Data!$BO:$BO,0)-2,58)=""),"PFH [1/h] = "&amp;10^9*INDEX(Tab_DaBa[],MATCH(CONCATENATE(Liste!$C$3,$B$569,$B$767),Data!$BO:$BO,0)-2,16)&amp;"E-9",IF(INDEX(Tab_DaBa[],MATCH(CONCATENATE(Liste!$C$3,$B$569,$B$767),Data!$BO:$BO,0)-2,53)&lt;&gt;"","PFH [1/h] = "&amp;10^9*INDEX(Tab_DaBa[],MATCH(CONCATENATE(Liste!$C$3,$B$569,$B$767),Data!$BO:$BO,0)-2,61)&amp;"E-9","")),"")</f>
        <v>PFH [1/h] = 24,7E-9</v>
      </c>
      <c r="E789" s="37"/>
      <c r="F789" s="35" t="str">
        <f ca="1">IFERROR(IF(AND(INDEX(Tab_DaBa[],MATCH(CONCATENATE(Liste!$C$3,$B$569,$B$767),Data!$BO:$BO,0)-2,58)&lt;&gt;"",INDEX(Tab_DaBa[],MATCH(CONCATENATE(Liste!$C$3,$B$569,$B$767),Data!$BO:$BO,0)-2,63)=""),"PFH [1/h] = "&amp;10^9*INDEX(Tab_DaBa[],MATCH(CONCATENATE(Liste!$C$3,$B$569,$B$767),Data!$BO:$BO,0)-2,16)&amp;"E-9",IF(INDEX(Tab_DaBa[],MATCH(CONCATENATE(Liste!$C$3,$B$569,$B$767),Data!$BO:$BO,0)-2,58)&lt;&gt;"","PFH [1/h] = "&amp;10^9*INDEX(Tab_DaBa[],MATCH(CONCATENATE(Liste!$C$3,$B$569,$B$767),Data!$BO:$BO,0)-2,66)&amp;"E-9","")),"")</f>
        <v/>
      </c>
      <c r="G789" s="39"/>
      <c r="H789" s="35" t="str">
        <f ca="1">IFERROR(IF(INDEX(Tab_DaBa[],MATCH(CONCATENATE(Liste!$C$3,$B$569,$B$767),Data!$BO:$BO,0)-2,63)&lt;&gt;"","PFH [1/h] = "&amp;10^9*INDEX(Tab_DaBa[],MATCH(CONCATENATE(Liste!$C$3,$B$569,$B$767),Data!$BO:$BO,0)-2,16)&amp;"E-9",""),"")</f>
        <v/>
      </c>
    </row>
    <row r="790" spans="2:9" s="16" customFormat="1"/>
    <row r="791" spans="2:9" s="16" customFormat="1">
      <c r="B791" s="43" t="str">
        <f ca="1">IF(D791="","","Erforderlich")</f>
        <v>Erforderlich</v>
      </c>
      <c r="D791" s="44" t="str">
        <f ca="1">IFERROR("Performance Level: "&amp;INDEX(Tab_DaBa[],MATCH(CONCATENATE(Liste!$C$3,$B$569,$B$767),Data!$BO:$BO,0)-2,4),"")</f>
        <v>Performance Level: PLr_ges3_8</v>
      </c>
    </row>
    <row r="792" spans="2:9" s="16" customFormat="1">
      <c r="B792" s="45"/>
    </row>
    <row r="793" spans="2:9" s="16" customFormat="1">
      <c r="B793" s="46" t="str">
        <f ca="1">IF(D793="","","Erreicht")</f>
        <v>Erreicht</v>
      </c>
      <c r="D793" s="47" t="str">
        <f ca="1">IFERROR("Performance Level: "&amp;INDEX(Tab_DaBa[],MATCH(CONCATENATE(Liste!$C$3,$B$569,$B$767),Data!$BO:$BO,0)-2,5)&amp;"          PFH [1/h] = "&amp;10^9*INDEX(Tab_DaBa[],MATCH(CONCATENATE(Liste!$C$3,$B$569,$B$767),Data!$BO:$BO,0)-2,6)&amp;"E-9","")</f>
        <v>Performance Level: Pl_ges3_8          PFH [1/h] = 71,7E-9</v>
      </c>
    </row>
    <row r="794" spans="2:9" s="16" customFormat="1">
      <c r="B794" s="50"/>
      <c r="C794" s="49"/>
      <c r="D794" s="49"/>
    </row>
    <row r="795" spans="2:9" s="16" customFormat="1">
      <c r="B795" s="42" t="str">
        <f ca="1">IFERROR(IF(9&gt;COUNTIF(Data!$BP:$BP,CONCATENATE(Liste!$C$3,$B$569)),"",INDEX(Tab_DaBa[],MATCH(CONCATENATE(Liste!$C$3,$B$569),Data!$BP:$BP,0)+6,3)),"")</f>
        <v>3.9 Test3 (E+9L+A)</v>
      </c>
    </row>
    <row r="796" spans="2:9" s="16" customFormat="1"/>
    <row r="797" spans="2:9" s="16" customFormat="1" ht="15.75">
      <c r="B797" s="35" t="str">
        <f ca="1">IFERROR(INDEX(Tab_DaBa[],MATCH(CONCATENATE(Liste!$C$3,$B$569,$B$795),Data!$BO:$BO,0)-2,9),"")</f>
        <v>Eingang</v>
      </c>
      <c r="C797" s="54"/>
      <c r="D797" s="35" t="str">
        <f ca="1">IFERROR(IF(INDEX(Tab_DaBa[],MATCH(CONCATENATE(Liste!$C$3,$B$569,$B$795),Data!$BO:$BO,0)-2,18)=0,INDEX(Tab_DaBa[],MATCH(CONCATENATE(Liste!$C$3,$B$569,$B$795),Data!$BO:$BO,0)-2,14),INDEX(Tab_DaBa[],MATCH(CONCATENATE(Liste!$C$3,$B$569,$B$795),Data!$BO:$BO,0)-2,19)),"")</f>
        <v>Logik 01</v>
      </c>
      <c r="E797" s="33"/>
      <c r="F797" s="35" t="str">
        <f ca="1">IFERROR(IF(AND(INDEX(Tab_DaBa[],MATCH(CONCATENATE(Liste!$C$3,$B$569,$B$795),Data!$BO:$BO,0)-2,18)&lt;&gt;"",INDEX(Tab_DaBa[],MATCH(CONCATENATE(Liste!$C$3,$B$569,$B$795),Data!$BO:$BO,0)-2,23)=0),INDEX(Tab_DaBa[],MATCH(CONCATENATE(Liste!$C$3,$B$569,$B$795),Data!$BO:$BO,0)-2,14),IF(INDEX(Tab_DaBa[],MATCH(CONCATENATE(Liste!$C$3,$B$569,$B$795),Data!$BO:$BO,0)-2,23)&lt;&gt;"",INDEX(Tab_DaBa[],MATCH(CONCATENATE(Liste!$C$3,$B$569,$B$795),Data!$BO:$BO,0)-2,24),"")),"")</f>
        <v>Logik 02</v>
      </c>
      <c r="G797" s="39"/>
      <c r="H797" s="35" t="str">
        <f ca="1">IFERROR(IF(AND(INDEX(Tab_DaBa[],MATCH(CONCATENATE(Liste!$C$3,$B$569,$B$795),Data!$BO:$BO,0)-2,23)&lt;&gt;"",INDEX(Tab_DaBa[],MATCH(CONCATENATE(Liste!$C$3,$B$569,$B$795),Data!$BO:$BO,0)-2,28)=0),INDEX(Tab_DaBa[],MATCH(CONCATENATE(Liste!$C$3,$B$569,$B$795),Data!$BO:$BO,0)-2,14),IF(INDEX(Tab_DaBa[],MATCH(CONCATENATE(Liste!$C$3,$B$569,$B$795),Data!$BO:$BO,0)-2,23)&lt;&gt;"",INDEX(Tab_DaBa[],MATCH(CONCATENATE(Liste!$C$3,$B$569,$B$795),Data!$BO:$BO,0)-2,29),"")),"")</f>
        <v>Logik 03</v>
      </c>
      <c r="I797" s="39"/>
    </row>
    <row r="798" spans="2:9" s="16" customFormat="1" ht="15.75">
      <c r="B798" s="35" t="str">
        <f ca="1">IFERROR(INDEX(Tab_DaBa[],MATCH(CONCATENATE(Liste!$C$3,$B$569,$B$795),Data!$BO:$BO,0)-2,7),"")</f>
        <v>eeee-33_9</v>
      </c>
      <c r="C798" s="54"/>
      <c r="D798" s="35" t="str">
        <f ca="1">IFERROR(IF(INDEX(Tab_DaBa[],MATCH(CONCATENATE(Liste!$C$3,$B$569,$B$795),Data!$BO:$BO,0)-2,18)="",INDEX(Tab_DaBa[],MATCH(CONCATENATE(Liste!$C$3,$B$569,$B$795),Data!$BO:$BO,0)-2,12),INDEX(Tab_DaBa[],MATCH(CONCATENATE(Liste!$C$3,$B$569,$B$795),Data!$BO:$BO,0)-2,17)),"")</f>
        <v>Log01-03_09</v>
      </c>
      <c r="E798" s="36"/>
      <c r="F798" s="35" t="str">
        <f ca="1">IFERROR(IF(AND(INDEX(Tab_DaBa[],MATCH(CONCATENATE(Liste!$C$3,$B$569,$B$795),Data!$BO:$BO,0)-2,18)&lt;&gt;"",INDEX(Tab_DaBa[],MATCH(CONCATENATE(Liste!$C$3,$B$569,$B$795),Data!$BO:$BO,0)-2,23)=0),INDEX(Tab_DaBa[],MATCH(CONCATENATE(Liste!$C$3,$B$569,$B$795),Data!$BO:$BO,0)-2,12),IF(INDEX(Tab_DaBa[],MATCH(CONCATENATE(Liste!$C$3,$B$569,$B$795),Data!$BO:$BO,0)-2,23)&lt;&gt;"",INDEX(Tab_DaBa[],MATCH(CONCATENATE(Liste!$C$3,$B$569,$B$795),Data!$BO:$BO,0)-2,22),"")),"")</f>
        <v>Log02-03_09</v>
      </c>
      <c r="G798" s="39"/>
      <c r="H798" s="35" t="str">
        <f ca="1">IFERROR(IF(AND(INDEX(Tab_DaBa[],MATCH(CONCATENATE(Liste!$C$3,$B$569,$B$795),Data!$BO:$BO,0)-2,23)&lt;&gt;"",INDEX(Tab_DaBa[],MATCH(CONCATENATE(Liste!$C$3,$B$569,$B$795),Data!$BO:$BO,0)-2,28)=0),INDEX(Tab_DaBa[],MATCH(CONCATENATE(Liste!$C$3,$B$569,$B$795),Data!$BO:$BO,0)-2,12),IF(INDEX(Tab_DaBa[],MATCH(CONCATENATE(Liste!$C$3,$B$569,$B$795),Data!$BO:$BO,0)-2,23)&lt;&gt;"",INDEX(Tab_DaBa[],MATCH(CONCATENATE(Liste!$C$3,$B$569,$B$795),Data!$BO:$BO,0)-2,27),"")),"")</f>
        <v>Lo03-33_9</v>
      </c>
      <c r="I798" s="39"/>
    </row>
    <row r="799" spans="2:9" s="16" customFormat="1" ht="15.75">
      <c r="B799" s="35" t="str">
        <f ca="1">IFERROR(INDEX(Tab_DaBa[],MATCH(CONCATENATE(Liste!$C$3,$B$569,$B$795),Data!$BO:$BO,0)-2,8),"")</f>
        <v>Bez_Ein3_9</v>
      </c>
      <c r="C799" s="40">
        <f ca="1">IF(D797="","",4)</f>
        <v>4</v>
      </c>
      <c r="D799" s="35" t="str">
        <f ca="1">IFERROR(IF(INDEX(Tab_DaBa[],MATCH(CONCATENATE(Liste!$C$3,$B$569,$B$795),Data!$BO:$BO,0)-2,18)="",INDEX(Tab_DaBa[],MATCH(CONCATENATE(Liste!$C$3,$B$569,$B$795),Data!$BO:$BO,0)-2,13),INDEX(Tab_DaBa[],MATCH(CONCATENATE(Liste!$C$3,$B$569,$B$795),Data!$BO:$BO,0)-2,18)),"")</f>
        <v>Bez_Log01_03_09</v>
      </c>
      <c r="E799" s="40">
        <f ca="1">IF(F797="","",4)</f>
        <v>4</v>
      </c>
      <c r="F799" s="35" t="str">
        <f ca="1">IFERROR(IF(AND(INDEX(Tab_DaBa[],MATCH(CONCATENATE(Liste!$C$3,$B$569,$B$795),Data!$BO:$BO,0)-2,18)&lt;&gt;"",INDEX(Tab_DaBa[],MATCH(CONCATENATE(Liste!$C$3,$B$569,$B$795),Data!$BO:$BO,0)-2,23)=""),INDEX(Tab_DaBa[],MATCH(CONCATENATE(Liste!$C$3,$B$569,$B$795),Data!$BO:$BO,0)-2,13),IF(INDEX(Tab_DaBa[],MATCH(CONCATENATE(Liste!$C$3,$B$569,$B$795),Data!$BO:$BO,0)-2,23)&lt;&gt;"",INDEX(Tab_DaBa[],MATCH(CONCATENATE(Liste!$C$3,$B$569,$B$795),Data!$BO:$BO,0)-2,23),"")),"")</f>
        <v>Bez_Log02_03_9</v>
      </c>
      <c r="G799" s="38">
        <f ca="1">IF(H797="","",4)</f>
        <v>4</v>
      </c>
      <c r="H799" s="35" t="str">
        <f ca="1">IFERROR(IF(AND(INDEX(Tab_DaBa[],MATCH(CONCATENATE(Liste!$C$3,$B$569,$B$795),Data!$BO:$BO,0)-2,23)&lt;&gt;"",INDEX(Tab_DaBa[],MATCH(CONCATENATE(Liste!$C$3,$B$569,$B$795),Data!$BO:$BO,0)-2,28)=""),INDEX(Tab_DaBa[],MATCH(CONCATENATE(Liste!$C$3,$B$569,$B$795),Data!$BO:$BO,0)-2,13),IF(INDEX(Tab_DaBa[],MATCH(CONCATENATE(Liste!$C$3,$B$569,$B$795),Data!$BO:$BO,0)-2,23)&lt;&gt;"",INDEX(Tab_DaBa[],MATCH(CONCATENATE(Liste!$C$3,$B$569,$B$795),Data!$BO:$BO,0)-2,28),"")),"")</f>
        <v>Bez_Lo03_9</v>
      </c>
      <c r="I799" s="38">
        <f ca="1">IF(B805="","",6)</f>
        <v>6</v>
      </c>
    </row>
    <row r="800" spans="2:9" s="16" customFormat="1" ht="15.75">
      <c r="B800" s="35" t="str">
        <f ca="1">IFERROR("Performance Level: "&amp;INDEX(Tab_DaBa[],MATCH(CONCATENATE(Liste!$C$3,$B$569,$B$795),Data!$BO:$BO,0)-2,10),"")</f>
        <v>Performance Level: PL_Ein3_9</v>
      </c>
      <c r="C800" s="54"/>
      <c r="D800" s="35" t="str">
        <f ca="1">IFERROR(IF(INDEX(Tab_DaBa[],MATCH(CONCATENATE(Liste!$C$3,$B$569,$B$795),Data!$BO:$BO,0)-2,18)="","Performance Level: "&amp;INDEX(Tab_DaBa[],MATCH(CONCATENATE(Liste!$C$3,$B$569,$B$795),Data!$BO:$BO,0)-2,15),"Performance Level: "&amp;INDEX(Tab_DaBa[],MATCH(CONCATENATE(Liste!$C$3,$B$569,$B$795),Data!$BO:$BO,0)-2,20)),"")</f>
        <v>Performance Level: PL_Log01_03_09</v>
      </c>
      <c r="E800" s="36"/>
      <c r="F800" s="35" t="str">
        <f ca="1">IFERROR(IF(AND(INDEX(Tab_DaBa[],MATCH(CONCATENATE(Liste!$C$3,$B$569,$B$795),Data!$BO:$BO,0)-2,18)&lt;&gt;"",INDEX(Tab_DaBa[],MATCH(CONCATENATE(Liste!$C$3,$B$569,$B$795),Data!$BO:$BO,0)-2,23)=""),"Performance Level: "&amp;INDEX(Tab_DaBa[],MATCH(CONCATENATE(Liste!$C$3,$B$569,$B$795),Data!$BO:$BO,0)-2,15),IF(INDEX(Tab_DaBa[],MATCH(CONCATENATE(Liste!$C$3,$B$569,$B$795),Data!$BO:$BO,0)-2,23)&lt;&gt;"","Performance Level: "&amp;INDEX(Tab_DaBa[],MATCH(CONCATENATE(Liste!$C$3,$B$569,$B$795),Data!$BO:$BO,0)-2,25),"")),"")</f>
        <v>Performance Level: PL_Lo03_9</v>
      </c>
      <c r="G800" s="39"/>
      <c r="H800" s="35" t="str">
        <f ca="1">IFERROR(IF(AND(INDEX(Tab_DaBa[],MATCH(CONCATENATE(Liste!$C$3,$B$569,$B$795),Data!$BO:$BO,0)-2,23)&lt;&gt;"",INDEX(Tab_DaBa[],MATCH(CONCATENATE(Liste!$C$3,$B$569,$B$795),Data!$BO:$BO,0)-2,28)=""),"Performance Level: "&amp;INDEX(Tab_DaBa[],MATCH(CONCATENATE(Liste!$C$3,$B$569,$B$795),Data!$BO:$BO,0)-2,15),IF(INDEX(Tab_DaBa[],MATCH(CONCATENATE(Liste!$C$3,$B$569,$B$795),Data!$BO:$BO,0)-2,23)&lt;&gt;"","Performance Level: "&amp;INDEX(Tab_DaBa[],MATCH(CONCATENATE(Liste!$C$3,$B$569,$B$795),Data!$BO:$BO,0)-2,30),"")),"")</f>
        <v>Performance Level: PL_Lo03_9</v>
      </c>
      <c r="I800" s="38"/>
    </row>
    <row r="801" spans="2:9" s="16" customFormat="1" ht="15.75">
      <c r="B801" s="53" t="str">
        <f ca="1">IFERROR("PFH [1/h] = "&amp;10^9*INDEX(Tab_DaBa[],MATCH(CONCATENATE(Liste!$C$3,$B$569,$B$795),Data!$BO:$BO,0)-2,11)&amp;"E-9","")</f>
        <v>PFH [1/h] = 42,9E-9</v>
      </c>
      <c r="C801" s="54"/>
      <c r="D801" s="35" t="str">
        <f ca="1">IFERROR(IF(INDEX(Tab_DaBa[],MATCH(CONCATENATE(Liste!$C$3,$B$569,$B$795),Data!$BO:$BO,0)-2,18)="","PFH [1/h] = "&amp;10^9*INDEX(Tab_DaBa[],MATCH(CONCATENATE(Liste!$C$3,$B$569,$B$795),Data!$BO:$BO,0)-2,16)&amp;"E-9","PFH [1/h] = "&amp;10^9*INDEX(Tab_DaBa[],MATCH(CONCATENATE(Liste!$C$3,$B$569,$B$795),Data!$BO:$BO,0)-2,21)&amp;"E-9"),"")</f>
        <v>PFH [1/h] = 4,19E-9</v>
      </c>
      <c r="E801" s="36"/>
      <c r="F801" s="35" t="str">
        <f ca="1">IFERROR(IF(AND(INDEX(Tab_DaBa[],MATCH(CONCATENATE(Liste!$C$3,$B$569,$B$795),Data!$BO:$BO,0)-2,18)&lt;&gt;"",INDEX(Tab_DaBa[],MATCH(CONCATENATE(Liste!$C$3,$B$569,$B$795),Data!$BO:$BO,0)-2,23)=""),"PFH [1/h] = "&amp;10^9*INDEX(Tab_DaBa[],MATCH(CONCATENATE(Liste!$C$3,$B$569,$B$795),Data!$BO:$BO,0)-2,16)&amp;"E-9",IF(INDEX(Tab_DaBa[],MATCH(CONCATENATE(Liste!$C$3,$B$569,$B$795),Data!$BO:$BO,0)-2,23)&lt;&gt;"","PFH [1/h] = "&amp;10^9*INDEX(Tab_DaBa[],MATCH(CONCATENATE(Liste!$C$3,$B$569,$B$795),Data!$BO:$BO,0)-2,26)&amp;"E-9","")),"")</f>
        <v>PFH [1/h] = 4,19E-9</v>
      </c>
      <c r="G801" s="39"/>
      <c r="H801" s="35" t="str">
        <f ca="1">IFERROR(IF(AND(INDEX(Tab_DaBa[],MATCH(CONCATENATE(Liste!$C$3,$B$569,$B$795),Data!$BO:$BO,0)-2,23)&lt;&gt;"",INDEX(Tab_DaBa[],MATCH(CONCATENATE(Liste!$C$3,$B$569,$B$795),Data!$BO:$BO,0)-2,28)=""),"PFH [1/h] = "&amp;10^9*INDEX(Tab_DaBa[],MATCH(CONCATENATE(Liste!$C$3,$B$569,$B$795),Data!$BO:$BO,0)-2,16)&amp;"E-9",IF(INDEX(Tab_DaBa[],MATCH(CONCATENATE(Liste!$C$3,$B$569,$B$795),Data!$BO:$BO,0)-2,23)&lt;&gt;"","PFH [1/h] = "&amp;10^9*INDEX(Tab_DaBa[],MATCH(CONCATENATE(Liste!$C$3,$B$569,$B$795),Data!$BO:$BO,0)-2,31)&amp;"E-9","")),"")</f>
        <v>PFH [1/h] = 4,19E-9</v>
      </c>
      <c r="I801" s="39"/>
    </row>
    <row r="802" spans="2:9" s="16" customFormat="1">
      <c r="B802" s="33"/>
      <c r="C802" s="34"/>
      <c r="D802" s="33"/>
      <c r="E802" s="33"/>
      <c r="F802" s="33"/>
      <c r="G802" s="33"/>
      <c r="H802" s="33"/>
      <c r="I802" s="33"/>
    </row>
    <row r="803" spans="2:9" s="16" customFormat="1" ht="15.75">
      <c r="B803" s="38">
        <f ca="1">IF(B805="","",6)</f>
        <v>6</v>
      </c>
      <c r="C803" s="34"/>
      <c r="D803" s="38">
        <f ca="1">IF(B805="","",3)</f>
        <v>3</v>
      </c>
      <c r="E803" s="33"/>
      <c r="F803" s="38">
        <f ca="1">IF(B805="","",3)</f>
        <v>3</v>
      </c>
      <c r="G803" s="33"/>
      <c r="H803" s="38">
        <f ca="1">IF(B805="","",3)</f>
        <v>3</v>
      </c>
      <c r="I803" s="33"/>
    </row>
    <row r="804" spans="2:9" s="16" customFormat="1" ht="15.75">
      <c r="B804" s="39"/>
      <c r="C804" s="33"/>
      <c r="D804" s="33"/>
      <c r="E804" s="33"/>
      <c r="F804" s="33"/>
      <c r="G804" s="33"/>
      <c r="H804" s="33"/>
      <c r="I804" s="33"/>
    </row>
    <row r="805" spans="2:9" s="16" customFormat="1" ht="15.75">
      <c r="B805" s="35" t="str">
        <f ca="1">IFERROR(IF(AND(INDEX(Tab_DaBa[],MATCH(CONCATENATE(Liste!$C$3,$B$569,$B$795),Data!$BO:$BO,0)-2,28)&lt;&gt;"",INDEX(Tab_DaBa[],MATCH(CONCATENATE(Liste!$C$3,$B$569,$B$795),Data!$BO:$BO,0)-2,33)=0),INDEX(Tab_DaBa[],MATCH(CONCATENATE(Liste!$C$3,$B$569,$B$795),Data!$BO:$BO,0)-2,14),IF(INDEX(Tab_DaBa[],MATCH(CONCATENATE(Liste!$C$3,$B$569,$B$795),Data!$BO:$BO,0)-2,28)&lt;&gt;"",INDEX(Tab_DaBa[],MATCH(CONCATENATE(Liste!$C$3,$B$569,$B$795),Data!$BO:$BO,0)-2,34),"")),"")</f>
        <v>Logik 04</v>
      </c>
      <c r="C805" s="39"/>
      <c r="D805" s="35" t="str">
        <f ca="1">IFERROR(IF(AND(INDEX(Tab_DaBa[],MATCH(CONCATENATE(Liste!$C$3,$B$569,$B$795),Data!$BO:$BO,0)-2,33)&lt;&gt;"",INDEX(Tab_DaBa[],MATCH(CONCATENATE(Liste!$C$3,$B$569,$B$795),Data!$BO:$BO,0)-2,38)=0),INDEX(Tab_DaBa[],MATCH(CONCATENATE(Liste!$C$3,$B$569,$B$795),Data!$BO:$BO,0)-2,14),IF(INDEX(Tab_DaBa[],MATCH(CONCATENATE(Liste!$C$3,$B$569,$B$795),Data!$BO:$BO,0)-2,33)&lt;&gt;"",INDEX(Tab_DaBa[],MATCH(CONCATENATE(Liste!$C$3,$B$569,$B$795),Data!$BO:$BO,0)-2,39),"")),"")</f>
        <v>Logik 07</v>
      </c>
      <c r="E805" s="33"/>
      <c r="F805" s="35" t="str">
        <f ca="1">IFERROR(IF(AND(INDEX(Tab_DaBa[],MATCH(CONCATENATE(Liste!$C$3,$B$569,$B$795),Data!$BO:$BO,0)-2,38)&lt;&gt;"",INDEX(Tab_DaBa[],MATCH(CONCATENATE(Liste!$C$3,$B$569,$B$795),Data!$BO:$BO,0)-2,43)=0),INDEX(Tab_DaBa[],MATCH(CONCATENATE(Liste!$C$3,$B$569,$B$795),Data!$BO:$BO,0)-2,14),IF(INDEX(Tab_DaBa[],MATCH(CONCATENATE(Liste!$C$3,$B$569,$B$795),Data!$BO:$BO,0)-2,38)&lt;&gt;"",INDEX(Tab_DaBa[],MATCH(CONCATENATE(Liste!$C$3,$B$569,$B$795),Data!$BO:$BO,0)-2,44),"")),"")</f>
        <v>Logik 06</v>
      </c>
      <c r="G805" s="39"/>
      <c r="H805" s="35" t="str">
        <f ca="1">IFERROR(IF(AND(INDEX(Tab_DaBa[],MATCH(CONCATENATE(Liste!$C$3,$B$569,$B$795),Data!$BO:$BO,0)-2,43)&lt;&gt;"",INDEX(Tab_DaBa[],MATCH(CONCATENATE(Liste!$C$3,$B$569,$B$795),Data!$BO:$BO,0)-2,48)=0),INDEX(Tab_DaBa[],MATCH(CONCATENATE(Liste!$C$3,$B$569,$B$795),Data!$BO:$BO,0)-2,14),IF(INDEX(Tab_DaBa[],MATCH(CONCATENATE(Liste!$C$3,$B$569,$B$795),Data!$BO:$BO,0)-2,43)&lt;&gt;"",INDEX(Tab_DaBa[],MATCH(CONCATENATE(Liste!$C$3,$B$569,$B$795),Data!$BO:$BO,0)-2,49),"")),"")</f>
        <v>Logik 07</v>
      </c>
      <c r="I805" s="39"/>
    </row>
    <row r="806" spans="2:9" s="16" customFormat="1" ht="15.75">
      <c r="B806" s="35" t="str">
        <f ca="1">IFERROR(IF(AND(INDEX(Tab_DaBa[],MATCH(CONCATENATE(Liste!$C$3,$B$569,$B$795),Data!$BO:$BO,0)-2,28)&lt;&gt;"",INDEX(Tab_DaBa[],MATCH(CONCATENATE(Liste!$C$3,$B$569,$B$795),Data!$BO:$BO,0)-2,33)=0),INDEX(Tab_DaBa[],MATCH(CONCATENATE(Liste!$C$3,$B$569,$B$795),Data!$BO:$BO,0)-2,12),IF(INDEX(Tab_DaBa[],MATCH(CONCATENATE(Liste!$C$3,$B$569,$B$795),Data!$BO:$BO,0)-2,28)&lt;&gt;"",INDEX(Tab_DaBa[],MATCH(CONCATENATE(Liste!$C$3,$B$569,$B$795),Data!$BO:$BO,0)-2,32),"")),"")</f>
        <v>Lo03-33_09</v>
      </c>
      <c r="C806" s="39"/>
      <c r="D806" s="35" t="str">
        <f ca="1">IFERROR(IF(AND(INDEX(Tab_DaBa[],MATCH(CONCATENATE(Liste!$C$3,$B$569,$B$795),Data!$BO:$BO,0)-2,33)&lt;&gt;"",INDEX(Tab_DaBa[],MATCH(CONCATENATE(Liste!$C$3,$B$569,$B$795),Data!$BO:$BO,0)-2,38)=0),INDEX(Tab_DaBa[],MATCH(CONCATENATE(Liste!$C$3,$B$569,$B$795),Data!$BO:$BO,0)-2,12),IF(INDEX(Tab_DaBa[],MATCH(CONCATENATE(Liste!$C$3,$B$569,$B$795),Data!$BO:$BO,0)-2,33)&lt;&gt;"",INDEX(Tab_DaBa[],MATCH(CONCATENATE(Liste!$C$3,$B$569,$B$795),Data!$BO:$BO,0)-2,37),"")),"")</f>
        <v>Lo03-33_09</v>
      </c>
      <c r="E806" s="37"/>
      <c r="F806" s="35" t="str">
        <f ca="1">IFERROR(IF(AND(INDEX(Tab_DaBa[],MATCH(CONCATENATE(Liste!$C$3,$B$569,$B$795),Data!$BO:$BO,0)-2,38)&lt;&gt;"",INDEX(Tab_DaBa[],MATCH(CONCATENATE(Liste!$C$3,$B$569,$B$795),Data!$BO:$BO,0)-2,43)=0),INDEX(Tab_DaBa[],MATCH(CONCATENATE(Liste!$C$3,$B$569,$B$795),Data!$BO:$BO,0)-2,12),IF(INDEX(Tab_DaBa[],MATCH(CONCATENATE(Liste!$C$3,$B$569,$B$795),Data!$BO:$BO,0)-2,38)&lt;&gt;"",INDEX(Tab_DaBa[],MATCH(CONCATENATE(Liste!$C$3,$B$569,$B$795),Data!$BO:$BO,0)-2,42),"")),"")</f>
        <v>Lo03-33_09</v>
      </c>
      <c r="G806" s="39"/>
      <c r="H806" s="35" t="str">
        <f ca="1">IFERROR(IF(AND(INDEX(Tab_DaBa[],MATCH(CONCATENATE(Liste!$C$3,$B$569,$B$795),Data!$BO:$BO,0)-2,43)&lt;&gt;"",INDEX(Tab_DaBa[],MATCH(CONCATENATE(Liste!$C$3,$B$569,$B$795),Data!$BO:$BO,0)-2,48)=0),INDEX(Tab_DaBa[],MATCH(CONCATENATE(Liste!$C$3,$B$569,$B$795),Data!$BO:$BO,0)-2,12),IF(INDEX(Tab_DaBa[],MATCH(CONCATENATE(Liste!$C$3,$B$569,$B$795),Data!$BO:$BO,0)-2,43)&lt;&gt;"",INDEX(Tab_DaBa[],MATCH(CONCATENATE(Liste!$C$3,$B$569,$B$795),Data!$BO:$BO,0)-2,47),"")),"")</f>
        <v>Lo03-33_09</v>
      </c>
      <c r="I806" s="39"/>
    </row>
    <row r="807" spans="2:9" s="16" customFormat="1" ht="15.75">
      <c r="B807" s="35" t="str">
        <f ca="1">IFERROR(IF(AND(INDEX(Tab_DaBa[],MATCH(CONCATENATE(Liste!$C$3,$B$569,$B$795),Data!$BO:$BO,0)-2,28)&lt;&gt;"",INDEX(Tab_DaBa[],MATCH(CONCATENATE(Liste!$C$3,$B$569,$B$795),Data!$BO:$BO,0)-2,33)=""),INDEX(Tab_DaBa[],MATCH(CONCATENATE(Liste!$C$3,$B$569,$B$795),Data!$BO:$BO,0)-2,13),IF(INDEX(Tab_DaBa[],MATCH(CONCATENATE(Liste!$C$3,$B$569,$B$795),Data!$BO:$BO,0)-2,28)&lt;&gt;"",INDEX(Tab_DaBa[],MATCH(CONCATENATE(Liste!$C$3,$B$569,$B$795),Data!$BO:$BO,0)-2,33),"")),"")</f>
        <v>Bez_Lo03_09</v>
      </c>
      <c r="C807" s="38">
        <f ca="1">IF(D805="","",4)</f>
        <v>4</v>
      </c>
      <c r="D807" s="35" t="str">
        <f ca="1">IFERROR(IF(AND(INDEX(Tab_DaBa[],MATCH(CONCATENATE(Liste!$C$3,$B$569,$B$795),Data!$BO:$BO,0)-2,33)&lt;&gt;"",INDEX(Tab_DaBa[],MATCH(CONCATENATE(Liste!$C$3,$B$569,$B$795),Data!$BO:$BO,0)-2,38)=""),INDEX(Tab_DaBa[],MATCH(CONCATENATE(Liste!$C$3,$B$569,$B$795),Data!$BO:$BO,0)-2,13),IF(INDEX(Tab_DaBa[],MATCH(CONCATENATE(Liste!$C$3,$B$569,$B$795),Data!$BO:$BO,0)-2,33)&lt;&gt;"",INDEX(Tab_DaBa[],MATCH(CONCATENATE(Liste!$C$3,$B$569,$B$795),Data!$BO:$BO,0)-2,38),"")),"")</f>
        <v>Bez_Lo03_09</v>
      </c>
      <c r="E807" s="38">
        <f ca="1">IF(F805="","",4)</f>
        <v>4</v>
      </c>
      <c r="F807" s="35" t="str">
        <f ca="1">IFERROR(IF(AND(INDEX(Tab_DaBa[],MATCH(CONCATENATE(Liste!$C$3,$B$569,$B$795),Data!$BO:$BO,0)-2,38)&lt;&gt;"",INDEX(Tab_DaBa[],MATCH(CONCATENATE(Liste!$C$3,$B$569,$B$795),Data!$BO:$BO,0)-2,43)=""),INDEX(Tab_DaBa[],MATCH(CONCATENATE(Liste!$C$3,$B$569,$B$795),Data!$BO:$BO,0)-2,13),IF(INDEX(Tab_DaBa[],MATCH(CONCATENATE(Liste!$C$3,$B$569,$B$795),Data!$BO:$BO,0)-2,38)&lt;&gt;"",INDEX(Tab_DaBa[],MATCH(CONCATENATE(Liste!$C$3,$B$569,$B$795),Data!$BO:$BO,0)-2,43),"")),"")</f>
        <v>Bez_Lo03_09</v>
      </c>
      <c r="G807" s="38">
        <f ca="1">IF(H805="","",4)</f>
        <v>4</v>
      </c>
      <c r="H807" s="35" t="str">
        <f ca="1">IFERROR(IF(AND(INDEX(Tab_DaBa[],MATCH(CONCATENATE(Liste!$C$3,$B$569,$B$795),Data!$BO:$BO,0)-2,43)&lt;&gt;"",INDEX(Tab_DaBa[],MATCH(CONCATENATE(Liste!$C$3,$B$569,$B$795),Data!$BO:$BO,0)-2,48)=""),INDEX(Tab_DaBa[],MATCH(CONCATENATE(Liste!$C$3,$B$569,$B$795),Data!$BO:$BO,0)-2,13),IF(INDEX(Tab_DaBa[],MATCH(CONCATENATE(Liste!$C$3,$B$569,$B$795),Data!$BO:$BO,0)-2,43)&lt;&gt;"",INDEX(Tab_DaBa[],MATCH(CONCATENATE(Liste!$C$3,$B$569,$B$795),Data!$BO:$BO,0)-2,48),"")),"")</f>
        <v>Bez_Lo03_09</v>
      </c>
      <c r="I807" s="38">
        <f ca="1">IF(B813="","",6)</f>
        <v>6</v>
      </c>
    </row>
    <row r="808" spans="2:9" s="16" customFormat="1" ht="15.75">
      <c r="B808" s="35" t="str">
        <f ca="1">IFERROR(IF(AND(INDEX(Tab_DaBa[],MATCH(CONCATENATE(Liste!$C$3,$B$569,$B$795),Data!$BO:$BO,0)-2,28)&lt;&gt;"",INDEX(Tab_DaBa[],MATCH(CONCATENATE(Liste!$C$3,$B$569,$B$795),Data!$BO:$BO,0)-2,33)=""),"Performance Level: "&amp;INDEX(Tab_DaBa[],MATCH(CONCATENATE(Liste!$C$3,$B$569,$B$795),Data!$BO:$BO,0)-2,15),IF(INDEX(Tab_DaBa[],MATCH(CONCATENATE(Liste!$C$3,$B$569,$B$795),Data!$BO:$BO,0)-2,28)&lt;&gt;"","Performance Level: "&amp;INDEX(Tab_DaBa[],MATCH(CONCATENATE(Liste!$C$3,$B$569,$B$795),Data!$BO:$BO,0)-2,35),"")),"")</f>
        <v>Performance Level: PL_Lo03_09</v>
      </c>
      <c r="C808" s="39"/>
      <c r="D808" s="35" t="str">
        <f ca="1">IFERROR(IF(AND(INDEX(Tab_DaBa[],MATCH(CONCATENATE(Liste!$C$3,$B$569,$B$795),Data!$BO:$BO,0)-2,33)&lt;&gt;"",INDEX(Tab_DaBa[],MATCH(CONCATENATE(Liste!$C$3,$B$569,$B$795),Data!$BO:$BO,0)-2,38)=""),"Performance Level: "&amp;INDEX(Tab_DaBa[],MATCH(CONCATENATE(Liste!$C$3,$B$569,$B$795),Data!$BO:$BO,0)-2,15),IF(INDEX(Tab_DaBa[],MATCH(CONCATENATE(Liste!$C$3,$B$569,$B$795),Data!$BO:$BO,0)-2,33)&lt;&gt;"","Performance Level: "&amp;INDEX(Tab_DaBa[],MATCH(CONCATENATE(Liste!$C$3,$B$569,$B$795),Data!$BO:$BO,0)-2,40),"")),"")</f>
        <v>Performance Level: PL_Lo03_9</v>
      </c>
      <c r="E808" s="37"/>
      <c r="F808" s="35" t="str">
        <f ca="1">IFERROR(IF(AND(INDEX(Tab_DaBa[],MATCH(CONCATENATE(Liste!$C$3,$B$569,$B$795),Data!$BO:$BO,0)-2,38)&lt;&gt;"",INDEX(Tab_DaBa[],MATCH(CONCATENATE(Liste!$C$3,$B$569,$B$795),Data!$BO:$BO,0)-2,43)=""),"Performance Level: "&amp;INDEX(Tab_DaBa[],MATCH(CONCATENATE(Liste!$C$3,$B$569,$B$795),Data!$BO:$BO,0)-2,15),IF(INDEX(Tab_DaBa[],MATCH(CONCATENATE(Liste!$C$3,$B$569,$B$795),Data!$BO:$BO,0)-2,38)&lt;&gt;"","Performance Level: "&amp;INDEX(Tab_DaBa[],MATCH(CONCATENATE(Liste!$C$3,$B$569,$B$795),Data!$BO:$BO,0)-2,45),"")),"")</f>
        <v>Performance Level: PL_Lo03_09</v>
      </c>
      <c r="G808" s="39"/>
      <c r="H808" s="35" t="str">
        <f ca="1">IFERROR(IF(AND(INDEX(Tab_DaBa[],MATCH(CONCATENATE(Liste!$C$3,$B$569,$B$795),Data!$BO:$BO,0)-2,43)&lt;&gt;"",INDEX(Tab_DaBa[],MATCH(CONCATENATE(Liste!$C$3,$B$569,$B$795),Data!$BO:$BO,0)-2,48)=""),"Performance Level: "&amp;INDEX(Tab_DaBa[],MATCH(CONCATENATE(Liste!$C$3,$B$569,$B$795),Data!$BO:$BO,0)-2,15),IF(INDEX(Tab_DaBa[],MATCH(CONCATENATE(Liste!$C$3,$B$569,$B$795),Data!$BO:$BO,0)-2,43)&lt;&gt;"","Performance Level: "&amp;INDEX(Tab_DaBa[],MATCH(CONCATENATE(Liste!$C$3,$B$569,$B$795),Data!$BO:$BO,0)-2,50),"")),"")</f>
        <v>Performance Level: PL_Lo03_09</v>
      </c>
      <c r="I808" s="39"/>
    </row>
    <row r="809" spans="2:9" s="16" customFormat="1" ht="15.75">
      <c r="B809" s="35" t="str">
        <f ca="1">IFERROR(IF(AND(INDEX(Tab_DaBa[],MATCH(CONCATENATE(Liste!$C$3,$B$569,$B$795),Data!$BO:$BO,0)-2,28)&lt;&gt;"",INDEX(Tab_DaBa[],MATCH(CONCATENATE(Liste!$C$3,$B$569,$B$795),Data!$BO:$BO,0)-2,33)=""),"PFH [1/h] = "&amp;10^9*INDEX(Tab_DaBa[],MATCH(CONCATENATE(Liste!$C$3,$B$569,$B$795),Data!$BO:$BO,0)-2,16)&amp;"E-9",IF(INDEX(Tab_DaBa[],MATCH(CONCATENATE(Liste!$C$3,$B$569,$B$795),Data!$BO:$BO,0)-2,28)&lt;&gt;"","PFH [1/h] = "&amp;10^9*INDEX(Tab_DaBa[],MATCH(CONCATENATE(Liste!$C$3,$B$569,$B$795),Data!$BO:$BO,0)-2,36)&amp;"E-9","")),"")</f>
        <v>PFH [1/h] = 4,19E-9</v>
      </c>
      <c r="C809" s="39"/>
      <c r="D809" s="35" t="str">
        <f ca="1">IFERROR(IF(AND(INDEX(Tab_DaBa[],MATCH(CONCATENATE(Liste!$C$3,$B$569,$B$795),Data!$BO:$BO,0)-2,33)&lt;&gt;"",INDEX(Tab_DaBa[],MATCH(CONCATENATE(Liste!$C$3,$B$569,$B$795),Data!$BO:$BO,0)-2,38)=""),"PFH [1/h] = "&amp;10^9*INDEX(Tab_DaBa[],MATCH(CONCATENATE(Liste!$C$3,$B$569,$B$795),Data!$BO:$BO,0)-2,16)&amp;"E-9",IF(INDEX(Tab_DaBa[],MATCH(CONCATENATE(Liste!$C$3,$B$569,$B$795),Data!$BO:$BO,0)-2,33)&lt;&gt;"","PFH [1/h] = "&amp;10^9*INDEX(Tab_DaBa[],MATCH(CONCATENATE(Liste!$C$3,$B$569,$B$795),Data!$BO:$BO,0)-2,41)&amp;"E-9","")),"")</f>
        <v>PFH [1/h] = 4,19E-9</v>
      </c>
      <c r="E809" s="37"/>
      <c r="F809" s="35" t="str">
        <f ca="1">IFERROR(IF(AND(INDEX(Tab_DaBa[],MATCH(CONCATENATE(Liste!$C$3,$B$569,$B$795),Data!$BO:$BO,0)-2,38)&lt;&gt;"",INDEX(Tab_DaBa[],MATCH(CONCATENATE(Liste!$C$3,$B$569,$B$795),Data!$BO:$BO,0)-2,43)=""),"PFH [1/h] = "&amp;10^9*INDEX(Tab_DaBa[],MATCH(CONCATENATE(Liste!$C$3,$B$569,$B$795),Data!$BO:$BO,0)-2,16)&amp;"E-9",IF(INDEX(Tab_DaBa[],MATCH(CONCATENATE(Liste!$C$3,$B$569,$B$795),Data!$BO:$BO,0)-2,38)&lt;&gt;"","PFH [1/h] = "&amp;10^9*INDEX(Tab_DaBa[],MATCH(CONCATENATE(Liste!$C$3,$B$569,$B$795),Data!$BO:$BO,0)-2,46)&amp;"E-9","")),"")</f>
        <v>PFH [1/h] = 4,19E-9</v>
      </c>
      <c r="G809" s="39"/>
      <c r="H809" s="35" t="str">
        <f ca="1">IFERROR(IF(AND(INDEX(Tab_DaBa[],MATCH(CONCATENATE(Liste!$C$3,$B$569,$B$795),Data!$BO:$BO,0)-2,43)&lt;&gt;"",INDEX(Tab_DaBa[],MATCH(CONCATENATE(Liste!$C$3,$B$569,$B$795),Data!$BO:$BO,0)-2,48)=""),"PFH [1/h] = "&amp;10^9*INDEX(Tab_DaBa[],MATCH(CONCATENATE(Liste!$C$3,$B$569,$B$795),Data!$BO:$BO,0)-2,16)&amp;"E-9",IF(INDEX(Tab_DaBa[],MATCH(CONCATENATE(Liste!$C$3,$B$569,$B$795),Data!$BO:$BO,0)-2,43)&lt;&gt;"","PFH [1/h] = "&amp;10^9*INDEX(Tab_DaBa[],MATCH(CONCATENATE(Liste!$C$3,$B$569,$B$795),Data!$BO:$BO,0)-2,51)&amp;"E-9","")),"")</f>
        <v>PFH [1/h] = 4,19E-9</v>
      </c>
      <c r="I809" s="39"/>
    </row>
    <row r="810" spans="2:9" s="16" customFormat="1">
      <c r="B810" s="33"/>
      <c r="C810" s="33"/>
      <c r="D810" s="33"/>
      <c r="E810" s="33"/>
      <c r="F810" s="33"/>
      <c r="G810" s="33"/>
      <c r="H810" s="33"/>
      <c r="I810" s="33"/>
    </row>
    <row r="811" spans="2:9" s="16" customFormat="1" ht="15.75">
      <c r="B811" s="38">
        <f ca="1">IF(B813="","",6)</f>
        <v>6</v>
      </c>
      <c r="C811" s="33"/>
      <c r="D811" s="38">
        <f ca="1">IF(B813="","",3)</f>
        <v>3</v>
      </c>
      <c r="E811" s="33"/>
      <c r="F811" s="38">
        <f ca="1">IF(B813="","",3)</f>
        <v>3</v>
      </c>
      <c r="G811" s="33"/>
      <c r="H811" s="38">
        <f ca="1">IF(B813="","",3)</f>
        <v>3</v>
      </c>
      <c r="I811" s="33"/>
    </row>
    <row r="812" spans="2:9" s="16" customFormat="1" ht="15.75">
      <c r="B812" s="39"/>
      <c r="C812" s="33"/>
      <c r="D812" s="33"/>
      <c r="E812" s="33"/>
      <c r="F812" s="33"/>
      <c r="G812" s="33"/>
      <c r="H812" s="33"/>
      <c r="I812" s="33"/>
    </row>
    <row r="813" spans="2:9" s="16" customFormat="1" ht="15.75">
      <c r="B813" s="35" t="str">
        <f ca="1">IFERROR(IF(AND(INDEX(Tab_DaBa[],MATCH(CONCATENATE(Liste!$C$3,$B$569,$B$795),Data!$BO:$BO,0)-2,48)&lt;&gt;"",INDEX(Tab_DaBa[],MATCH(CONCATENATE(Liste!$C$3,$B$569,$B$795),Data!$BO:$BO,0)-2,53)=0),INDEX(Tab_DaBa[],MATCH(CONCATENATE(Liste!$C$3,$B$569,$B$795),Data!$BO:$BO,0)-2,14),IF(INDEX(Tab_DaBa[],MATCH(CONCATENATE(Liste!$C$3,$B$569,$B$795),Data!$BO:$BO,0)-2,48)&lt;&gt;"",INDEX(Tab_DaBa[],MATCH(CONCATENATE(Liste!$C$3,$B$569,$B$795),Data!$BO:$BO,0)-2,54),"")),"")</f>
        <v>Logik 08</v>
      </c>
      <c r="C813" s="39"/>
      <c r="D813" s="35" t="str">
        <f ca="1">IFERROR(IF(AND(INDEX(Tab_DaBa[],MATCH(CONCATENATE(Liste!$C$3,$B$569,$B$795),Data!$BO:$BO,0)-2,53)&lt;&gt;"",INDEX(Tab_DaBa[],MATCH(CONCATENATE(Liste!$C$3,$B$569,$B$795),Data!$BO:$BO,0)-2,58)=0),INDEX(Tab_DaBa[],MATCH(CONCATENATE(Liste!$C$3,$B$569,$B$795),Data!$BO:$BO,0)-2,14),IF(INDEX(Tab_DaBa[],MATCH(CONCATENATE(Liste!$C$3,$B$569,$B$795),Data!$BO:$BO,0)-2,53)&lt;&gt;"",INDEX(Tab_DaBa[],MATCH(CONCATENATE(Liste!$C$3,$B$569,$B$795),Data!$BO:$BO,0)-2,59),"")),"")</f>
        <v>Logik 09</v>
      </c>
      <c r="E813" s="33"/>
      <c r="F813" s="35" t="str">
        <f ca="1">IFERROR(IF(AND(INDEX(Tab_DaBa[],MATCH(CONCATENATE(Liste!$C$3,$B$569,$B$795),Data!$BO:$BO,0)-2,58)&lt;&gt;"",INDEX(Tab_DaBa[],MATCH(CONCATENATE(Liste!$C$3,$B$569,$B$795),Data!$BO:$BO,0)-2,63)=0),INDEX(Tab_DaBa[],MATCH(CONCATENATE(Liste!$C$3,$B$569,$B$795),Data!$BO:$BO,0)-2,14),IF(INDEX(Tab_DaBa[],MATCH(CONCATENATE(Liste!$C$3,$B$569,$B$795),Data!$BO:$BO,0)-2,58)&lt;&gt;"",INDEX(Tab_DaBa[],MATCH(CONCATENATE(Liste!$C$3,$B$569,$B$795),Data!$BO:$BO,0)-2,64),"")),"")</f>
        <v>Ausgang</v>
      </c>
      <c r="G813" s="39"/>
      <c r="H813" s="35" t="str">
        <f ca="1">IFERROR(IF(INDEX(Tab_DaBa[],MATCH(CONCATENATE(Liste!$C$3,$B$569,$B$795),Data!$BO:$BO,0)-2,63)&lt;&gt;"",INDEX(Tab_DaBa[],MATCH(CONCATENATE(Liste!$C$3,$B$569,$B$795),Data!$BO:$BO,0)-2,14),""),"")</f>
        <v/>
      </c>
    </row>
    <row r="814" spans="2:9" s="16" customFormat="1" ht="15.75">
      <c r="B814" s="35" t="str">
        <f ca="1">IFERROR(IF(AND(INDEX(Tab_DaBa[],MATCH(CONCATENATE(Liste!$C$3,$B$569,$B$795),Data!$BO:$BO,0)-2,48)&lt;&gt;"",INDEX(Tab_DaBa[],MATCH(CONCATENATE(Liste!$C$3,$B$569,$B$795),Data!$BO:$BO,0)-2,53)=0),INDEX(Tab_DaBa[],MATCH(CONCATENATE(Liste!$C$3,$B$569,$B$795),Data!$BO:$BO,0)-2,12),IF(INDEX(Tab_DaBa[],MATCH(CONCATENATE(Liste!$C$3,$B$569,$B$795),Data!$BO:$BO,0)-2,48)&lt;&gt;"",INDEX(Tab_DaBa[],MATCH(CONCATENATE(Liste!$C$3,$B$569,$B$795),Data!$BO:$BO,0)-2,52),"")),"")</f>
        <v>Lo03-88_09</v>
      </c>
      <c r="C814" s="39"/>
      <c r="D814" s="35" t="str">
        <f ca="1">IFERROR(IF(AND(INDEX(Tab_DaBa[],MATCH(CONCATENATE(Liste!$C$3,$B$569,$B$795),Data!$BO:$BO,0)-2,53)&lt;&gt;"",INDEX(Tab_DaBa[],MATCH(CONCATENATE(Liste!$C$3,$B$569,$B$795),Data!$BO:$BO,0)-2,58)=0),INDEX(Tab_DaBa[],MATCH(CONCATENATE(Liste!$C$3,$B$569,$B$795),Data!$BO:$BO,0)-2,12),IF(INDEX(Tab_DaBa[],MATCH(CONCATENATE(Liste!$C$3,$B$569,$B$795),Data!$BO:$BO,0)-2,53)&lt;&gt;"",INDEX(Tab_DaBa[],MATCH(CONCATENATE(Liste!$C$3,$B$569,$B$795),Data!$BO:$BO,0)-2,57),"")),"")</f>
        <v>Lo03-33_09</v>
      </c>
      <c r="E814" s="37"/>
      <c r="F814" s="35" t="str">
        <f ca="1">IFERROR(IF(AND(INDEX(Tab_DaBa[],MATCH(CONCATENATE(Liste!$C$3,$B$569,$B$795),Data!$BO:$BO,0)-2,58)&lt;&gt;"",INDEX(Tab_DaBa[],MATCH(CONCATENATE(Liste!$C$3,$B$569,$B$795),Data!$BO:$BO,0)-2,63)=0),INDEX(Tab_DaBa[],MATCH(CONCATENATE(Liste!$C$3,$B$569,$B$795),Data!$BO:$BO,0)-2,12),IF(INDEX(Tab_DaBa[],MATCH(CONCATENATE(Liste!$C$3,$B$569,$B$795),Data!$BO:$BO,0)-2,58)&lt;&gt;"",INDEX(Tab_DaBa[],MATCH(CONCATENATE(Liste!$C$3,$B$569,$B$795),Data!$BO:$BO,0)-2,62),"")),"")</f>
        <v>aaaa-33_9</v>
      </c>
      <c r="G814" s="39"/>
      <c r="H814" s="35" t="str">
        <f ca="1">IFERROR(IF(INDEX(Tab_DaBa[],MATCH(CONCATENATE(Liste!$C$3,$B$569,$B$795),Data!$BO:$BO,0)-2,63)&lt;&gt;"",INDEX(Tab_DaBa[],MATCH(CONCATENATE(Liste!$C$3,$B$569,$B$795),Data!$BO:$BO,0)-2,12),""),"")</f>
        <v/>
      </c>
    </row>
    <row r="815" spans="2:9" s="16" customFormat="1" ht="15.75">
      <c r="B815" s="35" t="str">
        <f ca="1">IFERROR(IF(AND(INDEX(Tab_DaBa[],MATCH(CONCATENATE(Liste!$C$3,$B$569,$B$795),Data!$BO:$BO,0)-2,48)&lt;&gt;"",INDEX(Tab_DaBa[],MATCH(CONCATENATE(Liste!$C$3,$B$569,$B$795),Data!$BO:$BO,0)-2,53)=""),INDEX(Tab_DaBa[],MATCH(CONCATENATE(Liste!$C$3,$B$569,$B$795),Data!$BO:$BO,0)-2,13),IF(INDEX(Tab_DaBa[],MATCH(CONCATENATE(Liste!$C$3,$B$569,$B$795),Data!$BO:$BO,0)-2,48)&lt;&gt;"",INDEX(Tab_DaBa[],MATCH(CONCATENATE(Liste!$C$3,$B$569,$B$795),Data!$BO:$BO,0)-2,53),"")),"")</f>
        <v>Bez_Lo03_09</v>
      </c>
      <c r="C815" s="38">
        <f ca="1">IF(D813="","",4)</f>
        <v>4</v>
      </c>
      <c r="D815" s="35" t="str">
        <f ca="1">IFERROR(IF(AND(INDEX(Tab_DaBa[],MATCH(CONCATENATE(Liste!$C$3,$B$569,$B$795),Data!$BO:$BO,0)-2,53)&lt;&gt;"",INDEX(Tab_DaBa[],MATCH(CONCATENATE(Liste!$C$3,$B$569,$B$795),Data!$BO:$BO,0)-2,58)=""),INDEX(Tab_DaBa[],MATCH(CONCATENATE(Liste!$C$3,$B$569,$B$795),Data!$BO:$BO,0)-2,13),IF(INDEX(Tab_DaBa[],MATCH(CONCATENATE(Liste!$C$3,$B$569,$B$795),Data!$BO:$BO,0)-2,53)&lt;&gt;"",INDEX(Tab_DaBa[],MATCH(CONCATENATE(Liste!$C$3,$B$569,$B$795),Data!$BO:$BO,0)-2,58),"")),"")</f>
        <v>Bez_Lo03_09</v>
      </c>
      <c r="E815" s="38">
        <f ca="1">IF(F813="","",4)</f>
        <v>4</v>
      </c>
      <c r="F815" s="35" t="str">
        <f ca="1">IFERROR(IF(AND(INDEX(Tab_DaBa[],MATCH(CONCATENATE(Liste!$C$3,$B$569,$B$795),Data!$BO:$BO,0)-2,58)&lt;&gt;"",INDEX(Tab_DaBa[],MATCH(CONCATENATE(Liste!$C$3,$B$569,$B$795),Data!$BO:$BO,0)-2,63)=""),INDEX(Tab_DaBa[],MATCH(CONCATENATE(Liste!$C$3,$B$569,$B$795),Data!$BO:$BO,0)-2,13),IF(INDEX(Tab_DaBa[],MATCH(CONCATENATE(Liste!$C$3,$B$569,$B$795),Data!$BO:$BO,0)-2,58)&lt;&gt;"",INDEX(Tab_DaBa[],MATCH(CONCATENATE(Liste!$C$3,$B$569,$B$795),Data!$BO:$BO,0)-2,63),"")),"")</f>
        <v>Bez_Aus3_9</v>
      </c>
      <c r="G815" s="38" t="str">
        <f ca="1">IF(H813="","",4)</f>
        <v/>
      </c>
      <c r="H815" s="35" t="str">
        <f ca="1">IFERROR(IF(INDEX(Tab_DaBa[],MATCH(CONCATENATE(Liste!$C$3,$B$569,$B$795),Data!$BO:$BO,0)-2,63)&lt;&gt;"",INDEX(Tab_DaBa[],MATCH(CONCATENATE(Liste!$C$3,$B$569,$B$795),Data!$BO:$BO,0)-2,13),""),"")</f>
        <v/>
      </c>
    </row>
    <row r="816" spans="2:9" s="16" customFormat="1" ht="15.75">
      <c r="B816" s="35" t="str">
        <f ca="1">IFERROR(IF(AND(INDEX(Tab_DaBa[],MATCH(CONCATENATE(Liste!$C$3,$B$569,$B$795),Data!$BO:$BO,0)-2,48)&lt;&gt;"",INDEX(Tab_DaBa[],MATCH(CONCATENATE(Liste!$C$3,$B$569,$B$795),Data!$BO:$BO,0)-2,53)=""),"Performance Level: "&amp;INDEX(Tab_DaBa[],MATCH(CONCATENATE(Liste!$C$3,$B$569,$B$795),Data!$BO:$BO,0)-2,15),IF(INDEX(Tab_DaBa[],MATCH(CONCATENATE(Liste!$C$3,$B$569,$B$795),Data!$BO:$BO,0)-2,48)&lt;&gt;"","Performance Level: "&amp;INDEX(Tab_DaBa[],MATCH(CONCATENATE(Liste!$C$3,$B$569,$B$795),Data!$BO:$BO,0)-2,55),"")),"")</f>
        <v>Performance Level: PL_Lo03_09</v>
      </c>
      <c r="C816" s="39"/>
      <c r="D816" s="35" t="str">
        <f ca="1">IFERROR(IF(AND(INDEX(Tab_DaBa[],MATCH(CONCATENATE(Liste!$C$3,$B$569,$B$795),Data!$BO:$BO,0)-2,53)&lt;&gt;"",INDEX(Tab_DaBa[],MATCH(CONCATENATE(Liste!$C$3,$B$569,$B$795),Data!$BO:$BO,0)-2,58)=""),"Performance Level: "&amp;INDEX(Tab_DaBa[],MATCH(CONCATENATE(Liste!$C$3,$B$569,$B$795),Data!$BO:$BO,0)-2,15),IF(INDEX(Tab_DaBa[],MATCH(CONCATENATE(Liste!$C$3,$B$569,$B$795),Data!$BO:$BO,0)-2,53)&lt;&gt;"","Performance Level: "&amp;INDEX(Tab_DaBa[],MATCH(CONCATENATE(Liste!$C$3,$B$569,$B$795),Data!$BO:$BO,0)-2,60),"")),"")</f>
        <v>Performance Level: PL_Lo03_09</v>
      </c>
      <c r="E816" s="37"/>
      <c r="F816" s="35" t="str">
        <f ca="1">IFERROR(IF(AND(INDEX(Tab_DaBa[],MATCH(CONCATENATE(Liste!$C$3,$B$569,$B$795),Data!$BO:$BO,0)-2,58)&lt;&gt;"",INDEX(Tab_DaBa[],MATCH(CONCATENATE(Liste!$C$3,$B$569,$B$795),Data!$BO:$BO,0)-2,63)=""),"Performance Level: "&amp;INDEX(Tab_DaBa[],MATCH(CONCATENATE(Liste!$C$3,$B$569,$B$795),Data!$BO:$BO,0)-2,15),IF(INDEX(Tab_DaBa[],MATCH(CONCATENATE(Liste!$C$3,$B$569,$B$795),Data!$BO:$BO,0)-2,58)&lt;&gt;"","Performance Level: "&amp;INDEX(Tab_DaBa[],MATCH(CONCATENATE(Liste!$C$3,$B$569,$B$795),Data!$BO:$BO,0)-2,65),"")),"")</f>
        <v>Performance Level: PL_Aus3_9</v>
      </c>
      <c r="G816" s="39"/>
      <c r="H816" s="35" t="str">
        <f ca="1">IFERROR(IF(INDEX(Tab_DaBa[],MATCH(CONCATENATE(Liste!$C$3,$B$569,$B$795),Data!$BO:$BO,0)-2,63)&lt;&gt;"","Performance Level: "&amp;INDEX(Tab_DaBa[],MATCH(CONCATENATE(Liste!$C$3,$B$569,$B$795),Data!$BO:$BO,0)-2,15),""),"")</f>
        <v/>
      </c>
    </row>
    <row r="817" spans="2:9" s="16" customFormat="1" ht="15.75">
      <c r="B817" s="35" t="str">
        <f ca="1">IFERROR(IF(AND(INDEX(Tab_DaBa[],MATCH(CONCATENATE(Liste!$C$3,$B$569,$B$795),Data!$BO:$BO,0)-2,48)&lt;&gt;"",INDEX(Tab_DaBa[],MATCH(CONCATENATE(Liste!$C$3,$B$569,$B$795),Data!$BO:$BO,0)-2,53)=""),"PFH [1/h] = "&amp;10^9*INDEX(Tab_DaBa[],MATCH(CONCATENATE(Liste!$C$3,$B$569,$B$795),Data!$BO:$BO,0)-2,16)&amp;"E-9",IF(INDEX(Tab_DaBa[],MATCH(CONCATENATE(Liste!$C$3,$B$569,$B$795),Data!$BO:$BO,0)-2,48)&lt;&gt;"","PFH [1/h] = "&amp;10^9*INDEX(Tab_DaBa[],MATCH(CONCATENATE(Liste!$C$3,$B$569,$B$795),Data!$BO:$BO,0)-2,56)&amp;"E-9","")),"")</f>
        <v>PFH [1/h] = 4,19E-9</v>
      </c>
      <c r="C817" s="39"/>
      <c r="D817" s="35" t="str">
        <f ca="1">IFERROR(IF(AND(INDEX(Tab_DaBa[],MATCH(CONCATENATE(Liste!$C$3,$B$569,$B$795),Data!$BO:$BO,0)-2,53)&lt;&gt;"",INDEX(Tab_DaBa[],MATCH(CONCATENATE(Liste!$C$3,$B$569,$B$795),Data!$BO:$BO,0)-2,58)=""),"PFH [1/h] = "&amp;10^9*INDEX(Tab_DaBa[],MATCH(CONCATENATE(Liste!$C$3,$B$569,$B$795),Data!$BO:$BO,0)-2,16)&amp;"E-9",IF(INDEX(Tab_DaBa[],MATCH(CONCATENATE(Liste!$C$3,$B$569,$B$795),Data!$BO:$BO,0)-2,53)&lt;&gt;"","PFH [1/h] = "&amp;10^9*INDEX(Tab_DaBa[],MATCH(CONCATENATE(Liste!$C$3,$B$569,$B$795),Data!$BO:$BO,0)-2,61)&amp;"E-9","")),"")</f>
        <v>PFH [1/h] = 4,19E-9</v>
      </c>
      <c r="E817" s="37"/>
      <c r="F817" s="35" t="str">
        <f ca="1">IFERROR(IF(AND(INDEX(Tab_DaBa[],MATCH(CONCATENATE(Liste!$C$3,$B$569,$B$795),Data!$BO:$BO,0)-2,58)&lt;&gt;"",INDEX(Tab_DaBa[],MATCH(CONCATENATE(Liste!$C$3,$B$569,$B$795),Data!$BO:$BO,0)-2,63)=""),"PFH [1/h] = "&amp;10^9*INDEX(Tab_DaBa[],MATCH(CONCATENATE(Liste!$C$3,$B$569,$B$795),Data!$BO:$BO,0)-2,16)&amp;"E-9",IF(INDEX(Tab_DaBa[],MATCH(CONCATENATE(Liste!$C$3,$B$569,$B$795),Data!$BO:$BO,0)-2,58)&lt;&gt;"","PFH [1/h] = "&amp;10^9*INDEX(Tab_DaBa[],MATCH(CONCATENATE(Liste!$C$3,$B$569,$B$795),Data!$BO:$BO,0)-2,66)&amp;"E-9","")),"")</f>
        <v>PFH [1/h] = 24,7E-9</v>
      </c>
      <c r="G817" s="39"/>
      <c r="H817" s="35" t="str">
        <f ca="1">IFERROR(IF(INDEX(Tab_DaBa[],MATCH(CONCATENATE(Liste!$C$3,$B$569,$B$795),Data!$BO:$BO,0)-2,63)&lt;&gt;"","PFH [1/h] = "&amp;10^9*INDEX(Tab_DaBa[],MATCH(CONCATENATE(Liste!$C$3,$B$569,$B$795),Data!$BO:$BO,0)-2,16)&amp;"E-9",""),"")</f>
        <v/>
      </c>
    </row>
    <row r="818" spans="2:9" s="16" customFormat="1"/>
    <row r="819" spans="2:9" s="16" customFormat="1">
      <c r="B819" s="43" t="str">
        <f ca="1">IF(D819="","","Erforderlich")</f>
        <v>Erforderlich</v>
      </c>
      <c r="D819" s="44" t="str">
        <f ca="1">IFERROR("Performance Level: "&amp;INDEX(Tab_DaBa[],MATCH(CONCATENATE(Liste!$C$3,$B$569,$B$795),Data!$BO:$BO,0)-2,4),"")</f>
        <v>Performance Level: PLr_ges3_9</v>
      </c>
    </row>
    <row r="820" spans="2:9" s="16" customFormat="1">
      <c r="B820" s="45"/>
    </row>
    <row r="821" spans="2:9" s="16" customFormat="1">
      <c r="B821" s="46" t="str">
        <f ca="1">IF(D821="","","Erreicht")</f>
        <v>Erreicht</v>
      </c>
      <c r="D821" s="47" t="str">
        <f ca="1">IFERROR("Performance Level: "&amp;INDEX(Tab_DaBa[],MATCH(CONCATENATE(Liste!$C$3,$B$569,$B$795),Data!$BO:$BO,0)-2,5)&amp;"          PFH [1/h] = "&amp;10^9*INDEX(Tab_DaBa[],MATCH(CONCATENATE(Liste!$C$3,$B$569,$B$795),Data!$BO:$BO,0)-2,6)&amp;"E-9","")</f>
        <v>Performance Level: Pl_ges3_9          PFH [1/h] = 71,7E-9</v>
      </c>
    </row>
    <row r="822" spans="2:9" s="16" customFormat="1">
      <c r="B822" s="50"/>
      <c r="C822" s="49"/>
      <c r="D822" s="49"/>
    </row>
    <row r="823" spans="2:9" s="16" customFormat="1">
      <c r="B823" s="42" t="str">
        <f ca="1">IFERROR(IF(10&gt;COUNTIF(Data!$BP:$BP,CONCATENATE(Liste!$C$3,$B$569)),"",INDEX(Tab_DaBa[],MATCH(CONCATENATE(Liste!$C$3,$B$569),Data!$BP:$BP,0)+7,3)),"")</f>
        <v>3.10 Test3 (E+10L+A)</v>
      </c>
    </row>
    <row r="824" spans="2:9" s="16" customFormat="1"/>
    <row r="825" spans="2:9" s="16" customFormat="1" ht="15.75">
      <c r="B825" s="35" t="str">
        <f ca="1">IFERROR(INDEX(Tab_DaBa[],MATCH(CONCATENATE(Liste!$C$3,$B$569,$B$823),Data!$BO:$BO,0)-2,9),"")</f>
        <v>Eingang</v>
      </c>
      <c r="C825" s="54"/>
      <c r="D825" s="35" t="str">
        <f ca="1">IFERROR(IF(INDEX(Tab_DaBa[],MATCH(CONCATENATE(Liste!$C$3,$B$569,$B$823),Data!$BO:$BO,0)-2,18)=0,INDEX(Tab_DaBa[],MATCH(CONCATENATE(Liste!$C$3,$B$569,$B$823),Data!$BO:$BO,0)-2,14),INDEX(Tab_DaBa[],MATCH(CONCATENATE(Liste!$C$3,$B$569,$B$823),Data!$BO:$BO,0)-2,19)),"")</f>
        <v>Logik 01</v>
      </c>
      <c r="E825" s="33"/>
      <c r="F825" s="35" t="str">
        <f ca="1">IFERROR(IF(AND(INDEX(Tab_DaBa[],MATCH(CONCATENATE(Liste!$C$3,$B$569,$B$823),Data!$BO:$BO,0)-2,18)&lt;&gt;"",INDEX(Tab_DaBa[],MATCH(CONCATENATE(Liste!$C$3,$B$569,$B$823),Data!$BO:$BO,0)-2,23)=0),INDEX(Tab_DaBa[],MATCH(CONCATENATE(Liste!$C$3,$B$569,$B$823),Data!$BO:$BO,0)-2,14),IF(INDEX(Tab_DaBa[],MATCH(CONCATENATE(Liste!$C$3,$B$569,$B$823),Data!$BO:$BO,0)-2,23)&lt;&gt;"",INDEX(Tab_DaBa[],MATCH(CONCATENATE(Liste!$C$3,$B$569,$B$823),Data!$BO:$BO,0)-2,24),"")),"")</f>
        <v>Logik 02</v>
      </c>
      <c r="G825" s="39"/>
      <c r="H825" s="35" t="str">
        <f ca="1">IFERROR(IF(AND(INDEX(Tab_DaBa[],MATCH(CONCATENATE(Liste!$C$3,$B$569,$B$823),Data!$BO:$BO,0)-2,23)&lt;&gt;"",INDEX(Tab_DaBa[],MATCH(CONCATENATE(Liste!$C$3,$B$569,$B$823),Data!$BO:$BO,0)-2,28)=0),INDEX(Tab_DaBa[],MATCH(CONCATENATE(Liste!$C$3,$B$569,$B$823),Data!$BO:$BO,0)-2,14),IF(INDEX(Tab_DaBa[],MATCH(CONCATENATE(Liste!$C$3,$B$569,$B$823),Data!$BO:$BO,0)-2,23)&lt;&gt;"",INDEX(Tab_DaBa[],MATCH(CONCATENATE(Liste!$C$3,$B$569,$B$823),Data!$BO:$BO,0)-2,29),"")),"")</f>
        <v>Logik 03</v>
      </c>
      <c r="I825" s="39"/>
    </row>
    <row r="826" spans="2:9" s="16" customFormat="1" ht="15.75">
      <c r="B826" s="35" t="str">
        <f ca="1">IFERROR(INDEX(Tab_DaBa[],MATCH(CONCATENATE(Liste!$C$3,$B$569,$B$823),Data!$BO:$BO,0)-2,7),"")</f>
        <v>eeee-33_10</v>
      </c>
      <c r="C826" s="54"/>
      <c r="D826" s="35" t="str">
        <f ca="1">IFERROR(IF(INDEX(Tab_DaBa[],MATCH(CONCATENATE(Liste!$C$3,$B$569,$B$823),Data!$BO:$BO,0)-2,18)="",INDEX(Tab_DaBa[],MATCH(CONCATENATE(Liste!$C$3,$B$569,$B$823),Data!$BO:$BO,0)-2,12),INDEX(Tab_DaBa[],MATCH(CONCATENATE(Liste!$C$3,$B$569,$B$823),Data!$BO:$BO,0)-2,17)),"")</f>
        <v>Log01-03_10</v>
      </c>
      <c r="E826" s="36"/>
      <c r="F826" s="35" t="str">
        <f ca="1">IFERROR(IF(AND(INDEX(Tab_DaBa[],MATCH(CONCATENATE(Liste!$C$3,$B$569,$B$823),Data!$BO:$BO,0)-2,18)&lt;&gt;"",INDEX(Tab_DaBa[],MATCH(CONCATENATE(Liste!$C$3,$B$569,$B$823),Data!$BO:$BO,0)-2,23)=0),INDEX(Tab_DaBa[],MATCH(CONCATENATE(Liste!$C$3,$B$569,$B$823),Data!$BO:$BO,0)-2,12),IF(INDEX(Tab_DaBa[],MATCH(CONCATENATE(Liste!$C$3,$B$569,$B$823),Data!$BO:$BO,0)-2,23)&lt;&gt;"",INDEX(Tab_DaBa[],MATCH(CONCATENATE(Liste!$C$3,$B$569,$B$823),Data!$BO:$BO,0)-2,22),"")),"")</f>
        <v>Log02-03_10</v>
      </c>
      <c r="G826" s="39"/>
      <c r="H826" s="35" t="str">
        <f ca="1">IFERROR(IF(AND(INDEX(Tab_DaBa[],MATCH(CONCATENATE(Liste!$C$3,$B$569,$B$823),Data!$BO:$BO,0)-2,23)&lt;&gt;"",INDEX(Tab_DaBa[],MATCH(CONCATENATE(Liste!$C$3,$B$569,$B$823),Data!$BO:$BO,0)-2,28)=0),INDEX(Tab_DaBa[],MATCH(CONCATENATE(Liste!$C$3,$B$569,$B$823),Data!$BO:$BO,0)-2,12),IF(INDEX(Tab_DaBa[],MATCH(CONCATENATE(Liste!$C$3,$B$569,$B$823),Data!$BO:$BO,0)-2,23)&lt;&gt;"",INDEX(Tab_DaBa[],MATCH(CONCATENATE(Liste!$C$3,$B$569,$B$823),Data!$BO:$BO,0)-2,27),"")),"")</f>
        <v>Lo03-33_10</v>
      </c>
      <c r="I826" s="39"/>
    </row>
    <row r="827" spans="2:9" s="16" customFormat="1" ht="15.75">
      <c r="B827" s="35" t="str">
        <f ca="1">IFERROR(INDEX(Tab_DaBa[],MATCH(CONCATENATE(Liste!$C$3,$B$569,$B$823),Data!$BO:$BO,0)-2,8),"")</f>
        <v>Bez_Ein3_10</v>
      </c>
      <c r="C827" s="40">
        <f ca="1">IF(D825="","",4)</f>
        <v>4</v>
      </c>
      <c r="D827" s="35" t="str">
        <f ca="1">IFERROR(IF(INDEX(Tab_DaBa[],MATCH(CONCATENATE(Liste!$C$3,$B$569,$B$823),Data!$BO:$BO,0)-2,18)="",INDEX(Tab_DaBa[],MATCH(CONCATENATE(Liste!$C$3,$B$569,$B$823),Data!$BO:$BO,0)-2,13),INDEX(Tab_DaBa[],MATCH(CONCATENATE(Liste!$C$3,$B$569,$B$823),Data!$BO:$BO,0)-2,18)),"")</f>
        <v>Bez_Log01_03_10</v>
      </c>
      <c r="E827" s="40">
        <f ca="1">IF(F825="","",4)</f>
        <v>4</v>
      </c>
      <c r="F827" s="35" t="str">
        <f ca="1">IFERROR(IF(AND(INDEX(Tab_DaBa[],MATCH(CONCATENATE(Liste!$C$3,$B$569,$B$823),Data!$BO:$BO,0)-2,18)&lt;&gt;"",INDEX(Tab_DaBa[],MATCH(CONCATENATE(Liste!$C$3,$B$569,$B$823),Data!$BO:$BO,0)-2,23)=""),INDEX(Tab_DaBa[],MATCH(CONCATENATE(Liste!$C$3,$B$569,$B$823),Data!$BO:$BO,0)-2,13),IF(INDEX(Tab_DaBa[],MATCH(CONCATENATE(Liste!$C$3,$B$569,$B$823),Data!$BO:$BO,0)-2,23)&lt;&gt;"",INDEX(Tab_DaBa[],MATCH(CONCATENATE(Liste!$C$3,$B$569,$B$823),Data!$BO:$BO,0)-2,23),"")),"")</f>
        <v>Bez_Log02_03_10</v>
      </c>
      <c r="G827" s="38">
        <f ca="1">IF(H825="","",4)</f>
        <v>4</v>
      </c>
      <c r="H827" s="35" t="str">
        <f ca="1">IFERROR(IF(AND(INDEX(Tab_DaBa[],MATCH(CONCATENATE(Liste!$C$3,$B$569,$B$823),Data!$BO:$BO,0)-2,23)&lt;&gt;"",INDEX(Tab_DaBa[],MATCH(CONCATENATE(Liste!$C$3,$B$569,$B$823),Data!$BO:$BO,0)-2,28)=""),INDEX(Tab_DaBa[],MATCH(CONCATENATE(Liste!$C$3,$B$569,$B$823),Data!$BO:$BO,0)-2,13),IF(INDEX(Tab_DaBa[],MATCH(CONCATENATE(Liste!$C$3,$B$569,$B$823),Data!$BO:$BO,0)-2,23)&lt;&gt;"",INDEX(Tab_DaBa[],MATCH(CONCATENATE(Liste!$C$3,$B$569,$B$823),Data!$BO:$BO,0)-2,28),"")),"")</f>
        <v>Bez_Lo03_10</v>
      </c>
      <c r="I827" s="38">
        <f ca="1">IF(B833="","",6)</f>
        <v>6</v>
      </c>
    </row>
    <row r="828" spans="2:9" s="16" customFormat="1" ht="15.75">
      <c r="B828" s="35" t="str">
        <f ca="1">IFERROR("Performance Level: "&amp;INDEX(Tab_DaBa[],MATCH(CONCATENATE(Liste!$C$3,$B$569,$B$823),Data!$BO:$BO,0)-2,10),"")</f>
        <v>Performance Level: PL_Ein3_10</v>
      </c>
      <c r="C828" s="54"/>
      <c r="D828" s="35" t="str">
        <f ca="1">IFERROR(IF(INDEX(Tab_DaBa[],MATCH(CONCATENATE(Liste!$C$3,$B$569,$B$823),Data!$BO:$BO,0)-2,18)="","Performance Level: "&amp;INDEX(Tab_DaBa[],MATCH(CONCATENATE(Liste!$C$3,$B$569,$B$823),Data!$BO:$BO,0)-2,15),"Performance Level: "&amp;INDEX(Tab_DaBa[],MATCH(CONCATENATE(Liste!$C$3,$B$569,$B$823),Data!$BO:$BO,0)-2,20)),"")</f>
        <v>Performance Level: PL_Log01_03_10</v>
      </c>
      <c r="E828" s="36"/>
      <c r="F828" s="35" t="str">
        <f ca="1">IFERROR(IF(AND(INDEX(Tab_DaBa[],MATCH(CONCATENATE(Liste!$C$3,$B$569,$B$823),Data!$BO:$BO,0)-2,18)&lt;&gt;"",INDEX(Tab_DaBa[],MATCH(CONCATENATE(Liste!$C$3,$B$569,$B$823),Data!$BO:$BO,0)-2,23)=""),"Performance Level: "&amp;INDEX(Tab_DaBa[],MATCH(CONCATENATE(Liste!$C$3,$B$569,$B$823),Data!$BO:$BO,0)-2,15),IF(INDEX(Tab_DaBa[],MATCH(CONCATENATE(Liste!$C$3,$B$569,$B$823),Data!$BO:$BO,0)-2,23)&lt;&gt;"","Performance Level: "&amp;INDEX(Tab_DaBa[],MATCH(CONCATENATE(Liste!$C$3,$B$569,$B$823),Data!$BO:$BO,0)-2,25),"")),"")</f>
        <v>Performance Level: PL_Lo03_10</v>
      </c>
      <c r="G828" s="39"/>
      <c r="H828" s="35" t="str">
        <f ca="1">IFERROR(IF(AND(INDEX(Tab_DaBa[],MATCH(CONCATENATE(Liste!$C$3,$B$569,$B$823),Data!$BO:$BO,0)-2,23)&lt;&gt;"",INDEX(Tab_DaBa[],MATCH(CONCATENATE(Liste!$C$3,$B$569,$B$823),Data!$BO:$BO,0)-2,28)=""),"Performance Level: "&amp;INDEX(Tab_DaBa[],MATCH(CONCATENATE(Liste!$C$3,$B$569,$B$823),Data!$BO:$BO,0)-2,15),IF(INDEX(Tab_DaBa[],MATCH(CONCATENATE(Liste!$C$3,$B$569,$B$823),Data!$BO:$BO,0)-2,23)&lt;&gt;"","Performance Level: "&amp;INDEX(Tab_DaBa[],MATCH(CONCATENATE(Liste!$C$3,$B$569,$B$823),Data!$BO:$BO,0)-2,30),"")),"")</f>
        <v>Performance Level: PL_Lo03_10</v>
      </c>
      <c r="I828" s="38"/>
    </row>
    <row r="829" spans="2:9" s="16" customFormat="1" ht="15.75">
      <c r="B829" s="53" t="str">
        <f ca="1">IFERROR("PFH [1/h] = "&amp;10^9*INDEX(Tab_DaBa[],MATCH(CONCATENATE(Liste!$C$3,$B$569,$B$823),Data!$BO:$BO,0)-2,11)&amp;"E-9","")</f>
        <v>PFH [1/h] = 42,9E-9</v>
      </c>
      <c r="C829" s="54"/>
      <c r="D829" s="35" t="str">
        <f ca="1">IFERROR(IF(INDEX(Tab_DaBa[],MATCH(CONCATENATE(Liste!$C$3,$B$569,$B$823),Data!$BO:$BO,0)-2,18)="","PFH [1/h] = "&amp;10^9*INDEX(Tab_DaBa[],MATCH(CONCATENATE(Liste!$C$3,$B$569,$B$823),Data!$BO:$BO,0)-2,16)&amp;"E-9","PFH [1/h] = "&amp;10^9*INDEX(Tab_DaBa[],MATCH(CONCATENATE(Liste!$C$3,$B$569,$B$823),Data!$BO:$BO,0)-2,21)&amp;"E-9"),"")</f>
        <v>PFH [1/h] = 4,19E-9</v>
      </c>
      <c r="E829" s="36"/>
      <c r="F829" s="35" t="str">
        <f ca="1">IFERROR(IF(AND(INDEX(Tab_DaBa[],MATCH(CONCATENATE(Liste!$C$3,$B$569,$B$823),Data!$BO:$BO,0)-2,18)&lt;&gt;"",INDEX(Tab_DaBa[],MATCH(CONCATENATE(Liste!$C$3,$B$569,$B$823),Data!$BO:$BO,0)-2,23)=""),"PFH [1/h] = "&amp;10^9*INDEX(Tab_DaBa[],MATCH(CONCATENATE(Liste!$C$3,$B$569,$B$823),Data!$BO:$BO,0)-2,16)&amp;"E-9",IF(INDEX(Tab_DaBa[],MATCH(CONCATENATE(Liste!$C$3,$B$569,$B$823),Data!$BO:$BO,0)-2,23)&lt;&gt;"","PFH [1/h] = "&amp;10^9*INDEX(Tab_DaBa[],MATCH(CONCATENATE(Liste!$C$3,$B$569,$B$823),Data!$BO:$BO,0)-2,26)&amp;"E-9","")),"")</f>
        <v>PFH [1/h] = 4,19E-9</v>
      </c>
      <c r="G829" s="39"/>
      <c r="H829" s="35" t="str">
        <f ca="1">IFERROR(IF(AND(INDEX(Tab_DaBa[],MATCH(CONCATENATE(Liste!$C$3,$B$569,$B$823),Data!$BO:$BO,0)-2,23)&lt;&gt;"",INDEX(Tab_DaBa[],MATCH(CONCATENATE(Liste!$C$3,$B$569,$B$823),Data!$BO:$BO,0)-2,28)=""),"PFH [1/h] = "&amp;10^9*INDEX(Tab_DaBa[],MATCH(CONCATENATE(Liste!$C$3,$B$569,$B$823),Data!$BO:$BO,0)-2,16)&amp;"E-9",IF(INDEX(Tab_DaBa[],MATCH(CONCATENATE(Liste!$C$3,$B$569,$B$823),Data!$BO:$BO,0)-2,23)&lt;&gt;"","PFH [1/h] = "&amp;10^9*INDEX(Tab_DaBa[],MATCH(CONCATENATE(Liste!$C$3,$B$569,$B$823),Data!$BO:$BO,0)-2,31)&amp;"E-9","")),"")</f>
        <v>PFH [1/h] = 4,19E-9</v>
      </c>
      <c r="I829" s="39"/>
    </row>
    <row r="830" spans="2:9" s="16" customFormat="1">
      <c r="B830" s="33"/>
      <c r="C830" s="34"/>
      <c r="D830" s="33"/>
      <c r="E830" s="33"/>
      <c r="F830" s="33"/>
      <c r="G830" s="33"/>
      <c r="H830" s="33"/>
      <c r="I830" s="33"/>
    </row>
    <row r="831" spans="2:9" s="16" customFormat="1" ht="15.75">
      <c r="B831" s="38">
        <f ca="1">IF(B833="","",6)</f>
        <v>6</v>
      </c>
      <c r="C831" s="34"/>
      <c r="D831" s="38">
        <f ca="1">IF(B833="","",3)</f>
        <v>3</v>
      </c>
      <c r="E831" s="33"/>
      <c r="F831" s="38">
        <f ca="1">IF(B833="","",3)</f>
        <v>3</v>
      </c>
      <c r="G831" s="33"/>
      <c r="H831" s="38">
        <f ca="1">IF(B833="","",3)</f>
        <v>3</v>
      </c>
      <c r="I831" s="33"/>
    </row>
    <row r="832" spans="2:9" s="16" customFormat="1" ht="15.75">
      <c r="B832" s="39"/>
      <c r="C832" s="33"/>
      <c r="D832" s="33"/>
      <c r="E832" s="33"/>
      <c r="F832" s="33"/>
      <c r="G832" s="33"/>
      <c r="H832" s="33"/>
      <c r="I832" s="33"/>
    </row>
    <row r="833" spans="2:9" s="16" customFormat="1" ht="15.75">
      <c r="B833" s="35" t="str">
        <f ca="1">IFERROR(IF(AND(INDEX(Tab_DaBa[],MATCH(CONCATENATE(Liste!$C$3,$B$569,$B$823),Data!$BO:$BO,0)-2,28)&lt;&gt;"",INDEX(Tab_DaBa[],MATCH(CONCATENATE(Liste!$C$3,$B$569,$B$823),Data!$BO:$BO,0)-2,33)=0),INDEX(Tab_DaBa[],MATCH(CONCATENATE(Liste!$C$3,$B$569,$B$823),Data!$BO:$BO,0)-2,14),IF(INDEX(Tab_DaBa[],MATCH(CONCATENATE(Liste!$C$3,$B$569,$B$823),Data!$BO:$BO,0)-2,28)&lt;&gt;"",INDEX(Tab_DaBa[],MATCH(CONCATENATE(Liste!$C$3,$B$569,$B$823),Data!$BO:$BO,0)-2,34),"")),"")</f>
        <v>Logik 04</v>
      </c>
      <c r="C833" s="39"/>
      <c r="D833" s="35" t="str">
        <f ca="1">IFERROR(IF(AND(INDEX(Tab_DaBa[],MATCH(CONCATENATE(Liste!$C$3,$B$569,$B$823),Data!$BO:$BO,0)-2,33)&lt;&gt;"",INDEX(Tab_DaBa[],MATCH(CONCATENATE(Liste!$C$3,$B$569,$B$823),Data!$BO:$BO,0)-2,38)=0),INDEX(Tab_DaBa[],MATCH(CONCATENATE(Liste!$C$3,$B$569,$B$823),Data!$BO:$BO,0)-2,14),IF(INDEX(Tab_DaBa[],MATCH(CONCATENATE(Liste!$C$3,$B$569,$B$823),Data!$BO:$BO,0)-2,33)&lt;&gt;"",INDEX(Tab_DaBa[],MATCH(CONCATENATE(Liste!$C$3,$B$569,$B$823),Data!$BO:$BO,0)-2,39),"")),"")</f>
        <v>Logik 08</v>
      </c>
      <c r="E833" s="33"/>
      <c r="F833" s="35" t="str">
        <f ca="1">IFERROR(IF(AND(INDEX(Tab_DaBa[],MATCH(CONCATENATE(Liste!$C$3,$B$569,$B$823),Data!$BO:$BO,0)-2,38)&lt;&gt;"",INDEX(Tab_DaBa[],MATCH(CONCATENATE(Liste!$C$3,$B$569,$B$823),Data!$BO:$BO,0)-2,43)=0),INDEX(Tab_DaBa[],MATCH(CONCATENATE(Liste!$C$3,$B$569,$B$823),Data!$BO:$BO,0)-2,14),IF(INDEX(Tab_DaBa[],MATCH(CONCATENATE(Liste!$C$3,$B$569,$B$823),Data!$BO:$BO,0)-2,38)&lt;&gt;"",INDEX(Tab_DaBa[],MATCH(CONCATENATE(Liste!$C$3,$B$569,$B$823),Data!$BO:$BO,0)-2,44),"")),"")</f>
        <v>Logik 06</v>
      </c>
      <c r="G833" s="39"/>
      <c r="H833" s="35" t="str">
        <f ca="1">IFERROR(IF(AND(INDEX(Tab_DaBa[],MATCH(CONCATENATE(Liste!$C$3,$B$569,$B$823),Data!$BO:$BO,0)-2,43)&lt;&gt;"",INDEX(Tab_DaBa[],MATCH(CONCATENATE(Liste!$C$3,$B$569,$B$823),Data!$BO:$BO,0)-2,48)=0),INDEX(Tab_DaBa[],MATCH(CONCATENATE(Liste!$C$3,$B$569,$B$823),Data!$BO:$BO,0)-2,14),IF(INDEX(Tab_DaBa[],MATCH(CONCATENATE(Liste!$C$3,$B$569,$B$823),Data!$BO:$BO,0)-2,43)&lt;&gt;"",INDEX(Tab_DaBa[],MATCH(CONCATENATE(Liste!$C$3,$B$569,$B$823),Data!$BO:$BO,0)-2,49),"")),"")</f>
        <v>Logik 07</v>
      </c>
      <c r="I833" s="39"/>
    </row>
    <row r="834" spans="2:9" s="16" customFormat="1" ht="15.75">
      <c r="B834" s="35" t="str">
        <f ca="1">IFERROR(IF(AND(INDEX(Tab_DaBa[],MATCH(CONCATENATE(Liste!$C$3,$B$569,$B$823),Data!$BO:$BO,0)-2,28)&lt;&gt;"",INDEX(Tab_DaBa[],MATCH(CONCATENATE(Liste!$C$3,$B$569,$B$823),Data!$BO:$BO,0)-2,33)=0),INDEX(Tab_DaBa[],MATCH(CONCATENATE(Liste!$C$3,$B$569,$B$823),Data!$BO:$BO,0)-2,12),IF(INDEX(Tab_DaBa[],MATCH(CONCATENATE(Liste!$C$3,$B$569,$B$823),Data!$BO:$BO,0)-2,28)&lt;&gt;"",INDEX(Tab_DaBa[],MATCH(CONCATENATE(Liste!$C$3,$B$569,$B$823),Data!$BO:$BO,0)-2,32),"")),"")</f>
        <v>Lo03-33_10</v>
      </c>
      <c r="C834" s="39"/>
      <c r="D834" s="35" t="str">
        <f ca="1">IFERROR(IF(AND(INDEX(Tab_DaBa[],MATCH(CONCATENATE(Liste!$C$3,$B$569,$B$823),Data!$BO:$BO,0)-2,33)&lt;&gt;"",INDEX(Tab_DaBa[],MATCH(CONCATENATE(Liste!$C$3,$B$569,$B$823),Data!$BO:$BO,0)-2,38)=0),INDEX(Tab_DaBa[],MATCH(CONCATENATE(Liste!$C$3,$B$569,$B$823),Data!$BO:$BO,0)-2,12),IF(INDEX(Tab_DaBa[],MATCH(CONCATENATE(Liste!$C$3,$B$569,$B$823),Data!$BO:$BO,0)-2,33)&lt;&gt;"",INDEX(Tab_DaBa[],MATCH(CONCATENATE(Liste!$C$3,$B$569,$B$823),Data!$BO:$BO,0)-2,37),"")),"")</f>
        <v>Lo03-33_10</v>
      </c>
      <c r="E834" s="37"/>
      <c r="F834" s="35" t="str">
        <f ca="1">IFERROR(IF(AND(INDEX(Tab_DaBa[],MATCH(CONCATENATE(Liste!$C$3,$B$569,$B$823),Data!$BO:$BO,0)-2,38)&lt;&gt;"",INDEX(Tab_DaBa[],MATCH(CONCATENATE(Liste!$C$3,$B$569,$B$823),Data!$BO:$BO,0)-2,43)=0),INDEX(Tab_DaBa[],MATCH(CONCATENATE(Liste!$C$3,$B$569,$B$823),Data!$BO:$BO,0)-2,12),IF(INDEX(Tab_DaBa[],MATCH(CONCATENATE(Liste!$C$3,$B$569,$B$823),Data!$BO:$BO,0)-2,38)&lt;&gt;"",INDEX(Tab_DaBa[],MATCH(CONCATENATE(Liste!$C$3,$B$569,$B$823),Data!$BO:$BO,0)-2,42),"")),"")</f>
        <v>Lo03-33_10</v>
      </c>
      <c r="G834" s="39"/>
      <c r="H834" s="35" t="str">
        <f ca="1">IFERROR(IF(AND(INDEX(Tab_DaBa[],MATCH(CONCATENATE(Liste!$C$3,$B$569,$B$823),Data!$BO:$BO,0)-2,43)&lt;&gt;"",INDEX(Tab_DaBa[],MATCH(CONCATENATE(Liste!$C$3,$B$569,$B$823),Data!$BO:$BO,0)-2,48)=0),INDEX(Tab_DaBa[],MATCH(CONCATENATE(Liste!$C$3,$B$569,$B$823),Data!$BO:$BO,0)-2,12),IF(INDEX(Tab_DaBa[],MATCH(CONCATENATE(Liste!$C$3,$B$569,$B$823),Data!$BO:$BO,0)-2,43)&lt;&gt;"",INDEX(Tab_DaBa[],MATCH(CONCATENATE(Liste!$C$3,$B$569,$B$823),Data!$BO:$BO,0)-2,47),"")),"")</f>
        <v>Lo03-33_10</v>
      </c>
      <c r="I834" s="39"/>
    </row>
    <row r="835" spans="2:9" s="16" customFormat="1" ht="15.75">
      <c r="B835" s="35" t="str">
        <f ca="1">IFERROR(IF(AND(INDEX(Tab_DaBa[],MATCH(CONCATENATE(Liste!$C$3,$B$569,$B$823),Data!$BO:$BO,0)-2,28)&lt;&gt;"",INDEX(Tab_DaBa[],MATCH(CONCATENATE(Liste!$C$3,$B$569,$B$823),Data!$BO:$BO,0)-2,33)=""),INDEX(Tab_DaBa[],MATCH(CONCATENATE(Liste!$C$3,$B$569,$B$823),Data!$BO:$BO,0)-2,13),IF(INDEX(Tab_DaBa[],MATCH(CONCATENATE(Liste!$C$3,$B$569,$B$823),Data!$BO:$BO,0)-2,28)&lt;&gt;"",INDEX(Tab_DaBa[],MATCH(CONCATENATE(Liste!$C$3,$B$569,$B$823),Data!$BO:$BO,0)-2,33),"")),"")</f>
        <v>Bez_Lo03_10</v>
      </c>
      <c r="C835" s="38">
        <f ca="1">IF(D833="","",4)</f>
        <v>4</v>
      </c>
      <c r="D835" s="35" t="str">
        <f ca="1">IFERROR(IF(AND(INDEX(Tab_DaBa[],MATCH(CONCATENATE(Liste!$C$3,$B$569,$B$823),Data!$BO:$BO,0)-2,33)&lt;&gt;"",INDEX(Tab_DaBa[],MATCH(CONCATENATE(Liste!$C$3,$B$569,$B$823),Data!$BO:$BO,0)-2,38)=""),INDEX(Tab_DaBa[],MATCH(CONCATENATE(Liste!$C$3,$B$569,$B$823),Data!$BO:$BO,0)-2,13),IF(INDEX(Tab_DaBa[],MATCH(CONCATENATE(Liste!$C$3,$B$569,$B$823),Data!$BO:$BO,0)-2,33)&lt;&gt;"",INDEX(Tab_DaBa[],MATCH(CONCATENATE(Liste!$C$3,$B$569,$B$823),Data!$BO:$BO,0)-2,38),"")),"")</f>
        <v>Bez_Lo03_10</v>
      </c>
      <c r="E835" s="38">
        <f ca="1">IF(F833="","",4)</f>
        <v>4</v>
      </c>
      <c r="F835" s="35" t="str">
        <f ca="1">IFERROR(IF(AND(INDEX(Tab_DaBa[],MATCH(CONCATENATE(Liste!$C$3,$B$569,$B$823),Data!$BO:$BO,0)-2,38)&lt;&gt;"",INDEX(Tab_DaBa[],MATCH(CONCATENATE(Liste!$C$3,$B$569,$B$823),Data!$BO:$BO,0)-2,43)=""),INDEX(Tab_DaBa[],MATCH(CONCATENATE(Liste!$C$3,$B$569,$B$823),Data!$BO:$BO,0)-2,13),IF(INDEX(Tab_DaBa[],MATCH(CONCATENATE(Liste!$C$3,$B$569,$B$823),Data!$BO:$BO,0)-2,38)&lt;&gt;"",INDEX(Tab_DaBa[],MATCH(CONCATENATE(Liste!$C$3,$B$569,$B$823),Data!$BO:$BO,0)-2,43),"")),"")</f>
        <v>Bez_Lo03_10</v>
      </c>
      <c r="G835" s="38">
        <f ca="1">IF(H833="","",4)</f>
        <v>4</v>
      </c>
      <c r="H835" s="35" t="str">
        <f ca="1">IFERROR(IF(AND(INDEX(Tab_DaBa[],MATCH(CONCATENATE(Liste!$C$3,$B$569,$B$823),Data!$BO:$BO,0)-2,43)&lt;&gt;"",INDEX(Tab_DaBa[],MATCH(CONCATENATE(Liste!$C$3,$B$569,$B$823),Data!$BO:$BO,0)-2,48)=""),INDEX(Tab_DaBa[],MATCH(CONCATENATE(Liste!$C$3,$B$569,$B$823),Data!$BO:$BO,0)-2,13),IF(INDEX(Tab_DaBa[],MATCH(CONCATENATE(Liste!$C$3,$B$569,$B$823),Data!$BO:$BO,0)-2,43)&lt;&gt;"",INDEX(Tab_DaBa[],MATCH(CONCATENATE(Liste!$C$3,$B$569,$B$823),Data!$BO:$BO,0)-2,48),"")),"")</f>
        <v>Bez_Lo03_10</v>
      </c>
      <c r="I835" s="38">
        <f ca="1">IF(B841="","",6)</f>
        <v>6</v>
      </c>
    </row>
    <row r="836" spans="2:9" s="16" customFormat="1" ht="15.75">
      <c r="B836" s="35" t="str">
        <f ca="1">IFERROR(IF(AND(INDEX(Tab_DaBa[],MATCH(CONCATENATE(Liste!$C$3,$B$569,$B$823),Data!$BO:$BO,0)-2,28)&lt;&gt;"",INDEX(Tab_DaBa[],MATCH(CONCATENATE(Liste!$C$3,$B$569,$B$823),Data!$BO:$BO,0)-2,33)=""),"Performance Level: "&amp;INDEX(Tab_DaBa[],MATCH(CONCATENATE(Liste!$C$3,$B$569,$B$823),Data!$BO:$BO,0)-2,15),IF(INDEX(Tab_DaBa[],MATCH(CONCATENATE(Liste!$C$3,$B$569,$B$823),Data!$BO:$BO,0)-2,28)&lt;&gt;"","Performance Level: "&amp;INDEX(Tab_DaBa[],MATCH(CONCATENATE(Liste!$C$3,$B$569,$B$823),Data!$BO:$BO,0)-2,35),"")),"")</f>
        <v>Performance Level: PL_Lo03_10</v>
      </c>
      <c r="C836" s="39"/>
      <c r="D836" s="35" t="str">
        <f ca="1">IFERROR(IF(AND(INDEX(Tab_DaBa[],MATCH(CONCATENATE(Liste!$C$3,$B$569,$B$823),Data!$BO:$BO,0)-2,33)&lt;&gt;"",INDEX(Tab_DaBa[],MATCH(CONCATENATE(Liste!$C$3,$B$569,$B$823),Data!$BO:$BO,0)-2,38)=""),"Performance Level: "&amp;INDEX(Tab_DaBa[],MATCH(CONCATENATE(Liste!$C$3,$B$569,$B$823),Data!$BO:$BO,0)-2,15),IF(INDEX(Tab_DaBa[],MATCH(CONCATENATE(Liste!$C$3,$B$569,$B$823),Data!$BO:$BO,0)-2,33)&lt;&gt;"","Performance Level: "&amp;INDEX(Tab_DaBa[],MATCH(CONCATENATE(Liste!$C$3,$B$569,$B$823),Data!$BO:$BO,0)-2,40),"")),"")</f>
        <v>Performance Level: PL_Lo03_10</v>
      </c>
      <c r="E836" s="37"/>
      <c r="F836" s="35" t="str">
        <f ca="1">IFERROR(IF(AND(INDEX(Tab_DaBa[],MATCH(CONCATENATE(Liste!$C$3,$B$569,$B$823),Data!$BO:$BO,0)-2,38)&lt;&gt;"",INDEX(Tab_DaBa[],MATCH(CONCATENATE(Liste!$C$3,$B$569,$B$823),Data!$BO:$BO,0)-2,43)=""),"Performance Level: "&amp;INDEX(Tab_DaBa[],MATCH(CONCATENATE(Liste!$C$3,$B$569,$B$823),Data!$BO:$BO,0)-2,15),IF(INDEX(Tab_DaBa[],MATCH(CONCATENATE(Liste!$C$3,$B$569,$B$823),Data!$BO:$BO,0)-2,38)&lt;&gt;"","Performance Level: "&amp;INDEX(Tab_DaBa[],MATCH(CONCATENATE(Liste!$C$3,$B$569,$B$823),Data!$BO:$BO,0)-2,45),"")),"")</f>
        <v>Performance Level: PL_Lo03_10</v>
      </c>
      <c r="G836" s="39"/>
      <c r="H836" s="35" t="str">
        <f ca="1">IFERROR(IF(AND(INDEX(Tab_DaBa[],MATCH(CONCATENATE(Liste!$C$3,$B$569,$B$823),Data!$BO:$BO,0)-2,43)&lt;&gt;"",INDEX(Tab_DaBa[],MATCH(CONCATENATE(Liste!$C$3,$B$569,$B$823),Data!$BO:$BO,0)-2,48)=""),"Performance Level: "&amp;INDEX(Tab_DaBa[],MATCH(CONCATENATE(Liste!$C$3,$B$569,$B$823),Data!$BO:$BO,0)-2,15),IF(INDEX(Tab_DaBa[],MATCH(CONCATENATE(Liste!$C$3,$B$569,$B$823),Data!$BO:$BO,0)-2,43)&lt;&gt;"","Performance Level: "&amp;INDEX(Tab_DaBa[],MATCH(CONCATENATE(Liste!$C$3,$B$569,$B$823),Data!$BO:$BO,0)-2,50),"")),"")</f>
        <v>Performance Level: PL_Lo03_10</v>
      </c>
      <c r="I836" s="39"/>
    </row>
    <row r="837" spans="2:9" s="16" customFormat="1" ht="15.75">
      <c r="B837" s="35" t="str">
        <f ca="1">IFERROR(IF(AND(INDEX(Tab_DaBa[],MATCH(CONCATENATE(Liste!$C$3,$B$569,$B$823),Data!$BO:$BO,0)-2,28)&lt;&gt;"",INDEX(Tab_DaBa[],MATCH(CONCATENATE(Liste!$C$3,$B$569,$B$823),Data!$BO:$BO,0)-2,33)=""),"PFH [1/h] = "&amp;10^9*INDEX(Tab_DaBa[],MATCH(CONCATENATE(Liste!$C$3,$B$569,$B$823),Data!$BO:$BO,0)-2,16)&amp;"E-9",IF(INDEX(Tab_DaBa[],MATCH(CONCATENATE(Liste!$C$3,$B$569,$B$823),Data!$BO:$BO,0)-2,28)&lt;&gt;"","PFH [1/h] = "&amp;10^9*INDEX(Tab_DaBa[],MATCH(CONCATENATE(Liste!$C$3,$B$569,$B$823),Data!$BO:$BO,0)-2,36)&amp;"E-9","")),"")</f>
        <v>PFH [1/h] = 4,19E-9</v>
      </c>
      <c r="C837" s="39"/>
      <c r="D837" s="35" t="str">
        <f ca="1">IFERROR(IF(AND(INDEX(Tab_DaBa[],MATCH(CONCATENATE(Liste!$C$3,$B$569,$B$823),Data!$BO:$BO,0)-2,33)&lt;&gt;"",INDEX(Tab_DaBa[],MATCH(CONCATENATE(Liste!$C$3,$B$569,$B$823),Data!$BO:$BO,0)-2,38)=""),"PFH [1/h] = "&amp;10^9*INDEX(Tab_DaBa[],MATCH(CONCATENATE(Liste!$C$3,$B$569,$B$823),Data!$BO:$BO,0)-2,16)&amp;"E-9",IF(INDEX(Tab_DaBa[],MATCH(CONCATENATE(Liste!$C$3,$B$569,$B$823),Data!$BO:$BO,0)-2,33)&lt;&gt;"","PFH [1/h] = "&amp;10^9*INDEX(Tab_DaBa[],MATCH(CONCATENATE(Liste!$C$3,$B$569,$B$823),Data!$BO:$BO,0)-2,41)&amp;"E-9","")),"")</f>
        <v>PFH [1/h] = 4,19E-9</v>
      </c>
      <c r="E837" s="37"/>
      <c r="F837" s="35" t="str">
        <f ca="1">IFERROR(IF(AND(INDEX(Tab_DaBa[],MATCH(CONCATENATE(Liste!$C$3,$B$569,$B$823),Data!$BO:$BO,0)-2,38)&lt;&gt;"",INDEX(Tab_DaBa[],MATCH(CONCATENATE(Liste!$C$3,$B$569,$B$823),Data!$BO:$BO,0)-2,43)=""),"PFH [1/h] = "&amp;10^9*INDEX(Tab_DaBa[],MATCH(CONCATENATE(Liste!$C$3,$B$569,$B$823),Data!$BO:$BO,0)-2,16)&amp;"E-9",IF(INDEX(Tab_DaBa[],MATCH(CONCATENATE(Liste!$C$3,$B$569,$B$823),Data!$BO:$BO,0)-2,38)&lt;&gt;"","PFH [1/h] = "&amp;10^9*INDEX(Tab_DaBa[],MATCH(CONCATENATE(Liste!$C$3,$B$569,$B$823),Data!$BO:$BO,0)-2,46)&amp;"E-9","")),"")</f>
        <v>PFH [1/h] = 4,19E-9</v>
      </c>
      <c r="G837" s="39"/>
      <c r="H837" s="35" t="str">
        <f ca="1">IFERROR(IF(AND(INDEX(Tab_DaBa[],MATCH(CONCATENATE(Liste!$C$3,$B$569,$B$823),Data!$BO:$BO,0)-2,43)&lt;&gt;"",INDEX(Tab_DaBa[],MATCH(CONCATENATE(Liste!$C$3,$B$569,$B$823),Data!$BO:$BO,0)-2,48)=""),"PFH [1/h] = "&amp;10^9*INDEX(Tab_DaBa[],MATCH(CONCATENATE(Liste!$C$3,$B$569,$B$823),Data!$BO:$BO,0)-2,16)&amp;"E-9",IF(INDEX(Tab_DaBa[],MATCH(CONCATENATE(Liste!$C$3,$B$569,$B$823),Data!$BO:$BO,0)-2,43)&lt;&gt;"","PFH [1/h] = "&amp;10^9*INDEX(Tab_DaBa[],MATCH(CONCATENATE(Liste!$C$3,$B$569,$B$823),Data!$BO:$BO,0)-2,51)&amp;"E-9","")),"")</f>
        <v>PFH [1/h] = 4,19E-9</v>
      </c>
      <c r="I837" s="39"/>
    </row>
    <row r="838" spans="2:9" s="16" customFormat="1">
      <c r="B838" s="33"/>
      <c r="C838" s="33"/>
      <c r="D838" s="33"/>
      <c r="E838" s="33"/>
      <c r="F838" s="33"/>
      <c r="G838" s="33"/>
      <c r="H838" s="33"/>
      <c r="I838" s="33"/>
    </row>
    <row r="839" spans="2:9" s="16" customFormat="1" ht="15.75">
      <c r="B839" s="38">
        <f ca="1">IF(B841="","",6)</f>
        <v>6</v>
      </c>
      <c r="C839" s="33"/>
      <c r="D839" s="38">
        <f ca="1">IF(B841="","",3)</f>
        <v>3</v>
      </c>
      <c r="E839" s="33"/>
      <c r="F839" s="38">
        <f ca="1">IF(B841="","",3)</f>
        <v>3</v>
      </c>
      <c r="G839" s="33"/>
      <c r="H839" s="38">
        <f ca="1">IF(B841="","",3)</f>
        <v>3</v>
      </c>
      <c r="I839" s="33"/>
    </row>
    <row r="840" spans="2:9" s="16" customFormat="1" ht="15.75">
      <c r="B840" s="39"/>
      <c r="C840" s="33"/>
      <c r="D840" s="33"/>
      <c r="E840" s="33"/>
      <c r="F840" s="33"/>
      <c r="G840" s="33"/>
      <c r="H840" s="33"/>
      <c r="I840" s="33"/>
    </row>
    <row r="841" spans="2:9" s="16" customFormat="1" ht="15.75">
      <c r="B841" s="35" t="str">
        <f ca="1">IFERROR(IF(AND(INDEX(Tab_DaBa[],MATCH(CONCATENATE(Liste!$C$3,$B$569,$B$823),Data!$BO:$BO,0)-2,48)&lt;&gt;"",INDEX(Tab_DaBa[],MATCH(CONCATENATE(Liste!$C$3,$B$569,$B$823),Data!$BO:$BO,0)-2,53)=0),INDEX(Tab_DaBa[],MATCH(CONCATENATE(Liste!$C$3,$B$569,$B$823),Data!$BO:$BO,0)-2,14),IF(INDEX(Tab_DaBa[],MATCH(CONCATENATE(Liste!$C$3,$B$569,$B$823),Data!$BO:$BO,0)-2,48)&lt;&gt;"",INDEX(Tab_DaBa[],MATCH(CONCATENATE(Liste!$C$3,$B$569,$B$823),Data!$BO:$BO,0)-2,54),"")),"")</f>
        <v>Logik 08</v>
      </c>
      <c r="C841" s="39"/>
      <c r="D841" s="35" t="str">
        <f ca="1">IFERROR(IF(AND(INDEX(Tab_DaBa[],MATCH(CONCATENATE(Liste!$C$3,$B$569,$B$823),Data!$BO:$BO,0)-2,53)&lt;&gt;"",INDEX(Tab_DaBa[],MATCH(CONCATENATE(Liste!$C$3,$B$569,$B$823),Data!$BO:$BO,0)-2,58)=0),INDEX(Tab_DaBa[],MATCH(CONCATENATE(Liste!$C$3,$B$569,$B$823),Data!$BO:$BO,0)-2,14),IF(INDEX(Tab_DaBa[],MATCH(CONCATENATE(Liste!$C$3,$B$569,$B$823),Data!$BO:$BO,0)-2,53)&lt;&gt;"",INDEX(Tab_DaBa[],MATCH(CONCATENATE(Liste!$C$3,$B$569,$B$823),Data!$BO:$BO,0)-2,59),"")),"")</f>
        <v>Logik 09</v>
      </c>
      <c r="E841" s="33"/>
      <c r="F841" s="35" t="str">
        <f ca="1">IFERROR(IF(AND(INDEX(Tab_DaBa[],MATCH(CONCATENATE(Liste!$C$3,$B$569,$B$823),Data!$BO:$BO,0)-2,58)&lt;&gt;"",INDEX(Tab_DaBa[],MATCH(CONCATENATE(Liste!$C$3,$B$569,$B$823),Data!$BO:$BO,0)-2,63)=0),INDEX(Tab_DaBa[],MATCH(CONCATENATE(Liste!$C$3,$B$569,$B$823),Data!$BO:$BO,0)-2,14),IF(INDEX(Tab_DaBa[],MATCH(CONCATENATE(Liste!$C$3,$B$569,$B$823),Data!$BO:$BO,0)-2,58)&lt;&gt;"",INDEX(Tab_DaBa[],MATCH(CONCATENATE(Liste!$C$3,$B$569,$B$823),Data!$BO:$BO,0)-2,64),"")),"")</f>
        <v>Logik 10</v>
      </c>
      <c r="G841" s="39"/>
      <c r="H841" s="35" t="str">
        <f ca="1">IFERROR(IF(INDEX(Tab_DaBa[],MATCH(CONCATENATE(Liste!$C$3,$B$569,$B$823),Data!$BO:$BO,0)-2,63)&lt;&gt;"",INDEX(Tab_DaBa[],MATCH(CONCATENATE(Liste!$C$3,$B$569,$B$823),Data!$BO:$BO,0)-2,14),""),"")</f>
        <v>Ausgang</v>
      </c>
    </row>
    <row r="842" spans="2:9" s="16" customFormat="1" ht="15.75">
      <c r="B842" s="35" t="str">
        <f ca="1">IFERROR(IF(AND(INDEX(Tab_DaBa[],MATCH(CONCATENATE(Liste!$C$3,$B$569,$B$823),Data!$BO:$BO,0)-2,48)&lt;&gt;"",INDEX(Tab_DaBa[],MATCH(CONCATENATE(Liste!$C$3,$B$569,$B$823),Data!$BO:$BO,0)-2,53)=0),INDEX(Tab_DaBa[],MATCH(CONCATENATE(Liste!$C$3,$B$569,$B$823),Data!$BO:$BO,0)-2,12),IF(INDEX(Tab_DaBa[],MATCH(CONCATENATE(Liste!$C$3,$B$569,$B$823),Data!$BO:$BO,0)-2,48)&lt;&gt;"",INDEX(Tab_DaBa[],MATCH(CONCATENATE(Liste!$C$3,$B$569,$B$823),Data!$BO:$BO,0)-2,52),"")),"")</f>
        <v>Lo03-88_10</v>
      </c>
      <c r="C842" s="39"/>
      <c r="D842" s="35" t="str">
        <f ca="1">IFERROR(IF(AND(INDEX(Tab_DaBa[],MATCH(CONCATENATE(Liste!$C$3,$B$569,$B$823),Data!$BO:$BO,0)-2,53)&lt;&gt;"",INDEX(Tab_DaBa[],MATCH(CONCATENATE(Liste!$C$3,$B$569,$B$823),Data!$BO:$BO,0)-2,58)=0),INDEX(Tab_DaBa[],MATCH(CONCATENATE(Liste!$C$3,$B$569,$B$823),Data!$BO:$BO,0)-2,12),IF(INDEX(Tab_DaBa[],MATCH(CONCATENATE(Liste!$C$3,$B$569,$B$823),Data!$BO:$BO,0)-2,53)&lt;&gt;"",INDEX(Tab_DaBa[],MATCH(CONCATENATE(Liste!$C$3,$B$569,$B$823),Data!$BO:$BO,0)-2,57),"")),"")</f>
        <v>Lo03-33_10</v>
      </c>
      <c r="E842" s="37"/>
      <c r="F842" s="35" t="str">
        <f ca="1">IFERROR(IF(AND(INDEX(Tab_DaBa[],MATCH(CONCATENATE(Liste!$C$3,$B$569,$B$823),Data!$BO:$BO,0)-2,58)&lt;&gt;"",INDEX(Tab_DaBa[],MATCH(CONCATENATE(Liste!$C$3,$B$569,$B$823),Data!$BO:$BO,0)-2,63)=0),INDEX(Tab_DaBa[],MATCH(CONCATENATE(Liste!$C$3,$B$569,$B$823),Data!$BO:$BO,0)-2,12),IF(INDEX(Tab_DaBa[],MATCH(CONCATENATE(Liste!$C$3,$B$569,$B$823),Data!$BO:$BO,0)-2,58)&lt;&gt;"",INDEX(Tab_DaBa[],MATCH(CONCATENATE(Liste!$C$3,$B$569,$B$823),Data!$BO:$BO,0)-2,62),"")),"")</f>
        <v>Lo03-10_10</v>
      </c>
      <c r="G842" s="39"/>
      <c r="H842" s="35" t="str">
        <f ca="1">IFERROR(IF(INDEX(Tab_DaBa[],MATCH(CONCATENATE(Liste!$C$3,$B$569,$B$823),Data!$BO:$BO,0)-2,63)&lt;&gt;"",INDEX(Tab_DaBa[],MATCH(CONCATENATE(Liste!$C$3,$B$569,$B$823),Data!$BO:$BO,0)-2,12),""),"")</f>
        <v>aaaa-33_10</v>
      </c>
    </row>
    <row r="843" spans="2:9" s="16" customFormat="1" ht="15.75">
      <c r="B843" s="35" t="str">
        <f ca="1">IFERROR(IF(AND(INDEX(Tab_DaBa[],MATCH(CONCATENATE(Liste!$C$3,$B$569,$B$823),Data!$BO:$BO,0)-2,48)&lt;&gt;"",INDEX(Tab_DaBa[],MATCH(CONCATENATE(Liste!$C$3,$B$569,$B$823),Data!$BO:$BO,0)-2,53)=""),INDEX(Tab_DaBa[],MATCH(CONCATENATE(Liste!$C$3,$B$569,$B$823),Data!$BO:$BO,0)-2,13),IF(INDEX(Tab_DaBa[],MATCH(CONCATENATE(Liste!$C$3,$B$569,$B$823),Data!$BO:$BO,0)-2,48)&lt;&gt;"",INDEX(Tab_DaBa[],MATCH(CONCATENATE(Liste!$C$3,$B$569,$B$823),Data!$BO:$BO,0)-2,53),"")),"")</f>
        <v>Bez_Lo03_10</v>
      </c>
      <c r="C843" s="38">
        <f ca="1">IF(D841="","",4)</f>
        <v>4</v>
      </c>
      <c r="D843" s="35" t="str">
        <f ca="1">IFERROR(IF(AND(INDEX(Tab_DaBa[],MATCH(CONCATENATE(Liste!$C$3,$B$569,$B$823),Data!$BO:$BO,0)-2,53)&lt;&gt;"",INDEX(Tab_DaBa[],MATCH(CONCATENATE(Liste!$C$3,$B$569,$B$823),Data!$BO:$BO,0)-2,58)=""),INDEX(Tab_DaBa[],MATCH(CONCATENATE(Liste!$C$3,$B$569,$B$823),Data!$BO:$BO,0)-2,13),IF(INDEX(Tab_DaBa[],MATCH(CONCATENATE(Liste!$C$3,$B$569,$B$823),Data!$BO:$BO,0)-2,53)&lt;&gt;"",INDEX(Tab_DaBa[],MATCH(CONCATENATE(Liste!$C$3,$B$569,$B$823),Data!$BO:$BO,0)-2,58),"")),"")</f>
        <v>Bez_Lo03_10</v>
      </c>
      <c r="E843" s="38">
        <f ca="1">IF(F841="","",4)</f>
        <v>4</v>
      </c>
      <c r="F843" s="35" t="str">
        <f ca="1">IFERROR(IF(AND(INDEX(Tab_DaBa[],MATCH(CONCATENATE(Liste!$C$3,$B$569,$B$823),Data!$BO:$BO,0)-2,58)&lt;&gt;"",INDEX(Tab_DaBa[],MATCH(CONCATENATE(Liste!$C$3,$B$569,$B$823),Data!$BO:$BO,0)-2,63)=""),INDEX(Tab_DaBa[],MATCH(CONCATENATE(Liste!$C$3,$B$569,$B$823),Data!$BO:$BO,0)-2,13),IF(INDEX(Tab_DaBa[],MATCH(CONCATENATE(Liste!$C$3,$B$569,$B$823),Data!$BO:$BO,0)-2,58)&lt;&gt;"",INDEX(Tab_DaBa[],MATCH(CONCATENATE(Liste!$C$3,$B$569,$B$823),Data!$BO:$BO,0)-2,63),"")),"")</f>
        <v>Bez_Lo03_10</v>
      </c>
      <c r="G843" s="38">
        <f ca="1">IF(H841="","",4)</f>
        <v>4</v>
      </c>
      <c r="H843" s="35" t="str">
        <f ca="1">IFERROR(IF(INDEX(Tab_DaBa[],MATCH(CONCATENATE(Liste!$C$3,$B$569,$B$823),Data!$BO:$BO,0)-2,63)&lt;&gt;"",INDEX(Tab_DaBa[],MATCH(CONCATENATE(Liste!$C$3,$B$569,$B$823),Data!$BO:$BO,0)-2,13),""),"")</f>
        <v>Bez_Aus3_10</v>
      </c>
    </row>
    <row r="844" spans="2:9" s="16" customFormat="1" ht="15.75">
      <c r="B844" s="35" t="str">
        <f ca="1">IFERROR(IF(AND(INDEX(Tab_DaBa[],MATCH(CONCATENATE(Liste!$C$3,$B$569,$B$823),Data!$BO:$BO,0)-2,48)&lt;&gt;"",INDEX(Tab_DaBa[],MATCH(CONCATENATE(Liste!$C$3,$B$569,$B$823),Data!$BO:$BO,0)-2,53)=""),"Performance Level: "&amp;INDEX(Tab_DaBa[],MATCH(CONCATENATE(Liste!$C$3,$B$569,$B$823),Data!$BO:$BO,0)-2,15),IF(INDEX(Tab_DaBa[],MATCH(CONCATENATE(Liste!$C$3,$B$569,$B$823),Data!$BO:$BO,0)-2,48)&lt;&gt;"","Performance Level: "&amp;INDEX(Tab_DaBa[],MATCH(CONCATENATE(Liste!$C$3,$B$569,$B$823),Data!$BO:$BO,0)-2,55),"")),"")</f>
        <v>Performance Level: PL_Lo03_10</v>
      </c>
      <c r="C844" s="39"/>
      <c r="D844" s="35" t="str">
        <f ca="1">IFERROR(IF(AND(INDEX(Tab_DaBa[],MATCH(CONCATENATE(Liste!$C$3,$B$569,$B$823),Data!$BO:$BO,0)-2,53)&lt;&gt;"",INDEX(Tab_DaBa[],MATCH(CONCATENATE(Liste!$C$3,$B$569,$B$823),Data!$BO:$BO,0)-2,58)=""),"Performance Level: "&amp;INDEX(Tab_DaBa[],MATCH(CONCATENATE(Liste!$C$3,$B$569,$B$823),Data!$BO:$BO,0)-2,15),IF(INDEX(Tab_DaBa[],MATCH(CONCATENATE(Liste!$C$3,$B$569,$B$823),Data!$BO:$BO,0)-2,53)&lt;&gt;"","Performance Level: "&amp;INDEX(Tab_DaBa[],MATCH(CONCATENATE(Liste!$C$3,$B$569,$B$823),Data!$BO:$BO,0)-2,60),"")),"")</f>
        <v>Performance Level: PL_Lo03_10</v>
      </c>
      <c r="E844" s="37"/>
      <c r="F844" s="35" t="str">
        <f ca="1">IFERROR(IF(AND(INDEX(Tab_DaBa[],MATCH(CONCATENATE(Liste!$C$3,$B$569,$B$823),Data!$BO:$BO,0)-2,58)&lt;&gt;"",INDEX(Tab_DaBa[],MATCH(CONCATENATE(Liste!$C$3,$B$569,$B$823),Data!$BO:$BO,0)-2,63)=""),"Performance Level: "&amp;INDEX(Tab_DaBa[],MATCH(CONCATENATE(Liste!$C$3,$B$569,$B$823),Data!$BO:$BO,0)-2,15),IF(INDEX(Tab_DaBa[],MATCH(CONCATENATE(Liste!$C$3,$B$569,$B$823),Data!$BO:$BO,0)-2,58)&lt;&gt;"","Performance Level: "&amp;INDEX(Tab_DaBa[],MATCH(CONCATENATE(Liste!$C$3,$B$569,$B$823),Data!$BO:$BO,0)-2,65),"")),"")</f>
        <v>Performance Level: PL_Lo03_10</v>
      </c>
      <c r="G844" s="39"/>
      <c r="H844" s="35" t="str">
        <f ca="1">IFERROR(IF(INDEX(Tab_DaBa[],MATCH(CONCATENATE(Liste!$C$3,$B$569,$B$823),Data!$BO:$BO,0)-2,63)&lt;&gt;"","Performance Level: "&amp;INDEX(Tab_DaBa[],MATCH(CONCATENATE(Liste!$C$3,$B$569,$B$823),Data!$BO:$BO,0)-2,15),""),"")</f>
        <v>Performance Level: PL_Aus3_10</v>
      </c>
    </row>
    <row r="845" spans="2:9" s="16" customFormat="1" ht="15.75">
      <c r="B845" s="35" t="str">
        <f ca="1">IFERROR(IF(AND(INDEX(Tab_DaBa[],MATCH(CONCATENATE(Liste!$C$3,$B$569,$B$823),Data!$BO:$BO,0)-2,48)&lt;&gt;"",INDEX(Tab_DaBa[],MATCH(CONCATENATE(Liste!$C$3,$B$569,$B$823),Data!$BO:$BO,0)-2,53)=""),"PFH [1/h] = "&amp;10^9*INDEX(Tab_DaBa[],MATCH(CONCATENATE(Liste!$C$3,$B$569,$B$823),Data!$BO:$BO,0)-2,16)&amp;"E-9",IF(INDEX(Tab_DaBa[],MATCH(CONCATENATE(Liste!$C$3,$B$569,$B$823),Data!$BO:$BO,0)-2,48)&lt;&gt;"","PFH [1/h] = "&amp;10^9*INDEX(Tab_DaBa[],MATCH(CONCATENATE(Liste!$C$3,$B$569,$B$823),Data!$BO:$BO,0)-2,56)&amp;"E-9","")),"")</f>
        <v>PFH [1/h] = 4,19E-9</v>
      </c>
      <c r="C845" s="39"/>
      <c r="D845" s="35" t="str">
        <f ca="1">IFERROR(IF(AND(INDEX(Tab_DaBa[],MATCH(CONCATENATE(Liste!$C$3,$B$569,$B$823),Data!$BO:$BO,0)-2,53)&lt;&gt;"",INDEX(Tab_DaBa[],MATCH(CONCATENATE(Liste!$C$3,$B$569,$B$823),Data!$BO:$BO,0)-2,58)=""),"PFH [1/h] = "&amp;10^9*INDEX(Tab_DaBa[],MATCH(CONCATENATE(Liste!$C$3,$B$569,$B$823),Data!$BO:$BO,0)-2,16)&amp;"E-9",IF(INDEX(Tab_DaBa[],MATCH(CONCATENATE(Liste!$C$3,$B$569,$B$823),Data!$BO:$BO,0)-2,53)&lt;&gt;"","PFH [1/h] = "&amp;10^9*INDEX(Tab_DaBa[],MATCH(CONCATENATE(Liste!$C$3,$B$569,$B$823),Data!$BO:$BO,0)-2,61)&amp;"E-9","")),"")</f>
        <v>PFH [1/h] = 4,19E-9</v>
      </c>
      <c r="E845" s="37"/>
      <c r="F845" s="35" t="str">
        <f ca="1">IFERROR(IF(AND(INDEX(Tab_DaBa[],MATCH(CONCATENATE(Liste!$C$3,$B$569,$B$823),Data!$BO:$BO,0)-2,58)&lt;&gt;"",INDEX(Tab_DaBa[],MATCH(CONCATENATE(Liste!$C$3,$B$569,$B$823),Data!$BO:$BO,0)-2,63)=""),"PFH [1/h] = "&amp;10^9*INDEX(Tab_DaBa[],MATCH(CONCATENATE(Liste!$C$3,$B$569,$B$823),Data!$BO:$BO,0)-2,16)&amp;"E-9",IF(INDEX(Tab_DaBa[],MATCH(CONCATENATE(Liste!$C$3,$B$569,$B$823),Data!$BO:$BO,0)-2,58)&lt;&gt;"","PFH [1/h] = "&amp;10^9*INDEX(Tab_DaBa[],MATCH(CONCATENATE(Liste!$C$3,$B$569,$B$823),Data!$BO:$BO,0)-2,66)&amp;"E-9","")),"")</f>
        <v>PFH [1/h] = 4,19E-9</v>
      </c>
      <c r="G845" s="39"/>
      <c r="H845" s="35" t="str">
        <f ca="1">IFERROR(IF(INDEX(Tab_DaBa[],MATCH(CONCATENATE(Liste!$C$3,$B$569,$B$823),Data!$BO:$BO,0)-2,63)&lt;&gt;"","PFH [1/h] = "&amp;10^9*INDEX(Tab_DaBa[],MATCH(CONCATENATE(Liste!$C$3,$B$569,$B$823),Data!$BO:$BO,0)-2,16)&amp;"E-9",""),"")</f>
        <v>PFH [1/h] = 24,7E-9</v>
      </c>
    </row>
    <row r="846" spans="2:9" s="16" customFormat="1"/>
    <row r="847" spans="2:9" s="16" customFormat="1">
      <c r="B847" s="43" t="str">
        <f ca="1">IF(D847="","","Erforderlich")</f>
        <v>Erforderlich</v>
      </c>
      <c r="D847" s="44" t="str">
        <f ca="1">IFERROR("Performance Level: "&amp;INDEX(Tab_DaBa[],MATCH(CONCATENATE(Liste!$C$3,$B$569,$B$823),Data!$BO:$BO,0)-2,4),"")</f>
        <v>Performance Level: PLr_ges3_10</v>
      </c>
    </row>
    <row r="848" spans="2:9" s="16" customFormat="1">
      <c r="B848" s="45"/>
    </row>
    <row r="849" spans="2:9" s="16" customFormat="1">
      <c r="B849" s="46" t="str">
        <f ca="1">IF(D849="","","Erreicht")</f>
        <v>Erreicht</v>
      </c>
      <c r="D849" s="47" t="str">
        <f ca="1">IFERROR("Performance Level: "&amp;INDEX(Tab_DaBa[],MATCH(CONCATENATE(Liste!$C$3,$B$569,$B$823),Data!$BO:$BO,0)-2,5)&amp;"          PFH [1/h] = "&amp;10^9*INDEX(Tab_DaBa[],MATCH(CONCATENATE(Liste!$C$3,$B$569,$B$823),Data!$BO:$BO,0)-2,6)&amp;"E-9","")</f>
        <v>Performance Level: Pl_ges3_10          PFH [1/h] = 71,7E-9</v>
      </c>
    </row>
    <row r="850" spans="2:9" s="16" customFormat="1"/>
    <row r="851" spans="2:9" s="16" customFormat="1">
      <c r="B851" s="55" t="str">
        <f ca="1">Liste!$D$7</f>
        <v>4. Test4</v>
      </c>
    </row>
    <row r="852" spans="2:9" s="16" customFormat="1"/>
    <row r="853" spans="2:9" s="16" customFormat="1">
      <c r="B853" s="42" t="str">
        <f ca="1">IFERROR(IF(1&gt;COUNTIF(Data!$BP:$BP,CONCATENATE(Liste!$C$3,$B$851)),"",INDEX(Tab_DaBa[],MATCH(CONCATENATE(Liste!$C$3,$B$851),Data!$BP:$BP,0)-2,3)),"")</f>
        <v>4.1 Test4 (E+1L+A)</v>
      </c>
    </row>
    <row r="854" spans="2:9" s="16" customFormat="1"/>
    <row r="855" spans="2:9" s="16" customFormat="1" ht="15.75">
      <c r="B855" s="35" t="str">
        <f ca="1">IFERROR(INDEX(Tab_DaBa[],MATCH(CONCATENATE(Liste!$C$3,$B$851,$B$853),Data!$BO:$BO,0)-2,9),"")</f>
        <v>Eingang</v>
      </c>
      <c r="C855" s="54"/>
      <c r="D855" s="35" t="str">
        <f ca="1">IFERROR(IF(INDEX(Tab_DaBa[],MATCH(CONCATENATE(Liste!$C$3,$B$851,$B$853),Data!$BO:$BO,0)-2,18)=0,INDEX(Tab_DaBa[],MATCH(CONCATENATE(Liste!$C$3,$B$851,$B$853),Data!$BO:$BO,0)-2,14),INDEX(Tab_DaBa[],MATCH(CONCATENATE(Liste!$C$3,$B$851,$B$853),Data!$BO:$BO,0)-2,19)),"")</f>
        <v>Logik 01</v>
      </c>
      <c r="E855" s="33"/>
      <c r="F855" s="35" t="str">
        <f ca="1">IFERROR(IF(AND(INDEX(Tab_DaBa[],MATCH(CONCATENATE(Liste!$C$3,$B$851,$B$853),Data!$BO:$BO,0)-2,18)&lt;&gt;"",INDEX(Tab_DaBa[],MATCH(CONCATENATE(Liste!$C$3,$B$851,$B$853),Data!$BO:$BO,0)-2,23)=0),INDEX(Tab_DaBa[],MATCH(CONCATENATE(Liste!$C$3,$B$851,$B$853),Data!$BO:$BO,0)-2,14),IF(INDEX(Tab_DaBa[],MATCH(CONCATENATE(Liste!$C$3,$B$851,$B$853),Data!$BO:$BO,0)-2,23)&lt;&gt;"",INDEX(Tab_DaBa[],MATCH(CONCATENATE(Liste!$C$3,$B$851,$B$853),Data!$BO:$BO,0)-2,24),"")),"")</f>
        <v>Ausgang</v>
      </c>
      <c r="G855" s="39"/>
      <c r="H855" s="35" t="str">
        <f ca="1">IFERROR(IF(AND(INDEX(Tab_DaBa[],MATCH(CONCATENATE(Liste!$C$3,$B$851,$B$853),Data!$BO:$BO,0)-2,23)&lt;&gt;"",INDEX(Tab_DaBa[],MATCH(CONCATENATE(Liste!$C$3,$B$851,$B$853),Data!$BO:$BO,0)-2,28)=0),INDEX(Tab_DaBa[],MATCH(CONCATENATE(Liste!$C$3,$B$851,$B$853),Data!$BO:$BO,0)-2,14),IF(INDEX(Tab_DaBa[],MATCH(CONCATENATE(Liste!$C$3,$B$851,$B$853),Data!$BO:$BO,0)-2,23)&lt;&gt;"",INDEX(Tab_DaBa[],MATCH(CONCATENATE(Liste!$C$3,$B$851,$B$853),Data!$BO:$BO,0)-2,29),"")),"")</f>
        <v/>
      </c>
      <c r="I855" s="39"/>
    </row>
    <row r="856" spans="2:9" s="16" customFormat="1" ht="15.75">
      <c r="B856" s="35" t="str">
        <f ca="1">IFERROR(INDEX(Tab_DaBa[],MATCH(CONCATENATE(Liste!$C$3,$B$851,$B$853),Data!$BO:$BO,0)-2,7),"")</f>
        <v>eeee-33_1</v>
      </c>
      <c r="C856" s="54"/>
      <c r="D856" s="35" t="str">
        <f ca="1">IFERROR(IF(INDEX(Tab_DaBa[],MATCH(CONCATENATE(Liste!$C$3,$B$851,$B$853),Data!$BO:$BO,0)-2,18)="",INDEX(Tab_DaBa[],MATCH(CONCATENATE(Liste!$C$3,$B$851,$B$853),Data!$BO:$BO,0)-2,12),INDEX(Tab_DaBa[],MATCH(CONCATENATE(Liste!$C$3,$B$851,$B$853),Data!$BO:$BO,0)-2,17)),"")</f>
        <v>Log01-04_01</v>
      </c>
      <c r="E856" s="36"/>
      <c r="F856" s="35" t="str">
        <f ca="1">IFERROR(IF(AND(INDEX(Tab_DaBa[],MATCH(CONCATENATE(Liste!$C$3,$B$851,$B$853),Data!$BO:$BO,0)-2,18)&lt;&gt;"",INDEX(Tab_DaBa[],MATCH(CONCATENATE(Liste!$C$3,$B$851,$B$853),Data!$BO:$BO,0)-2,23)=0),INDEX(Tab_DaBa[],MATCH(CONCATENATE(Liste!$C$3,$B$851,$B$853),Data!$BO:$BO,0)-2,12),IF(INDEX(Tab_DaBa[],MATCH(CONCATENATE(Liste!$C$3,$B$851,$B$853),Data!$BO:$BO,0)-2,23)&lt;&gt;"",INDEX(Tab_DaBa[],MATCH(CONCATENATE(Liste!$C$3,$B$851,$B$853),Data!$BO:$BO,0)-2,22),"")),"")</f>
        <v>aaaa-44_1</v>
      </c>
      <c r="G856" s="39"/>
      <c r="H856" s="35" t="str">
        <f ca="1">IFERROR(IF(AND(INDEX(Tab_DaBa[],MATCH(CONCATENATE(Liste!$C$3,$B$851,$B$853),Data!$BO:$BO,0)-2,23)&lt;&gt;"",INDEX(Tab_DaBa[],MATCH(CONCATENATE(Liste!$C$3,$B$851,$B$853),Data!$BO:$BO,0)-2,28)=0),INDEX(Tab_DaBa[],MATCH(CONCATENATE(Liste!$C$3,$B$851,$B$853),Data!$BO:$BO,0)-2,12),IF(INDEX(Tab_DaBa[],MATCH(CONCATENATE(Liste!$C$3,$B$851,$B$853),Data!$BO:$BO,0)-2,23)&lt;&gt;"",INDEX(Tab_DaBa[],MATCH(CONCATENATE(Liste!$C$3,$B$851,$B$853),Data!$BO:$BO,0)-2,27),"")),"")</f>
        <v/>
      </c>
      <c r="I856" s="39"/>
    </row>
    <row r="857" spans="2:9" s="16" customFormat="1" ht="15.75">
      <c r="B857" s="35" t="str">
        <f ca="1">IFERROR(INDEX(Tab_DaBa[],MATCH(CONCATENATE(Liste!$C$3,$B$851,$B$853),Data!$BO:$BO,0)-2,8),"")</f>
        <v>Bez_Ein4_1</v>
      </c>
      <c r="C857" s="40">
        <f ca="1">IF(D855="","",4)</f>
        <v>4</v>
      </c>
      <c r="D857" s="35" t="str">
        <f ca="1">IFERROR(IF(INDEX(Tab_DaBa[],MATCH(CONCATENATE(Liste!$C$3,$B$851,$B$853),Data!$BO:$BO,0)-2,18)="",INDEX(Tab_DaBa[],MATCH(CONCATENATE(Liste!$C$3,$B$851,$B$853),Data!$BO:$BO,0)-2,13),INDEX(Tab_DaBa[],MATCH(CONCATENATE(Liste!$C$3,$B$851,$B$853),Data!$BO:$BO,0)-2,18)),"")</f>
        <v>Bez_Log01_04_01</v>
      </c>
      <c r="E857" s="40">
        <f ca="1">IF(F855="","",4)</f>
        <v>4</v>
      </c>
      <c r="F857" s="35" t="str">
        <f ca="1">IFERROR(IF(AND(INDEX(Tab_DaBa[],MATCH(CONCATENATE(Liste!$C$3,$B$851,$B$853),Data!$BO:$BO,0)-2,18)&lt;&gt;"",INDEX(Tab_DaBa[],MATCH(CONCATENATE(Liste!$C$3,$B$851,$B$853),Data!$BO:$BO,0)-2,23)=""),INDEX(Tab_DaBa[],MATCH(CONCATENATE(Liste!$C$3,$B$851,$B$853),Data!$BO:$BO,0)-2,13),IF(INDEX(Tab_DaBa[],MATCH(CONCATENATE(Liste!$C$3,$B$851,$B$853),Data!$BO:$BO,0)-2,23)&lt;&gt;"",INDEX(Tab_DaBa[],MATCH(CONCATENATE(Liste!$C$3,$B$851,$B$853),Data!$BO:$BO,0)-2,23),"")),"")</f>
        <v>Bez_Aus4_1</v>
      </c>
      <c r="G857" s="38" t="str">
        <f ca="1">IF(H855="","",4)</f>
        <v/>
      </c>
      <c r="H857" s="35" t="str">
        <f ca="1">IFERROR(IF(AND(INDEX(Tab_DaBa[],MATCH(CONCATENATE(Liste!$C$3,$B$851,$B$853),Data!$BO:$BO,0)-2,23)&lt;&gt;"",INDEX(Tab_DaBa[],MATCH(CONCATENATE(Liste!$C$3,$B$851,$B$853),Data!$BO:$BO,0)-2,28)=""),INDEX(Tab_DaBa[],MATCH(CONCATENATE(Liste!$C$3,$B$851,$B$853),Data!$BO:$BO,0)-2,13),IF(INDEX(Tab_DaBa[],MATCH(CONCATENATE(Liste!$C$3,$B$851,$B$853),Data!$BO:$BO,0)-2,23)&lt;&gt;"",INDEX(Tab_DaBa[],MATCH(CONCATENATE(Liste!$C$3,$B$851,$B$853),Data!$BO:$BO,0)-2,28),"")),"")</f>
        <v/>
      </c>
      <c r="I857" s="38" t="str">
        <f ca="1">IF(B863="","",6)</f>
        <v/>
      </c>
    </row>
    <row r="858" spans="2:9" s="16" customFormat="1" ht="15.75">
      <c r="B858" s="35" t="str">
        <f ca="1">IFERROR("Performance Level: "&amp;INDEX(Tab_DaBa[],MATCH(CONCATENATE(Liste!$C$3,$B$851,$B$853),Data!$BO:$BO,0)-2,10),"")</f>
        <v>Performance Level: PL_Ein4_1</v>
      </c>
      <c r="C858" s="54"/>
      <c r="D858" s="35" t="str">
        <f ca="1">IFERROR(IF(INDEX(Tab_DaBa[],MATCH(CONCATENATE(Liste!$C$3,$B$851,$B$853),Data!$BO:$BO,0)-2,18)="","Performance Level: "&amp;INDEX(Tab_DaBa[],MATCH(CONCATENATE(Liste!$C$3,$B$851,$B$853),Data!$BO:$BO,0)-2,15),"Performance Level: "&amp;INDEX(Tab_DaBa[],MATCH(CONCATENATE(Liste!$C$3,$B$851,$B$853),Data!$BO:$BO,0)-2,20)),"")</f>
        <v>Performance Level: PL_Log01_04_01</v>
      </c>
      <c r="E858" s="36"/>
      <c r="F858" s="35" t="str">
        <f ca="1">IFERROR(IF(AND(INDEX(Tab_DaBa[],MATCH(CONCATENATE(Liste!$C$3,$B$851,$B$853),Data!$BO:$BO,0)-2,18)&lt;&gt;"",INDEX(Tab_DaBa[],MATCH(CONCATENATE(Liste!$C$3,$B$851,$B$853),Data!$BO:$BO,0)-2,23)=""),"Performance Level: "&amp;INDEX(Tab_DaBa[],MATCH(CONCATENATE(Liste!$C$3,$B$851,$B$853),Data!$BO:$BO,0)-2,15),IF(INDEX(Tab_DaBa[],MATCH(CONCATENATE(Liste!$C$3,$B$851,$B$853),Data!$BO:$BO,0)-2,23)&lt;&gt;"","Performance Level: "&amp;INDEX(Tab_DaBa[],MATCH(CONCATENATE(Liste!$C$3,$B$851,$B$853),Data!$BO:$BO,0)-2,25),"")),"")</f>
        <v>Performance Level: PL_Aus4_1</v>
      </c>
      <c r="G858" s="39"/>
      <c r="H858" s="35" t="str">
        <f ca="1">IFERROR(IF(AND(INDEX(Tab_DaBa[],MATCH(CONCATENATE(Liste!$C$3,$B$851,$B$853),Data!$BO:$BO,0)-2,23)&lt;&gt;"",INDEX(Tab_DaBa[],MATCH(CONCATENATE(Liste!$C$3,$B$851,$B$853),Data!$BO:$BO,0)-2,28)=""),"Performance Level: "&amp;INDEX(Tab_DaBa[],MATCH(CONCATENATE(Liste!$C$3,$B$851,$B$853),Data!$BO:$BO,0)-2,15),IF(INDEX(Tab_DaBa[],MATCH(CONCATENATE(Liste!$C$3,$B$851,$B$853),Data!$BO:$BO,0)-2,23)&lt;&gt;"","Performance Level: "&amp;INDEX(Tab_DaBa[],MATCH(CONCATENATE(Liste!$C$3,$B$851,$B$853),Data!$BO:$BO,0)-2,30),"")),"")</f>
        <v/>
      </c>
      <c r="I858" s="38"/>
    </row>
    <row r="859" spans="2:9" s="16" customFormat="1" ht="15.75">
      <c r="B859" s="53" t="str">
        <f ca="1">IFERROR("PFH [1/h] = "&amp;10^9*INDEX(Tab_DaBa[],MATCH(CONCATENATE(Liste!$C$3,$B$851,$B$853),Data!$BO:$BO,0)-2,11)&amp;"E-9","")</f>
        <v>PFH [1/h] = 42,9E-9</v>
      </c>
      <c r="C859" s="54"/>
      <c r="D859" s="35" t="str">
        <f ca="1">IFERROR(IF(INDEX(Tab_DaBa[],MATCH(CONCATENATE(Liste!$C$3,$B$851,$B$853),Data!$BO:$BO,0)-2,18)="","PFH [1/h] = "&amp;10^9*INDEX(Tab_DaBa[],MATCH(CONCATENATE(Liste!$C$3,$B$851,$B$853),Data!$BO:$BO,0)-2,16)&amp;"E-9","PFH [1/h] = "&amp;10^9*INDEX(Tab_DaBa[],MATCH(CONCATENATE(Liste!$C$3,$B$851,$B$853),Data!$BO:$BO,0)-2,21)&amp;"E-9"),"")</f>
        <v>PFH [1/h] = 4,19E-9</v>
      </c>
      <c r="E859" s="36"/>
      <c r="F859" s="35" t="str">
        <f ca="1">IFERROR(IF(AND(INDEX(Tab_DaBa[],MATCH(CONCATENATE(Liste!$C$3,$B$851,$B$853),Data!$BO:$BO,0)-2,18)&lt;&gt;"",INDEX(Tab_DaBa[],MATCH(CONCATENATE(Liste!$C$3,$B$851,$B$853),Data!$BO:$BO,0)-2,23)=""),"PFH [1/h] = "&amp;10^9*INDEX(Tab_DaBa[],MATCH(CONCATENATE(Liste!$C$3,$B$851,$B$853),Data!$BO:$BO,0)-2,16)&amp;"E-9",IF(INDEX(Tab_DaBa[],MATCH(CONCATENATE(Liste!$C$3,$B$851,$B$853),Data!$BO:$BO,0)-2,23)&lt;&gt;"","PFH [1/h] = "&amp;10^9*INDEX(Tab_DaBa[],MATCH(CONCATENATE(Liste!$C$3,$B$851,$B$853),Data!$BO:$BO,0)-2,26)&amp;"E-9","")),"")</f>
        <v>PFH [1/h] = 24,7E-9</v>
      </c>
      <c r="G859" s="39"/>
      <c r="H859" s="35" t="str">
        <f ca="1">IFERROR(IF(AND(INDEX(Tab_DaBa[],MATCH(CONCATENATE(Liste!$C$3,$B$851,$B$853),Data!$BO:$BO,0)-2,23)&lt;&gt;"",INDEX(Tab_DaBa[],MATCH(CONCATENATE(Liste!$C$3,$B$851,$B$853),Data!$BO:$BO,0)-2,28)=""),"PFH [1/h] = "&amp;10^9*INDEX(Tab_DaBa[],MATCH(CONCATENATE(Liste!$C$3,$B$851,$B$853),Data!$BO:$BO,0)-2,16)&amp;"E-9",IF(INDEX(Tab_DaBa[],MATCH(CONCATENATE(Liste!$C$3,$B$851,$B$853),Data!$BO:$BO,0)-2,23)&lt;&gt;"","PFH [1/h] = "&amp;10^9*INDEX(Tab_DaBa[],MATCH(CONCATENATE(Liste!$C$3,$B$851,$B$853),Data!$BO:$BO,0)-2,31)&amp;"E-9","")),"")</f>
        <v/>
      </c>
      <c r="I859" s="39"/>
    </row>
    <row r="860" spans="2:9" s="16" customFormat="1">
      <c r="B860" s="33"/>
      <c r="C860" s="34"/>
      <c r="D860" s="33"/>
      <c r="E860" s="33"/>
      <c r="F860" s="33"/>
      <c r="G860" s="33"/>
      <c r="H860" s="33"/>
      <c r="I860" s="33"/>
    </row>
    <row r="861" spans="2:9" s="16" customFormat="1" ht="15.75">
      <c r="B861" s="38" t="str">
        <f ca="1">IF(B863="","",6)</f>
        <v/>
      </c>
      <c r="C861" s="34"/>
      <c r="D861" s="38" t="str">
        <f ca="1">IF(B863="","",3)</f>
        <v/>
      </c>
      <c r="E861" s="33"/>
      <c r="F861" s="38" t="str">
        <f ca="1">IF(B863="","",3)</f>
        <v/>
      </c>
      <c r="G861" s="33"/>
      <c r="H861" s="38" t="str">
        <f ca="1">IF(B863="","",3)</f>
        <v/>
      </c>
      <c r="I861" s="33"/>
    </row>
    <row r="862" spans="2:9" s="16" customFormat="1" ht="15.75">
      <c r="B862" s="39"/>
      <c r="C862" s="33"/>
      <c r="D862" s="33"/>
      <c r="E862" s="33"/>
      <c r="F862" s="33"/>
      <c r="G862" s="33"/>
      <c r="H862" s="33"/>
      <c r="I862" s="33"/>
    </row>
    <row r="863" spans="2:9" s="16" customFormat="1" ht="15.75">
      <c r="B863" s="35" t="str">
        <f ca="1">IFERROR(IF(AND(INDEX(Tab_DaBa[],MATCH(CONCATENATE(Liste!$C$3,$B$851,$B$853),Data!$BO:$BO,0)-2,28)&lt;&gt;"",INDEX(Tab_DaBa[],MATCH(CONCATENATE(Liste!$C$3,$B$851,$B$853),Data!$BO:$BO,0)-2,33)=0),INDEX(Tab_DaBa[],MATCH(CONCATENATE(Liste!$C$3,$B$851,$B$853),Data!$BO:$BO,0)-2,14),IF(INDEX(Tab_DaBa[],MATCH(CONCATENATE(Liste!$C$3,$B$851,$B$853),Data!$BO:$BO,0)-2,28)&lt;&gt;"",INDEX(Tab_DaBa[],MATCH(CONCATENATE(Liste!$C$3,$B$851,$B$853),Data!$BO:$BO,0)-2,34),"")),"")</f>
        <v/>
      </c>
      <c r="C863" s="39"/>
      <c r="D863" s="35" t="str">
        <f ca="1">IFERROR(IF(AND(INDEX(Tab_DaBa[],MATCH(CONCATENATE(Liste!$C$3,$B$851,$B$853),Data!$BO:$BO,0)-2,33)&lt;&gt;"",INDEX(Tab_DaBa[],MATCH(CONCATENATE(Liste!$C$3,$B$851,$B$853),Data!$BO:$BO,0)-2,38)=0),INDEX(Tab_DaBa[],MATCH(CONCATENATE(Liste!$C$3,$B$851,$B$853),Data!$BO:$BO,0)-2,14),IF(INDEX(Tab_DaBa[],MATCH(CONCATENATE(Liste!$C$3,$B$851,$B$853),Data!$BO:$BO,0)-2,33)&lt;&gt;"",INDEX(Tab_DaBa[],MATCH(CONCATENATE(Liste!$C$3,$B$851,$B$853),Data!$BO:$BO,0)-2,39),"")),"")</f>
        <v/>
      </c>
      <c r="E863" s="33"/>
      <c r="F863" s="35" t="str">
        <f ca="1">IFERROR(IF(AND(INDEX(Tab_DaBa[],MATCH(CONCATENATE(Liste!$C$3,$B$851,$B$853),Data!$BO:$BO,0)-2,38)&lt;&gt;"",INDEX(Tab_DaBa[],MATCH(CONCATENATE(Liste!$C$3,$B$851,$B$853),Data!$BO:$BO,0)-2,43)=0),INDEX(Tab_DaBa[],MATCH(CONCATENATE(Liste!$C$3,$B$851,$B$853),Data!$BO:$BO,0)-2,14),IF(INDEX(Tab_DaBa[],MATCH(CONCATENATE(Liste!$C$3,$B$851,$B$853),Data!$BO:$BO,0)-2,38)&lt;&gt;"",INDEX(Tab_DaBa[],MATCH(CONCATENATE(Liste!$C$3,$B$851,$B$853),Data!$BO:$BO,0)-2,44),"")),"")</f>
        <v/>
      </c>
      <c r="G863" s="39"/>
      <c r="H863" s="35" t="str">
        <f ca="1">IFERROR(IF(AND(INDEX(Tab_DaBa[],MATCH(CONCATENATE(Liste!$C$3,$B$851,$B$853),Data!$BO:$BO,0)-2,43)&lt;&gt;"",INDEX(Tab_DaBa[],MATCH(CONCATENATE(Liste!$C$3,$B$851,$B$853),Data!$BO:$BO,0)-2,48)=0),INDEX(Tab_DaBa[],MATCH(CONCATENATE(Liste!$C$3,$B$851,$B$853),Data!$BO:$BO,0)-2,14),IF(INDEX(Tab_DaBa[],MATCH(CONCATENATE(Liste!$C$3,$B$851,$B$853),Data!$BO:$BO,0)-2,43)&lt;&gt;"",INDEX(Tab_DaBa[],MATCH(CONCATENATE(Liste!$C$3,$B$851,$B$853),Data!$BO:$BO,0)-2,49),"")),"")</f>
        <v/>
      </c>
      <c r="I863" s="39"/>
    </row>
    <row r="864" spans="2:9" s="16" customFormat="1" ht="15.75">
      <c r="B864" s="35" t="str">
        <f ca="1">IFERROR(IF(AND(INDEX(Tab_DaBa[],MATCH(CONCATENATE(Liste!$C$3,$B$851,$B$853),Data!$BO:$BO,0)-2,28)&lt;&gt;"",INDEX(Tab_DaBa[],MATCH(CONCATENATE(Liste!$C$3,$B$851,$B$853),Data!$BO:$BO,0)-2,33)=0),INDEX(Tab_DaBa[],MATCH(CONCATENATE(Liste!$C$3,$B$851,$B$853),Data!$BO:$BO,0)-2,12),IF(INDEX(Tab_DaBa[],MATCH(CONCATENATE(Liste!$C$3,$B$851,$B$853),Data!$BO:$BO,0)-2,28)&lt;&gt;"",INDEX(Tab_DaBa[],MATCH(CONCATENATE(Liste!$C$3,$B$851,$B$853),Data!$BO:$BO,0)-2,32),"")),"")</f>
        <v/>
      </c>
      <c r="C864" s="39"/>
      <c r="D864" s="35" t="str">
        <f ca="1">IFERROR(IF(AND(INDEX(Tab_DaBa[],MATCH(CONCATENATE(Liste!$C$3,$B$851,$B$853),Data!$BO:$BO,0)-2,33)&lt;&gt;"",INDEX(Tab_DaBa[],MATCH(CONCATENATE(Liste!$C$3,$B$851,$B$853),Data!$BO:$BO,0)-2,38)=0),INDEX(Tab_DaBa[],MATCH(CONCATENATE(Liste!$C$3,$B$851,$B$853),Data!$BO:$BO,0)-2,12),IF(INDEX(Tab_DaBa[],MATCH(CONCATENATE(Liste!$C$3,$B$851,$B$853),Data!$BO:$BO,0)-2,33)&lt;&gt;"",INDEX(Tab_DaBa[],MATCH(CONCATENATE(Liste!$C$3,$B$851,$B$853),Data!$BO:$BO,0)-2,37),"")),"")</f>
        <v/>
      </c>
      <c r="E864" s="37"/>
      <c r="F864" s="35" t="str">
        <f ca="1">IFERROR(IF(AND(INDEX(Tab_DaBa[],MATCH(CONCATENATE(Liste!$C$3,$B$851,$B$853),Data!$BO:$BO,0)-2,38)&lt;&gt;"",INDEX(Tab_DaBa[],MATCH(CONCATENATE(Liste!$C$3,$B$851,$B$853),Data!$BO:$BO,0)-2,43)=0),INDEX(Tab_DaBa[],MATCH(CONCATENATE(Liste!$C$3,$B$851,$B$853),Data!$BO:$BO,0)-2,12),IF(INDEX(Tab_DaBa[],MATCH(CONCATENATE(Liste!$C$3,$B$851,$B$853),Data!$BO:$BO,0)-2,38)&lt;&gt;"",INDEX(Tab_DaBa[],MATCH(CONCATENATE(Liste!$C$3,$B$851,$B$853),Data!$BO:$BO,0)-2,42),"")),"")</f>
        <v/>
      </c>
      <c r="G864" s="39"/>
      <c r="H864" s="35" t="str">
        <f ca="1">IFERROR(IF(AND(INDEX(Tab_DaBa[],MATCH(CONCATENATE(Liste!$C$3,$B$851,$B$853),Data!$BO:$BO,0)-2,43)&lt;&gt;"",INDEX(Tab_DaBa[],MATCH(CONCATENATE(Liste!$C$3,$B$851,$B$853),Data!$BO:$BO,0)-2,48)=0),INDEX(Tab_DaBa[],MATCH(CONCATENATE(Liste!$C$3,$B$851,$B$853),Data!$BO:$BO,0)-2,12),IF(INDEX(Tab_DaBa[],MATCH(CONCATENATE(Liste!$C$3,$B$851,$B$853),Data!$BO:$BO,0)-2,43)&lt;&gt;"",INDEX(Tab_DaBa[],MATCH(CONCATENATE(Liste!$C$3,$B$851,$B$853),Data!$BO:$BO,0)-2,47),"")),"")</f>
        <v/>
      </c>
      <c r="I864" s="39"/>
    </row>
    <row r="865" spans="2:9" s="16" customFormat="1" ht="15.75">
      <c r="B865" s="35" t="str">
        <f ca="1">IFERROR(IF(AND(INDEX(Tab_DaBa[],MATCH(CONCATENATE(Liste!$C$3,$B$851,$B$853),Data!$BO:$BO,0)-2,28)&lt;&gt;"",INDEX(Tab_DaBa[],MATCH(CONCATENATE(Liste!$C$3,$B$851,$B$853),Data!$BO:$BO,0)-2,33)=""),INDEX(Tab_DaBa[],MATCH(CONCATENATE(Liste!$C$3,$B$851,$B$853),Data!$BO:$BO,0)-2,13),IF(INDEX(Tab_DaBa[],MATCH(CONCATENATE(Liste!$C$3,$B$851,$B$853),Data!$BO:$BO,0)-2,28)&lt;&gt;"",INDEX(Tab_DaBa[],MATCH(CONCATENATE(Liste!$C$3,$B$851,$B$853),Data!$BO:$BO,0)-2,33),"")),"")</f>
        <v/>
      </c>
      <c r="C865" s="38" t="str">
        <f ca="1">IF(D863="","",4)</f>
        <v/>
      </c>
      <c r="D865" s="35" t="str">
        <f ca="1">IFERROR(IF(AND(INDEX(Tab_DaBa[],MATCH(CONCATENATE(Liste!$C$3,$B$851,$B$853),Data!$BO:$BO,0)-2,33)&lt;&gt;"",INDEX(Tab_DaBa[],MATCH(CONCATENATE(Liste!$C$3,$B$851,$B$853),Data!$BO:$BO,0)-2,38)=""),INDEX(Tab_DaBa[],MATCH(CONCATENATE(Liste!$C$3,$B$851,$B$853),Data!$BO:$BO,0)-2,13),IF(INDEX(Tab_DaBa[],MATCH(CONCATENATE(Liste!$C$3,$B$851,$B$853),Data!$BO:$BO,0)-2,33)&lt;&gt;"",INDEX(Tab_DaBa[],MATCH(CONCATENATE(Liste!$C$3,$B$851,$B$853),Data!$BO:$BO,0)-2,38),"")),"")</f>
        <v/>
      </c>
      <c r="E865" s="38" t="str">
        <f ca="1">IF(F863="","",4)</f>
        <v/>
      </c>
      <c r="F865" s="35" t="str">
        <f ca="1">IFERROR(IF(AND(INDEX(Tab_DaBa[],MATCH(CONCATENATE(Liste!$C$3,$B$851,$B$853),Data!$BO:$BO,0)-2,38)&lt;&gt;"",INDEX(Tab_DaBa[],MATCH(CONCATENATE(Liste!$C$3,$B$851,$B$853),Data!$BO:$BO,0)-2,43)=""),INDEX(Tab_DaBa[],MATCH(CONCATENATE(Liste!$C$3,$B$851,$B$853),Data!$BO:$BO,0)-2,13),IF(INDEX(Tab_DaBa[],MATCH(CONCATENATE(Liste!$C$3,$B$851,$B$853),Data!$BO:$BO,0)-2,38)&lt;&gt;"",INDEX(Tab_DaBa[],MATCH(CONCATENATE(Liste!$C$3,$B$851,$B$853),Data!$BO:$BO,0)-2,43),"")),"")</f>
        <v/>
      </c>
      <c r="G865" s="38" t="str">
        <f ca="1">IF(H863="","",4)</f>
        <v/>
      </c>
      <c r="H865" s="35" t="str">
        <f ca="1">IFERROR(IF(AND(INDEX(Tab_DaBa[],MATCH(CONCATENATE(Liste!$C$3,$B$851,$B$853),Data!$BO:$BO,0)-2,43)&lt;&gt;"",INDEX(Tab_DaBa[],MATCH(CONCATENATE(Liste!$C$3,$B$851,$B$853),Data!$BO:$BO,0)-2,48)=""),INDEX(Tab_DaBa[],MATCH(CONCATENATE(Liste!$C$3,$B$851,$B$853),Data!$BO:$BO,0)-2,13),IF(INDEX(Tab_DaBa[],MATCH(CONCATENATE(Liste!$C$3,$B$851,$B$853),Data!$BO:$BO,0)-2,43)&lt;&gt;"",INDEX(Tab_DaBa[],MATCH(CONCATENATE(Liste!$C$3,$B$851,$B$853),Data!$BO:$BO,0)-2,48),"")),"")</f>
        <v/>
      </c>
      <c r="I865" s="38" t="str">
        <f ca="1">IF(B871="","",6)</f>
        <v/>
      </c>
    </row>
    <row r="866" spans="2:9" s="16" customFormat="1" ht="15.75">
      <c r="B866" s="35" t="str">
        <f ca="1">IFERROR(IF(AND(INDEX(Tab_DaBa[],MATCH(CONCATENATE(Liste!$C$3,$B$851,$B$853),Data!$BO:$BO,0)-2,28)&lt;&gt;"",INDEX(Tab_DaBa[],MATCH(CONCATENATE(Liste!$C$3,$B$851,$B$853),Data!$BO:$BO,0)-2,33)=""),"Performance Level: "&amp;INDEX(Tab_DaBa[],MATCH(CONCATENATE(Liste!$C$3,$B$851,$B$853),Data!$BO:$BO,0)-2,15),IF(INDEX(Tab_DaBa[],MATCH(CONCATENATE(Liste!$C$3,$B$851,$B$853),Data!$BO:$BO,0)-2,28)&lt;&gt;"","Performance Level: "&amp;INDEX(Tab_DaBa[],MATCH(CONCATENATE(Liste!$C$3,$B$851,$B$853),Data!$BO:$BO,0)-2,35),"")),"")</f>
        <v/>
      </c>
      <c r="C866" s="39"/>
      <c r="D866" s="35" t="str">
        <f ca="1">IFERROR(IF(AND(INDEX(Tab_DaBa[],MATCH(CONCATENATE(Liste!$C$3,$B$851,$B$853),Data!$BO:$BO,0)-2,33)&lt;&gt;"",INDEX(Tab_DaBa[],MATCH(CONCATENATE(Liste!$C$3,$B$851,$B$853),Data!$BO:$BO,0)-2,38)=""),"Performance Level: "&amp;INDEX(Tab_DaBa[],MATCH(CONCATENATE(Liste!$C$3,$B$851,$B$853),Data!$BO:$BO,0)-2,15),IF(INDEX(Tab_DaBa[],MATCH(CONCATENATE(Liste!$C$3,$B$851,$B$853),Data!$BO:$BO,0)-2,33)&lt;&gt;"","Performance Level: "&amp;INDEX(Tab_DaBa[],MATCH(CONCATENATE(Liste!$C$3,$B$851,$B$853),Data!$BO:$BO,0)-2,40),"")),"")</f>
        <v/>
      </c>
      <c r="E866" s="37"/>
      <c r="F866" s="35" t="str">
        <f ca="1">IFERROR(IF(AND(INDEX(Tab_DaBa[],MATCH(CONCATENATE(Liste!$C$3,$B$851,$B$853),Data!$BO:$BO,0)-2,38)&lt;&gt;"",INDEX(Tab_DaBa[],MATCH(CONCATENATE(Liste!$C$3,$B$851,$B$853),Data!$BO:$BO,0)-2,43)=""),"Performance Level: "&amp;INDEX(Tab_DaBa[],MATCH(CONCATENATE(Liste!$C$3,$B$851,$B$853),Data!$BO:$BO,0)-2,15),IF(INDEX(Tab_DaBa[],MATCH(CONCATENATE(Liste!$C$3,$B$851,$B$853),Data!$BO:$BO,0)-2,38)&lt;&gt;"","Performance Level: "&amp;INDEX(Tab_DaBa[],MATCH(CONCATENATE(Liste!$C$3,$B$851,$B$853),Data!$BO:$BO,0)-2,45),"")),"")</f>
        <v/>
      </c>
      <c r="G866" s="39"/>
      <c r="H866" s="35" t="str">
        <f ca="1">IFERROR(IF(AND(INDEX(Tab_DaBa[],MATCH(CONCATENATE(Liste!$C$3,$B$851,$B$853),Data!$BO:$BO,0)-2,43)&lt;&gt;"",INDEX(Tab_DaBa[],MATCH(CONCATENATE(Liste!$C$3,$B$851,$B$853),Data!$BO:$BO,0)-2,48)=""),"Performance Level: "&amp;INDEX(Tab_DaBa[],MATCH(CONCATENATE(Liste!$C$3,$B$851,$B$853),Data!$BO:$BO,0)-2,15),IF(INDEX(Tab_DaBa[],MATCH(CONCATENATE(Liste!$C$3,$B$851,$B$853),Data!$BO:$BO,0)-2,43)&lt;&gt;"","Performance Level: "&amp;INDEX(Tab_DaBa[],MATCH(CONCATENATE(Liste!$C$3,$B$851,$B$853),Data!$BO:$BO,0)-2,50),"")),"")</f>
        <v/>
      </c>
      <c r="I866" s="39"/>
    </row>
    <row r="867" spans="2:9" s="16" customFormat="1" ht="15.75">
      <c r="B867" s="35" t="str">
        <f ca="1">IFERROR(IF(AND(INDEX(Tab_DaBa[],MATCH(CONCATENATE(Liste!$C$3,$B$851,$B$853),Data!$BO:$BO,0)-2,28)&lt;&gt;"",INDEX(Tab_DaBa[],MATCH(CONCATENATE(Liste!$C$3,$B$851,$B$853),Data!$BO:$BO,0)-2,33)=""),"PFH [1/h] = "&amp;10^9*INDEX(Tab_DaBa[],MATCH(CONCATENATE(Liste!$C$3,$B$851,$B$853),Data!$BO:$BO,0)-2,16)&amp;"E-9",IF(INDEX(Tab_DaBa[],MATCH(CONCATENATE(Liste!$C$3,$B$851,$B$853),Data!$BO:$BO,0)-2,28)&lt;&gt;"","PFH [1/h] = "&amp;10^9*INDEX(Tab_DaBa[],MATCH(CONCATENATE(Liste!$C$3,$B$851,$B$853),Data!$BO:$BO,0)-2,36)&amp;"E-9","")),"")</f>
        <v/>
      </c>
      <c r="C867" s="39"/>
      <c r="D867" s="35" t="str">
        <f ca="1">IFERROR(IF(AND(INDEX(Tab_DaBa[],MATCH(CONCATENATE(Liste!$C$3,$B$851,$B$853),Data!$BO:$BO,0)-2,33)&lt;&gt;"",INDEX(Tab_DaBa[],MATCH(CONCATENATE(Liste!$C$3,$B$851,$B$853),Data!$BO:$BO,0)-2,38)=""),"PFH [1/h] = "&amp;10^9*INDEX(Tab_DaBa[],MATCH(CONCATENATE(Liste!$C$3,$B$851,$B$853),Data!$BO:$BO,0)-2,16)&amp;"E-9",IF(INDEX(Tab_DaBa[],MATCH(CONCATENATE(Liste!$C$3,$B$851,$B$853),Data!$BO:$BO,0)-2,33)&lt;&gt;"","PFH [1/h] = "&amp;10^9*INDEX(Tab_DaBa[],MATCH(CONCATENATE(Liste!$C$3,$B$851,$B$853),Data!$BO:$BO,0)-2,41)&amp;"E-9","")),"")</f>
        <v/>
      </c>
      <c r="E867" s="37"/>
      <c r="F867" s="35" t="str">
        <f ca="1">IFERROR(IF(AND(INDEX(Tab_DaBa[],MATCH(CONCATENATE(Liste!$C$3,$B$851,$B$853),Data!$BO:$BO,0)-2,38)&lt;&gt;"",INDEX(Tab_DaBa[],MATCH(CONCATENATE(Liste!$C$3,$B$851,$B$853),Data!$BO:$BO,0)-2,43)=""),"PFH [1/h] = "&amp;10^9*INDEX(Tab_DaBa[],MATCH(CONCATENATE(Liste!$C$3,$B$851,$B$853),Data!$BO:$BO,0)-2,16)&amp;"E-9",IF(INDEX(Tab_DaBa[],MATCH(CONCATENATE(Liste!$C$3,$B$851,$B$853),Data!$BO:$BO,0)-2,38)&lt;&gt;"","PFH [1/h] = "&amp;10^9*INDEX(Tab_DaBa[],MATCH(CONCATENATE(Liste!$C$3,$B$851,$B$853),Data!$BO:$BO,0)-2,46)&amp;"E-9","")),"")</f>
        <v/>
      </c>
      <c r="G867" s="39"/>
      <c r="H867" s="35" t="str">
        <f ca="1">IFERROR(IF(AND(INDEX(Tab_DaBa[],MATCH(CONCATENATE(Liste!$C$3,$B$851,$B$853),Data!$BO:$BO,0)-2,43)&lt;&gt;"",INDEX(Tab_DaBa[],MATCH(CONCATENATE(Liste!$C$3,$B$851,$B$853),Data!$BO:$BO,0)-2,48)=""),"PFH [1/h] = "&amp;10^9*INDEX(Tab_DaBa[],MATCH(CONCATENATE(Liste!$C$3,$B$851,$B$853),Data!$BO:$BO,0)-2,16)&amp;"E-9",IF(INDEX(Tab_DaBa[],MATCH(CONCATENATE(Liste!$C$3,$B$851,$B$853),Data!$BO:$BO,0)-2,43)&lt;&gt;"","PFH [1/h] = "&amp;10^9*INDEX(Tab_DaBa[],MATCH(CONCATENATE(Liste!$C$3,$B$851,$B$853),Data!$BO:$BO,0)-2,51)&amp;"E-9","")),"")</f>
        <v/>
      </c>
      <c r="I867" s="39"/>
    </row>
    <row r="868" spans="2:9" s="16" customFormat="1">
      <c r="B868" s="33"/>
      <c r="C868" s="33"/>
      <c r="D868" s="33"/>
      <c r="E868" s="33"/>
      <c r="F868" s="33"/>
      <c r="G868" s="33"/>
      <c r="H868" s="33"/>
      <c r="I868" s="33"/>
    </row>
    <row r="869" spans="2:9" s="16" customFormat="1" ht="15.75">
      <c r="B869" s="38" t="str">
        <f ca="1">IF(B871="","",6)</f>
        <v/>
      </c>
      <c r="C869" s="33"/>
      <c r="D869" s="38" t="str">
        <f ca="1">IF(B871="","",3)</f>
        <v/>
      </c>
      <c r="E869" s="33"/>
      <c r="F869" s="38" t="str">
        <f ca="1">IF(B871="","",3)</f>
        <v/>
      </c>
      <c r="G869" s="33"/>
      <c r="H869" s="38" t="str">
        <f ca="1">IF(B871="","",3)</f>
        <v/>
      </c>
      <c r="I869" s="33"/>
    </row>
    <row r="870" spans="2:9" s="16" customFormat="1" ht="15.75">
      <c r="B870" s="39"/>
      <c r="C870" s="33"/>
      <c r="D870" s="33"/>
      <c r="E870" s="33"/>
      <c r="F870" s="33"/>
      <c r="G870" s="33"/>
      <c r="H870" s="33"/>
      <c r="I870" s="33"/>
    </row>
    <row r="871" spans="2:9" s="16" customFormat="1" ht="15.75">
      <c r="B871" s="35" t="str">
        <f ca="1">IFERROR(IF(AND(INDEX(Tab_DaBa[],MATCH(CONCATENATE(Liste!$C$3,$B$851,$B$853),Data!$BO:$BO,0)-2,48)&lt;&gt;"",INDEX(Tab_DaBa[],MATCH(CONCATENATE(Liste!$C$3,$B$851,$B$853),Data!$BO:$BO,0)-2,53)=0),INDEX(Tab_DaBa[],MATCH(CONCATENATE(Liste!$C$3,$B$851,$B$853),Data!$BO:$BO,0)-2,14),IF(INDEX(Tab_DaBa[],MATCH(CONCATENATE(Liste!$C$3,$B$851,$B$853),Data!$BO:$BO,0)-2,48)&lt;&gt;"",INDEX(Tab_DaBa[],MATCH(CONCATENATE(Liste!$C$3,$B$851,$B$853),Data!$BO:$BO,0)-2,54),"")),"")</f>
        <v/>
      </c>
      <c r="C871" s="39"/>
      <c r="D871" s="35" t="str">
        <f ca="1">IFERROR(IF(AND(INDEX(Tab_DaBa[],MATCH(CONCATENATE(Liste!$C$3,$B$851,$B$853),Data!$BO:$BO,0)-2,53)&lt;&gt;"",INDEX(Tab_DaBa[],MATCH(CONCATENATE(Liste!$C$3,$B$851,$B$853),Data!$BO:$BO,0)-2,58)=0),INDEX(Tab_DaBa[],MATCH(CONCATENATE(Liste!$C$3,$B$851,$B$853),Data!$BO:$BO,0)-2,14),IF(INDEX(Tab_DaBa[],MATCH(CONCATENATE(Liste!$C$3,$B$851,$B$853),Data!$BO:$BO,0)-2,53)&lt;&gt;"",INDEX(Tab_DaBa[],MATCH(CONCATENATE(Liste!$C$3,$B$851,$B$853),Data!$BO:$BO,0)-2,59),"")),"")</f>
        <v/>
      </c>
      <c r="E871" s="33"/>
      <c r="F871" s="35" t="str">
        <f ca="1">IFERROR(IF(AND(INDEX(Tab_DaBa[],MATCH(CONCATENATE(Liste!$C$3,$B$851,$B$853),Data!$BO:$BO,0)-2,58)&lt;&gt;"",INDEX(Tab_DaBa[],MATCH(CONCATENATE(Liste!$C$3,$B$851,$B$853),Data!$BO:$BO,0)-2,63)=0),INDEX(Tab_DaBa[],MATCH(CONCATENATE(Liste!$C$3,$B$851,$B$853),Data!$BO:$BO,0)-2,14),IF(INDEX(Tab_DaBa[],MATCH(CONCATENATE(Liste!$C$3,$B$851,$B$853),Data!$BO:$BO,0)-2,58)&lt;&gt;"",INDEX(Tab_DaBa[],MATCH(CONCATENATE(Liste!$C$3,$B$851,$B$853),Data!$BO:$BO,0)-2,64),"")),"")</f>
        <v/>
      </c>
      <c r="G871" s="39"/>
      <c r="H871" s="35" t="str">
        <f ca="1">IFERROR(IF(INDEX(Tab_DaBa[],MATCH(CONCATENATE(Liste!$C$3,$B$851,$B$853),Data!$BO:$BO,0)-2,63)&lt;&gt;"",INDEX(Tab_DaBa[],MATCH(CONCATENATE(Liste!$C$3,$B$851,$B$853),Data!$BO:$BO,0)-2,14),""),"")</f>
        <v/>
      </c>
    </row>
    <row r="872" spans="2:9" s="16" customFormat="1" ht="15.75">
      <c r="B872" s="35" t="str">
        <f ca="1">IFERROR(IF(AND(INDEX(Tab_DaBa[],MATCH(CONCATENATE(Liste!$C$3,$B$851,$B$853),Data!$BO:$BO,0)-2,48)&lt;&gt;"",INDEX(Tab_DaBa[],MATCH(CONCATENATE(Liste!$C$3,$B$851,$B$853),Data!$BO:$BO,0)-2,53)=0),INDEX(Tab_DaBa[],MATCH(CONCATENATE(Liste!$C$3,$B$851,$B$853),Data!$BO:$BO,0)-2,12),IF(INDEX(Tab_DaBa[],MATCH(CONCATENATE(Liste!$C$3,$B$851,$B$853),Data!$BO:$BO,0)-2,48)&lt;&gt;"",INDEX(Tab_DaBa[],MATCH(CONCATENATE(Liste!$C$3,$B$851,$B$853),Data!$BO:$BO,0)-2,52),"")),"")</f>
        <v/>
      </c>
      <c r="C872" s="39"/>
      <c r="D872" s="35" t="str">
        <f ca="1">IFERROR(IF(AND(INDEX(Tab_DaBa[],MATCH(CONCATENATE(Liste!$C$3,$B$851,$B$853),Data!$BO:$BO,0)-2,53)&lt;&gt;"",INDEX(Tab_DaBa[],MATCH(CONCATENATE(Liste!$C$3,$B$851,$B$853),Data!$BO:$BO,0)-2,58)=0),INDEX(Tab_DaBa[],MATCH(CONCATENATE(Liste!$C$3,$B$851,$B$853),Data!$BO:$BO,0)-2,12),IF(INDEX(Tab_DaBa[],MATCH(CONCATENATE(Liste!$C$3,$B$851,$B$853),Data!$BO:$BO,0)-2,53)&lt;&gt;"",INDEX(Tab_DaBa[],MATCH(CONCATENATE(Liste!$C$3,$B$851,$B$853),Data!$BO:$BO,0)-2,57),"")),"")</f>
        <v/>
      </c>
      <c r="E872" s="37"/>
      <c r="F872" s="35" t="str">
        <f ca="1">IFERROR(IF(AND(INDEX(Tab_DaBa[],MATCH(CONCATENATE(Liste!$C$3,$B$851,$B$853),Data!$BO:$BO,0)-2,58)&lt;&gt;"",INDEX(Tab_DaBa[],MATCH(CONCATENATE(Liste!$C$3,$B$851,$B$853),Data!$BO:$BO,0)-2,63)=0),INDEX(Tab_DaBa[],MATCH(CONCATENATE(Liste!$C$3,$B$851,$B$853),Data!$BO:$BO,0)-2,12),IF(INDEX(Tab_DaBa[],MATCH(CONCATENATE(Liste!$C$3,$B$851,$B$853),Data!$BO:$BO,0)-2,58)&lt;&gt;"",INDEX(Tab_DaBa[],MATCH(CONCATENATE(Liste!$C$3,$B$851,$B$853),Data!$BO:$BO,0)-2,62),"")),"")</f>
        <v/>
      </c>
      <c r="G872" s="39"/>
      <c r="H872" s="35" t="str">
        <f ca="1">IFERROR(IF(INDEX(Tab_DaBa[],MATCH(CONCATENATE(Liste!$C$3,$B$851,$B$853),Data!$BO:$BO,0)-2,63)&lt;&gt;"",INDEX(Tab_DaBa[],MATCH(CONCATENATE(Liste!$C$3,$B$851,$B$853),Data!$BO:$BO,0)-2,12),""),"")</f>
        <v/>
      </c>
    </row>
    <row r="873" spans="2:9" s="16" customFormat="1" ht="15.75">
      <c r="B873" s="35" t="str">
        <f ca="1">IFERROR(IF(AND(INDEX(Tab_DaBa[],MATCH(CONCATENATE(Liste!$C$3,$B$851,$B$853),Data!$BO:$BO,0)-2,48)&lt;&gt;"",INDEX(Tab_DaBa[],MATCH(CONCATENATE(Liste!$C$3,$B$851,$B$853),Data!$BO:$BO,0)-2,53)=""),INDEX(Tab_DaBa[],MATCH(CONCATENATE(Liste!$C$3,$B$851,$B$853),Data!$BO:$BO,0)-2,13),IF(INDEX(Tab_DaBa[],MATCH(CONCATENATE(Liste!$C$3,$B$851,$B$853),Data!$BO:$BO,0)-2,48)&lt;&gt;"",INDEX(Tab_DaBa[],MATCH(CONCATENATE(Liste!$C$3,$B$851,$B$853),Data!$BO:$BO,0)-2,53),"")),"")</f>
        <v/>
      </c>
      <c r="C873" s="38" t="str">
        <f ca="1">IF(D871="","",4)</f>
        <v/>
      </c>
      <c r="D873" s="35" t="str">
        <f ca="1">IFERROR(IF(AND(INDEX(Tab_DaBa[],MATCH(CONCATENATE(Liste!$C$3,$B$851,$B$853),Data!$BO:$BO,0)-2,53)&lt;&gt;"",INDEX(Tab_DaBa[],MATCH(CONCATENATE(Liste!$C$3,$B$851,$B$853),Data!$BO:$BO,0)-2,58)=""),INDEX(Tab_DaBa[],MATCH(CONCATENATE(Liste!$C$3,$B$851,$B$853),Data!$BO:$BO,0)-2,13),IF(INDEX(Tab_DaBa[],MATCH(CONCATENATE(Liste!$C$3,$B$851,$B$853),Data!$BO:$BO,0)-2,53)&lt;&gt;"",INDEX(Tab_DaBa[],MATCH(CONCATENATE(Liste!$C$3,$B$851,$B$853),Data!$BO:$BO,0)-2,58),"")),"")</f>
        <v/>
      </c>
      <c r="E873" s="38" t="str">
        <f ca="1">IF(F871="","",4)</f>
        <v/>
      </c>
      <c r="F873" s="35" t="str">
        <f ca="1">IFERROR(IF(AND(INDEX(Tab_DaBa[],MATCH(CONCATENATE(Liste!$C$3,$B$851,$B$853),Data!$BO:$BO,0)-2,58)&lt;&gt;"",INDEX(Tab_DaBa[],MATCH(CONCATENATE(Liste!$C$3,$B$851,$B$853),Data!$BO:$BO,0)-2,63)=""),INDEX(Tab_DaBa[],MATCH(CONCATENATE(Liste!$C$3,$B$851,$B$853),Data!$BO:$BO,0)-2,13),IF(INDEX(Tab_DaBa[],MATCH(CONCATENATE(Liste!$C$3,$B$851,$B$853),Data!$BO:$BO,0)-2,58)&lt;&gt;"",INDEX(Tab_DaBa[],MATCH(CONCATENATE(Liste!$C$3,$B$851,$B$853),Data!$BO:$BO,0)-2,63),"")),"")</f>
        <v/>
      </c>
      <c r="G873" s="38" t="str">
        <f ca="1">IF(H871="","",4)</f>
        <v/>
      </c>
      <c r="H873" s="35" t="str">
        <f ca="1">IFERROR(IF(INDEX(Tab_DaBa[],MATCH(CONCATENATE(Liste!$C$3,$B$851,$B$853),Data!$BO:$BO,0)-2,63)&lt;&gt;"",INDEX(Tab_DaBa[],MATCH(CONCATENATE(Liste!$C$3,$B$851,$B$853),Data!$BO:$BO,0)-2,13),""),"")</f>
        <v/>
      </c>
    </row>
    <row r="874" spans="2:9" s="16" customFormat="1" ht="15.75">
      <c r="B874" s="35" t="str">
        <f ca="1">IFERROR(IF(AND(INDEX(Tab_DaBa[],MATCH(CONCATENATE(Liste!$C$3,$B$851,$B$853),Data!$BO:$BO,0)-2,48)&lt;&gt;"",INDEX(Tab_DaBa[],MATCH(CONCATENATE(Liste!$C$3,$B$851,$B$853),Data!$BO:$BO,0)-2,53)=""),"Performance Level: "&amp;INDEX(Tab_DaBa[],MATCH(CONCATENATE(Liste!$C$3,$B$851,$B$853),Data!$BO:$BO,0)-2,15),IF(INDEX(Tab_DaBa[],MATCH(CONCATENATE(Liste!$C$3,$B$851,$B$853),Data!$BO:$BO,0)-2,48)&lt;&gt;"","Performance Level: "&amp;INDEX(Tab_DaBa[],MATCH(CONCATENATE(Liste!$C$3,$B$851,$B$853),Data!$BO:$BO,0)-2,55),"")),"")</f>
        <v/>
      </c>
      <c r="C874" s="39"/>
      <c r="D874" s="35" t="str">
        <f ca="1">IFERROR(IF(AND(INDEX(Tab_DaBa[],MATCH(CONCATENATE(Liste!$C$3,$B$851,$B$853),Data!$BO:$BO,0)-2,53)&lt;&gt;"",INDEX(Tab_DaBa[],MATCH(CONCATENATE(Liste!$C$3,$B$851,$B$853),Data!$BO:$BO,0)-2,58)=""),"Performance Level: "&amp;INDEX(Tab_DaBa[],MATCH(CONCATENATE(Liste!$C$3,$B$851,$B$853),Data!$BO:$BO,0)-2,15),IF(INDEX(Tab_DaBa[],MATCH(CONCATENATE(Liste!$C$3,$B$851,$B$853),Data!$BO:$BO,0)-2,53)&lt;&gt;"","Performance Level: "&amp;INDEX(Tab_DaBa[],MATCH(CONCATENATE(Liste!$C$3,$B$851,$B$853),Data!$BO:$BO,0)-2,60),"")),"")</f>
        <v/>
      </c>
      <c r="E874" s="37"/>
      <c r="F874" s="35" t="str">
        <f ca="1">IFERROR(IF(AND(INDEX(Tab_DaBa[],MATCH(CONCATENATE(Liste!$C$3,$B$851,$B$853),Data!$BO:$BO,0)-2,58)&lt;&gt;"",INDEX(Tab_DaBa[],MATCH(CONCATENATE(Liste!$C$3,$B$851,$B$853),Data!$BO:$BO,0)-2,63)=""),"Performance Level: "&amp;INDEX(Tab_DaBa[],MATCH(CONCATENATE(Liste!$C$3,$B$851,$B$853),Data!$BO:$BO,0)-2,15),IF(INDEX(Tab_DaBa[],MATCH(CONCATENATE(Liste!$C$3,$B$851,$B$853),Data!$BO:$BO,0)-2,58)&lt;&gt;"","Performance Level: "&amp;INDEX(Tab_DaBa[],MATCH(CONCATENATE(Liste!$C$3,$B$851,$B$853),Data!$BO:$BO,0)-2,65),"")),"")</f>
        <v/>
      </c>
      <c r="G874" s="39"/>
      <c r="H874" s="35" t="str">
        <f ca="1">IFERROR(IF(INDEX(Tab_DaBa[],MATCH(CONCATENATE(Liste!$C$3,$B$851,$B$853),Data!$BO:$BO,0)-2,63)&lt;&gt;"","Performance Level: "&amp;INDEX(Tab_DaBa[],MATCH(CONCATENATE(Liste!$C$3,$B$851,$B$853),Data!$BO:$BO,0)-2,15),""),"")</f>
        <v/>
      </c>
    </row>
    <row r="875" spans="2:9" s="16" customFormat="1" ht="15.75">
      <c r="B875" s="35" t="str">
        <f ca="1">IFERROR(IF(AND(INDEX(Tab_DaBa[],MATCH(CONCATENATE(Liste!$C$3,$B$851,$B$853),Data!$BO:$BO,0)-2,48)&lt;&gt;"",INDEX(Tab_DaBa[],MATCH(CONCATENATE(Liste!$C$3,$B$851,$B$853),Data!$BO:$BO,0)-2,53)=""),"PFH [1/h] = "&amp;10^9*INDEX(Tab_DaBa[],MATCH(CONCATENATE(Liste!$C$3,$B$851,$B$853),Data!$BO:$BO,0)-2,16)&amp;"E-9",IF(INDEX(Tab_DaBa[],MATCH(CONCATENATE(Liste!$C$3,$B$851,$B$853),Data!$BO:$BO,0)-2,48)&lt;&gt;"","PFH [1/h] = "&amp;10^9*INDEX(Tab_DaBa[],MATCH(CONCATENATE(Liste!$C$3,$B$851,$B$853),Data!$BO:$BO,0)-2,56)&amp;"E-9","")),"")</f>
        <v/>
      </c>
      <c r="C875" s="39"/>
      <c r="D875" s="35" t="str">
        <f ca="1">IFERROR(IF(AND(INDEX(Tab_DaBa[],MATCH(CONCATENATE(Liste!$C$3,$B$851,$B$853),Data!$BO:$BO,0)-2,53)&lt;&gt;"",INDEX(Tab_DaBa[],MATCH(CONCATENATE(Liste!$C$3,$B$851,$B$853),Data!$BO:$BO,0)-2,58)=""),"PFH [1/h] = "&amp;10^9*INDEX(Tab_DaBa[],MATCH(CONCATENATE(Liste!$C$3,$B$851,$B$853),Data!$BO:$BO,0)-2,16)&amp;"E-9",IF(INDEX(Tab_DaBa[],MATCH(CONCATENATE(Liste!$C$3,$B$851,$B$853),Data!$BO:$BO,0)-2,53)&lt;&gt;"","PFH [1/h] = "&amp;10^9*INDEX(Tab_DaBa[],MATCH(CONCATENATE(Liste!$C$3,$B$851,$B$853),Data!$BO:$BO,0)-2,61)&amp;"E-9","")),"")</f>
        <v/>
      </c>
      <c r="E875" s="37"/>
      <c r="F875" s="35" t="str">
        <f ca="1">IFERROR(IF(AND(INDEX(Tab_DaBa[],MATCH(CONCATENATE(Liste!$C$3,$B$851,$B$853),Data!$BO:$BO,0)-2,58)&lt;&gt;"",INDEX(Tab_DaBa[],MATCH(CONCATENATE(Liste!$C$3,$B$851,$B$853),Data!$BO:$BO,0)-2,63)=""),"PFH [1/h] = "&amp;10^9*INDEX(Tab_DaBa[],MATCH(CONCATENATE(Liste!$C$3,$B$851,$B$853),Data!$BO:$BO,0)-2,16)&amp;"E-9",IF(INDEX(Tab_DaBa[],MATCH(CONCATENATE(Liste!$C$3,$B$851,$B$853),Data!$BO:$BO,0)-2,58)&lt;&gt;"","PFH [1/h] = "&amp;10^9*INDEX(Tab_DaBa[],MATCH(CONCATENATE(Liste!$C$3,$B$851,$B$853),Data!$BO:$BO,0)-2,66)&amp;"E-9","")),"")</f>
        <v/>
      </c>
      <c r="G875" s="39"/>
      <c r="H875" s="35" t="str">
        <f ca="1">IFERROR(IF(INDEX(Tab_DaBa[],MATCH(CONCATENATE(Liste!$C$3,$B$851,$B$853),Data!$BO:$BO,0)-2,63)&lt;&gt;"","PFH [1/h] = "&amp;10^9*INDEX(Tab_DaBa[],MATCH(CONCATENATE(Liste!$C$3,$B$851,$B$853),Data!$BO:$BO,0)-2,16)&amp;"E-9",""),"")</f>
        <v/>
      </c>
    </row>
    <row r="876" spans="2:9" s="16" customFormat="1"/>
    <row r="877" spans="2:9" s="16" customFormat="1">
      <c r="B877" s="43" t="str">
        <f ca="1">IF(D877="","","Erforderlich")</f>
        <v>Erforderlich</v>
      </c>
      <c r="D877" s="44" t="str">
        <f ca="1">IFERROR("Performance Level: "&amp;INDEX(Tab_DaBa[],MATCH(CONCATENATE(Liste!$C$3,$B$851,$B$853),Data!$BO:$BO,0)-2,4),"")</f>
        <v>Performance Level: PLr_ges4_1</v>
      </c>
    </row>
    <row r="878" spans="2:9" s="16" customFormat="1">
      <c r="B878" s="45"/>
    </row>
    <row r="879" spans="2:9" s="16" customFormat="1">
      <c r="B879" s="46" t="str">
        <f ca="1">IF(D879="","","Erreicht")</f>
        <v>Erreicht</v>
      </c>
      <c r="D879" s="47" t="str">
        <f ca="1">IFERROR("Performance Level: "&amp;INDEX(Tab_DaBa[],MATCH(CONCATENATE(Liste!$C$3,$B$851,$B$853),Data!$BO:$BO,0)-2,5)&amp;"          PFH [1/h] = "&amp;10^9*INDEX(Tab_DaBa[],MATCH(CONCATENATE(Liste!$C$3,$B$851,$B$853),Data!$BO:$BO,0)-2,6)&amp;"E-9","")</f>
        <v>Performance Level: Pl_ges4_1          PFH [1/h] = 71,7E-9</v>
      </c>
    </row>
    <row r="880" spans="2:9" s="16" customFormat="1"/>
    <row r="881" spans="2:9" s="16" customFormat="1">
      <c r="B881" s="42" t="str">
        <f ca="1">IFERROR(IF(2&gt;COUNTIF(Data!$BP:$BP,CONCATENATE(Liste!$C$3,$B$851)),"",INDEX(Tab_DaBa[],MATCH(CONCATENATE(Liste!$C$3,$B$851),Data!$BP:$BP,0)-1,3)),"")</f>
        <v>4.2 Test4 (E+2L+A)</v>
      </c>
    </row>
    <row r="882" spans="2:9" s="16" customFormat="1"/>
    <row r="883" spans="2:9" s="16" customFormat="1" ht="15.75">
      <c r="B883" s="35" t="str">
        <f ca="1">IFERROR(INDEX(Tab_DaBa[],MATCH(CONCATENATE(Liste!$C$3,$B$851,$B$881),Data!$BO:$BO,0)-2,9),"")</f>
        <v>Eingang</v>
      </c>
      <c r="C883" s="54"/>
      <c r="D883" s="35" t="str">
        <f ca="1">IFERROR(IF(INDEX(Tab_DaBa[],MATCH(CONCATENATE(Liste!$C$3,$B$851,$B$881),Data!$BO:$BO,0)-2,18)=0,INDEX(Tab_DaBa[],MATCH(CONCATENATE(Liste!$C$3,$B$851,$B$881),Data!$BO:$BO,0)-2,14),INDEX(Tab_DaBa[],MATCH(CONCATENATE(Liste!$C$3,$B$851,$B$881),Data!$BO:$BO,0)-2,19)),"")</f>
        <v>Logik 01</v>
      </c>
      <c r="E883" s="33"/>
      <c r="F883" s="35" t="str">
        <f ca="1">IFERROR(IF(AND(INDEX(Tab_DaBa[],MATCH(CONCATENATE(Liste!$C$3,$B$851,$B$881),Data!$BO:$BO,0)-2,18)&lt;&gt;"",INDEX(Tab_DaBa[],MATCH(CONCATENATE(Liste!$C$3,$B$851,$B$881),Data!$BO:$BO,0)-2,23)=0),INDEX(Tab_DaBa[],MATCH(CONCATENATE(Liste!$C$3,$B$851,$B$881),Data!$BO:$BO,0)-2,14),IF(INDEX(Tab_DaBa[],MATCH(CONCATENATE(Liste!$C$3,$B$851,$B$881),Data!$BO:$BO,0)-2,23)&lt;&gt;"",INDEX(Tab_DaBa[],MATCH(CONCATENATE(Liste!$C$3,$B$851,$B$881),Data!$BO:$BO,0)-2,24),"")),"")</f>
        <v>Logik 02</v>
      </c>
      <c r="G883" s="39"/>
      <c r="H883" s="35" t="str">
        <f ca="1">IFERROR(IF(AND(INDEX(Tab_DaBa[],MATCH(CONCATENATE(Liste!$C$3,$B$851,$B$881),Data!$BO:$BO,0)-2,23)&lt;&gt;"",INDEX(Tab_DaBa[],MATCH(CONCATENATE(Liste!$C$3,$B$851,$B$881),Data!$BO:$BO,0)-2,28)=0),INDEX(Tab_DaBa[],MATCH(CONCATENATE(Liste!$C$3,$B$851,$B$881),Data!$BO:$BO,0)-2,14),IF(INDEX(Tab_DaBa[],MATCH(CONCATENATE(Liste!$C$3,$B$851,$B$881),Data!$BO:$BO,0)-2,23)&lt;&gt;"",INDEX(Tab_DaBa[],MATCH(CONCATENATE(Liste!$C$3,$B$851,$B$881),Data!$BO:$BO,0)-2,29),"")),"")</f>
        <v>Ausgang</v>
      </c>
      <c r="I883" s="39"/>
    </row>
    <row r="884" spans="2:9" s="16" customFormat="1" ht="15.75">
      <c r="B884" s="35" t="str">
        <f ca="1">IFERROR(INDEX(Tab_DaBa[],MATCH(CONCATENATE(Liste!$C$3,$B$851,$B$881),Data!$BO:$BO,0)-2,7),"")</f>
        <v>eeee-33_2</v>
      </c>
      <c r="C884" s="54"/>
      <c r="D884" s="35" t="str">
        <f ca="1">IFERROR(IF(INDEX(Tab_DaBa[],MATCH(CONCATENATE(Liste!$C$3,$B$851,$B$881),Data!$BO:$BO,0)-2,18)="",INDEX(Tab_DaBa[],MATCH(CONCATENATE(Liste!$C$3,$B$851,$B$881),Data!$BO:$BO,0)-2,12),INDEX(Tab_DaBa[],MATCH(CONCATENATE(Liste!$C$3,$B$851,$B$881),Data!$BO:$BO,0)-2,17)),"")</f>
        <v>Log01-04_02</v>
      </c>
      <c r="E884" s="36"/>
      <c r="F884" s="35" t="str">
        <f ca="1">IFERROR(IF(AND(INDEX(Tab_DaBa[],MATCH(CONCATENATE(Liste!$C$3,$B$851,$B$881),Data!$BO:$BO,0)-2,18)&lt;&gt;"",INDEX(Tab_DaBa[],MATCH(CONCATENATE(Liste!$C$3,$B$851,$B$881),Data!$BO:$BO,0)-2,23)=0),INDEX(Tab_DaBa[],MATCH(CONCATENATE(Liste!$C$3,$B$851,$B$881),Data!$BO:$BO,0)-2,12),IF(INDEX(Tab_DaBa[],MATCH(CONCATENATE(Liste!$C$3,$B$851,$B$881),Data!$BO:$BO,0)-2,23)&lt;&gt;"",INDEX(Tab_DaBa[],MATCH(CONCATENATE(Liste!$C$3,$B$851,$B$881),Data!$BO:$BO,0)-2,22),"")),"")</f>
        <v>Lo04-04_02</v>
      </c>
      <c r="G884" s="39"/>
      <c r="H884" s="35" t="str">
        <f ca="1">IFERROR(IF(AND(INDEX(Tab_DaBa[],MATCH(CONCATENATE(Liste!$C$3,$B$851,$B$881),Data!$BO:$BO,0)-2,23)&lt;&gt;"",INDEX(Tab_DaBa[],MATCH(CONCATENATE(Liste!$C$3,$B$851,$B$881),Data!$BO:$BO,0)-2,28)=0),INDEX(Tab_DaBa[],MATCH(CONCATENATE(Liste!$C$3,$B$851,$B$881),Data!$BO:$BO,0)-2,12),IF(INDEX(Tab_DaBa[],MATCH(CONCATENATE(Liste!$C$3,$B$851,$B$881),Data!$BO:$BO,0)-2,23)&lt;&gt;"",INDEX(Tab_DaBa[],MATCH(CONCATENATE(Liste!$C$3,$B$851,$B$881),Data!$BO:$BO,0)-2,27),"")),"")</f>
        <v>aaaa-44_2</v>
      </c>
      <c r="I884" s="39"/>
    </row>
    <row r="885" spans="2:9" s="16" customFormat="1" ht="15.75">
      <c r="B885" s="35" t="str">
        <f ca="1">IFERROR(INDEX(Tab_DaBa[],MATCH(CONCATENATE(Liste!$C$3,$B$851,$B$881),Data!$BO:$BO,0)-2,8),"")</f>
        <v>Bez_Ein4_2</v>
      </c>
      <c r="C885" s="40">
        <f ca="1">IF(D883="","",4)</f>
        <v>4</v>
      </c>
      <c r="D885" s="35" t="str">
        <f ca="1">IFERROR(IF(INDEX(Tab_DaBa[],MATCH(CONCATENATE(Liste!$C$3,$B$851,$B$881),Data!$BO:$BO,0)-2,18)="",INDEX(Tab_DaBa[],MATCH(CONCATENATE(Liste!$C$3,$B$851,$B$881),Data!$BO:$BO,0)-2,13),INDEX(Tab_DaBa[],MATCH(CONCATENATE(Liste!$C$3,$B$851,$B$881),Data!$BO:$BO,0)-2,18)),"")</f>
        <v>Bez_Log01_04_02</v>
      </c>
      <c r="E885" s="40">
        <f ca="1">IF(F883="","",4)</f>
        <v>4</v>
      </c>
      <c r="F885" s="35" t="str">
        <f ca="1">IFERROR(IF(AND(INDEX(Tab_DaBa[],MATCH(CONCATENATE(Liste!$C$3,$B$851,$B$881),Data!$BO:$BO,0)-2,18)&lt;&gt;"",INDEX(Tab_DaBa[],MATCH(CONCATENATE(Liste!$C$3,$B$851,$B$881),Data!$BO:$BO,0)-2,23)=""),INDEX(Tab_DaBa[],MATCH(CONCATENATE(Liste!$C$3,$B$851,$B$881),Data!$BO:$BO,0)-2,13),IF(INDEX(Tab_DaBa[],MATCH(CONCATENATE(Liste!$C$3,$B$851,$B$881),Data!$BO:$BO,0)-2,23)&lt;&gt;"",INDEX(Tab_DaBa[],MATCH(CONCATENATE(Liste!$C$3,$B$851,$B$881),Data!$BO:$BO,0)-2,23),"")),"")</f>
        <v>Bez_Lo04_02</v>
      </c>
      <c r="G885" s="38">
        <f ca="1">IF(H883="","",4)</f>
        <v>4</v>
      </c>
      <c r="H885" s="35" t="str">
        <f ca="1">IFERROR(IF(AND(INDEX(Tab_DaBa[],MATCH(CONCATENATE(Liste!$C$3,$B$851,$B$881),Data!$BO:$BO,0)-2,23)&lt;&gt;"",INDEX(Tab_DaBa[],MATCH(CONCATENATE(Liste!$C$3,$B$851,$B$881),Data!$BO:$BO,0)-2,28)=""),INDEX(Tab_DaBa[],MATCH(CONCATENATE(Liste!$C$3,$B$851,$B$881),Data!$BO:$BO,0)-2,13),IF(INDEX(Tab_DaBa[],MATCH(CONCATENATE(Liste!$C$3,$B$851,$B$881),Data!$BO:$BO,0)-2,23)&lt;&gt;"",INDEX(Tab_DaBa[],MATCH(CONCATENATE(Liste!$C$3,$B$851,$B$881),Data!$BO:$BO,0)-2,28),"")),"")</f>
        <v>Bez_Aus4_2</v>
      </c>
      <c r="I885" s="38" t="str">
        <f ca="1">IF(B891="","",6)</f>
        <v/>
      </c>
    </row>
    <row r="886" spans="2:9" s="16" customFormat="1" ht="15.75">
      <c r="B886" s="35" t="str">
        <f ca="1">IFERROR("Performance Level: "&amp;INDEX(Tab_DaBa[],MATCH(CONCATENATE(Liste!$C$3,$B$851,$B$881),Data!$BO:$BO,0)-2,10),"")</f>
        <v>Performance Level: PL_Ein4_2</v>
      </c>
      <c r="C886" s="54"/>
      <c r="D886" s="35" t="str">
        <f ca="1">IFERROR(IF(INDEX(Tab_DaBa[],MATCH(CONCATENATE(Liste!$C$3,$B$851,$B$881),Data!$BO:$BO,0)-2,18)="","Performance Level: "&amp;INDEX(Tab_DaBa[],MATCH(CONCATENATE(Liste!$C$3,$B$851,$B$881),Data!$BO:$BO,0)-2,15),"Performance Level: "&amp;INDEX(Tab_DaBa[],MATCH(CONCATENATE(Liste!$C$3,$B$851,$B$881),Data!$BO:$BO,0)-2,20)),"")</f>
        <v>Performance Level: PL_Log01_04_02</v>
      </c>
      <c r="E886" s="36"/>
      <c r="F886" s="35" t="str">
        <f ca="1">IFERROR(IF(AND(INDEX(Tab_DaBa[],MATCH(CONCATENATE(Liste!$C$3,$B$851,$B$881),Data!$BO:$BO,0)-2,18)&lt;&gt;"",INDEX(Tab_DaBa[],MATCH(CONCATENATE(Liste!$C$3,$B$851,$B$881),Data!$BO:$BO,0)-2,23)=""),"Performance Level: "&amp;INDEX(Tab_DaBa[],MATCH(CONCATENATE(Liste!$C$3,$B$851,$B$881),Data!$BO:$BO,0)-2,15),IF(INDEX(Tab_DaBa[],MATCH(CONCATENATE(Liste!$C$3,$B$851,$B$881),Data!$BO:$BO,0)-2,23)&lt;&gt;"","Performance Level: "&amp;INDEX(Tab_DaBa[],MATCH(CONCATENATE(Liste!$C$3,$B$851,$B$881),Data!$BO:$BO,0)-2,25),"")),"")</f>
        <v>Performance Level: PL_Lo04_02</v>
      </c>
      <c r="G886" s="39"/>
      <c r="H886" s="35" t="str">
        <f ca="1">IFERROR(IF(AND(INDEX(Tab_DaBa[],MATCH(CONCATENATE(Liste!$C$3,$B$851,$B$881),Data!$BO:$BO,0)-2,23)&lt;&gt;"",INDEX(Tab_DaBa[],MATCH(CONCATENATE(Liste!$C$3,$B$851,$B$881),Data!$BO:$BO,0)-2,28)=""),"Performance Level: "&amp;INDEX(Tab_DaBa[],MATCH(CONCATENATE(Liste!$C$3,$B$851,$B$881),Data!$BO:$BO,0)-2,15),IF(INDEX(Tab_DaBa[],MATCH(CONCATENATE(Liste!$C$3,$B$851,$B$881),Data!$BO:$BO,0)-2,23)&lt;&gt;"","Performance Level: "&amp;INDEX(Tab_DaBa[],MATCH(CONCATENATE(Liste!$C$3,$B$851,$B$881),Data!$BO:$BO,0)-2,30),"")),"")</f>
        <v>Performance Level: PL_Aus4_2</v>
      </c>
      <c r="I886" s="38"/>
    </row>
    <row r="887" spans="2:9" s="16" customFormat="1" ht="15.75">
      <c r="B887" s="53" t="str">
        <f ca="1">IFERROR("PFH [1/h] = "&amp;10^9*INDEX(Tab_DaBa[],MATCH(CONCATENATE(Liste!$C$3,$B$851,$B$881),Data!$BO:$BO,0)-2,11)&amp;"E-9","")</f>
        <v>PFH [1/h] = 42,9E-9</v>
      </c>
      <c r="C887" s="54"/>
      <c r="D887" s="35" t="str">
        <f ca="1">IFERROR(IF(INDEX(Tab_DaBa[],MATCH(CONCATENATE(Liste!$C$3,$B$851,$B$881),Data!$BO:$BO,0)-2,18)="","PFH [1/h] = "&amp;10^9*INDEX(Tab_DaBa[],MATCH(CONCATENATE(Liste!$C$3,$B$851,$B$881),Data!$BO:$BO,0)-2,16)&amp;"E-9","PFH [1/h] = "&amp;10^9*INDEX(Tab_DaBa[],MATCH(CONCATENATE(Liste!$C$3,$B$851,$B$881),Data!$BO:$BO,0)-2,21)&amp;"E-9"),"")</f>
        <v>PFH [1/h] = 4,19E-9</v>
      </c>
      <c r="E887" s="36"/>
      <c r="F887" s="35" t="str">
        <f ca="1">IFERROR(IF(AND(INDEX(Tab_DaBa[],MATCH(CONCATENATE(Liste!$C$3,$B$851,$B$881),Data!$BO:$BO,0)-2,18)&lt;&gt;"",INDEX(Tab_DaBa[],MATCH(CONCATENATE(Liste!$C$3,$B$851,$B$881),Data!$BO:$BO,0)-2,23)=""),"PFH [1/h] = "&amp;10^9*INDEX(Tab_DaBa[],MATCH(CONCATENATE(Liste!$C$3,$B$851,$B$881),Data!$BO:$BO,0)-2,16)&amp;"E-9",IF(INDEX(Tab_DaBa[],MATCH(CONCATENATE(Liste!$C$3,$B$851,$B$881),Data!$BO:$BO,0)-2,23)&lt;&gt;"","PFH [1/h] = "&amp;10^9*INDEX(Tab_DaBa[],MATCH(CONCATENATE(Liste!$C$3,$B$851,$B$881),Data!$BO:$BO,0)-2,26)&amp;"E-9","")),"")</f>
        <v>PFH [1/h] = 4,19E-9</v>
      </c>
      <c r="G887" s="39"/>
      <c r="H887" s="35" t="str">
        <f ca="1">IFERROR(IF(AND(INDEX(Tab_DaBa[],MATCH(CONCATENATE(Liste!$C$3,$B$851,$B$881),Data!$BO:$BO,0)-2,23)&lt;&gt;"",INDEX(Tab_DaBa[],MATCH(CONCATENATE(Liste!$C$3,$B$851,$B$881),Data!$BO:$BO,0)-2,28)=""),"PFH [1/h] = "&amp;10^9*INDEX(Tab_DaBa[],MATCH(CONCATENATE(Liste!$C$3,$B$851,$B$881),Data!$BO:$BO,0)-2,16)&amp;"E-9",IF(INDEX(Tab_DaBa[],MATCH(CONCATENATE(Liste!$C$3,$B$851,$B$881),Data!$BO:$BO,0)-2,23)&lt;&gt;"","PFH [1/h] = "&amp;10^9*INDEX(Tab_DaBa[],MATCH(CONCATENATE(Liste!$C$3,$B$851,$B$881),Data!$BO:$BO,0)-2,31)&amp;"E-9","")),"")</f>
        <v>PFH [1/h] = 24,7E-9</v>
      </c>
      <c r="I887" s="39"/>
    </row>
    <row r="888" spans="2:9" s="16" customFormat="1">
      <c r="B888" s="33"/>
      <c r="C888" s="34"/>
      <c r="D888" s="33"/>
      <c r="E888" s="33"/>
      <c r="F888" s="33"/>
      <c r="G888" s="33"/>
      <c r="H888" s="33"/>
      <c r="I888" s="33"/>
    </row>
    <row r="889" spans="2:9" s="16" customFormat="1" ht="15.75">
      <c r="B889" s="38" t="str">
        <f ca="1">IF(B891="","",6)</f>
        <v/>
      </c>
      <c r="C889" s="34"/>
      <c r="D889" s="38" t="str">
        <f ca="1">IF(B891="","",3)</f>
        <v/>
      </c>
      <c r="E889" s="33"/>
      <c r="F889" s="38" t="str">
        <f ca="1">IF(B891="","",3)</f>
        <v/>
      </c>
      <c r="G889" s="33"/>
      <c r="H889" s="38" t="str">
        <f ca="1">IF(B891="","",3)</f>
        <v/>
      </c>
      <c r="I889" s="33"/>
    </row>
    <row r="890" spans="2:9" s="16" customFormat="1" ht="15.75">
      <c r="B890" s="39"/>
      <c r="C890" s="33"/>
      <c r="D890" s="33"/>
      <c r="E890" s="33"/>
      <c r="F890" s="33"/>
      <c r="G890" s="33"/>
      <c r="H890" s="33"/>
      <c r="I890" s="33"/>
    </row>
    <row r="891" spans="2:9" s="16" customFormat="1" ht="15.75">
      <c r="B891" s="35" t="str">
        <f ca="1">IFERROR(IF(AND(INDEX(Tab_DaBa[],MATCH(CONCATENATE(Liste!$C$3,$B$851,$B$881),Data!$BO:$BO,0)-2,28)&lt;&gt;"",INDEX(Tab_DaBa[],MATCH(CONCATENATE(Liste!$C$3,$B$851,$B$881),Data!$BO:$BO,0)-2,33)=0),INDEX(Tab_DaBa[],MATCH(CONCATENATE(Liste!$C$3,$B$851,$B$881),Data!$BO:$BO,0)-2,14),IF(INDEX(Tab_DaBa[],MATCH(CONCATENATE(Liste!$C$3,$B$851,$B$881),Data!$BO:$BO,0)-2,28)&lt;&gt;"",INDEX(Tab_DaBa[],MATCH(CONCATENATE(Liste!$C$3,$B$851,$B$881),Data!$BO:$BO,0)-2,34),"")),"")</f>
        <v/>
      </c>
      <c r="C891" s="39"/>
      <c r="D891" s="35" t="str">
        <f ca="1">IFERROR(IF(AND(INDEX(Tab_DaBa[],MATCH(CONCATENATE(Liste!$C$3,$B$851,$B$881),Data!$BO:$BO,0)-2,33)&lt;&gt;"",INDEX(Tab_DaBa[],MATCH(CONCATENATE(Liste!$C$3,$B$851,$B$881),Data!$BO:$BO,0)-2,38)=0),INDEX(Tab_DaBa[],MATCH(CONCATENATE(Liste!$C$3,$B$851,$B$881),Data!$BO:$BO,0)-2,14),IF(INDEX(Tab_DaBa[],MATCH(CONCATENATE(Liste!$C$3,$B$851,$B$881),Data!$BO:$BO,0)-2,33)&lt;&gt;"",INDEX(Tab_DaBa[],MATCH(CONCATENATE(Liste!$C$3,$B$851,$B$881),Data!$BO:$BO,0)-2,39),"")),"")</f>
        <v/>
      </c>
      <c r="E891" s="33"/>
      <c r="F891" s="35" t="str">
        <f ca="1">IFERROR(IF(AND(INDEX(Tab_DaBa[],MATCH(CONCATENATE(Liste!$C$3,$B$851,$B$881),Data!$BO:$BO,0)-2,38)&lt;&gt;"",INDEX(Tab_DaBa[],MATCH(CONCATENATE(Liste!$C$3,$B$851,$B$881),Data!$BO:$BO,0)-2,43)=0),INDEX(Tab_DaBa[],MATCH(CONCATENATE(Liste!$C$3,$B$851,$B$881),Data!$BO:$BO,0)-2,14),IF(INDEX(Tab_DaBa[],MATCH(CONCATENATE(Liste!$C$3,$B$851,$B$881),Data!$BO:$BO,0)-2,38)&lt;&gt;"",INDEX(Tab_DaBa[],MATCH(CONCATENATE(Liste!$C$3,$B$851,$B$881),Data!$BO:$BO,0)-2,44),"")),"")</f>
        <v/>
      </c>
      <c r="G891" s="39"/>
      <c r="H891" s="35" t="str">
        <f ca="1">IFERROR(IF(AND(INDEX(Tab_DaBa[],MATCH(CONCATENATE(Liste!$C$3,$B$851,$B$881),Data!$BO:$BO,0)-2,43)&lt;&gt;"",INDEX(Tab_DaBa[],MATCH(CONCATENATE(Liste!$C$3,$B$851,$B$881),Data!$BO:$BO,0)-2,48)=0),INDEX(Tab_DaBa[],MATCH(CONCATENATE(Liste!$C$3,$B$851,$B$881),Data!$BO:$BO,0)-2,14),IF(INDEX(Tab_DaBa[],MATCH(CONCATENATE(Liste!$C$3,$B$851,$B$881),Data!$BO:$BO,0)-2,43)&lt;&gt;"",INDEX(Tab_DaBa[],MATCH(CONCATENATE(Liste!$C$3,$B$851,$B$881),Data!$BO:$BO,0)-2,49),"")),"")</f>
        <v/>
      </c>
      <c r="I891" s="39"/>
    </row>
    <row r="892" spans="2:9" s="16" customFormat="1" ht="15.75">
      <c r="B892" s="35" t="str">
        <f ca="1">IFERROR(IF(AND(INDEX(Tab_DaBa[],MATCH(CONCATENATE(Liste!$C$3,$B$851,$B$881),Data!$BO:$BO,0)-2,28)&lt;&gt;"",INDEX(Tab_DaBa[],MATCH(CONCATENATE(Liste!$C$3,$B$851,$B$881),Data!$BO:$BO,0)-2,33)=0),INDEX(Tab_DaBa[],MATCH(CONCATENATE(Liste!$C$3,$B$851,$B$881),Data!$BO:$BO,0)-2,12),IF(INDEX(Tab_DaBa[],MATCH(CONCATENATE(Liste!$C$3,$B$851,$B$881),Data!$BO:$BO,0)-2,28)&lt;&gt;"",INDEX(Tab_DaBa[],MATCH(CONCATENATE(Liste!$C$3,$B$851,$B$881),Data!$BO:$BO,0)-2,32),"")),"")</f>
        <v/>
      </c>
      <c r="C892" s="39"/>
      <c r="D892" s="35" t="str">
        <f ca="1">IFERROR(IF(AND(INDEX(Tab_DaBa[],MATCH(CONCATENATE(Liste!$C$3,$B$851,$B$881),Data!$BO:$BO,0)-2,33)&lt;&gt;"",INDEX(Tab_DaBa[],MATCH(CONCATENATE(Liste!$C$3,$B$851,$B$881),Data!$BO:$BO,0)-2,38)=0),INDEX(Tab_DaBa[],MATCH(CONCATENATE(Liste!$C$3,$B$851,$B$881),Data!$BO:$BO,0)-2,12),IF(INDEX(Tab_DaBa[],MATCH(CONCATENATE(Liste!$C$3,$B$851,$B$881),Data!$BO:$BO,0)-2,33)&lt;&gt;"",INDEX(Tab_DaBa[],MATCH(CONCATENATE(Liste!$C$3,$B$851,$B$881),Data!$BO:$BO,0)-2,37),"")),"")</f>
        <v/>
      </c>
      <c r="E892" s="37"/>
      <c r="F892" s="35" t="str">
        <f ca="1">IFERROR(IF(AND(INDEX(Tab_DaBa[],MATCH(CONCATENATE(Liste!$C$3,$B$851,$B$881),Data!$BO:$BO,0)-2,38)&lt;&gt;"",INDEX(Tab_DaBa[],MATCH(CONCATENATE(Liste!$C$3,$B$851,$B$881),Data!$BO:$BO,0)-2,43)=0),INDEX(Tab_DaBa[],MATCH(CONCATENATE(Liste!$C$3,$B$851,$B$881),Data!$BO:$BO,0)-2,12),IF(INDEX(Tab_DaBa[],MATCH(CONCATENATE(Liste!$C$3,$B$851,$B$881),Data!$BO:$BO,0)-2,38)&lt;&gt;"",INDEX(Tab_DaBa[],MATCH(CONCATENATE(Liste!$C$3,$B$851,$B$881),Data!$BO:$BO,0)-2,42),"")),"")</f>
        <v/>
      </c>
      <c r="G892" s="39"/>
      <c r="H892" s="35" t="str">
        <f ca="1">IFERROR(IF(AND(INDEX(Tab_DaBa[],MATCH(CONCATENATE(Liste!$C$3,$B$851,$B$881),Data!$BO:$BO,0)-2,43)&lt;&gt;"",INDEX(Tab_DaBa[],MATCH(CONCATENATE(Liste!$C$3,$B$851,$B$881),Data!$BO:$BO,0)-2,48)=0),INDEX(Tab_DaBa[],MATCH(CONCATENATE(Liste!$C$3,$B$851,$B$881),Data!$BO:$BO,0)-2,12),IF(INDEX(Tab_DaBa[],MATCH(CONCATENATE(Liste!$C$3,$B$851,$B$881),Data!$BO:$BO,0)-2,43)&lt;&gt;"",INDEX(Tab_DaBa[],MATCH(CONCATENATE(Liste!$C$3,$B$851,$B$881),Data!$BO:$BO,0)-2,47),"")),"")</f>
        <v/>
      </c>
      <c r="I892" s="39"/>
    </row>
    <row r="893" spans="2:9" s="16" customFormat="1" ht="15.75">
      <c r="B893" s="35" t="str">
        <f ca="1">IFERROR(IF(AND(INDEX(Tab_DaBa[],MATCH(CONCATENATE(Liste!$C$3,$B$851,$B$881),Data!$BO:$BO,0)-2,28)&lt;&gt;"",INDEX(Tab_DaBa[],MATCH(CONCATENATE(Liste!$C$3,$B$851,$B$881),Data!$BO:$BO,0)-2,33)=""),INDEX(Tab_DaBa[],MATCH(CONCATENATE(Liste!$C$3,$B$851,$B$881),Data!$BO:$BO,0)-2,13),IF(INDEX(Tab_DaBa[],MATCH(CONCATENATE(Liste!$C$3,$B$851,$B$881),Data!$BO:$BO,0)-2,28)&lt;&gt;"",INDEX(Tab_DaBa[],MATCH(CONCATENATE(Liste!$C$3,$B$851,$B$881),Data!$BO:$BO,0)-2,33),"")),"")</f>
        <v/>
      </c>
      <c r="C893" s="38" t="str">
        <f ca="1">IF(D891="","",4)</f>
        <v/>
      </c>
      <c r="D893" s="35" t="str">
        <f ca="1">IFERROR(IF(AND(INDEX(Tab_DaBa[],MATCH(CONCATENATE(Liste!$C$3,$B$851,$B$881),Data!$BO:$BO,0)-2,33)&lt;&gt;"",INDEX(Tab_DaBa[],MATCH(CONCATENATE(Liste!$C$3,$B$851,$B$881),Data!$BO:$BO,0)-2,38)=""),INDEX(Tab_DaBa[],MATCH(CONCATENATE(Liste!$C$3,$B$851,$B$881),Data!$BO:$BO,0)-2,13),IF(INDEX(Tab_DaBa[],MATCH(CONCATENATE(Liste!$C$3,$B$851,$B$881),Data!$BO:$BO,0)-2,33)&lt;&gt;"",INDEX(Tab_DaBa[],MATCH(CONCATENATE(Liste!$C$3,$B$851,$B$881),Data!$BO:$BO,0)-2,38),"")),"")</f>
        <v/>
      </c>
      <c r="E893" s="38" t="str">
        <f ca="1">IF(F891="","",4)</f>
        <v/>
      </c>
      <c r="F893" s="35" t="str">
        <f ca="1">IFERROR(IF(AND(INDEX(Tab_DaBa[],MATCH(CONCATENATE(Liste!$C$3,$B$851,$B$881),Data!$BO:$BO,0)-2,38)&lt;&gt;"",INDEX(Tab_DaBa[],MATCH(CONCATENATE(Liste!$C$3,$B$851,$B$881),Data!$BO:$BO,0)-2,43)=""),INDEX(Tab_DaBa[],MATCH(CONCATENATE(Liste!$C$3,$B$851,$B$881),Data!$BO:$BO,0)-2,13),IF(INDEX(Tab_DaBa[],MATCH(CONCATENATE(Liste!$C$3,$B$851,$B$881),Data!$BO:$BO,0)-2,38)&lt;&gt;"",INDEX(Tab_DaBa[],MATCH(CONCATENATE(Liste!$C$3,$B$851,$B$881),Data!$BO:$BO,0)-2,43),"")),"")</f>
        <v/>
      </c>
      <c r="G893" s="38" t="str">
        <f ca="1">IF(H891="","",4)</f>
        <v/>
      </c>
      <c r="H893" s="35" t="str">
        <f ca="1">IFERROR(IF(AND(INDEX(Tab_DaBa[],MATCH(CONCATENATE(Liste!$C$3,$B$851,$B$881),Data!$BO:$BO,0)-2,43)&lt;&gt;"",INDEX(Tab_DaBa[],MATCH(CONCATENATE(Liste!$C$3,$B$851,$B$881),Data!$BO:$BO,0)-2,48)=""),INDEX(Tab_DaBa[],MATCH(CONCATENATE(Liste!$C$3,$B$851,$B$881),Data!$BO:$BO,0)-2,13),IF(INDEX(Tab_DaBa[],MATCH(CONCATENATE(Liste!$C$3,$B$851,$B$881),Data!$BO:$BO,0)-2,43)&lt;&gt;"",INDEX(Tab_DaBa[],MATCH(CONCATENATE(Liste!$C$3,$B$851,$B$881),Data!$BO:$BO,0)-2,48),"")),"")</f>
        <v/>
      </c>
      <c r="I893" s="38" t="str">
        <f ca="1">IF(B899="","",6)</f>
        <v/>
      </c>
    </row>
    <row r="894" spans="2:9" s="16" customFormat="1" ht="15.75">
      <c r="B894" s="35" t="str">
        <f ca="1">IFERROR(IF(AND(INDEX(Tab_DaBa[],MATCH(CONCATENATE(Liste!$C$3,$B$851,$B$881),Data!$BO:$BO,0)-2,28)&lt;&gt;"",INDEX(Tab_DaBa[],MATCH(CONCATENATE(Liste!$C$3,$B$851,$B$881),Data!$BO:$BO,0)-2,33)=""),"Performance Level: "&amp;INDEX(Tab_DaBa[],MATCH(CONCATENATE(Liste!$C$3,$B$851,$B$881),Data!$BO:$BO,0)-2,15),IF(INDEX(Tab_DaBa[],MATCH(CONCATENATE(Liste!$C$3,$B$851,$B$881),Data!$BO:$BO,0)-2,28)&lt;&gt;"","Performance Level: "&amp;INDEX(Tab_DaBa[],MATCH(CONCATENATE(Liste!$C$3,$B$851,$B$881),Data!$BO:$BO,0)-2,35),"")),"")</f>
        <v/>
      </c>
      <c r="C894" s="39"/>
      <c r="D894" s="35" t="str">
        <f ca="1">IFERROR(IF(AND(INDEX(Tab_DaBa[],MATCH(CONCATENATE(Liste!$C$3,$B$851,$B$881),Data!$BO:$BO,0)-2,33)&lt;&gt;"",INDEX(Tab_DaBa[],MATCH(CONCATENATE(Liste!$C$3,$B$851,$B$881),Data!$BO:$BO,0)-2,38)=""),"Performance Level: "&amp;INDEX(Tab_DaBa[],MATCH(CONCATENATE(Liste!$C$3,$B$851,$B$881),Data!$BO:$BO,0)-2,15),IF(INDEX(Tab_DaBa[],MATCH(CONCATENATE(Liste!$C$3,$B$851,$B$881),Data!$BO:$BO,0)-2,33)&lt;&gt;"","Performance Level: "&amp;INDEX(Tab_DaBa[],MATCH(CONCATENATE(Liste!$C$3,$B$851,$B$881),Data!$BO:$BO,0)-2,40),"")),"")</f>
        <v/>
      </c>
      <c r="E894" s="37"/>
      <c r="F894" s="35" t="str">
        <f ca="1">IFERROR(IF(AND(INDEX(Tab_DaBa[],MATCH(CONCATENATE(Liste!$C$3,$B$851,$B$881),Data!$BO:$BO,0)-2,38)&lt;&gt;"",INDEX(Tab_DaBa[],MATCH(CONCATENATE(Liste!$C$3,$B$851,$B$881),Data!$BO:$BO,0)-2,43)=""),"Performance Level: "&amp;INDEX(Tab_DaBa[],MATCH(CONCATENATE(Liste!$C$3,$B$851,$B$881),Data!$BO:$BO,0)-2,15),IF(INDEX(Tab_DaBa[],MATCH(CONCATENATE(Liste!$C$3,$B$851,$B$881),Data!$BO:$BO,0)-2,38)&lt;&gt;"","Performance Level: "&amp;INDEX(Tab_DaBa[],MATCH(CONCATENATE(Liste!$C$3,$B$851,$B$881),Data!$BO:$BO,0)-2,45),"")),"")</f>
        <v/>
      </c>
      <c r="G894" s="39"/>
      <c r="H894" s="35" t="str">
        <f ca="1">IFERROR(IF(AND(INDEX(Tab_DaBa[],MATCH(CONCATENATE(Liste!$C$3,$B$851,$B$881),Data!$BO:$BO,0)-2,43)&lt;&gt;"",INDEX(Tab_DaBa[],MATCH(CONCATENATE(Liste!$C$3,$B$851,$B$881),Data!$BO:$BO,0)-2,48)=""),"Performance Level: "&amp;INDEX(Tab_DaBa[],MATCH(CONCATENATE(Liste!$C$3,$B$851,$B$881),Data!$BO:$BO,0)-2,15),IF(INDEX(Tab_DaBa[],MATCH(CONCATENATE(Liste!$C$3,$B$851,$B$881),Data!$BO:$BO,0)-2,43)&lt;&gt;"","Performance Level: "&amp;INDEX(Tab_DaBa[],MATCH(CONCATENATE(Liste!$C$3,$B$851,$B$881),Data!$BO:$BO,0)-2,50),"")),"")</f>
        <v/>
      </c>
      <c r="I894" s="39"/>
    </row>
    <row r="895" spans="2:9" s="16" customFormat="1" ht="15.75">
      <c r="B895" s="35" t="str">
        <f ca="1">IFERROR(IF(AND(INDEX(Tab_DaBa[],MATCH(CONCATENATE(Liste!$C$3,$B$851,$B$881),Data!$BO:$BO,0)-2,28)&lt;&gt;"",INDEX(Tab_DaBa[],MATCH(CONCATENATE(Liste!$C$3,$B$851,$B$881),Data!$BO:$BO,0)-2,33)=""),"PFH [1/h] = "&amp;10^9*INDEX(Tab_DaBa[],MATCH(CONCATENATE(Liste!$C$3,$B$851,$B$881),Data!$BO:$BO,0)-2,16)&amp;"E-9",IF(INDEX(Tab_DaBa[],MATCH(CONCATENATE(Liste!$C$3,$B$851,$B$881),Data!$BO:$BO,0)-2,28)&lt;&gt;"","PFH [1/h] = "&amp;10^9*INDEX(Tab_DaBa[],MATCH(CONCATENATE(Liste!$C$3,$B$851,$B$881),Data!$BO:$BO,0)-2,36)&amp;"E-9","")),"")</f>
        <v/>
      </c>
      <c r="C895" s="39"/>
      <c r="D895" s="35" t="str">
        <f ca="1">IFERROR(IF(AND(INDEX(Tab_DaBa[],MATCH(CONCATENATE(Liste!$C$3,$B$851,$B$881),Data!$BO:$BO,0)-2,33)&lt;&gt;"",INDEX(Tab_DaBa[],MATCH(CONCATENATE(Liste!$C$3,$B$851,$B$881),Data!$BO:$BO,0)-2,38)=""),"PFH [1/h] = "&amp;10^9*INDEX(Tab_DaBa[],MATCH(CONCATENATE(Liste!$C$3,$B$851,$B$881),Data!$BO:$BO,0)-2,16)&amp;"E-9",IF(INDEX(Tab_DaBa[],MATCH(CONCATENATE(Liste!$C$3,$B$851,$B$881),Data!$BO:$BO,0)-2,33)&lt;&gt;"","PFH [1/h] = "&amp;10^9*INDEX(Tab_DaBa[],MATCH(CONCATENATE(Liste!$C$3,$B$851,$B$881),Data!$BO:$BO,0)-2,41)&amp;"E-9","")),"")</f>
        <v/>
      </c>
      <c r="E895" s="37"/>
      <c r="F895" s="35" t="str">
        <f ca="1">IFERROR(IF(AND(INDEX(Tab_DaBa[],MATCH(CONCATENATE(Liste!$C$3,$B$851,$B$881),Data!$BO:$BO,0)-2,38)&lt;&gt;"",INDEX(Tab_DaBa[],MATCH(CONCATENATE(Liste!$C$3,$B$851,$B$881),Data!$BO:$BO,0)-2,43)=""),"PFH [1/h] = "&amp;10^9*INDEX(Tab_DaBa[],MATCH(CONCATENATE(Liste!$C$3,$B$851,$B$881),Data!$BO:$BO,0)-2,16)&amp;"E-9",IF(INDEX(Tab_DaBa[],MATCH(CONCATENATE(Liste!$C$3,$B$851,$B$881),Data!$BO:$BO,0)-2,38)&lt;&gt;"","PFH [1/h] = "&amp;10^9*INDEX(Tab_DaBa[],MATCH(CONCATENATE(Liste!$C$3,$B$851,$B$881),Data!$BO:$BO,0)-2,46)&amp;"E-9","")),"")</f>
        <v/>
      </c>
      <c r="G895" s="39"/>
      <c r="H895" s="35" t="str">
        <f ca="1">IFERROR(IF(AND(INDEX(Tab_DaBa[],MATCH(CONCATENATE(Liste!$C$3,$B$851,$B$881),Data!$BO:$BO,0)-2,43)&lt;&gt;"",INDEX(Tab_DaBa[],MATCH(CONCATENATE(Liste!$C$3,$B$851,$B$881),Data!$BO:$BO,0)-2,48)=""),"PFH [1/h] = "&amp;10^9*INDEX(Tab_DaBa[],MATCH(CONCATENATE(Liste!$C$3,$B$851,$B$881),Data!$BO:$BO,0)-2,16)&amp;"E-9",IF(INDEX(Tab_DaBa[],MATCH(CONCATENATE(Liste!$C$3,$B$851,$B$881),Data!$BO:$BO,0)-2,43)&lt;&gt;"","PFH [1/h] = "&amp;10^9*INDEX(Tab_DaBa[],MATCH(CONCATENATE(Liste!$C$3,$B$851,$B$881),Data!$BO:$BO,0)-2,51)&amp;"E-9","")),"")</f>
        <v/>
      </c>
      <c r="I895" s="39"/>
    </row>
    <row r="896" spans="2:9" s="16" customFormat="1">
      <c r="B896" s="33"/>
      <c r="C896" s="33"/>
      <c r="D896" s="33"/>
      <c r="E896" s="33"/>
      <c r="F896" s="33"/>
      <c r="G896" s="33"/>
      <c r="H896" s="33"/>
      <c r="I896" s="33"/>
    </row>
    <row r="897" spans="2:9" s="16" customFormat="1" ht="15.75">
      <c r="B897" s="38" t="str">
        <f ca="1">IF(B899="","",6)</f>
        <v/>
      </c>
      <c r="C897" s="33"/>
      <c r="D897" s="38" t="str">
        <f ca="1">IF(B899="","",3)</f>
        <v/>
      </c>
      <c r="E897" s="33"/>
      <c r="F897" s="38" t="str">
        <f ca="1">IF(B899="","",3)</f>
        <v/>
      </c>
      <c r="G897" s="33"/>
      <c r="H897" s="38" t="str">
        <f ca="1">IF(B899="","",3)</f>
        <v/>
      </c>
      <c r="I897" s="33"/>
    </row>
    <row r="898" spans="2:9" s="16" customFormat="1" ht="15.75">
      <c r="B898" s="39"/>
      <c r="C898" s="33"/>
      <c r="D898" s="33"/>
      <c r="E898" s="33"/>
      <c r="F898" s="33"/>
      <c r="G898" s="33"/>
      <c r="H898" s="33"/>
      <c r="I898" s="33"/>
    </row>
    <row r="899" spans="2:9" s="16" customFormat="1" ht="15.75">
      <c r="B899" s="35" t="str">
        <f ca="1">IFERROR(IF(AND(INDEX(Tab_DaBa[],MATCH(CONCATENATE(Liste!$C$3,$B$851,$B$881),Data!$BO:$BO,0)-2,48)&lt;&gt;"",INDEX(Tab_DaBa[],MATCH(CONCATENATE(Liste!$C$3,$B$851,$B$881),Data!$BO:$BO,0)-2,53)=0),INDEX(Tab_DaBa[],MATCH(CONCATENATE(Liste!$C$3,$B$851,$B$881),Data!$BO:$BO,0)-2,14),IF(INDEX(Tab_DaBa[],MATCH(CONCATENATE(Liste!$C$3,$B$851,$B$881),Data!$BO:$BO,0)-2,48)&lt;&gt;"",INDEX(Tab_DaBa[],MATCH(CONCATENATE(Liste!$C$3,$B$851,$B$881),Data!$BO:$BO,0)-2,54),"")),"")</f>
        <v/>
      </c>
      <c r="C899" s="39"/>
      <c r="D899" s="35" t="str">
        <f ca="1">IFERROR(IF(AND(INDEX(Tab_DaBa[],MATCH(CONCATENATE(Liste!$C$3,$B$851,$B$881),Data!$BO:$BO,0)-2,53)&lt;&gt;"",INDEX(Tab_DaBa[],MATCH(CONCATENATE(Liste!$C$3,$B$851,$B$881),Data!$BO:$BO,0)-2,58)=0),INDEX(Tab_DaBa[],MATCH(CONCATENATE(Liste!$C$3,$B$851,$B$881),Data!$BO:$BO,0)-2,14),IF(INDEX(Tab_DaBa[],MATCH(CONCATENATE(Liste!$C$3,$B$851,$B$881),Data!$BO:$BO,0)-2,53)&lt;&gt;"",INDEX(Tab_DaBa[],MATCH(CONCATENATE(Liste!$C$3,$B$851,$B$881),Data!$BO:$BO,0)-2,59),"")),"")</f>
        <v/>
      </c>
      <c r="E899" s="33"/>
      <c r="F899" s="35" t="str">
        <f ca="1">IFERROR(IF(AND(INDEX(Tab_DaBa[],MATCH(CONCATENATE(Liste!$C$3,$B$851,$B$881),Data!$BO:$BO,0)-2,58)&lt;&gt;"",INDEX(Tab_DaBa[],MATCH(CONCATENATE(Liste!$C$3,$B$851,$B$881),Data!$BO:$BO,0)-2,63)=0),INDEX(Tab_DaBa[],MATCH(CONCATENATE(Liste!$C$3,$B$851,$B$881),Data!$BO:$BO,0)-2,14),IF(INDEX(Tab_DaBa[],MATCH(CONCATENATE(Liste!$C$3,$B$851,$B$881),Data!$BO:$BO,0)-2,58)&lt;&gt;"",INDEX(Tab_DaBa[],MATCH(CONCATENATE(Liste!$C$3,$B$851,$B$881),Data!$BO:$BO,0)-2,64),"")),"")</f>
        <v/>
      </c>
      <c r="G899" s="39"/>
      <c r="H899" s="35" t="str">
        <f ca="1">IFERROR(IF(INDEX(Tab_DaBa[],MATCH(CONCATENATE(Liste!$C$3,$B$851,$B$881),Data!$BO:$BO,0)-2,63)&lt;&gt;"",INDEX(Tab_DaBa[],MATCH(CONCATENATE(Liste!$C$3,$B$851,$B$881),Data!$BO:$BO,0)-2,14),""),"")</f>
        <v/>
      </c>
    </row>
    <row r="900" spans="2:9" s="16" customFormat="1" ht="15.75">
      <c r="B900" s="35" t="str">
        <f ca="1">IFERROR(IF(AND(INDEX(Tab_DaBa[],MATCH(CONCATENATE(Liste!$C$3,$B$851,$B$881),Data!$BO:$BO,0)-2,48)&lt;&gt;"",INDEX(Tab_DaBa[],MATCH(CONCATENATE(Liste!$C$3,$B$851,$B$881),Data!$BO:$BO,0)-2,53)=0),INDEX(Tab_DaBa[],MATCH(CONCATENATE(Liste!$C$3,$B$851,$B$881),Data!$BO:$BO,0)-2,12),IF(INDEX(Tab_DaBa[],MATCH(CONCATENATE(Liste!$C$3,$B$851,$B$881),Data!$BO:$BO,0)-2,48)&lt;&gt;"",INDEX(Tab_DaBa[],MATCH(CONCATENATE(Liste!$C$3,$B$851,$B$881),Data!$BO:$BO,0)-2,52),"")),"")</f>
        <v/>
      </c>
      <c r="C900" s="39"/>
      <c r="D900" s="35" t="str">
        <f ca="1">IFERROR(IF(AND(INDEX(Tab_DaBa[],MATCH(CONCATENATE(Liste!$C$3,$B$851,$B$881),Data!$BO:$BO,0)-2,53)&lt;&gt;"",INDEX(Tab_DaBa[],MATCH(CONCATENATE(Liste!$C$3,$B$851,$B$881),Data!$BO:$BO,0)-2,58)=0),INDEX(Tab_DaBa[],MATCH(CONCATENATE(Liste!$C$3,$B$851,$B$881),Data!$BO:$BO,0)-2,12),IF(INDEX(Tab_DaBa[],MATCH(CONCATENATE(Liste!$C$3,$B$851,$B$881),Data!$BO:$BO,0)-2,53)&lt;&gt;"",INDEX(Tab_DaBa[],MATCH(CONCATENATE(Liste!$C$3,$B$851,$B$881),Data!$BO:$BO,0)-2,57),"")),"")</f>
        <v/>
      </c>
      <c r="E900" s="37"/>
      <c r="F900" s="35" t="str">
        <f ca="1">IFERROR(IF(AND(INDEX(Tab_DaBa[],MATCH(CONCATENATE(Liste!$C$3,$B$851,$B$881),Data!$BO:$BO,0)-2,58)&lt;&gt;"",INDEX(Tab_DaBa[],MATCH(CONCATENATE(Liste!$C$3,$B$851,$B$881),Data!$BO:$BO,0)-2,63)=0),INDEX(Tab_DaBa[],MATCH(CONCATENATE(Liste!$C$3,$B$851,$B$881),Data!$BO:$BO,0)-2,12),IF(INDEX(Tab_DaBa[],MATCH(CONCATENATE(Liste!$C$3,$B$851,$B$881),Data!$BO:$BO,0)-2,58)&lt;&gt;"",INDEX(Tab_DaBa[],MATCH(CONCATENATE(Liste!$C$3,$B$851,$B$881),Data!$BO:$BO,0)-2,62),"")),"")</f>
        <v/>
      </c>
      <c r="G900" s="39"/>
      <c r="H900" s="35" t="str">
        <f ca="1">IFERROR(IF(INDEX(Tab_DaBa[],MATCH(CONCATENATE(Liste!$C$3,$B$851,$B$881),Data!$BO:$BO,0)-2,63)&lt;&gt;"",INDEX(Tab_DaBa[],MATCH(CONCATENATE(Liste!$C$3,$B$851,$B$881),Data!$BO:$BO,0)-2,12),""),"")</f>
        <v/>
      </c>
    </row>
    <row r="901" spans="2:9" s="16" customFormat="1" ht="15.75">
      <c r="B901" s="35" t="str">
        <f ca="1">IFERROR(IF(AND(INDEX(Tab_DaBa[],MATCH(CONCATENATE(Liste!$C$3,$B$851,$B$881),Data!$BO:$BO,0)-2,48)&lt;&gt;"",INDEX(Tab_DaBa[],MATCH(CONCATENATE(Liste!$C$3,$B$851,$B$881),Data!$BO:$BO,0)-2,53)=""),INDEX(Tab_DaBa[],MATCH(CONCATENATE(Liste!$C$3,$B$851,$B$881),Data!$BO:$BO,0)-2,13),IF(INDEX(Tab_DaBa[],MATCH(CONCATENATE(Liste!$C$3,$B$851,$B$881),Data!$BO:$BO,0)-2,48)&lt;&gt;"",INDEX(Tab_DaBa[],MATCH(CONCATENATE(Liste!$C$3,$B$851,$B$881),Data!$BO:$BO,0)-2,53),"")),"")</f>
        <v/>
      </c>
      <c r="C901" s="38" t="str">
        <f ca="1">IF(D899="","",4)</f>
        <v/>
      </c>
      <c r="D901" s="35" t="str">
        <f ca="1">IFERROR(IF(AND(INDEX(Tab_DaBa[],MATCH(CONCATENATE(Liste!$C$3,$B$851,$B$881),Data!$BO:$BO,0)-2,53)&lt;&gt;"",INDEX(Tab_DaBa[],MATCH(CONCATENATE(Liste!$C$3,$B$851,$B$881),Data!$BO:$BO,0)-2,58)=""),INDEX(Tab_DaBa[],MATCH(CONCATENATE(Liste!$C$3,$B$851,$B$881),Data!$BO:$BO,0)-2,13),IF(INDEX(Tab_DaBa[],MATCH(CONCATENATE(Liste!$C$3,$B$851,$B$881),Data!$BO:$BO,0)-2,53)&lt;&gt;"",INDEX(Tab_DaBa[],MATCH(CONCATENATE(Liste!$C$3,$B$851,$B$881),Data!$BO:$BO,0)-2,58),"")),"")</f>
        <v/>
      </c>
      <c r="E901" s="38" t="str">
        <f ca="1">IF(F899="","",4)</f>
        <v/>
      </c>
      <c r="F901" s="35" t="str">
        <f ca="1">IFERROR(IF(AND(INDEX(Tab_DaBa[],MATCH(CONCATENATE(Liste!$C$3,$B$851,$B$881),Data!$BO:$BO,0)-2,58)&lt;&gt;"",INDEX(Tab_DaBa[],MATCH(CONCATENATE(Liste!$C$3,$B$851,$B$881),Data!$BO:$BO,0)-2,63)=""),INDEX(Tab_DaBa[],MATCH(CONCATENATE(Liste!$C$3,$B$851,$B$881),Data!$BO:$BO,0)-2,13),IF(INDEX(Tab_DaBa[],MATCH(CONCATENATE(Liste!$C$3,$B$851,$B$881),Data!$BO:$BO,0)-2,58)&lt;&gt;"",INDEX(Tab_DaBa[],MATCH(CONCATENATE(Liste!$C$3,$B$851,$B$881),Data!$BO:$BO,0)-2,63),"")),"")</f>
        <v/>
      </c>
      <c r="G901" s="38" t="str">
        <f ca="1">IF(H899="","",4)</f>
        <v/>
      </c>
      <c r="H901" s="35" t="str">
        <f ca="1">IFERROR(IF(INDEX(Tab_DaBa[],MATCH(CONCATENATE(Liste!$C$3,$B$851,$B$881),Data!$BO:$BO,0)-2,63)&lt;&gt;"",INDEX(Tab_DaBa[],MATCH(CONCATENATE(Liste!$C$3,$B$851,$B$881),Data!$BO:$BO,0)-2,13),""),"")</f>
        <v/>
      </c>
    </row>
    <row r="902" spans="2:9" s="16" customFormat="1" ht="15.75">
      <c r="B902" s="35" t="str">
        <f ca="1">IFERROR(IF(AND(INDEX(Tab_DaBa[],MATCH(CONCATENATE(Liste!$C$3,$B$851,$B$881),Data!$BO:$BO,0)-2,48)&lt;&gt;"",INDEX(Tab_DaBa[],MATCH(CONCATENATE(Liste!$C$3,$B$851,$B$881),Data!$BO:$BO,0)-2,53)=""),"Performance Level: "&amp;INDEX(Tab_DaBa[],MATCH(CONCATENATE(Liste!$C$3,$B$851,$B$881),Data!$BO:$BO,0)-2,15),IF(INDEX(Tab_DaBa[],MATCH(CONCATENATE(Liste!$C$3,$B$851,$B$881),Data!$BO:$BO,0)-2,48)&lt;&gt;"","Performance Level: "&amp;INDEX(Tab_DaBa[],MATCH(CONCATENATE(Liste!$C$3,$B$851,$B$881),Data!$BO:$BO,0)-2,55),"")),"")</f>
        <v/>
      </c>
      <c r="C902" s="39"/>
      <c r="D902" s="35" t="str">
        <f ca="1">IFERROR(IF(AND(INDEX(Tab_DaBa[],MATCH(CONCATENATE(Liste!$C$3,$B$851,$B$881),Data!$BO:$BO,0)-2,53)&lt;&gt;"",INDEX(Tab_DaBa[],MATCH(CONCATENATE(Liste!$C$3,$B$851,$B$881),Data!$BO:$BO,0)-2,58)=""),"Performance Level: "&amp;INDEX(Tab_DaBa[],MATCH(CONCATENATE(Liste!$C$3,$B$851,$B$881),Data!$BO:$BO,0)-2,15),IF(INDEX(Tab_DaBa[],MATCH(CONCATENATE(Liste!$C$3,$B$851,$B$881),Data!$BO:$BO,0)-2,53)&lt;&gt;"","Performance Level: "&amp;INDEX(Tab_DaBa[],MATCH(CONCATENATE(Liste!$C$3,$B$851,$B$881),Data!$BO:$BO,0)-2,60),"")),"")</f>
        <v/>
      </c>
      <c r="E902" s="37"/>
      <c r="F902" s="35" t="str">
        <f ca="1">IFERROR(IF(AND(INDEX(Tab_DaBa[],MATCH(CONCATENATE(Liste!$C$3,$B$851,$B$881),Data!$BO:$BO,0)-2,58)&lt;&gt;"",INDEX(Tab_DaBa[],MATCH(CONCATENATE(Liste!$C$3,$B$851,$B$881),Data!$BO:$BO,0)-2,63)=""),"Performance Level: "&amp;INDEX(Tab_DaBa[],MATCH(CONCATENATE(Liste!$C$3,$B$851,$B$881),Data!$BO:$BO,0)-2,15),IF(INDEX(Tab_DaBa[],MATCH(CONCATENATE(Liste!$C$3,$B$851,$B$881),Data!$BO:$BO,0)-2,58)&lt;&gt;"","Performance Level: "&amp;INDEX(Tab_DaBa[],MATCH(CONCATENATE(Liste!$C$3,$B$851,$B$881),Data!$BO:$BO,0)-2,65),"")),"")</f>
        <v/>
      </c>
      <c r="G902" s="39"/>
      <c r="H902" s="35" t="str">
        <f ca="1">IFERROR(IF(INDEX(Tab_DaBa[],MATCH(CONCATENATE(Liste!$C$3,$B$851,$B$881),Data!$BO:$BO,0)-2,63)&lt;&gt;"","Performance Level: "&amp;INDEX(Tab_DaBa[],MATCH(CONCATENATE(Liste!$C$3,$B$851,$B$881),Data!$BO:$BO,0)-2,15),""),"")</f>
        <v/>
      </c>
    </row>
    <row r="903" spans="2:9" s="16" customFormat="1" ht="15.75">
      <c r="B903" s="35" t="str">
        <f ca="1">IFERROR(IF(AND(INDEX(Tab_DaBa[],MATCH(CONCATENATE(Liste!$C$3,$B$851,$B$881),Data!$BO:$BO,0)-2,48)&lt;&gt;"",INDEX(Tab_DaBa[],MATCH(CONCATENATE(Liste!$C$3,$B$851,$B$881),Data!$BO:$BO,0)-2,53)=""),"PFH [1/h] = "&amp;10^9*INDEX(Tab_DaBa[],MATCH(CONCATENATE(Liste!$C$3,$B$851,$B$881),Data!$BO:$BO,0)-2,16)&amp;"E-9",IF(INDEX(Tab_DaBa[],MATCH(CONCATENATE(Liste!$C$3,$B$851,$B$881),Data!$BO:$BO,0)-2,48)&lt;&gt;"","PFH [1/h] = "&amp;10^9*INDEX(Tab_DaBa[],MATCH(CONCATENATE(Liste!$C$3,$B$851,$B$881),Data!$BO:$BO,0)-2,56)&amp;"E-9","")),"")</f>
        <v/>
      </c>
      <c r="C903" s="39"/>
      <c r="D903" s="35" t="str">
        <f ca="1">IFERROR(IF(AND(INDEX(Tab_DaBa[],MATCH(CONCATENATE(Liste!$C$3,$B$851,$B$881),Data!$BO:$BO,0)-2,53)&lt;&gt;"",INDEX(Tab_DaBa[],MATCH(CONCATENATE(Liste!$C$3,$B$851,$B$881),Data!$BO:$BO,0)-2,58)=""),"PFH [1/h] = "&amp;10^9*INDEX(Tab_DaBa[],MATCH(CONCATENATE(Liste!$C$3,$B$851,$B$881),Data!$BO:$BO,0)-2,16)&amp;"E-9",IF(INDEX(Tab_DaBa[],MATCH(CONCATENATE(Liste!$C$3,$B$851,$B$881),Data!$BO:$BO,0)-2,53)&lt;&gt;"","PFH [1/h] = "&amp;10^9*INDEX(Tab_DaBa[],MATCH(CONCATENATE(Liste!$C$3,$B$851,$B$881),Data!$BO:$BO,0)-2,61)&amp;"E-9","")),"")</f>
        <v/>
      </c>
      <c r="E903" s="37"/>
      <c r="F903" s="35" t="str">
        <f ca="1">IFERROR(IF(AND(INDEX(Tab_DaBa[],MATCH(CONCATENATE(Liste!$C$3,$B$851,$B$881),Data!$BO:$BO,0)-2,58)&lt;&gt;"",INDEX(Tab_DaBa[],MATCH(CONCATENATE(Liste!$C$3,$B$851,$B$881),Data!$BO:$BO,0)-2,63)=""),"PFH [1/h] = "&amp;10^9*INDEX(Tab_DaBa[],MATCH(CONCATENATE(Liste!$C$3,$B$851,$B$881),Data!$BO:$BO,0)-2,16)&amp;"E-9",IF(INDEX(Tab_DaBa[],MATCH(CONCATENATE(Liste!$C$3,$B$851,$B$881),Data!$BO:$BO,0)-2,58)&lt;&gt;"","PFH [1/h] = "&amp;10^9*INDEX(Tab_DaBa[],MATCH(CONCATENATE(Liste!$C$3,$B$851,$B$881),Data!$BO:$BO,0)-2,66)&amp;"E-9","")),"")</f>
        <v/>
      </c>
      <c r="G903" s="39"/>
      <c r="H903" s="35" t="str">
        <f ca="1">IFERROR(IF(INDEX(Tab_DaBa[],MATCH(CONCATENATE(Liste!$C$3,$B$851,$B$881),Data!$BO:$BO,0)-2,63)&lt;&gt;"","PFH [1/h] = "&amp;10^9*INDEX(Tab_DaBa[],MATCH(CONCATENATE(Liste!$C$3,$B$851,$B$881),Data!$BO:$BO,0)-2,16)&amp;"E-9",""),"")</f>
        <v/>
      </c>
    </row>
    <row r="904" spans="2:9" s="16" customFormat="1"/>
    <row r="905" spans="2:9" s="16" customFormat="1">
      <c r="B905" s="43" t="str">
        <f ca="1">IF(D905="","","Erforderlich")</f>
        <v>Erforderlich</v>
      </c>
      <c r="D905" s="44" t="str">
        <f ca="1">IFERROR("Performance Level: "&amp;INDEX(Tab_DaBa[],MATCH(CONCATENATE(Liste!$C$3,$B$851,$B$881),Data!$BO:$BO,0)-2,4),"")</f>
        <v>Performance Level: PLr_ges4_2</v>
      </c>
    </row>
    <row r="906" spans="2:9" s="16" customFormat="1">
      <c r="B906" s="45"/>
    </row>
    <row r="907" spans="2:9" s="16" customFormat="1">
      <c r="B907" s="46" t="str">
        <f ca="1">IF(D907="","","Erreicht")</f>
        <v>Erreicht</v>
      </c>
      <c r="D907" s="47" t="str">
        <f ca="1">IFERROR("Performance Level: "&amp;INDEX(Tab_DaBa[],MATCH(CONCATENATE(Liste!$C$3,$B$851,$B$881),Data!$BO:$BO,0)-2,5)&amp;"          PFH [1/h] = "&amp;10^9*INDEX(Tab_DaBa[],MATCH(CONCATENATE(Liste!$C$3,$B$851,$B$881),Data!$BO:$BO,0)-2,6)&amp;"E-9","")</f>
        <v>Performance Level: Pl_ges4_2          PFH [1/h] = 71,7E-9</v>
      </c>
    </row>
    <row r="908" spans="2:9" s="16" customFormat="1"/>
    <row r="909" spans="2:9" s="16" customFormat="1">
      <c r="B909" s="42" t="str">
        <f ca="1">IFERROR(IF(3&gt;COUNTIF(Data!$BP:$BP,CONCATENATE(Liste!$C$3,$B$851)),"",INDEX(Tab_DaBa[],MATCH(CONCATENATE(Liste!$C$3,$B$851),Data!$BP:$BP,0),3)),"")</f>
        <v>4.3 Test4 (E+3L+A)</v>
      </c>
    </row>
    <row r="910" spans="2:9" s="16" customFormat="1"/>
    <row r="911" spans="2:9" s="16" customFormat="1" ht="15.75">
      <c r="B911" s="35" t="str">
        <f ca="1">IFERROR(INDEX(Tab_DaBa[],MATCH(CONCATENATE(Liste!$C$3,$B$851,$B$909),Data!$BO:$BO,0)-2,9),"")</f>
        <v>Eingang</v>
      </c>
      <c r="C911" s="54"/>
      <c r="D911" s="35" t="str">
        <f ca="1">IFERROR(IF(INDEX(Tab_DaBa[],MATCH(CONCATENATE(Liste!$C$3,$B$851,$B$909),Data!$BO:$BO,0)-2,18)=0,INDEX(Tab_DaBa[],MATCH(CONCATENATE(Liste!$C$3,$B$851,$B$909),Data!$BO:$BO,0)-2,14),INDEX(Tab_DaBa[],MATCH(CONCATENATE(Liste!$C$3,$B$851,$B$909),Data!$BO:$BO,0)-2,19)),"")</f>
        <v>Logik 01</v>
      </c>
      <c r="E911" s="33"/>
      <c r="F911" s="35" t="str">
        <f ca="1">IFERROR(IF(AND(INDEX(Tab_DaBa[],MATCH(CONCATENATE(Liste!$C$3,$B$851,$B$909),Data!$BO:$BO,0)-2,18)&lt;&gt;"",INDEX(Tab_DaBa[],MATCH(CONCATENATE(Liste!$C$3,$B$851,$B$909),Data!$BO:$BO,0)-2,23)=0),INDEX(Tab_DaBa[],MATCH(CONCATENATE(Liste!$C$3,$B$851,$B$909),Data!$BO:$BO,0)-2,14),IF(INDEX(Tab_DaBa[],MATCH(CONCATENATE(Liste!$C$3,$B$851,$B$909),Data!$BO:$BO,0)-2,23)&lt;&gt;"",INDEX(Tab_DaBa[],MATCH(CONCATENATE(Liste!$C$3,$B$851,$B$909),Data!$BO:$BO,0)-2,24),"")),"")</f>
        <v>Logik 02</v>
      </c>
      <c r="G911" s="39"/>
      <c r="H911" s="35" t="str">
        <f ca="1">IFERROR(IF(AND(INDEX(Tab_DaBa[],MATCH(CONCATENATE(Liste!$C$3,$B$851,$B$909),Data!$BO:$BO,0)-2,23)&lt;&gt;"",INDEX(Tab_DaBa[],MATCH(CONCATENATE(Liste!$C$3,$B$851,$B$909),Data!$BO:$BO,0)-2,28)=0),INDEX(Tab_DaBa[],MATCH(CONCATENATE(Liste!$C$3,$B$851,$B$909),Data!$BO:$BO,0)-2,14),IF(INDEX(Tab_DaBa[],MATCH(CONCATENATE(Liste!$C$3,$B$851,$B$909),Data!$BO:$BO,0)-2,23)&lt;&gt;"",INDEX(Tab_DaBa[],MATCH(CONCATENATE(Liste!$C$3,$B$851,$B$909),Data!$BO:$BO,0)-2,29),"")),"")</f>
        <v>Logik 03</v>
      </c>
      <c r="I911" s="39"/>
    </row>
    <row r="912" spans="2:9" s="16" customFormat="1" ht="15.75">
      <c r="B912" s="35" t="str">
        <f ca="1">IFERROR(INDEX(Tab_DaBa[],MATCH(CONCATENATE(Liste!$C$3,$B$851,$B$909),Data!$BO:$BO,0)-2,7),"")</f>
        <v>eeee-33_3</v>
      </c>
      <c r="C912" s="54"/>
      <c r="D912" s="35" t="str">
        <f ca="1">IFERROR(IF(INDEX(Tab_DaBa[],MATCH(CONCATENATE(Liste!$C$3,$B$851,$B$909),Data!$BO:$BO,0)-2,18)="",INDEX(Tab_DaBa[],MATCH(CONCATENATE(Liste!$C$3,$B$851,$B$909),Data!$BO:$BO,0)-2,12),INDEX(Tab_DaBa[],MATCH(CONCATENATE(Liste!$C$3,$B$851,$B$909),Data!$BO:$BO,0)-2,17)),"")</f>
        <v>Log01-04_03</v>
      </c>
      <c r="E912" s="36"/>
      <c r="F912" s="35" t="str">
        <f ca="1">IFERROR(IF(AND(INDEX(Tab_DaBa[],MATCH(CONCATENATE(Liste!$C$3,$B$851,$B$909),Data!$BO:$BO,0)-2,18)&lt;&gt;"",INDEX(Tab_DaBa[],MATCH(CONCATENATE(Liste!$C$3,$B$851,$B$909),Data!$BO:$BO,0)-2,23)=0),INDEX(Tab_DaBa[],MATCH(CONCATENATE(Liste!$C$3,$B$851,$B$909),Data!$BO:$BO,0)-2,12),IF(INDEX(Tab_DaBa[],MATCH(CONCATENATE(Liste!$C$3,$B$851,$B$909),Data!$BO:$BO,0)-2,23)&lt;&gt;"",INDEX(Tab_DaBa[],MATCH(CONCATENATE(Liste!$C$3,$B$851,$B$909),Data!$BO:$BO,0)-2,22),"")),"")</f>
        <v>Lo04-04_03</v>
      </c>
      <c r="G912" s="39"/>
      <c r="H912" s="35" t="str">
        <f ca="1">IFERROR(IF(AND(INDEX(Tab_DaBa[],MATCH(CONCATENATE(Liste!$C$3,$B$851,$B$909),Data!$BO:$BO,0)-2,23)&lt;&gt;"",INDEX(Tab_DaBa[],MATCH(CONCATENATE(Liste!$C$3,$B$851,$B$909),Data!$BO:$BO,0)-2,28)=0),INDEX(Tab_DaBa[],MATCH(CONCATENATE(Liste!$C$3,$B$851,$B$909),Data!$BO:$BO,0)-2,12),IF(INDEX(Tab_DaBa[],MATCH(CONCATENATE(Liste!$C$3,$B$851,$B$909),Data!$BO:$BO,0)-2,23)&lt;&gt;"",INDEX(Tab_DaBa[],MATCH(CONCATENATE(Liste!$C$3,$B$851,$B$909),Data!$BO:$BO,0)-2,27),"")),"")</f>
        <v>Lo04-44_03</v>
      </c>
      <c r="I912" s="39"/>
    </row>
    <row r="913" spans="2:9" s="16" customFormat="1" ht="15.75">
      <c r="B913" s="35" t="str">
        <f ca="1">IFERROR(INDEX(Tab_DaBa[],MATCH(CONCATENATE(Liste!$C$3,$B$851,$B$909),Data!$BO:$BO,0)-2,8),"")</f>
        <v>Bez_Ein4_3</v>
      </c>
      <c r="C913" s="40">
        <f ca="1">IF(D911="","",4)</f>
        <v>4</v>
      </c>
      <c r="D913" s="35" t="str">
        <f ca="1">IFERROR(IF(INDEX(Tab_DaBa[],MATCH(CONCATENATE(Liste!$C$3,$B$851,$B$909),Data!$BO:$BO,0)-2,18)="",INDEX(Tab_DaBa[],MATCH(CONCATENATE(Liste!$C$3,$B$851,$B$909),Data!$BO:$BO,0)-2,13),INDEX(Tab_DaBa[],MATCH(CONCATENATE(Liste!$C$3,$B$851,$B$909),Data!$BO:$BO,0)-2,18)),"")</f>
        <v>Bez_Log01_04_03</v>
      </c>
      <c r="E913" s="40">
        <f ca="1">IF(F911="","",4)</f>
        <v>4</v>
      </c>
      <c r="F913" s="35" t="str">
        <f ca="1">IFERROR(IF(AND(INDEX(Tab_DaBa[],MATCH(CONCATENATE(Liste!$C$3,$B$851,$B$909),Data!$BO:$BO,0)-2,18)&lt;&gt;"",INDEX(Tab_DaBa[],MATCH(CONCATENATE(Liste!$C$3,$B$851,$B$909),Data!$BO:$BO,0)-2,23)=""),INDEX(Tab_DaBa[],MATCH(CONCATENATE(Liste!$C$3,$B$851,$B$909),Data!$BO:$BO,0)-2,13),IF(INDEX(Tab_DaBa[],MATCH(CONCATENATE(Liste!$C$3,$B$851,$B$909),Data!$BO:$BO,0)-2,23)&lt;&gt;"",INDEX(Tab_DaBa[],MATCH(CONCATENATE(Liste!$C$3,$B$851,$B$909),Data!$BO:$BO,0)-2,23),"")),"")</f>
        <v>Bez_Lo04_03</v>
      </c>
      <c r="G913" s="38">
        <f ca="1">IF(H911="","",4)</f>
        <v>4</v>
      </c>
      <c r="H913" s="35" t="str">
        <f ca="1">IFERROR(IF(AND(INDEX(Tab_DaBa[],MATCH(CONCATENATE(Liste!$C$3,$B$851,$B$909),Data!$BO:$BO,0)-2,23)&lt;&gt;"",INDEX(Tab_DaBa[],MATCH(CONCATENATE(Liste!$C$3,$B$851,$B$909),Data!$BO:$BO,0)-2,28)=""),INDEX(Tab_DaBa[],MATCH(CONCATENATE(Liste!$C$3,$B$851,$B$909),Data!$BO:$BO,0)-2,13),IF(INDEX(Tab_DaBa[],MATCH(CONCATENATE(Liste!$C$3,$B$851,$B$909),Data!$BO:$BO,0)-2,23)&lt;&gt;"",INDEX(Tab_DaBa[],MATCH(CONCATENATE(Liste!$C$3,$B$851,$B$909),Data!$BO:$BO,0)-2,28),"")),"")</f>
        <v>Bez_Lo04_03</v>
      </c>
      <c r="I913" s="38">
        <f ca="1">IF(B919="","",6)</f>
        <v>6</v>
      </c>
    </row>
    <row r="914" spans="2:9" s="16" customFormat="1" ht="15.75">
      <c r="B914" s="35" t="str">
        <f ca="1">IFERROR("Performance Level: "&amp;INDEX(Tab_DaBa[],MATCH(CONCATENATE(Liste!$C$3,$B$851,$B$909),Data!$BO:$BO,0)-2,10),"")</f>
        <v>Performance Level: PL_Ein4_3</v>
      </c>
      <c r="C914" s="54"/>
      <c r="D914" s="35" t="str">
        <f ca="1">IFERROR(IF(INDEX(Tab_DaBa[],MATCH(CONCATENATE(Liste!$C$3,$B$851,$B$909),Data!$BO:$BO,0)-2,18)="","Performance Level: "&amp;INDEX(Tab_DaBa[],MATCH(CONCATENATE(Liste!$C$3,$B$851,$B$909),Data!$BO:$BO,0)-2,15),"Performance Level: "&amp;INDEX(Tab_DaBa[],MATCH(CONCATENATE(Liste!$C$3,$B$851,$B$909),Data!$BO:$BO,0)-2,20)),"")</f>
        <v>Performance Level: PL_Log01_04_03</v>
      </c>
      <c r="E914" s="36"/>
      <c r="F914" s="35" t="str">
        <f ca="1">IFERROR(IF(AND(INDEX(Tab_DaBa[],MATCH(CONCATENATE(Liste!$C$3,$B$851,$B$909),Data!$BO:$BO,0)-2,18)&lt;&gt;"",INDEX(Tab_DaBa[],MATCH(CONCATENATE(Liste!$C$3,$B$851,$B$909),Data!$BO:$BO,0)-2,23)=""),"Performance Level: "&amp;INDEX(Tab_DaBa[],MATCH(CONCATENATE(Liste!$C$3,$B$851,$B$909),Data!$BO:$BO,0)-2,15),IF(INDEX(Tab_DaBa[],MATCH(CONCATENATE(Liste!$C$3,$B$851,$B$909),Data!$BO:$BO,0)-2,23)&lt;&gt;"","Performance Level: "&amp;INDEX(Tab_DaBa[],MATCH(CONCATENATE(Liste!$C$3,$B$851,$B$909),Data!$BO:$BO,0)-2,25),"")),"")</f>
        <v>Performance Level: PL_Lo04_03</v>
      </c>
      <c r="G914" s="39"/>
      <c r="H914" s="35" t="str">
        <f ca="1">IFERROR(IF(AND(INDEX(Tab_DaBa[],MATCH(CONCATENATE(Liste!$C$3,$B$851,$B$909),Data!$BO:$BO,0)-2,23)&lt;&gt;"",INDEX(Tab_DaBa[],MATCH(CONCATENATE(Liste!$C$3,$B$851,$B$909),Data!$BO:$BO,0)-2,28)=""),"Performance Level: "&amp;INDEX(Tab_DaBa[],MATCH(CONCATENATE(Liste!$C$3,$B$851,$B$909),Data!$BO:$BO,0)-2,15),IF(INDEX(Tab_DaBa[],MATCH(CONCATENATE(Liste!$C$3,$B$851,$B$909),Data!$BO:$BO,0)-2,23)&lt;&gt;"","Performance Level: "&amp;INDEX(Tab_DaBa[],MATCH(CONCATENATE(Liste!$C$3,$B$851,$B$909),Data!$BO:$BO,0)-2,30),"")),"")</f>
        <v>Performance Level: PL_Lo04_03</v>
      </c>
      <c r="I914" s="38"/>
    </row>
    <row r="915" spans="2:9" s="16" customFormat="1" ht="15.75">
      <c r="B915" s="53" t="str">
        <f ca="1">IFERROR("PFH [1/h] = "&amp;10^9*INDEX(Tab_DaBa[],MATCH(CONCATENATE(Liste!$C$3,$B$851,$B$909),Data!$BO:$BO,0)-2,11)&amp;"E-9","")</f>
        <v>PFH [1/h] = 42,9E-9</v>
      </c>
      <c r="C915" s="54"/>
      <c r="D915" s="35" t="str">
        <f ca="1">IFERROR(IF(INDEX(Tab_DaBa[],MATCH(CONCATENATE(Liste!$C$3,$B$851,$B$909),Data!$BO:$BO,0)-2,18)="","PFH [1/h] = "&amp;10^9*INDEX(Tab_DaBa[],MATCH(CONCATENATE(Liste!$C$3,$B$851,$B$909),Data!$BO:$BO,0)-2,16)&amp;"E-9","PFH [1/h] = "&amp;10^9*INDEX(Tab_DaBa[],MATCH(CONCATENATE(Liste!$C$3,$B$851,$B$909),Data!$BO:$BO,0)-2,21)&amp;"E-9"),"")</f>
        <v>PFH [1/h] = 4,19E-9</v>
      </c>
      <c r="E915" s="36"/>
      <c r="F915" s="35" t="str">
        <f ca="1">IFERROR(IF(AND(INDEX(Tab_DaBa[],MATCH(CONCATENATE(Liste!$C$3,$B$851,$B$909),Data!$BO:$BO,0)-2,18)&lt;&gt;"",INDEX(Tab_DaBa[],MATCH(CONCATENATE(Liste!$C$3,$B$851,$B$909),Data!$BO:$BO,0)-2,23)=""),"PFH [1/h] = "&amp;10^9*INDEX(Tab_DaBa[],MATCH(CONCATENATE(Liste!$C$3,$B$851,$B$909),Data!$BO:$BO,0)-2,16)&amp;"E-9",IF(INDEX(Tab_DaBa[],MATCH(CONCATENATE(Liste!$C$3,$B$851,$B$909),Data!$BO:$BO,0)-2,23)&lt;&gt;"","PFH [1/h] = "&amp;10^9*INDEX(Tab_DaBa[],MATCH(CONCATENATE(Liste!$C$3,$B$851,$B$909),Data!$BO:$BO,0)-2,26)&amp;"E-9","")),"")</f>
        <v>PFH [1/h] = 4,19E-9</v>
      </c>
      <c r="G915" s="39"/>
      <c r="H915" s="35" t="str">
        <f ca="1">IFERROR(IF(AND(INDEX(Tab_DaBa[],MATCH(CONCATENATE(Liste!$C$3,$B$851,$B$909),Data!$BO:$BO,0)-2,23)&lt;&gt;"",INDEX(Tab_DaBa[],MATCH(CONCATENATE(Liste!$C$3,$B$851,$B$909),Data!$BO:$BO,0)-2,28)=""),"PFH [1/h] = "&amp;10^9*INDEX(Tab_DaBa[],MATCH(CONCATENATE(Liste!$C$3,$B$851,$B$909),Data!$BO:$BO,0)-2,16)&amp;"E-9",IF(INDEX(Tab_DaBa[],MATCH(CONCATENATE(Liste!$C$3,$B$851,$B$909),Data!$BO:$BO,0)-2,23)&lt;&gt;"","PFH [1/h] = "&amp;10^9*INDEX(Tab_DaBa[],MATCH(CONCATENATE(Liste!$C$3,$B$851,$B$909),Data!$BO:$BO,0)-2,31)&amp;"E-9","")),"")</f>
        <v>PFH [1/h] = 4,19E-9</v>
      </c>
      <c r="I915" s="39"/>
    </row>
    <row r="916" spans="2:9" s="16" customFormat="1">
      <c r="B916" s="33"/>
      <c r="C916" s="34"/>
      <c r="D916" s="33"/>
      <c r="E916" s="33"/>
      <c r="F916" s="33"/>
      <c r="G916" s="33"/>
      <c r="H916" s="33"/>
      <c r="I916" s="33"/>
    </row>
    <row r="917" spans="2:9" s="16" customFormat="1" ht="15.75">
      <c r="B917" s="38">
        <f ca="1">IF(B919="","",6)</f>
        <v>6</v>
      </c>
      <c r="C917" s="34"/>
      <c r="D917" s="38">
        <f ca="1">IF(B919="","",3)</f>
        <v>3</v>
      </c>
      <c r="E917" s="33"/>
      <c r="F917" s="38">
        <f ca="1">IF(B919="","",3)</f>
        <v>3</v>
      </c>
      <c r="G917" s="33"/>
      <c r="H917" s="38">
        <f ca="1">IF(B919="","",3)</f>
        <v>3</v>
      </c>
      <c r="I917" s="33"/>
    </row>
    <row r="918" spans="2:9" s="16" customFormat="1" ht="15.75">
      <c r="B918" s="39"/>
      <c r="C918" s="33"/>
      <c r="D918" s="33"/>
      <c r="E918" s="33"/>
      <c r="F918" s="33"/>
      <c r="G918" s="33"/>
      <c r="H918" s="33"/>
      <c r="I918" s="33"/>
    </row>
    <row r="919" spans="2:9" s="16" customFormat="1" ht="15.75">
      <c r="B919" s="35" t="str">
        <f ca="1">IFERROR(IF(AND(INDEX(Tab_DaBa[],MATCH(CONCATENATE(Liste!$C$3,$B$851,$B$909),Data!$BO:$BO,0)-2,28)&lt;&gt;"",INDEX(Tab_DaBa[],MATCH(CONCATENATE(Liste!$C$3,$B$851,$B$909),Data!$BO:$BO,0)-2,33)=0),INDEX(Tab_DaBa[],MATCH(CONCATENATE(Liste!$C$3,$B$851,$B$909),Data!$BO:$BO,0)-2,14),IF(INDEX(Tab_DaBa[],MATCH(CONCATENATE(Liste!$C$3,$B$851,$B$909),Data!$BO:$BO,0)-2,28)&lt;&gt;"",INDEX(Tab_DaBa[],MATCH(CONCATENATE(Liste!$C$3,$B$851,$B$909),Data!$BO:$BO,0)-2,34),"")),"")</f>
        <v>Ausgang</v>
      </c>
      <c r="C919" s="39"/>
      <c r="D919" s="35" t="str">
        <f ca="1">IFERROR(IF(AND(INDEX(Tab_DaBa[],MATCH(CONCATENATE(Liste!$C$3,$B$851,$B$909),Data!$BO:$BO,0)-2,33)&lt;&gt;"",INDEX(Tab_DaBa[],MATCH(CONCATENATE(Liste!$C$3,$B$851,$B$909),Data!$BO:$BO,0)-2,38)=0),INDEX(Tab_DaBa[],MATCH(CONCATENATE(Liste!$C$3,$B$851,$B$909),Data!$BO:$BO,0)-2,14),IF(INDEX(Tab_DaBa[],MATCH(CONCATENATE(Liste!$C$3,$B$851,$B$909),Data!$BO:$BO,0)-2,33)&lt;&gt;"",INDEX(Tab_DaBa[],MATCH(CONCATENATE(Liste!$C$3,$B$851,$B$909),Data!$BO:$BO,0)-2,39),"")),"")</f>
        <v/>
      </c>
      <c r="E919" s="33"/>
      <c r="F919" s="35" t="str">
        <f ca="1">IFERROR(IF(AND(INDEX(Tab_DaBa[],MATCH(CONCATENATE(Liste!$C$3,$B$851,$B$909),Data!$BO:$BO,0)-2,38)&lt;&gt;"",INDEX(Tab_DaBa[],MATCH(CONCATENATE(Liste!$C$3,$B$851,$B$909),Data!$BO:$BO,0)-2,43)=0),INDEX(Tab_DaBa[],MATCH(CONCATENATE(Liste!$C$3,$B$851,$B$909),Data!$BO:$BO,0)-2,14),IF(INDEX(Tab_DaBa[],MATCH(CONCATENATE(Liste!$C$3,$B$851,$B$909),Data!$BO:$BO,0)-2,38)&lt;&gt;"",INDEX(Tab_DaBa[],MATCH(CONCATENATE(Liste!$C$3,$B$851,$B$909),Data!$BO:$BO,0)-2,44),"")),"")</f>
        <v/>
      </c>
      <c r="G919" s="39"/>
      <c r="H919" s="35" t="str">
        <f ca="1">IFERROR(IF(AND(INDEX(Tab_DaBa[],MATCH(CONCATENATE(Liste!$C$3,$B$851,$B$909),Data!$BO:$BO,0)-2,43)&lt;&gt;"",INDEX(Tab_DaBa[],MATCH(CONCATENATE(Liste!$C$3,$B$851,$B$909),Data!$BO:$BO,0)-2,48)=0),INDEX(Tab_DaBa[],MATCH(CONCATENATE(Liste!$C$3,$B$851,$B$909),Data!$BO:$BO,0)-2,14),IF(INDEX(Tab_DaBa[],MATCH(CONCATENATE(Liste!$C$3,$B$851,$B$909),Data!$BO:$BO,0)-2,43)&lt;&gt;"",INDEX(Tab_DaBa[],MATCH(CONCATENATE(Liste!$C$3,$B$851,$B$909),Data!$BO:$BO,0)-2,49),"")),"")</f>
        <v/>
      </c>
      <c r="I919" s="39"/>
    </row>
    <row r="920" spans="2:9" s="16" customFormat="1" ht="15.75">
      <c r="B920" s="35" t="str">
        <f ca="1">IFERROR(IF(AND(INDEX(Tab_DaBa[],MATCH(CONCATENATE(Liste!$C$3,$B$851,$B$909),Data!$BO:$BO,0)-2,28)&lt;&gt;"",INDEX(Tab_DaBa[],MATCH(CONCATENATE(Liste!$C$3,$B$851,$B$909),Data!$BO:$BO,0)-2,33)=0),INDEX(Tab_DaBa[],MATCH(CONCATENATE(Liste!$C$3,$B$851,$B$909),Data!$BO:$BO,0)-2,12),IF(INDEX(Tab_DaBa[],MATCH(CONCATENATE(Liste!$C$3,$B$851,$B$909),Data!$BO:$BO,0)-2,28)&lt;&gt;"",INDEX(Tab_DaBa[],MATCH(CONCATENATE(Liste!$C$3,$B$851,$B$909),Data!$BO:$BO,0)-2,32),"")),"")</f>
        <v>aaaa-44_3</v>
      </c>
      <c r="C920" s="39"/>
      <c r="D920" s="35" t="str">
        <f ca="1">IFERROR(IF(AND(INDEX(Tab_DaBa[],MATCH(CONCATENATE(Liste!$C$3,$B$851,$B$909),Data!$BO:$BO,0)-2,33)&lt;&gt;"",INDEX(Tab_DaBa[],MATCH(CONCATENATE(Liste!$C$3,$B$851,$B$909),Data!$BO:$BO,0)-2,38)=0),INDEX(Tab_DaBa[],MATCH(CONCATENATE(Liste!$C$3,$B$851,$B$909),Data!$BO:$BO,0)-2,12),IF(INDEX(Tab_DaBa[],MATCH(CONCATENATE(Liste!$C$3,$B$851,$B$909),Data!$BO:$BO,0)-2,33)&lt;&gt;"",INDEX(Tab_DaBa[],MATCH(CONCATENATE(Liste!$C$3,$B$851,$B$909),Data!$BO:$BO,0)-2,37),"")),"")</f>
        <v/>
      </c>
      <c r="E920" s="37"/>
      <c r="F920" s="35" t="str">
        <f ca="1">IFERROR(IF(AND(INDEX(Tab_DaBa[],MATCH(CONCATENATE(Liste!$C$3,$B$851,$B$909),Data!$BO:$BO,0)-2,38)&lt;&gt;"",INDEX(Tab_DaBa[],MATCH(CONCATENATE(Liste!$C$3,$B$851,$B$909),Data!$BO:$BO,0)-2,43)=0),INDEX(Tab_DaBa[],MATCH(CONCATENATE(Liste!$C$3,$B$851,$B$909),Data!$BO:$BO,0)-2,12),IF(INDEX(Tab_DaBa[],MATCH(CONCATENATE(Liste!$C$3,$B$851,$B$909),Data!$BO:$BO,0)-2,38)&lt;&gt;"",INDEX(Tab_DaBa[],MATCH(CONCATENATE(Liste!$C$3,$B$851,$B$909),Data!$BO:$BO,0)-2,42),"")),"")</f>
        <v/>
      </c>
      <c r="G920" s="39"/>
      <c r="H920" s="35" t="str">
        <f ca="1">IFERROR(IF(AND(INDEX(Tab_DaBa[],MATCH(CONCATENATE(Liste!$C$3,$B$851,$B$909),Data!$BO:$BO,0)-2,43)&lt;&gt;"",INDEX(Tab_DaBa[],MATCH(CONCATENATE(Liste!$C$3,$B$851,$B$909),Data!$BO:$BO,0)-2,48)=0),INDEX(Tab_DaBa[],MATCH(CONCATENATE(Liste!$C$3,$B$851,$B$909),Data!$BO:$BO,0)-2,12),IF(INDEX(Tab_DaBa[],MATCH(CONCATENATE(Liste!$C$3,$B$851,$B$909),Data!$BO:$BO,0)-2,43)&lt;&gt;"",INDEX(Tab_DaBa[],MATCH(CONCATENATE(Liste!$C$3,$B$851,$B$909),Data!$BO:$BO,0)-2,47),"")),"")</f>
        <v/>
      </c>
      <c r="I920" s="39"/>
    </row>
    <row r="921" spans="2:9" s="16" customFormat="1" ht="15.75">
      <c r="B921" s="35" t="str">
        <f ca="1">IFERROR(IF(AND(INDEX(Tab_DaBa[],MATCH(CONCATENATE(Liste!$C$3,$B$851,$B$909),Data!$BO:$BO,0)-2,28)&lt;&gt;"",INDEX(Tab_DaBa[],MATCH(CONCATENATE(Liste!$C$3,$B$851,$B$909),Data!$BO:$BO,0)-2,33)=""),INDEX(Tab_DaBa[],MATCH(CONCATENATE(Liste!$C$3,$B$851,$B$909),Data!$BO:$BO,0)-2,13),IF(INDEX(Tab_DaBa[],MATCH(CONCATENATE(Liste!$C$3,$B$851,$B$909),Data!$BO:$BO,0)-2,28)&lt;&gt;"",INDEX(Tab_DaBa[],MATCH(CONCATENATE(Liste!$C$3,$B$851,$B$909),Data!$BO:$BO,0)-2,33),"")),"")</f>
        <v>Bez_Aus4_3</v>
      </c>
      <c r="C921" s="38" t="str">
        <f ca="1">IF(D919="","",4)</f>
        <v/>
      </c>
      <c r="D921" s="35" t="str">
        <f ca="1">IFERROR(IF(AND(INDEX(Tab_DaBa[],MATCH(CONCATENATE(Liste!$C$3,$B$851,$B$909),Data!$BO:$BO,0)-2,33)&lt;&gt;"",INDEX(Tab_DaBa[],MATCH(CONCATENATE(Liste!$C$3,$B$851,$B$909),Data!$BO:$BO,0)-2,38)=""),INDEX(Tab_DaBa[],MATCH(CONCATENATE(Liste!$C$3,$B$851,$B$909),Data!$BO:$BO,0)-2,13),IF(INDEX(Tab_DaBa[],MATCH(CONCATENATE(Liste!$C$3,$B$851,$B$909),Data!$BO:$BO,0)-2,33)&lt;&gt;"",INDEX(Tab_DaBa[],MATCH(CONCATENATE(Liste!$C$3,$B$851,$B$909),Data!$BO:$BO,0)-2,38),"")),"")</f>
        <v/>
      </c>
      <c r="E921" s="38" t="str">
        <f ca="1">IF(F919="","",4)</f>
        <v/>
      </c>
      <c r="F921" s="35" t="str">
        <f ca="1">IFERROR(IF(AND(INDEX(Tab_DaBa[],MATCH(CONCATENATE(Liste!$C$3,$B$851,$B$909),Data!$BO:$BO,0)-2,38)&lt;&gt;"",INDEX(Tab_DaBa[],MATCH(CONCATENATE(Liste!$C$3,$B$851,$B$909),Data!$BO:$BO,0)-2,43)=""),INDEX(Tab_DaBa[],MATCH(CONCATENATE(Liste!$C$3,$B$851,$B$909),Data!$BO:$BO,0)-2,13),IF(INDEX(Tab_DaBa[],MATCH(CONCATENATE(Liste!$C$3,$B$851,$B$909),Data!$BO:$BO,0)-2,38)&lt;&gt;"",INDEX(Tab_DaBa[],MATCH(CONCATENATE(Liste!$C$3,$B$851,$B$909),Data!$BO:$BO,0)-2,43),"")),"")</f>
        <v/>
      </c>
      <c r="G921" s="38" t="str">
        <f ca="1">IF(H919="","",4)</f>
        <v/>
      </c>
      <c r="H921" s="35" t="str">
        <f ca="1">IFERROR(IF(AND(INDEX(Tab_DaBa[],MATCH(CONCATENATE(Liste!$C$3,$B$851,$B$909),Data!$BO:$BO,0)-2,43)&lt;&gt;"",INDEX(Tab_DaBa[],MATCH(CONCATENATE(Liste!$C$3,$B$851,$B$909),Data!$BO:$BO,0)-2,48)=""),INDEX(Tab_DaBa[],MATCH(CONCATENATE(Liste!$C$3,$B$851,$B$909),Data!$BO:$BO,0)-2,13),IF(INDEX(Tab_DaBa[],MATCH(CONCATENATE(Liste!$C$3,$B$851,$B$909),Data!$BO:$BO,0)-2,43)&lt;&gt;"",INDEX(Tab_DaBa[],MATCH(CONCATENATE(Liste!$C$3,$B$851,$B$909),Data!$BO:$BO,0)-2,48),"")),"")</f>
        <v/>
      </c>
      <c r="I921" s="38" t="str">
        <f ca="1">IF(B927="","",6)</f>
        <v/>
      </c>
    </row>
    <row r="922" spans="2:9" s="16" customFormat="1" ht="15.75">
      <c r="B922" s="35" t="str">
        <f ca="1">IFERROR(IF(AND(INDEX(Tab_DaBa[],MATCH(CONCATENATE(Liste!$C$3,$B$851,$B$909),Data!$BO:$BO,0)-2,28)&lt;&gt;"",INDEX(Tab_DaBa[],MATCH(CONCATENATE(Liste!$C$3,$B$851,$B$909),Data!$BO:$BO,0)-2,33)=""),"Performance Level: "&amp;INDEX(Tab_DaBa[],MATCH(CONCATENATE(Liste!$C$3,$B$851,$B$909),Data!$BO:$BO,0)-2,15),IF(INDEX(Tab_DaBa[],MATCH(CONCATENATE(Liste!$C$3,$B$851,$B$909),Data!$BO:$BO,0)-2,28)&lt;&gt;"","Performance Level: "&amp;INDEX(Tab_DaBa[],MATCH(CONCATENATE(Liste!$C$3,$B$851,$B$909),Data!$BO:$BO,0)-2,35),"")),"")</f>
        <v>Performance Level: PL_Aus4_3</v>
      </c>
      <c r="C922" s="39"/>
      <c r="D922" s="35" t="str">
        <f ca="1">IFERROR(IF(AND(INDEX(Tab_DaBa[],MATCH(CONCATENATE(Liste!$C$3,$B$851,$B$909),Data!$BO:$BO,0)-2,33)&lt;&gt;"",INDEX(Tab_DaBa[],MATCH(CONCATENATE(Liste!$C$3,$B$851,$B$909),Data!$BO:$BO,0)-2,38)=""),"Performance Level: "&amp;INDEX(Tab_DaBa[],MATCH(CONCATENATE(Liste!$C$3,$B$851,$B$909),Data!$BO:$BO,0)-2,15),IF(INDEX(Tab_DaBa[],MATCH(CONCATENATE(Liste!$C$3,$B$851,$B$909),Data!$BO:$BO,0)-2,33)&lt;&gt;"","Performance Level: "&amp;INDEX(Tab_DaBa[],MATCH(CONCATENATE(Liste!$C$3,$B$851,$B$909),Data!$BO:$BO,0)-2,40),"")),"")</f>
        <v/>
      </c>
      <c r="E922" s="37"/>
      <c r="F922" s="35" t="str">
        <f ca="1">IFERROR(IF(AND(INDEX(Tab_DaBa[],MATCH(CONCATENATE(Liste!$C$3,$B$851,$B$909),Data!$BO:$BO,0)-2,38)&lt;&gt;"",INDEX(Tab_DaBa[],MATCH(CONCATENATE(Liste!$C$3,$B$851,$B$909),Data!$BO:$BO,0)-2,43)=""),"Performance Level: "&amp;INDEX(Tab_DaBa[],MATCH(CONCATENATE(Liste!$C$3,$B$851,$B$909),Data!$BO:$BO,0)-2,15),IF(INDEX(Tab_DaBa[],MATCH(CONCATENATE(Liste!$C$3,$B$851,$B$909),Data!$BO:$BO,0)-2,38)&lt;&gt;"","Performance Level: "&amp;INDEX(Tab_DaBa[],MATCH(CONCATENATE(Liste!$C$3,$B$851,$B$909),Data!$BO:$BO,0)-2,45),"")),"")</f>
        <v/>
      </c>
      <c r="G922" s="39"/>
      <c r="H922" s="35" t="str">
        <f ca="1">IFERROR(IF(AND(INDEX(Tab_DaBa[],MATCH(CONCATENATE(Liste!$C$3,$B$851,$B$909),Data!$BO:$BO,0)-2,43)&lt;&gt;"",INDEX(Tab_DaBa[],MATCH(CONCATENATE(Liste!$C$3,$B$851,$B$909),Data!$BO:$BO,0)-2,48)=""),"Performance Level: "&amp;INDEX(Tab_DaBa[],MATCH(CONCATENATE(Liste!$C$3,$B$851,$B$909),Data!$BO:$BO,0)-2,15),IF(INDEX(Tab_DaBa[],MATCH(CONCATENATE(Liste!$C$3,$B$851,$B$909),Data!$BO:$BO,0)-2,43)&lt;&gt;"","Performance Level: "&amp;INDEX(Tab_DaBa[],MATCH(CONCATENATE(Liste!$C$3,$B$851,$B$909),Data!$BO:$BO,0)-2,50),"")),"")</f>
        <v/>
      </c>
      <c r="I922" s="39"/>
    </row>
    <row r="923" spans="2:9" s="16" customFormat="1" ht="15.75">
      <c r="B923" s="35" t="str">
        <f ca="1">IFERROR(IF(AND(INDEX(Tab_DaBa[],MATCH(CONCATENATE(Liste!$C$3,$B$851,$B$909),Data!$BO:$BO,0)-2,28)&lt;&gt;"",INDEX(Tab_DaBa[],MATCH(CONCATENATE(Liste!$C$3,$B$851,$B$909),Data!$BO:$BO,0)-2,33)=""),"PFH [1/h] = "&amp;10^9*INDEX(Tab_DaBa[],MATCH(CONCATENATE(Liste!$C$3,$B$851,$B$909),Data!$BO:$BO,0)-2,16)&amp;"E-9",IF(INDEX(Tab_DaBa[],MATCH(CONCATENATE(Liste!$C$3,$B$851,$B$909),Data!$BO:$BO,0)-2,28)&lt;&gt;"","PFH [1/h] = "&amp;10^9*INDEX(Tab_DaBa[],MATCH(CONCATENATE(Liste!$C$3,$B$851,$B$909),Data!$BO:$BO,0)-2,36)&amp;"E-9","")),"")</f>
        <v>PFH [1/h] = 24,7E-9</v>
      </c>
      <c r="C923" s="39"/>
      <c r="D923" s="35" t="str">
        <f ca="1">IFERROR(IF(AND(INDEX(Tab_DaBa[],MATCH(CONCATENATE(Liste!$C$3,$B$851,$B$909),Data!$BO:$BO,0)-2,33)&lt;&gt;"",INDEX(Tab_DaBa[],MATCH(CONCATENATE(Liste!$C$3,$B$851,$B$909),Data!$BO:$BO,0)-2,38)=""),"PFH [1/h] = "&amp;10^9*INDEX(Tab_DaBa[],MATCH(CONCATENATE(Liste!$C$3,$B$851,$B$909),Data!$BO:$BO,0)-2,16)&amp;"E-9",IF(INDEX(Tab_DaBa[],MATCH(CONCATENATE(Liste!$C$3,$B$851,$B$909),Data!$BO:$BO,0)-2,33)&lt;&gt;"","PFH [1/h] = "&amp;10^9*INDEX(Tab_DaBa[],MATCH(CONCATENATE(Liste!$C$3,$B$851,$B$909),Data!$BO:$BO,0)-2,41)&amp;"E-9","")),"")</f>
        <v/>
      </c>
      <c r="E923" s="37"/>
      <c r="F923" s="35" t="str">
        <f ca="1">IFERROR(IF(AND(INDEX(Tab_DaBa[],MATCH(CONCATENATE(Liste!$C$3,$B$851,$B$909),Data!$BO:$BO,0)-2,38)&lt;&gt;"",INDEX(Tab_DaBa[],MATCH(CONCATENATE(Liste!$C$3,$B$851,$B$909),Data!$BO:$BO,0)-2,43)=""),"PFH [1/h] = "&amp;10^9*INDEX(Tab_DaBa[],MATCH(CONCATENATE(Liste!$C$3,$B$851,$B$909),Data!$BO:$BO,0)-2,16)&amp;"E-9",IF(INDEX(Tab_DaBa[],MATCH(CONCATENATE(Liste!$C$3,$B$851,$B$909),Data!$BO:$BO,0)-2,38)&lt;&gt;"","PFH [1/h] = "&amp;10^9*INDEX(Tab_DaBa[],MATCH(CONCATENATE(Liste!$C$3,$B$851,$B$909),Data!$BO:$BO,0)-2,46)&amp;"E-9","")),"")</f>
        <v/>
      </c>
      <c r="G923" s="39"/>
      <c r="H923" s="35" t="str">
        <f ca="1">IFERROR(IF(AND(INDEX(Tab_DaBa[],MATCH(CONCATENATE(Liste!$C$3,$B$851,$B$909),Data!$BO:$BO,0)-2,43)&lt;&gt;"",INDEX(Tab_DaBa[],MATCH(CONCATENATE(Liste!$C$3,$B$851,$B$909),Data!$BO:$BO,0)-2,48)=""),"PFH [1/h] = "&amp;10^9*INDEX(Tab_DaBa[],MATCH(CONCATENATE(Liste!$C$3,$B$851,$B$909),Data!$BO:$BO,0)-2,16)&amp;"E-9",IF(INDEX(Tab_DaBa[],MATCH(CONCATENATE(Liste!$C$3,$B$851,$B$909),Data!$BO:$BO,0)-2,43)&lt;&gt;"","PFH [1/h] = "&amp;10^9*INDEX(Tab_DaBa[],MATCH(CONCATENATE(Liste!$C$3,$B$851,$B$909),Data!$BO:$BO,0)-2,51)&amp;"E-9","")),"")</f>
        <v/>
      </c>
      <c r="I923" s="39"/>
    </row>
    <row r="924" spans="2:9" s="16" customFormat="1">
      <c r="B924" s="33"/>
      <c r="C924" s="33"/>
      <c r="D924" s="33"/>
      <c r="E924" s="33"/>
      <c r="F924" s="33"/>
      <c r="G924" s="33"/>
      <c r="H924" s="33"/>
      <c r="I924" s="33"/>
    </row>
    <row r="925" spans="2:9" s="16" customFormat="1" ht="15.75">
      <c r="B925" s="38" t="str">
        <f ca="1">IF(B927="","",6)</f>
        <v/>
      </c>
      <c r="C925" s="33"/>
      <c r="D925" s="38" t="str">
        <f ca="1">IF(B927="","",3)</f>
        <v/>
      </c>
      <c r="E925" s="33"/>
      <c r="F925" s="38" t="str">
        <f ca="1">IF(B927="","",3)</f>
        <v/>
      </c>
      <c r="G925" s="33"/>
      <c r="H925" s="38" t="str">
        <f ca="1">IF(B927="","",3)</f>
        <v/>
      </c>
      <c r="I925" s="33"/>
    </row>
    <row r="926" spans="2:9" s="16" customFormat="1" ht="15.75">
      <c r="B926" s="39"/>
      <c r="C926" s="33"/>
      <c r="D926" s="33"/>
      <c r="E926" s="33"/>
      <c r="F926" s="33"/>
      <c r="G926" s="33"/>
      <c r="H926" s="33"/>
      <c r="I926" s="33"/>
    </row>
    <row r="927" spans="2:9" s="16" customFormat="1" ht="15.75">
      <c r="B927" s="35" t="str">
        <f ca="1">IFERROR(IF(AND(INDEX(Tab_DaBa[],MATCH(CONCATENATE(Liste!$C$3,$B$851,$B$909),Data!$BO:$BO,0)-2,48)&lt;&gt;"",INDEX(Tab_DaBa[],MATCH(CONCATENATE(Liste!$C$3,$B$851,$B$909),Data!$BO:$BO,0)-2,53)=0),INDEX(Tab_DaBa[],MATCH(CONCATENATE(Liste!$C$3,$B$851,$B$909),Data!$BO:$BO,0)-2,14),IF(INDEX(Tab_DaBa[],MATCH(CONCATENATE(Liste!$C$3,$B$851,$B$909),Data!$BO:$BO,0)-2,48)&lt;&gt;"",INDEX(Tab_DaBa[],MATCH(CONCATENATE(Liste!$C$3,$B$851,$B$909),Data!$BO:$BO,0)-2,54),"")),"")</f>
        <v/>
      </c>
      <c r="C927" s="39"/>
      <c r="D927" s="35" t="str">
        <f ca="1">IFERROR(IF(AND(INDEX(Tab_DaBa[],MATCH(CONCATENATE(Liste!$C$3,$B$851,$B$909),Data!$BO:$BO,0)-2,53)&lt;&gt;"",INDEX(Tab_DaBa[],MATCH(CONCATENATE(Liste!$C$3,$B$851,$B$909),Data!$BO:$BO,0)-2,58)=0),INDEX(Tab_DaBa[],MATCH(CONCATENATE(Liste!$C$3,$B$851,$B$909),Data!$BO:$BO,0)-2,14),IF(INDEX(Tab_DaBa[],MATCH(CONCATENATE(Liste!$C$3,$B$851,$B$909),Data!$BO:$BO,0)-2,53)&lt;&gt;"",INDEX(Tab_DaBa[],MATCH(CONCATENATE(Liste!$C$3,$B$851,$B$909),Data!$BO:$BO,0)-2,59),"")),"")</f>
        <v/>
      </c>
      <c r="E927" s="33"/>
      <c r="F927" s="35" t="str">
        <f ca="1">IFERROR(IF(AND(INDEX(Tab_DaBa[],MATCH(CONCATENATE(Liste!$C$3,$B$851,$B$909),Data!$BO:$BO,0)-2,58)&lt;&gt;"",INDEX(Tab_DaBa[],MATCH(CONCATENATE(Liste!$C$3,$B$851,$B$909),Data!$BO:$BO,0)-2,63)=0),INDEX(Tab_DaBa[],MATCH(CONCATENATE(Liste!$C$3,$B$851,$B$909),Data!$BO:$BO,0)-2,14),IF(INDEX(Tab_DaBa[],MATCH(CONCATENATE(Liste!$C$3,$B$851,$B$909),Data!$BO:$BO,0)-2,58)&lt;&gt;"",INDEX(Tab_DaBa[],MATCH(CONCATENATE(Liste!$C$3,$B$851,$B$909),Data!$BO:$BO,0)-2,64),"")),"")</f>
        <v/>
      </c>
      <c r="G927" s="39"/>
      <c r="H927" s="35" t="str">
        <f ca="1">IFERROR(IF(INDEX(Tab_DaBa[],MATCH(CONCATENATE(Liste!$C$3,$B$851,$B$909),Data!$BO:$BO,0)-2,63)&lt;&gt;"",INDEX(Tab_DaBa[],MATCH(CONCATENATE(Liste!$C$3,$B$851,$B$909),Data!$BO:$BO,0)-2,14),""),"")</f>
        <v/>
      </c>
    </row>
    <row r="928" spans="2:9" s="16" customFormat="1" ht="15.75">
      <c r="B928" s="35" t="str">
        <f ca="1">IFERROR(IF(AND(INDEX(Tab_DaBa[],MATCH(CONCATENATE(Liste!$C$3,$B$851,$B$909),Data!$BO:$BO,0)-2,48)&lt;&gt;"",INDEX(Tab_DaBa[],MATCH(CONCATENATE(Liste!$C$3,$B$851,$B$909),Data!$BO:$BO,0)-2,53)=0),INDEX(Tab_DaBa[],MATCH(CONCATENATE(Liste!$C$3,$B$851,$B$909),Data!$BO:$BO,0)-2,12),IF(INDEX(Tab_DaBa[],MATCH(CONCATENATE(Liste!$C$3,$B$851,$B$909),Data!$BO:$BO,0)-2,48)&lt;&gt;"",INDEX(Tab_DaBa[],MATCH(CONCATENATE(Liste!$C$3,$B$851,$B$909),Data!$BO:$BO,0)-2,52),"")),"")</f>
        <v/>
      </c>
      <c r="C928" s="39"/>
      <c r="D928" s="35" t="str">
        <f ca="1">IFERROR(IF(AND(INDEX(Tab_DaBa[],MATCH(CONCATENATE(Liste!$C$3,$B$851,$B$909),Data!$BO:$BO,0)-2,53)&lt;&gt;"",INDEX(Tab_DaBa[],MATCH(CONCATENATE(Liste!$C$3,$B$851,$B$909),Data!$BO:$BO,0)-2,58)=0),INDEX(Tab_DaBa[],MATCH(CONCATENATE(Liste!$C$3,$B$851,$B$909),Data!$BO:$BO,0)-2,12),IF(INDEX(Tab_DaBa[],MATCH(CONCATENATE(Liste!$C$3,$B$851,$B$909),Data!$BO:$BO,0)-2,53)&lt;&gt;"",INDEX(Tab_DaBa[],MATCH(CONCATENATE(Liste!$C$3,$B$851,$B$909),Data!$BO:$BO,0)-2,57),"")),"")</f>
        <v/>
      </c>
      <c r="E928" s="37"/>
      <c r="F928" s="35" t="str">
        <f ca="1">IFERROR(IF(AND(INDEX(Tab_DaBa[],MATCH(CONCATENATE(Liste!$C$3,$B$851,$B$909),Data!$BO:$BO,0)-2,58)&lt;&gt;"",INDEX(Tab_DaBa[],MATCH(CONCATENATE(Liste!$C$3,$B$851,$B$909),Data!$BO:$BO,0)-2,63)=0),INDEX(Tab_DaBa[],MATCH(CONCATENATE(Liste!$C$3,$B$851,$B$909),Data!$BO:$BO,0)-2,12),IF(INDEX(Tab_DaBa[],MATCH(CONCATENATE(Liste!$C$3,$B$851,$B$909),Data!$BO:$BO,0)-2,58)&lt;&gt;"",INDEX(Tab_DaBa[],MATCH(CONCATENATE(Liste!$C$3,$B$851,$B$909),Data!$BO:$BO,0)-2,62),"")),"")</f>
        <v/>
      </c>
      <c r="G928" s="39"/>
      <c r="H928" s="35" t="str">
        <f ca="1">IFERROR(IF(INDEX(Tab_DaBa[],MATCH(CONCATENATE(Liste!$C$3,$B$851,$B$909),Data!$BO:$BO,0)-2,63)&lt;&gt;"",INDEX(Tab_DaBa[],MATCH(CONCATENATE(Liste!$C$3,$B$851,$B$909),Data!$BO:$BO,0)-2,12),""),"")</f>
        <v/>
      </c>
    </row>
    <row r="929" spans="2:9" s="16" customFormat="1" ht="15.75">
      <c r="B929" s="35" t="str">
        <f ca="1">IFERROR(IF(AND(INDEX(Tab_DaBa[],MATCH(CONCATENATE(Liste!$C$3,$B$851,$B$909),Data!$BO:$BO,0)-2,48)&lt;&gt;"",INDEX(Tab_DaBa[],MATCH(CONCATENATE(Liste!$C$3,$B$851,$B$909),Data!$BO:$BO,0)-2,53)=""),INDEX(Tab_DaBa[],MATCH(CONCATENATE(Liste!$C$3,$B$851,$B$909),Data!$BO:$BO,0)-2,13),IF(INDEX(Tab_DaBa[],MATCH(CONCATENATE(Liste!$C$3,$B$851,$B$909),Data!$BO:$BO,0)-2,48)&lt;&gt;"",INDEX(Tab_DaBa[],MATCH(CONCATENATE(Liste!$C$3,$B$851,$B$909),Data!$BO:$BO,0)-2,53),"")),"")</f>
        <v/>
      </c>
      <c r="C929" s="38" t="str">
        <f ca="1">IF(D927="","",4)</f>
        <v/>
      </c>
      <c r="D929" s="35" t="str">
        <f ca="1">IFERROR(IF(AND(INDEX(Tab_DaBa[],MATCH(CONCATENATE(Liste!$C$3,$B$851,$B$909),Data!$BO:$BO,0)-2,53)&lt;&gt;"",INDEX(Tab_DaBa[],MATCH(CONCATENATE(Liste!$C$3,$B$851,$B$909),Data!$BO:$BO,0)-2,58)=""),INDEX(Tab_DaBa[],MATCH(CONCATENATE(Liste!$C$3,$B$851,$B$909),Data!$BO:$BO,0)-2,13),IF(INDEX(Tab_DaBa[],MATCH(CONCATENATE(Liste!$C$3,$B$851,$B$909),Data!$BO:$BO,0)-2,53)&lt;&gt;"",INDEX(Tab_DaBa[],MATCH(CONCATENATE(Liste!$C$3,$B$851,$B$909),Data!$BO:$BO,0)-2,58),"")),"")</f>
        <v/>
      </c>
      <c r="E929" s="38" t="str">
        <f ca="1">IF(F927="","",4)</f>
        <v/>
      </c>
      <c r="F929" s="35" t="str">
        <f ca="1">IFERROR(IF(AND(INDEX(Tab_DaBa[],MATCH(CONCATENATE(Liste!$C$3,$B$851,$B$909),Data!$BO:$BO,0)-2,58)&lt;&gt;"",INDEX(Tab_DaBa[],MATCH(CONCATENATE(Liste!$C$3,$B$851,$B$909),Data!$BO:$BO,0)-2,63)=""),INDEX(Tab_DaBa[],MATCH(CONCATENATE(Liste!$C$3,$B$851,$B$909),Data!$BO:$BO,0)-2,13),IF(INDEX(Tab_DaBa[],MATCH(CONCATENATE(Liste!$C$3,$B$851,$B$909),Data!$BO:$BO,0)-2,58)&lt;&gt;"",INDEX(Tab_DaBa[],MATCH(CONCATENATE(Liste!$C$3,$B$851,$B$909),Data!$BO:$BO,0)-2,63),"")),"")</f>
        <v/>
      </c>
      <c r="G929" s="38" t="str">
        <f ca="1">IF(H927="","",4)</f>
        <v/>
      </c>
      <c r="H929" s="35" t="str">
        <f ca="1">IFERROR(IF(INDEX(Tab_DaBa[],MATCH(CONCATENATE(Liste!$C$3,$B$851,$B$909),Data!$BO:$BO,0)-2,63)&lt;&gt;"",INDEX(Tab_DaBa[],MATCH(CONCATENATE(Liste!$C$3,$B$851,$B$909),Data!$BO:$BO,0)-2,13),""),"")</f>
        <v/>
      </c>
    </row>
    <row r="930" spans="2:9" s="16" customFormat="1" ht="15.75">
      <c r="B930" s="35" t="str">
        <f ca="1">IFERROR(IF(AND(INDEX(Tab_DaBa[],MATCH(CONCATENATE(Liste!$C$3,$B$851,$B$909),Data!$BO:$BO,0)-2,48)&lt;&gt;"",INDEX(Tab_DaBa[],MATCH(CONCATENATE(Liste!$C$3,$B$851,$B$909),Data!$BO:$BO,0)-2,53)=""),"Performance Level: "&amp;INDEX(Tab_DaBa[],MATCH(CONCATENATE(Liste!$C$3,$B$851,$B$909),Data!$BO:$BO,0)-2,15),IF(INDEX(Tab_DaBa[],MATCH(CONCATENATE(Liste!$C$3,$B$851,$B$909),Data!$BO:$BO,0)-2,48)&lt;&gt;"","Performance Level: "&amp;INDEX(Tab_DaBa[],MATCH(CONCATENATE(Liste!$C$3,$B$851,$B$909),Data!$BO:$BO,0)-2,55),"")),"")</f>
        <v/>
      </c>
      <c r="C930" s="39"/>
      <c r="D930" s="35" t="str">
        <f ca="1">IFERROR(IF(AND(INDEX(Tab_DaBa[],MATCH(CONCATENATE(Liste!$C$3,$B$851,$B$909),Data!$BO:$BO,0)-2,53)&lt;&gt;"",INDEX(Tab_DaBa[],MATCH(CONCATENATE(Liste!$C$3,$B$851,$B$909),Data!$BO:$BO,0)-2,58)=""),"Performance Level: "&amp;INDEX(Tab_DaBa[],MATCH(CONCATENATE(Liste!$C$3,$B$851,$B$909),Data!$BO:$BO,0)-2,15),IF(INDEX(Tab_DaBa[],MATCH(CONCATENATE(Liste!$C$3,$B$851,$B$909),Data!$BO:$BO,0)-2,53)&lt;&gt;"","Performance Level: "&amp;INDEX(Tab_DaBa[],MATCH(CONCATENATE(Liste!$C$3,$B$851,$B$909),Data!$BO:$BO,0)-2,60),"")),"")</f>
        <v/>
      </c>
      <c r="E930" s="37"/>
      <c r="F930" s="35" t="str">
        <f ca="1">IFERROR(IF(AND(INDEX(Tab_DaBa[],MATCH(CONCATENATE(Liste!$C$3,$B$851,$B$909),Data!$BO:$BO,0)-2,58)&lt;&gt;"",INDEX(Tab_DaBa[],MATCH(CONCATENATE(Liste!$C$3,$B$851,$B$909),Data!$BO:$BO,0)-2,63)=""),"Performance Level: "&amp;INDEX(Tab_DaBa[],MATCH(CONCATENATE(Liste!$C$3,$B$851,$B$909),Data!$BO:$BO,0)-2,15),IF(INDEX(Tab_DaBa[],MATCH(CONCATENATE(Liste!$C$3,$B$851,$B$909),Data!$BO:$BO,0)-2,58)&lt;&gt;"","Performance Level: "&amp;INDEX(Tab_DaBa[],MATCH(CONCATENATE(Liste!$C$3,$B$851,$B$909),Data!$BO:$BO,0)-2,65),"")),"")</f>
        <v/>
      </c>
      <c r="G930" s="39"/>
      <c r="H930" s="35" t="str">
        <f ca="1">IFERROR(IF(INDEX(Tab_DaBa[],MATCH(CONCATENATE(Liste!$C$3,$B$851,$B$909),Data!$BO:$BO,0)-2,63)&lt;&gt;"","Performance Level: "&amp;INDEX(Tab_DaBa[],MATCH(CONCATENATE(Liste!$C$3,$B$851,$B$909),Data!$BO:$BO,0)-2,15),""),"")</f>
        <v/>
      </c>
    </row>
    <row r="931" spans="2:9" s="16" customFormat="1" ht="15.75">
      <c r="B931" s="35" t="str">
        <f ca="1">IFERROR(IF(AND(INDEX(Tab_DaBa[],MATCH(CONCATENATE(Liste!$C$3,$B$851,$B$909),Data!$BO:$BO,0)-2,48)&lt;&gt;"",INDEX(Tab_DaBa[],MATCH(CONCATENATE(Liste!$C$3,$B$851,$B$909),Data!$BO:$BO,0)-2,53)=""),"PFH [1/h] = "&amp;10^9*INDEX(Tab_DaBa[],MATCH(CONCATENATE(Liste!$C$3,$B$851,$B$909),Data!$BO:$BO,0)-2,16)&amp;"E-9",IF(INDEX(Tab_DaBa[],MATCH(CONCATENATE(Liste!$C$3,$B$851,$B$909),Data!$BO:$BO,0)-2,48)&lt;&gt;"","PFH [1/h] = "&amp;10^9*INDEX(Tab_DaBa[],MATCH(CONCATENATE(Liste!$C$3,$B$851,$B$909),Data!$BO:$BO,0)-2,56)&amp;"E-9","")),"")</f>
        <v/>
      </c>
      <c r="C931" s="39"/>
      <c r="D931" s="35" t="str">
        <f ca="1">IFERROR(IF(AND(INDEX(Tab_DaBa[],MATCH(CONCATENATE(Liste!$C$3,$B$851,$B$909),Data!$BO:$BO,0)-2,53)&lt;&gt;"",INDEX(Tab_DaBa[],MATCH(CONCATENATE(Liste!$C$3,$B$851,$B$909),Data!$BO:$BO,0)-2,58)=""),"PFH [1/h] = "&amp;10^9*INDEX(Tab_DaBa[],MATCH(CONCATENATE(Liste!$C$3,$B$851,$B$909),Data!$BO:$BO,0)-2,16)&amp;"E-9",IF(INDEX(Tab_DaBa[],MATCH(CONCATENATE(Liste!$C$3,$B$851,$B$909),Data!$BO:$BO,0)-2,53)&lt;&gt;"","PFH [1/h] = "&amp;10^9*INDEX(Tab_DaBa[],MATCH(CONCATENATE(Liste!$C$3,$B$851,$B$909),Data!$BO:$BO,0)-2,61)&amp;"E-9","")),"")</f>
        <v/>
      </c>
      <c r="E931" s="37"/>
      <c r="F931" s="35" t="str">
        <f ca="1">IFERROR(IF(AND(INDEX(Tab_DaBa[],MATCH(CONCATENATE(Liste!$C$3,$B$851,$B$909),Data!$BO:$BO,0)-2,58)&lt;&gt;"",INDEX(Tab_DaBa[],MATCH(CONCATENATE(Liste!$C$3,$B$851,$B$909),Data!$BO:$BO,0)-2,63)=""),"PFH [1/h] = "&amp;10^9*INDEX(Tab_DaBa[],MATCH(CONCATENATE(Liste!$C$3,$B$851,$B$909),Data!$BO:$BO,0)-2,16)&amp;"E-9",IF(INDEX(Tab_DaBa[],MATCH(CONCATENATE(Liste!$C$3,$B$851,$B$909),Data!$BO:$BO,0)-2,58)&lt;&gt;"","PFH [1/h] = "&amp;10^9*INDEX(Tab_DaBa[],MATCH(CONCATENATE(Liste!$C$3,$B$851,$B$909),Data!$BO:$BO,0)-2,66)&amp;"E-9","")),"")</f>
        <v/>
      </c>
      <c r="G931" s="39"/>
      <c r="H931" s="35" t="str">
        <f ca="1">IFERROR(IF(INDEX(Tab_DaBa[],MATCH(CONCATENATE(Liste!$C$3,$B$851,$B$909),Data!$BO:$BO,0)-2,63)&lt;&gt;"","PFH [1/h] = "&amp;10^9*INDEX(Tab_DaBa[],MATCH(CONCATENATE(Liste!$C$3,$B$851,$B$909),Data!$BO:$BO,0)-2,16)&amp;"E-9",""),"")</f>
        <v/>
      </c>
    </row>
    <row r="932" spans="2:9" s="16" customFormat="1"/>
    <row r="933" spans="2:9" s="16" customFormat="1">
      <c r="B933" s="43" t="str">
        <f ca="1">IF(D933="","","Erforderlich")</f>
        <v>Erforderlich</v>
      </c>
      <c r="D933" s="44" t="str">
        <f ca="1">IFERROR("Performance Level: "&amp;INDEX(Tab_DaBa[],MATCH(CONCATENATE(Liste!$C$3,$B$851,$B$909),Data!$BO:$BO,0)-2,4),"")</f>
        <v>Performance Level: PLr_ges4_3</v>
      </c>
    </row>
    <row r="934" spans="2:9" s="16" customFormat="1">
      <c r="B934" s="45"/>
    </row>
    <row r="935" spans="2:9" s="16" customFormat="1">
      <c r="B935" s="46" t="str">
        <f ca="1">IF(D935="","","Erreicht")</f>
        <v>Erreicht</v>
      </c>
      <c r="D935" s="47" t="str">
        <f ca="1">IFERROR("Performance Level: "&amp;INDEX(Tab_DaBa[],MATCH(CONCATENATE(Liste!$C$3,$B$851,$B$909),Data!$BO:$BO,0)-2,5)&amp;"          PFH [1/h] = "&amp;10^9*INDEX(Tab_DaBa[],MATCH(CONCATENATE(Liste!$C$3,$B$851,$B$909),Data!$BO:$BO,0)-2,6)&amp;"E-9","")</f>
        <v>Performance Level: Pl_ges4_3          PFH [1/h] = 71,7E-9</v>
      </c>
    </row>
    <row r="936" spans="2:9" s="16" customFormat="1"/>
    <row r="937" spans="2:9" s="16" customFormat="1">
      <c r="B937" s="42" t="str">
        <f ca="1">IFERROR(IF(4&gt;COUNTIF(Data!$BP:$BP,CONCATENATE(Liste!$C$3,$B$851)),"",INDEX(Tab_DaBa[],MATCH(CONCATENATE(Liste!$C$3,$B$851),Data!$BP:$BP,0)+1,3)),"")</f>
        <v>4.4 Test4 (E+4L+A)</v>
      </c>
    </row>
    <row r="938" spans="2:9" s="16" customFormat="1"/>
    <row r="939" spans="2:9" s="16" customFormat="1" ht="15.75">
      <c r="B939" s="35" t="str">
        <f ca="1">IFERROR(INDEX(Tab_DaBa[],MATCH(CONCATENATE(Liste!$C$3,$B$851,$B$937),Data!$BO:$BO,0)-2,9),"")</f>
        <v>Eingang</v>
      </c>
      <c r="C939" s="54"/>
      <c r="D939" s="35" t="str">
        <f ca="1">IFERROR(IF(INDEX(Tab_DaBa[],MATCH(CONCATENATE(Liste!$C$3,$B$851,$B$937),Data!$BO:$BO,0)-2,18)=0,INDEX(Tab_DaBa[],MATCH(CONCATENATE(Liste!$C$3,$B$851,$B$937),Data!$BO:$BO,0)-2,14),INDEX(Tab_DaBa[],MATCH(CONCATENATE(Liste!$C$3,$B$851,$B$937),Data!$BO:$BO,0)-2,19)),"")</f>
        <v>Logik 01</v>
      </c>
      <c r="E939" s="33"/>
      <c r="F939" s="35" t="str">
        <f ca="1">IFERROR(IF(AND(INDEX(Tab_DaBa[],MATCH(CONCATENATE(Liste!$C$3,$B$851,$B$937),Data!$BO:$BO,0)-2,18)&lt;&gt;"",INDEX(Tab_DaBa[],MATCH(CONCATENATE(Liste!$C$3,$B$851,$B$937),Data!$BO:$BO,0)-2,23)=0),INDEX(Tab_DaBa[],MATCH(CONCATENATE(Liste!$C$3,$B$851,$B$937),Data!$BO:$BO,0)-2,14),IF(INDEX(Tab_DaBa[],MATCH(CONCATENATE(Liste!$C$3,$B$851,$B$937),Data!$BO:$BO,0)-2,23)&lt;&gt;"",INDEX(Tab_DaBa[],MATCH(CONCATENATE(Liste!$C$3,$B$851,$B$937),Data!$BO:$BO,0)-2,24),"")),"")</f>
        <v>Logik 02</v>
      </c>
      <c r="G939" s="39"/>
      <c r="H939" s="35" t="str">
        <f ca="1">IFERROR(IF(AND(INDEX(Tab_DaBa[],MATCH(CONCATENATE(Liste!$C$3,$B$851,$B$937),Data!$BO:$BO,0)-2,23)&lt;&gt;"",INDEX(Tab_DaBa[],MATCH(CONCATENATE(Liste!$C$3,$B$851,$B$937),Data!$BO:$BO,0)-2,28)=0),INDEX(Tab_DaBa[],MATCH(CONCATENATE(Liste!$C$3,$B$851,$B$937),Data!$BO:$BO,0)-2,14),IF(INDEX(Tab_DaBa[],MATCH(CONCATENATE(Liste!$C$3,$B$851,$B$937),Data!$BO:$BO,0)-2,23)&lt;&gt;"",INDEX(Tab_DaBa[],MATCH(CONCATENATE(Liste!$C$3,$B$851,$B$937),Data!$BO:$BO,0)-2,29),"")),"")</f>
        <v>Logik 03</v>
      </c>
      <c r="I939" s="39"/>
    </row>
    <row r="940" spans="2:9" s="16" customFormat="1" ht="15.75">
      <c r="B940" s="35" t="str">
        <f ca="1">IFERROR(INDEX(Tab_DaBa[],MATCH(CONCATENATE(Liste!$C$3,$B$851,$B$937),Data!$BO:$BO,0)-2,7),"")</f>
        <v>eeee-33_4</v>
      </c>
      <c r="C940" s="54"/>
      <c r="D940" s="35" t="str">
        <f ca="1">IFERROR(IF(INDEX(Tab_DaBa[],MATCH(CONCATENATE(Liste!$C$3,$B$851,$B$937),Data!$BO:$BO,0)-2,18)="",INDEX(Tab_DaBa[],MATCH(CONCATENATE(Liste!$C$3,$B$851,$B$937),Data!$BO:$BO,0)-2,12),INDEX(Tab_DaBa[],MATCH(CONCATENATE(Liste!$C$3,$B$851,$B$937),Data!$BO:$BO,0)-2,17)),"")</f>
        <v>Log01-04_04</v>
      </c>
      <c r="E940" s="36"/>
      <c r="F940" s="35" t="str">
        <f ca="1">IFERROR(IF(AND(INDEX(Tab_DaBa[],MATCH(CONCATENATE(Liste!$C$3,$B$851,$B$937),Data!$BO:$BO,0)-2,18)&lt;&gt;"",INDEX(Tab_DaBa[],MATCH(CONCATENATE(Liste!$C$3,$B$851,$B$937),Data!$BO:$BO,0)-2,23)=0),INDEX(Tab_DaBa[],MATCH(CONCATENATE(Liste!$C$3,$B$851,$B$937),Data!$BO:$BO,0)-2,12),IF(INDEX(Tab_DaBa[],MATCH(CONCATENATE(Liste!$C$3,$B$851,$B$937),Data!$BO:$BO,0)-2,23)&lt;&gt;"",INDEX(Tab_DaBa[],MATCH(CONCATENATE(Liste!$C$3,$B$851,$B$937),Data!$BO:$BO,0)-2,22),"")),"")</f>
        <v>Lo04-04_04</v>
      </c>
      <c r="G940" s="39"/>
      <c r="H940" s="35" t="str">
        <f ca="1">IFERROR(IF(AND(INDEX(Tab_DaBa[],MATCH(CONCATENATE(Liste!$C$3,$B$851,$B$937),Data!$BO:$BO,0)-2,23)&lt;&gt;"",INDEX(Tab_DaBa[],MATCH(CONCATENATE(Liste!$C$3,$B$851,$B$937),Data!$BO:$BO,0)-2,28)=0),INDEX(Tab_DaBa[],MATCH(CONCATENATE(Liste!$C$3,$B$851,$B$937),Data!$BO:$BO,0)-2,12),IF(INDEX(Tab_DaBa[],MATCH(CONCATENATE(Liste!$C$3,$B$851,$B$937),Data!$BO:$BO,0)-2,23)&lt;&gt;"",INDEX(Tab_DaBa[],MATCH(CONCATENATE(Liste!$C$3,$B$851,$B$937),Data!$BO:$BO,0)-2,27),"")),"")</f>
        <v>Lo04-44_04</v>
      </c>
      <c r="I940" s="39"/>
    </row>
    <row r="941" spans="2:9" s="16" customFormat="1" ht="15.75">
      <c r="B941" s="35" t="str">
        <f ca="1">IFERROR(INDEX(Tab_DaBa[],MATCH(CONCATENATE(Liste!$C$3,$B$851,$B$937),Data!$BO:$BO,0)-2,8),"")</f>
        <v>Bez_Ein4_4</v>
      </c>
      <c r="C941" s="40">
        <f ca="1">IF(D939="","",4)</f>
        <v>4</v>
      </c>
      <c r="D941" s="35" t="str">
        <f ca="1">IFERROR(IF(INDEX(Tab_DaBa[],MATCH(CONCATENATE(Liste!$C$3,$B$851,$B$937),Data!$BO:$BO,0)-2,18)="",INDEX(Tab_DaBa[],MATCH(CONCATENATE(Liste!$C$3,$B$851,$B$937),Data!$BO:$BO,0)-2,13),INDEX(Tab_DaBa[],MATCH(CONCATENATE(Liste!$C$3,$B$851,$B$937),Data!$BO:$BO,0)-2,18)),"")</f>
        <v>Bez_Log01_04_04</v>
      </c>
      <c r="E941" s="40">
        <f ca="1">IF(F939="","",4)</f>
        <v>4</v>
      </c>
      <c r="F941" s="35" t="str">
        <f ca="1">IFERROR(IF(AND(INDEX(Tab_DaBa[],MATCH(CONCATENATE(Liste!$C$3,$B$851,$B$937),Data!$BO:$BO,0)-2,18)&lt;&gt;"",INDEX(Tab_DaBa[],MATCH(CONCATENATE(Liste!$C$3,$B$851,$B$937),Data!$BO:$BO,0)-2,23)=""),INDEX(Tab_DaBa[],MATCH(CONCATENATE(Liste!$C$3,$B$851,$B$937),Data!$BO:$BO,0)-2,13),IF(INDEX(Tab_DaBa[],MATCH(CONCATENATE(Liste!$C$3,$B$851,$B$937),Data!$BO:$BO,0)-2,23)&lt;&gt;"",INDEX(Tab_DaBa[],MATCH(CONCATENATE(Liste!$C$3,$B$851,$B$937),Data!$BO:$BO,0)-2,23),"")),"")</f>
        <v>Bez_Lo04_04</v>
      </c>
      <c r="G941" s="38">
        <f ca="1">IF(H939="","",4)</f>
        <v>4</v>
      </c>
      <c r="H941" s="35" t="str">
        <f ca="1">IFERROR(IF(AND(INDEX(Tab_DaBa[],MATCH(CONCATENATE(Liste!$C$3,$B$851,$B$937),Data!$BO:$BO,0)-2,23)&lt;&gt;"",INDEX(Tab_DaBa[],MATCH(CONCATENATE(Liste!$C$3,$B$851,$B$937),Data!$BO:$BO,0)-2,28)=""),INDEX(Tab_DaBa[],MATCH(CONCATENATE(Liste!$C$3,$B$851,$B$937),Data!$BO:$BO,0)-2,13),IF(INDEX(Tab_DaBa[],MATCH(CONCATENATE(Liste!$C$3,$B$851,$B$937),Data!$BO:$BO,0)-2,23)&lt;&gt;"",INDEX(Tab_DaBa[],MATCH(CONCATENATE(Liste!$C$3,$B$851,$B$937),Data!$BO:$BO,0)-2,28),"")),"")</f>
        <v>Bez_Lo04_04</v>
      </c>
      <c r="I941" s="38">
        <f ca="1">IF(B947="","",6)</f>
        <v>6</v>
      </c>
    </row>
    <row r="942" spans="2:9" s="16" customFormat="1" ht="15.75">
      <c r="B942" s="35" t="str">
        <f ca="1">IFERROR("Performance Level: "&amp;INDEX(Tab_DaBa[],MATCH(CONCATENATE(Liste!$C$3,$B$851,$B$937),Data!$BO:$BO,0)-2,10),"")</f>
        <v>Performance Level: PL_Ein4_4</v>
      </c>
      <c r="C942" s="54"/>
      <c r="D942" s="35" t="str">
        <f ca="1">IFERROR(IF(INDEX(Tab_DaBa[],MATCH(CONCATENATE(Liste!$C$3,$B$851,$B$937),Data!$BO:$BO,0)-2,18)="","Performance Level: "&amp;INDEX(Tab_DaBa[],MATCH(CONCATENATE(Liste!$C$3,$B$851,$B$937),Data!$BO:$BO,0)-2,15),"Performance Level: "&amp;INDEX(Tab_DaBa[],MATCH(CONCATENATE(Liste!$C$3,$B$851,$B$937),Data!$BO:$BO,0)-2,20)),"")</f>
        <v>Performance Level: PL_Log01_04_04</v>
      </c>
      <c r="E942" s="36"/>
      <c r="F942" s="35" t="str">
        <f ca="1">IFERROR(IF(AND(INDEX(Tab_DaBa[],MATCH(CONCATENATE(Liste!$C$3,$B$851,$B$937),Data!$BO:$BO,0)-2,18)&lt;&gt;"",INDEX(Tab_DaBa[],MATCH(CONCATENATE(Liste!$C$3,$B$851,$B$937),Data!$BO:$BO,0)-2,23)=""),"Performance Level: "&amp;INDEX(Tab_DaBa[],MATCH(CONCATENATE(Liste!$C$3,$B$851,$B$937),Data!$BO:$BO,0)-2,15),IF(INDEX(Tab_DaBa[],MATCH(CONCATENATE(Liste!$C$3,$B$851,$B$937),Data!$BO:$BO,0)-2,23)&lt;&gt;"","Performance Level: "&amp;INDEX(Tab_DaBa[],MATCH(CONCATENATE(Liste!$C$3,$B$851,$B$937),Data!$BO:$BO,0)-2,25),"")),"")</f>
        <v>Performance Level: PL_Lo04_04</v>
      </c>
      <c r="G942" s="39"/>
      <c r="H942" s="35" t="str">
        <f ca="1">IFERROR(IF(AND(INDEX(Tab_DaBa[],MATCH(CONCATENATE(Liste!$C$3,$B$851,$B$937),Data!$BO:$BO,0)-2,23)&lt;&gt;"",INDEX(Tab_DaBa[],MATCH(CONCATENATE(Liste!$C$3,$B$851,$B$937),Data!$BO:$BO,0)-2,28)=""),"Performance Level: "&amp;INDEX(Tab_DaBa[],MATCH(CONCATENATE(Liste!$C$3,$B$851,$B$937),Data!$BO:$BO,0)-2,15),IF(INDEX(Tab_DaBa[],MATCH(CONCATENATE(Liste!$C$3,$B$851,$B$937),Data!$BO:$BO,0)-2,23)&lt;&gt;"","Performance Level: "&amp;INDEX(Tab_DaBa[],MATCH(CONCATENATE(Liste!$C$3,$B$851,$B$937),Data!$BO:$BO,0)-2,30),"")),"")</f>
        <v>Performance Level: PL_Lo04_04</v>
      </c>
      <c r="I942" s="38"/>
    </row>
    <row r="943" spans="2:9" s="16" customFormat="1" ht="15.75">
      <c r="B943" s="53" t="str">
        <f ca="1">IFERROR("PFH [1/h] = "&amp;10^9*INDEX(Tab_DaBa[],MATCH(CONCATENATE(Liste!$C$3,$B$851,$B$937),Data!$BO:$BO,0)-2,11)&amp;"E-9","")</f>
        <v>PFH [1/h] = 42,9E-9</v>
      </c>
      <c r="C943" s="54"/>
      <c r="D943" s="35" t="str">
        <f ca="1">IFERROR(IF(INDEX(Tab_DaBa[],MATCH(CONCATENATE(Liste!$C$3,$B$851,$B$937),Data!$BO:$BO,0)-2,18)="","PFH [1/h] = "&amp;10^9*INDEX(Tab_DaBa[],MATCH(CONCATENATE(Liste!$C$3,$B$851,$B$937),Data!$BO:$BO,0)-2,16)&amp;"E-9","PFH [1/h] = "&amp;10^9*INDEX(Tab_DaBa[],MATCH(CONCATENATE(Liste!$C$3,$B$851,$B$937),Data!$BO:$BO,0)-2,21)&amp;"E-9"),"")</f>
        <v>PFH [1/h] = 4,19E-9</v>
      </c>
      <c r="E943" s="36"/>
      <c r="F943" s="35" t="str">
        <f ca="1">IFERROR(IF(AND(INDEX(Tab_DaBa[],MATCH(CONCATENATE(Liste!$C$3,$B$851,$B$937),Data!$BO:$BO,0)-2,18)&lt;&gt;"",INDEX(Tab_DaBa[],MATCH(CONCATENATE(Liste!$C$3,$B$851,$B$937),Data!$BO:$BO,0)-2,23)=""),"PFH [1/h] = "&amp;10^9*INDEX(Tab_DaBa[],MATCH(CONCATENATE(Liste!$C$3,$B$851,$B$937),Data!$BO:$BO,0)-2,16)&amp;"E-9",IF(INDEX(Tab_DaBa[],MATCH(CONCATENATE(Liste!$C$3,$B$851,$B$937),Data!$BO:$BO,0)-2,23)&lt;&gt;"","PFH [1/h] = "&amp;10^9*INDEX(Tab_DaBa[],MATCH(CONCATENATE(Liste!$C$3,$B$851,$B$937),Data!$BO:$BO,0)-2,26)&amp;"E-9","")),"")</f>
        <v>PFH [1/h] = 4,19E-9</v>
      </c>
      <c r="G943" s="39"/>
      <c r="H943" s="35" t="str">
        <f ca="1">IFERROR(IF(AND(INDEX(Tab_DaBa[],MATCH(CONCATENATE(Liste!$C$3,$B$851,$B$937),Data!$BO:$BO,0)-2,23)&lt;&gt;"",INDEX(Tab_DaBa[],MATCH(CONCATENATE(Liste!$C$3,$B$851,$B$937),Data!$BO:$BO,0)-2,28)=""),"PFH [1/h] = "&amp;10^9*INDEX(Tab_DaBa[],MATCH(CONCATENATE(Liste!$C$3,$B$851,$B$937),Data!$BO:$BO,0)-2,16)&amp;"E-9",IF(INDEX(Tab_DaBa[],MATCH(CONCATENATE(Liste!$C$3,$B$851,$B$937),Data!$BO:$BO,0)-2,23)&lt;&gt;"","PFH [1/h] = "&amp;10^9*INDEX(Tab_DaBa[],MATCH(CONCATENATE(Liste!$C$3,$B$851,$B$937),Data!$BO:$BO,0)-2,31)&amp;"E-9","")),"")</f>
        <v>PFH [1/h] = 4,19E-9</v>
      </c>
      <c r="I943" s="39"/>
    </row>
    <row r="944" spans="2:9" s="16" customFormat="1">
      <c r="B944" s="33"/>
      <c r="C944" s="34"/>
      <c r="D944" s="33"/>
      <c r="E944" s="33"/>
      <c r="F944" s="33"/>
      <c r="G944" s="33"/>
      <c r="H944" s="33"/>
      <c r="I944" s="33"/>
    </row>
    <row r="945" spans="2:9" s="16" customFormat="1" ht="15.75">
      <c r="B945" s="38">
        <f ca="1">IF(B947="","",6)</f>
        <v>6</v>
      </c>
      <c r="C945" s="34"/>
      <c r="D945" s="38">
        <f ca="1">IF(B947="","",3)</f>
        <v>3</v>
      </c>
      <c r="E945" s="33"/>
      <c r="F945" s="38">
        <f ca="1">IF(B947="","",3)</f>
        <v>3</v>
      </c>
      <c r="G945" s="33"/>
      <c r="H945" s="38">
        <f ca="1">IF(B947="","",3)</f>
        <v>3</v>
      </c>
      <c r="I945" s="33"/>
    </row>
    <row r="946" spans="2:9" s="16" customFormat="1" ht="15.75">
      <c r="B946" s="39"/>
      <c r="C946" s="33"/>
      <c r="D946" s="33"/>
      <c r="E946" s="33"/>
      <c r="F946" s="33"/>
      <c r="G946" s="33"/>
      <c r="H946" s="33"/>
      <c r="I946" s="33"/>
    </row>
    <row r="947" spans="2:9" s="16" customFormat="1" ht="15.75">
      <c r="B947" s="35" t="str">
        <f ca="1">IFERROR(IF(AND(INDEX(Tab_DaBa[],MATCH(CONCATENATE(Liste!$C$3,$B$851,$B$937),Data!$BO:$BO,0)-2,28)&lt;&gt;"",INDEX(Tab_DaBa[],MATCH(CONCATENATE(Liste!$C$3,$B$851,$B$937),Data!$BO:$BO,0)-2,33)=0),INDEX(Tab_DaBa[],MATCH(CONCATENATE(Liste!$C$3,$B$851,$B$937),Data!$BO:$BO,0)-2,14),IF(INDEX(Tab_DaBa[],MATCH(CONCATENATE(Liste!$C$3,$B$851,$B$937),Data!$BO:$BO,0)-2,28)&lt;&gt;"",INDEX(Tab_DaBa[],MATCH(CONCATENATE(Liste!$C$3,$B$851,$B$937),Data!$BO:$BO,0)-2,34),"")),"")</f>
        <v>Logik 04</v>
      </c>
      <c r="C947" s="39"/>
      <c r="D947" s="35" t="str">
        <f ca="1">IFERROR(IF(AND(INDEX(Tab_DaBa[],MATCH(CONCATENATE(Liste!$C$3,$B$851,$B$937),Data!$BO:$BO,0)-2,33)&lt;&gt;"",INDEX(Tab_DaBa[],MATCH(CONCATENATE(Liste!$C$3,$B$851,$B$937),Data!$BO:$BO,0)-2,38)=0),INDEX(Tab_DaBa[],MATCH(CONCATENATE(Liste!$C$3,$B$851,$B$937),Data!$BO:$BO,0)-2,14),IF(INDEX(Tab_DaBa[],MATCH(CONCATENATE(Liste!$C$3,$B$851,$B$937),Data!$BO:$BO,0)-2,33)&lt;&gt;"",INDEX(Tab_DaBa[],MATCH(CONCATENATE(Liste!$C$3,$B$851,$B$937),Data!$BO:$BO,0)-2,39),"")),"")</f>
        <v>Ausgang</v>
      </c>
      <c r="E947" s="33"/>
      <c r="F947" s="35" t="str">
        <f ca="1">IFERROR(IF(AND(INDEX(Tab_DaBa[],MATCH(CONCATENATE(Liste!$C$3,$B$851,$B$937),Data!$BO:$BO,0)-2,38)&lt;&gt;"",INDEX(Tab_DaBa[],MATCH(CONCATENATE(Liste!$C$3,$B$851,$B$937),Data!$BO:$BO,0)-2,43)=0),INDEX(Tab_DaBa[],MATCH(CONCATENATE(Liste!$C$3,$B$851,$B$937),Data!$BO:$BO,0)-2,14),IF(INDEX(Tab_DaBa[],MATCH(CONCATENATE(Liste!$C$3,$B$851,$B$937),Data!$BO:$BO,0)-2,38)&lt;&gt;"",INDEX(Tab_DaBa[],MATCH(CONCATENATE(Liste!$C$3,$B$851,$B$937),Data!$BO:$BO,0)-2,44),"")),"")</f>
        <v/>
      </c>
      <c r="G947" s="39"/>
      <c r="H947" s="35" t="str">
        <f ca="1">IFERROR(IF(AND(INDEX(Tab_DaBa[],MATCH(CONCATENATE(Liste!$C$3,$B$851,$B$937),Data!$BO:$BO,0)-2,43)&lt;&gt;"",INDEX(Tab_DaBa[],MATCH(CONCATENATE(Liste!$C$3,$B$851,$B$937),Data!$BO:$BO,0)-2,48)=0),INDEX(Tab_DaBa[],MATCH(CONCATENATE(Liste!$C$3,$B$851,$B$937),Data!$BO:$BO,0)-2,14),IF(INDEX(Tab_DaBa[],MATCH(CONCATENATE(Liste!$C$3,$B$851,$B$937),Data!$BO:$BO,0)-2,43)&lt;&gt;"",INDEX(Tab_DaBa[],MATCH(CONCATENATE(Liste!$C$3,$B$851,$B$937),Data!$BO:$BO,0)-2,49),"")),"")</f>
        <v/>
      </c>
      <c r="I947" s="39"/>
    </row>
    <row r="948" spans="2:9" s="16" customFormat="1" ht="15.75">
      <c r="B948" s="35" t="str">
        <f ca="1">IFERROR(IF(AND(INDEX(Tab_DaBa[],MATCH(CONCATENATE(Liste!$C$3,$B$851,$B$937),Data!$BO:$BO,0)-2,28)&lt;&gt;"",INDEX(Tab_DaBa[],MATCH(CONCATENATE(Liste!$C$3,$B$851,$B$937),Data!$BO:$BO,0)-2,33)=0),INDEX(Tab_DaBa[],MATCH(CONCATENATE(Liste!$C$3,$B$851,$B$937),Data!$BO:$BO,0)-2,12),IF(INDEX(Tab_DaBa[],MATCH(CONCATENATE(Liste!$C$3,$B$851,$B$937),Data!$BO:$BO,0)-2,28)&lt;&gt;"",INDEX(Tab_DaBa[],MATCH(CONCATENATE(Liste!$C$3,$B$851,$B$937),Data!$BO:$BO,0)-2,32),"")),"")</f>
        <v>Lo04-44_04</v>
      </c>
      <c r="C948" s="39"/>
      <c r="D948" s="35" t="str">
        <f ca="1">IFERROR(IF(AND(INDEX(Tab_DaBa[],MATCH(CONCATENATE(Liste!$C$3,$B$851,$B$937),Data!$BO:$BO,0)-2,33)&lt;&gt;"",INDEX(Tab_DaBa[],MATCH(CONCATENATE(Liste!$C$3,$B$851,$B$937),Data!$BO:$BO,0)-2,38)=0),INDEX(Tab_DaBa[],MATCH(CONCATENATE(Liste!$C$3,$B$851,$B$937),Data!$BO:$BO,0)-2,12),IF(INDEX(Tab_DaBa[],MATCH(CONCATENATE(Liste!$C$3,$B$851,$B$937),Data!$BO:$BO,0)-2,33)&lt;&gt;"",INDEX(Tab_DaBa[],MATCH(CONCATENATE(Liste!$C$3,$B$851,$B$937),Data!$BO:$BO,0)-2,37),"")),"")</f>
        <v>aaaa-44_4</v>
      </c>
      <c r="E948" s="37"/>
      <c r="F948" s="35" t="str">
        <f ca="1">IFERROR(IF(AND(INDEX(Tab_DaBa[],MATCH(CONCATENATE(Liste!$C$3,$B$851,$B$937),Data!$BO:$BO,0)-2,38)&lt;&gt;"",INDEX(Tab_DaBa[],MATCH(CONCATENATE(Liste!$C$3,$B$851,$B$937),Data!$BO:$BO,0)-2,43)=0),INDEX(Tab_DaBa[],MATCH(CONCATENATE(Liste!$C$3,$B$851,$B$937),Data!$BO:$BO,0)-2,12),IF(INDEX(Tab_DaBa[],MATCH(CONCATENATE(Liste!$C$3,$B$851,$B$937),Data!$BO:$BO,0)-2,38)&lt;&gt;"",INDEX(Tab_DaBa[],MATCH(CONCATENATE(Liste!$C$3,$B$851,$B$937),Data!$BO:$BO,0)-2,42),"")),"")</f>
        <v/>
      </c>
      <c r="G948" s="39"/>
      <c r="H948" s="35" t="str">
        <f ca="1">IFERROR(IF(AND(INDEX(Tab_DaBa[],MATCH(CONCATENATE(Liste!$C$3,$B$851,$B$937),Data!$BO:$BO,0)-2,43)&lt;&gt;"",INDEX(Tab_DaBa[],MATCH(CONCATENATE(Liste!$C$3,$B$851,$B$937),Data!$BO:$BO,0)-2,48)=0),INDEX(Tab_DaBa[],MATCH(CONCATENATE(Liste!$C$3,$B$851,$B$937),Data!$BO:$BO,0)-2,12),IF(INDEX(Tab_DaBa[],MATCH(CONCATENATE(Liste!$C$3,$B$851,$B$937),Data!$BO:$BO,0)-2,43)&lt;&gt;"",INDEX(Tab_DaBa[],MATCH(CONCATENATE(Liste!$C$3,$B$851,$B$937),Data!$BO:$BO,0)-2,47),"")),"")</f>
        <v/>
      </c>
      <c r="I948" s="39"/>
    </row>
    <row r="949" spans="2:9" s="16" customFormat="1" ht="15.75">
      <c r="B949" s="35" t="str">
        <f ca="1">IFERROR(IF(AND(INDEX(Tab_DaBa[],MATCH(CONCATENATE(Liste!$C$3,$B$851,$B$937),Data!$BO:$BO,0)-2,28)&lt;&gt;"",INDEX(Tab_DaBa[],MATCH(CONCATENATE(Liste!$C$3,$B$851,$B$937),Data!$BO:$BO,0)-2,33)=""),INDEX(Tab_DaBa[],MATCH(CONCATENATE(Liste!$C$3,$B$851,$B$937),Data!$BO:$BO,0)-2,13),IF(INDEX(Tab_DaBa[],MATCH(CONCATENATE(Liste!$C$3,$B$851,$B$937),Data!$BO:$BO,0)-2,28)&lt;&gt;"",INDEX(Tab_DaBa[],MATCH(CONCATENATE(Liste!$C$3,$B$851,$B$937),Data!$BO:$BO,0)-2,33),"")),"")</f>
        <v>Bez_Lo04_04</v>
      </c>
      <c r="C949" s="38">
        <f ca="1">IF(D947="","",4)</f>
        <v>4</v>
      </c>
      <c r="D949" s="35" t="str">
        <f ca="1">IFERROR(IF(AND(INDEX(Tab_DaBa[],MATCH(CONCATENATE(Liste!$C$3,$B$851,$B$937),Data!$BO:$BO,0)-2,33)&lt;&gt;"",INDEX(Tab_DaBa[],MATCH(CONCATENATE(Liste!$C$3,$B$851,$B$937),Data!$BO:$BO,0)-2,38)=""),INDEX(Tab_DaBa[],MATCH(CONCATENATE(Liste!$C$3,$B$851,$B$937),Data!$BO:$BO,0)-2,13),IF(INDEX(Tab_DaBa[],MATCH(CONCATENATE(Liste!$C$3,$B$851,$B$937),Data!$BO:$BO,0)-2,33)&lt;&gt;"",INDEX(Tab_DaBa[],MATCH(CONCATENATE(Liste!$C$3,$B$851,$B$937),Data!$BO:$BO,0)-2,38),"")),"")</f>
        <v>Bez_Aus4_4</v>
      </c>
      <c r="E949" s="38" t="str">
        <f ca="1">IF(F947="","",4)</f>
        <v/>
      </c>
      <c r="F949" s="35" t="str">
        <f ca="1">IFERROR(IF(AND(INDEX(Tab_DaBa[],MATCH(CONCATENATE(Liste!$C$3,$B$851,$B$937),Data!$BO:$BO,0)-2,38)&lt;&gt;"",INDEX(Tab_DaBa[],MATCH(CONCATENATE(Liste!$C$3,$B$851,$B$937),Data!$BO:$BO,0)-2,43)=""),INDEX(Tab_DaBa[],MATCH(CONCATENATE(Liste!$C$3,$B$851,$B$937),Data!$BO:$BO,0)-2,13),IF(INDEX(Tab_DaBa[],MATCH(CONCATENATE(Liste!$C$3,$B$851,$B$937),Data!$BO:$BO,0)-2,38)&lt;&gt;"",INDEX(Tab_DaBa[],MATCH(CONCATENATE(Liste!$C$3,$B$851,$B$937),Data!$BO:$BO,0)-2,43),"")),"")</f>
        <v/>
      </c>
      <c r="G949" s="38" t="str">
        <f ca="1">IF(H947="","",4)</f>
        <v/>
      </c>
      <c r="H949" s="35" t="str">
        <f ca="1">IFERROR(IF(AND(INDEX(Tab_DaBa[],MATCH(CONCATENATE(Liste!$C$3,$B$851,$B$937),Data!$BO:$BO,0)-2,43)&lt;&gt;"",INDEX(Tab_DaBa[],MATCH(CONCATENATE(Liste!$C$3,$B$851,$B$937),Data!$BO:$BO,0)-2,48)=""),INDEX(Tab_DaBa[],MATCH(CONCATENATE(Liste!$C$3,$B$851,$B$937),Data!$BO:$BO,0)-2,13),IF(INDEX(Tab_DaBa[],MATCH(CONCATENATE(Liste!$C$3,$B$851,$B$937),Data!$BO:$BO,0)-2,43)&lt;&gt;"",INDEX(Tab_DaBa[],MATCH(CONCATENATE(Liste!$C$3,$B$851,$B$937),Data!$BO:$BO,0)-2,48),"")),"")</f>
        <v/>
      </c>
      <c r="I949" s="38" t="str">
        <f ca="1">IF(B955="","",6)</f>
        <v/>
      </c>
    </row>
    <row r="950" spans="2:9" s="16" customFormat="1" ht="15.75">
      <c r="B950" s="35" t="str">
        <f ca="1">IFERROR(IF(AND(INDEX(Tab_DaBa[],MATCH(CONCATENATE(Liste!$C$3,$B$851,$B$937),Data!$BO:$BO,0)-2,28)&lt;&gt;"",INDEX(Tab_DaBa[],MATCH(CONCATENATE(Liste!$C$3,$B$851,$B$937),Data!$BO:$BO,0)-2,33)=""),"Performance Level: "&amp;INDEX(Tab_DaBa[],MATCH(CONCATENATE(Liste!$C$3,$B$851,$B$937),Data!$BO:$BO,0)-2,15),IF(INDEX(Tab_DaBa[],MATCH(CONCATENATE(Liste!$C$3,$B$851,$B$937),Data!$BO:$BO,0)-2,28)&lt;&gt;"","Performance Level: "&amp;INDEX(Tab_DaBa[],MATCH(CONCATENATE(Liste!$C$3,$B$851,$B$937),Data!$BO:$BO,0)-2,35),"")),"")</f>
        <v>Performance Level: PL_Lo04_04</v>
      </c>
      <c r="C950" s="39"/>
      <c r="D950" s="35" t="str">
        <f ca="1">IFERROR(IF(AND(INDEX(Tab_DaBa[],MATCH(CONCATENATE(Liste!$C$3,$B$851,$B$937),Data!$BO:$BO,0)-2,33)&lt;&gt;"",INDEX(Tab_DaBa[],MATCH(CONCATENATE(Liste!$C$3,$B$851,$B$937),Data!$BO:$BO,0)-2,38)=""),"Performance Level: "&amp;INDEX(Tab_DaBa[],MATCH(CONCATENATE(Liste!$C$3,$B$851,$B$937),Data!$BO:$BO,0)-2,15),IF(INDEX(Tab_DaBa[],MATCH(CONCATENATE(Liste!$C$3,$B$851,$B$937),Data!$BO:$BO,0)-2,33)&lt;&gt;"","Performance Level: "&amp;INDEX(Tab_DaBa[],MATCH(CONCATENATE(Liste!$C$3,$B$851,$B$937),Data!$BO:$BO,0)-2,40),"")),"")</f>
        <v>Performance Level: PL_Aus4_4</v>
      </c>
      <c r="E950" s="37"/>
      <c r="F950" s="35" t="str">
        <f ca="1">IFERROR(IF(AND(INDEX(Tab_DaBa[],MATCH(CONCATENATE(Liste!$C$3,$B$851,$B$937),Data!$BO:$BO,0)-2,38)&lt;&gt;"",INDEX(Tab_DaBa[],MATCH(CONCATENATE(Liste!$C$3,$B$851,$B$937),Data!$BO:$BO,0)-2,43)=""),"Performance Level: "&amp;INDEX(Tab_DaBa[],MATCH(CONCATENATE(Liste!$C$3,$B$851,$B$937),Data!$BO:$BO,0)-2,15),IF(INDEX(Tab_DaBa[],MATCH(CONCATENATE(Liste!$C$3,$B$851,$B$937),Data!$BO:$BO,0)-2,38)&lt;&gt;"","Performance Level: "&amp;INDEX(Tab_DaBa[],MATCH(CONCATENATE(Liste!$C$3,$B$851,$B$937),Data!$BO:$BO,0)-2,45),"")),"")</f>
        <v/>
      </c>
      <c r="G950" s="39"/>
      <c r="H950" s="35" t="str">
        <f ca="1">IFERROR(IF(AND(INDEX(Tab_DaBa[],MATCH(CONCATENATE(Liste!$C$3,$B$851,$B$937),Data!$BO:$BO,0)-2,43)&lt;&gt;"",INDEX(Tab_DaBa[],MATCH(CONCATENATE(Liste!$C$3,$B$851,$B$937),Data!$BO:$BO,0)-2,48)=""),"Performance Level: "&amp;INDEX(Tab_DaBa[],MATCH(CONCATENATE(Liste!$C$3,$B$851,$B$937),Data!$BO:$BO,0)-2,15),IF(INDEX(Tab_DaBa[],MATCH(CONCATENATE(Liste!$C$3,$B$851,$B$937),Data!$BO:$BO,0)-2,43)&lt;&gt;"","Performance Level: "&amp;INDEX(Tab_DaBa[],MATCH(CONCATENATE(Liste!$C$3,$B$851,$B$937),Data!$BO:$BO,0)-2,50),"")),"")</f>
        <v/>
      </c>
      <c r="I950" s="39"/>
    </row>
    <row r="951" spans="2:9" s="16" customFormat="1" ht="15.75">
      <c r="B951" s="35" t="str">
        <f ca="1">IFERROR(IF(AND(INDEX(Tab_DaBa[],MATCH(CONCATENATE(Liste!$C$3,$B$851,$B$937),Data!$BO:$BO,0)-2,28)&lt;&gt;"",INDEX(Tab_DaBa[],MATCH(CONCATENATE(Liste!$C$3,$B$851,$B$937),Data!$BO:$BO,0)-2,33)=""),"PFH [1/h] = "&amp;10^9*INDEX(Tab_DaBa[],MATCH(CONCATENATE(Liste!$C$3,$B$851,$B$937),Data!$BO:$BO,0)-2,16)&amp;"E-9",IF(INDEX(Tab_DaBa[],MATCH(CONCATENATE(Liste!$C$3,$B$851,$B$937),Data!$BO:$BO,0)-2,28)&lt;&gt;"","PFH [1/h] = "&amp;10^9*INDEX(Tab_DaBa[],MATCH(CONCATENATE(Liste!$C$3,$B$851,$B$937),Data!$BO:$BO,0)-2,36)&amp;"E-9","")),"")</f>
        <v>PFH [1/h] = 4,19E-9</v>
      </c>
      <c r="C951" s="39"/>
      <c r="D951" s="35" t="str">
        <f ca="1">IFERROR(IF(AND(INDEX(Tab_DaBa[],MATCH(CONCATENATE(Liste!$C$3,$B$851,$B$937),Data!$BO:$BO,0)-2,33)&lt;&gt;"",INDEX(Tab_DaBa[],MATCH(CONCATENATE(Liste!$C$3,$B$851,$B$937),Data!$BO:$BO,0)-2,38)=""),"PFH [1/h] = "&amp;10^9*INDEX(Tab_DaBa[],MATCH(CONCATENATE(Liste!$C$3,$B$851,$B$937),Data!$BO:$BO,0)-2,16)&amp;"E-9",IF(INDEX(Tab_DaBa[],MATCH(CONCATENATE(Liste!$C$3,$B$851,$B$937),Data!$BO:$BO,0)-2,33)&lt;&gt;"","PFH [1/h] = "&amp;10^9*INDEX(Tab_DaBa[],MATCH(CONCATENATE(Liste!$C$3,$B$851,$B$937),Data!$BO:$BO,0)-2,41)&amp;"E-9","")),"")</f>
        <v>PFH [1/h] = 24,7E-9</v>
      </c>
      <c r="E951" s="37"/>
      <c r="F951" s="35" t="str">
        <f ca="1">IFERROR(IF(AND(INDEX(Tab_DaBa[],MATCH(CONCATENATE(Liste!$C$3,$B$851,$B$937),Data!$BO:$BO,0)-2,38)&lt;&gt;"",INDEX(Tab_DaBa[],MATCH(CONCATENATE(Liste!$C$3,$B$851,$B$937),Data!$BO:$BO,0)-2,43)=""),"PFH [1/h] = "&amp;10^9*INDEX(Tab_DaBa[],MATCH(CONCATENATE(Liste!$C$3,$B$851,$B$937),Data!$BO:$BO,0)-2,16)&amp;"E-9",IF(INDEX(Tab_DaBa[],MATCH(CONCATENATE(Liste!$C$3,$B$851,$B$937),Data!$BO:$BO,0)-2,38)&lt;&gt;"","PFH [1/h] = "&amp;10^9*INDEX(Tab_DaBa[],MATCH(CONCATENATE(Liste!$C$3,$B$851,$B$937),Data!$BO:$BO,0)-2,46)&amp;"E-9","")),"")</f>
        <v/>
      </c>
      <c r="G951" s="39"/>
      <c r="H951" s="35" t="str">
        <f ca="1">IFERROR(IF(AND(INDEX(Tab_DaBa[],MATCH(CONCATENATE(Liste!$C$3,$B$851,$B$937),Data!$BO:$BO,0)-2,43)&lt;&gt;"",INDEX(Tab_DaBa[],MATCH(CONCATENATE(Liste!$C$3,$B$851,$B$937),Data!$BO:$BO,0)-2,48)=""),"PFH [1/h] = "&amp;10^9*INDEX(Tab_DaBa[],MATCH(CONCATENATE(Liste!$C$3,$B$851,$B$937),Data!$BO:$BO,0)-2,16)&amp;"E-9",IF(INDEX(Tab_DaBa[],MATCH(CONCATENATE(Liste!$C$3,$B$851,$B$937),Data!$BO:$BO,0)-2,43)&lt;&gt;"","PFH [1/h] = "&amp;10^9*INDEX(Tab_DaBa[],MATCH(CONCATENATE(Liste!$C$3,$B$851,$B$937),Data!$BO:$BO,0)-2,51)&amp;"E-9","")),"")</f>
        <v/>
      </c>
      <c r="I951" s="39"/>
    </row>
    <row r="952" spans="2:9" s="16" customFormat="1">
      <c r="B952" s="33"/>
      <c r="C952" s="33"/>
      <c r="D952" s="33"/>
      <c r="E952" s="33"/>
      <c r="F952" s="33"/>
      <c r="G952" s="33"/>
      <c r="H952" s="33"/>
      <c r="I952" s="33"/>
    </row>
    <row r="953" spans="2:9" s="16" customFormat="1" ht="15.75">
      <c r="B953" s="38" t="str">
        <f ca="1">IF(B955="","",6)</f>
        <v/>
      </c>
      <c r="C953" s="33"/>
      <c r="D953" s="38" t="str">
        <f ca="1">IF(B955="","",3)</f>
        <v/>
      </c>
      <c r="E953" s="33"/>
      <c r="F953" s="38" t="str">
        <f ca="1">IF(B955="","",3)</f>
        <v/>
      </c>
      <c r="G953" s="33"/>
      <c r="H953" s="38" t="str">
        <f ca="1">IF(B955="","",3)</f>
        <v/>
      </c>
      <c r="I953" s="33"/>
    </row>
    <row r="954" spans="2:9" s="16" customFormat="1" ht="15.75">
      <c r="B954" s="39"/>
      <c r="C954" s="33"/>
      <c r="D954" s="33"/>
      <c r="E954" s="33"/>
      <c r="F954" s="33"/>
      <c r="G954" s="33"/>
      <c r="H954" s="33"/>
      <c r="I954" s="33"/>
    </row>
    <row r="955" spans="2:9" s="16" customFormat="1" ht="15.75">
      <c r="B955" s="35" t="str">
        <f ca="1">IFERROR(IF(AND(INDEX(Tab_DaBa[],MATCH(CONCATENATE(Liste!$C$3,$B$851,$B$937),Data!$BO:$BO,0)-2,48)&lt;&gt;"",INDEX(Tab_DaBa[],MATCH(CONCATENATE(Liste!$C$3,$B$851,$B$937),Data!$BO:$BO,0)-2,53)=0),INDEX(Tab_DaBa[],MATCH(CONCATENATE(Liste!$C$3,$B$851,$B$937),Data!$BO:$BO,0)-2,14),IF(INDEX(Tab_DaBa[],MATCH(CONCATENATE(Liste!$C$3,$B$851,$B$937),Data!$BO:$BO,0)-2,48)&lt;&gt;"",INDEX(Tab_DaBa[],MATCH(CONCATENATE(Liste!$C$3,$B$851,$B$937),Data!$BO:$BO,0)-2,54),"")),"")</f>
        <v/>
      </c>
      <c r="C955" s="39"/>
      <c r="D955" s="35" t="str">
        <f ca="1">IFERROR(IF(AND(INDEX(Tab_DaBa[],MATCH(CONCATENATE(Liste!$C$3,$B$851,$B$937),Data!$BO:$BO,0)-2,53)&lt;&gt;"",INDEX(Tab_DaBa[],MATCH(CONCATENATE(Liste!$C$3,$B$851,$B$937),Data!$BO:$BO,0)-2,58)=0),INDEX(Tab_DaBa[],MATCH(CONCATENATE(Liste!$C$3,$B$851,$B$937),Data!$BO:$BO,0)-2,14),IF(INDEX(Tab_DaBa[],MATCH(CONCATENATE(Liste!$C$3,$B$851,$B$937),Data!$BO:$BO,0)-2,53)&lt;&gt;"",INDEX(Tab_DaBa[],MATCH(CONCATENATE(Liste!$C$3,$B$851,$B$937),Data!$BO:$BO,0)-2,59),"")),"")</f>
        <v/>
      </c>
      <c r="E955" s="33"/>
      <c r="F955" s="35" t="str">
        <f ca="1">IFERROR(IF(AND(INDEX(Tab_DaBa[],MATCH(CONCATENATE(Liste!$C$3,$B$851,$B$937),Data!$BO:$BO,0)-2,58)&lt;&gt;"",INDEX(Tab_DaBa[],MATCH(CONCATENATE(Liste!$C$3,$B$851,$B$937),Data!$BO:$BO,0)-2,63)=0),INDEX(Tab_DaBa[],MATCH(CONCATENATE(Liste!$C$3,$B$851,$B$937),Data!$BO:$BO,0)-2,14),IF(INDEX(Tab_DaBa[],MATCH(CONCATENATE(Liste!$C$3,$B$851,$B$937),Data!$BO:$BO,0)-2,58)&lt;&gt;"",INDEX(Tab_DaBa[],MATCH(CONCATENATE(Liste!$C$3,$B$851,$B$937),Data!$BO:$BO,0)-2,64),"")),"")</f>
        <v/>
      </c>
      <c r="G955" s="39"/>
      <c r="H955" s="35" t="str">
        <f ca="1">IFERROR(IF(INDEX(Tab_DaBa[],MATCH(CONCATENATE(Liste!$C$3,$B$851,$B$937),Data!$BO:$BO,0)-2,63)&lt;&gt;"",INDEX(Tab_DaBa[],MATCH(CONCATENATE(Liste!$C$3,$B$851,$B$937),Data!$BO:$BO,0)-2,14),""),"")</f>
        <v/>
      </c>
    </row>
    <row r="956" spans="2:9" s="16" customFormat="1" ht="15.75">
      <c r="B956" s="35" t="str">
        <f ca="1">IFERROR(IF(AND(INDEX(Tab_DaBa[],MATCH(CONCATENATE(Liste!$C$3,$B$851,$B$937),Data!$BO:$BO,0)-2,48)&lt;&gt;"",INDEX(Tab_DaBa[],MATCH(CONCATENATE(Liste!$C$3,$B$851,$B$937),Data!$BO:$BO,0)-2,53)=0),INDEX(Tab_DaBa[],MATCH(CONCATENATE(Liste!$C$3,$B$851,$B$937),Data!$BO:$BO,0)-2,12),IF(INDEX(Tab_DaBa[],MATCH(CONCATENATE(Liste!$C$3,$B$851,$B$937),Data!$BO:$BO,0)-2,48)&lt;&gt;"",INDEX(Tab_DaBa[],MATCH(CONCATENATE(Liste!$C$3,$B$851,$B$937),Data!$BO:$BO,0)-2,52),"")),"")</f>
        <v/>
      </c>
      <c r="C956" s="39"/>
      <c r="D956" s="35" t="str">
        <f ca="1">IFERROR(IF(AND(INDEX(Tab_DaBa[],MATCH(CONCATENATE(Liste!$C$3,$B$851,$B$937),Data!$BO:$BO,0)-2,53)&lt;&gt;"",INDEX(Tab_DaBa[],MATCH(CONCATENATE(Liste!$C$3,$B$851,$B$937),Data!$BO:$BO,0)-2,58)=0),INDEX(Tab_DaBa[],MATCH(CONCATENATE(Liste!$C$3,$B$851,$B$937),Data!$BO:$BO,0)-2,12),IF(INDEX(Tab_DaBa[],MATCH(CONCATENATE(Liste!$C$3,$B$851,$B$937),Data!$BO:$BO,0)-2,53)&lt;&gt;"",INDEX(Tab_DaBa[],MATCH(CONCATENATE(Liste!$C$3,$B$851,$B$937),Data!$BO:$BO,0)-2,57),"")),"")</f>
        <v/>
      </c>
      <c r="E956" s="37"/>
      <c r="F956" s="35" t="str">
        <f ca="1">IFERROR(IF(AND(INDEX(Tab_DaBa[],MATCH(CONCATENATE(Liste!$C$3,$B$851,$B$937),Data!$BO:$BO,0)-2,58)&lt;&gt;"",INDEX(Tab_DaBa[],MATCH(CONCATENATE(Liste!$C$3,$B$851,$B$937),Data!$BO:$BO,0)-2,63)=0),INDEX(Tab_DaBa[],MATCH(CONCATENATE(Liste!$C$3,$B$851,$B$937),Data!$BO:$BO,0)-2,12),IF(INDEX(Tab_DaBa[],MATCH(CONCATENATE(Liste!$C$3,$B$851,$B$937),Data!$BO:$BO,0)-2,58)&lt;&gt;"",INDEX(Tab_DaBa[],MATCH(CONCATENATE(Liste!$C$3,$B$851,$B$937),Data!$BO:$BO,0)-2,62),"")),"")</f>
        <v/>
      </c>
      <c r="G956" s="39"/>
      <c r="H956" s="35" t="str">
        <f ca="1">IFERROR(IF(INDEX(Tab_DaBa[],MATCH(CONCATENATE(Liste!$C$3,$B$851,$B$937),Data!$BO:$BO,0)-2,63)&lt;&gt;"",INDEX(Tab_DaBa[],MATCH(CONCATENATE(Liste!$C$3,$B$851,$B$937),Data!$BO:$BO,0)-2,12),""),"")</f>
        <v/>
      </c>
    </row>
    <row r="957" spans="2:9" s="16" customFormat="1" ht="15.75">
      <c r="B957" s="35" t="str">
        <f ca="1">IFERROR(IF(AND(INDEX(Tab_DaBa[],MATCH(CONCATENATE(Liste!$C$3,$B$851,$B$937),Data!$BO:$BO,0)-2,48)&lt;&gt;"",INDEX(Tab_DaBa[],MATCH(CONCATENATE(Liste!$C$3,$B$851,$B$937),Data!$BO:$BO,0)-2,53)=""),INDEX(Tab_DaBa[],MATCH(CONCATENATE(Liste!$C$3,$B$851,$B$937),Data!$BO:$BO,0)-2,13),IF(INDEX(Tab_DaBa[],MATCH(CONCATENATE(Liste!$C$3,$B$851,$B$937),Data!$BO:$BO,0)-2,48)&lt;&gt;"",INDEX(Tab_DaBa[],MATCH(CONCATENATE(Liste!$C$3,$B$851,$B$937),Data!$BO:$BO,0)-2,53),"")),"")</f>
        <v/>
      </c>
      <c r="C957" s="38" t="str">
        <f ca="1">IF(D955="","",4)</f>
        <v/>
      </c>
      <c r="D957" s="35" t="str">
        <f ca="1">IFERROR(IF(AND(INDEX(Tab_DaBa[],MATCH(CONCATENATE(Liste!$C$3,$B$851,$B$937),Data!$BO:$BO,0)-2,53)&lt;&gt;"",INDEX(Tab_DaBa[],MATCH(CONCATENATE(Liste!$C$3,$B$851,$B$937),Data!$BO:$BO,0)-2,58)=""),INDEX(Tab_DaBa[],MATCH(CONCATENATE(Liste!$C$3,$B$851,$B$937),Data!$BO:$BO,0)-2,13),IF(INDEX(Tab_DaBa[],MATCH(CONCATENATE(Liste!$C$3,$B$851,$B$937),Data!$BO:$BO,0)-2,53)&lt;&gt;"",INDEX(Tab_DaBa[],MATCH(CONCATENATE(Liste!$C$3,$B$851,$B$937),Data!$BO:$BO,0)-2,58),"")),"")</f>
        <v/>
      </c>
      <c r="E957" s="38" t="str">
        <f ca="1">IF(F955="","",4)</f>
        <v/>
      </c>
      <c r="F957" s="35" t="str">
        <f ca="1">IFERROR(IF(AND(INDEX(Tab_DaBa[],MATCH(CONCATENATE(Liste!$C$3,$B$851,$B$937),Data!$BO:$BO,0)-2,58)&lt;&gt;"",INDEX(Tab_DaBa[],MATCH(CONCATENATE(Liste!$C$3,$B$851,$B$937),Data!$BO:$BO,0)-2,63)=""),INDEX(Tab_DaBa[],MATCH(CONCATENATE(Liste!$C$3,$B$851,$B$937),Data!$BO:$BO,0)-2,13),IF(INDEX(Tab_DaBa[],MATCH(CONCATENATE(Liste!$C$3,$B$851,$B$937),Data!$BO:$BO,0)-2,58)&lt;&gt;"",INDEX(Tab_DaBa[],MATCH(CONCATENATE(Liste!$C$3,$B$851,$B$937),Data!$BO:$BO,0)-2,63),"")),"")</f>
        <v/>
      </c>
      <c r="G957" s="38" t="str">
        <f ca="1">IF(H955="","",4)</f>
        <v/>
      </c>
      <c r="H957" s="35" t="str">
        <f ca="1">IFERROR(IF(INDEX(Tab_DaBa[],MATCH(CONCATENATE(Liste!$C$3,$B$851,$B$937),Data!$BO:$BO,0)-2,63)&lt;&gt;"",INDEX(Tab_DaBa[],MATCH(CONCATENATE(Liste!$C$3,$B$851,$B$937),Data!$BO:$BO,0)-2,13),""),"")</f>
        <v/>
      </c>
    </row>
    <row r="958" spans="2:9" s="16" customFormat="1" ht="15.75">
      <c r="B958" s="35" t="str">
        <f ca="1">IFERROR(IF(AND(INDEX(Tab_DaBa[],MATCH(CONCATENATE(Liste!$C$3,$B$851,$B$937),Data!$BO:$BO,0)-2,48)&lt;&gt;"",INDEX(Tab_DaBa[],MATCH(CONCATENATE(Liste!$C$3,$B$851,$B$937),Data!$BO:$BO,0)-2,53)=""),"Performance Level: "&amp;INDEX(Tab_DaBa[],MATCH(CONCATENATE(Liste!$C$3,$B$851,$B$937),Data!$BO:$BO,0)-2,15),IF(INDEX(Tab_DaBa[],MATCH(CONCATENATE(Liste!$C$3,$B$851,$B$937),Data!$BO:$BO,0)-2,48)&lt;&gt;"","Performance Level: "&amp;INDEX(Tab_DaBa[],MATCH(CONCATENATE(Liste!$C$3,$B$851,$B$937),Data!$BO:$BO,0)-2,55),"")),"")</f>
        <v/>
      </c>
      <c r="C958" s="39"/>
      <c r="D958" s="35" t="str">
        <f ca="1">IFERROR(IF(AND(INDEX(Tab_DaBa[],MATCH(CONCATENATE(Liste!$C$3,$B$851,$B$937),Data!$BO:$BO,0)-2,53)&lt;&gt;"",INDEX(Tab_DaBa[],MATCH(CONCATENATE(Liste!$C$3,$B$851,$B$937),Data!$BO:$BO,0)-2,58)=""),"Performance Level: "&amp;INDEX(Tab_DaBa[],MATCH(CONCATENATE(Liste!$C$3,$B$851,$B$937),Data!$BO:$BO,0)-2,15),IF(INDEX(Tab_DaBa[],MATCH(CONCATENATE(Liste!$C$3,$B$851,$B$937),Data!$BO:$BO,0)-2,53)&lt;&gt;"","Performance Level: "&amp;INDEX(Tab_DaBa[],MATCH(CONCATENATE(Liste!$C$3,$B$851,$B$937),Data!$BO:$BO,0)-2,60),"")),"")</f>
        <v/>
      </c>
      <c r="E958" s="37"/>
      <c r="F958" s="35" t="str">
        <f ca="1">IFERROR(IF(AND(INDEX(Tab_DaBa[],MATCH(CONCATENATE(Liste!$C$3,$B$851,$B$937),Data!$BO:$BO,0)-2,58)&lt;&gt;"",INDEX(Tab_DaBa[],MATCH(CONCATENATE(Liste!$C$3,$B$851,$B$937),Data!$BO:$BO,0)-2,63)=""),"Performance Level: "&amp;INDEX(Tab_DaBa[],MATCH(CONCATENATE(Liste!$C$3,$B$851,$B$937),Data!$BO:$BO,0)-2,15),IF(INDEX(Tab_DaBa[],MATCH(CONCATENATE(Liste!$C$3,$B$851,$B$937),Data!$BO:$BO,0)-2,58)&lt;&gt;"","Performance Level: "&amp;INDEX(Tab_DaBa[],MATCH(CONCATENATE(Liste!$C$3,$B$851,$B$937),Data!$BO:$BO,0)-2,65),"")),"")</f>
        <v/>
      </c>
      <c r="G958" s="39"/>
      <c r="H958" s="35" t="str">
        <f ca="1">IFERROR(IF(INDEX(Tab_DaBa[],MATCH(CONCATENATE(Liste!$C$3,$B$851,$B$937),Data!$BO:$BO,0)-2,63)&lt;&gt;"","Performance Level: "&amp;INDEX(Tab_DaBa[],MATCH(CONCATENATE(Liste!$C$3,$B$851,$B$937),Data!$BO:$BO,0)-2,15),""),"")</f>
        <v/>
      </c>
    </row>
    <row r="959" spans="2:9" s="16" customFormat="1" ht="15.75">
      <c r="B959" s="35" t="str">
        <f ca="1">IFERROR(IF(AND(INDEX(Tab_DaBa[],MATCH(CONCATENATE(Liste!$C$3,$B$851,$B$937),Data!$BO:$BO,0)-2,48)&lt;&gt;"",INDEX(Tab_DaBa[],MATCH(CONCATENATE(Liste!$C$3,$B$851,$B$937),Data!$BO:$BO,0)-2,53)=""),"PFH [1/h] = "&amp;10^9*INDEX(Tab_DaBa[],MATCH(CONCATENATE(Liste!$C$3,$B$851,$B$937),Data!$BO:$BO,0)-2,16)&amp;"E-9",IF(INDEX(Tab_DaBa[],MATCH(CONCATENATE(Liste!$C$3,$B$851,$B$937),Data!$BO:$BO,0)-2,48)&lt;&gt;"","PFH [1/h] = "&amp;10^9*INDEX(Tab_DaBa[],MATCH(CONCATENATE(Liste!$C$3,$B$851,$B$937),Data!$BO:$BO,0)-2,56)&amp;"E-9","")),"")</f>
        <v/>
      </c>
      <c r="C959" s="39"/>
      <c r="D959" s="35" t="str">
        <f ca="1">IFERROR(IF(AND(INDEX(Tab_DaBa[],MATCH(CONCATENATE(Liste!$C$3,$B$851,$B$937),Data!$BO:$BO,0)-2,53)&lt;&gt;"",INDEX(Tab_DaBa[],MATCH(CONCATENATE(Liste!$C$3,$B$851,$B$937),Data!$BO:$BO,0)-2,58)=""),"PFH [1/h] = "&amp;10^9*INDEX(Tab_DaBa[],MATCH(CONCATENATE(Liste!$C$3,$B$851,$B$937),Data!$BO:$BO,0)-2,16)&amp;"E-9",IF(INDEX(Tab_DaBa[],MATCH(CONCATENATE(Liste!$C$3,$B$851,$B$937),Data!$BO:$BO,0)-2,53)&lt;&gt;"","PFH [1/h] = "&amp;10^9*INDEX(Tab_DaBa[],MATCH(CONCATENATE(Liste!$C$3,$B$851,$B$937),Data!$BO:$BO,0)-2,61)&amp;"E-9","")),"")</f>
        <v/>
      </c>
      <c r="E959" s="37"/>
      <c r="F959" s="35" t="str">
        <f ca="1">IFERROR(IF(AND(INDEX(Tab_DaBa[],MATCH(CONCATENATE(Liste!$C$3,$B$851,$B$937),Data!$BO:$BO,0)-2,58)&lt;&gt;"",INDEX(Tab_DaBa[],MATCH(CONCATENATE(Liste!$C$3,$B$851,$B$937),Data!$BO:$BO,0)-2,63)=""),"PFH [1/h] = "&amp;10^9*INDEX(Tab_DaBa[],MATCH(CONCATENATE(Liste!$C$3,$B$851,$B$937),Data!$BO:$BO,0)-2,16)&amp;"E-9",IF(INDEX(Tab_DaBa[],MATCH(CONCATENATE(Liste!$C$3,$B$851,$B$937),Data!$BO:$BO,0)-2,58)&lt;&gt;"","PFH [1/h] = "&amp;10^9*INDEX(Tab_DaBa[],MATCH(CONCATENATE(Liste!$C$3,$B$851,$B$937),Data!$BO:$BO,0)-2,66)&amp;"E-9","")),"")</f>
        <v/>
      </c>
      <c r="G959" s="39"/>
      <c r="H959" s="35" t="str">
        <f ca="1">IFERROR(IF(INDEX(Tab_DaBa[],MATCH(CONCATENATE(Liste!$C$3,$B$851,$B$937),Data!$BO:$BO,0)-2,63)&lt;&gt;"","PFH [1/h] = "&amp;10^9*INDEX(Tab_DaBa[],MATCH(CONCATENATE(Liste!$C$3,$B$851,$B$937),Data!$BO:$BO,0)-2,16)&amp;"E-9",""),"")</f>
        <v/>
      </c>
    </row>
    <row r="960" spans="2:9" s="16" customFormat="1"/>
    <row r="961" spans="2:9" s="16" customFormat="1">
      <c r="B961" s="43" t="str">
        <f ca="1">IF(D961="","","Erforderlich")</f>
        <v>Erforderlich</v>
      </c>
      <c r="D961" s="44" t="str">
        <f ca="1">IFERROR("Performance Level: "&amp;INDEX(Tab_DaBa[],MATCH(CONCATENATE(Liste!$C$3,$B$851,$B$937),Data!$BO:$BO,0)-2,4),"")</f>
        <v>Performance Level: PLr_ges4_4</v>
      </c>
    </row>
    <row r="962" spans="2:9" s="16" customFormat="1">
      <c r="B962" s="45"/>
    </row>
    <row r="963" spans="2:9" s="16" customFormat="1">
      <c r="B963" s="46" t="str">
        <f ca="1">IF(D963="","","Erreicht")</f>
        <v>Erreicht</v>
      </c>
      <c r="D963" s="47" t="str">
        <f ca="1">IFERROR("Performance Level: "&amp;INDEX(Tab_DaBa[],MATCH(CONCATENATE(Liste!$C$3,$B$851,$B$937),Data!$BO:$BO,0)-2,5)&amp;"          PFH [1/h] = "&amp;10^9*INDEX(Tab_DaBa[],MATCH(CONCATENATE(Liste!$C$3,$B$851,$B$937),Data!$BO:$BO,0)-2,6)&amp;"E-9","")</f>
        <v>Performance Level: Pl_ges4_4          PFH [1/h] = 71,7E-9</v>
      </c>
    </row>
    <row r="964" spans="2:9" s="16" customFormat="1"/>
    <row r="965" spans="2:9" s="16" customFormat="1">
      <c r="B965" s="42" t="str">
        <f ca="1">IFERROR(IF(5&gt;COUNTIF(Data!$BP:$BP,CONCATENATE(Liste!$C$3,$B$851)),"",INDEX(Tab_DaBa[],MATCH(CONCATENATE(Liste!$C$3,$B$851),Data!$BP:$BP,0)+2,3)),"")</f>
        <v>4.5 Test4 (E+5L+A)</v>
      </c>
    </row>
    <row r="966" spans="2:9" s="16" customFormat="1"/>
    <row r="967" spans="2:9" s="16" customFormat="1" ht="15.75">
      <c r="B967" s="35" t="str">
        <f ca="1">IFERROR(INDEX(Tab_DaBa[],MATCH(CONCATENATE(Liste!$C$3,$B$851,$B$965),Data!$BO:$BO,0)-2,9),"")</f>
        <v>Eingang</v>
      </c>
      <c r="C967" s="54"/>
      <c r="D967" s="35" t="str">
        <f ca="1">IFERROR(IF(INDEX(Tab_DaBa[],MATCH(CONCATENATE(Liste!$C$3,$B$851,$B$965),Data!$BO:$BO,0)-2,18)=0,INDEX(Tab_DaBa[],MATCH(CONCATENATE(Liste!$C$3,$B$851,$B$965),Data!$BO:$BO,0)-2,14),INDEX(Tab_DaBa[],MATCH(CONCATENATE(Liste!$C$3,$B$851,$B$965),Data!$BO:$BO,0)-2,19)),"")</f>
        <v>Logik 01</v>
      </c>
      <c r="E967" s="33"/>
      <c r="F967" s="35" t="str">
        <f ca="1">IFERROR(IF(AND(INDEX(Tab_DaBa[],MATCH(CONCATENATE(Liste!$C$3,$B$851,$B$965),Data!$BO:$BO,0)-2,18)&lt;&gt;"",INDEX(Tab_DaBa[],MATCH(CONCATENATE(Liste!$C$3,$B$851,$B$965),Data!$BO:$BO,0)-2,23)=0),INDEX(Tab_DaBa[],MATCH(CONCATENATE(Liste!$C$3,$B$851,$B$965),Data!$BO:$BO,0)-2,14),IF(INDEX(Tab_DaBa[],MATCH(CONCATENATE(Liste!$C$3,$B$851,$B$965),Data!$BO:$BO,0)-2,23)&lt;&gt;"",INDEX(Tab_DaBa[],MATCH(CONCATENATE(Liste!$C$3,$B$851,$B$965),Data!$BO:$BO,0)-2,24),"")),"")</f>
        <v>Logik 02</v>
      </c>
      <c r="G967" s="39"/>
      <c r="H967" s="35" t="str">
        <f ca="1">IFERROR(IF(AND(INDEX(Tab_DaBa[],MATCH(CONCATENATE(Liste!$C$3,$B$851,$B$965),Data!$BO:$BO,0)-2,23)&lt;&gt;"",INDEX(Tab_DaBa[],MATCH(CONCATENATE(Liste!$C$3,$B$851,$B$965),Data!$BO:$BO,0)-2,28)=0),INDEX(Tab_DaBa[],MATCH(CONCATENATE(Liste!$C$3,$B$851,$B$965),Data!$BO:$BO,0)-2,14),IF(INDEX(Tab_DaBa[],MATCH(CONCATENATE(Liste!$C$3,$B$851,$B$965),Data!$BO:$BO,0)-2,23)&lt;&gt;"",INDEX(Tab_DaBa[],MATCH(CONCATENATE(Liste!$C$3,$B$851,$B$965),Data!$BO:$BO,0)-2,29),"")),"")</f>
        <v>Logik 03</v>
      </c>
      <c r="I967" s="39"/>
    </row>
    <row r="968" spans="2:9" s="16" customFormat="1" ht="15.75">
      <c r="B968" s="35" t="str">
        <f ca="1">IFERROR(INDEX(Tab_DaBa[],MATCH(CONCATENATE(Liste!$C$3,$B$851,$B$965),Data!$BO:$BO,0)-2,7),"")</f>
        <v>eeee-33_5</v>
      </c>
      <c r="C968" s="54"/>
      <c r="D968" s="35" t="str">
        <f ca="1">IFERROR(IF(INDEX(Tab_DaBa[],MATCH(CONCATENATE(Liste!$C$3,$B$851,$B$965),Data!$BO:$BO,0)-2,18)="",INDEX(Tab_DaBa[],MATCH(CONCATENATE(Liste!$C$3,$B$851,$B$965),Data!$BO:$BO,0)-2,12),INDEX(Tab_DaBa[],MATCH(CONCATENATE(Liste!$C$3,$B$851,$B$965),Data!$BO:$BO,0)-2,17)),"")</f>
        <v>Log01-04_05</v>
      </c>
      <c r="E968" s="36"/>
      <c r="F968" s="35" t="str">
        <f ca="1">IFERROR(IF(AND(INDEX(Tab_DaBa[],MATCH(CONCATENATE(Liste!$C$3,$B$851,$B$965),Data!$BO:$BO,0)-2,18)&lt;&gt;"",INDEX(Tab_DaBa[],MATCH(CONCATENATE(Liste!$C$3,$B$851,$B$965),Data!$BO:$BO,0)-2,23)=0),INDEX(Tab_DaBa[],MATCH(CONCATENATE(Liste!$C$3,$B$851,$B$965),Data!$BO:$BO,0)-2,12),IF(INDEX(Tab_DaBa[],MATCH(CONCATENATE(Liste!$C$3,$B$851,$B$965),Data!$BO:$BO,0)-2,23)&lt;&gt;"",INDEX(Tab_DaBa[],MATCH(CONCATENATE(Liste!$C$3,$B$851,$B$965),Data!$BO:$BO,0)-2,22),"")),"")</f>
        <v>Lo04-04_05</v>
      </c>
      <c r="G968" s="39"/>
      <c r="H968" s="35" t="str">
        <f ca="1">IFERROR(IF(AND(INDEX(Tab_DaBa[],MATCH(CONCATENATE(Liste!$C$3,$B$851,$B$965),Data!$BO:$BO,0)-2,23)&lt;&gt;"",INDEX(Tab_DaBa[],MATCH(CONCATENATE(Liste!$C$3,$B$851,$B$965),Data!$BO:$BO,0)-2,28)=0),INDEX(Tab_DaBa[],MATCH(CONCATENATE(Liste!$C$3,$B$851,$B$965),Data!$BO:$BO,0)-2,12),IF(INDEX(Tab_DaBa[],MATCH(CONCATENATE(Liste!$C$3,$B$851,$B$965),Data!$BO:$BO,0)-2,23)&lt;&gt;"",INDEX(Tab_DaBa[],MATCH(CONCATENATE(Liste!$C$3,$B$851,$B$965),Data!$BO:$BO,0)-2,27),"")),"")</f>
        <v>Lo04-44_05</v>
      </c>
      <c r="I968" s="39"/>
    </row>
    <row r="969" spans="2:9" s="16" customFormat="1" ht="15.75">
      <c r="B969" s="35" t="str">
        <f ca="1">IFERROR(INDEX(Tab_DaBa[],MATCH(CONCATENATE(Liste!$C$3,$B$851,$B$965),Data!$BO:$BO,0)-2,8),"")</f>
        <v>Bez_Ein4_5</v>
      </c>
      <c r="C969" s="40">
        <f ca="1">IF(D967="","",4)</f>
        <v>4</v>
      </c>
      <c r="D969" s="35" t="str">
        <f ca="1">IFERROR(IF(INDEX(Tab_DaBa[],MATCH(CONCATENATE(Liste!$C$3,$B$851,$B$965),Data!$BO:$BO,0)-2,18)="",INDEX(Tab_DaBa[],MATCH(CONCATENATE(Liste!$C$3,$B$851,$B$965),Data!$BO:$BO,0)-2,13),INDEX(Tab_DaBa[],MATCH(CONCATENATE(Liste!$C$3,$B$851,$B$965),Data!$BO:$BO,0)-2,18)),"")</f>
        <v>Bez_Log01_04_05</v>
      </c>
      <c r="E969" s="40">
        <f ca="1">IF(F967="","",4)</f>
        <v>4</v>
      </c>
      <c r="F969" s="35" t="str">
        <f ca="1">IFERROR(IF(AND(INDEX(Tab_DaBa[],MATCH(CONCATENATE(Liste!$C$3,$B$851,$B$965),Data!$BO:$BO,0)-2,18)&lt;&gt;"",INDEX(Tab_DaBa[],MATCH(CONCATENATE(Liste!$C$3,$B$851,$B$965),Data!$BO:$BO,0)-2,23)=""),INDEX(Tab_DaBa[],MATCH(CONCATENATE(Liste!$C$3,$B$851,$B$965),Data!$BO:$BO,0)-2,13),IF(INDEX(Tab_DaBa[],MATCH(CONCATENATE(Liste!$C$3,$B$851,$B$965),Data!$BO:$BO,0)-2,23)&lt;&gt;"",INDEX(Tab_DaBa[],MATCH(CONCATENATE(Liste!$C$3,$B$851,$B$965),Data!$BO:$BO,0)-2,23),"")),"")</f>
        <v>Bez_Lo04_05</v>
      </c>
      <c r="G969" s="38">
        <f ca="1">IF(H967="","",4)</f>
        <v>4</v>
      </c>
      <c r="H969" s="35" t="str">
        <f ca="1">IFERROR(IF(AND(INDEX(Tab_DaBa[],MATCH(CONCATENATE(Liste!$C$3,$B$851,$B$965),Data!$BO:$BO,0)-2,23)&lt;&gt;"",INDEX(Tab_DaBa[],MATCH(CONCATENATE(Liste!$C$3,$B$851,$B$965),Data!$BO:$BO,0)-2,28)=""),INDEX(Tab_DaBa[],MATCH(CONCATENATE(Liste!$C$3,$B$851,$B$965),Data!$BO:$BO,0)-2,13),IF(INDEX(Tab_DaBa[],MATCH(CONCATENATE(Liste!$C$3,$B$851,$B$965),Data!$BO:$BO,0)-2,23)&lt;&gt;"",INDEX(Tab_DaBa[],MATCH(CONCATENATE(Liste!$C$3,$B$851,$B$965),Data!$BO:$BO,0)-2,28),"")),"")</f>
        <v>Bez_Lo04_05</v>
      </c>
      <c r="I969" s="38">
        <f ca="1">IF(B975="","",6)</f>
        <v>6</v>
      </c>
    </row>
    <row r="970" spans="2:9" s="16" customFormat="1" ht="15.75">
      <c r="B970" s="35" t="str">
        <f ca="1">IFERROR("Performance Level: "&amp;INDEX(Tab_DaBa[],MATCH(CONCATENATE(Liste!$C$3,$B$851,$B$965),Data!$BO:$BO,0)-2,10),"")</f>
        <v>Performance Level: PL_Ein4_5</v>
      </c>
      <c r="C970" s="54"/>
      <c r="D970" s="35" t="str">
        <f ca="1">IFERROR(IF(INDEX(Tab_DaBa[],MATCH(CONCATENATE(Liste!$C$3,$B$851,$B$965),Data!$BO:$BO,0)-2,18)="","Performance Level: "&amp;INDEX(Tab_DaBa[],MATCH(CONCATENATE(Liste!$C$3,$B$851,$B$965),Data!$BO:$BO,0)-2,15),"Performance Level: "&amp;INDEX(Tab_DaBa[],MATCH(CONCATENATE(Liste!$C$3,$B$851,$B$965),Data!$BO:$BO,0)-2,20)),"")</f>
        <v>Performance Level: PL_Log01_04_05</v>
      </c>
      <c r="E970" s="36"/>
      <c r="F970" s="35" t="str">
        <f ca="1">IFERROR(IF(AND(INDEX(Tab_DaBa[],MATCH(CONCATENATE(Liste!$C$3,$B$851,$B$965),Data!$BO:$BO,0)-2,18)&lt;&gt;"",INDEX(Tab_DaBa[],MATCH(CONCATENATE(Liste!$C$3,$B$851,$B$965),Data!$BO:$BO,0)-2,23)=""),"Performance Level: "&amp;INDEX(Tab_DaBa[],MATCH(CONCATENATE(Liste!$C$3,$B$851,$B$965),Data!$BO:$BO,0)-2,15),IF(INDEX(Tab_DaBa[],MATCH(CONCATENATE(Liste!$C$3,$B$851,$B$965),Data!$BO:$BO,0)-2,23)&lt;&gt;"","Performance Level: "&amp;INDEX(Tab_DaBa[],MATCH(CONCATENATE(Liste!$C$3,$B$851,$B$965),Data!$BO:$BO,0)-2,25),"")),"")</f>
        <v>Performance Level: PL_Lo04_05</v>
      </c>
      <c r="G970" s="39"/>
      <c r="H970" s="35" t="str">
        <f ca="1">IFERROR(IF(AND(INDEX(Tab_DaBa[],MATCH(CONCATENATE(Liste!$C$3,$B$851,$B$965),Data!$BO:$BO,0)-2,23)&lt;&gt;"",INDEX(Tab_DaBa[],MATCH(CONCATENATE(Liste!$C$3,$B$851,$B$965),Data!$BO:$BO,0)-2,28)=""),"Performance Level: "&amp;INDEX(Tab_DaBa[],MATCH(CONCATENATE(Liste!$C$3,$B$851,$B$965),Data!$BO:$BO,0)-2,15),IF(INDEX(Tab_DaBa[],MATCH(CONCATENATE(Liste!$C$3,$B$851,$B$965),Data!$BO:$BO,0)-2,23)&lt;&gt;"","Performance Level: "&amp;INDEX(Tab_DaBa[],MATCH(CONCATENATE(Liste!$C$3,$B$851,$B$965),Data!$BO:$BO,0)-2,30),"")),"")</f>
        <v>Performance Level: PL_Lo04_05</v>
      </c>
      <c r="I970" s="38"/>
    </row>
    <row r="971" spans="2:9" s="16" customFormat="1" ht="15.75">
      <c r="B971" s="53" t="str">
        <f ca="1">IFERROR("PFH [1/h] = "&amp;10^9*INDEX(Tab_DaBa[],MATCH(CONCATENATE(Liste!$C$3,$B$851,$B$965),Data!$BO:$BO,0)-2,11)&amp;"E-9","")</f>
        <v>PFH [1/h] = 42,9E-9</v>
      </c>
      <c r="C971" s="54"/>
      <c r="D971" s="35" t="str">
        <f ca="1">IFERROR(IF(INDEX(Tab_DaBa[],MATCH(CONCATENATE(Liste!$C$3,$B$851,$B$965),Data!$BO:$BO,0)-2,18)="","PFH [1/h] = "&amp;10^9*INDEX(Tab_DaBa[],MATCH(CONCATENATE(Liste!$C$3,$B$851,$B$965),Data!$BO:$BO,0)-2,16)&amp;"E-9","PFH [1/h] = "&amp;10^9*INDEX(Tab_DaBa[],MATCH(CONCATENATE(Liste!$C$3,$B$851,$B$965),Data!$BO:$BO,0)-2,21)&amp;"E-9"),"")</f>
        <v>PFH [1/h] = 4,19E-9</v>
      </c>
      <c r="E971" s="36"/>
      <c r="F971" s="35" t="str">
        <f ca="1">IFERROR(IF(AND(INDEX(Tab_DaBa[],MATCH(CONCATENATE(Liste!$C$3,$B$851,$B$965),Data!$BO:$BO,0)-2,18)&lt;&gt;"",INDEX(Tab_DaBa[],MATCH(CONCATENATE(Liste!$C$3,$B$851,$B$965),Data!$BO:$BO,0)-2,23)=""),"PFH [1/h] = "&amp;10^9*INDEX(Tab_DaBa[],MATCH(CONCATENATE(Liste!$C$3,$B$851,$B$965),Data!$BO:$BO,0)-2,16)&amp;"E-9",IF(INDEX(Tab_DaBa[],MATCH(CONCATENATE(Liste!$C$3,$B$851,$B$965),Data!$BO:$BO,0)-2,23)&lt;&gt;"","PFH [1/h] = "&amp;10^9*INDEX(Tab_DaBa[],MATCH(CONCATENATE(Liste!$C$3,$B$851,$B$965),Data!$BO:$BO,0)-2,26)&amp;"E-9","")),"")</f>
        <v>PFH [1/h] = 4,19E-9</v>
      </c>
      <c r="G971" s="39"/>
      <c r="H971" s="35" t="str">
        <f ca="1">IFERROR(IF(AND(INDEX(Tab_DaBa[],MATCH(CONCATENATE(Liste!$C$3,$B$851,$B$965),Data!$BO:$BO,0)-2,23)&lt;&gt;"",INDEX(Tab_DaBa[],MATCH(CONCATENATE(Liste!$C$3,$B$851,$B$965),Data!$BO:$BO,0)-2,28)=""),"PFH [1/h] = "&amp;10^9*INDEX(Tab_DaBa[],MATCH(CONCATENATE(Liste!$C$3,$B$851,$B$965),Data!$BO:$BO,0)-2,16)&amp;"E-9",IF(INDEX(Tab_DaBa[],MATCH(CONCATENATE(Liste!$C$3,$B$851,$B$965),Data!$BO:$BO,0)-2,23)&lt;&gt;"","PFH [1/h] = "&amp;10^9*INDEX(Tab_DaBa[],MATCH(CONCATENATE(Liste!$C$3,$B$851,$B$965),Data!$BO:$BO,0)-2,31)&amp;"E-9","")),"")</f>
        <v>PFH [1/h] = 4,19E-9</v>
      </c>
      <c r="I971" s="39"/>
    </row>
    <row r="972" spans="2:9" s="16" customFormat="1">
      <c r="B972" s="33"/>
      <c r="C972" s="34"/>
      <c r="D972" s="33"/>
      <c r="E972" s="33"/>
      <c r="F972" s="33"/>
      <c r="G972" s="33"/>
      <c r="H972" s="33"/>
      <c r="I972" s="33"/>
    </row>
    <row r="973" spans="2:9" s="16" customFormat="1" ht="15.75">
      <c r="B973" s="38">
        <f ca="1">IF(B975="","",6)</f>
        <v>6</v>
      </c>
      <c r="C973" s="34"/>
      <c r="D973" s="38">
        <f ca="1">IF(B975="","",3)</f>
        <v>3</v>
      </c>
      <c r="E973" s="33"/>
      <c r="F973" s="38">
        <f ca="1">IF(B975="","",3)</f>
        <v>3</v>
      </c>
      <c r="G973" s="33"/>
      <c r="H973" s="38">
        <f ca="1">IF(B975="","",3)</f>
        <v>3</v>
      </c>
      <c r="I973" s="33"/>
    </row>
    <row r="974" spans="2:9" s="16" customFormat="1" ht="15.75">
      <c r="B974" s="39"/>
      <c r="C974" s="33"/>
      <c r="D974" s="33"/>
      <c r="E974" s="33"/>
      <c r="F974" s="33"/>
      <c r="G974" s="33"/>
      <c r="H974" s="33"/>
      <c r="I974" s="33"/>
    </row>
    <row r="975" spans="2:9" s="16" customFormat="1" ht="15.75">
      <c r="B975" s="35" t="str">
        <f ca="1">IFERROR(IF(AND(INDEX(Tab_DaBa[],MATCH(CONCATENATE(Liste!$C$3,$B$851,$B$965),Data!$BO:$BO,0)-2,28)&lt;&gt;"",INDEX(Tab_DaBa[],MATCH(CONCATENATE(Liste!$C$3,$B$851,$B$965),Data!$BO:$BO,0)-2,33)=0),INDEX(Tab_DaBa[],MATCH(CONCATENATE(Liste!$C$3,$B$851,$B$965),Data!$BO:$BO,0)-2,14),IF(INDEX(Tab_DaBa[],MATCH(CONCATENATE(Liste!$C$3,$B$851,$B$965),Data!$BO:$BO,0)-2,28)&lt;&gt;"",INDEX(Tab_DaBa[],MATCH(CONCATENATE(Liste!$C$3,$B$851,$B$965),Data!$BO:$BO,0)-2,34),"")),"")</f>
        <v>Logik 04</v>
      </c>
      <c r="C975" s="39"/>
      <c r="D975" s="35" t="str">
        <f ca="1">IFERROR(IF(AND(INDEX(Tab_DaBa[],MATCH(CONCATENATE(Liste!$C$3,$B$851,$B$965),Data!$BO:$BO,0)-2,33)&lt;&gt;"",INDEX(Tab_DaBa[],MATCH(CONCATENATE(Liste!$C$3,$B$851,$B$965),Data!$BO:$BO,0)-2,38)=0),INDEX(Tab_DaBa[],MATCH(CONCATENATE(Liste!$C$3,$B$851,$B$965),Data!$BO:$BO,0)-2,14),IF(INDEX(Tab_DaBa[],MATCH(CONCATENATE(Liste!$C$3,$B$851,$B$965),Data!$BO:$BO,0)-2,33)&lt;&gt;"",INDEX(Tab_DaBa[],MATCH(CONCATENATE(Liste!$C$3,$B$851,$B$965),Data!$BO:$BO,0)-2,39),"")),"")</f>
        <v>Logik 05</v>
      </c>
      <c r="E975" s="33"/>
      <c r="F975" s="35" t="str">
        <f ca="1">IFERROR(IF(AND(INDEX(Tab_DaBa[],MATCH(CONCATENATE(Liste!$C$3,$B$851,$B$965),Data!$BO:$BO,0)-2,38)&lt;&gt;"",INDEX(Tab_DaBa[],MATCH(CONCATENATE(Liste!$C$3,$B$851,$B$965),Data!$BO:$BO,0)-2,43)=0),INDEX(Tab_DaBa[],MATCH(CONCATENATE(Liste!$C$3,$B$851,$B$965),Data!$BO:$BO,0)-2,14),IF(INDEX(Tab_DaBa[],MATCH(CONCATENATE(Liste!$C$3,$B$851,$B$965),Data!$BO:$BO,0)-2,38)&lt;&gt;"",INDEX(Tab_DaBa[],MATCH(CONCATENATE(Liste!$C$3,$B$851,$B$965),Data!$BO:$BO,0)-2,44),"")),"")</f>
        <v>Ausgang</v>
      </c>
      <c r="G975" s="39"/>
      <c r="H975" s="35" t="str">
        <f ca="1">IFERROR(IF(AND(INDEX(Tab_DaBa[],MATCH(CONCATENATE(Liste!$C$3,$B$851,$B$965),Data!$BO:$BO,0)-2,43)&lt;&gt;"",INDEX(Tab_DaBa[],MATCH(CONCATENATE(Liste!$C$3,$B$851,$B$965),Data!$BO:$BO,0)-2,48)=0),INDEX(Tab_DaBa[],MATCH(CONCATENATE(Liste!$C$3,$B$851,$B$965),Data!$BO:$BO,0)-2,14),IF(INDEX(Tab_DaBa[],MATCH(CONCATENATE(Liste!$C$3,$B$851,$B$965),Data!$BO:$BO,0)-2,43)&lt;&gt;"",INDEX(Tab_DaBa[],MATCH(CONCATENATE(Liste!$C$3,$B$851,$B$965),Data!$BO:$BO,0)-2,49),"")),"")</f>
        <v/>
      </c>
      <c r="I975" s="39"/>
    </row>
    <row r="976" spans="2:9" s="16" customFormat="1" ht="15.75">
      <c r="B976" s="35" t="str">
        <f ca="1">IFERROR(IF(AND(INDEX(Tab_DaBa[],MATCH(CONCATENATE(Liste!$C$3,$B$851,$B$965),Data!$BO:$BO,0)-2,28)&lt;&gt;"",INDEX(Tab_DaBa[],MATCH(CONCATENATE(Liste!$C$3,$B$851,$B$965),Data!$BO:$BO,0)-2,33)=0),INDEX(Tab_DaBa[],MATCH(CONCATENATE(Liste!$C$3,$B$851,$B$965),Data!$BO:$BO,0)-2,12),IF(INDEX(Tab_DaBa[],MATCH(CONCATENATE(Liste!$C$3,$B$851,$B$965),Data!$BO:$BO,0)-2,28)&lt;&gt;"",INDEX(Tab_DaBa[],MATCH(CONCATENATE(Liste!$C$3,$B$851,$B$965),Data!$BO:$BO,0)-2,32),"")),"")</f>
        <v>Lo04-44_05</v>
      </c>
      <c r="C976" s="39"/>
      <c r="D976" s="35" t="str">
        <f ca="1">IFERROR(IF(AND(INDEX(Tab_DaBa[],MATCH(CONCATENATE(Liste!$C$3,$B$851,$B$965),Data!$BO:$BO,0)-2,33)&lt;&gt;"",INDEX(Tab_DaBa[],MATCH(CONCATENATE(Liste!$C$3,$B$851,$B$965),Data!$BO:$BO,0)-2,38)=0),INDEX(Tab_DaBa[],MATCH(CONCATENATE(Liste!$C$3,$B$851,$B$965),Data!$BO:$BO,0)-2,12),IF(INDEX(Tab_DaBa[],MATCH(CONCATENATE(Liste!$C$3,$B$851,$B$965),Data!$BO:$BO,0)-2,33)&lt;&gt;"",INDEX(Tab_DaBa[],MATCH(CONCATENATE(Liste!$C$3,$B$851,$B$965),Data!$BO:$BO,0)-2,37),"")),"")</f>
        <v>Lo04-44_05</v>
      </c>
      <c r="E976" s="37"/>
      <c r="F976" s="35" t="str">
        <f ca="1">IFERROR(IF(AND(INDEX(Tab_DaBa[],MATCH(CONCATENATE(Liste!$C$3,$B$851,$B$965),Data!$BO:$BO,0)-2,38)&lt;&gt;"",INDEX(Tab_DaBa[],MATCH(CONCATENATE(Liste!$C$3,$B$851,$B$965),Data!$BO:$BO,0)-2,43)=0),INDEX(Tab_DaBa[],MATCH(CONCATENATE(Liste!$C$3,$B$851,$B$965),Data!$BO:$BO,0)-2,12),IF(INDEX(Tab_DaBa[],MATCH(CONCATENATE(Liste!$C$3,$B$851,$B$965),Data!$BO:$BO,0)-2,38)&lt;&gt;"",INDEX(Tab_DaBa[],MATCH(CONCATENATE(Liste!$C$3,$B$851,$B$965),Data!$BO:$BO,0)-2,42),"")),"")</f>
        <v>aaaa-44_5</v>
      </c>
      <c r="G976" s="39"/>
      <c r="H976" s="35" t="str">
        <f ca="1">IFERROR(IF(AND(INDEX(Tab_DaBa[],MATCH(CONCATENATE(Liste!$C$3,$B$851,$B$965),Data!$BO:$BO,0)-2,43)&lt;&gt;"",INDEX(Tab_DaBa[],MATCH(CONCATENATE(Liste!$C$3,$B$851,$B$965),Data!$BO:$BO,0)-2,48)=0),INDEX(Tab_DaBa[],MATCH(CONCATENATE(Liste!$C$3,$B$851,$B$965),Data!$BO:$BO,0)-2,12),IF(INDEX(Tab_DaBa[],MATCH(CONCATENATE(Liste!$C$3,$B$851,$B$965),Data!$BO:$BO,0)-2,43)&lt;&gt;"",INDEX(Tab_DaBa[],MATCH(CONCATENATE(Liste!$C$3,$B$851,$B$965),Data!$BO:$BO,0)-2,47),"")),"")</f>
        <v/>
      </c>
      <c r="I976" s="39"/>
    </row>
    <row r="977" spans="2:9" s="16" customFormat="1" ht="15.75">
      <c r="B977" s="35" t="str">
        <f ca="1">IFERROR(IF(AND(INDEX(Tab_DaBa[],MATCH(CONCATENATE(Liste!$C$3,$B$851,$B$965),Data!$BO:$BO,0)-2,28)&lt;&gt;"",INDEX(Tab_DaBa[],MATCH(CONCATENATE(Liste!$C$3,$B$851,$B$965),Data!$BO:$BO,0)-2,33)=""),INDEX(Tab_DaBa[],MATCH(CONCATENATE(Liste!$C$3,$B$851,$B$965),Data!$BO:$BO,0)-2,13),IF(INDEX(Tab_DaBa[],MATCH(CONCATENATE(Liste!$C$3,$B$851,$B$965),Data!$BO:$BO,0)-2,28)&lt;&gt;"",INDEX(Tab_DaBa[],MATCH(CONCATENATE(Liste!$C$3,$B$851,$B$965),Data!$BO:$BO,0)-2,33),"")),"")</f>
        <v>Bez_Lo04_05</v>
      </c>
      <c r="C977" s="38">
        <f ca="1">IF(D975="","",4)</f>
        <v>4</v>
      </c>
      <c r="D977" s="35" t="str">
        <f ca="1">IFERROR(IF(AND(INDEX(Tab_DaBa[],MATCH(CONCATENATE(Liste!$C$3,$B$851,$B$965),Data!$BO:$BO,0)-2,33)&lt;&gt;"",INDEX(Tab_DaBa[],MATCH(CONCATENATE(Liste!$C$3,$B$851,$B$965),Data!$BO:$BO,0)-2,38)=""),INDEX(Tab_DaBa[],MATCH(CONCATENATE(Liste!$C$3,$B$851,$B$965),Data!$BO:$BO,0)-2,13),IF(INDEX(Tab_DaBa[],MATCH(CONCATENATE(Liste!$C$3,$B$851,$B$965),Data!$BO:$BO,0)-2,33)&lt;&gt;"",INDEX(Tab_DaBa[],MATCH(CONCATENATE(Liste!$C$3,$B$851,$B$965),Data!$BO:$BO,0)-2,38),"")),"")</f>
        <v>Bez_Lo05_05</v>
      </c>
      <c r="E977" s="38">
        <f ca="1">IF(F975="","",4)</f>
        <v>4</v>
      </c>
      <c r="F977" s="35" t="str">
        <f ca="1">IFERROR(IF(AND(INDEX(Tab_DaBa[],MATCH(CONCATENATE(Liste!$C$3,$B$851,$B$965),Data!$BO:$BO,0)-2,38)&lt;&gt;"",INDEX(Tab_DaBa[],MATCH(CONCATENATE(Liste!$C$3,$B$851,$B$965),Data!$BO:$BO,0)-2,43)=""),INDEX(Tab_DaBa[],MATCH(CONCATENATE(Liste!$C$3,$B$851,$B$965),Data!$BO:$BO,0)-2,13),IF(INDEX(Tab_DaBa[],MATCH(CONCATENATE(Liste!$C$3,$B$851,$B$965),Data!$BO:$BO,0)-2,38)&lt;&gt;"",INDEX(Tab_DaBa[],MATCH(CONCATENATE(Liste!$C$3,$B$851,$B$965),Data!$BO:$BO,0)-2,43),"")),"")</f>
        <v>Bez_Aus4_5</v>
      </c>
      <c r="G977" s="38" t="str">
        <f ca="1">IF(H975="","",4)</f>
        <v/>
      </c>
      <c r="H977" s="35" t="str">
        <f ca="1">IFERROR(IF(AND(INDEX(Tab_DaBa[],MATCH(CONCATENATE(Liste!$C$3,$B$851,$B$965),Data!$BO:$BO,0)-2,43)&lt;&gt;"",INDEX(Tab_DaBa[],MATCH(CONCATENATE(Liste!$C$3,$B$851,$B$965),Data!$BO:$BO,0)-2,48)=""),INDEX(Tab_DaBa[],MATCH(CONCATENATE(Liste!$C$3,$B$851,$B$965),Data!$BO:$BO,0)-2,13),IF(INDEX(Tab_DaBa[],MATCH(CONCATENATE(Liste!$C$3,$B$851,$B$965),Data!$BO:$BO,0)-2,43)&lt;&gt;"",INDEX(Tab_DaBa[],MATCH(CONCATENATE(Liste!$C$3,$B$851,$B$965),Data!$BO:$BO,0)-2,48),"")),"")</f>
        <v/>
      </c>
      <c r="I977" s="38" t="str">
        <f ca="1">IF(B983="","",6)</f>
        <v/>
      </c>
    </row>
    <row r="978" spans="2:9" s="16" customFormat="1" ht="15.75">
      <c r="B978" s="35" t="str">
        <f ca="1">IFERROR(IF(AND(INDEX(Tab_DaBa[],MATCH(CONCATENATE(Liste!$C$3,$B$851,$B$965),Data!$BO:$BO,0)-2,28)&lt;&gt;"",INDEX(Tab_DaBa[],MATCH(CONCATENATE(Liste!$C$3,$B$851,$B$965),Data!$BO:$BO,0)-2,33)=""),"Performance Level: "&amp;INDEX(Tab_DaBa[],MATCH(CONCATENATE(Liste!$C$3,$B$851,$B$965),Data!$BO:$BO,0)-2,15),IF(INDEX(Tab_DaBa[],MATCH(CONCATENATE(Liste!$C$3,$B$851,$B$965),Data!$BO:$BO,0)-2,28)&lt;&gt;"","Performance Level: "&amp;INDEX(Tab_DaBa[],MATCH(CONCATENATE(Liste!$C$3,$B$851,$B$965),Data!$BO:$BO,0)-2,35),"")),"")</f>
        <v>Performance Level: PL_Lo04_05</v>
      </c>
      <c r="C978" s="39"/>
      <c r="D978" s="35" t="str">
        <f ca="1">IFERROR(IF(AND(INDEX(Tab_DaBa[],MATCH(CONCATENATE(Liste!$C$3,$B$851,$B$965),Data!$BO:$BO,0)-2,33)&lt;&gt;"",INDEX(Tab_DaBa[],MATCH(CONCATENATE(Liste!$C$3,$B$851,$B$965),Data!$BO:$BO,0)-2,38)=""),"Performance Level: "&amp;INDEX(Tab_DaBa[],MATCH(CONCATENATE(Liste!$C$3,$B$851,$B$965),Data!$BO:$BO,0)-2,15),IF(INDEX(Tab_DaBa[],MATCH(CONCATENATE(Liste!$C$3,$B$851,$B$965),Data!$BO:$BO,0)-2,33)&lt;&gt;"","Performance Level: "&amp;INDEX(Tab_DaBa[],MATCH(CONCATENATE(Liste!$C$3,$B$851,$B$965),Data!$BO:$BO,0)-2,40),"")),"")</f>
        <v>Performance Level: PL_Lo03_5</v>
      </c>
      <c r="E978" s="37"/>
      <c r="F978" s="35" t="str">
        <f ca="1">IFERROR(IF(AND(INDEX(Tab_DaBa[],MATCH(CONCATENATE(Liste!$C$3,$B$851,$B$965),Data!$BO:$BO,0)-2,38)&lt;&gt;"",INDEX(Tab_DaBa[],MATCH(CONCATENATE(Liste!$C$3,$B$851,$B$965),Data!$BO:$BO,0)-2,43)=""),"Performance Level: "&amp;INDEX(Tab_DaBa[],MATCH(CONCATENATE(Liste!$C$3,$B$851,$B$965),Data!$BO:$BO,0)-2,15),IF(INDEX(Tab_DaBa[],MATCH(CONCATENATE(Liste!$C$3,$B$851,$B$965),Data!$BO:$BO,0)-2,38)&lt;&gt;"","Performance Level: "&amp;INDEX(Tab_DaBa[],MATCH(CONCATENATE(Liste!$C$3,$B$851,$B$965),Data!$BO:$BO,0)-2,45),"")),"")</f>
        <v>Performance Level: PL_Aus4_5</v>
      </c>
      <c r="G978" s="39"/>
      <c r="H978" s="35" t="str">
        <f ca="1">IFERROR(IF(AND(INDEX(Tab_DaBa[],MATCH(CONCATENATE(Liste!$C$3,$B$851,$B$965),Data!$BO:$BO,0)-2,43)&lt;&gt;"",INDEX(Tab_DaBa[],MATCH(CONCATENATE(Liste!$C$3,$B$851,$B$965),Data!$BO:$BO,0)-2,48)=""),"Performance Level: "&amp;INDEX(Tab_DaBa[],MATCH(CONCATENATE(Liste!$C$3,$B$851,$B$965),Data!$BO:$BO,0)-2,15),IF(INDEX(Tab_DaBa[],MATCH(CONCATENATE(Liste!$C$3,$B$851,$B$965),Data!$BO:$BO,0)-2,43)&lt;&gt;"","Performance Level: "&amp;INDEX(Tab_DaBa[],MATCH(CONCATENATE(Liste!$C$3,$B$851,$B$965),Data!$BO:$BO,0)-2,50),"")),"")</f>
        <v/>
      </c>
      <c r="I978" s="39"/>
    </row>
    <row r="979" spans="2:9" s="16" customFormat="1" ht="15.75">
      <c r="B979" s="35" t="str">
        <f ca="1">IFERROR(IF(AND(INDEX(Tab_DaBa[],MATCH(CONCATENATE(Liste!$C$3,$B$851,$B$965),Data!$BO:$BO,0)-2,28)&lt;&gt;"",INDEX(Tab_DaBa[],MATCH(CONCATENATE(Liste!$C$3,$B$851,$B$965),Data!$BO:$BO,0)-2,33)=""),"PFH [1/h] = "&amp;10^9*INDEX(Tab_DaBa[],MATCH(CONCATENATE(Liste!$C$3,$B$851,$B$965),Data!$BO:$BO,0)-2,16)&amp;"E-9",IF(INDEX(Tab_DaBa[],MATCH(CONCATENATE(Liste!$C$3,$B$851,$B$965),Data!$BO:$BO,0)-2,28)&lt;&gt;"","PFH [1/h] = "&amp;10^9*INDEX(Tab_DaBa[],MATCH(CONCATENATE(Liste!$C$3,$B$851,$B$965),Data!$BO:$BO,0)-2,36)&amp;"E-9","")),"")</f>
        <v>PFH [1/h] = 4,19E-9</v>
      </c>
      <c r="C979" s="39"/>
      <c r="D979" s="35" t="str">
        <f ca="1">IFERROR(IF(AND(INDEX(Tab_DaBa[],MATCH(CONCATENATE(Liste!$C$3,$B$851,$B$965),Data!$BO:$BO,0)-2,33)&lt;&gt;"",INDEX(Tab_DaBa[],MATCH(CONCATENATE(Liste!$C$3,$B$851,$B$965),Data!$BO:$BO,0)-2,38)=""),"PFH [1/h] = "&amp;10^9*INDEX(Tab_DaBa[],MATCH(CONCATENATE(Liste!$C$3,$B$851,$B$965),Data!$BO:$BO,0)-2,16)&amp;"E-9",IF(INDEX(Tab_DaBa[],MATCH(CONCATENATE(Liste!$C$3,$B$851,$B$965),Data!$BO:$BO,0)-2,33)&lt;&gt;"","PFH [1/h] = "&amp;10^9*INDEX(Tab_DaBa[],MATCH(CONCATENATE(Liste!$C$3,$B$851,$B$965),Data!$BO:$BO,0)-2,41)&amp;"E-9","")),"")</f>
        <v>PFH [1/h] = 4,19E-9</v>
      </c>
      <c r="E979" s="37"/>
      <c r="F979" s="35" t="str">
        <f ca="1">IFERROR(IF(AND(INDEX(Tab_DaBa[],MATCH(CONCATENATE(Liste!$C$3,$B$851,$B$965),Data!$BO:$BO,0)-2,38)&lt;&gt;"",INDEX(Tab_DaBa[],MATCH(CONCATENATE(Liste!$C$3,$B$851,$B$965),Data!$BO:$BO,0)-2,43)=""),"PFH [1/h] = "&amp;10^9*INDEX(Tab_DaBa[],MATCH(CONCATENATE(Liste!$C$3,$B$851,$B$965),Data!$BO:$BO,0)-2,16)&amp;"E-9",IF(INDEX(Tab_DaBa[],MATCH(CONCATENATE(Liste!$C$3,$B$851,$B$965),Data!$BO:$BO,0)-2,38)&lt;&gt;"","PFH [1/h] = "&amp;10^9*INDEX(Tab_DaBa[],MATCH(CONCATENATE(Liste!$C$3,$B$851,$B$965),Data!$BO:$BO,0)-2,46)&amp;"E-9","")),"")</f>
        <v>PFH [1/h] = 24,7E-9</v>
      </c>
      <c r="G979" s="39"/>
      <c r="H979" s="35" t="str">
        <f ca="1">IFERROR(IF(AND(INDEX(Tab_DaBa[],MATCH(CONCATENATE(Liste!$C$3,$B$851,$B$965),Data!$BO:$BO,0)-2,43)&lt;&gt;"",INDEX(Tab_DaBa[],MATCH(CONCATENATE(Liste!$C$3,$B$851,$B$965),Data!$BO:$BO,0)-2,48)=""),"PFH [1/h] = "&amp;10^9*INDEX(Tab_DaBa[],MATCH(CONCATENATE(Liste!$C$3,$B$851,$B$965),Data!$BO:$BO,0)-2,16)&amp;"E-9",IF(INDEX(Tab_DaBa[],MATCH(CONCATENATE(Liste!$C$3,$B$851,$B$965),Data!$BO:$BO,0)-2,43)&lt;&gt;"","PFH [1/h] = "&amp;10^9*INDEX(Tab_DaBa[],MATCH(CONCATENATE(Liste!$C$3,$B$851,$B$965),Data!$BO:$BO,0)-2,51)&amp;"E-9","")),"")</f>
        <v/>
      </c>
      <c r="I979" s="39"/>
    </row>
    <row r="980" spans="2:9" s="16" customFormat="1">
      <c r="B980" s="33"/>
      <c r="C980" s="33"/>
      <c r="D980" s="33"/>
      <c r="E980" s="33"/>
      <c r="F980" s="33"/>
      <c r="G980" s="33"/>
      <c r="H980" s="33"/>
      <c r="I980" s="33"/>
    </row>
    <row r="981" spans="2:9" s="16" customFormat="1" ht="15.75">
      <c r="B981" s="38" t="str">
        <f ca="1">IF(B983="","",6)</f>
        <v/>
      </c>
      <c r="C981" s="33"/>
      <c r="D981" s="38" t="str">
        <f ca="1">IF(B983="","",3)</f>
        <v/>
      </c>
      <c r="E981" s="33"/>
      <c r="F981" s="38" t="str">
        <f ca="1">IF(B983="","",3)</f>
        <v/>
      </c>
      <c r="G981" s="33"/>
      <c r="H981" s="38" t="str">
        <f ca="1">IF(B983="","",3)</f>
        <v/>
      </c>
      <c r="I981" s="33"/>
    </row>
    <row r="982" spans="2:9" s="16" customFormat="1" ht="15.75">
      <c r="B982" s="39"/>
      <c r="C982" s="33"/>
      <c r="D982" s="33"/>
      <c r="E982" s="33"/>
      <c r="F982" s="33"/>
      <c r="G982" s="33"/>
      <c r="H982" s="33"/>
      <c r="I982" s="33"/>
    </row>
    <row r="983" spans="2:9" s="16" customFormat="1" ht="15.75">
      <c r="B983" s="35" t="str">
        <f ca="1">IFERROR(IF(AND(INDEX(Tab_DaBa[],MATCH(CONCATENATE(Liste!$C$3,$B$851,$B$965),Data!$BO:$BO,0)-2,48)&lt;&gt;"",INDEX(Tab_DaBa[],MATCH(CONCATENATE(Liste!$C$3,$B$851,$B$965),Data!$BO:$BO,0)-2,53)=0),INDEX(Tab_DaBa[],MATCH(CONCATENATE(Liste!$C$3,$B$851,$B$965),Data!$BO:$BO,0)-2,14),IF(INDEX(Tab_DaBa[],MATCH(CONCATENATE(Liste!$C$3,$B$851,$B$965),Data!$BO:$BO,0)-2,48)&lt;&gt;"",INDEX(Tab_DaBa[],MATCH(CONCATENATE(Liste!$C$3,$B$851,$B$965),Data!$BO:$BO,0)-2,54),"")),"")</f>
        <v/>
      </c>
      <c r="C983" s="39"/>
      <c r="D983" s="35" t="str">
        <f ca="1">IFERROR(IF(AND(INDEX(Tab_DaBa[],MATCH(CONCATENATE(Liste!$C$3,$B$851,$B$965),Data!$BO:$BO,0)-2,53)&lt;&gt;"",INDEX(Tab_DaBa[],MATCH(CONCATENATE(Liste!$C$3,$B$851,$B$965),Data!$BO:$BO,0)-2,58)=0),INDEX(Tab_DaBa[],MATCH(CONCATENATE(Liste!$C$3,$B$851,$B$965),Data!$BO:$BO,0)-2,14),IF(INDEX(Tab_DaBa[],MATCH(CONCATENATE(Liste!$C$3,$B$851,$B$965),Data!$BO:$BO,0)-2,53)&lt;&gt;"",INDEX(Tab_DaBa[],MATCH(CONCATENATE(Liste!$C$3,$B$851,$B$965),Data!$BO:$BO,0)-2,59),"")),"")</f>
        <v/>
      </c>
      <c r="E983" s="33"/>
      <c r="F983" s="35" t="str">
        <f ca="1">IFERROR(IF(AND(INDEX(Tab_DaBa[],MATCH(CONCATENATE(Liste!$C$3,$B$851,$B$965),Data!$BO:$BO,0)-2,58)&lt;&gt;"",INDEX(Tab_DaBa[],MATCH(CONCATENATE(Liste!$C$3,$B$851,$B$965),Data!$BO:$BO,0)-2,63)=0),INDEX(Tab_DaBa[],MATCH(CONCATENATE(Liste!$C$3,$B$851,$B$965),Data!$BO:$BO,0)-2,14),IF(INDEX(Tab_DaBa[],MATCH(CONCATENATE(Liste!$C$3,$B$851,$B$965),Data!$BO:$BO,0)-2,58)&lt;&gt;"",INDEX(Tab_DaBa[],MATCH(CONCATENATE(Liste!$C$3,$B$851,$B$965),Data!$BO:$BO,0)-2,64),"")),"")</f>
        <v/>
      </c>
      <c r="G983" s="39"/>
      <c r="H983" s="35" t="str">
        <f ca="1">IFERROR(IF(INDEX(Tab_DaBa[],MATCH(CONCATENATE(Liste!$C$3,$B$851,$B$965),Data!$BO:$BO,0)-2,63)&lt;&gt;"",INDEX(Tab_DaBa[],MATCH(CONCATENATE(Liste!$C$3,$B$851,$B$965),Data!$BO:$BO,0)-2,14),""),"")</f>
        <v/>
      </c>
    </row>
    <row r="984" spans="2:9" s="16" customFormat="1" ht="15.75">
      <c r="B984" s="35" t="str">
        <f ca="1">IFERROR(IF(AND(INDEX(Tab_DaBa[],MATCH(CONCATENATE(Liste!$C$3,$B$851,$B$965),Data!$BO:$BO,0)-2,48)&lt;&gt;"",INDEX(Tab_DaBa[],MATCH(CONCATENATE(Liste!$C$3,$B$851,$B$965),Data!$BO:$BO,0)-2,53)=0),INDEX(Tab_DaBa[],MATCH(CONCATENATE(Liste!$C$3,$B$851,$B$965),Data!$BO:$BO,0)-2,12),IF(INDEX(Tab_DaBa[],MATCH(CONCATENATE(Liste!$C$3,$B$851,$B$965),Data!$BO:$BO,0)-2,48)&lt;&gt;"",INDEX(Tab_DaBa[],MATCH(CONCATENATE(Liste!$C$3,$B$851,$B$965),Data!$BO:$BO,0)-2,52),"")),"")</f>
        <v/>
      </c>
      <c r="C984" s="39"/>
      <c r="D984" s="35" t="str">
        <f ca="1">IFERROR(IF(AND(INDEX(Tab_DaBa[],MATCH(CONCATENATE(Liste!$C$3,$B$851,$B$965),Data!$BO:$BO,0)-2,53)&lt;&gt;"",INDEX(Tab_DaBa[],MATCH(CONCATENATE(Liste!$C$3,$B$851,$B$965),Data!$BO:$BO,0)-2,58)=0),INDEX(Tab_DaBa[],MATCH(CONCATENATE(Liste!$C$3,$B$851,$B$965),Data!$BO:$BO,0)-2,12),IF(INDEX(Tab_DaBa[],MATCH(CONCATENATE(Liste!$C$3,$B$851,$B$965),Data!$BO:$BO,0)-2,53)&lt;&gt;"",INDEX(Tab_DaBa[],MATCH(CONCATENATE(Liste!$C$3,$B$851,$B$965),Data!$BO:$BO,0)-2,57),"")),"")</f>
        <v/>
      </c>
      <c r="E984" s="37"/>
      <c r="F984" s="35" t="str">
        <f ca="1">IFERROR(IF(AND(INDEX(Tab_DaBa[],MATCH(CONCATENATE(Liste!$C$3,$B$851,$B$965),Data!$BO:$BO,0)-2,58)&lt;&gt;"",INDEX(Tab_DaBa[],MATCH(CONCATENATE(Liste!$C$3,$B$851,$B$965),Data!$BO:$BO,0)-2,63)=0),INDEX(Tab_DaBa[],MATCH(CONCATENATE(Liste!$C$3,$B$851,$B$965),Data!$BO:$BO,0)-2,12),IF(INDEX(Tab_DaBa[],MATCH(CONCATENATE(Liste!$C$3,$B$851,$B$965),Data!$BO:$BO,0)-2,58)&lt;&gt;"",INDEX(Tab_DaBa[],MATCH(CONCATENATE(Liste!$C$3,$B$851,$B$965),Data!$BO:$BO,0)-2,62),"")),"")</f>
        <v/>
      </c>
      <c r="G984" s="39"/>
      <c r="H984" s="35" t="str">
        <f ca="1">IFERROR(IF(INDEX(Tab_DaBa[],MATCH(CONCATENATE(Liste!$C$3,$B$851,$B$965),Data!$BO:$BO,0)-2,63)&lt;&gt;"",INDEX(Tab_DaBa[],MATCH(CONCATENATE(Liste!$C$3,$B$851,$B$965),Data!$BO:$BO,0)-2,12),""),"")</f>
        <v/>
      </c>
    </row>
    <row r="985" spans="2:9" s="16" customFormat="1" ht="15.75">
      <c r="B985" s="35" t="str">
        <f ca="1">IFERROR(IF(AND(INDEX(Tab_DaBa[],MATCH(CONCATENATE(Liste!$C$3,$B$851,$B$965),Data!$BO:$BO,0)-2,48)&lt;&gt;"",INDEX(Tab_DaBa[],MATCH(CONCATENATE(Liste!$C$3,$B$851,$B$965),Data!$BO:$BO,0)-2,53)=""),INDEX(Tab_DaBa[],MATCH(CONCATENATE(Liste!$C$3,$B$851,$B$965),Data!$BO:$BO,0)-2,13),IF(INDEX(Tab_DaBa[],MATCH(CONCATENATE(Liste!$C$3,$B$851,$B$965),Data!$BO:$BO,0)-2,48)&lt;&gt;"",INDEX(Tab_DaBa[],MATCH(CONCATENATE(Liste!$C$3,$B$851,$B$965),Data!$BO:$BO,0)-2,53),"")),"")</f>
        <v/>
      </c>
      <c r="C985" s="38" t="str">
        <f ca="1">IF(D983="","",4)</f>
        <v/>
      </c>
      <c r="D985" s="35" t="str">
        <f ca="1">IFERROR(IF(AND(INDEX(Tab_DaBa[],MATCH(CONCATENATE(Liste!$C$3,$B$851,$B$965),Data!$BO:$BO,0)-2,53)&lt;&gt;"",INDEX(Tab_DaBa[],MATCH(CONCATENATE(Liste!$C$3,$B$851,$B$965),Data!$BO:$BO,0)-2,58)=""),INDEX(Tab_DaBa[],MATCH(CONCATENATE(Liste!$C$3,$B$851,$B$965),Data!$BO:$BO,0)-2,13),IF(INDEX(Tab_DaBa[],MATCH(CONCATENATE(Liste!$C$3,$B$851,$B$965),Data!$BO:$BO,0)-2,53)&lt;&gt;"",INDEX(Tab_DaBa[],MATCH(CONCATENATE(Liste!$C$3,$B$851,$B$965),Data!$BO:$BO,0)-2,58),"")),"")</f>
        <v/>
      </c>
      <c r="E985" s="38" t="str">
        <f ca="1">IF(F983="","",4)</f>
        <v/>
      </c>
      <c r="F985" s="35" t="str">
        <f ca="1">IFERROR(IF(AND(INDEX(Tab_DaBa[],MATCH(CONCATENATE(Liste!$C$3,$B$851,$B$965),Data!$BO:$BO,0)-2,58)&lt;&gt;"",INDEX(Tab_DaBa[],MATCH(CONCATENATE(Liste!$C$3,$B$851,$B$965),Data!$BO:$BO,0)-2,63)=""),INDEX(Tab_DaBa[],MATCH(CONCATENATE(Liste!$C$3,$B$851,$B$965),Data!$BO:$BO,0)-2,13),IF(INDEX(Tab_DaBa[],MATCH(CONCATENATE(Liste!$C$3,$B$851,$B$965),Data!$BO:$BO,0)-2,58)&lt;&gt;"",INDEX(Tab_DaBa[],MATCH(CONCATENATE(Liste!$C$3,$B$851,$B$965),Data!$BO:$BO,0)-2,63),"")),"")</f>
        <v/>
      </c>
      <c r="G985" s="38" t="str">
        <f ca="1">IF(H983="","",4)</f>
        <v/>
      </c>
      <c r="H985" s="35" t="str">
        <f ca="1">IFERROR(IF(INDEX(Tab_DaBa[],MATCH(CONCATENATE(Liste!$C$3,$B$851,$B$965),Data!$BO:$BO,0)-2,63)&lt;&gt;"",INDEX(Tab_DaBa[],MATCH(CONCATENATE(Liste!$C$3,$B$851,$B$965),Data!$BO:$BO,0)-2,13),""),"")</f>
        <v/>
      </c>
    </row>
    <row r="986" spans="2:9" s="16" customFormat="1" ht="15.75">
      <c r="B986" s="35" t="str">
        <f ca="1">IFERROR(IF(AND(INDEX(Tab_DaBa[],MATCH(CONCATENATE(Liste!$C$3,$B$851,$B$965),Data!$BO:$BO,0)-2,48)&lt;&gt;"",INDEX(Tab_DaBa[],MATCH(CONCATENATE(Liste!$C$3,$B$851,$B$965),Data!$BO:$BO,0)-2,53)=""),"Performance Level: "&amp;INDEX(Tab_DaBa[],MATCH(CONCATENATE(Liste!$C$3,$B$851,$B$965),Data!$BO:$BO,0)-2,15),IF(INDEX(Tab_DaBa[],MATCH(CONCATENATE(Liste!$C$3,$B$851,$B$965),Data!$BO:$BO,0)-2,48)&lt;&gt;"","Performance Level: "&amp;INDEX(Tab_DaBa[],MATCH(CONCATENATE(Liste!$C$3,$B$851,$B$965),Data!$BO:$BO,0)-2,55),"")),"")</f>
        <v/>
      </c>
      <c r="C986" s="39"/>
      <c r="D986" s="35" t="str">
        <f ca="1">IFERROR(IF(AND(INDEX(Tab_DaBa[],MATCH(CONCATENATE(Liste!$C$3,$B$851,$B$965),Data!$BO:$BO,0)-2,53)&lt;&gt;"",INDEX(Tab_DaBa[],MATCH(CONCATENATE(Liste!$C$3,$B$851,$B$965),Data!$BO:$BO,0)-2,58)=""),"Performance Level: "&amp;INDEX(Tab_DaBa[],MATCH(CONCATENATE(Liste!$C$3,$B$851,$B$965),Data!$BO:$BO,0)-2,15),IF(INDEX(Tab_DaBa[],MATCH(CONCATENATE(Liste!$C$3,$B$851,$B$965),Data!$BO:$BO,0)-2,53)&lt;&gt;"","Performance Level: "&amp;INDEX(Tab_DaBa[],MATCH(CONCATENATE(Liste!$C$3,$B$851,$B$965),Data!$BO:$BO,0)-2,60),"")),"")</f>
        <v/>
      </c>
      <c r="E986" s="37"/>
      <c r="F986" s="35" t="str">
        <f ca="1">IFERROR(IF(AND(INDEX(Tab_DaBa[],MATCH(CONCATENATE(Liste!$C$3,$B$851,$B$965),Data!$BO:$BO,0)-2,58)&lt;&gt;"",INDEX(Tab_DaBa[],MATCH(CONCATENATE(Liste!$C$3,$B$851,$B$965),Data!$BO:$BO,0)-2,63)=""),"Performance Level: "&amp;INDEX(Tab_DaBa[],MATCH(CONCATENATE(Liste!$C$3,$B$851,$B$965),Data!$BO:$BO,0)-2,15),IF(INDEX(Tab_DaBa[],MATCH(CONCATENATE(Liste!$C$3,$B$851,$B$965),Data!$BO:$BO,0)-2,58)&lt;&gt;"","Performance Level: "&amp;INDEX(Tab_DaBa[],MATCH(CONCATENATE(Liste!$C$3,$B$851,$B$965),Data!$BO:$BO,0)-2,65),"")),"")</f>
        <v/>
      </c>
      <c r="G986" s="39"/>
      <c r="H986" s="35" t="str">
        <f ca="1">IFERROR(IF(INDEX(Tab_DaBa[],MATCH(CONCATENATE(Liste!$C$3,$B$851,$B$965),Data!$BO:$BO,0)-2,63)&lt;&gt;"","Performance Level: "&amp;INDEX(Tab_DaBa[],MATCH(CONCATENATE(Liste!$C$3,$B$851,$B$965),Data!$BO:$BO,0)-2,15),""),"")</f>
        <v/>
      </c>
    </row>
    <row r="987" spans="2:9" s="16" customFormat="1" ht="15.75">
      <c r="B987" s="35" t="str">
        <f ca="1">IFERROR(IF(AND(INDEX(Tab_DaBa[],MATCH(CONCATENATE(Liste!$C$3,$B$851,$B$965),Data!$BO:$BO,0)-2,48)&lt;&gt;"",INDEX(Tab_DaBa[],MATCH(CONCATENATE(Liste!$C$3,$B$851,$B$965),Data!$BO:$BO,0)-2,53)=""),"PFH [1/h] = "&amp;10^9*INDEX(Tab_DaBa[],MATCH(CONCATENATE(Liste!$C$3,$B$851,$B$965),Data!$BO:$BO,0)-2,16)&amp;"E-9",IF(INDEX(Tab_DaBa[],MATCH(CONCATENATE(Liste!$C$3,$B$851,$B$965),Data!$BO:$BO,0)-2,48)&lt;&gt;"","PFH [1/h] = "&amp;10^9*INDEX(Tab_DaBa[],MATCH(CONCATENATE(Liste!$C$3,$B$851,$B$965),Data!$BO:$BO,0)-2,56)&amp;"E-9","")),"")</f>
        <v/>
      </c>
      <c r="C987" s="39"/>
      <c r="D987" s="35" t="str">
        <f ca="1">IFERROR(IF(AND(INDEX(Tab_DaBa[],MATCH(CONCATENATE(Liste!$C$3,$B$851,$B$965),Data!$BO:$BO,0)-2,53)&lt;&gt;"",INDEX(Tab_DaBa[],MATCH(CONCATENATE(Liste!$C$3,$B$851,$B$965),Data!$BO:$BO,0)-2,58)=""),"PFH [1/h] = "&amp;10^9*INDEX(Tab_DaBa[],MATCH(CONCATENATE(Liste!$C$3,$B$851,$B$965),Data!$BO:$BO,0)-2,16)&amp;"E-9",IF(INDEX(Tab_DaBa[],MATCH(CONCATENATE(Liste!$C$3,$B$851,$B$965),Data!$BO:$BO,0)-2,53)&lt;&gt;"","PFH [1/h] = "&amp;10^9*INDEX(Tab_DaBa[],MATCH(CONCATENATE(Liste!$C$3,$B$851,$B$965),Data!$BO:$BO,0)-2,61)&amp;"E-9","")),"")</f>
        <v/>
      </c>
      <c r="E987" s="37"/>
      <c r="F987" s="35" t="str">
        <f ca="1">IFERROR(IF(AND(INDEX(Tab_DaBa[],MATCH(CONCATENATE(Liste!$C$3,$B$851,$B$965),Data!$BO:$BO,0)-2,58)&lt;&gt;"",INDEX(Tab_DaBa[],MATCH(CONCATENATE(Liste!$C$3,$B$851,$B$965),Data!$BO:$BO,0)-2,63)=""),"PFH [1/h] = "&amp;10^9*INDEX(Tab_DaBa[],MATCH(CONCATENATE(Liste!$C$3,$B$851,$B$965),Data!$BO:$BO,0)-2,16)&amp;"E-9",IF(INDEX(Tab_DaBa[],MATCH(CONCATENATE(Liste!$C$3,$B$851,$B$965),Data!$BO:$BO,0)-2,58)&lt;&gt;"","PFH [1/h] = "&amp;10^9*INDEX(Tab_DaBa[],MATCH(CONCATENATE(Liste!$C$3,$B$851,$B$965),Data!$BO:$BO,0)-2,66)&amp;"E-9","")),"")</f>
        <v/>
      </c>
      <c r="G987" s="39"/>
      <c r="H987" s="35" t="str">
        <f ca="1">IFERROR(IF(INDEX(Tab_DaBa[],MATCH(CONCATENATE(Liste!$C$3,$B$851,$B$965),Data!$BO:$BO,0)-2,63)&lt;&gt;"","PFH [1/h] = "&amp;10^9*INDEX(Tab_DaBa[],MATCH(CONCATENATE(Liste!$C$3,$B$851,$B$965),Data!$BO:$BO,0)-2,16)&amp;"E-9",""),"")</f>
        <v/>
      </c>
    </row>
    <row r="988" spans="2:9" s="16" customFormat="1"/>
    <row r="989" spans="2:9" s="16" customFormat="1">
      <c r="B989" s="43" t="str">
        <f ca="1">IF(D989="","","Erforderlich")</f>
        <v>Erforderlich</v>
      </c>
      <c r="D989" s="44" t="str">
        <f ca="1">IFERROR("Performance Level: "&amp;INDEX(Tab_DaBa[],MATCH(CONCATENATE(Liste!$C$3,$B$851,$B$965),Data!$BO:$BO,0)-2,4),"")</f>
        <v>Performance Level: PLr_ges4_5</v>
      </c>
    </row>
    <row r="990" spans="2:9" s="16" customFormat="1">
      <c r="B990" s="45"/>
    </row>
    <row r="991" spans="2:9" s="16" customFormat="1">
      <c r="B991" s="46" t="str">
        <f ca="1">IF(D991="","","Erreicht")</f>
        <v>Erreicht</v>
      </c>
      <c r="D991" s="47" t="str">
        <f ca="1">IFERROR("Performance Level: "&amp;INDEX(Tab_DaBa[],MATCH(CONCATENATE(Liste!$C$3,$B$851,$B$965),Data!$BO:$BO,0)-2,5)&amp;"          PFH [1/h] = "&amp;10^9*INDEX(Tab_DaBa[],MATCH(CONCATENATE(Liste!$C$3,$B$851,$B$965),Data!$BO:$BO,0)-2,6)&amp;"E-9","")</f>
        <v>Performance Level: Pl_ges4_5          PFH [1/h] = 71,7E-9</v>
      </c>
    </row>
    <row r="992" spans="2:9" s="16" customFormat="1"/>
    <row r="993" spans="2:9" s="16" customFormat="1">
      <c r="B993" s="42" t="str">
        <f ca="1">IFERROR(IF(6&gt;COUNTIF(Data!$BP:$BP,CONCATENATE(Liste!$C$3,$B$851)),"",INDEX(Tab_DaBa[],MATCH(CONCATENATE(Liste!$C$3,$B$851),Data!$BP:$BP,0)+3,3)),"")</f>
        <v>4.6 Test4 (E+6L+A)</v>
      </c>
    </row>
    <row r="994" spans="2:9" s="16" customFormat="1"/>
    <row r="995" spans="2:9" s="16" customFormat="1" ht="15.75">
      <c r="B995" s="35" t="str">
        <f ca="1">IFERROR(INDEX(Tab_DaBa[],MATCH(CONCATENATE(Liste!$C$3,$B$851,$B$993),Data!$BO:$BO,0)-2,9),"")</f>
        <v>Eingang</v>
      </c>
      <c r="C995" s="54"/>
      <c r="D995" s="35" t="str">
        <f ca="1">IFERROR(IF(INDEX(Tab_DaBa[],MATCH(CONCATENATE(Liste!$C$3,$B$851,$B$993),Data!$BO:$BO,0)-2,18)=0,INDEX(Tab_DaBa[],MATCH(CONCATENATE(Liste!$C$3,$B$851,$B$993),Data!$BO:$BO,0)-2,14),INDEX(Tab_DaBa[],MATCH(CONCATENATE(Liste!$C$3,$B$851,$B$993),Data!$BO:$BO,0)-2,19)),"")</f>
        <v>Logik 01</v>
      </c>
      <c r="E995" s="33"/>
      <c r="F995" s="35" t="str">
        <f ca="1">IFERROR(IF(AND(INDEX(Tab_DaBa[],MATCH(CONCATENATE(Liste!$C$3,$B$851,$B$993),Data!$BO:$BO,0)-2,18)&lt;&gt;"",INDEX(Tab_DaBa[],MATCH(CONCATENATE(Liste!$C$3,$B$851,$B$993),Data!$BO:$BO,0)-2,23)=0),INDEX(Tab_DaBa[],MATCH(CONCATENATE(Liste!$C$3,$B$851,$B$993),Data!$BO:$BO,0)-2,14),IF(INDEX(Tab_DaBa[],MATCH(CONCATENATE(Liste!$C$3,$B$851,$B$993),Data!$BO:$BO,0)-2,23)&lt;&gt;"",INDEX(Tab_DaBa[],MATCH(CONCATENATE(Liste!$C$3,$B$851,$B$993),Data!$BO:$BO,0)-2,24),"")),"")</f>
        <v>Logik 02</v>
      </c>
      <c r="G995" s="39"/>
      <c r="H995" s="35" t="str">
        <f ca="1">IFERROR(IF(AND(INDEX(Tab_DaBa[],MATCH(CONCATENATE(Liste!$C$3,$B$851,$B$993),Data!$BO:$BO,0)-2,23)&lt;&gt;"",INDEX(Tab_DaBa[],MATCH(CONCATENATE(Liste!$C$3,$B$851,$B$993),Data!$BO:$BO,0)-2,28)=0),INDEX(Tab_DaBa[],MATCH(CONCATENATE(Liste!$C$3,$B$851,$B$993),Data!$BO:$BO,0)-2,14),IF(INDEX(Tab_DaBa[],MATCH(CONCATENATE(Liste!$C$3,$B$851,$B$993),Data!$BO:$BO,0)-2,23)&lt;&gt;"",INDEX(Tab_DaBa[],MATCH(CONCATENATE(Liste!$C$3,$B$851,$B$993),Data!$BO:$BO,0)-2,29),"")),"")</f>
        <v>Logik 03</v>
      </c>
      <c r="I995" s="39"/>
    </row>
    <row r="996" spans="2:9" s="16" customFormat="1" ht="15.75">
      <c r="B996" s="35" t="str">
        <f ca="1">IFERROR(INDEX(Tab_DaBa[],MATCH(CONCATENATE(Liste!$C$3,$B$851,$B$993),Data!$BO:$BO,0)-2,7),"")</f>
        <v>eeee-33_6</v>
      </c>
      <c r="C996" s="54"/>
      <c r="D996" s="35" t="str">
        <f ca="1">IFERROR(IF(INDEX(Tab_DaBa[],MATCH(CONCATENATE(Liste!$C$3,$B$851,$B$993),Data!$BO:$BO,0)-2,18)="",INDEX(Tab_DaBa[],MATCH(CONCATENATE(Liste!$C$3,$B$851,$B$993),Data!$BO:$BO,0)-2,12),INDEX(Tab_DaBa[],MATCH(CONCATENATE(Liste!$C$3,$B$851,$B$993),Data!$BO:$BO,0)-2,17)),"")</f>
        <v>Log01-04_06</v>
      </c>
      <c r="E996" s="36"/>
      <c r="F996" s="35" t="str">
        <f ca="1">IFERROR(IF(AND(INDEX(Tab_DaBa[],MATCH(CONCATENATE(Liste!$C$3,$B$851,$B$993),Data!$BO:$BO,0)-2,18)&lt;&gt;"",INDEX(Tab_DaBa[],MATCH(CONCATENATE(Liste!$C$3,$B$851,$B$993),Data!$BO:$BO,0)-2,23)=0),INDEX(Tab_DaBa[],MATCH(CONCATENATE(Liste!$C$3,$B$851,$B$993),Data!$BO:$BO,0)-2,12),IF(INDEX(Tab_DaBa[],MATCH(CONCATENATE(Liste!$C$3,$B$851,$B$993),Data!$BO:$BO,0)-2,23)&lt;&gt;"",INDEX(Tab_DaBa[],MATCH(CONCATENATE(Liste!$C$3,$B$851,$B$993),Data!$BO:$BO,0)-2,22),"")),"")</f>
        <v>Lo04-04_06</v>
      </c>
      <c r="G996" s="39"/>
      <c r="H996" s="35" t="str">
        <f ca="1">IFERROR(IF(AND(INDEX(Tab_DaBa[],MATCH(CONCATENATE(Liste!$C$3,$B$851,$B$993),Data!$BO:$BO,0)-2,23)&lt;&gt;"",INDEX(Tab_DaBa[],MATCH(CONCATENATE(Liste!$C$3,$B$851,$B$993),Data!$BO:$BO,0)-2,28)=0),INDEX(Tab_DaBa[],MATCH(CONCATENATE(Liste!$C$3,$B$851,$B$993),Data!$BO:$BO,0)-2,12),IF(INDEX(Tab_DaBa[],MATCH(CONCATENATE(Liste!$C$3,$B$851,$B$993),Data!$BO:$BO,0)-2,23)&lt;&gt;"",INDEX(Tab_DaBa[],MATCH(CONCATENATE(Liste!$C$3,$B$851,$B$993),Data!$BO:$BO,0)-2,27),"")),"")</f>
        <v>Lo04-44_06</v>
      </c>
      <c r="I996" s="39"/>
    </row>
    <row r="997" spans="2:9" s="16" customFormat="1" ht="15.75">
      <c r="B997" s="35" t="str">
        <f ca="1">IFERROR(INDEX(Tab_DaBa[],MATCH(CONCATENATE(Liste!$C$3,$B$851,$B$993),Data!$BO:$BO,0)-2,8),"")</f>
        <v>Bez_Ein4_6</v>
      </c>
      <c r="C997" s="40">
        <f ca="1">IF(D995="","",4)</f>
        <v>4</v>
      </c>
      <c r="D997" s="35" t="str">
        <f ca="1">IFERROR(IF(INDEX(Tab_DaBa[],MATCH(CONCATENATE(Liste!$C$3,$B$851,$B$993),Data!$BO:$BO,0)-2,18)="",INDEX(Tab_DaBa[],MATCH(CONCATENATE(Liste!$C$3,$B$851,$B$993),Data!$BO:$BO,0)-2,13),INDEX(Tab_DaBa[],MATCH(CONCATENATE(Liste!$C$3,$B$851,$B$993),Data!$BO:$BO,0)-2,18)),"")</f>
        <v>Bez_Log01_04_06</v>
      </c>
      <c r="E997" s="40">
        <f ca="1">IF(F995="","",4)</f>
        <v>4</v>
      </c>
      <c r="F997" s="35" t="str">
        <f ca="1">IFERROR(IF(AND(INDEX(Tab_DaBa[],MATCH(CONCATENATE(Liste!$C$3,$B$851,$B$993),Data!$BO:$BO,0)-2,18)&lt;&gt;"",INDEX(Tab_DaBa[],MATCH(CONCATENATE(Liste!$C$3,$B$851,$B$993),Data!$BO:$BO,0)-2,23)=""),INDEX(Tab_DaBa[],MATCH(CONCATENATE(Liste!$C$3,$B$851,$B$993),Data!$BO:$BO,0)-2,13),IF(INDEX(Tab_DaBa[],MATCH(CONCATENATE(Liste!$C$3,$B$851,$B$993),Data!$BO:$BO,0)-2,23)&lt;&gt;"",INDEX(Tab_DaBa[],MATCH(CONCATENATE(Liste!$C$3,$B$851,$B$993),Data!$BO:$BO,0)-2,23),"")),"")</f>
        <v>Bez_Lo04_06</v>
      </c>
      <c r="G997" s="38">
        <f ca="1">IF(H995="","",4)</f>
        <v>4</v>
      </c>
      <c r="H997" s="35" t="str">
        <f ca="1">IFERROR(IF(AND(INDEX(Tab_DaBa[],MATCH(CONCATENATE(Liste!$C$3,$B$851,$B$993),Data!$BO:$BO,0)-2,23)&lt;&gt;"",INDEX(Tab_DaBa[],MATCH(CONCATENATE(Liste!$C$3,$B$851,$B$993),Data!$BO:$BO,0)-2,28)=""),INDEX(Tab_DaBa[],MATCH(CONCATENATE(Liste!$C$3,$B$851,$B$993),Data!$BO:$BO,0)-2,13),IF(INDEX(Tab_DaBa[],MATCH(CONCATENATE(Liste!$C$3,$B$851,$B$993),Data!$BO:$BO,0)-2,23)&lt;&gt;"",INDEX(Tab_DaBa[],MATCH(CONCATENATE(Liste!$C$3,$B$851,$B$993),Data!$BO:$BO,0)-2,28),"")),"")</f>
        <v>Bez_Lo04_06</v>
      </c>
      <c r="I997" s="38">
        <f ca="1">IF(B1003="","",6)</f>
        <v>6</v>
      </c>
    </row>
    <row r="998" spans="2:9" s="16" customFormat="1" ht="15.75">
      <c r="B998" s="35" t="str">
        <f ca="1">IFERROR("Performance Level: "&amp;INDEX(Tab_DaBa[],MATCH(CONCATENATE(Liste!$C$3,$B$851,$B$993),Data!$BO:$BO,0)-2,10),"")</f>
        <v>Performance Level: PL_Ein4_6</v>
      </c>
      <c r="C998" s="54"/>
      <c r="D998" s="35" t="str">
        <f ca="1">IFERROR(IF(INDEX(Tab_DaBa[],MATCH(CONCATENATE(Liste!$C$3,$B$851,$B$993),Data!$BO:$BO,0)-2,18)="","Performance Level: "&amp;INDEX(Tab_DaBa[],MATCH(CONCATENATE(Liste!$C$3,$B$851,$B$993),Data!$BO:$BO,0)-2,15),"Performance Level: "&amp;INDEX(Tab_DaBa[],MATCH(CONCATENATE(Liste!$C$3,$B$851,$B$993),Data!$BO:$BO,0)-2,20)),"")</f>
        <v>Performance Level: PL_Log01_04_06</v>
      </c>
      <c r="E998" s="36"/>
      <c r="F998" s="35" t="str">
        <f ca="1">IFERROR(IF(AND(INDEX(Tab_DaBa[],MATCH(CONCATENATE(Liste!$C$3,$B$851,$B$993),Data!$BO:$BO,0)-2,18)&lt;&gt;"",INDEX(Tab_DaBa[],MATCH(CONCATENATE(Liste!$C$3,$B$851,$B$993),Data!$BO:$BO,0)-2,23)=""),"Performance Level: "&amp;INDEX(Tab_DaBa[],MATCH(CONCATENATE(Liste!$C$3,$B$851,$B$993),Data!$BO:$BO,0)-2,15),IF(INDEX(Tab_DaBa[],MATCH(CONCATENATE(Liste!$C$3,$B$851,$B$993),Data!$BO:$BO,0)-2,23)&lt;&gt;"","Performance Level: "&amp;INDEX(Tab_DaBa[],MATCH(CONCATENATE(Liste!$C$3,$B$851,$B$993),Data!$BO:$BO,0)-2,25),"")),"")</f>
        <v>Performance Level: PL_Lo04_06</v>
      </c>
      <c r="G998" s="39"/>
      <c r="H998" s="35" t="str">
        <f ca="1">IFERROR(IF(AND(INDEX(Tab_DaBa[],MATCH(CONCATENATE(Liste!$C$3,$B$851,$B$993),Data!$BO:$BO,0)-2,23)&lt;&gt;"",INDEX(Tab_DaBa[],MATCH(CONCATENATE(Liste!$C$3,$B$851,$B$993),Data!$BO:$BO,0)-2,28)=""),"Performance Level: "&amp;INDEX(Tab_DaBa[],MATCH(CONCATENATE(Liste!$C$3,$B$851,$B$993),Data!$BO:$BO,0)-2,15),IF(INDEX(Tab_DaBa[],MATCH(CONCATENATE(Liste!$C$3,$B$851,$B$993),Data!$BO:$BO,0)-2,23)&lt;&gt;"","Performance Level: "&amp;INDEX(Tab_DaBa[],MATCH(CONCATENATE(Liste!$C$3,$B$851,$B$993),Data!$BO:$BO,0)-2,30),"")),"")</f>
        <v>Performance Level: PL_Lo04_06</v>
      </c>
      <c r="I998" s="38"/>
    </row>
    <row r="999" spans="2:9" s="16" customFormat="1" ht="15.75">
      <c r="B999" s="53" t="str">
        <f ca="1">IFERROR("PFH [1/h] = "&amp;10^9*INDEX(Tab_DaBa[],MATCH(CONCATENATE(Liste!$C$3,$B$851,$B$993),Data!$BO:$BO,0)-2,11)&amp;"E-9","")</f>
        <v>PFH [1/h] = 42,9E-9</v>
      </c>
      <c r="C999" s="54"/>
      <c r="D999" s="35" t="str">
        <f ca="1">IFERROR(IF(INDEX(Tab_DaBa[],MATCH(CONCATENATE(Liste!$C$3,$B$851,$B$993),Data!$BO:$BO,0)-2,18)="","PFH [1/h] = "&amp;10^9*INDEX(Tab_DaBa[],MATCH(CONCATENATE(Liste!$C$3,$B$851,$B$993),Data!$BO:$BO,0)-2,16)&amp;"E-9","PFH [1/h] = "&amp;10^9*INDEX(Tab_DaBa[],MATCH(CONCATENATE(Liste!$C$3,$B$851,$B$993),Data!$BO:$BO,0)-2,21)&amp;"E-9"),"")</f>
        <v>PFH [1/h] = 4,19E-9</v>
      </c>
      <c r="E999" s="36"/>
      <c r="F999" s="35" t="str">
        <f ca="1">IFERROR(IF(AND(INDEX(Tab_DaBa[],MATCH(CONCATENATE(Liste!$C$3,$B$851,$B$993),Data!$BO:$BO,0)-2,18)&lt;&gt;"",INDEX(Tab_DaBa[],MATCH(CONCATENATE(Liste!$C$3,$B$851,$B$993),Data!$BO:$BO,0)-2,23)=""),"PFH [1/h] = "&amp;10^9*INDEX(Tab_DaBa[],MATCH(CONCATENATE(Liste!$C$3,$B$851,$B$993),Data!$BO:$BO,0)-2,16)&amp;"E-9",IF(INDEX(Tab_DaBa[],MATCH(CONCATENATE(Liste!$C$3,$B$851,$B$993),Data!$BO:$BO,0)-2,23)&lt;&gt;"","PFH [1/h] = "&amp;10^9*INDEX(Tab_DaBa[],MATCH(CONCATENATE(Liste!$C$3,$B$851,$B$993),Data!$BO:$BO,0)-2,26)&amp;"E-9","")),"")</f>
        <v>PFH [1/h] = 4,19E-9</v>
      </c>
      <c r="G999" s="39"/>
      <c r="H999" s="35" t="str">
        <f ca="1">IFERROR(IF(AND(INDEX(Tab_DaBa[],MATCH(CONCATENATE(Liste!$C$3,$B$851,$B$993),Data!$BO:$BO,0)-2,23)&lt;&gt;"",INDEX(Tab_DaBa[],MATCH(CONCATENATE(Liste!$C$3,$B$851,$B$993),Data!$BO:$BO,0)-2,28)=""),"PFH [1/h] = "&amp;10^9*INDEX(Tab_DaBa[],MATCH(CONCATENATE(Liste!$C$3,$B$851,$B$993),Data!$BO:$BO,0)-2,16)&amp;"E-9",IF(INDEX(Tab_DaBa[],MATCH(CONCATENATE(Liste!$C$3,$B$851,$B$993),Data!$BO:$BO,0)-2,23)&lt;&gt;"","PFH [1/h] = "&amp;10^9*INDEX(Tab_DaBa[],MATCH(CONCATENATE(Liste!$C$3,$B$851,$B$993),Data!$BO:$BO,0)-2,31)&amp;"E-9","")),"")</f>
        <v>PFH [1/h] = 4,19E-9</v>
      </c>
      <c r="I999" s="39"/>
    </row>
    <row r="1000" spans="2:9" s="16" customFormat="1">
      <c r="B1000" s="33"/>
      <c r="C1000" s="34"/>
      <c r="D1000" s="33"/>
      <c r="E1000" s="33"/>
      <c r="F1000" s="33"/>
      <c r="G1000" s="33"/>
      <c r="H1000" s="33"/>
      <c r="I1000" s="33"/>
    </row>
    <row r="1001" spans="2:9" s="16" customFormat="1" ht="15.75">
      <c r="B1001" s="38">
        <f ca="1">IF(B1003="","",6)</f>
        <v>6</v>
      </c>
      <c r="C1001" s="34"/>
      <c r="D1001" s="38">
        <f ca="1">IF(B1003="","",3)</f>
        <v>3</v>
      </c>
      <c r="E1001" s="33"/>
      <c r="F1001" s="38">
        <f ca="1">IF(B1003="","",3)</f>
        <v>3</v>
      </c>
      <c r="G1001" s="33"/>
      <c r="H1001" s="38">
        <f ca="1">IF(B1003="","",3)</f>
        <v>3</v>
      </c>
      <c r="I1001" s="33"/>
    </row>
    <row r="1002" spans="2:9" s="16" customFormat="1" ht="15.75">
      <c r="B1002" s="39"/>
      <c r="C1002" s="33"/>
      <c r="D1002" s="33"/>
      <c r="E1002" s="33"/>
      <c r="F1002" s="33"/>
      <c r="G1002" s="33"/>
      <c r="H1002" s="33"/>
      <c r="I1002" s="33"/>
    </row>
    <row r="1003" spans="2:9" s="16" customFormat="1" ht="15.75">
      <c r="B1003" s="35" t="str">
        <f ca="1">IFERROR(IF(AND(INDEX(Tab_DaBa[],MATCH(CONCATENATE(Liste!$C$3,$B$851,$B$993),Data!$BO:$BO,0)-2,28)&lt;&gt;"",INDEX(Tab_DaBa[],MATCH(CONCATENATE(Liste!$C$3,$B$851,$B$993),Data!$BO:$BO,0)-2,33)=0),INDEX(Tab_DaBa[],MATCH(CONCATENATE(Liste!$C$3,$B$851,$B$993),Data!$BO:$BO,0)-2,14),IF(INDEX(Tab_DaBa[],MATCH(CONCATENATE(Liste!$C$3,$B$851,$B$993),Data!$BO:$BO,0)-2,28)&lt;&gt;"",INDEX(Tab_DaBa[],MATCH(CONCATENATE(Liste!$C$3,$B$851,$B$993),Data!$BO:$BO,0)-2,34),"")),"")</f>
        <v>Logik 04</v>
      </c>
      <c r="C1003" s="39"/>
      <c r="D1003" s="35" t="str">
        <f ca="1">IFERROR(IF(AND(INDEX(Tab_DaBa[],MATCH(CONCATENATE(Liste!$C$3,$B$851,$B$993),Data!$BO:$BO,0)-2,33)&lt;&gt;"",INDEX(Tab_DaBa[],MATCH(CONCATENATE(Liste!$C$3,$B$851,$B$993),Data!$BO:$BO,0)-2,38)=0),INDEX(Tab_DaBa[],MATCH(CONCATENATE(Liste!$C$3,$B$851,$B$993),Data!$BO:$BO,0)-2,14),IF(INDEX(Tab_DaBa[],MATCH(CONCATENATE(Liste!$C$3,$B$851,$B$993),Data!$BO:$BO,0)-2,33)&lt;&gt;"",INDEX(Tab_DaBa[],MATCH(CONCATENATE(Liste!$C$3,$B$851,$B$993),Data!$BO:$BO,0)-2,39),"")),"")</f>
        <v>Logik 05</v>
      </c>
      <c r="E1003" s="33"/>
      <c r="F1003" s="35" t="str">
        <f ca="1">IFERROR(IF(AND(INDEX(Tab_DaBa[],MATCH(CONCATENATE(Liste!$C$3,$B$851,$B$993),Data!$BO:$BO,0)-2,38)&lt;&gt;"",INDEX(Tab_DaBa[],MATCH(CONCATENATE(Liste!$C$3,$B$851,$B$993),Data!$BO:$BO,0)-2,43)=0),INDEX(Tab_DaBa[],MATCH(CONCATENATE(Liste!$C$3,$B$851,$B$993),Data!$BO:$BO,0)-2,14),IF(INDEX(Tab_DaBa[],MATCH(CONCATENATE(Liste!$C$3,$B$851,$B$993),Data!$BO:$BO,0)-2,38)&lt;&gt;"",INDEX(Tab_DaBa[],MATCH(CONCATENATE(Liste!$C$3,$B$851,$B$993),Data!$BO:$BO,0)-2,44),"")),"")</f>
        <v>Logik 06</v>
      </c>
      <c r="G1003" s="39"/>
      <c r="H1003" s="35" t="str">
        <f ca="1">IFERROR(IF(AND(INDEX(Tab_DaBa[],MATCH(CONCATENATE(Liste!$C$3,$B$851,$B$993),Data!$BO:$BO,0)-2,43)&lt;&gt;"",INDEX(Tab_DaBa[],MATCH(CONCATENATE(Liste!$C$3,$B$851,$B$993),Data!$BO:$BO,0)-2,48)=0),INDEX(Tab_DaBa[],MATCH(CONCATENATE(Liste!$C$3,$B$851,$B$993),Data!$BO:$BO,0)-2,14),IF(INDEX(Tab_DaBa[],MATCH(CONCATENATE(Liste!$C$3,$B$851,$B$993),Data!$BO:$BO,0)-2,43)&lt;&gt;"",INDEX(Tab_DaBa[],MATCH(CONCATENATE(Liste!$C$3,$B$851,$B$993),Data!$BO:$BO,0)-2,49),"")),"")</f>
        <v>Ausgang</v>
      </c>
      <c r="I1003" s="39"/>
    </row>
    <row r="1004" spans="2:9" s="16" customFormat="1" ht="15.75">
      <c r="B1004" s="35" t="str">
        <f ca="1">IFERROR(IF(AND(INDEX(Tab_DaBa[],MATCH(CONCATENATE(Liste!$C$3,$B$851,$B$993),Data!$BO:$BO,0)-2,28)&lt;&gt;"",INDEX(Tab_DaBa[],MATCH(CONCATENATE(Liste!$C$3,$B$851,$B$993),Data!$BO:$BO,0)-2,33)=0),INDEX(Tab_DaBa[],MATCH(CONCATENATE(Liste!$C$3,$B$851,$B$993),Data!$BO:$BO,0)-2,12),IF(INDEX(Tab_DaBa[],MATCH(CONCATENATE(Liste!$C$3,$B$851,$B$993),Data!$BO:$BO,0)-2,28)&lt;&gt;"",INDEX(Tab_DaBa[],MATCH(CONCATENATE(Liste!$C$3,$B$851,$B$993),Data!$BO:$BO,0)-2,32),"")),"")</f>
        <v>Lo04-44_06</v>
      </c>
      <c r="C1004" s="39"/>
      <c r="D1004" s="35" t="str">
        <f ca="1">IFERROR(IF(AND(INDEX(Tab_DaBa[],MATCH(CONCATENATE(Liste!$C$3,$B$851,$B$993),Data!$BO:$BO,0)-2,33)&lt;&gt;"",INDEX(Tab_DaBa[],MATCH(CONCATENATE(Liste!$C$3,$B$851,$B$993),Data!$BO:$BO,0)-2,38)=0),INDEX(Tab_DaBa[],MATCH(CONCATENATE(Liste!$C$3,$B$851,$B$993),Data!$BO:$BO,0)-2,12),IF(INDEX(Tab_DaBa[],MATCH(CONCATENATE(Liste!$C$3,$B$851,$B$993),Data!$BO:$BO,0)-2,33)&lt;&gt;"",INDEX(Tab_DaBa[],MATCH(CONCATENATE(Liste!$C$3,$B$851,$B$993),Data!$BO:$BO,0)-2,37),"")),"")</f>
        <v>Lo04-44_06</v>
      </c>
      <c r="E1004" s="37"/>
      <c r="F1004" s="35" t="str">
        <f ca="1">IFERROR(IF(AND(INDEX(Tab_DaBa[],MATCH(CONCATENATE(Liste!$C$3,$B$851,$B$993),Data!$BO:$BO,0)-2,38)&lt;&gt;"",INDEX(Tab_DaBa[],MATCH(CONCATENATE(Liste!$C$3,$B$851,$B$993),Data!$BO:$BO,0)-2,43)=0),INDEX(Tab_DaBa[],MATCH(CONCATENATE(Liste!$C$3,$B$851,$B$993),Data!$BO:$BO,0)-2,12),IF(INDEX(Tab_DaBa[],MATCH(CONCATENATE(Liste!$C$3,$B$851,$B$993),Data!$BO:$BO,0)-2,38)&lt;&gt;"",INDEX(Tab_DaBa[],MATCH(CONCATENATE(Liste!$C$3,$B$851,$B$993),Data!$BO:$BO,0)-2,42),"")),"")</f>
        <v>Lo03-33_06</v>
      </c>
      <c r="G1004" s="39"/>
      <c r="H1004" s="35" t="str">
        <f ca="1">IFERROR(IF(AND(INDEX(Tab_DaBa[],MATCH(CONCATENATE(Liste!$C$3,$B$851,$B$993),Data!$BO:$BO,0)-2,43)&lt;&gt;"",INDEX(Tab_DaBa[],MATCH(CONCATENATE(Liste!$C$3,$B$851,$B$993),Data!$BO:$BO,0)-2,48)=0),INDEX(Tab_DaBa[],MATCH(CONCATENATE(Liste!$C$3,$B$851,$B$993),Data!$BO:$BO,0)-2,12),IF(INDEX(Tab_DaBa[],MATCH(CONCATENATE(Liste!$C$3,$B$851,$B$993),Data!$BO:$BO,0)-2,43)&lt;&gt;"",INDEX(Tab_DaBa[],MATCH(CONCATENATE(Liste!$C$3,$B$851,$B$993),Data!$BO:$BO,0)-2,47),"")),"")</f>
        <v>aaaa-44_6</v>
      </c>
      <c r="I1004" s="39"/>
    </row>
    <row r="1005" spans="2:9" s="16" customFormat="1" ht="15.75">
      <c r="B1005" s="35" t="str">
        <f ca="1">IFERROR(IF(AND(INDEX(Tab_DaBa[],MATCH(CONCATENATE(Liste!$C$3,$B$851,$B$993),Data!$BO:$BO,0)-2,28)&lt;&gt;"",INDEX(Tab_DaBa[],MATCH(CONCATENATE(Liste!$C$3,$B$851,$B$993),Data!$BO:$BO,0)-2,33)=""),INDEX(Tab_DaBa[],MATCH(CONCATENATE(Liste!$C$3,$B$851,$B$993),Data!$BO:$BO,0)-2,13),IF(INDEX(Tab_DaBa[],MATCH(CONCATENATE(Liste!$C$3,$B$851,$B$993),Data!$BO:$BO,0)-2,28)&lt;&gt;"",INDEX(Tab_DaBa[],MATCH(CONCATENATE(Liste!$C$3,$B$851,$B$993),Data!$BO:$BO,0)-2,33),"")),"")</f>
        <v>Bez_Lo04_06</v>
      </c>
      <c r="C1005" s="38">
        <f ca="1">IF(D1003="","",4)</f>
        <v>4</v>
      </c>
      <c r="D1005" s="35" t="str">
        <f ca="1">IFERROR(IF(AND(INDEX(Tab_DaBa[],MATCH(CONCATENATE(Liste!$C$3,$B$851,$B$993),Data!$BO:$BO,0)-2,33)&lt;&gt;"",INDEX(Tab_DaBa[],MATCH(CONCATENATE(Liste!$C$3,$B$851,$B$993),Data!$BO:$BO,0)-2,38)=""),INDEX(Tab_DaBa[],MATCH(CONCATENATE(Liste!$C$3,$B$851,$B$993),Data!$BO:$BO,0)-2,13),IF(INDEX(Tab_DaBa[],MATCH(CONCATENATE(Liste!$C$3,$B$851,$B$993),Data!$BO:$BO,0)-2,33)&lt;&gt;"",INDEX(Tab_DaBa[],MATCH(CONCATENATE(Liste!$C$3,$B$851,$B$993),Data!$BO:$BO,0)-2,38),"")),"")</f>
        <v>Bez_Lo03_06</v>
      </c>
      <c r="E1005" s="38">
        <f ca="1">IF(F1003="","",4)</f>
        <v>4</v>
      </c>
      <c r="F1005" s="35" t="str">
        <f ca="1">IFERROR(IF(AND(INDEX(Tab_DaBa[],MATCH(CONCATENATE(Liste!$C$3,$B$851,$B$993),Data!$BO:$BO,0)-2,38)&lt;&gt;"",INDEX(Tab_DaBa[],MATCH(CONCATENATE(Liste!$C$3,$B$851,$B$993),Data!$BO:$BO,0)-2,43)=""),INDEX(Tab_DaBa[],MATCH(CONCATENATE(Liste!$C$3,$B$851,$B$993),Data!$BO:$BO,0)-2,13),IF(INDEX(Tab_DaBa[],MATCH(CONCATENATE(Liste!$C$3,$B$851,$B$993),Data!$BO:$BO,0)-2,38)&lt;&gt;"",INDEX(Tab_DaBa[],MATCH(CONCATENATE(Liste!$C$3,$B$851,$B$993),Data!$BO:$BO,0)-2,43),"")),"")</f>
        <v>Bez_Lo03_06</v>
      </c>
      <c r="G1005" s="38">
        <f ca="1">IF(H1003="","",4)</f>
        <v>4</v>
      </c>
      <c r="H1005" s="35" t="str">
        <f ca="1">IFERROR(IF(AND(INDEX(Tab_DaBa[],MATCH(CONCATENATE(Liste!$C$3,$B$851,$B$993),Data!$BO:$BO,0)-2,43)&lt;&gt;"",INDEX(Tab_DaBa[],MATCH(CONCATENATE(Liste!$C$3,$B$851,$B$993),Data!$BO:$BO,0)-2,48)=""),INDEX(Tab_DaBa[],MATCH(CONCATENATE(Liste!$C$3,$B$851,$B$993),Data!$BO:$BO,0)-2,13),IF(INDEX(Tab_DaBa[],MATCH(CONCATENATE(Liste!$C$3,$B$851,$B$993),Data!$BO:$BO,0)-2,43)&lt;&gt;"",INDEX(Tab_DaBa[],MATCH(CONCATENATE(Liste!$C$3,$B$851,$B$993),Data!$BO:$BO,0)-2,48),"")),"")</f>
        <v>Bez_Aus4_6</v>
      </c>
      <c r="I1005" s="38" t="str">
        <f ca="1">IF(B1011="","",6)</f>
        <v/>
      </c>
    </row>
    <row r="1006" spans="2:9" s="16" customFormat="1" ht="15.75">
      <c r="B1006" s="35" t="str">
        <f ca="1">IFERROR(IF(AND(INDEX(Tab_DaBa[],MATCH(CONCATENATE(Liste!$C$3,$B$851,$B$993),Data!$BO:$BO,0)-2,28)&lt;&gt;"",INDEX(Tab_DaBa[],MATCH(CONCATENATE(Liste!$C$3,$B$851,$B$993),Data!$BO:$BO,0)-2,33)=""),"Performance Level: "&amp;INDEX(Tab_DaBa[],MATCH(CONCATENATE(Liste!$C$3,$B$851,$B$993),Data!$BO:$BO,0)-2,15),IF(INDEX(Tab_DaBa[],MATCH(CONCATENATE(Liste!$C$3,$B$851,$B$993),Data!$BO:$BO,0)-2,28)&lt;&gt;"","Performance Level: "&amp;INDEX(Tab_DaBa[],MATCH(CONCATENATE(Liste!$C$3,$B$851,$B$993),Data!$BO:$BO,0)-2,35),"")),"")</f>
        <v>Performance Level: PL_Lo04_06</v>
      </c>
      <c r="C1006" s="39"/>
      <c r="D1006" s="35" t="str">
        <f ca="1">IFERROR(IF(AND(INDEX(Tab_DaBa[],MATCH(CONCATENATE(Liste!$C$3,$B$851,$B$993),Data!$BO:$BO,0)-2,33)&lt;&gt;"",INDEX(Tab_DaBa[],MATCH(CONCATENATE(Liste!$C$3,$B$851,$B$993),Data!$BO:$BO,0)-2,38)=""),"Performance Level: "&amp;INDEX(Tab_DaBa[],MATCH(CONCATENATE(Liste!$C$3,$B$851,$B$993),Data!$BO:$BO,0)-2,15),IF(INDEX(Tab_DaBa[],MATCH(CONCATENATE(Liste!$C$3,$B$851,$B$993),Data!$BO:$BO,0)-2,33)&lt;&gt;"","Performance Level: "&amp;INDEX(Tab_DaBa[],MATCH(CONCATENATE(Liste!$C$3,$B$851,$B$993),Data!$BO:$BO,0)-2,40),"")),"")</f>
        <v>Performance Level: PL_Lo03_6</v>
      </c>
      <c r="E1006" s="37"/>
      <c r="F1006" s="35" t="str">
        <f ca="1">IFERROR(IF(AND(INDEX(Tab_DaBa[],MATCH(CONCATENATE(Liste!$C$3,$B$851,$B$993),Data!$BO:$BO,0)-2,38)&lt;&gt;"",INDEX(Tab_DaBa[],MATCH(CONCATENATE(Liste!$C$3,$B$851,$B$993),Data!$BO:$BO,0)-2,43)=""),"Performance Level: "&amp;INDEX(Tab_DaBa[],MATCH(CONCATENATE(Liste!$C$3,$B$851,$B$993),Data!$BO:$BO,0)-2,15),IF(INDEX(Tab_DaBa[],MATCH(CONCATENATE(Liste!$C$3,$B$851,$B$993),Data!$BO:$BO,0)-2,38)&lt;&gt;"","Performance Level: "&amp;INDEX(Tab_DaBa[],MATCH(CONCATENATE(Liste!$C$3,$B$851,$B$993),Data!$BO:$BO,0)-2,45),"")),"")</f>
        <v>Performance Level: PL_Lo03_06</v>
      </c>
      <c r="G1006" s="39"/>
      <c r="H1006" s="35" t="str">
        <f ca="1">IFERROR(IF(AND(INDEX(Tab_DaBa[],MATCH(CONCATENATE(Liste!$C$3,$B$851,$B$993),Data!$BO:$BO,0)-2,43)&lt;&gt;"",INDEX(Tab_DaBa[],MATCH(CONCATENATE(Liste!$C$3,$B$851,$B$993),Data!$BO:$BO,0)-2,48)=""),"Performance Level: "&amp;INDEX(Tab_DaBa[],MATCH(CONCATENATE(Liste!$C$3,$B$851,$B$993),Data!$BO:$BO,0)-2,15),IF(INDEX(Tab_DaBa[],MATCH(CONCATENATE(Liste!$C$3,$B$851,$B$993),Data!$BO:$BO,0)-2,43)&lt;&gt;"","Performance Level: "&amp;INDEX(Tab_DaBa[],MATCH(CONCATENATE(Liste!$C$3,$B$851,$B$993),Data!$BO:$BO,0)-2,50),"")),"")</f>
        <v>Performance Level: PL_Aus4_6</v>
      </c>
      <c r="I1006" s="39"/>
    </row>
    <row r="1007" spans="2:9" s="16" customFormat="1" ht="15.75">
      <c r="B1007" s="35" t="str">
        <f ca="1">IFERROR(IF(AND(INDEX(Tab_DaBa[],MATCH(CONCATENATE(Liste!$C$3,$B$851,$B$993),Data!$BO:$BO,0)-2,28)&lt;&gt;"",INDEX(Tab_DaBa[],MATCH(CONCATENATE(Liste!$C$3,$B$851,$B$993),Data!$BO:$BO,0)-2,33)=""),"PFH [1/h] = "&amp;10^9*INDEX(Tab_DaBa[],MATCH(CONCATENATE(Liste!$C$3,$B$851,$B$993),Data!$BO:$BO,0)-2,16)&amp;"E-9",IF(INDEX(Tab_DaBa[],MATCH(CONCATENATE(Liste!$C$3,$B$851,$B$993),Data!$BO:$BO,0)-2,28)&lt;&gt;"","PFH [1/h] = "&amp;10^9*INDEX(Tab_DaBa[],MATCH(CONCATENATE(Liste!$C$3,$B$851,$B$993),Data!$BO:$BO,0)-2,36)&amp;"E-9","")),"")</f>
        <v>PFH [1/h] = 4,19E-9</v>
      </c>
      <c r="C1007" s="39"/>
      <c r="D1007" s="35" t="str">
        <f ca="1">IFERROR(IF(AND(INDEX(Tab_DaBa[],MATCH(CONCATENATE(Liste!$C$3,$B$851,$B$993),Data!$BO:$BO,0)-2,33)&lt;&gt;"",INDEX(Tab_DaBa[],MATCH(CONCATENATE(Liste!$C$3,$B$851,$B$993),Data!$BO:$BO,0)-2,38)=""),"PFH [1/h] = "&amp;10^9*INDEX(Tab_DaBa[],MATCH(CONCATENATE(Liste!$C$3,$B$851,$B$993),Data!$BO:$BO,0)-2,16)&amp;"E-9",IF(INDEX(Tab_DaBa[],MATCH(CONCATENATE(Liste!$C$3,$B$851,$B$993),Data!$BO:$BO,0)-2,33)&lt;&gt;"","PFH [1/h] = "&amp;10^9*INDEX(Tab_DaBa[],MATCH(CONCATENATE(Liste!$C$3,$B$851,$B$993),Data!$BO:$BO,0)-2,41)&amp;"E-9","")),"")</f>
        <v>PFH [1/h] = 4,19E-9</v>
      </c>
      <c r="E1007" s="37"/>
      <c r="F1007" s="35" t="str">
        <f ca="1">IFERROR(IF(AND(INDEX(Tab_DaBa[],MATCH(CONCATENATE(Liste!$C$3,$B$851,$B$993),Data!$BO:$BO,0)-2,38)&lt;&gt;"",INDEX(Tab_DaBa[],MATCH(CONCATENATE(Liste!$C$3,$B$851,$B$993),Data!$BO:$BO,0)-2,43)=""),"PFH [1/h] = "&amp;10^9*INDEX(Tab_DaBa[],MATCH(CONCATENATE(Liste!$C$3,$B$851,$B$993),Data!$BO:$BO,0)-2,16)&amp;"E-9",IF(INDEX(Tab_DaBa[],MATCH(CONCATENATE(Liste!$C$3,$B$851,$B$993),Data!$BO:$BO,0)-2,38)&lt;&gt;"","PFH [1/h] = "&amp;10^9*INDEX(Tab_DaBa[],MATCH(CONCATENATE(Liste!$C$3,$B$851,$B$993),Data!$BO:$BO,0)-2,46)&amp;"E-9","")),"")</f>
        <v>PFH [1/h] = 4,19E-9</v>
      </c>
      <c r="G1007" s="39"/>
      <c r="H1007" s="35" t="str">
        <f ca="1">IFERROR(IF(AND(INDEX(Tab_DaBa[],MATCH(CONCATENATE(Liste!$C$3,$B$851,$B$993),Data!$BO:$BO,0)-2,43)&lt;&gt;"",INDEX(Tab_DaBa[],MATCH(CONCATENATE(Liste!$C$3,$B$851,$B$993),Data!$BO:$BO,0)-2,48)=""),"PFH [1/h] = "&amp;10^9*INDEX(Tab_DaBa[],MATCH(CONCATENATE(Liste!$C$3,$B$851,$B$993),Data!$BO:$BO,0)-2,16)&amp;"E-9",IF(INDEX(Tab_DaBa[],MATCH(CONCATENATE(Liste!$C$3,$B$851,$B$993),Data!$BO:$BO,0)-2,43)&lt;&gt;"","PFH [1/h] = "&amp;10^9*INDEX(Tab_DaBa[],MATCH(CONCATENATE(Liste!$C$3,$B$851,$B$993),Data!$BO:$BO,0)-2,51)&amp;"E-9","")),"")</f>
        <v>PFH [1/h] = 24,7E-9</v>
      </c>
      <c r="I1007" s="39"/>
    </row>
    <row r="1008" spans="2:9" s="16" customFormat="1">
      <c r="B1008" s="33"/>
      <c r="C1008" s="33"/>
      <c r="D1008" s="33"/>
      <c r="E1008" s="33"/>
      <c r="F1008" s="33"/>
      <c r="G1008" s="33"/>
      <c r="H1008" s="33"/>
      <c r="I1008" s="33"/>
    </row>
    <row r="1009" spans="2:9" s="16" customFormat="1" ht="15.75">
      <c r="B1009" s="38" t="str">
        <f ca="1">IF(B1011="","",6)</f>
        <v/>
      </c>
      <c r="C1009" s="33"/>
      <c r="D1009" s="38" t="str">
        <f ca="1">IF(B1011="","",3)</f>
        <v/>
      </c>
      <c r="E1009" s="33"/>
      <c r="F1009" s="38" t="str">
        <f ca="1">IF(B1011="","",3)</f>
        <v/>
      </c>
      <c r="G1009" s="33"/>
      <c r="H1009" s="38" t="str">
        <f ca="1">IF(B1011="","",3)</f>
        <v/>
      </c>
      <c r="I1009" s="33"/>
    </row>
    <row r="1010" spans="2:9" s="16" customFormat="1" ht="15.75">
      <c r="B1010" s="39"/>
      <c r="C1010" s="33"/>
      <c r="D1010" s="33"/>
      <c r="E1010" s="33"/>
      <c r="F1010" s="33"/>
      <c r="G1010" s="33"/>
      <c r="H1010" s="33"/>
      <c r="I1010" s="33"/>
    </row>
    <row r="1011" spans="2:9" s="16" customFormat="1" ht="15.75">
      <c r="B1011" s="35" t="str">
        <f ca="1">IFERROR(IF(AND(INDEX(Tab_DaBa[],MATCH(CONCATENATE(Liste!$C$3,$B$851,$B$993),Data!$BO:$BO,0)-2,48)&lt;&gt;"",INDEX(Tab_DaBa[],MATCH(CONCATENATE(Liste!$C$3,$B$851,$B$993),Data!$BO:$BO,0)-2,53)=0),INDEX(Tab_DaBa[],MATCH(CONCATENATE(Liste!$C$3,$B$851,$B$993),Data!$BO:$BO,0)-2,14),IF(INDEX(Tab_DaBa[],MATCH(CONCATENATE(Liste!$C$3,$B$851,$B$993),Data!$BO:$BO,0)-2,48)&lt;&gt;"",INDEX(Tab_DaBa[],MATCH(CONCATENATE(Liste!$C$3,$B$851,$B$993),Data!$BO:$BO,0)-2,54),"")),"")</f>
        <v/>
      </c>
      <c r="C1011" s="39"/>
      <c r="D1011" s="35" t="str">
        <f ca="1">IFERROR(IF(AND(INDEX(Tab_DaBa[],MATCH(CONCATENATE(Liste!$C$3,$B$851,$B$993),Data!$BO:$BO,0)-2,53)&lt;&gt;"",INDEX(Tab_DaBa[],MATCH(CONCATENATE(Liste!$C$3,$B$851,$B$993),Data!$BO:$BO,0)-2,58)=0),INDEX(Tab_DaBa[],MATCH(CONCATENATE(Liste!$C$3,$B$851,$B$993),Data!$BO:$BO,0)-2,14),IF(INDEX(Tab_DaBa[],MATCH(CONCATENATE(Liste!$C$3,$B$851,$B$993),Data!$BO:$BO,0)-2,53)&lt;&gt;"",INDEX(Tab_DaBa[],MATCH(CONCATENATE(Liste!$C$3,$B$851,$B$993),Data!$BO:$BO,0)-2,59),"")),"")</f>
        <v/>
      </c>
      <c r="E1011" s="33"/>
      <c r="F1011" s="35" t="str">
        <f ca="1">IFERROR(IF(AND(INDEX(Tab_DaBa[],MATCH(CONCATENATE(Liste!$C$3,$B$851,$B$993),Data!$BO:$BO,0)-2,58)&lt;&gt;"",INDEX(Tab_DaBa[],MATCH(CONCATENATE(Liste!$C$3,$B$851,$B$993),Data!$BO:$BO,0)-2,63)=0),INDEX(Tab_DaBa[],MATCH(CONCATENATE(Liste!$C$3,$B$851,$B$993),Data!$BO:$BO,0)-2,14),IF(INDEX(Tab_DaBa[],MATCH(CONCATENATE(Liste!$C$3,$B$851,$B$993),Data!$BO:$BO,0)-2,58)&lt;&gt;"",INDEX(Tab_DaBa[],MATCH(CONCATENATE(Liste!$C$3,$B$851,$B$993),Data!$BO:$BO,0)-2,64),"")),"")</f>
        <v/>
      </c>
      <c r="G1011" s="39"/>
      <c r="H1011" s="35" t="str">
        <f ca="1">IFERROR(IF(INDEX(Tab_DaBa[],MATCH(CONCATENATE(Liste!$C$3,$B$851,$B$993),Data!$BO:$BO,0)-2,63)&lt;&gt;"",INDEX(Tab_DaBa[],MATCH(CONCATENATE(Liste!$C$3,$B$851,$B$993),Data!$BO:$BO,0)-2,14),""),"")</f>
        <v/>
      </c>
    </row>
    <row r="1012" spans="2:9" s="16" customFormat="1" ht="15.75">
      <c r="B1012" s="35" t="str">
        <f ca="1">IFERROR(IF(AND(INDEX(Tab_DaBa[],MATCH(CONCATENATE(Liste!$C$3,$B$851,$B$993),Data!$BO:$BO,0)-2,48)&lt;&gt;"",INDEX(Tab_DaBa[],MATCH(CONCATENATE(Liste!$C$3,$B$851,$B$993),Data!$BO:$BO,0)-2,53)=0),INDEX(Tab_DaBa[],MATCH(CONCATENATE(Liste!$C$3,$B$851,$B$993),Data!$BO:$BO,0)-2,12),IF(INDEX(Tab_DaBa[],MATCH(CONCATENATE(Liste!$C$3,$B$851,$B$993),Data!$BO:$BO,0)-2,48)&lt;&gt;"",INDEX(Tab_DaBa[],MATCH(CONCATENATE(Liste!$C$3,$B$851,$B$993),Data!$BO:$BO,0)-2,52),"")),"")</f>
        <v/>
      </c>
      <c r="C1012" s="39"/>
      <c r="D1012" s="35" t="str">
        <f ca="1">IFERROR(IF(AND(INDEX(Tab_DaBa[],MATCH(CONCATENATE(Liste!$C$3,$B$851,$B$993),Data!$BO:$BO,0)-2,53)&lt;&gt;"",INDEX(Tab_DaBa[],MATCH(CONCATENATE(Liste!$C$3,$B$851,$B$993),Data!$BO:$BO,0)-2,58)=0),INDEX(Tab_DaBa[],MATCH(CONCATENATE(Liste!$C$3,$B$851,$B$993),Data!$BO:$BO,0)-2,12),IF(INDEX(Tab_DaBa[],MATCH(CONCATENATE(Liste!$C$3,$B$851,$B$993),Data!$BO:$BO,0)-2,53)&lt;&gt;"",INDEX(Tab_DaBa[],MATCH(CONCATENATE(Liste!$C$3,$B$851,$B$993),Data!$BO:$BO,0)-2,57),"")),"")</f>
        <v/>
      </c>
      <c r="E1012" s="37"/>
      <c r="F1012" s="35" t="str">
        <f ca="1">IFERROR(IF(AND(INDEX(Tab_DaBa[],MATCH(CONCATENATE(Liste!$C$3,$B$851,$B$993),Data!$BO:$BO,0)-2,58)&lt;&gt;"",INDEX(Tab_DaBa[],MATCH(CONCATENATE(Liste!$C$3,$B$851,$B$993),Data!$BO:$BO,0)-2,63)=0),INDEX(Tab_DaBa[],MATCH(CONCATENATE(Liste!$C$3,$B$851,$B$993),Data!$BO:$BO,0)-2,12),IF(INDEX(Tab_DaBa[],MATCH(CONCATENATE(Liste!$C$3,$B$851,$B$993),Data!$BO:$BO,0)-2,58)&lt;&gt;"",INDEX(Tab_DaBa[],MATCH(CONCATENATE(Liste!$C$3,$B$851,$B$993),Data!$BO:$BO,0)-2,62),"")),"")</f>
        <v/>
      </c>
      <c r="G1012" s="39"/>
      <c r="H1012" s="35" t="str">
        <f ca="1">IFERROR(IF(INDEX(Tab_DaBa[],MATCH(CONCATENATE(Liste!$C$3,$B$851,$B$993),Data!$BO:$BO,0)-2,63)&lt;&gt;"",INDEX(Tab_DaBa[],MATCH(CONCATENATE(Liste!$C$3,$B$851,$B$993),Data!$BO:$BO,0)-2,12),""),"")</f>
        <v/>
      </c>
    </row>
    <row r="1013" spans="2:9" s="16" customFormat="1" ht="15.75">
      <c r="B1013" s="35" t="str">
        <f ca="1">IFERROR(IF(AND(INDEX(Tab_DaBa[],MATCH(CONCATENATE(Liste!$C$3,$B$851,$B$993),Data!$BO:$BO,0)-2,48)&lt;&gt;"",INDEX(Tab_DaBa[],MATCH(CONCATENATE(Liste!$C$3,$B$851,$B$993),Data!$BO:$BO,0)-2,53)=""),INDEX(Tab_DaBa[],MATCH(CONCATENATE(Liste!$C$3,$B$851,$B$993),Data!$BO:$BO,0)-2,13),IF(INDEX(Tab_DaBa[],MATCH(CONCATENATE(Liste!$C$3,$B$851,$B$993),Data!$BO:$BO,0)-2,48)&lt;&gt;"",INDEX(Tab_DaBa[],MATCH(CONCATENATE(Liste!$C$3,$B$851,$B$993),Data!$BO:$BO,0)-2,53),"")),"")</f>
        <v/>
      </c>
      <c r="C1013" s="38" t="str">
        <f ca="1">IF(D1011="","",4)</f>
        <v/>
      </c>
      <c r="D1013" s="35" t="str">
        <f ca="1">IFERROR(IF(AND(INDEX(Tab_DaBa[],MATCH(CONCATENATE(Liste!$C$3,$B$851,$B$993),Data!$BO:$BO,0)-2,53)&lt;&gt;"",INDEX(Tab_DaBa[],MATCH(CONCATENATE(Liste!$C$3,$B$851,$B$993),Data!$BO:$BO,0)-2,58)=""),INDEX(Tab_DaBa[],MATCH(CONCATENATE(Liste!$C$3,$B$851,$B$993),Data!$BO:$BO,0)-2,13),IF(INDEX(Tab_DaBa[],MATCH(CONCATENATE(Liste!$C$3,$B$851,$B$993),Data!$BO:$BO,0)-2,53)&lt;&gt;"",INDEX(Tab_DaBa[],MATCH(CONCATENATE(Liste!$C$3,$B$851,$B$993),Data!$BO:$BO,0)-2,58),"")),"")</f>
        <v/>
      </c>
      <c r="E1013" s="38" t="str">
        <f ca="1">IF(F1011="","",4)</f>
        <v/>
      </c>
      <c r="F1013" s="35" t="str">
        <f ca="1">IFERROR(IF(AND(INDEX(Tab_DaBa[],MATCH(CONCATENATE(Liste!$C$3,$B$851,$B$993),Data!$BO:$BO,0)-2,58)&lt;&gt;"",INDEX(Tab_DaBa[],MATCH(CONCATENATE(Liste!$C$3,$B$851,$B$993),Data!$BO:$BO,0)-2,63)=""),INDEX(Tab_DaBa[],MATCH(CONCATENATE(Liste!$C$3,$B$851,$B$993),Data!$BO:$BO,0)-2,13),IF(INDEX(Tab_DaBa[],MATCH(CONCATENATE(Liste!$C$3,$B$851,$B$993),Data!$BO:$BO,0)-2,58)&lt;&gt;"",INDEX(Tab_DaBa[],MATCH(CONCATENATE(Liste!$C$3,$B$851,$B$993),Data!$BO:$BO,0)-2,63),"")),"")</f>
        <v/>
      </c>
      <c r="G1013" s="38" t="str">
        <f ca="1">IF(H1011="","",4)</f>
        <v/>
      </c>
      <c r="H1013" s="35" t="str">
        <f ca="1">IFERROR(IF(INDEX(Tab_DaBa[],MATCH(CONCATENATE(Liste!$C$3,$B$851,$B$993),Data!$BO:$BO,0)-2,63)&lt;&gt;"",INDEX(Tab_DaBa[],MATCH(CONCATENATE(Liste!$C$3,$B$851,$B$993),Data!$BO:$BO,0)-2,13),""),"")</f>
        <v/>
      </c>
    </row>
    <row r="1014" spans="2:9" s="16" customFormat="1" ht="15.75">
      <c r="B1014" s="35" t="str">
        <f ca="1">IFERROR(IF(AND(INDEX(Tab_DaBa[],MATCH(CONCATENATE(Liste!$C$3,$B$851,$B$993),Data!$BO:$BO,0)-2,48)&lt;&gt;"",INDEX(Tab_DaBa[],MATCH(CONCATENATE(Liste!$C$3,$B$851,$B$993),Data!$BO:$BO,0)-2,53)=""),"Performance Level: "&amp;INDEX(Tab_DaBa[],MATCH(CONCATENATE(Liste!$C$3,$B$851,$B$993),Data!$BO:$BO,0)-2,15),IF(INDEX(Tab_DaBa[],MATCH(CONCATENATE(Liste!$C$3,$B$851,$B$993),Data!$BO:$BO,0)-2,48)&lt;&gt;"","Performance Level: "&amp;INDEX(Tab_DaBa[],MATCH(CONCATENATE(Liste!$C$3,$B$851,$B$993),Data!$BO:$BO,0)-2,55),"")),"")</f>
        <v/>
      </c>
      <c r="C1014" s="39"/>
      <c r="D1014" s="35" t="str">
        <f ca="1">IFERROR(IF(AND(INDEX(Tab_DaBa[],MATCH(CONCATENATE(Liste!$C$3,$B$851,$B$993),Data!$BO:$BO,0)-2,53)&lt;&gt;"",INDEX(Tab_DaBa[],MATCH(CONCATENATE(Liste!$C$3,$B$851,$B$993),Data!$BO:$BO,0)-2,58)=""),"Performance Level: "&amp;INDEX(Tab_DaBa[],MATCH(CONCATENATE(Liste!$C$3,$B$851,$B$993),Data!$BO:$BO,0)-2,15),IF(INDEX(Tab_DaBa[],MATCH(CONCATENATE(Liste!$C$3,$B$851,$B$993),Data!$BO:$BO,0)-2,53)&lt;&gt;"","Performance Level: "&amp;INDEX(Tab_DaBa[],MATCH(CONCATENATE(Liste!$C$3,$B$851,$B$993),Data!$BO:$BO,0)-2,60),"")),"")</f>
        <v/>
      </c>
      <c r="E1014" s="37"/>
      <c r="F1014" s="35" t="str">
        <f ca="1">IFERROR(IF(AND(INDEX(Tab_DaBa[],MATCH(CONCATENATE(Liste!$C$3,$B$851,$B$993),Data!$BO:$BO,0)-2,58)&lt;&gt;"",INDEX(Tab_DaBa[],MATCH(CONCATENATE(Liste!$C$3,$B$851,$B$993),Data!$BO:$BO,0)-2,63)=""),"Performance Level: "&amp;INDEX(Tab_DaBa[],MATCH(CONCATENATE(Liste!$C$3,$B$851,$B$993),Data!$BO:$BO,0)-2,15),IF(INDEX(Tab_DaBa[],MATCH(CONCATENATE(Liste!$C$3,$B$851,$B$993),Data!$BO:$BO,0)-2,58)&lt;&gt;"","Performance Level: "&amp;INDEX(Tab_DaBa[],MATCH(CONCATENATE(Liste!$C$3,$B$851,$B$993),Data!$BO:$BO,0)-2,65),"")),"")</f>
        <v/>
      </c>
      <c r="G1014" s="39"/>
      <c r="H1014" s="35" t="str">
        <f ca="1">IFERROR(IF(INDEX(Tab_DaBa[],MATCH(CONCATENATE(Liste!$C$3,$B$851,$B$993),Data!$BO:$BO,0)-2,63)&lt;&gt;"","Performance Level: "&amp;INDEX(Tab_DaBa[],MATCH(CONCATENATE(Liste!$C$3,$B$851,$B$993),Data!$BO:$BO,0)-2,15),""),"")</f>
        <v/>
      </c>
    </row>
    <row r="1015" spans="2:9" s="16" customFormat="1" ht="15.75">
      <c r="B1015" s="35" t="str">
        <f ca="1">IFERROR(IF(AND(INDEX(Tab_DaBa[],MATCH(CONCATENATE(Liste!$C$3,$B$851,$B$993),Data!$BO:$BO,0)-2,48)&lt;&gt;"",INDEX(Tab_DaBa[],MATCH(CONCATENATE(Liste!$C$3,$B$851,$B$993),Data!$BO:$BO,0)-2,53)=""),"PFH [1/h] = "&amp;10^9*INDEX(Tab_DaBa[],MATCH(CONCATENATE(Liste!$C$3,$B$851,$B$993),Data!$BO:$BO,0)-2,16)&amp;"E-9",IF(INDEX(Tab_DaBa[],MATCH(CONCATENATE(Liste!$C$3,$B$851,$B$993),Data!$BO:$BO,0)-2,48)&lt;&gt;"","PFH [1/h] = "&amp;10^9*INDEX(Tab_DaBa[],MATCH(CONCATENATE(Liste!$C$3,$B$851,$B$993),Data!$BO:$BO,0)-2,56)&amp;"E-9","")),"")</f>
        <v/>
      </c>
      <c r="C1015" s="39"/>
      <c r="D1015" s="35" t="str">
        <f ca="1">IFERROR(IF(AND(INDEX(Tab_DaBa[],MATCH(CONCATENATE(Liste!$C$3,$B$851,$B$993),Data!$BO:$BO,0)-2,53)&lt;&gt;"",INDEX(Tab_DaBa[],MATCH(CONCATENATE(Liste!$C$3,$B$851,$B$993),Data!$BO:$BO,0)-2,58)=""),"PFH [1/h] = "&amp;10^9*INDEX(Tab_DaBa[],MATCH(CONCATENATE(Liste!$C$3,$B$851,$B$993),Data!$BO:$BO,0)-2,16)&amp;"E-9",IF(INDEX(Tab_DaBa[],MATCH(CONCATENATE(Liste!$C$3,$B$851,$B$993),Data!$BO:$BO,0)-2,53)&lt;&gt;"","PFH [1/h] = "&amp;10^9*INDEX(Tab_DaBa[],MATCH(CONCATENATE(Liste!$C$3,$B$851,$B$993),Data!$BO:$BO,0)-2,61)&amp;"E-9","")),"")</f>
        <v/>
      </c>
      <c r="E1015" s="37"/>
      <c r="F1015" s="35" t="str">
        <f ca="1">IFERROR(IF(AND(INDEX(Tab_DaBa[],MATCH(CONCATENATE(Liste!$C$3,$B$851,$B$993),Data!$BO:$BO,0)-2,58)&lt;&gt;"",INDEX(Tab_DaBa[],MATCH(CONCATENATE(Liste!$C$3,$B$851,$B$993),Data!$BO:$BO,0)-2,63)=""),"PFH [1/h] = "&amp;10^9*INDEX(Tab_DaBa[],MATCH(CONCATENATE(Liste!$C$3,$B$851,$B$993),Data!$BO:$BO,0)-2,16)&amp;"E-9",IF(INDEX(Tab_DaBa[],MATCH(CONCATENATE(Liste!$C$3,$B$851,$B$993),Data!$BO:$BO,0)-2,58)&lt;&gt;"","PFH [1/h] = "&amp;10^9*INDEX(Tab_DaBa[],MATCH(CONCATENATE(Liste!$C$3,$B$851,$B$993),Data!$BO:$BO,0)-2,66)&amp;"E-9","")),"")</f>
        <v/>
      </c>
      <c r="G1015" s="39"/>
      <c r="H1015" s="35" t="str">
        <f ca="1">IFERROR(IF(INDEX(Tab_DaBa[],MATCH(CONCATENATE(Liste!$C$3,$B$851,$B$993),Data!$BO:$BO,0)-2,63)&lt;&gt;"","PFH [1/h] = "&amp;10^9*INDEX(Tab_DaBa[],MATCH(CONCATENATE(Liste!$C$3,$B$851,$B$993),Data!$BO:$BO,0)-2,16)&amp;"E-9",""),"")</f>
        <v/>
      </c>
    </row>
    <row r="1016" spans="2:9" s="16" customFormat="1"/>
    <row r="1017" spans="2:9" s="16" customFormat="1">
      <c r="B1017" s="43" t="str">
        <f ca="1">IF(D1017="","","Erforderlich")</f>
        <v>Erforderlich</v>
      </c>
      <c r="D1017" s="44" t="str">
        <f ca="1">IFERROR("Performance Level: "&amp;INDEX(Tab_DaBa[],MATCH(CONCATENATE(Liste!$C$3,$B$851,$B$993),Data!$BO:$BO,0)-2,4),"")</f>
        <v>Performance Level: PLr_ges4_6</v>
      </c>
    </row>
    <row r="1018" spans="2:9" s="16" customFormat="1">
      <c r="B1018" s="45"/>
    </row>
    <row r="1019" spans="2:9" s="16" customFormat="1">
      <c r="B1019" s="46" t="str">
        <f ca="1">IF(D1019="","","Erreicht")</f>
        <v>Erreicht</v>
      </c>
      <c r="D1019" s="47" t="str">
        <f ca="1">IFERROR("Performance Level: "&amp;INDEX(Tab_DaBa[],MATCH(CONCATENATE(Liste!$C$3,$B$851,$B$993),Data!$BO:$BO,0)-2,5)&amp;"          PFH [1/h] = "&amp;10^9*INDEX(Tab_DaBa[],MATCH(CONCATENATE(Liste!$C$3,$B$851,$B$993),Data!$BO:$BO,0)-2,6)&amp;"E-9","")</f>
        <v>Performance Level: Pl_ges4_6          PFH [1/h] = 71,7E-9</v>
      </c>
    </row>
    <row r="1020" spans="2:9" s="16" customFormat="1"/>
    <row r="1021" spans="2:9" s="16" customFormat="1">
      <c r="B1021" s="42" t="str">
        <f ca="1">IFERROR(IF(7&gt;COUNTIF(Data!$BP:$BP,CONCATENATE(Liste!$C$3,$B$851)),"",INDEX(Tab_DaBa[],MATCH(CONCATENATE(Liste!$C$3,$B$851),Data!$BP:$BP,0)+4,3)),"")</f>
        <v>4.7 Test4 (E+7L+A)</v>
      </c>
    </row>
    <row r="1022" spans="2:9" s="16" customFormat="1"/>
    <row r="1023" spans="2:9" s="16" customFormat="1" ht="15.75">
      <c r="B1023" s="35" t="str">
        <f ca="1">IFERROR(INDEX(Tab_DaBa[],MATCH(CONCATENATE(Liste!$C$3,$B$851,$B$1021),Data!$BO:$BO,0)-2,9),"")</f>
        <v>Eingang</v>
      </c>
      <c r="C1023" s="54"/>
      <c r="D1023" s="35" t="str">
        <f ca="1">IFERROR(IF(INDEX(Tab_DaBa[],MATCH(CONCATENATE(Liste!$C$3,$B$851,$B$1021),Data!$BO:$BO,0)-2,18)=0,INDEX(Tab_DaBa[],MATCH(CONCATENATE(Liste!$C$3,$B$851,$B$1021),Data!$BO:$BO,0)-2,14),INDEX(Tab_DaBa[],MATCH(CONCATENATE(Liste!$C$3,$B$851,$B$1021),Data!$BO:$BO,0)-2,19)),"")</f>
        <v>Logik 01</v>
      </c>
      <c r="E1023" s="33"/>
      <c r="F1023" s="35" t="str">
        <f ca="1">IFERROR(IF(AND(INDEX(Tab_DaBa[],MATCH(CONCATENATE(Liste!$C$3,$B$851,$B$1021),Data!$BO:$BO,0)-2,18)&lt;&gt;"",INDEX(Tab_DaBa[],MATCH(CONCATENATE(Liste!$C$3,$B$851,$B$1021),Data!$BO:$BO,0)-2,23)=0),INDEX(Tab_DaBa[],MATCH(CONCATENATE(Liste!$C$3,$B$851,$B$1021),Data!$BO:$BO,0)-2,14),IF(INDEX(Tab_DaBa[],MATCH(CONCATENATE(Liste!$C$3,$B$851,$B$1021),Data!$BO:$BO,0)-2,23)&lt;&gt;"",INDEX(Tab_DaBa[],MATCH(CONCATENATE(Liste!$C$3,$B$851,$B$1021),Data!$BO:$BO,0)-2,24),"")),"")</f>
        <v>Logik 02</v>
      </c>
      <c r="G1023" s="39"/>
      <c r="H1023" s="35" t="str">
        <f ca="1">IFERROR(IF(AND(INDEX(Tab_DaBa[],MATCH(CONCATENATE(Liste!$C$3,$B$851,$B$1021),Data!$BO:$BO,0)-2,23)&lt;&gt;"",INDEX(Tab_DaBa[],MATCH(CONCATENATE(Liste!$C$3,$B$851,$B$1021),Data!$BO:$BO,0)-2,28)=0),INDEX(Tab_DaBa[],MATCH(CONCATENATE(Liste!$C$3,$B$851,$B$1021),Data!$BO:$BO,0)-2,14),IF(INDEX(Tab_DaBa[],MATCH(CONCATENATE(Liste!$C$3,$B$851,$B$1021),Data!$BO:$BO,0)-2,23)&lt;&gt;"",INDEX(Tab_DaBa[],MATCH(CONCATENATE(Liste!$C$3,$B$851,$B$1021),Data!$BO:$BO,0)-2,29),"")),"")</f>
        <v>Logik 03</v>
      </c>
      <c r="I1023" s="39"/>
    </row>
    <row r="1024" spans="2:9" s="16" customFormat="1" ht="15.75">
      <c r="B1024" s="35" t="str">
        <f ca="1">IFERROR(INDEX(Tab_DaBa[],MATCH(CONCATENATE(Liste!$C$3,$B$851,$B$1021),Data!$BO:$BO,0)-2,7),"")</f>
        <v>eeee-33_7</v>
      </c>
      <c r="C1024" s="54"/>
      <c r="D1024" s="35" t="str">
        <f ca="1">IFERROR(IF(INDEX(Tab_DaBa[],MATCH(CONCATENATE(Liste!$C$3,$B$851,$B$1021),Data!$BO:$BO,0)-2,18)="",INDEX(Tab_DaBa[],MATCH(CONCATENATE(Liste!$C$3,$B$851,$B$1021),Data!$BO:$BO,0)-2,12),INDEX(Tab_DaBa[],MATCH(CONCATENATE(Liste!$C$3,$B$851,$B$1021),Data!$BO:$BO,0)-2,17)),"")</f>
        <v>Log01-04_07</v>
      </c>
      <c r="E1024" s="36"/>
      <c r="F1024" s="35" t="str">
        <f ca="1">IFERROR(IF(AND(INDEX(Tab_DaBa[],MATCH(CONCATENATE(Liste!$C$3,$B$851,$B$1021),Data!$BO:$BO,0)-2,18)&lt;&gt;"",INDEX(Tab_DaBa[],MATCH(CONCATENATE(Liste!$C$3,$B$851,$B$1021),Data!$BO:$BO,0)-2,23)=0),INDEX(Tab_DaBa[],MATCH(CONCATENATE(Liste!$C$3,$B$851,$B$1021),Data!$BO:$BO,0)-2,12),IF(INDEX(Tab_DaBa[],MATCH(CONCATENATE(Liste!$C$3,$B$851,$B$1021),Data!$BO:$BO,0)-2,23)&lt;&gt;"",INDEX(Tab_DaBa[],MATCH(CONCATENATE(Liste!$C$3,$B$851,$B$1021),Data!$BO:$BO,0)-2,22),"")),"")</f>
        <v>Lo04-04_07</v>
      </c>
      <c r="G1024" s="39"/>
      <c r="H1024" s="35" t="str">
        <f ca="1">IFERROR(IF(AND(INDEX(Tab_DaBa[],MATCH(CONCATENATE(Liste!$C$3,$B$851,$B$1021),Data!$BO:$BO,0)-2,23)&lt;&gt;"",INDEX(Tab_DaBa[],MATCH(CONCATENATE(Liste!$C$3,$B$851,$B$1021),Data!$BO:$BO,0)-2,28)=0),INDEX(Tab_DaBa[],MATCH(CONCATENATE(Liste!$C$3,$B$851,$B$1021),Data!$BO:$BO,0)-2,12),IF(INDEX(Tab_DaBa[],MATCH(CONCATENATE(Liste!$C$3,$B$851,$B$1021),Data!$BO:$BO,0)-2,23)&lt;&gt;"",INDEX(Tab_DaBa[],MATCH(CONCATENATE(Liste!$C$3,$B$851,$B$1021),Data!$BO:$BO,0)-2,27),"")),"")</f>
        <v>Lo04-44_07</v>
      </c>
      <c r="I1024" s="39"/>
    </row>
    <row r="1025" spans="2:9" s="16" customFormat="1" ht="15.75">
      <c r="B1025" s="35" t="str">
        <f ca="1">IFERROR(INDEX(Tab_DaBa[],MATCH(CONCATENATE(Liste!$C$3,$B$851,$B$1021),Data!$BO:$BO,0)-2,8),"")</f>
        <v>Bez_Ein4_7</v>
      </c>
      <c r="C1025" s="40">
        <f ca="1">IF(D1023="","",4)</f>
        <v>4</v>
      </c>
      <c r="D1025" s="35" t="str">
        <f ca="1">IFERROR(IF(INDEX(Tab_DaBa[],MATCH(CONCATENATE(Liste!$C$3,$B$851,$B$1021),Data!$BO:$BO,0)-2,18)="",INDEX(Tab_DaBa[],MATCH(CONCATENATE(Liste!$C$3,$B$851,$B$1021),Data!$BO:$BO,0)-2,13),INDEX(Tab_DaBa[],MATCH(CONCATENATE(Liste!$C$3,$B$851,$B$1021),Data!$BO:$BO,0)-2,18)),"")</f>
        <v>Bez_Log01_04_07</v>
      </c>
      <c r="E1025" s="40">
        <f ca="1">IF(F1023="","",4)</f>
        <v>4</v>
      </c>
      <c r="F1025" s="35" t="str">
        <f ca="1">IFERROR(IF(AND(INDEX(Tab_DaBa[],MATCH(CONCATENATE(Liste!$C$3,$B$851,$B$1021),Data!$BO:$BO,0)-2,18)&lt;&gt;"",INDEX(Tab_DaBa[],MATCH(CONCATENATE(Liste!$C$3,$B$851,$B$1021),Data!$BO:$BO,0)-2,23)=""),INDEX(Tab_DaBa[],MATCH(CONCATENATE(Liste!$C$3,$B$851,$B$1021),Data!$BO:$BO,0)-2,13),IF(INDEX(Tab_DaBa[],MATCH(CONCATENATE(Liste!$C$3,$B$851,$B$1021),Data!$BO:$BO,0)-2,23)&lt;&gt;"",INDEX(Tab_DaBa[],MATCH(CONCATENATE(Liste!$C$3,$B$851,$B$1021),Data!$BO:$BO,0)-2,23),"")),"")</f>
        <v>Bez_Lo04_07</v>
      </c>
      <c r="G1025" s="38">
        <f ca="1">IF(H1023="","",4)</f>
        <v>4</v>
      </c>
      <c r="H1025" s="35" t="str">
        <f ca="1">IFERROR(IF(AND(INDEX(Tab_DaBa[],MATCH(CONCATENATE(Liste!$C$3,$B$851,$B$1021),Data!$BO:$BO,0)-2,23)&lt;&gt;"",INDEX(Tab_DaBa[],MATCH(CONCATENATE(Liste!$C$3,$B$851,$B$1021),Data!$BO:$BO,0)-2,28)=""),INDEX(Tab_DaBa[],MATCH(CONCATENATE(Liste!$C$3,$B$851,$B$1021),Data!$BO:$BO,0)-2,13),IF(INDEX(Tab_DaBa[],MATCH(CONCATENATE(Liste!$C$3,$B$851,$B$1021),Data!$BO:$BO,0)-2,23)&lt;&gt;"",INDEX(Tab_DaBa[],MATCH(CONCATENATE(Liste!$C$3,$B$851,$B$1021),Data!$BO:$BO,0)-2,28),"")),"")</f>
        <v>Bez_Lo04_07</v>
      </c>
      <c r="I1025" s="38">
        <f ca="1">IF(B1031="","",6)</f>
        <v>6</v>
      </c>
    </row>
    <row r="1026" spans="2:9" s="16" customFormat="1" ht="15.75">
      <c r="B1026" s="35" t="str">
        <f ca="1">IFERROR("Performance Level: "&amp;INDEX(Tab_DaBa[],MATCH(CONCATENATE(Liste!$C$3,$B$851,$B$1021),Data!$BO:$BO,0)-2,10),"")</f>
        <v>Performance Level: PL_Ein4_7</v>
      </c>
      <c r="C1026" s="54"/>
      <c r="D1026" s="35" t="str">
        <f ca="1">IFERROR(IF(INDEX(Tab_DaBa[],MATCH(CONCATENATE(Liste!$C$3,$B$851,$B$1021),Data!$BO:$BO,0)-2,18)="","Performance Level: "&amp;INDEX(Tab_DaBa[],MATCH(CONCATENATE(Liste!$C$3,$B$851,$B$1021),Data!$BO:$BO,0)-2,15),"Performance Level: "&amp;INDEX(Tab_DaBa[],MATCH(CONCATENATE(Liste!$C$3,$B$851,$B$1021),Data!$BO:$BO,0)-2,20)),"")</f>
        <v>Performance Level: PL_Log01_04_07</v>
      </c>
      <c r="E1026" s="36"/>
      <c r="F1026" s="35" t="str">
        <f ca="1">IFERROR(IF(AND(INDEX(Tab_DaBa[],MATCH(CONCATENATE(Liste!$C$3,$B$851,$B$1021),Data!$BO:$BO,0)-2,18)&lt;&gt;"",INDEX(Tab_DaBa[],MATCH(CONCATENATE(Liste!$C$3,$B$851,$B$1021),Data!$BO:$BO,0)-2,23)=""),"Performance Level: "&amp;INDEX(Tab_DaBa[],MATCH(CONCATENATE(Liste!$C$3,$B$851,$B$1021),Data!$BO:$BO,0)-2,15),IF(INDEX(Tab_DaBa[],MATCH(CONCATENATE(Liste!$C$3,$B$851,$B$1021),Data!$BO:$BO,0)-2,23)&lt;&gt;"","Performance Level: "&amp;INDEX(Tab_DaBa[],MATCH(CONCATENATE(Liste!$C$3,$B$851,$B$1021),Data!$BO:$BO,0)-2,25),"")),"")</f>
        <v>Performance Level: PL_Lo04_07</v>
      </c>
      <c r="G1026" s="39"/>
      <c r="H1026" s="35" t="str">
        <f ca="1">IFERROR(IF(AND(INDEX(Tab_DaBa[],MATCH(CONCATENATE(Liste!$C$3,$B$851,$B$1021),Data!$BO:$BO,0)-2,23)&lt;&gt;"",INDEX(Tab_DaBa[],MATCH(CONCATENATE(Liste!$C$3,$B$851,$B$1021),Data!$BO:$BO,0)-2,28)=""),"Performance Level: "&amp;INDEX(Tab_DaBa[],MATCH(CONCATENATE(Liste!$C$3,$B$851,$B$1021),Data!$BO:$BO,0)-2,15),IF(INDEX(Tab_DaBa[],MATCH(CONCATENATE(Liste!$C$3,$B$851,$B$1021),Data!$BO:$BO,0)-2,23)&lt;&gt;"","Performance Level: "&amp;INDEX(Tab_DaBa[],MATCH(CONCATENATE(Liste!$C$3,$B$851,$B$1021),Data!$BO:$BO,0)-2,30),"")),"")</f>
        <v>Performance Level: PL_Lo04_07</v>
      </c>
      <c r="I1026" s="38"/>
    </row>
    <row r="1027" spans="2:9" s="16" customFormat="1" ht="15.75">
      <c r="B1027" s="53" t="str">
        <f ca="1">IFERROR("PFH [1/h] = "&amp;10^9*INDEX(Tab_DaBa[],MATCH(CONCATENATE(Liste!$C$3,$B$851,$B$1021),Data!$BO:$BO,0)-2,11)&amp;"E-9","")</f>
        <v>PFH [1/h] = 42,9E-9</v>
      </c>
      <c r="C1027" s="54"/>
      <c r="D1027" s="35" t="str">
        <f ca="1">IFERROR(IF(INDEX(Tab_DaBa[],MATCH(CONCATENATE(Liste!$C$3,$B$851,$B$1021),Data!$BO:$BO,0)-2,18)="","PFH [1/h] = "&amp;10^9*INDEX(Tab_DaBa[],MATCH(CONCATENATE(Liste!$C$3,$B$851,$B$1021),Data!$BO:$BO,0)-2,16)&amp;"E-9","PFH [1/h] = "&amp;10^9*INDEX(Tab_DaBa[],MATCH(CONCATENATE(Liste!$C$3,$B$851,$B$1021),Data!$BO:$BO,0)-2,21)&amp;"E-9"),"")</f>
        <v>PFH [1/h] = 4,19E-9</v>
      </c>
      <c r="E1027" s="36"/>
      <c r="F1027" s="35" t="str">
        <f ca="1">IFERROR(IF(AND(INDEX(Tab_DaBa[],MATCH(CONCATENATE(Liste!$C$3,$B$851,$B$1021),Data!$BO:$BO,0)-2,18)&lt;&gt;"",INDEX(Tab_DaBa[],MATCH(CONCATENATE(Liste!$C$3,$B$851,$B$1021),Data!$BO:$BO,0)-2,23)=""),"PFH [1/h] = "&amp;10^9*INDEX(Tab_DaBa[],MATCH(CONCATENATE(Liste!$C$3,$B$851,$B$1021),Data!$BO:$BO,0)-2,16)&amp;"E-9",IF(INDEX(Tab_DaBa[],MATCH(CONCATENATE(Liste!$C$3,$B$851,$B$1021),Data!$BO:$BO,0)-2,23)&lt;&gt;"","PFH [1/h] = "&amp;10^9*INDEX(Tab_DaBa[],MATCH(CONCATENATE(Liste!$C$3,$B$851,$B$1021),Data!$BO:$BO,0)-2,26)&amp;"E-9","")),"")</f>
        <v>PFH [1/h] = 4,19E-9</v>
      </c>
      <c r="G1027" s="39"/>
      <c r="H1027" s="35" t="str">
        <f ca="1">IFERROR(IF(AND(INDEX(Tab_DaBa[],MATCH(CONCATENATE(Liste!$C$3,$B$851,$B$1021),Data!$BO:$BO,0)-2,23)&lt;&gt;"",INDEX(Tab_DaBa[],MATCH(CONCATENATE(Liste!$C$3,$B$851,$B$1021),Data!$BO:$BO,0)-2,28)=""),"PFH [1/h] = "&amp;10^9*INDEX(Tab_DaBa[],MATCH(CONCATENATE(Liste!$C$3,$B$851,$B$1021),Data!$BO:$BO,0)-2,16)&amp;"E-9",IF(INDEX(Tab_DaBa[],MATCH(CONCATENATE(Liste!$C$3,$B$851,$B$1021),Data!$BO:$BO,0)-2,23)&lt;&gt;"","PFH [1/h] = "&amp;10^9*INDEX(Tab_DaBa[],MATCH(CONCATENATE(Liste!$C$3,$B$851,$B$1021),Data!$BO:$BO,0)-2,31)&amp;"E-9","")),"")</f>
        <v>PFH [1/h] = 4,19E-9</v>
      </c>
      <c r="I1027" s="39"/>
    </row>
    <row r="1028" spans="2:9" s="16" customFormat="1">
      <c r="B1028" s="33"/>
      <c r="C1028" s="34"/>
      <c r="D1028" s="33"/>
      <c r="E1028" s="33"/>
      <c r="F1028" s="33"/>
      <c r="G1028" s="33"/>
      <c r="H1028" s="33"/>
      <c r="I1028" s="33"/>
    </row>
    <row r="1029" spans="2:9" s="16" customFormat="1" ht="15.75">
      <c r="B1029" s="38">
        <f ca="1">IF(B1031="","",6)</f>
        <v>6</v>
      </c>
      <c r="C1029" s="34"/>
      <c r="D1029" s="38">
        <f ca="1">IF(B1031="","",3)</f>
        <v>3</v>
      </c>
      <c r="E1029" s="33"/>
      <c r="F1029" s="38">
        <f ca="1">IF(B1031="","",3)</f>
        <v>3</v>
      </c>
      <c r="G1029" s="33"/>
      <c r="H1029" s="38">
        <f ca="1">IF(B1031="","",3)</f>
        <v>3</v>
      </c>
      <c r="I1029" s="33"/>
    </row>
    <row r="1030" spans="2:9" s="16" customFormat="1" ht="15.75">
      <c r="B1030" s="39"/>
      <c r="C1030" s="33"/>
      <c r="D1030" s="33"/>
      <c r="E1030" s="33"/>
      <c r="F1030" s="33"/>
      <c r="G1030" s="33"/>
      <c r="H1030" s="33"/>
      <c r="I1030" s="33"/>
    </row>
    <row r="1031" spans="2:9" s="16" customFormat="1" ht="15.75">
      <c r="B1031" s="35" t="str">
        <f ca="1">IFERROR(IF(AND(INDEX(Tab_DaBa[],MATCH(CONCATENATE(Liste!$C$3,$B$851,$B$1021),Data!$BO:$BO,0)-2,28)&lt;&gt;"",INDEX(Tab_DaBa[],MATCH(CONCATENATE(Liste!$C$3,$B$851,$B$1021),Data!$BO:$BO,0)-2,33)=0),INDEX(Tab_DaBa[],MATCH(CONCATENATE(Liste!$C$3,$B$851,$B$1021),Data!$BO:$BO,0)-2,14),IF(INDEX(Tab_DaBa[],MATCH(CONCATENATE(Liste!$C$3,$B$851,$B$1021),Data!$BO:$BO,0)-2,28)&lt;&gt;"",INDEX(Tab_DaBa[],MATCH(CONCATENATE(Liste!$C$3,$B$851,$B$1021),Data!$BO:$BO,0)-2,34),"")),"")</f>
        <v>Logik 04</v>
      </c>
      <c r="C1031" s="39"/>
      <c r="D1031" s="35" t="str">
        <f ca="1">IFERROR(IF(AND(INDEX(Tab_DaBa[],MATCH(CONCATENATE(Liste!$C$3,$B$851,$B$1021),Data!$BO:$BO,0)-2,33)&lt;&gt;"",INDEX(Tab_DaBa[],MATCH(CONCATENATE(Liste!$C$3,$B$851,$B$1021),Data!$BO:$BO,0)-2,38)=0),INDEX(Tab_DaBa[],MATCH(CONCATENATE(Liste!$C$3,$B$851,$B$1021),Data!$BO:$BO,0)-2,14),IF(INDEX(Tab_DaBa[],MATCH(CONCATENATE(Liste!$C$3,$B$851,$B$1021),Data!$BO:$BO,0)-2,33)&lt;&gt;"",INDEX(Tab_DaBa[],MATCH(CONCATENATE(Liste!$C$3,$B$851,$B$1021),Data!$BO:$BO,0)-2,39),"")),"")</f>
        <v>Logik 05</v>
      </c>
      <c r="E1031" s="33"/>
      <c r="F1031" s="35" t="str">
        <f ca="1">IFERROR(IF(AND(INDEX(Tab_DaBa[],MATCH(CONCATENATE(Liste!$C$3,$B$851,$B$1021),Data!$BO:$BO,0)-2,38)&lt;&gt;"",INDEX(Tab_DaBa[],MATCH(CONCATENATE(Liste!$C$3,$B$851,$B$1021),Data!$BO:$BO,0)-2,43)=0),INDEX(Tab_DaBa[],MATCH(CONCATENATE(Liste!$C$3,$B$851,$B$1021),Data!$BO:$BO,0)-2,14),IF(INDEX(Tab_DaBa[],MATCH(CONCATENATE(Liste!$C$3,$B$851,$B$1021),Data!$BO:$BO,0)-2,38)&lt;&gt;"",INDEX(Tab_DaBa[],MATCH(CONCATENATE(Liste!$C$3,$B$851,$B$1021),Data!$BO:$BO,0)-2,44),"")),"")</f>
        <v>Logik 06</v>
      </c>
      <c r="G1031" s="39"/>
      <c r="H1031" s="35" t="str">
        <f ca="1">IFERROR(IF(AND(INDEX(Tab_DaBa[],MATCH(CONCATENATE(Liste!$C$3,$B$851,$B$1021),Data!$BO:$BO,0)-2,43)&lt;&gt;"",INDEX(Tab_DaBa[],MATCH(CONCATENATE(Liste!$C$3,$B$851,$B$1021),Data!$BO:$BO,0)-2,48)=0),INDEX(Tab_DaBa[],MATCH(CONCATENATE(Liste!$C$3,$B$851,$B$1021),Data!$BO:$BO,0)-2,14),IF(INDEX(Tab_DaBa[],MATCH(CONCATENATE(Liste!$C$3,$B$851,$B$1021),Data!$BO:$BO,0)-2,43)&lt;&gt;"",INDEX(Tab_DaBa[],MATCH(CONCATENATE(Liste!$C$3,$B$851,$B$1021),Data!$BO:$BO,0)-2,49),"")),"")</f>
        <v>Logik 07</v>
      </c>
      <c r="I1031" s="39"/>
    </row>
    <row r="1032" spans="2:9" s="16" customFormat="1" ht="15.75">
      <c r="B1032" s="35" t="str">
        <f ca="1">IFERROR(IF(AND(INDEX(Tab_DaBa[],MATCH(CONCATENATE(Liste!$C$3,$B$851,$B$1021),Data!$BO:$BO,0)-2,28)&lt;&gt;"",INDEX(Tab_DaBa[],MATCH(CONCATENATE(Liste!$C$3,$B$851,$B$1021),Data!$BO:$BO,0)-2,33)=0),INDEX(Tab_DaBa[],MATCH(CONCATENATE(Liste!$C$3,$B$851,$B$1021),Data!$BO:$BO,0)-2,12),IF(INDEX(Tab_DaBa[],MATCH(CONCATENATE(Liste!$C$3,$B$851,$B$1021),Data!$BO:$BO,0)-2,28)&lt;&gt;"",INDEX(Tab_DaBa[],MATCH(CONCATENATE(Liste!$C$3,$B$851,$B$1021),Data!$BO:$BO,0)-2,32),"")),"")</f>
        <v>Lo04-44_07</v>
      </c>
      <c r="C1032" s="39"/>
      <c r="D1032" s="35" t="str">
        <f ca="1">IFERROR(IF(AND(INDEX(Tab_DaBa[],MATCH(CONCATENATE(Liste!$C$3,$B$851,$B$1021),Data!$BO:$BO,0)-2,33)&lt;&gt;"",INDEX(Tab_DaBa[],MATCH(CONCATENATE(Liste!$C$3,$B$851,$B$1021),Data!$BO:$BO,0)-2,38)=0),INDEX(Tab_DaBa[],MATCH(CONCATENATE(Liste!$C$3,$B$851,$B$1021),Data!$BO:$BO,0)-2,12),IF(INDEX(Tab_DaBa[],MATCH(CONCATENATE(Liste!$C$3,$B$851,$B$1021),Data!$BO:$BO,0)-2,33)&lt;&gt;"",INDEX(Tab_DaBa[],MATCH(CONCATENATE(Liste!$C$3,$B$851,$B$1021),Data!$BO:$BO,0)-2,37),"")),"")</f>
        <v>Lo04-44_07</v>
      </c>
      <c r="E1032" s="37"/>
      <c r="F1032" s="35" t="str">
        <f ca="1">IFERROR(IF(AND(INDEX(Tab_DaBa[],MATCH(CONCATENATE(Liste!$C$3,$B$851,$B$1021),Data!$BO:$BO,0)-2,38)&lt;&gt;"",INDEX(Tab_DaBa[],MATCH(CONCATENATE(Liste!$C$3,$B$851,$B$1021),Data!$BO:$BO,0)-2,43)=0),INDEX(Tab_DaBa[],MATCH(CONCATENATE(Liste!$C$3,$B$851,$B$1021),Data!$BO:$BO,0)-2,12),IF(INDEX(Tab_DaBa[],MATCH(CONCATENATE(Liste!$C$3,$B$851,$B$1021),Data!$BO:$BO,0)-2,38)&lt;&gt;"",INDEX(Tab_DaBa[],MATCH(CONCATENATE(Liste!$C$3,$B$851,$B$1021),Data!$BO:$BO,0)-2,42),"")),"")</f>
        <v>Lo03-33_07</v>
      </c>
      <c r="G1032" s="39"/>
      <c r="H1032" s="35" t="str">
        <f ca="1">IFERROR(IF(AND(INDEX(Tab_DaBa[],MATCH(CONCATENATE(Liste!$C$3,$B$851,$B$1021),Data!$BO:$BO,0)-2,43)&lt;&gt;"",INDEX(Tab_DaBa[],MATCH(CONCATENATE(Liste!$C$3,$B$851,$B$1021),Data!$BO:$BO,0)-2,48)=0),INDEX(Tab_DaBa[],MATCH(CONCATENATE(Liste!$C$3,$B$851,$B$1021),Data!$BO:$BO,0)-2,12),IF(INDEX(Tab_DaBa[],MATCH(CONCATENATE(Liste!$C$3,$B$851,$B$1021),Data!$BO:$BO,0)-2,43)&lt;&gt;"",INDEX(Tab_DaBa[],MATCH(CONCATENATE(Liste!$C$3,$B$851,$B$1021),Data!$BO:$BO,0)-2,47),"")),"")</f>
        <v>Lo03-33_07</v>
      </c>
      <c r="I1032" s="39"/>
    </row>
    <row r="1033" spans="2:9" s="16" customFormat="1" ht="15.75">
      <c r="B1033" s="35" t="str">
        <f ca="1">IFERROR(IF(AND(INDEX(Tab_DaBa[],MATCH(CONCATENATE(Liste!$C$3,$B$851,$B$1021),Data!$BO:$BO,0)-2,28)&lt;&gt;"",INDEX(Tab_DaBa[],MATCH(CONCATENATE(Liste!$C$3,$B$851,$B$1021),Data!$BO:$BO,0)-2,33)=""),INDEX(Tab_DaBa[],MATCH(CONCATENATE(Liste!$C$3,$B$851,$B$1021),Data!$BO:$BO,0)-2,13),IF(INDEX(Tab_DaBa[],MATCH(CONCATENATE(Liste!$C$3,$B$851,$B$1021),Data!$BO:$BO,0)-2,28)&lt;&gt;"",INDEX(Tab_DaBa[],MATCH(CONCATENATE(Liste!$C$3,$B$851,$B$1021),Data!$BO:$BO,0)-2,33),"")),"")</f>
        <v>Bez_Lo04_07</v>
      </c>
      <c r="C1033" s="38">
        <f ca="1">IF(D1031="","",4)</f>
        <v>4</v>
      </c>
      <c r="D1033" s="35" t="str">
        <f ca="1">IFERROR(IF(AND(INDEX(Tab_DaBa[],MATCH(CONCATENATE(Liste!$C$3,$B$851,$B$1021),Data!$BO:$BO,0)-2,33)&lt;&gt;"",INDEX(Tab_DaBa[],MATCH(CONCATENATE(Liste!$C$3,$B$851,$B$1021),Data!$BO:$BO,0)-2,38)=""),INDEX(Tab_DaBa[],MATCH(CONCATENATE(Liste!$C$3,$B$851,$B$1021),Data!$BO:$BO,0)-2,13),IF(INDEX(Tab_DaBa[],MATCH(CONCATENATE(Liste!$C$3,$B$851,$B$1021),Data!$BO:$BO,0)-2,33)&lt;&gt;"",INDEX(Tab_DaBa[],MATCH(CONCATENATE(Liste!$C$3,$B$851,$B$1021),Data!$BO:$BO,0)-2,38),"")),"")</f>
        <v>Bez_Lo03_07</v>
      </c>
      <c r="E1033" s="38">
        <f ca="1">IF(F1031="","",4)</f>
        <v>4</v>
      </c>
      <c r="F1033" s="35" t="str">
        <f ca="1">IFERROR(IF(AND(INDEX(Tab_DaBa[],MATCH(CONCATENATE(Liste!$C$3,$B$851,$B$1021),Data!$BO:$BO,0)-2,38)&lt;&gt;"",INDEX(Tab_DaBa[],MATCH(CONCATENATE(Liste!$C$3,$B$851,$B$1021),Data!$BO:$BO,0)-2,43)=""),INDEX(Tab_DaBa[],MATCH(CONCATENATE(Liste!$C$3,$B$851,$B$1021),Data!$BO:$BO,0)-2,13),IF(INDEX(Tab_DaBa[],MATCH(CONCATENATE(Liste!$C$3,$B$851,$B$1021),Data!$BO:$BO,0)-2,38)&lt;&gt;"",INDEX(Tab_DaBa[],MATCH(CONCATENATE(Liste!$C$3,$B$851,$B$1021),Data!$BO:$BO,0)-2,43),"")),"")</f>
        <v>Bez_Lo03_07</v>
      </c>
      <c r="G1033" s="38">
        <f ca="1">IF(H1031="","",4)</f>
        <v>4</v>
      </c>
      <c r="H1033" s="35" t="str">
        <f ca="1">IFERROR(IF(AND(INDEX(Tab_DaBa[],MATCH(CONCATENATE(Liste!$C$3,$B$851,$B$1021),Data!$BO:$BO,0)-2,43)&lt;&gt;"",INDEX(Tab_DaBa[],MATCH(CONCATENATE(Liste!$C$3,$B$851,$B$1021),Data!$BO:$BO,0)-2,48)=""),INDEX(Tab_DaBa[],MATCH(CONCATENATE(Liste!$C$3,$B$851,$B$1021),Data!$BO:$BO,0)-2,13),IF(INDEX(Tab_DaBa[],MATCH(CONCATENATE(Liste!$C$3,$B$851,$B$1021),Data!$BO:$BO,0)-2,43)&lt;&gt;"",INDEX(Tab_DaBa[],MATCH(CONCATENATE(Liste!$C$3,$B$851,$B$1021),Data!$BO:$BO,0)-2,48),"")),"")</f>
        <v>Bez_Lo03_07</v>
      </c>
      <c r="I1033" s="38">
        <f ca="1">IF(B1039="","",6)</f>
        <v>6</v>
      </c>
    </row>
    <row r="1034" spans="2:9" s="16" customFormat="1" ht="15.75">
      <c r="B1034" s="35" t="str">
        <f ca="1">IFERROR(IF(AND(INDEX(Tab_DaBa[],MATCH(CONCATENATE(Liste!$C$3,$B$851,$B$1021),Data!$BO:$BO,0)-2,28)&lt;&gt;"",INDEX(Tab_DaBa[],MATCH(CONCATENATE(Liste!$C$3,$B$851,$B$1021),Data!$BO:$BO,0)-2,33)=""),"Performance Level: "&amp;INDEX(Tab_DaBa[],MATCH(CONCATENATE(Liste!$C$3,$B$851,$B$1021),Data!$BO:$BO,0)-2,15),IF(INDEX(Tab_DaBa[],MATCH(CONCATENATE(Liste!$C$3,$B$851,$B$1021),Data!$BO:$BO,0)-2,28)&lt;&gt;"","Performance Level: "&amp;INDEX(Tab_DaBa[],MATCH(CONCATENATE(Liste!$C$3,$B$851,$B$1021),Data!$BO:$BO,0)-2,35),"")),"")</f>
        <v>Performance Level: PL_Lo04_07</v>
      </c>
      <c r="C1034" s="39"/>
      <c r="D1034" s="35" t="str">
        <f ca="1">IFERROR(IF(AND(INDEX(Tab_DaBa[],MATCH(CONCATENATE(Liste!$C$3,$B$851,$B$1021),Data!$BO:$BO,0)-2,33)&lt;&gt;"",INDEX(Tab_DaBa[],MATCH(CONCATENATE(Liste!$C$3,$B$851,$B$1021),Data!$BO:$BO,0)-2,38)=""),"Performance Level: "&amp;INDEX(Tab_DaBa[],MATCH(CONCATENATE(Liste!$C$3,$B$851,$B$1021),Data!$BO:$BO,0)-2,15),IF(INDEX(Tab_DaBa[],MATCH(CONCATENATE(Liste!$C$3,$B$851,$B$1021),Data!$BO:$BO,0)-2,33)&lt;&gt;"","Performance Level: "&amp;INDEX(Tab_DaBa[],MATCH(CONCATENATE(Liste!$C$3,$B$851,$B$1021),Data!$BO:$BO,0)-2,40),"")),"")</f>
        <v>Performance Level: PL_Lo03_7</v>
      </c>
      <c r="E1034" s="37"/>
      <c r="F1034" s="35" t="str">
        <f ca="1">IFERROR(IF(AND(INDEX(Tab_DaBa[],MATCH(CONCATENATE(Liste!$C$3,$B$851,$B$1021),Data!$BO:$BO,0)-2,38)&lt;&gt;"",INDEX(Tab_DaBa[],MATCH(CONCATENATE(Liste!$C$3,$B$851,$B$1021),Data!$BO:$BO,0)-2,43)=""),"Performance Level: "&amp;INDEX(Tab_DaBa[],MATCH(CONCATENATE(Liste!$C$3,$B$851,$B$1021),Data!$BO:$BO,0)-2,15),IF(INDEX(Tab_DaBa[],MATCH(CONCATENATE(Liste!$C$3,$B$851,$B$1021),Data!$BO:$BO,0)-2,38)&lt;&gt;"","Performance Level: "&amp;INDEX(Tab_DaBa[],MATCH(CONCATENATE(Liste!$C$3,$B$851,$B$1021),Data!$BO:$BO,0)-2,45),"")),"")</f>
        <v>Performance Level: PL_Lo03_07</v>
      </c>
      <c r="G1034" s="39"/>
      <c r="H1034" s="35" t="str">
        <f ca="1">IFERROR(IF(AND(INDEX(Tab_DaBa[],MATCH(CONCATENATE(Liste!$C$3,$B$851,$B$1021),Data!$BO:$BO,0)-2,43)&lt;&gt;"",INDEX(Tab_DaBa[],MATCH(CONCATENATE(Liste!$C$3,$B$851,$B$1021),Data!$BO:$BO,0)-2,48)=""),"Performance Level: "&amp;INDEX(Tab_DaBa[],MATCH(CONCATENATE(Liste!$C$3,$B$851,$B$1021),Data!$BO:$BO,0)-2,15),IF(INDEX(Tab_DaBa[],MATCH(CONCATENATE(Liste!$C$3,$B$851,$B$1021),Data!$BO:$BO,0)-2,43)&lt;&gt;"","Performance Level: "&amp;INDEX(Tab_DaBa[],MATCH(CONCATENATE(Liste!$C$3,$B$851,$B$1021),Data!$BO:$BO,0)-2,50),"")),"")</f>
        <v>Performance Level: PL_Lo03_07</v>
      </c>
      <c r="I1034" s="39"/>
    </row>
    <row r="1035" spans="2:9" s="16" customFormat="1" ht="15.75">
      <c r="B1035" s="35" t="str">
        <f ca="1">IFERROR(IF(AND(INDEX(Tab_DaBa[],MATCH(CONCATENATE(Liste!$C$3,$B$851,$B$1021),Data!$BO:$BO,0)-2,28)&lt;&gt;"",INDEX(Tab_DaBa[],MATCH(CONCATENATE(Liste!$C$3,$B$851,$B$1021),Data!$BO:$BO,0)-2,33)=""),"PFH [1/h] = "&amp;10^9*INDEX(Tab_DaBa[],MATCH(CONCATENATE(Liste!$C$3,$B$851,$B$1021),Data!$BO:$BO,0)-2,16)&amp;"E-9",IF(INDEX(Tab_DaBa[],MATCH(CONCATENATE(Liste!$C$3,$B$851,$B$1021),Data!$BO:$BO,0)-2,28)&lt;&gt;"","PFH [1/h] = "&amp;10^9*INDEX(Tab_DaBa[],MATCH(CONCATENATE(Liste!$C$3,$B$851,$B$1021),Data!$BO:$BO,0)-2,36)&amp;"E-9","")),"")</f>
        <v>PFH [1/h] = 4,19E-9</v>
      </c>
      <c r="C1035" s="39"/>
      <c r="D1035" s="35" t="str">
        <f ca="1">IFERROR(IF(AND(INDEX(Tab_DaBa[],MATCH(CONCATENATE(Liste!$C$3,$B$851,$B$1021),Data!$BO:$BO,0)-2,33)&lt;&gt;"",INDEX(Tab_DaBa[],MATCH(CONCATENATE(Liste!$C$3,$B$851,$B$1021),Data!$BO:$BO,0)-2,38)=""),"PFH [1/h] = "&amp;10^9*INDEX(Tab_DaBa[],MATCH(CONCATENATE(Liste!$C$3,$B$851,$B$1021),Data!$BO:$BO,0)-2,16)&amp;"E-9",IF(INDEX(Tab_DaBa[],MATCH(CONCATENATE(Liste!$C$3,$B$851,$B$1021),Data!$BO:$BO,0)-2,33)&lt;&gt;"","PFH [1/h] = "&amp;10^9*INDEX(Tab_DaBa[],MATCH(CONCATENATE(Liste!$C$3,$B$851,$B$1021),Data!$BO:$BO,0)-2,41)&amp;"E-9","")),"")</f>
        <v>PFH [1/h] = 4,19E-9</v>
      </c>
      <c r="E1035" s="37"/>
      <c r="F1035" s="35" t="str">
        <f ca="1">IFERROR(IF(AND(INDEX(Tab_DaBa[],MATCH(CONCATENATE(Liste!$C$3,$B$851,$B$1021),Data!$BO:$BO,0)-2,38)&lt;&gt;"",INDEX(Tab_DaBa[],MATCH(CONCATENATE(Liste!$C$3,$B$851,$B$1021),Data!$BO:$BO,0)-2,43)=""),"PFH [1/h] = "&amp;10^9*INDEX(Tab_DaBa[],MATCH(CONCATENATE(Liste!$C$3,$B$851,$B$1021),Data!$BO:$BO,0)-2,16)&amp;"E-9",IF(INDEX(Tab_DaBa[],MATCH(CONCATENATE(Liste!$C$3,$B$851,$B$1021),Data!$BO:$BO,0)-2,38)&lt;&gt;"","PFH [1/h] = "&amp;10^9*INDEX(Tab_DaBa[],MATCH(CONCATENATE(Liste!$C$3,$B$851,$B$1021),Data!$BO:$BO,0)-2,46)&amp;"E-9","")),"")</f>
        <v>PFH [1/h] = 4,19E-9</v>
      </c>
      <c r="G1035" s="39"/>
      <c r="H1035" s="35" t="str">
        <f ca="1">IFERROR(IF(AND(INDEX(Tab_DaBa[],MATCH(CONCATENATE(Liste!$C$3,$B$851,$B$1021),Data!$BO:$BO,0)-2,43)&lt;&gt;"",INDEX(Tab_DaBa[],MATCH(CONCATENATE(Liste!$C$3,$B$851,$B$1021),Data!$BO:$BO,0)-2,48)=""),"PFH [1/h] = "&amp;10^9*INDEX(Tab_DaBa[],MATCH(CONCATENATE(Liste!$C$3,$B$851,$B$1021),Data!$BO:$BO,0)-2,16)&amp;"E-9",IF(INDEX(Tab_DaBa[],MATCH(CONCATENATE(Liste!$C$3,$B$851,$B$1021),Data!$BO:$BO,0)-2,43)&lt;&gt;"","PFH [1/h] = "&amp;10^9*INDEX(Tab_DaBa[],MATCH(CONCATENATE(Liste!$C$3,$B$851,$B$1021),Data!$BO:$BO,0)-2,51)&amp;"E-9","")),"")</f>
        <v>PFH [1/h] = 4,19E-9</v>
      </c>
      <c r="I1035" s="39"/>
    </row>
    <row r="1036" spans="2:9" s="16" customFormat="1">
      <c r="B1036" s="33"/>
      <c r="C1036" s="33"/>
      <c r="D1036" s="33"/>
      <c r="E1036" s="33"/>
      <c r="F1036" s="33"/>
      <c r="G1036" s="33"/>
      <c r="H1036" s="33"/>
      <c r="I1036" s="33"/>
    </row>
    <row r="1037" spans="2:9" s="16" customFormat="1" ht="15.75">
      <c r="B1037" s="38">
        <f ca="1">IF(B1039="","",6)</f>
        <v>6</v>
      </c>
      <c r="C1037" s="33"/>
      <c r="D1037" s="38">
        <f ca="1">IF(B1039="","",3)</f>
        <v>3</v>
      </c>
      <c r="E1037" s="33"/>
      <c r="F1037" s="38">
        <f ca="1">IF(B1039="","",3)</f>
        <v>3</v>
      </c>
      <c r="G1037" s="33"/>
      <c r="H1037" s="38">
        <f ca="1">IF(B1039="","",3)</f>
        <v>3</v>
      </c>
      <c r="I1037" s="33"/>
    </row>
    <row r="1038" spans="2:9" s="16" customFormat="1" ht="15.75">
      <c r="B1038" s="39"/>
      <c r="C1038" s="33"/>
      <c r="D1038" s="33"/>
      <c r="E1038" s="33"/>
      <c r="F1038" s="33"/>
      <c r="G1038" s="33"/>
      <c r="H1038" s="33"/>
      <c r="I1038" s="33"/>
    </row>
    <row r="1039" spans="2:9" s="16" customFormat="1" ht="15.75">
      <c r="B1039" s="35" t="str">
        <f ca="1">IFERROR(IF(AND(INDEX(Tab_DaBa[],MATCH(CONCATENATE(Liste!$C$3,$B$851,$B$1021),Data!$BO:$BO,0)-2,48)&lt;&gt;"",INDEX(Tab_DaBa[],MATCH(CONCATENATE(Liste!$C$3,$B$851,$B$1021),Data!$BO:$BO,0)-2,53)=0),INDEX(Tab_DaBa[],MATCH(CONCATENATE(Liste!$C$3,$B$851,$B$1021),Data!$BO:$BO,0)-2,14),IF(INDEX(Tab_DaBa[],MATCH(CONCATENATE(Liste!$C$3,$B$851,$B$1021),Data!$BO:$BO,0)-2,48)&lt;&gt;"",INDEX(Tab_DaBa[],MATCH(CONCATENATE(Liste!$C$3,$B$851,$B$1021),Data!$BO:$BO,0)-2,54),"")),"")</f>
        <v>Ausgang</v>
      </c>
      <c r="C1039" s="39"/>
      <c r="D1039" s="35" t="str">
        <f ca="1">IFERROR(IF(AND(INDEX(Tab_DaBa[],MATCH(CONCATENATE(Liste!$C$3,$B$851,$B$1021),Data!$BO:$BO,0)-2,53)&lt;&gt;"",INDEX(Tab_DaBa[],MATCH(CONCATENATE(Liste!$C$3,$B$851,$B$1021),Data!$BO:$BO,0)-2,58)=0),INDEX(Tab_DaBa[],MATCH(CONCATENATE(Liste!$C$3,$B$851,$B$1021),Data!$BO:$BO,0)-2,14),IF(INDEX(Tab_DaBa[],MATCH(CONCATENATE(Liste!$C$3,$B$851,$B$1021),Data!$BO:$BO,0)-2,53)&lt;&gt;"",INDEX(Tab_DaBa[],MATCH(CONCATENATE(Liste!$C$3,$B$851,$B$1021),Data!$BO:$BO,0)-2,59),"")),"")</f>
        <v/>
      </c>
      <c r="E1039" s="33"/>
      <c r="F1039" s="35" t="str">
        <f ca="1">IFERROR(IF(AND(INDEX(Tab_DaBa[],MATCH(CONCATENATE(Liste!$C$3,$B$851,$B$1021),Data!$BO:$BO,0)-2,58)&lt;&gt;"",INDEX(Tab_DaBa[],MATCH(CONCATENATE(Liste!$C$3,$B$851,$B$1021),Data!$BO:$BO,0)-2,63)=0),INDEX(Tab_DaBa[],MATCH(CONCATENATE(Liste!$C$3,$B$851,$B$1021),Data!$BO:$BO,0)-2,14),IF(INDEX(Tab_DaBa[],MATCH(CONCATENATE(Liste!$C$3,$B$851,$B$1021),Data!$BO:$BO,0)-2,58)&lt;&gt;"",INDEX(Tab_DaBa[],MATCH(CONCATENATE(Liste!$C$3,$B$851,$B$1021),Data!$BO:$BO,0)-2,64),"")),"")</f>
        <v/>
      </c>
      <c r="G1039" s="39"/>
      <c r="H1039" s="35" t="str">
        <f ca="1">IFERROR(IF(INDEX(Tab_DaBa[],MATCH(CONCATENATE(Liste!$C$3,$B$851,$B$1021),Data!$BO:$BO,0)-2,63)&lt;&gt;"",INDEX(Tab_DaBa[],MATCH(CONCATENATE(Liste!$C$3,$B$851,$B$1021),Data!$BO:$BO,0)-2,14),""),"")</f>
        <v/>
      </c>
    </row>
    <row r="1040" spans="2:9" s="16" customFormat="1" ht="15.75">
      <c r="B1040" s="35" t="str">
        <f ca="1">IFERROR(IF(AND(INDEX(Tab_DaBa[],MATCH(CONCATENATE(Liste!$C$3,$B$851,$B$1021),Data!$BO:$BO,0)-2,48)&lt;&gt;"",INDEX(Tab_DaBa[],MATCH(CONCATENATE(Liste!$C$3,$B$851,$B$1021),Data!$BO:$BO,0)-2,53)=0),INDEX(Tab_DaBa[],MATCH(CONCATENATE(Liste!$C$3,$B$851,$B$1021),Data!$BO:$BO,0)-2,12),IF(INDEX(Tab_DaBa[],MATCH(CONCATENATE(Liste!$C$3,$B$851,$B$1021),Data!$BO:$BO,0)-2,48)&lt;&gt;"",INDEX(Tab_DaBa[],MATCH(CONCATENATE(Liste!$C$3,$B$851,$B$1021),Data!$BO:$BO,0)-2,52),"")),"")</f>
        <v>aaaa-44_7</v>
      </c>
      <c r="C1040" s="39"/>
      <c r="D1040" s="35" t="str">
        <f ca="1">IFERROR(IF(AND(INDEX(Tab_DaBa[],MATCH(CONCATENATE(Liste!$C$3,$B$851,$B$1021),Data!$BO:$BO,0)-2,53)&lt;&gt;"",INDEX(Tab_DaBa[],MATCH(CONCATENATE(Liste!$C$3,$B$851,$B$1021),Data!$BO:$BO,0)-2,58)=0),INDEX(Tab_DaBa[],MATCH(CONCATENATE(Liste!$C$3,$B$851,$B$1021),Data!$BO:$BO,0)-2,12),IF(INDEX(Tab_DaBa[],MATCH(CONCATENATE(Liste!$C$3,$B$851,$B$1021),Data!$BO:$BO,0)-2,53)&lt;&gt;"",INDEX(Tab_DaBa[],MATCH(CONCATENATE(Liste!$C$3,$B$851,$B$1021),Data!$BO:$BO,0)-2,57),"")),"")</f>
        <v/>
      </c>
      <c r="E1040" s="37"/>
      <c r="F1040" s="35" t="str">
        <f ca="1">IFERROR(IF(AND(INDEX(Tab_DaBa[],MATCH(CONCATENATE(Liste!$C$3,$B$851,$B$1021),Data!$BO:$BO,0)-2,58)&lt;&gt;"",INDEX(Tab_DaBa[],MATCH(CONCATENATE(Liste!$C$3,$B$851,$B$1021),Data!$BO:$BO,0)-2,63)=0),INDEX(Tab_DaBa[],MATCH(CONCATENATE(Liste!$C$3,$B$851,$B$1021),Data!$BO:$BO,0)-2,12),IF(INDEX(Tab_DaBa[],MATCH(CONCATENATE(Liste!$C$3,$B$851,$B$1021),Data!$BO:$BO,0)-2,58)&lt;&gt;"",INDEX(Tab_DaBa[],MATCH(CONCATENATE(Liste!$C$3,$B$851,$B$1021),Data!$BO:$BO,0)-2,62),"")),"")</f>
        <v/>
      </c>
      <c r="G1040" s="39"/>
      <c r="H1040" s="35" t="str">
        <f ca="1">IFERROR(IF(INDEX(Tab_DaBa[],MATCH(CONCATENATE(Liste!$C$3,$B$851,$B$1021),Data!$BO:$BO,0)-2,63)&lt;&gt;"",INDEX(Tab_DaBa[],MATCH(CONCATENATE(Liste!$C$3,$B$851,$B$1021),Data!$BO:$BO,0)-2,12),""),"")</f>
        <v/>
      </c>
    </row>
    <row r="1041" spans="2:9" s="16" customFormat="1" ht="15.75">
      <c r="B1041" s="35" t="str">
        <f ca="1">IFERROR(IF(AND(INDEX(Tab_DaBa[],MATCH(CONCATENATE(Liste!$C$3,$B$851,$B$1021),Data!$BO:$BO,0)-2,48)&lt;&gt;"",INDEX(Tab_DaBa[],MATCH(CONCATENATE(Liste!$C$3,$B$851,$B$1021),Data!$BO:$BO,0)-2,53)=""),INDEX(Tab_DaBa[],MATCH(CONCATENATE(Liste!$C$3,$B$851,$B$1021),Data!$BO:$BO,0)-2,13),IF(INDEX(Tab_DaBa[],MATCH(CONCATENATE(Liste!$C$3,$B$851,$B$1021),Data!$BO:$BO,0)-2,48)&lt;&gt;"",INDEX(Tab_DaBa[],MATCH(CONCATENATE(Liste!$C$3,$B$851,$B$1021),Data!$BO:$BO,0)-2,53),"")),"")</f>
        <v>Bez_Aus4_7</v>
      </c>
      <c r="C1041" s="38" t="str">
        <f ca="1">IF(D1039="","",4)</f>
        <v/>
      </c>
      <c r="D1041" s="35" t="str">
        <f ca="1">IFERROR(IF(AND(INDEX(Tab_DaBa[],MATCH(CONCATENATE(Liste!$C$3,$B$851,$B$1021),Data!$BO:$BO,0)-2,53)&lt;&gt;"",INDEX(Tab_DaBa[],MATCH(CONCATENATE(Liste!$C$3,$B$851,$B$1021),Data!$BO:$BO,0)-2,58)=""),INDEX(Tab_DaBa[],MATCH(CONCATENATE(Liste!$C$3,$B$851,$B$1021),Data!$BO:$BO,0)-2,13),IF(INDEX(Tab_DaBa[],MATCH(CONCATENATE(Liste!$C$3,$B$851,$B$1021),Data!$BO:$BO,0)-2,53)&lt;&gt;"",INDEX(Tab_DaBa[],MATCH(CONCATENATE(Liste!$C$3,$B$851,$B$1021),Data!$BO:$BO,0)-2,58),"")),"")</f>
        <v/>
      </c>
      <c r="E1041" s="38" t="str">
        <f ca="1">IF(F1039="","",4)</f>
        <v/>
      </c>
      <c r="F1041" s="35" t="str">
        <f ca="1">IFERROR(IF(AND(INDEX(Tab_DaBa[],MATCH(CONCATENATE(Liste!$C$3,$B$851,$B$1021),Data!$BO:$BO,0)-2,58)&lt;&gt;"",INDEX(Tab_DaBa[],MATCH(CONCATENATE(Liste!$C$3,$B$851,$B$1021),Data!$BO:$BO,0)-2,63)=""),INDEX(Tab_DaBa[],MATCH(CONCATENATE(Liste!$C$3,$B$851,$B$1021),Data!$BO:$BO,0)-2,13),IF(INDEX(Tab_DaBa[],MATCH(CONCATENATE(Liste!$C$3,$B$851,$B$1021),Data!$BO:$BO,0)-2,58)&lt;&gt;"",INDEX(Tab_DaBa[],MATCH(CONCATENATE(Liste!$C$3,$B$851,$B$1021),Data!$BO:$BO,0)-2,63),"")),"")</f>
        <v/>
      </c>
      <c r="G1041" s="38" t="str">
        <f ca="1">IF(H1039="","",4)</f>
        <v/>
      </c>
      <c r="H1041" s="35" t="str">
        <f ca="1">IFERROR(IF(INDEX(Tab_DaBa[],MATCH(CONCATENATE(Liste!$C$3,$B$851,$B$1021),Data!$BO:$BO,0)-2,63)&lt;&gt;"",INDEX(Tab_DaBa[],MATCH(CONCATENATE(Liste!$C$3,$B$851,$B$1021),Data!$BO:$BO,0)-2,13),""),"")</f>
        <v/>
      </c>
    </row>
    <row r="1042" spans="2:9" s="16" customFormat="1" ht="15.75">
      <c r="B1042" s="35" t="str">
        <f ca="1">IFERROR(IF(AND(INDEX(Tab_DaBa[],MATCH(CONCATENATE(Liste!$C$3,$B$851,$B$1021),Data!$BO:$BO,0)-2,48)&lt;&gt;"",INDEX(Tab_DaBa[],MATCH(CONCATENATE(Liste!$C$3,$B$851,$B$1021),Data!$BO:$BO,0)-2,53)=""),"Performance Level: "&amp;INDEX(Tab_DaBa[],MATCH(CONCATENATE(Liste!$C$3,$B$851,$B$1021),Data!$BO:$BO,0)-2,15),IF(INDEX(Tab_DaBa[],MATCH(CONCATENATE(Liste!$C$3,$B$851,$B$1021),Data!$BO:$BO,0)-2,48)&lt;&gt;"","Performance Level: "&amp;INDEX(Tab_DaBa[],MATCH(CONCATENATE(Liste!$C$3,$B$851,$B$1021),Data!$BO:$BO,0)-2,55),"")),"")</f>
        <v>Performance Level: PL_Aus4_7</v>
      </c>
      <c r="C1042" s="39"/>
      <c r="D1042" s="35" t="str">
        <f ca="1">IFERROR(IF(AND(INDEX(Tab_DaBa[],MATCH(CONCATENATE(Liste!$C$3,$B$851,$B$1021),Data!$BO:$BO,0)-2,53)&lt;&gt;"",INDEX(Tab_DaBa[],MATCH(CONCATENATE(Liste!$C$3,$B$851,$B$1021),Data!$BO:$BO,0)-2,58)=""),"Performance Level: "&amp;INDEX(Tab_DaBa[],MATCH(CONCATENATE(Liste!$C$3,$B$851,$B$1021),Data!$BO:$BO,0)-2,15),IF(INDEX(Tab_DaBa[],MATCH(CONCATENATE(Liste!$C$3,$B$851,$B$1021),Data!$BO:$BO,0)-2,53)&lt;&gt;"","Performance Level: "&amp;INDEX(Tab_DaBa[],MATCH(CONCATENATE(Liste!$C$3,$B$851,$B$1021),Data!$BO:$BO,0)-2,60),"")),"")</f>
        <v/>
      </c>
      <c r="E1042" s="37"/>
      <c r="F1042" s="35" t="str">
        <f ca="1">IFERROR(IF(AND(INDEX(Tab_DaBa[],MATCH(CONCATENATE(Liste!$C$3,$B$851,$B$1021),Data!$BO:$BO,0)-2,58)&lt;&gt;"",INDEX(Tab_DaBa[],MATCH(CONCATENATE(Liste!$C$3,$B$851,$B$1021),Data!$BO:$BO,0)-2,63)=""),"Performance Level: "&amp;INDEX(Tab_DaBa[],MATCH(CONCATENATE(Liste!$C$3,$B$851,$B$1021),Data!$BO:$BO,0)-2,15),IF(INDEX(Tab_DaBa[],MATCH(CONCATENATE(Liste!$C$3,$B$851,$B$1021),Data!$BO:$BO,0)-2,58)&lt;&gt;"","Performance Level: "&amp;INDEX(Tab_DaBa[],MATCH(CONCATENATE(Liste!$C$3,$B$851,$B$1021),Data!$BO:$BO,0)-2,65),"")),"")</f>
        <v/>
      </c>
      <c r="G1042" s="39"/>
      <c r="H1042" s="35" t="str">
        <f ca="1">IFERROR(IF(INDEX(Tab_DaBa[],MATCH(CONCATENATE(Liste!$C$3,$B$851,$B$1021),Data!$BO:$BO,0)-2,63)&lt;&gt;"","Performance Level: "&amp;INDEX(Tab_DaBa[],MATCH(CONCATENATE(Liste!$C$3,$B$851,$B$1021),Data!$BO:$BO,0)-2,15),""),"")</f>
        <v/>
      </c>
    </row>
    <row r="1043" spans="2:9" s="16" customFormat="1" ht="15.75">
      <c r="B1043" s="35" t="str">
        <f ca="1">IFERROR(IF(AND(INDEX(Tab_DaBa[],MATCH(CONCATENATE(Liste!$C$3,$B$851,$B$1021),Data!$BO:$BO,0)-2,48)&lt;&gt;"",INDEX(Tab_DaBa[],MATCH(CONCATENATE(Liste!$C$3,$B$851,$B$1021),Data!$BO:$BO,0)-2,53)=""),"PFH [1/h] = "&amp;10^9*INDEX(Tab_DaBa[],MATCH(CONCATENATE(Liste!$C$3,$B$851,$B$1021),Data!$BO:$BO,0)-2,16)&amp;"E-9",IF(INDEX(Tab_DaBa[],MATCH(CONCATENATE(Liste!$C$3,$B$851,$B$1021),Data!$BO:$BO,0)-2,48)&lt;&gt;"","PFH [1/h] = "&amp;10^9*INDEX(Tab_DaBa[],MATCH(CONCATENATE(Liste!$C$3,$B$851,$B$1021),Data!$BO:$BO,0)-2,56)&amp;"E-9","")),"")</f>
        <v>PFH [1/h] = 24,7E-9</v>
      </c>
      <c r="C1043" s="39"/>
      <c r="D1043" s="35" t="str">
        <f ca="1">IFERROR(IF(AND(INDEX(Tab_DaBa[],MATCH(CONCATENATE(Liste!$C$3,$B$851,$B$1021),Data!$BO:$BO,0)-2,53)&lt;&gt;"",INDEX(Tab_DaBa[],MATCH(CONCATENATE(Liste!$C$3,$B$851,$B$1021),Data!$BO:$BO,0)-2,58)=""),"PFH [1/h] = "&amp;10^9*INDEX(Tab_DaBa[],MATCH(CONCATENATE(Liste!$C$3,$B$851,$B$1021),Data!$BO:$BO,0)-2,16)&amp;"E-9",IF(INDEX(Tab_DaBa[],MATCH(CONCATENATE(Liste!$C$3,$B$851,$B$1021),Data!$BO:$BO,0)-2,53)&lt;&gt;"","PFH [1/h] = "&amp;10^9*INDEX(Tab_DaBa[],MATCH(CONCATENATE(Liste!$C$3,$B$851,$B$1021),Data!$BO:$BO,0)-2,61)&amp;"E-9","")),"")</f>
        <v/>
      </c>
      <c r="E1043" s="37"/>
      <c r="F1043" s="35" t="str">
        <f ca="1">IFERROR(IF(AND(INDEX(Tab_DaBa[],MATCH(CONCATENATE(Liste!$C$3,$B$851,$B$1021),Data!$BO:$BO,0)-2,58)&lt;&gt;"",INDEX(Tab_DaBa[],MATCH(CONCATENATE(Liste!$C$3,$B$851,$B$1021),Data!$BO:$BO,0)-2,63)=""),"PFH [1/h] = "&amp;10^9*INDEX(Tab_DaBa[],MATCH(CONCATENATE(Liste!$C$3,$B$851,$B$1021),Data!$BO:$BO,0)-2,16)&amp;"E-9",IF(INDEX(Tab_DaBa[],MATCH(CONCATENATE(Liste!$C$3,$B$851,$B$1021),Data!$BO:$BO,0)-2,58)&lt;&gt;"","PFH [1/h] = "&amp;10^9*INDEX(Tab_DaBa[],MATCH(CONCATENATE(Liste!$C$3,$B$851,$B$1021),Data!$BO:$BO,0)-2,66)&amp;"E-9","")),"")</f>
        <v/>
      </c>
      <c r="G1043" s="39"/>
      <c r="H1043" s="35" t="str">
        <f ca="1">IFERROR(IF(INDEX(Tab_DaBa[],MATCH(CONCATENATE(Liste!$C$3,$B$851,$B$1021),Data!$BO:$BO,0)-2,63)&lt;&gt;"","PFH [1/h] = "&amp;10^9*INDEX(Tab_DaBa[],MATCH(CONCATENATE(Liste!$C$3,$B$851,$B$1021),Data!$BO:$BO,0)-2,16)&amp;"E-9",""),"")</f>
        <v/>
      </c>
    </row>
    <row r="1044" spans="2:9" s="16" customFormat="1"/>
    <row r="1045" spans="2:9" s="16" customFormat="1">
      <c r="B1045" s="43" t="str">
        <f ca="1">IF(D1045="","","Erforderlich")</f>
        <v>Erforderlich</v>
      </c>
      <c r="D1045" s="44" t="str">
        <f ca="1">IFERROR("Performance Level: "&amp;INDEX(Tab_DaBa[],MATCH(CONCATENATE(Liste!$C$3,$B$851,$B$1021),Data!$BO:$BO,0)-2,4),"")</f>
        <v>Performance Level: PLr_ges4_7</v>
      </c>
    </row>
    <row r="1046" spans="2:9" s="16" customFormat="1">
      <c r="B1046" s="45"/>
    </row>
    <row r="1047" spans="2:9" s="16" customFormat="1">
      <c r="B1047" s="46" t="str">
        <f ca="1">IF(D1047="","","Erreicht")</f>
        <v>Erreicht</v>
      </c>
      <c r="D1047" s="47" t="str">
        <f ca="1">IFERROR("Performance Level: "&amp;INDEX(Tab_DaBa[],MATCH(CONCATENATE(Liste!$C$3,$B$851,$B$1021),Data!$BO:$BO,0)-2,5)&amp;"          PFH [1/h] = "&amp;10^9*INDEX(Tab_DaBa[],MATCH(CONCATENATE(Liste!$C$3,$B$851,$B$1021),Data!$BO:$BO,0)-2,6)&amp;"E-9","")</f>
        <v>Performance Level: Pl_ges4_7          PFH [1/h] = 71,7E-9</v>
      </c>
    </row>
    <row r="1048" spans="2:9" s="16" customFormat="1"/>
    <row r="1049" spans="2:9" s="16" customFormat="1">
      <c r="B1049" s="42" t="str">
        <f ca="1">IFERROR(IF(8&gt;COUNTIF(Data!$BP:$BP,CONCATENATE(Liste!$C$3,$B$851)),"",INDEX(Tab_DaBa[],MATCH(CONCATENATE(Liste!$C$3,$B$851),Data!$BP:$BP,0)+5,3)),"")</f>
        <v>4.8 Test4 (E+8L+A)</v>
      </c>
    </row>
    <row r="1050" spans="2:9" s="16" customFormat="1"/>
    <row r="1051" spans="2:9" s="16" customFormat="1" ht="15.75">
      <c r="B1051" s="35" t="str">
        <f ca="1">IFERROR(INDEX(Tab_DaBa[],MATCH(CONCATENATE(Liste!$C$3,$B$851,$B$1049),Data!$BO:$BO,0)-2,9),"")</f>
        <v>Eingang</v>
      </c>
      <c r="C1051" s="54"/>
      <c r="D1051" s="35" t="str">
        <f ca="1">IFERROR(IF(INDEX(Tab_DaBa[],MATCH(CONCATENATE(Liste!$C$3,$B$851,$B$1049),Data!$BO:$BO,0)-2,18)=0,INDEX(Tab_DaBa[],MATCH(CONCATENATE(Liste!$C$3,$B$851,$B$1049),Data!$BO:$BO,0)-2,14),INDEX(Tab_DaBa[],MATCH(CONCATENATE(Liste!$C$3,$B$851,$B$1049),Data!$BO:$BO,0)-2,19)),"")</f>
        <v>Logik 01</v>
      </c>
      <c r="E1051" s="33"/>
      <c r="F1051" s="35" t="str">
        <f ca="1">IFERROR(IF(AND(INDEX(Tab_DaBa[],MATCH(CONCATENATE(Liste!$C$3,$B$851,$B$1049),Data!$BO:$BO,0)-2,18)&lt;&gt;"",INDEX(Tab_DaBa[],MATCH(CONCATENATE(Liste!$C$3,$B$851,$B$1049),Data!$BO:$BO,0)-2,23)=0),INDEX(Tab_DaBa[],MATCH(CONCATENATE(Liste!$C$3,$B$851,$B$1049),Data!$BO:$BO,0)-2,14),IF(INDEX(Tab_DaBa[],MATCH(CONCATENATE(Liste!$C$3,$B$851,$B$1049),Data!$BO:$BO,0)-2,23)&lt;&gt;"",INDEX(Tab_DaBa[],MATCH(CONCATENATE(Liste!$C$3,$B$851,$B$1049),Data!$BO:$BO,0)-2,24),"")),"")</f>
        <v>Logik 02</v>
      </c>
      <c r="G1051" s="39"/>
      <c r="H1051" s="35" t="str">
        <f ca="1">IFERROR(IF(AND(INDEX(Tab_DaBa[],MATCH(CONCATENATE(Liste!$C$3,$B$851,$B$1049),Data!$BO:$BO,0)-2,23)&lt;&gt;"",INDEX(Tab_DaBa[],MATCH(CONCATENATE(Liste!$C$3,$B$851,$B$1049),Data!$BO:$BO,0)-2,28)=0),INDEX(Tab_DaBa[],MATCH(CONCATENATE(Liste!$C$3,$B$851,$B$1049),Data!$BO:$BO,0)-2,14),IF(INDEX(Tab_DaBa[],MATCH(CONCATENATE(Liste!$C$3,$B$851,$B$1049),Data!$BO:$BO,0)-2,23)&lt;&gt;"",INDEX(Tab_DaBa[],MATCH(CONCATENATE(Liste!$C$3,$B$851,$B$1049),Data!$BO:$BO,0)-2,29),"")),"")</f>
        <v>Logik 03</v>
      </c>
      <c r="I1051" s="39"/>
    </row>
    <row r="1052" spans="2:9" s="16" customFormat="1" ht="15.75">
      <c r="B1052" s="35" t="str">
        <f ca="1">IFERROR(INDEX(Tab_DaBa[],MATCH(CONCATENATE(Liste!$C$3,$B$851,$B$1049),Data!$BO:$BO,0)-2,7),"")</f>
        <v>eeee-33_8</v>
      </c>
      <c r="C1052" s="54"/>
      <c r="D1052" s="35" t="str">
        <f ca="1">IFERROR(IF(INDEX(Tab_DaBa[],MATCH(CONCATENATE(Liste!$C$3,$B$851,$B$1049),Data!$BO:$BO,0)-2,18)="",INDEX(Tab_DaBa[],MATCH(CONCATENATE(Liste!$C$3,$B$851,$B$1049),Data!$BO:$BO,0)-2,12),INDEX(Tab_DaBa[],MATCH(CONCATENATE(Liste!$C$3,$B$851,$B$1049),Data!$BO:$BO,0)-2,17)),"")</f>
        <v>Log01-04_08</v>
      </c>
      <c r="E1052" s="36"/>
      <c r="F1052" s="35" t="str">
        <f ca="1">IFERROR(IF(AND(INDEX(Tab_DaBa[],MATCH(CONCATENATE(Liste!$C$3,$B$851,$B$1049),Data!$BO:$BO,0)-2,18)&lt;&gt;"",INDEX(Tab_DaBa[],MATCH(CONCATENATE(Liste!$C$3,$B$851,$B$1049),Data!$BO:$BO,0)-2,23)=0),INDEX(Tab_DaBa[],MATCH(CONCATENATE(Liste!$C$3,$B$851,$B$1049),Data!$BO:$BO,0)-2,12),IF(INDEX(Tab_DaBa[],MATCH(CONCATENATE(Liste!$C$3,$B$851,$B$1049),Data!$BO:$BO,0)-2,23)&lt;&gt;"",INDEX(Tab_DaBa[],MATCH(CONCATENATE(Liste!$C$3,$B$851,$B$1049),Data!$BO:$BO,0)-2,22),"")),"")</f>
        <v>Lo04-04_08</v>
      </c>
      <c r="G1052" s="39"/>
      <c r="H1052" s="35" t="str">
        <f ca="1">IFERROR(IF(AND(INDEX(Tab_DaBa[],MATCH(CONCATENATE(Liste!$C$3,$B$851,$B$1049),Data!$BO:$BO,0)-2,23)&lt;&gt;"",INDEX(Tab_DaBa[],MATCH(CONCATENATE(Liste!$C$3,$B$851,$B$1049),Data!$BO:$BO,0)-2,28)=0),INDEX(Tab_DaBa[],MATCH(CONCATENATE(Liste!$C$3,$B$851,$B$1049),Data!$BO:$BO,0)-2,12),IF(INDEX(Tab_DaBa[],MATCH(CONCATENATE(Liste!$C$3,$B$851,$B$1049),Data!$BO:$BO,0)-2,23)&lt;&gt;"",INDEX(Tab_DaBa[],MATCH(CONCATENATE(Liste!$C$3,$B$851,$B$1049),Data!$BO:$BO,0)-2,27),"")),"")</f>
        <v>Lo04-44_08</v>
      </c>
      <c r="I1052" s="39"/>
    </row>
    <row r="1053" spans="2:9" s="16" customFormat="1" ht="15.75">
      <c r="B1053" s="35" t="str">
        <f ca="1">IFERROR(INDEX(Tab_DaBa[],MATCH(CONCATENATE(Liste!$C$3,$B$851,$B$1049),Data!$BO:$BO,0)-2,8),"")</f>
        <v>Bez_Ein4_8</v>
      </c>
      <c r="C1053" s="40">
        <f ca="1">IF(D1051="","",4)</f>
        <v>4</v>
      </c>
      <c r="D1053" s="35" t="str">
        <f ca="1">IFERROR(IF(INDEX(Tab_DaBa[],MATCH(CONCATENATE(Liste!$C$3,$B$851,$B$1049),Data!$BO:$BO,0)-2,18)="",INDEX(Tab_DaBa[],MATCH(CONCATENATE(Liste!$C$3,$B$851,$B$1049),Data!$BO:$BO,0)-2,13),INDEX(Tab_DaBa[],MATCH(CONCATENATE(Liste!$C$3,$B$851,$B$1049),Data!$BO:$BO,0)-2,18)),"")</f>
        <v>Bez_Log01_04_08</v>
      </c>
      <c r="E1053" s="40">
        <f ca="1">IF(F1051="","",4)</f>
        <v>4</v>
      </c>
      <c r="F1053" s="35" t="str">
        <f ca="1">IFERROR(IF(AND(INDEX(Tab_DaBa[],MATCH(CONCATENATE(Liste!$C$3,$B$851,$B$1049),Data!$BO:$BO,0)-2,18)&lt;&gt;"",INDEX(Tab_DaBa[],MATCH(CONCATENATE(Liste!$C$3,$B$851,$B$1049),Data!$BO:$BO,0)-2,23)=""),INDEX(Tab_DaBa[],MATCH(CONCATENATE(Liste!$C$3,$B$851,$B$1049),Data!$BO:$BO,0)-2,13),IF(INDEX(Tab_DaBa[],MATCH(CONCATENATE(Liste!$C$3,$B$851,$B$1049),Data!$BO:$BO,0)-2,23)&lt;&gt;"",INDEX(Tab_DaBa[],MATCH(CONCATENATE(Liste!$C$3,$B$851,$B$1049),Data!$BO:$BO,0)-2,23),"")),"")</f>
        <v>Bez_Lo04_08</v>
      </c>
      <c r="G1053" s="38">
        <f ca="1">IF(H1051="","",4)</f>
        <v>4</v>
      </c>
      <c r="H1053" s="35" t="str">
        <f ca="1">IFERROR(IF(AND(INDEX(Tab_DaBa[],MATCH(CONCATENATE(Liste!$C$3,$B$851,$B$1049),Data!$BO:$BO,0)-2,23)&lt;&gt;"",INDEX(Tab_DaBa[],MATCH(CONCATENATE(Liste!$C$3,$B$851,$B$1049),Data!$BO:$BO,0)-2,28)=""),INDEX(Tab_DaBa[],MATCH(CONCATENATE(Liste!$C$3,$B$851,$B$1049),Data!$BO:$BO,0)-2,13),IF(INDEX(Tab_DaBa[],MATCH(CONCATENATE(Liste!$C$3,$B$851,$B$1049),Data!$BO:$BO,0)-2,23)&lt;&gt;"",INDEX(Tab_DaBa[],MATCH(CONCATENATE(Liste!$C$3,$B$851,$B$1049),Data!$BO:$BO,0)-2,28),"")),"")</f>
        <v>Bez_Lo04_08</v>
      </c>
      <c r="I1053" s="38">
        <f ca="1">IF(B1059="","",6)</f>
        <v>6</v>
      </c>
    </row>
    <row r="1054" spans="2:9" s="16" customFormat="1" ht="15.75">
      <c r="B1054" s="35" t="str">
        <f ca="1">IFERROR("Performance Level: "&amp;INDEX(Tab_DaBa[],MATCH(CONCATENATE(Liste!$C$3,$B$851,$B$1049),Data!$BO:$BO,0)-2,10),"")</f>
        <v>Performance Level: PL_Ein4_8</v>
      </c>
      <c r="C1054" s="54"/>
      <c r="D1054" s="35" t="str">
        <f ca="1">IFERROR(IF(INDEX(Tab_DaBa[],MATCH(CONCATENATE(Liste!$C$3,$B$851,$B$1049),Data!$BO:$BO,0)-2,18)="","Performance Level: "&amp;INDEX(Tab_DaBa[],MATCH(CONCATENATE(Liste!$C$3,$B$851,$B$1049),Data!$BO:$BO,0)-2,15),"Performance Level: "&amp;INDEX(Tab_DaBa[],MATCH(CONCATENATE(Liste!$C$3,$B$851,$B$1049),Data!$BO:$BO,0)-2,20)),"")</f>
        <v>Performance Level: PL_Log01_04_08</v>
      </c>
      <c r="E1054" s="36"/>
      <c r="F1054" s="35" t="str">
        <f ca="1">IFERROR(IF(AND(INDEX(Tab_DaBa[],MATCH(CONCATENATE(Liste!$C$3,$B$851,$B$1049),Data!$BO:$BO,0)-2,18)&lt;&gt;"",INDEX(Tab_DaBa[],MATCH(CONCATENATE(Liste!$C$3,$B$851,$B$1049),Data!$BO:$BO,0)-2,23)=""),"Performance Level: "&amp;INDEX(Tab_DaBa[],MATCH(CONCATENATE(Liste!$C$3,$B$851,$B$1049),Data!$BO:$BO,0)-2,15),IF(INDEX(Tab_DaBa[],MATCH(CONCATENATE(Liste!$C$3,$B$851,$B$1049),Data!$BO:$BO,0)-2,23)&lt;&gt;"","Performance Level: "&amp;INDEX(Tab_DaBa[],MATCH(CONCATENATE(Liste!$C$3,$B$851,$B$1049),Data!$BO:$BO,0)-2,25),"")),"")</f>
        <v>Performance Level: PL_Lo04_08</v>
      </c>
      <c r="G1054" s="39"/>
      <c r="H1054" s="35" t="str">
        <f ca="1">IFERROR(IF(AND(INDEX(Tab_DaBa[],MATCH(CONCATENATE(Liste!$C$3,$B$851,$B$1049),Data!$BO:$BO,0)-2,23)&lt;&gt;"",INDEX(Tab_DaBa[],MATCH(CONCATENATE(Liste!$C$3,$B$851,$B$1049),Data!$BO:$BO,0)-2,28)=""),"Performance Level: "&amp;INDEX(Tab_DaBa[],MATCH(CONCATENATE(Liste!$C$3,$B$851,$B$1049),Data!$BO:$BO,0)-2,15),IF(INDEX(Tab_DaBa[],MATCH(CONCATENATE(Liste!$C$3,$B$851,$B$1049),Data!$BO:$BO,0)-2,23)&lt;&gt;"","Performance Level: "&amp;INDEX(Tab_DaBa[],MATCH(CONCATENATE(Liste!$C$3,$B$851,$B$1049),Data!$BO:$BO,0)-2,30),"")),"")</f>
        <v>Performance Level: PL_Lo04_08</v>
      </c>
      <c r="I1054" s="38"/>
    </row>
    <row r="1055" spans="2:9" s="16" customFormat="1" ht="15.75">
      <c r="B1055" s="53" t="str">
        <f ca="1">IFERROR("PFH [1/h] = "&amp;10^9*INDEX(Tab_DaBa[],MATCH(CONCATENATE(Liste!$C$3,$B$851,$B$1049),Data!$BO:$BO,0)-2,11)&amp;"E-9","")</f>
        <v>PFH [1/h] = 42,9E-9</v>
      </c>
      <c r="C1055" s="54"/>
      <c r="D1055" s="35" t="str">
        <f ca="1">IFERROR(IF(INDEX(Tab_DaBa[],MATCH(CONCATENATE(Liste!$C$3,$B$851,$B$1049),Data!$BO:$BO,0)-2,18)="","PFH [1/h] = "&amp;10^9*INDEX(Tab_DaBa[],MATCH(CONCATENATE(Liste!$C$3,$B$851,$B$1049),Data!$BO:$BO,0)-2,16)&amp;"E-9","PFH [1/h] = "&amp;10^9*INDEX(Tab_DaBa[],MATCH(CONCATENATE(Liste!$C$3,$B$851,$B$1049),Data!$BO:$BO,0)-2,21)&amp;"E-9"),"")</f>
        <v>PFH [1/h] = 4,19E-9</v>
      </c>
      <c r="E1055" s="36"/>
      <c r="F1055" s="35" t="str">
        <f ca="1">IFERROR(IF(AND(INDEX(Tab_DaBa[],MATCH(CONCATENATE(Liste!$C$3,$B$851,$B$1049),Data!$BO:$BO,0)-2,18)&lt;&gt;"",INDEX(Tab_DaBa[],MATCH(CONCATENATE(Liste!$C$3,$B$851,$B$1049),Data!$BO:$BO,0)-2,23)=""),"PFH [1/h] = "&amp;10^9*INDEX(Tab_DaBa[],MATCH(CONCATENATE(Liste!$C$3,$B$851,$B$1049),Data!$BO:$BO,0)-2,16)&amp;"E-9",IF(INDEX(Tab_DaBa[],MATCH(CONCATENATE(Liste!$C$3,$B$851,$B$1049),Data!$BO:$BO,0)-2,23)&lt;&gt;"","PFH [1/h] = "&amp;10^9*INDEX(Tab_DaBa[],MATCH(CONCATENATE(Liste!$C$3,$B$851,$B$1049),Data!$BO:$BO,0)-2,26)&amp;"E-9","")),"")</f>
        <v>PFH [1/h] = 4,19E-9</v>
      </c>
      <c r="G1055" s="39"/>
      <c r="H1055" s="35" t="str">
        <f ca="1">IFERROR(IF(AND(INDEX(Tab_DaBa[],MATCH(CONCATENATE(Liste!$C$3,$B$851,$B$1049),Data!$BO:$BO,0)-2,23)&lt;&gt;"",INDEX(Tab_DaBa[],MATCH(CONCATENATE(Liste!$C$3,$B$851,$B$1049),Data!$BO:$BO,0)-2,28)=""),"PFH [1/h] = "&amp;10^9*INDEX(Tab_DaBa[],MATCH(CONCATENATE(Liste!$C$3,$B$851,$B$1049),Data!$BO:$BO,0)-2,16)&amp;"E-9",IF(INDEX(Tab_DaBa[],MATCH(CONCATENATE(Liste!$C$3,$B$851,$B$1049),Data!$BO:$BO,0)-2,23)&lt;&gt;"","PFH [1/h] = "&amp;10^9*INDEX(Tab_DaBa[],MATCH(CONCATENATE(Liste!$C$3,$B$851,$B$1049),Data!$BO:$BO,0)-2,31)&amp;"E-9","")),"")</f>
        <v>PFH [1/h] = 4,19E-9</v>
      </c>
      <c r="I1055" s="39"/>
    </row>
    <row r="1056" spans="2:9" s="16" customFormat="1">
      <c r="B1056" s="33"/>
      <c r="C1056" s="34"/>
      <c r="D1056" s="33"/>
      <c r="E1056" s="33"/>
      <c r="F1056" s="33"/>
      <c r="G1056" s="33"/>
      <c r="H1056" s="33"/>
      <c r="I1056" s="33"/>
    </row>
    <row r="1057" spans="2:9" s="16" customFormat="1" ht="15.75">
      <c r="B1057" s="38">
        <f ca="1">IF(B1059="","",6)</f>
        <v>6</v>
      </c>
      <c r="C1057" s="34"/>
      <c r="D1057" s="38">
        <f ca="1">IF(B1059="","",3)</f>
        <v>3</v>
      </c>
      <c r="E1057" s="33"/>
      <c r="F1057" s="38">
        <f ca="1">IF(B1059="","",3)</f>
        <v>3</v>
      </c>
      <c r="G1057" s="33"/>
      <c r="H1057" s="38">
        <f ca="1">IF(B1059="","",3)</f>
        <v>3</v>
      </c>
      <c r="I1057" s="33"/>
    </row>
    <row r="1058" spans="2:9" s="16" customFormat="1" ht="15.75">
      <c r="B1058" s="39"/>
      <c r="C1058" s="33"/>
      <c r="D1058" s="33"/>
      <c r="E1058" s="33"/>
      <c r="F1058" s="33"/>
      <c r="G1058" s="33"/>
      <c r="H1058" s="33"/>
      <c r="I1058" s="33"/>
    </row>
    <row r="1059" spans="2:9" s="16" customFormat="1" ht="15.75">
      <c r="B1059" s="35" t="str">
        <f ca="1">IFERROR(IF(AND(INDEX(Tab_DaBa[],MATCH(CONCATENATE(Liste!$C$3,$B$851,$B$1049),Data!$BO:$BO,0)-2,28)&lt;&gt;"",INDEX(Tab_DaBa[],MATCH(CONCATENATE(Liste!$C$3,$B$851,$B$1049),Data!$BO:$BO,0)-2,33)=0),INDEX(Tab_DaBa[],MATCH(CONCATENATE(Liste!$C$3,$B$851,$B$1049),Data!$BO:$BO,0)-2,14),IF(INDEX(Tab_DaBa[],MATCH(CONCATENATE(Liste!$C$3,$B$851,$B$1049),Data!$BO:$BO,0)-2,28)&lt;&gt;"",INDEX(Tab_DaBa[],MATCH(CONCATENATE(Liste!$C$3,$B$851,$B$1049),Data!$BO:$BO,0)-2,34),"")),"")</f>
        <v>Logik 04</v>
      </c>
      <c r="C1059" s="39"/>
      <c r="D1059" s="35" t="str">
        <f ca="1">IFERROR(IF(AND(INDEX(Tab_DaBa[],MATCH(CONCATENATE(Liste!$C$3,$B$851,$B$1049),Data!$BO:$BO,0)-2,33)&lt;&gt;"",INDEX(Tab_DaBa[],MATCH(CONCATENATE(Liste!$C$3,$B$851,$B$1049),Data!$BO:$BO,0)-2,38)=0),INDEX(Tab_DaBa[],MATCH(CONCATENATE(Liste!$C$3,$B$851,$B$1049),Data!$BO:$BO,0)-2,14),IF(INDEX(Tab_DaBa[],MATCH(CONCATENATE(Liste!$C$3,$B$851,$B$1049),Data!$BO:$BO,0)-2,33)&lt;&gt;"",INDEX(Tab_DaBa[],MATCH(CONCATENATE(Liste!$C$3,$B$851,$B$1049),Data!$BO:$BO,0)-2,39),"")),"")</f>
        <v>Logik 06</v>
      </c>
      <c r="E1059" s="33"/>
      <c r="F1059" s="35" t="str">
        <f ca="1">IFERROR(IF(AND(INDEX(Tab_DaBa[],MATCH(CONCATENATE(Liste!$C$3,$B$851,$B$1049),Data!$BO:$BO,0)-2,38)&lt;&gt;"",INDEX(Tab_DaBa[],MATCH(CONCATENATE(Liste!$C$3,$B$851,$B$1049),Data!$BO:$BO,0)-2,43)=0),INDEX(Tab_DaBa[],MATCH(CONCATENATE(Liste!$C$3,$B$851,$B$1049),Data!$BO:$BO,0)-2,14),IF(INDEX(Tab_DaBa[],MATCH(CONCATENATE(Liste!$C$3,$B$851,$B$1049),Data!$BO:$BO,0)-2,38)&lt;&gt;"",INDEX(Tab_DaBa[],MATCH(CONCATENATE(Liste!$C$3,$B$851,$B$1049),Data!$BO:$BO,0)-2,44),"")),"")</f>
        <v>Logik 06</v>
      </c>
      <c r="G1059" s="39"/>
      <c r="H1059" s="35" t="str">
        <f ca="1">IFERROR(IF(AND(INDEX(Tab_DaBa[],MATCH(CONCATENATE(Liste!$C$3,$B$851,$B$1049),Data!$BO:$BO,0)-2,43)&lt;&gt;"",INDEX(Tab_DaBa[],MATCH(CONCATENATE(Liste!$C$3,$B$851,$B$1049),Data!$BO:$BO,0)-2,48)=0),INDEX(Tab_DaBa[],MATCH(CONCATENATE(Liste!$C$3,$B$851,$B$1049),Data!$BO:$BO,0)-2,14),IF(INDEX(Tab_DaBa[],MATCH(CONCATENATE(Liste!$C$3,$B$851,$B$1049),Data!$BO:$BO,0)-2,43)&lt;&gt;"",INDEX(Tab_DaBa[],MATCH(CONCATENATE(Liste!$C$3,$B$851,$B$1049),Data!$BO:$BO,0)-2,49),"")),"")</f>
        <v>Logik 07</v>
      </c>
      <c r="I1059" s="39"/>
    </row>
    <row r="1060" spans="2:9" s="16" customFormat="1" ht="15.75">
      <c r="B1060" s="35" t="str">
        <f ca="1">IFERROR(IF(AND(INDEX(Tab_DaBa[],MATCH(CONCATENATE(Liste!$C$3,$B$851,$B$1049),Data!$BO:$BO,0)-2,28)&lt;&gt;"",INDEX(Tab_DaBa[],MATCH(CONCATENATE(Liste!$C$3,$B$851,$B$1049),Data!$BO:$BO,0)-2,33)=0),INDEX(Tab_DaBa[],MATCH(CONCATENATE(Liste!$C$3,$B$851,$B$1049),Data!$BO:$BO,0)-2,12),IF(INDEX(Tab_DaBa[],MATCH(CONCATENATE(Liste!$C$3,$B$851,$B$1049),Data!$BO:$BO,0)-2,28)&lt;&gt;"",INDEX(Tab_DaBa[],MATCH(CONCATENATE(Liste!$C$3,$B$851,$B$1049),Data!$BO:$BO,0)-2,32),"")),"")</f>
        <v>Lo04-44_08</v>
      </c>
      <c r="C1060" s="39"/>
      <c r="D1060" s="35" t="str">
        <f ca="1">IFERROR(IF(AND(INDEX(Tab_DaBa[],MATCH(CONCATENATE(Liste!$C$3,$B$851,$B$1049),Data!$BO:$BO,0)-2,33)&lt;&gt;"",INDEX(Tab_DaBa[],MATCH(CONCATENATE(Liste!$C$3,$B$851,$B$1049),Data!$BO:$BO,0)-2,38)=0),INDEX(Tab_DaBa[],MATCH(CONCATENATE(Liste!$C$3,$B$851,$B$1049),Data!$BO:$BO,0)-2,12),IF(INDEX(Tab_DaBa[],MATCH(CONCATENATE(Liste!$C$3,$B$851,$B$1049),Data!$BO:$BO,0)-2,33)&lt;&gt;"",INDEX(Tab_DaBa[],MATCH(CONCATENATE(Liste!$C$3,$B$851,$B$1049),Data!$BO:$BO,0)-2,37),"")),"")</f>
        <v>Lo04-44_08</v>
      </c>
      <c r="E1060" s="37"/>
      <c r="F1060" s="35" t="str">
        <f ca="1">IFERROR(IF(AND(INDEX(Tab_DaBa[],MATCH(CONCATENATE(Liste!$C$3,$B$851,$B$1049),Data!$BO:$BO,0)-2,38)&lt;&gt;"",INDEX(Tab_DaBa[],MATCH(CONCATENATE(Liste!$C$3,$B$851,$B$1049),Data!$BO:$BO,0)-2,43)=0),INDEX(Tab_DaBa[],MATCH(CONCATENATE(Liste!$C$3,$B$851,$B$1049),Data!$BO:$BO,0)-2,12),IF(INDEX(Tab_DaBa[],MATCH(CONCATENATE(Liste!$C$3,$B$851,$B$1049),Data!$BO:$BO,0)-2,38)&lt;&gt;"",INDEX(Tab_DaBa[],MATCH(CONCATENATE(Liste!$C$3,$B$851,$B$1049),Data!$BO:$BO,0)-2,42),"")),"")</f>
        <v>Lo03-33_08</v>
      </c>
      <c r="G1060" s="39"/>
      <c r="H1060" s="35" t="str">
        <f ca="1">IFERROR(IF(AND(INDEX(Tab_DaBa[],MATCH(CONCATENATE(Liste!$C$3,$B$851,$B$1049),Data!$BO:$BO,0)-2,43)&lt;&gt;"",INDEX(Tab_DaBa[],MATCH(CONCATENATE(Liste!$C$3,$B$851,$B$1049),Data!$BO:$BO,0)-2,48)=0),INDEX(Tab_DaBa[],MATCH(CONCATENATE(Liste!$C$3,$B$851,$B$1049),Data!$BO:$BO,0)-2,12),IF(INDEX(Tab_DaBa[],MATCH(CONCATENATE(Liste!$C$3,$B$851,$B$1049),Data!$BO:$BO,0)-2,43)&lt;&gt;"",INDEX(Tab_DaBa[],MATCH(CONCATENATE(Liste!$C$3,$B$851,$B$1049),Data!$BO:$BO,0)-2,47),"")),"")</f>
        <v>Lo03-33_08</v>
      </c>
      <c r="I1060" s="39"/>
    </row>
    <row r="1061" spans="2:9" s="16" customFormat="1" ht="15.75">
      <c r="B1061" s="35" t="str">
        <f ca="1">IFERROR(IF(AND(INDEX(Tab_DaBa[],MATCH(CONCATENATE(Liste!$C$3,$B$851,$B$1049),Data!$BO:$BO,0)-2,28)&lt;&gt;"",INDEX(Tab_DaBa[],MATCH(CONCATENATE(Liste!$C$3,$B$851,$B$1049),Data!$BO:$BO,0)-2,33)=""),INDEX(Tab_DaBa[],MATCH(CONCATENATE(Liste!$C$3,$B$851,$B$1049),Data!$BO:$BO,0)-2,13),IF(INDEX(Tab_DaBa[],MATCH(CONCATENATE(Liste!$C$3,$B$851,$B$1049),Data!$BO:$BO,0)-2,28)&lt;&gt;"",INDEX(Tab_DaBa[],MATCH(CONCATENATE(Liste!$C$3,$B$851,$B$1049),Data!$BO:$BO,0)-2,33),"")),"")</f>
        <v>Bez_Lo04_08</v>
      </c>
      <c r="C1061" s="38">
        <f ca="1">IF(D1059="","",4)</f>
        <v>4</v>
      </c>
      <c r="D1061" s="35" t="str">
        <f ca="1">IFERROR(IF(AND(INDEX(Tab_DaBa[],MATCH(CONCATENATE(Liste!$C$3,$B$851,$B$1049),Data!$BO:$BO,0)-2,33)&lt;&gt;"",INDEX(Tab_DaBa[],MATCH(CONCATENATE(Liste!$C$3,$B$851,$B$1049),Data!$BO:$BO,0)-2,38)=""),INDEX(Tab_DaBa[],MATCH(CONCATENATE(Liste!$C$3,$B$851,$B$1049),Data!$BO:$BO,0)-2,13),IF(INDEX(Tab_DaBa[],MATCH(CONCATENATE(Liste!$C$3,$B$851,$B$1049),Data!$BO:$BO,0)-2,33)&lt;&gt;"",INDEX(Tab_DaBa[],MATCH(CONCATENATE(Liste!$C$3,$B$851,$B$1049),Data!$BO:$BO,0)-2,38),"")),"")</f>
        <v>Bez_Lo03_08</v>
      </c>
      <c r="E1061" s="38">
        <f ca="1">IF(F1059="","",4)</f>
        <v>4</v>
      </c>
      <c r="F1061" s="35" t="str">
        <f ca="1">IFERROR(IF(AND(INDEX(Tab_DaBa[],MATCH(CONCATENATE(Liste!$C$3,$B$851,$B$1049),Data!$BO:$BO,0)-2,38)&lt;&gt;"",INDEX(Tab_DaBa[],MATCH(CONCATENATE(Liste!$C$3,$B$851,$B$1049),Data!$BO:$BO,0)-2,43)=""),INDEX(Tab_DaBa[],MATCH(CONCATENATE(Liste!$C$3,$B$851,$B$1049),Data!$BO:$BO,0)-2,13),IF(INDEX(Tab_DaBa[],MATCH(CONCATENATE(Liste!$C$3,$B$851,$B$1049),Data!$BO:$BO,0)-2,38)&lt;&gt;"",INDEX(Tab_DaBa[],MATCH(CONCATENATE(Liste!$C$3,$B$851,$B$1049),Data!$BO:$BO,0)-2,43),"")),"")</f>
        <v>Bez_Lo03_08</v>
      </c>
      <c r="G1061" s="38">
        <f ca="1">IF(H1059="","",4)</f>
        <v>4</v>
      </c>
      <c r="H1061" s="35" t="str">
        <f ca="1">IFERROR(IF(AND(INDEX(Tab_DaBa[],MATCH(CONCATENATE(Liste!$C$3,$B$851,$B$1049),Data!$BO:$BO,0)-2,43)&lt;&gt;"",INDEX(Tab_DaBa[],MATCH(CONCATENATE(Liste!$C$3,$B$851,$B$1049),Data!$BO:$BO,0)-2,48)=""),INDEX(Tab_DaBa[],MATCH(CONCATENATE(Liste!$C$3,$B$851,$B$1049),Data!$BO:$BO,0)-2,13),IF(INDEX(Tab_DaBa[],MATCH(CONCATENATE(Liste!$C$3,$B$851,$B$1049),Data!$BO:$BO,0)-2,43)&lt;&gt;"",INDEX(Tab_DaBa[],MATCH(CONCATENATE(Liste!$C$3,$B$851,$B$1049),Data!$BO:$BO,0)-2,48),"")),"")</f>
        <v>Bez_Lo03_08</v>
      </c>
      <c r="I1061" s="38">
        <f ca="1">IF(B1067="","",6)</f>
        <v>6</v>
      </c>
    </row>
    <row r="1062" spans="2:9" s="16" customFormat="1" ht="15.75">
      <c r="B1062" s="35" t="str">
        <f ca="1">IFERROR(IF(AND(INDEX(Tab_DaBa[],MATCH(CONCATENATE(Liste!$C$3,$B$851,$B$1049),Data!$BO:$BO,0)-2,28)&lt;&gt;"",INDEX(Tab_DaBa[],MATCH(CONCATENATE(Liste!$C$3,$B$851,$B$1049),Data!$BO:$BO,0)-2,33)=""),"Performance Level: "&amp;INDEX(Tab_DaBa[],MATCH(CONCATENATE(Liste!$C$3,$B$851,$B$1049),Data!$BO:$BO,0)-2,15),IF(INDEX(Tab_DaBa[],MATCH(CONCATENATE(Liste!$C$3,$B$851,$B$1049),Data!$BO:$BO,0)-2,28)&lt;&gt;"","Performance Level: "&amp;INDEX(Tab_DaBa[],MATCH(CONCATENATE(Liste!$C$3,$B$851,$B$1049),Data!$BO:$BO,0)-2,35),"")),"")</f>
        <v>Performance Level: PL_Lo04_08</v>
      </c>
      <c r="C1062" s="39"/>
      <c r="D1062" s="35" t="str">
        <f ca="1">IFERROR(IF(AND(INDEX(Tab_DaBa[],MATCH(CONCATENATE(Liste!$C$3,$B$851,$B$1049),Data!$BO:$BO,0)-2,33)&lt;&gt;"",INDEX(Tab_DaBa[],MATCH(CONCATENATE(Liste!$C$3,$B$851,$B$1049),Data!$BO:$BO,0)-2,38)=""),"Performance Level: "&amp;INDEX(Tab_DaBa[],MATCH(CONCATENATE(Liste!$C$3,$B$851,$B$1049),Data!$BO:$BO,0)-2,15),IF(INDEX(Tab_DaBa[],MATCH(CONCATENATE(Liste!$C$3,$B$851,$B$1049),Data!$BO:$BO,0)-2,33)&lt;&gt;"","Performance Level: "&amp;INDEX(Tab_DaBa[],MATCH(CONCATENATE(Liste!$C$3,$B$851,$B$1049),Data!$BO:$BO,0)-2,40),"")),"")</f>
        <v>Performance Level: PL_Lo03_8</v>
      </c>
      <c r="E1062" s="37"/>
      <c r="F1062" s="35" t="str">
        <f ca="1">IFERROR(IF(AND(INDEX(Tab_DaBa[],MATCH(CONCATENATE(Liste!$C$3,$B$851,$B$1049),Data!$BO:$BO,0)-2,38)&lt;&gt;"",INDEX(Tab_DaBa[],MATCH(CONCATENATE(Liste!$C$3,$B$851,$B$1049),Data!$BO:$BO,0)-2,43)=""),"Performance Level: "&amp;INDEX(Tab_DaBa[],MATCH(CONCATENATE(Liste!$C$3,$B$851,$B$1049),Data!$BO:$BO,0)-2,15),IF(INDEX(Tab_DaBa[],MATCH(CONCATENATE(Liste!$C$3,$B$851,$B$1049),Data!$BO:$BO,0)-2,38)&lt;&gt;"","Performance Level: "&amp;INDEX(Tab_DaBa[],MATCH(CONCATENATE(Liste!$C$3,$B$851,$B$1049),Data!$BO:$BO,0)-2,45),"")),"")</f>
        <v>Performance Level: PL_Lo03_08</v>
      </c>
      <c r="G1062" s="39"/>
      <c r="H1062" s="35" t="str">
        <f ca="1">IFERROR(IF(AND(INDEX(Tab_DaBa[],MATCH(CONCATENATE(Liste!$C$3,$B$851,$B$1049),Data!$BO:$BO,0)-2,43)&lt;&gt;"",INDEX(Tab_DaBa[],MATCH(CONCATENATE(Liste!$C$3,$B$851,$B$1049),Data!$BO:$BO,0)-2,48)=""),"Performance Level: "&amp;INDEX(Tab_DaBa[],MATCH(CONCATENATE(Liste!$C$3,$B$851,$B$1049),Data!$BO:$BO,0)-2,15),IF(INDEX(Tab_DaBa[],MATCH(CONCATENATE(Liste!$C$3,$B$851,$B$1049),Data!$BO:$BO,0)-2,43)&lt;&gt;"","Performance Level: "&amp;INDEX(Tab_DaBa[],MATCH(CONCATENATE(Liste!$C$3,$B$851,$B$1049),Data!$BO:$BO,0)-2,50),"")),"")</f>
        <v>Performance Level: PL_Lo03_08</v>
      </c>
      <c r="I1062" s="39"/>
    </row>
    <row r="1063" spans="2:9" s="16" customFormat="1" ht="15.75">
      <c r="B1063" s="35" t="str">
        <f ca="1">IFERROR(IF(AND(INDEX(Tab_DaBa[],MATCH(CONCATENATE(Liste!$C$3,$B$851,$B$1049),Data!$BO:$BO,0)-2,28)&lt;&gt;"",INDEX(Tab_DaBa[],MATCH(CONCATENATE(Liste!$C$3,$B$851,$B$1049),Data!$BO:$BO,0)-2,33)=""),"PFH [1/h] = "&amp;10^9*INDEX(Tab_DaBa[],MATCH(CONCATENATE(Liste!$C$3,$B$851,$B$1049),Data!$BO:$BO,0)-2,16)&amp;"E-9",IF(INDEX(Tab_DaBa[],MATCH(CONCATENATE(Liste!$C$3,$B$851,$B$1049),Data!$BO:$BO,0)-2,28)&lt;&gt;"","PFH [1/h] = "&amp;10^9*INDEX(Tab_DaBa[],MATCH(CONCATENATE(Liste!$C$3,$B$851,$B$1049),Data!$BO:$BO,0)-2,36)&amp;"E-9","")),"")</f>
        <v>PFH [1/h] = 4,19E-9</v>
      </c>
      <c r="C1063" s="39"/>
      <c r="D1063" s="35" t="str">
        <f ca="1">IFERROR(IF(AND(INDEX(Tab_DaBa[],MATCH(CONCATENATE(Liste!$C$3,$B$851,$B$1049),Data!$BO:$BO,0)-2,33)&lt;&gt;"",INDEX(Tab_DaBa[],MATCH(CONCATENATE(Liste!$C$3,$B$851,$B$1049),Data!$BO:$BO,0)-2,38)=""),"PFH [1/h] = "&amp;10^9*INDEX(Tab_DaBa[],MATCH(CONCATENATE(Liste!$C$3,$B$851,$B$1049),Data!$BO:$BO,0)-2,16)&amp;"E-9",IF(INDEX(Tab_DaBa[],MATCH(CONCATENATE(Liste!$C$3,$B$851,$B$1049),Data!$BO:$BO,0)-2,33)&lt;&gt;"","PFH [1/h] = "&amp;10^9*INDEX(Tab_DaBa[],MATCH(CONCATENATE(Liste!$C$3,$B$851,$B$1049),Data!$BO:$BO,0)-2,41)&amp;"E-9","")),"")</f>
        <v>PFH [1/h] = 4,19E-9</v>
      </c>
      <c r="E1063" s="37"/>
      <c r="F1063" s="35" t="str">
        <f ca="1">IFERROR(IF(AND(INDEX(Tab_DaBa[],MATCH(CONCATENATE(Liste!$C$3,$B$851,$B$1049),Data!$BO:$BO,0)-2,38)&lt;&gt;"",INDEX(Tab_DaBa[],MATCH(CONCATENATE(Liste!$C$3,$B$851,$B$1049),Data!$BO:$BO,0)-2,43)=""),"PFH [1/h] = "&amp;10^9*INDEX(Tab_DaBa[],MATCH(CONCATENATE(Liste!$C$3,$B$851,$B$1049),Data!$BO:$BO,0)-2,16)&amp;"E-9",IF(INDEX(Tab_DaBa[],MATCH(CONCATENATE(Liste!$C$3,$B$851,$B$1049),Data!$BO:$BO,0)-2,38)&lt;&gt;"","PFH [1/h] = "&amp;10^9*INDEX(Tab_DaBa[],MATCH(CONCATENATE(Liste!$C$3,$B$851,$B$1049),Data!$BO:$BO,0)-2,46)&amp;"E-9","")),"")</f>
        <v>PFH [1/h] = 4,19E-9</v>
      </c>
      <c r="G1063" s="39"/>
      <c r="H1063" s="35" t="str">
        <f ca="1">IFERROR(IF(AND(INDEX(Tab_DaBa[],MATCH(CONCATENATE(Liste!$C$3,$B$851,$B$1049),Data!$BO:$BO,0)-2,43)&lt;&gt;"",INDEX(Tab_DaBa[],MATCH(CONCATENATE(Liste!$C$3,$B$851,$B$1049),Data!$BO:$BO,0)-2,48)=""),"PFH [1/h] = "&amp;10^9*INDEX(Tab_DaBa[],MATCH(CONCATENATE(Liste!$C$3,$B$851,$B$1049),Data!$BO:$BO,0)-2,16)&amp;"E-9",IF(INDEX(Tab_DaBa[],MATCH(CONCATENATE(Liste!$C$3,$B$851,$B$1049),Data!$BO:$BO,0)-2,43)&lt;&gt;"","PFH [1/h] = "&amp;10^9*INDEX(Tab_DaBa[],MATCH(CONCATENATE(Liste!$C$3,$B$851,$B$1049),Data!$BO:$BO,0)-2,51)&amp;"E-9","")),"")</f>
        <v>PFH [1/h] = 4,19E-9</v>
      </c>
      <c r="I1063" s="39"/>
    </row>
    <row r="1064" spans="2:9" s="16" customFormat="1">
      <c r="B1064" s="33"/>
      <c r="C1064" s="33"/>
      <c r="D1064" s="33"/>
      <c r="E1064" s="33"/>
      <c r="F1064" s="33"/>
      <c r="G1064" s="33"/>
      <c r="H1064" s="33"/>
      <c r="I1064" s="33"/>
    </row>
    <row r="1065" spans="2:9" s="16" customFormat="1" ht="15.75">
      <c r="B1065" s="38">
        <f ca="1">IF(B1067="","",6)</f>
        <v>6</v>
      </c>
      <c r="C1065" s="33"/>
      <c r="D1065" s="38">
        <f ca="1">IF(B1067="","",3)</f>
        <v>3</v>
      </c>
      <c r="E1065" s="33"/>
      <c r="F1065" s="38">
        <f ca="1">IF(B1067="","",3)</f>
        <v>3</v>
      </c>
      <c r="G1065" s="33"/>
      <c r="H1065" s="38">
        <f ca="1">IF(B1067="","",3)</f>
        <v>3</v>
      </c>
      <c r="I1065" s="33"/>
    </row>
    <row r="1066" spans="2:9" s="16" customFormat="1" ht="15.75">
      <c r="B1066" s="39"/>
      <c r="C1066" s="33"/>
      <c r="D1066" s="33"/>
      <c r="E1066" s="33"/>
      <c r="F1066" s="33"/>
      <c r="G1066" s="33"/>
      <c r="H1066" s="33"/>
      <c r="I1066" s="33"/>
    </row>
    <row r="1067" spans="2:9" s="16" customFormat="1" ht="15.75">
      <c r="B1067" s="35" t="str">
        <f ca="1">IFERROR(IF(AND(INDEX(Tab_DaBa[],MATCH(CONCATENATE(Liste!$C$3,$B$851,$B$1049),Data!$BO:$BO,0)-2,48)&lt;&gt;"",INDEX(Tab_DaBa[],MATCH(CONCATENATE(Liste!$C$3,$B$851,$B$1049),Data!$BO:$BO,0)-2,53)=0),INDEX(Tab_DaBa[],MATCH(CONCATENATE(Liste!$C$3,$B$851,$B$1049),Data!$BO:$BO,0)-2,14),IF(INDEX(Tab_DaBa[],MATCH(CONCATENATE(Liste!$C$3,$B$851,$B$1049),Data!$BO:$BO,0)-2,48)&lt;&gt;"",INDEX(Tab_DaBa[],MATCH(CONCATENATE(Liste!$C$3,$B$851,$B$1049),Data!$BO:$BO,0)-2,54),"")),"")</f>
        <v>Logik 08</v>
      </c>
      <c r="C1067" s="39"/>
      <c r="D1067" s="35" t="str">
        <f ca="1">IFERROR(IF(AND(INDEX(Tab_DaBa[],MATCH(CONCATENATE(Liste!$C$3,$B$851,$B$1049),Data!$BO:$BO,0)-2,53)&lt;&gt;"",INDEX(Tab_DaBa[],MATCH(CONCATENATE(Liste!$C$3,$B$851,$B$1049),Data!$BO:$BO,0)-2,58)=0),INDEX(Tab_DaBa[],MATCH(CONCATENATE(Liste!$C$3,$B$851,$B$1049),Data!$BO:$BO,0)-2,14),IF(INDEX(Tab_DaBa[],MATCH(CONCATENATE(Liste!$C$3,$B$851,$B$1049),Data!$BO:$BO,0)-2,53)&lt;&gt;"",INDEX(Tab_DaBa[],MATCH(CONCATENATE(Liste!$C$3,$B$851,$B$1049),Data!$BO:$BO,0)-2,59),"")),"")</f>
        <v>Ausgang</v>
      </c>
      <c r="E1067" s="33"/>
      <c r="F1067" s="35" t="str">
        <f ca="1">IFERROR(IF(AND(INDEX(Tab_DaBa[],MATCH(CONCATENATE(Liste!$C$3,$B$851,$B$1049),Data!$BO:$BO,0)-2,58)&lt;&gt;"",INDEX(Tab_DaBa[],MATCH(CONCATENATE(Liste!$C$3,$B$851,$B$1049),Data!$BO:$BO,0)-2,63)=0),INDEX(Tab_DaBa[],MATCH(CONCATENATE(Liste!$C$3,$B$851,$B$1049),Data!$BO:$BO,0)-2,14),IF(INDEX(Tab_DaBa[],MATCH(CONCATENATE(Liste!$C$3,$B$851,$B$1049),Data!$BO:$BO,0)-2,58)&lt;&gt;"",INDEX(Tab_DaBa[],MATCH(CONCATENATE(Liste!$C$3,$B$851,$B$1049),Data!$BO:$BO,0)-2,64),"")),"")</f>
        <v/>
      </c>
      <c r="G1067" s="39"/>
      <c r="H1067" s="35" t="str">
        <f ca="1">IFERROR(IF(INDEX(Tab_DaBa[],MATCH(CONCATENATE(Liste!$C$3,$B$851,$B$1049),Data!$BO:$BO,0)-2,63)&lt;&gt;"",INDEX(Tab_DaBa[],MATCH(CONCATENATE(Liste!$C$3,$B$851,$B$1049),Data!$BO:$BO,0)-2,14),""),"")</f>
        <v/>
      </c>
    </row>
    <row r="1068" spans="2:9" s="16" customFormat="1" ht="15.75">
      <c r="B1068" s="35" t="str">
        <f ca="1">IFERROR(IF(AND(INDEX(Tab_DaBa[],MATCH(CONCATENATE(Liste!$C$3,$B$851,$B$1049),Data!$BO:$BO,0)-2,48)&lt;&gt;"",INDEX(Tab_DaBa[],MATCH(CONCATENATE(Liste!$C$3,$B$851,$B$1049),Data!$BO:$BO,0)-2,53)=0),INDEX(Tab_DaBa[],MATCH(CONCATENATE(Liste!$C$3,$B$851,$B$1049),Data!$BO:$BO,0)-2,12),IF(INDEX(Tab_DaBa[],MATCH(CONCATENATE(Liste!$C$3,$B$851,$B$1049),Data!$BO:$BO,0)-2,48)&lt;&gt;"",INDEX(Tab_DaBa[],MATCH(CONCATENATE(Liste!$C$3,$B$851,$B$1049),Data!$BO:$BO,0)-2,52),"")),"")</f>
        <v>Lo03-88_08</v>
      </c>
      <c r="C1068" s="39"/>
      <c r="D1068" s="35" t="str">
        <f ca="1">IFERROR(IF(AND(INDEX(Tab_DaBa[],MATCH(CONCATENATE(Liste!$C$3,$B$851,$B$1049),Data!$BO:$BO,0)-2,53)&lt;&gt;"",INDEX(Tab_DaBa[],MATCH(CONCATENATE(Liste!$C$3,$B$851,$B$1049),Data!$BO:$BO,0)-2,58)=0),INDEX(Tab_DaBa[],MATCH(CONCATENATE(Liste!$C$3,$B$851,$B$1049),Data!$BO:$BO,0)-2,12),IF(INDEX(Tab_DaBa[],MATCH(CONCATENATE(Liste!$C$3,$B$851,$B$1049),Data!$BO:$BO,0)-2,53)&lt;&gt;"",INDEX(Tab_DaBa[],MATCH(CONCATENATE(Liste!$C$3,$B$851,$B$1049),Data!$BO:$BO,0)-2,57),"")),"")</f>
        <v>aaaa-44_8</v>
      </c>
      <c r="E1068" s="37"/>
      <c r="F1068" s="35" t="str">
        <f ca="1">IFERROR(IF(AND(INDEX(Tab_DaBa[],MATCH(CONCATENATE(Liste!$C$3,$B$851,$B$1049),Data!$BO:$BO,0)-2,58)&lt;&gt;"",INDEX(Tab_DaBa[],MATCH(CONCATENATE(Liste!$C$3,$B$851,$B$1049),Data!$BO:$BO,0)-2,63)=0),INDEX(Tab_DaBa[],MATCH(CONCATENATE(Liste!$C$3,$B$851,$B$1049),Data!$BO:$BO,0)-2,12),IF(INDEX(Tab_DaBa[],MATCH(CONCATENATE(Liste!$C$3,$B$851,$B$1049),Data!$BO:$BO,0)-2,58)&lt;&gt;"",INDEX(Tab_DaBa[],MATCH(CONCATENATE(Liste!$C$3,$B$851,$B$1049),Data!$BO:$BO,0)-2,62),"")),"")</f>
        <v/>
      </c>
      <c r="G1068" s="39"/>
      <c r="H1068" s="35" t="str">
        <f ca="1">IFERROR(IF(INDEX(Tab_DaBa[],MATCH(CONCATENATE(Liste!$C$3,$B$851,$B$1049),Data!$BO:$BO,0)-2,63)&lt;&gt;"",INDEX(Tab_DaBa[],MATCH(CONCATENATE(Liste!$C$3,$B$851,$B$1049),Data!$BO:$BO,0)-2,12),""),"")</f>
        <v/>
      </c>
    </row>
    <row r="1069" spans="2:9" s="16" customFormat="1" ht="15.75">
      <c r="B1069" s="35" t="str">
        <f ca="1">IFERROR(IF(AND(INDEX(Tab_DaBa[],MATCH(CONCATENATE(Liste!$C$3,$B$851,$B$1049),Data!$BO:$BO,0)-2,48)&lt;&gt;"",INDEX(Tab_DaBa[],MATCH(CONCATENATE(Liste!$C$3,$B$851,$B$1049),Data!$BO:$BO,0)-2,53)=""),INDEX(Tab_DaBa[],MATCH(CONCATENATE(Liste!$C$3,$B$851,$B$1049),Data!$BO:$BO,0)-2,13),IF(INDEX(Tab_DaBa[],MATCH(CONCATENATE(Liste!$C$3,$B$851,$B$1049),Data!$BO:$BO,0)-2,48)&lt;&gt;"",INDEX(Tab_DaBa[],MATCH(CONCATENATE(Liste!$C$3,$B$851,$B$1049),Data!$BO:$BO,0)-2,53),"")),"")</f>
        <v>Bez_Lo03_08</v>
      </c>
      <c r="C1069" s="38">
        <f ca="1">IF(D1067="","",4)</f>
        <v>4</v>
      </c>
      <c r="D1069" s="35" t="str">
        <f ca="1">IFERROR(IF(AND(INDEX(Tab_DaBa[],MATCH(CONCATENATE(Liste!$C$3,$B$851,$B$1049),Data!$BO:$BO,0)-2,53)&lt;&gt;"",INDEX(Tab_DaBa[],MATCH(CONCATENATE(Liste!$C$3,$B$851,$B$1049),Data!$BO:$BO,0)-2,58)=""),INDEX(Tab_DaBa[],MATCH(CONCATENATE(Liste!$C$3,$B$851,$B$1049),Data!$BO:$BO,0)-2,13),IF(INDEX(Tab_DaBa[],MATCH(CONCATENATE(Liste!$C$3,$B$851,$B$1049),Data!$BO:$BO,0)-2,53)&lt;&gt;"",INDEX(Tab_DaBa[],MATCH(CONCATENATE(Liste!$C$3,$B$851,$B$1049),Data!$BO:$BO,0)-2,58),"")),"")</f>
        <v>Bez_Aus4_8</v>
      </c>
      <c r="E1069" s="38" t="str">
        <f ca="1">IF(F1067="","",4)</f>
        <v/>
      </c>
      <c r="F1069" s="35" t="str">
        <f ca="1">IFERROR(IF(AND(INDEX(Tab_DaBa[],MATCH(CONCATENATE(Liste!$C$3,$B$851,$B$1049),Data!$BO:$BO,0)-2,58)&lt;&gt;"",INDEX(Tab_DaBa[],MATCH(CONCATENATE(Liste!$C$3,$B$851,$B$1049),Data!$BO:$BO,0)-2,63)=""),INDEX(Tab_DaBa[],MATCH(CONCATENATE(Liste!$C$3,$B$851,$B$1049),Data!$BO:$BO,0)-2,13),IF(INDEX(Tab_DaBa[],MATCH(CONCATENATE(Liste!$C$3,$B$851,$B$1049),Data!$BO:$BO,0)-2,58)&lt;&gt;"",INDEX(Tab_DaBa[],MATCH(CONCATENATE(Liste!$C$3,$B$851,$B$1049),Data!$BO:$BO,0)-2,63),"")),"")</f>
        <v/>
      </c>
      <c r="G1069" s="38" t="str">
        <f ca="1">IF(H1067="","",4)</f>
        <v/>
      </c>
      <c r="H1069" s="35" t="str">
        <f ca="1">IFERROR(IF(INDEX(Tab_DaBa[],MATCH(CONCATENATE(Liste!$C$3,$B$851,$B$1049),Data!$BO:$BO,0)-2,63)&lt;&gt;"",INDEX(Tab_DaBa[],MATCH(CONCATENATE(Liste!$C$3,$B$851,$B$1049),Data!$BO:$BO,0)-2,13),""),"")</f>
        <v/>
      </c>
    </row>
    <row r="1070" spans="2:9" s="16" customFormat="1" ht="15.75">
      <c r="B1070" s="35" t="str">
        <f ca="1">IFERROR(IF(AND(INDEX(Tab_DaBa[],MATCH(CONCATENATE(Liste!$C$3,$B$851,$B$1049),Data!$BO:$BO,0)-2,48)&lt;&gt;"",INDEX(Tab_DaBa[],MATCH(CONCATENATE(Liste!$C$3,$B$851,$B$1049),Data!$BO:$BO,0)-2,53)=""),"Performance Level: "&amp;INDEX(Tab_DaBa[],MATCH(CONCATENATE(Liste!$C$3,$B$851,$B$1049),Data!$BO:$BO,0)-2,15),IF(INDEX(Tab_DaBa[],MATCH(CONCATENATE(Liste!$C$3,$B$851,$B$1049),Data!$BO:$BO,0)-2,48)&lt;&gt;"","Performance Level: "&amp;INDEX(Tab_DaBa[],MATCH(CONCATENATE(Liste!$C$3,$B$851,$B$1049),Data!$BO:$BO,0)-2,55),"")),"")</f>
        <v>Performance Level: PL_Lo03_08</v>
      </c>
      <c r="C1070" s="39"/>
      <c r="D1070" s="35" t="str">
        <f ca="1">IFERROR(IF(AND(INDEX(Tab_DaBa[],MATCH(CONCATENATE(Liste!$C$3,$B$851,$B$1049),Data!$BO:$BO,0)-2,53)&lt;&gt;"",INDEX(Tab_DaBa[],MATCH(CONCATENATE(Liste!$C$3,$B$851,$B$1049),Data!$BO:$BO,0)-2,58)=""),"Performance Level: "&amp;INDEX(Tab_DaBa[],MATCH(CONCATENATE(Liste!$C$3,$B$851,$B$1049),Data!$BO:$BO,0)-2,15),IF(INDEX(Tab_DaBa[],MATCH(CONCATENATE(Liste!$C$3,$B$851,$B$1049),Data!$BO:$BO,0)-2,53)&lt;&gt;"","Performance Level: "&amp;INDEX(Tab_DaBa[],MATCH(CONCATENATE(Liste!$C$3,$B$851,$B$1049),Data!$BO:$BO,0)-2,60),"")),"")</f>
        <v>Performance Level: PL_Aus4_8</v>
      </c>
      <c r="E1070" s="37"/>
      <c r="F1070" s="35" t="str">
        <f ca="1">IFERROR(IF(AND(INDEX(Tab_DaBa[],MATCH(CONCATENATE(Liste!$C$3,$B$851,$B$1049),Data!$BO:$BO,0)-2,58)&lt;&gt;"",INDEX(Tab_DaBa[],MATCH(CONCATENATE(Liste!$C$3,$B$851,$B$1049),Data!$BO:$BO,0)-2,63)=""),"Performance Level: "&amp;INDEX(Tab_DaBa[],MATCH(CONCATENATE(Liste!$C$3,$B$851,$B$1049),Data!$BO:$BO,0)-2,15),IF(INDEX(Tab_DaBa[],MATCH(CONCATENATE(Liste!$C$3,$B$851,$B$1049),Data!$BO:$BO,0)-2,58)&lt;&gt;"","Performance Level: "&amp;INDEX(Tab_DaBa[],MATCH(CONCATENATE(Liste!$C$3,$B$851,$B$1049),Data!$BO:$BO,0)-2,65),"")),"")</f>
        <v/>
      </c>
      <c r="G1070" s="39"/>
      <c r="H1070" s="35" t="str">
        <f ca="1">IFERROR(IF(INDEX(Tab_DaBa[],MATCH(CONCATENATE(Liste!$C$3,$B$851,$B$1049),Data!$BO:$BO,0)-2,63)&lt;&gt;"","Performance Level: "&amp;INDEX(Tab_DaBa[],MATCH(CONCATENATE(Liste!$C$3,$B$851,$B$1049),Data!$BO:$BO,0)-2,15),""),"")</f>
        <v/>
      </c>
    </row>
    <row r="1071" spans="2:9" s="16" customFormat="1" ht="15.75">
      <c r="B1071" s="35" t="str">
        <f ca="1">IFERROR(IF(AND(INDEX(Tab_DaBa[],MATCH(CONCATENATE(Liste!$C$3,$B$851,$B$1049),Data!$BO:$BO,0)-2,48)&lt;&gt;"",INDEX(Tab_DaBa[],MATCH(CONCATENATE(Liste!$C$3,$B$851,$B$1049),Data!$BO:$BO,0)-2,53)=""),"PFH [1/h] = "&amp;10^9*INDEX(Tab_DaBa[],MATCH(CONCATENATE(Liste!$C$3,$B$851,$B$1049),Data!$BO:$BO,0)-2,16)&amp;"E-9",IF(INDEX(Tab_DaBa[],MATCH(CONCATENATE(Liste!$C$3,$B$851,$B$1049),Data!$BO:$BO,0)-2,48)&lt;&gt;"","PFH [1/h] = "&amp;10^9*INDEX(Tab_DaBa[],MATCH(CONCATENATE(Liste!$C$3,$B$851,$B$1049),Data!$BO:$BO,0)-2,56)&amp;"E-9","")),"")</f>
        <v>PFH [1/h] = 4,19E-9</v>
      </c>
      <c r="C1071" s="39"/>
      <c r="D1071" s="35" t="str">
        <f ca="1">IFERROR(IF(AND(INDEX(Tab_DaBa[],MATCH(CONCATENATE(Liste!$C$3,$B$851,$B$1049),Data!$BO:$BO,0)-2,53)&lt;&gt;"",INDEX(Tab_DaBa[],MATCH(CONCATENATE(Liste!$C$3,$B$851,$B$1049),Data!$BO:$BO,0)-2,58)=""),"PFH [1/h] = "&amp;10^9*INDEX(Tab_DaBa[],MATCH(CONCATENATE(Liste!$C$3,$B$851,$B$1049),Data!$BO:$BO,0)-2,16)&amp;"E-9",IF(INDEX(Tab_DaBa[],MATCH(CONCATENATE(Liste!$C$3,$B$851,$B$1049),Data!$BO:$BO,0)-2,53)&lt;&gt;"","PFH [1/h] = "&amp;10^9*INDEX(Tab_DaBa[],MATCH(CONCATENATE(Liste!$C$3,$B$851,$B$1049),Data!$BO:$BO,0)-2,61)&amp;"E-9","")),"")</f>
        <v>PFH [1/h] = 24,7E-9</v>
      </c>
      <c r="E1071" s="37"/>
      <c r="F1071" s="35" t="str">
        <f ca="1">IFERROR(IF(AND(INDEX(Tab_DaBa[],MATCH(CONCATENATE(Liste!$C$3,$B$851,$B$1049),Data!$BO:$BO,0)-2,58)&lt;&gt;"",INDEX(Tab_DaBa[],MATCH(CONCATENATE(Liste!$C$3,$B$851,$B$1049),Data!$BO:$BO,0)-2,63)=""),"PFH [1/h] = "&amp;10^9*INDEX(Tab_DaBa[],MATCH(CONCATENATE(Liste!$C$3,$B$851,$B$1049),Data!$BO:$BO,0)-2,16)&amp;"E-9",IF(INDEX(Tab_DaBa[],MATCH(CONCATENATE(Liste!$C$3,$B$851,$B$1049),Data!$BO:$BO,0)-2,58)&lt;&gt;"","PFH [1/h] = "&amp;10^9*INDEX(Tab_DaBa[],MATCH(CONCATENATE(Liste!$C$3,$B$851,$B$1049),Data!$BO:$BO,0)-2,66)&amp;"E-9","")),"")</f>
        <v/>
      </c>
      <c r="G1071" s="39"/>
      <c r="H1071" s="35" t="str">
        <f ca="1">IFERROR(IF(INDEX(Tab_DaBa[],MATCH(CONCATENATE(Liste!$C$3,$B$851,$B$1049),Data!$BO:$BO,0)-2,63)&lt;&gt;"","PFH [1/h] = "&amp;10^9*INDEX(Tab_DaBa[],MATCH(CONCATENATE(Liste!$C$3,$B$851,$B$1049),Data!$BO:$BO,0)-2,16)&amp;"E-9",""),"")</f>
        <v/>
      </c>
    </row>
    <row r="1072" spans="2:9" s="16" customFormat="1"/>
    <row r="1073" spans="2:9" s="16" customFormat="1">
      <c r="B1073" s="43" t="str">
        <f ca="1">IF(D1073="","","Erforderlich")</f>
        <v>Erforderlich</v>
      </c>
      <c r="D1073" s="44" t="str">
        <f ca="1">IFERROR("Performance Level: "&amp;INDEX(Tab_DaBa[],MATCH(CONCATENATE(Liste!$C$3,$B$851,$B$1049),Data!$BO:$BO,0)-2,4),"")</f>
        <v>Performance Level: PLr_ges4_8</v>
      </c>
    </row>
    <row r="1074" spans="2:9" s="16" customFormat="1">
      <c r="B1074" s="45"/>
    </row>
    <row r="1075" spans="2:9" s="16" customFormat="1">
      <c r="B1075" s="46" t="str">
        <f ca="1">IF(D1075="","","Erreicht")</f>
        <v>Erreicht</v>
      </c>
      <c r="D1075" s="47" t="str">
        <f ca="1">IFERROR("Performance Level: "&amp;INDEX(Tab_DaBa[],MATCH(CONCATENATE(Liste!$C$3,$B$851,$B$1049),Data!$BO:$BO,0)-2,5)&amp;"          PFH [1/h] = "&amp;10^9*INDEX(Tab_DaBa[],MATCH(CONCATENATE(Liste!$C$3,$B$851,$B$1049),Data!$BO:$BO,0)-2,6)&amp;"E-9","")</f>
        <v>Performance Level: Pl_ges4_8          PFH [1/h] = 71,7E-9</v>
      </c>
    </row>
    <row r="1076" spans="2:9" s="16" customFormat="1">
      <c r="B1076" s="50"/>
      <c r="C1076" s="49"/>
      <c r="D1076" s="49"/>
    </row>
    <row r="1077" spans="2:9" s="16" customFormat="1">
      <c r="B1077" s="42" t="str">
        <f ca="1">IFERROR(IF(9&gt;COUNTIF(Data!$BP:$BP,CONCATENATE(Liste!$C$3,$B$851)),"",INDEX(Tab_DaBa[],MATCH(CONCATENATE(Liste!$C$3,$B$851),Data!$BP:$BP,0)+6,3)),"")</f>
        <v>4.9 Test4 (E+9L+A)</v>
      </c>
    </row>
    <row r="1078" spans="2:9" s="16" customFormat="1"/>
    <row r="1079" spans="2:9" s="16" customFormat="1" ht="15.75">
      <c r="B1079" s="35" t="str">
        <f ca="1">IFERROR(INDEX(Tab_DaBa[],MATCH(CONCATENATE(Liste!$C$3,$B$851,$B$1077),Data!$BO:$BO,0)-2,9),"")</f>
        <v>Eingang</v>
      </c>
      <c r="C1079" s="54"/>
      <c r="D1079" s="35" t="str">
        <f ca="1">IFERROR(IF(INDEX(Tab_DaBa[],MATCH(CONCATENATE(Liste!$C$3,$B$851,$B$1077),Data!$BO:$BO,0)-2,18)=0,INDEX(Tab_DaBa[],MATCH(CONCATENATE(Liste!$C$3,$B$851,$B$1077),Data!$BO:$BO,0)-2,14),INDEX(Tab_DaBa[],MATCH(CONCATENATE(Liste!$C$3,$B$851,$B$1077),Data!$BO:$BO,0)-2,19)),"")</f>
        <v>Logik 01</v>
      </c>
      <c r="E1079" s="33"/>
      <c r="F1079" s="35" t="str">
        <f ca="1">IFERROR(IF(AND(INDEX(Tab_DaBa[],MATCH(CONCATENATE(Liste!$C$3,$B$851,$B$1077),Data!$BO:$BO,0)-2,18)&lt;&gt;"",INDEX(Tab_DaBa[],MATCH(CONCATENATE(Liste!$C$3,$B$851,$B$1077),Data!$BO:$BO,0)-2,23)=0),INDEX(Tab_DaBa[],MATCH(CONCATENATE(Liste!$C$3,$B$851,$B$1077),Data!$BO:$BO,0)-2,14),IF(INDEX(Tab_DaBa[],MATCH(CONCATENATE(Liste!$C$3,$B$851,$B$1077),Data!$BO:$BO,0)-2,23)&lt;&gt;"",INDEX(Tab_DaBa[],MATCH(CONCATENATE(Liste!$C$3,$B$851,$B$1077),Data!$BO:$BO,0)-2,24),"")),"")</f>
        <v>Logik 02</v>
      </c>
      <c r="G1079" s="39"/>
      <c r="H1079" s="35" t="str">
        <f ca="1">IFERROR(IF(AND(INDEX(Tab_DaBa[],MATCH(CONCATENATE(Liste!$C$3,$B$851,$B$1077),Data!$BO:$BO,0)-2,23)&lt;&gt;"",INDEX(Tab_DaBa[],MATCH(CONCATENATE(Liste!$C$3,$B$851,$B$1077),Data!$BO:$BO,0)-2,28)=0),INDEX(Tab_DaBa[],MATCH(CONCATENATE(Liste!$C$3,$B$851,$B$1077),Data!$BO:$BO,0)-2,14),IF(INDEX(Tab_DaBa[],MATCH(CONCATENATE(Liste!$C$3,$B$851,$B$1077),Data!$BO:$BO,0)-2,23)&lt;&gt;"",INDEX(Tab_DaBa[],MATCH(CONCATENATE(Liste!$C$3,$B$851,$B$1077),Data!$BO:$BO,0)-2,29),"")),"")</f>
        <v>Logik 03</v>
      </c>
      <c r="I1079" s="39"/>
    </row>
    <row r="1080" spans="2:9" s="16" customFormat="1" ht="15.75">
      <c r="B1080" s="35" t="str">
        <f ca="1">IFERROR(INDEX(Tab_DaBa[],MATCH(CONCATENATE(Liste!$C$3,$B$851,$B$1077),Data!$BO:$BO,0)-2,7),"")</f>
        <v>eeee-33_9</v>
      </c>
      <c r="C1080" s="54"/>
      <c r="D1080" s="35" t="str">
        <f ca="1">IFERROR(IF(INDEX(Tab_DaBa[],MATCH(CONCATENATE(Liste!$C$3,$B$851,$B$1077),Data!$BO:$BO,0)-2,18)="",INDEX(Tab_DaBa[],MATCH(CONCATENATE(Liste!$C$3,$B$851,$B$1077),Data!$BO:$BO,0)-2,12),INDEX(Tab_DaBa[],MATCH(CONCATENATE(Liste!$C$3,$B$851,$B$1077),Data!$BO:$BO,0)-2,17)),"")</f>
        <v>Log01-04_09</v>
      </c>
      <c r="E1080" s="36"/>
      <c r="F1080" s="35" t="str">
        <f ca="1">IFERROR(IF(AND(INDEX(Tab_DaBa[],MATCH(CONCATENATE(Liste!$C$3,$B$851,$B$1077),Data!$BO:$BO,0)-2,18)&lt;&gt;"",INDEX(Tab_DaBa[],MATCH(CONCATENATE(Liste!$C$3,$B$851,$B$1077),Data!$BO:$BO,0)-2,23)=0),INDEX(Tab_DaBa[],MATCH(CONCATENATE(Liste!$C$3,$B$851,$B$1077),Data!$BO:$BO,0)-2,12),IF(INDEX(Tab_DaBa[],MATCH(CONCATENATE(Liste!$C$3,$B$851,$B$1077),Data!$BO:$BO,0)-2,23)&lt;&gt;"",INDEX(Tab_DaBa[],MATCH(CONCATENATE(Liste!$C$3,$B$851,$B$1077),Data!$BO:$BO,0)-2,22),"")),"")</f>
        <v>Lo04-04_09</v>
      </c>
      <c r="G1080" s="39"/>
      <c r="H1080" s="35" t="str">
        <f ca="1">IFERROR(IF(AND(INDEX(Tab_DaBa[],MATCH(CONCATENATE(Liste!$C$3,$B$851,$B$1077),Data!$BO:$BO,0)-2,23)&lt;&gt;"",INDEX(Tab_DaBa[],MATCH(CONCATENATE(Liste!$C$3,$B$851,$B$1077),Data!$BO:$BO,0)-2,28)=0),INDEX(Tab_DaBa[],MATCH(CONCATENATE(Liste!$C$3,$B$851,$B$1077),Data!$BO:$BO,0)-2,12),IF(INDEX(Tab_DaBa[],MATCH(CONCATENATE(Liste!$C$3,$B$851,$B$1077),Data!$BO:$BO,0)-2,23)&lt;&gt;"",INDEX(Tab_DaBa[],MATCH(CONCATENATE(Liste!$C$3,$B$851,$B$1077),Data!$BO:$BO,0)-2,27),"")),"")</f>
        <v>Lo04-44_09</v>
      </c>
      <c r="I1080" s="39"/>
    </row>
    <row r="1081" spans="2:9" s="16" customFormat="1" ht="15.75">
      <c r="B1081" s="35" t="str">
        <f ca="1">IFERROR(INDEX(Tab_DaBa[],MATCH(CONCATENATE(Liste!$C$3,$B$851,$B$1077),Data!$BO:$BO,0)-2,8),"")</f>
        <v>Bez_Ein4_9</v>
      </c>
      <c r="C1081" s="40">
        <f ca="1">IF(D1079="","",4)</f>
        <v>4</v>
      </c>
      <c r="D1081" s="35" t="str">
        <f ca="1">IFERROR(IF(INDEX(Tab_DaBa[],MATCH(CONCATENATE(Liste!$C$3,$B$851,$B$1077),Data!$BO:$BO,0)-2,18)="",INDEX(Tab_DaBa[],MATCH(CONCATENATE(Liste!$C$3,$B$851,$B$1077),Data!$BO:$BO,0)-2,13),INDEX(Tab_DaBa[],MATCH(CONCATENATE(Liste!$C$3,$B$851,$B$1077),Data!$BO:$BO,0)-2,18)),"")</f>
        <v>Bez_Log01_04_09</v>
      </c>
      <c r="E1081" s="40">
        <f ca="1">IF(F1079="","",4)</f>
        <v>4</v>
      </c>
      <c r="F1081" s="35" t="str">
        <f ca="1">IFERROR(IF(AND(INDEX(Tab_DaBa[],MATCH(CONCATENATE(Liste!$C$3,$B$851,$B$1077),Data!$BO:$BO,0)-2,18)&lt;&gt;"",INDEX(Tab_DaBa[],MATCH(CONCATENATE(Liste!$C$3,$B$851,$B$1077),Data!$BO:$BO,0)-2,23)=""),INDEX(Tab_DaBa[],MATCH(CONCATENATE(Liste!$C$3,$B$851,$B$1077),Data!$BO:$BO,0)-2,13),IF(INDEX(Tab_DaBa[],MATCH(CONCATENATE(Liste!$C$3,$B$851,$B$1077),Data!$BO:$BO,0)-2,23)&lt;&gt;"",INDEX(Tab_DaBa[],MATCH(CONCATENATE(Liste!$C$3,$B$851,$B$1077),Data!$BO:$BO,0)-2,23),"")),"")</f>
        <v>Bez_Lo04_09</v>
      </c>
      <c r="G1081" s="38">
        <f ca="1">IF(H1079="","",4)</f>
        <v>4</v>
      </c>
      <c r="H1081" s="35" t="str">
        <f ca="1">IFERROR(IF(AND(INDEX(Tab_DaBa[],MATCH(CONCATENATE(Liste!$C$3,$B$851,$B$1077),Data!$BO:$BO,0)-2,23)&lt;&gt;"",INDEX(Tab_DaBa[],MATCH(CONCATENATE(Liste!$C$3,$B$851,$B$1077),Data!$BO:$BO,0)-2,28)=""),INDEX(Tab_DaBa[],MATCH(CONCATENATE(Liste!$C$3,$B$851,$B$1077),Data!$BO:$BO,0)-2,13),IF(INDEX(Tab_DaBa[],MATCH(CONCATENATE(Liste!$C$3,$B$851,$B$1077),Data!$BO:$BO,0)-2,23)&lt;&gt;"",INDEX(Tab_DaBa[],MATCH(CONCATENATE(Liste!$C$3,$B$851,$B$1077),Data!$BO:$BO,0)-2,28),"")),"")</f>
        <v>Bez_Lo04_09</v>
      </c>
      <c r="I1081" s="38">
        <f ca="1">IF(B1087="","",6)</f>
        <v>6</v>
      </c>
    </row>
    <row r="1082" spans="2:9" s="16" customFormat="1" ht="15.75">
      <c r="B1082" s="35" t="str">
        <f ca="1">IFERROR("Performance Level: "&amp;INDEX(Tab_DaBa[],MATCH(CONCATENATE(Liste!$C$3,$B$851,$B$1077),Data!$BO:$BO,0)-2,10),"")</f>
        <v>Performance Level: PL_Ein4_9</v>
      </c>
      <c r="C1082" s="54"/>
      <c r="D1082" s="35" t="str">
        <f ca="1">IFERROR(IF(INDEX(Tab_DaBa[],MATCH(CONCATENATE(Liste!$C$3,$B$851,$B$1077),Data!$BO:$BO,0)-2,18)="","Performance Level: "&amp;INDEX(Tab_DaBa[],MATCH(CONCATENATE(Liste!$C$3,$B$851,$B$1077),Data!$BO:$BO,0)-2,15),"Performance Level: "&amp;INDEX(Tab_DaBa[],MATCH(CONCATENATE(Liste!$C$3,$B$851,$B$1077),Data!$BO:$BO,0)-2,20)),"")</f>
        <v>Performance Level: PL_Log01_04_09</v>
      </c>
      <c r="E1082" s="36"/>
      <c r="F1082" s="35" t="str">
        <f ca="1">IFERROR(IF(AND(INDEX(Tab_DaBa[],MATCH(CONCATENATE(Liste!$C$3,$B$851,$B$1077),Data!$BO:$BO,0)-2,18)&lt;&gt;"",INDEX(Tab_DaBa[],MATCH(CONCATENATE(Liste!$C$3,$B$851,$B$1077),Data!$BO:$BO,0)-2,23)=""),"Performance Level: "&amp;INDEX(Tab_DaBa[],MATCH(CONCATENATE(Liste!$C$3,$B$851,$B$1077),Data!$BO:$BO,0)-2,15),IF(INDEX(Tab_DaBa[],MATCH(CONCATENATE(Liste!$C$3,$B$851,$B$1077),Data!$BO:$BO,0)-2,23)&lt;&gt;"","Performance Level: "&amp;INDEX(Tab_DaBa[],MATCH(CONCATENATE(Liste!$C$3,$B$851,$B$1077),Data!$BO:$BO,0)-2,25),"")),"")</f>
        <v>Performance Level: PL_Lo04_09</v>
      </c>
      <c r="G1082" s="39"/>
      <c r="H1082" s="35" t="str">
        <f ca="1">IFERROR(IF(AND(INDEX(Tab_DaBa[],MATCH(CONCATENATE(Liste!$C$3,$B$851,$B$1077),Data!$BO:$BO,0)-2,23)&lt;&gt;"",INDEX(Tab_DaBa[],MATCH(CONCATENATE(Liste!$C$3,$B$851,$B$1077),Data!$BO:$BO,0)-2,28)=""),"Performance Level: "&amp;INDEX(Tab_DaBa[],MATCH(CONCATENATE(Liste!$C$3,$B$851,$B$1077),Data!$BO:$BO,0)-2,15),IF(INDEX(Tab_DaBa[],MATCH(CONCATENATE(Liste!$C$3,$B$851,$B$1077),Data!$BO:$BO,0)-2,23)&lt;&gt;"","Performance Level: "&amp;INDEX(Tab_DaBa[],MATCH(CONCATENATE(Liste!$C$3,$B$851,$B$1077),Data!$BO:$BO,0)-2,30),"")),"")</f>
        <v>Performance Level: PL_Lo04_09</v>
      </c>
      <c r="I1082" s="38"/>
    </row>
    <row r="1083" spans="2:9" s="16" customFormat="1" ht="15.75">
      <c r="B1083" s="53" t="str">
        <f ca="1">IFERROR("PFH [1/h] = "&amp;10^9*INDEX(Tab_DaBa[],MATCH(CONCATENATE(Liste!$C$3,$B$851,$B$1077),Data!$BO:$BO,0)-2,11)&amp;"E-9","")</f>
        <v>PFH [1/h] = 42,9E-9</v>
      </c>
      <c r="C1083" s="54"/>
      <c r="D1083" s="35" t="str">
        <f ca="1">IFERROR(IF(INDEX(Tab_DaBa[],MATCH(CONCATENATE(Liste!$C$3,$B$851,$B$1077),Data!$BO:$BO,0)-2,18)="","PFH [1/h] = "&amp;10^9*INDEX(Tab_DaBa[],MATCH(CONCATENATE(Liste!$C$3,$B$851,$B$1077),Data!$BO:$BO,0)-2,16)&amp;"E-9","PFH [1/h] = "&amp;10^9*INDEX(Tab_DaBa[],MATCH(CONCATENATE(Liste!$C$3,$B$851,$B$1077),Data!$BO:$BO,0)-2,21)&amp;"E-9"),"")</f>
        <v>PFH [1/h] = 4,19E-9</v>
      </c>
      <c r="E1083" s="36"/>
      <c r="F1083" s="35" t="str">
        <f ca="1">IFERROR(IF(AND(INDEX(Tab_DaBa[],MATCH(CONCATENATE(Liste!$C$3,$B$851,$B$1077),Data!$BO:$BO,0)-2,18)&lt;&gt;"",INDEX(Tab_DaBa[],MATCH(CONCATENATE(Liste!$C$3,$B$851,$B$1077),Data!$BO:$BO,0)-2,23)=""),"PFH [1/h] = "&amp;10^9*INDEX(Tab_DaBa[],MATCH(CONCATENATE(Liste!$C$3,$B$851,$B$1077),Data!$BO:$BO,0)-2,16)&amp;"E-9",IF(INDEX(Tab_DaBa[],MATCH(CONCATENATE(Liste!$C$3,$B$851,$B$1077),Data!$BO:$BO,0)-2,23)&lt;&gt;"","PFH [1/h] = "&amp;10^9*INDEX(Tab_DaBa[],MATCH(CONCATENATE(Liste!$C$3,$B$851,$B$1077),Data!$BO:$BO,0)-2,26)&amp;"E-9","")),"")</f>
        <v>PFH [1/h] = 4,19E-9</v>
      </c>
      <c r="G1083" s="39"/>
      <c r="H1083" s="35" t="str">
        <f ca="1">IFERROR(IF(AND(INDEX(Tab_DaBa[],MATCH(CONCATENATE(Liste!$C$3,$B$851,$B$1077),Data!$BO:$BO,0)-2,23)&lt;&gt;"",INDEX(Tab_DaBa[],MATCH(CONCATENATE(Liste!$C$3,$B$851,$B$1077),Data!$BO:$BO,0)-2,28)=""),"PFH [1/h] = "&amp;10^9*INDEX(Tab_DaBa[],MATCH(CONCATENATE(Liste!$C$3,$B$851,$B$1077),Data!$BO:$BO,0)-2,16)&amp;"E-9",IF(INDEX(Tab_DaBa[],MATCH(CONCATENATE(Liste!$C$3,$B$851,$B$1077),Data!$BO:$BO,0)-2,23)&lt;&gt;"","PFH [1/h] = "&amp;10^9*INDEX(Tab_DaBa[],MATCH(CONCATENATE(Liste!$C$3,$B$851,$B$1077),Data!$BO:$BO,0)-2,31)&amp;"E-9","")),"")</f>
        <v>PFH [1/h] = 4,19E-9</v>
      </c>
      <c r="I1083" s="39"/>
    </row>
    <row r="1084" spans="2:9" s="16" customFormat="1">
      <c r="B1084" s="33"/>
      <c r="C1084" s="34"/>
      <c r="D1084" s="33"/>
      <c r="E1084" s="33"/>
      <c r="F1084" s="33"/>
      <c r="G1084" s="33"/>
      <c r="H1084" s="33"/>
      <c r="I1084" s="33"/>
    </row>
    <row r="1085" spans="2:9" s="16" customFormat="1" ht="15.75">
      <c r="B1085" s="38">
        <f ca="1">IF(B1087="","",6)</f>
        <v>6</v>
      </c>
      <c r="C1085" s="34"/>
      <c r="D1085" s="38">
        <f ca="1">IF(B1087="","",3)</f>
        <v>3</v>
      </c>
      <c r="E1085" s="33"/>
      <c r="F1085" s="38">
        <f ca="1">IF(B1087="","",3)</f>
        <v>3</v>
      </c>
      <c r="G1085" s="33"/>
      <c r="H1085" s="38">
        <f ca="1">IF(B1087="","",3)</f>
        <v>3</v>
      </c>
      <c r="I1085" s="33"/>
    </row>
    <row r="1086" spans="2:9" s="16" customFormat="1" ht="15.75">
      <c r="B1086" s="39"/>
      <c r="C1086" s="33"/>
      <c r="D1086" s="33"/>
      <c r="E1086" s="33"/>
      <c r="F1086" s="33"/>
      <c r="G1086" s="33"/>
      <c r="H1086" s="33"/>
      <c r="I1086" s="33"/>
    </row>
    <row r="1087" spans="2:9" s="16" customFormat="1" ht="15.75">
      <c r="B1087" s="35" t="str">
        <f ca="1">IFERROR(IF(AND(INDEX(Tab_DaBa[],MATCH(CONCATENATE(Liste!$C$3,$B$851,$B$1077),Data!$BO:$BO,0)-2,28)&lt;&gt;"",INDEX(Tab_DaBa[],MATCH(CONCATENATE(Liste!$C$3,$B$851,$B$1077),Data!$BO:$BO,0)-2,33)=0),INDEX(Tab_DaBa[],MATCH(CONCATENATE(Liste!$C$3,$B$851,$B$1077),Data!$BO:$BO,0)-2,14),IF(INDEX(Tab_DaBa[],MATCH(CONCATENATE(Liste!$C$3,$B$851,$B$1077),Data!$BO:$BO,0)-2,28)&lt;&gt;"",INDEX(Tab_DaBa[],MATCH(CONCATENATE(Liste!$C$3,$B$851,$B$1077),Data!$BO:$BO,0)-2,34),"")),"")</f>
        <v>Logik 04</v>
      </c>
      <c r="C1087" s="39"/>
      <c r="D1087" s="35" t="str">
        <f ca="1">IFERROR(IF(AND(INDEX(Tab_DaBa[],MATCH(CONCATENATE(Liste!$C$3,$B$851,$B$1077),Data!$BO:$BO,0)-2,33)&lt;&gt;"",INDEX(Tab_DaBa[],MATCH(CONCATENATE(Liste!$C$3,$B$851,$B$1077),Data!$BO:$BO,0)-2,38)=0),INDEX(Tab_DaBa[],MATCH(CONCATENATE(Liste!$C$3,$B$851,$B$1077),Data!$BO:$BO,0)-2,14),IF(INDEX(Tab_DaBa[],MATCH(CONCATENATE(Liste!$C$3,$B$851,$B$1077),Data!$BO:$BO,0)-2,33)&lt;&gt;"",INDEX(Tab_DaBa[],MATCH(CONCATENATE(Liste!$C$3,$B$851,$B$1077),Data!$BO:$BO,0)-2,39),"")),"")</f>
        <v>Logik 07</v>
      </c>
      <c r="E1087" s="33"/>
      <c r="F1087" s="35" t="str">
        <f ca="1">IFERROR(IF(AND(INDEX(Tab_DaBa[],MATCH(CONCATENATE(Liste!$C$3,$B$851,$B$1077),Data!$BO:$BO,0)-2,38)&lt;&gt;"",INDEX(Tab_DaBa[],MATCH(CONCATENATE(Liste!$C$3,$B$851,$B$1077),Data!$BO:$BO,0)-2,43)=0),INDEX(Tab_DaBa[],MATCH(CONCATENATE(Liste!$C$3,$B$851,$B$1077),Data!$BO:$BO,0)-2,14),IF(INDEX(Tab_DaBa[],MATCH(CONCATENATE(Liste!$C$3,$B$851,$B$1077),Data!$BO:$BO,0)-2,38)&lt;&gt;"",INDEX(Tab_DaBa[],MATCH(CONCATENATE(Liste!$C$3,$B$851,$B$1077),Data!$BO:$BO,0)-2,44),"")),"")</f>
        <v>Logik 06</v>
      </c>
      <c r="G1087" s="39"/>
      <c r="H1087" s="35" t="str">
        <f ca="1">IFERROR(IF(AND(INDEX(Tab_DaBa[],MATCH(CONCATENATE(Liste!$C$3,$B$851,$B$1077),Data!$BO:$BO,0)-2,43)&lt;&gt;"",INDEX(Tab_DaBa[],MATCH(CONCATENATE(Liste!$C$3,$B$851,$B$1077),Data!$BO:$BO,0)-2,48)=0),INDEX(Tab_DaBa[],MATCH(CONCATENATE(Liste!$C$3,$B$851,$B$1077),Data!$BO:$BO,0)-2,14),IF(INDEX(Tab_DaBa[],MATCH(CONCATENATE(Liste!$C$3,$B$851,$B$1077),Data!$BO:$BO,0)-2,43)&lt;&gt;"",INDEX(Tab_DaBa[],MATCH(CONCATENATE(Liste!$C$3,$B$851,$B$1077),Data!$BO:$BO,0)-2,49),"")),"")</f>
        <v>Logik 07</v>
      </c>
      <c r="I1087" s="39"/>
    </row>
    <row r="1088" spans="2:9" s="16" customFormat="1" ht="15.75">
      <c r="B1088" s="35" t="str">
        <f ca="1">IFERROR(IF(AND(INDEX(Tab_DaBa[],MATCH(CONCATENATE(Liste!$C$3,$B$851,$B$1077),Data!$BO:$BO,0)-2,28)&lt;&gt;"",INDEX(Tab_DaBa[],MATCH(CONCATENATE(Liste!$C$3,$B$851,$B$1077),Data!$BO:$BO,0)-2,33)=0),INDEX(Tab_DaBa[],MATCH(CONCATENATE(Liste!$C$3,$B$851,$B$1077),Data!$BO:$BO,0)-2,12),IF(INDEX(Tab_DaBa[],MATCH(CONCATENATE(Liste!$C$3,$B$851,$B$1077),Data!$BO:$BO,0)-2,28)&lt;&gt;"",INDEX(Tab_DaBa[],MATCH(CONCATENATE(Liste!$C$3,$B$851,$B$1077),Data!$BO:$BO,0)-2,32),"")),"")</f>
        <v>Lo04-44_09</v>
      </c>
      <c r="C1088" s="39"/>
      <c r="D1088" s="35" t="str">
        <f ca="1">IFERROR(IF(AND(INDEX(Tab_DaBa[],MATCH(CONCATENATE(Liste!$C$3,$B$851,$B$1077),Data!$BO:$BO,0)-2,33)&lt;&gt;"",INDEX(Tab_DaBa[],MATCH(CONCATENATE(Liste!$C$3,$B$851,$B$1077),Data!$BO:$BO,0)-2,38)=0),INDEX(Tab_DaBa[],MATCH(CONCATENATE(Liste!$C$3,$B$851,$B$1077),Data!$BO:$BO,0)-2,12),IF(INDEX(Tab_DaBa[],MATCH(CONCATENATE(Liste!$C$3,$B$851,$B$1077),Data!$BO:$BO,0)-2,33)&lt;&gt;"",INDEX(Tab_DaBa[],MATCH(CONCATENATE(Liste!$C$3,$B$851,$B$1077),Data!$BO:$BO,0)-2,37),"")),"")</f>
        <v>Lo04-44_09</v>
      </c>
      <c r="E1088" s="37"/>
      <c r="F1088" s="35" t="str">
        <f ca="1">IFERROR(IF(AND(INDEX(Tab_DaBa[],MATCH(CONCATENATE(Liste!$C$3,$B$851,$B$1077),Data!$BO:$BO,0)-2,38)&lt;&gt;"",INDEX(Tab_DaBa[],MATCH(CONCATENATE(Liste!$C$3,$B$851,$B$1077),Data!$BO:$BO,0)-2,43)=0),INDEX(Tab_DaBa[],MATCH(CONCATENATE(Liste!$C$3,$B$851,$B$1077),Data!$BO:$BO,0)-2,12),IF(INDEX(Tab_DaBa[],MATCH(CONCATENATE(Liste!$C$3,$B$851,$B$1077),Data!$BO:$BO,0)-2,38)&lt;&gt;"",INDEX(Tab_DaBa[],MATCH(CONCATENATE(Liste!$C$3,$B$851,$B$1077),Data!$BO:$BO,0)-2,42),"")),"")</f>
        <v>Lo03-33_09</v>
      </c>
      <c r="G1088" s="39"/>
      <c r="H1088" s="35" t="str">
        <f ca="1">IFERROR(IF(AND(INDEX(Tab_DaBa[],MATCH(CONCATENATE(Liste!$C$3,$B$851,$B$1077),Data!$BO:$BO,0)-2,43)&lt;&gt;"",INDEX(Tab_DaBa[],MATCH(CONCATENATE(Liste!$C$3,$B$851,$B$1077),Data!$BO:$BO,0)-2,48)=0),INDEX(Tab_DaBa[],MATCH(CONCATENATE(Liste!$C$3,$B$851,$B$1077),Data!$BO:$BO,0)-2,12),IF(INDEX(Tab_DaBa[],MATCH(CONCATENATE(Liste!$C$3,$B$851,$B$1077),Data!$BO:$BO,0)-2,43)&lt;&gt;"",INDEX(Tab_DaBa[],MATCH(CONCATENATE(Liste!$C$3,$B$851,$B$1077),Data!$BO:$BO,0)-2,47),"")),"")</f>
        <v>Lo03-33_09</v>
      </c>
      <c r="I1088" s="39"/>
    </row>
    <row r="1089" spans="2:9" s="16" customFormat="1" ht="15.75">
      <c r="B1089" s="35" t="str">
        <f ca="1">IFERROR(IF(AND(INDEX(Tab_DaBa[],MATCH(CONCATENATE(Liste!$C$3,$B$851,$B$1077),Data!$BO:$BO,0)-2,28)&lt;&gt;"",INDEX(Tab_DaBa[],MATCH(CONCATENATE(Liste!$C$3,$B$851,$B$1077),Data!$BO:$BO,0)-2,33)=""),INDEX(Tab_DaBa[],MATCH(CONCATENATE(Liste!$C$3,$B$851,$B$1077),Data!$BO:$BO,0)-2,13),IF(INDEX(Tab_DaBa[],MATCH(CONCATENATE(Liste!$C$3,$B$851,$B$1077),Data!$BO:$BO,0)-2,28)&lt;&gt;"",INDEX(Tab_DaBa[],MATCH(CONCATENATE(Liste!$C$3,$B$851,$B$1077),Data!$BO:$BO,0)-2,33),"")),"")</f>
        <v>Bez_Lo04_09</v>
      </c>
      <c r="C1089" s="38">
        <f ca="1">IF(D1087="","",4)</f>
        <v>4</v>
      </c>
      <c r="D1089" s="35" t="str">
        <f ca="1">IFERROR(IF(AND(INDEX(Tab_DaBa[],MATCH(CONCATENATE(Liste!$C$3,$B$851,$B$1077),Data!$BO:$BO,0)-2,33)&lt;&gt;"",INDEX(Tab_DaBa[],MATCH(CONCATENATE(Liste!$C$3,$B$851,$B$1077),Data!$BO:$BO,0)-2,38)=""),INDEX(Tab_DaBa[],MATCH(CONCATENATE(Liste!$C$3,$B$851,$B$1077),Data!$BO:$BO,0)-2,13),IF(INDEX(Tab_DaBa[],MATCH(CONCATENATE(Liste!$C$3,$B$851,$B$1077),Data!$BO:$BO,0)-2,33)&lt;&gt;"",INDEX(Tab_DaBa[],MATCH(CONCATENATE(Liste!$C$3,$B$851,$B$1077),Data!$BO:$BO,0)-2,38),"")),"")</f>
        <v>Bez_Lo03_09</v>
      </c>
      <c r="E1089" s="38">
        <f ca="1">IF(F1087="","",4)</f>
        <v>4</v>
      </c>
      <c r="F1089" s="35" t="str">
        <f ca="1">IFERROR(IF(AND(INDEX(Tab_DaBa[],MATCH(CONCATENATE(Liste!$C$3,$B$851,$B$1077),Data!$BO:$BO,0)-2,38)&lt;&gt;"",INDEX(Tab_DaBa[],MATCH(CONCATENATE(Liste!$C$3,$B$851,$B$1077),Data!$BO:$BO,0)-2,43)=""),INDEX(Tab_DaBa[],MATCH(CONCATENATE(Liste!$C$3,$B$851,$B$1077),Data!$BO:$BO,0)-2,13),IF(INDEX(Tab_DaBa[],MATCH(CONCATENATE(Liste!$C$3,$B$851,$B$1077),Data!$BO:$BO,0)-2,38)&lt;&gt;"",INDEX(Tab_DaBa[],MATCH(CONCATENATE(Liste!$C$3,$B$851,$B$1077),Data!$BO:$BO,0)-2,43),"")),"")</f>
        <v>Bez_Lo03_09</v>
      </c>
      <c r="G1089" s="38">
        <f ca="1">IF(H1087="","",4)</f>
        <v>4</v>
      </c>
      <c r="H1089" s="35" t="str">
        <f ca="1">IFERROR(IF(AND(INDEX(Tab_DaBa[],MATCH(CONCATENATE(Liste!$C$3,$B$851,$B$1077),Data!$BO:$BO,0)-2,43)&lt;&gt;"",INDEX(Tab_DaBa[],MATCH(CONCATENATE(Liste!$C$3,$B$851,$B$1077),Data!$BO:$BO,0)-2,48)=""),INDEX(Tab_DaBa[],MATCH(CONCATENATE(Liste!$C$3,$B$851,$B$1077),Data!$BO:$BO,0)-2,13),IF(INDEX(Tab_DaBa[],MATCH(CONCATENATE(Liste!$C$3,$B$851,$B$1077),Data!$BO:$BO,0)-2,43)&lt;&gt;"",INDEX(Tab_DaBa[],MATCH(CONCATENATE(Liste!$C$3,$B$851,$B$1077),Data!$BO:$BO,0)-2,48),"")),"")</f>
        <v>Bez_Lo03_09</v>
      </c>
      <c r="I1089" s="38">
        <f ca="1">IF(B1095="","",6)</f>
        <v>6</v>
      </c>
    </row>
    <row r="1090" spans="2:9" s="16" customFormat="1" ht="15.75">
      <c r="B1090" s="35" t="str">
        <f ca="1">IFERROR(IF(AND(INDEX(Tab_DaBa[],MATCH(CONCATENATE(Liste!$C$3,$B$851,$B$1077),Data!$BO:$BO,0)-2,28)&lt;&gt;"",INDEX(Tab_DaBa[],MATCH(CONCATENATE(Liste!$C$3,$B$851,$B$1077),Data!$BO:$BO,0)-2,33)=""),"Performance Level: "&amp;INDEX(Tab_DaBa[],MATCH(CONCATENATE(Liste!$C$3,$B$851,$B$1077),Data!$BO:$BO,0)-2,15),IF(INDEX(Tab_DaBa[],MATCH(CONCATENATE(Liste!$C$3,$B$851,$B$1077),Data!$BO:$BO,0)-2,28)&lt;&gt;"","Performance Level: "&amp;INDEX(Tab_DaBa[],MATCH(CONCATENATE(Liste!$C$3,$B$851,$B$1077),Data!$BO:$BO,0)-2,35),"")),"")</f>
        <v>Performance Level: PL_Lo04_09</v>
      </c>
      <c r="C1090" s="39"/>
      <c r="D1090" s="35" t="str">
        <f ca="1">IFERROR(IF(AND(INDEX(Tab_DaBa[],MATCH(CONCATENATE(Liste!$C$3,$B$851,$B$1077),Data!$BO:$BO,0)-2,33)&lt;&gt;"",INDEX(Tab_DaBa[],MATCH(CONCATENATE(Liste!$C$3,$B$851,$B$1077),Data!$BO:$BO,0)-2,38)=""),"Performance Level: "&amp;INDEX(Tab_DaBa[],MATCH(CONCATENATE(Liste!$C$3,$B$851,$B$1077),Data!$BO:$BO,0)-2,15),IF(INDEX(Tab_DaBa[],MATCH(CONCATENATE(Liste!$C$3,$B$851,$B$1077),Data!$BO:$BO,0)-2,33)&lt;&gt;"","Performance Level: "&amp;INDEX(Tab_DaBa[],MATCH(CONCATENATE(Liste!$C$3,$B$851,$B$1077),Data!$BO:$BO,0)-2,40),"")),"")</f>
        <v>Performance Level: PL_Lo03_9</v>
      </c>
      <c r="E1090" s="37"/>
      <c r="F1090" s="35" t="str">
        <f ca="1">IFERROR(IF(AND(INDEX(Tab_DaBa[],MATCH(CONCATENATE(Liste!$C$3,$B$851,$B$1077),Data!$BO:$BO,0)-2,38)&lt;&gt;"",INDEX(Tab_DaBa[],MATCH(CONCATENATE(Liste!$C$3,$B$851,$B$1077),Data!$BO:$BO,0)-2,43)=""),"Performance Level: "&amp;INDEX(Tab_DaBa[],MATCH(CONCATENATE(Liste!$C$3,$B$851,$B$1077),Data!$BO:$BO,0)-2,15),IF(INDEX(Tab_DaBa[],MATCH(CONCATENATE(Liste!$C$3,$B$851,$B$1077),Data!$BO:$BO,0)-2,38)&lt;&gt;"","Performance Level: "&amp;INDEX(Tab_DaBa[],MATCH(CONCATENATE(Liste!$C$3,$B$851,$B$1077),Data!$BO:$BO,0)-2,45),"")),"")</f>
        <v>Performance Level: PL_Lo03_09</v>
      </c>
      <c r="G1090" s="39"/>
      <c r="H1090" s="35" t="str">
        <f ca="1">IFERROR(IF(AND(INDEX(Tab_DaBa[],MATCH(CONCATENATE(Liste!$C$3,$B$851,$B$1077),Data!$BO:$BO,0)-2,43)&lt;&gt;"",INDEX(Tab_DaBa[],MATCH(CONCATENATE(Liste!$C$3,$B$851,$B$1077),Data!$BO:$BO,0)-2,48)=""),"Performance Level: "&amp;INDEX(Tab_DaBa[],MATCH(CONCATENATE(Liste!$C$3,$B$851,$B$1077),Data!$BO:$BO,0)-2,15),IF(INDEX(Tab_DaBa[],MATCH(CONCATENATE(Liste!$C$3,$B$851,$B$1077),Data!$BO:$BO,0)-2,43)&lt;&gt;"","Performance Level: "&amp;INDEX(Tab_DaBa[],MATCH(CONCATENATE(Liste!$C$3,$B$851,$B$1077),Data!$BO:$BO,0)-2,50),"")),"")</f>
        <v>Performance Level: PL_Lo03_09</v>
      </c>
      <c r="I1090" s="39"/>
    </row>
    <row r="1091" spans="2:9" s="16" customFormat="1" ht="15.75">
      <c r="B1091" s="35" t="str">
        <f ca="1">IFERROR(IF(AND(INDEX(Tab_DaBa[],MATCH(CONCATENATE(Liste!$C$3,$B$851,$B$1077),Data!$BO:$BO,0)-2,28)&lt;&gt;"",INDEX(Tab_DaBa[],MATCH(CONCATENATE(Liste!$C$3,$B$851,$B$1077),Data!$BO:$BO,0)-2,33)=""),"PFH [1/h] = "&amp;10^9*INDEX(Tab_DaBa[],MATCH(CONCATENATE(Liste!$C$3,$B$851,$B$1077),Data!$BO:$BO,0)-2,16)&amp;"E-9",IF(INDEX(Tab_DaBa[],MATCH(CONCATENATE(Liste!$C$3,$B$851,$B$1077),Data!$BO:$BO,0)-2,28)&lt;&gt;"","PFH [1/h] = "&amp;10^9*INDEX(Tab_DaBa[],MATCH(CONCATENATE(Liste!$C$3,$B$851,$B$1077),Data!$BO:$BO,0)-2,36)&amp;"E-9","")),"")</f>
        <v>PFH [1/h] = 4,19E-9</v>
      </c>
      <c r="C1091" s="39"/>
      <c r="D1091" s="35" t="str">
        <f ca="1">IFERROR(IF(AND(INDEX(Tab_DaBa[],MATCH(CONCATENATE(Liste!$C$3,$B$851,$B$1077),Data!$BO:$BO,0)-2,33)&lt;&gt;"",INDEX(Tab_DaBa[],MATCH(CONCATENATE(Liste!$C$3,$B$851,$B$1077),Data!$BO:$BO,0)-2,38)=""),"PFH [1/h] = "&amp;10^9*INDEX(Tab_DaBa[],MATCH(CONCATENATE(Liste!$C$3,$B$851,$B$1077),Data!$BO:$BO,0)-2,16)&amp;"E-9",IF(INDEX(Tab_DaBa[],MATCH(CONCATENATE(Liste!$C$3,$B$851,$B$1077),Data!$BO:$BO,0)-2,33)&lt;&gt;"","PFH [1/h] = "&amp;10^9*INDEX(Tab_DaBa[],MATCH(CONCATENATE(Liste!$C$3,$B$851,$B$1077),Data!$BO:$BO,0)-2,41)&amp;"E-9","")),"")</f>
        <v>PFH [1/h] = 4,19E-9</v>
      </c>
      <c r="E1091" s="37"/>
      <c r="F1091" s="35" t="str">
        <f ca="1">IFERROR(IF(AND(INDEX(Tab_DaBa[],MATCH(CONCATENATE(Liste!$C$3,$B$851,$B$1077),Data!$BO:$BO,0)-2,38)&lt;&gt;"",INDEX(Tab_DaBa[],MATCH(CONCATENATE(Liste!$C$3,$B$851,$B$1077),Data!$BO:$BO,0)-2,43)=""),"PFH [1/h] = "&amp;10^9*INDEX(Tab_DaBa[],MATCH(CONCATENATE(Liste!$C$3,$B$851,$B$1077),Data!$BO:$BO,0)-2,16)&amp;"E-9",IF(INDEX(Tab_DaBa[],MATCH(CONCATENATE(Liste!$C$3,$B$851,$B$1077),Data!$BO:$BO,0)-2,38)&lt;&gt;"","PFH [1/h] = "&amp;10^9*INDEX(Tab_DaBa[],MATCH(CONCATENATE(Liste!$C$3,$B$851,$B$1077),Data!$BO:$BO,0)-2,46)&amp;"E-9","")),"")</f>
        <v>PFH [1/h] = 4,19E-9</v>
      </c>
      <c r="G1091" s="39"/>
      <c r="H1091" s="35" t="str">
        <f ca="1">IFERROR(IF(AND(INDEX(Tab_DaBa[],MATCH(CONCATENATE(Liste!$C$3,$B$851,$B$1077),Data!$BO:$BO,0)-2,43)&lt;&gt;"",INDEX(Tab_DaBa[],MATCH(CONCATENATE(Liste!$C$3,$B$851,$B$1077),Data!$BO:$BO,0)-2,48)=""),"PFH [1/h] = "&amp;10^9*INDEX(Tab_DaBa[],MATCH(CONCATENATE(Liste!$C$3,$B$851,$B$1077),Data!$BO:$BO,0)-2,16)&amp;"E-9",IF(INDEX(Tab_DaBa[],MATCH(CONCATENATE(Liste!$C$3,$B$851,$B$1077),Data!$BO:$BO,0)-2,43)&lt;&gt;"","PFH [1/h] = "&amp;10^9*INDEX(Tab_DaBa[],MATCH(CONCATENATE(Liste!$C$3,$B$851,$B$1077),Data!$BO:$BO,0)-2,51)&amp;"E-9","")),"")</f>
        <v>PFH [1/h] = 4,19E-9</v>
      </c>
      <c r="I1091" s="39"/>
    </row>
    <row r="1092" spans="2:9" s="16" customFormat="1">
      <c r="B1092" s="33"/>
      <c r="C1092" s="33"/>
      <c r="D1092" s="33"/>
      <c r="E1092" s="33"/>
      <c r="F1092" s="33"/>
      <c r="G1092" s="33"/>
      <c r="H1092" s="33"/>
      <c r="I1092" s="33"/>
    </row>
    <row r="1093" spans="2:9" s="16" customFormat="1" ht="15.75">
      <c r="B1093" s="38">
        <f ca="1">IF(B1095="","",6)</f>
        <v>6</v>
      </c>
      <c r="C1093" s="33"/>
      <c r="D1093" s="38">
        <f ca="1">IF(B1095="","",3)</f>
        <v>3</v>
      </c>
      <c r="E1093" s="33"/>
      <c r="F1093" s="38">
        <f ca="1">IF(B1095="","",3)</f>
        <v>3</v>
      </c>
      <c r="G1093" s="33"/>
      <c r="H1093" s="38">
        <f ca="1">IF(B1095="","",3)</f>
        <v>3</v>
      </c>
      <c r="I1093" s="33"/>
    </row>
    <row r="1094" spans="2:9" s="16" customFormat="1" ht="15.75">
      <c r="B1094" s="39"/>
      <c r="C1094" s="33"/>
      <c r="D1094" s="33"/>
      <c r="E1094" s="33"/>
      <c r="F1094" s="33"/>
      <c r="G1094" s="33"/>
      <c r="H1094" s="33"/>
      <c r="I1094" s="33"/>
    </row>
    <row r="1095" spans="2:9" s="16" customFormat="1" ht="15.75">
      <c r="B1095" s="35" t="str">
        <f ca="1">IFERROR(IF(AND(INDEX(Tab_DaBa[],MATCH(CONCATENATE(Liste!$C$3,$B$851,$B$1077),Data!$BO:$BO,0)-2,48)&lt;&gt;"",INDEX(Tab_DaBa[],MATCH(CONCATENATE(Liste!$C$3,$B$851,$B$1077),Data!$BO:$BO,0)-2,53)=0),INDEX(Tab_DaBa[],MATCH(CONCATENATE(Liste!$C$3,$B$851,$B$1077),Data!$BO:$BO,0)-2,14),IF(INDEX(Tab_DaBa[],MATCH(CONCATENATE(Liste!$C$3,$B$851,$B$1077),Data!$BO:$BO,0)-2,48)&lt;&gt;"",INDEX(Tab_DaBa[],MATCH(CONCATENATE(Liste!$C$3,$B$851,$B$1077),Data!$BO:$BO,0)-2,54),"")),"")</f>
        <v>Logik 08</v>
      </c>
      <c r="C1095" s="39"/>
      <c r="D1095" s="35" t="str">
        <f ca="1">IFERROR(IF(AND(INDEX(Tab_DaBa[],MATCH(CONCATENATE(Liste!$C$3,$B$851,$B$1077),Data!$BO:$BO,0)-2,53)&lt;&gt;"",INDEX(Tab_DaBa[],MATCH(CONCATENATE(Liste!$C$3,$B$851,$B$1077),Data!$BO:$BO,0)-2,58)=0),INDEX(Tab_DaBa[],MATCH(CONCATENATE(Liste!$C$3,$B$851,$B$1077),Data!$BO:$BO,0)-2,14),IF(INDEX(Tab_DaBa[],MATCH(CONCATENATE(Liste!$C$3,$B$851,$B$1077),Data!$BO:$BO,0)-2,53)&lt;&gt;"",INDEX(Tab_DaBa[],MATCH(CONCATENATE(Liste!$C$3,$B$851,$B$1077),Data!$BO:$BO,0)-2,59),"")),"")</f>
        <v>Logik 09</v>
      </c>
      <c r="E1095" s="33"/>
      <c r="F1095" s="35" t="str">
        <f ca="1">IFERROR(IF(AND(INDEX(Tab_DaBa[],MATCH(CONCATENATE(Liste!$C$3,$B$851,$B$1077),Data!$BO:$BO,0)-2,58)&lt;&gt;"",INDEX(Tab_DaBa[],MATCH(CONCATENATE(Liste!$C$3,$B$851,$B$1077),Data!$BO:$BO,0)-2,63)=0),INDEX(Tab_DaBa[],MATCH(CONCATENATE(Liste!$C$3,$B$851,$B$1077),Data!$BO:$BO,0)-2,14),IF(INDEX(Tab_DaBa[],MATCH(CONCATENATE(Liste!$C$3,$B$851,$B$1077),Data!$BO:$BO,0)-2,58)&lt;&gt;"",INDEX(Tab_DaBa[],MATCH(CONCATENATE(Liste!$C$3,$B$851,$B$1077),Data!$BO:$BO,0)-2,64),"")),"")</f>
        <v>Ausgang</v>
      </c>
      <c r="G1095" s="39"/>
      <c r="H1095" s="35" t="str">
        <f ca="1">IFERROR(IF(INDEX(Tab_DaBa[],MATCH(CONCATENATE(Liste!$C$3,$B$851,$B$1077),Data!$BO:$BO,0)-2,63)&lt;&gt;"",INDEX(Tab_DaBa[],MATCH(CONCATENATE(Liste!$C$3,$B$851,$B$1077),Data!$BO:$BO,0)-2,14),""),"")</f>
        <v/>
      </c>
    </row>
    <row r="1096" spans="2:9" s="16" customFormat="1" ht="15.75">
      <c r="B1096" s="35" t="str">
        <f ca="1">IFERROR(IF(AND(INDEX(Tab_DaBa[],MATCH(CONCATENATE(Liste!$C$3,$B$851,$B$1077),Data!$BO:$BO,0)-2,48)&lt;&gt;"",INDEX(Tab_DaBa[],MATCH(CONCATENATE(Liste!$C$3,$B$851,$B$1077),Data!$BO:$BO,0)-2,53)=0),INDEX(Tab_DaBa[],MATCH(CONCATENATE(Liste!$C$3,$B$851,$B$1077),Data!$BO:$BO,0)-2,12),IF(INDEX(Tab_DaBa[],MATCH(CONCATENATE(Liste!$C$3,$B$851,$B$1077),Data!$BO:$BO,0)-2,48)&lt;&gt;"",INDEX(Tab_DaBa[],MATCH(CONCATENATE(Liste!$C$3,$B$851,$B$1077),Data!$BO:$BO,0)-2,52),"")),"")</f>
        <v>Lo03-88_09</v>
      </c>
      <c r="C1096" s="39"/>
      <c r="D1096" s="35" t="str">
        <f ca="1">IFERROR(IF(AND(INDEX(Tab_DaBa[],MATCH(CONCATENATE(Liste!$C$3,$B$851,$B$1077),Data!$BO:$BO,0)-2,53)&lt;&gt;"",INDEX(Tab_DaBa[],MATCH(CONCATENATE(Liste!$C$3,$B$851,$B$1077),Data!$BO:$BO,0)-2,58)=0),INDEX(Tab_DaBa[],MATCH(CONCATENATE(Liste!$C$3,$B$851,$B$1077),Data!$BO:$BO,0)-2,12),IF(INDEX(Tab_DaBa[],MATCH(CONCATENATE(Liste!$C$3,$B$851,$B$1077),Data!$BO:$BO,0)-2,53)&lt;&gt;"",INDEX(Tab_DaBa[],MATCH(CONCATENATE(Liste!$C$3,$B$851,$B$1077),Data!$BO:$BO,0)-2,57),"")),"")</f>
        <v>Lo03-33_09</v>
      </c>
      <c r="E1096" s="37"/>
      <c r="F1096" s="35" t="str">
        <f ca="1">IFERROR(IF(AND(INDEX(Tab_DaBa[],MATCH(CONCATENATE(Liste!$C$3,$B$851,$B$1077),Data!$BO:$BO,0)-2,58)&lt;&gt;"",INDEX(Tab_DaBa[],MATCH(CONCATENATE(Liste!$C$3,$B$851,$B$1077),Data!$BO:$BO,0)-2,63)=0),INDEX(Tab_DaBa[],MATCH(CONCATENATE(Liste!$C$3,$B$851,$B$1077),Data!$BO:$BO,0)-2,12),IF(INDEX(Tab_DaBa[],MATCH(CONCATENATE(Liste!$C$3,$B$851,$B$1077),Data!$BO:$BO,0)-2,58)&lt;&gt;"",INDEX(Tab_DaBa[],MATCH(CONCATENATE(Liste!$C$3,$B$851,$B$1077),Data!$BO:$BO,0)-2,62),"")),"")</f>
        <v>aaaa-44_9</v>
      </c>
      <c r="G1096" s="39"/>
      <c r="H1096" s="35" t="str">
        <f ca="1">IFERROR(IF(INDEX(Tab_DaBa[],MATCH(CONCATENATE(Liste!$C$3,$B$851,$B$1077),Data!$BO:$BO,0)-2,63)&lt;&gt;"",INDEX(Tab_DaBa[],MATCH(CONCATENATE(Liste!$C$3,$B$851,$B$1077),Data!$BO:$BO,0)-2,12),""),"")</f>
        <v/>
      </c>
    </row>
    <row r="1097" spans="2:9" s="16" customFormat="1" ht="15.75">
      <c r="B1097" s="35" t="str">
        <f ca="1">IFERROR(IF(AND(INDEX(Tab_DaBa[],MATCH(CONCATENATE(Liste!$C$3,$B$851,$B$1077),Data!$BO:$BO,0)-2,48)&lt;&gt;"",INDEX(Tab_DaBa[],MATCH(CONCATENATE(Liste!$C$3,$B$851,$B$1077),Data!$BO:$BO,0)-2,53)=""),INDEX(Tab_DaBa[],MATCH(CONCATENATE(Liste!$C$3,$B$851,$B$1077),Data!$BO:$BO,0)-2,13),IF(INDEX(Tab_DaBa[],MATCH(CONCATENATE(Liste!$C$3,$B$851,$B$1077),Data!$BO:$BO,0)-2,48)&lt;&gt;"",INDEX(Tab_DaBa[],MATCH(CONCATENATE(Liste!$C$3,$B$851,$B$1077),Data!$BO:$BO,0)-2,53),"")),"")</f>
        <v>Bez_Lo03_09</v>
      </c>
      <c r="C1097" s="38">
        <f ca="1">IF(D1095="","",4)</f>
        <v>4</v>
      </c>
      <c r="D1097" s="35" t="str">
        <f ca="1">IFERROR(IF(AND(INDEX(Tab_DaBa[],MATCH(CONCATENATE(Liste!$C$3,$B$851,$B$1077),Data!$BO:$BO,0)-2,53)&lt;&gt;"",INDEX(Tab_DaBa[],MATCH(CONCATENATE(Liste!$C$3,$B$851,$B$1077),Data!$BO:$BO,0)-2,58)=""),INDEX(Tab_DaBa[],MATCH(CONCATENATE(Liste!$C$3,$B$851,$B$1077),Data!$BO:$BO,0)-2,13),IF(INDEX(Tab_DaBa[],MATCH(CONCATENATE(Liste!$C$3,$B$851,$B$1077),Data!$BO:$BO,0)-2,53)&lt;&gt;"",INDEX(Tab_DaBa[],MATCH(CONCATENATE(Liste!$C$3,$B$851,$B$1077),Data!$BO:$BO,0)-2,58),"")),"")</f>
        <v>Bez_Lo03_09</v>
      </c>
      <c r="E1097" s="38">
        <f ca="1">IF(F1095="","",4)</f>
        <v>4</v>
      </c>
      <c r="F1097" s="35" t="str">
        <f ca="1">IFERROR(IF(AND(INDEX(Tab_DaBa[],MATCH(CONCATENATE(Liste!$C$3,$B$851,$B$1077),Data!$BO:$BO,0)-2,58)&lt;&gt;"",INDEX(Tab_DaBa[],MATCH(CONCATENATE(Liste!$C$3,$B$851,$B$1077),Data!$BO:$BO,0)-2,63)=""),INDEX(Tab_DaBa[],MATCH(CONCATENATE(Liste!$C$3,$B$851,$B$1077),Data!$BO:$BO,0)-2,13),IF(INDEX(Tab_DaBa[],MATCH(CONCATENATE(Liste!$C$3,$B$851,$B$1077),Data!$BO:$BO,0)-2,58)&lt;&gt;"",INDEX(Tab_DaBa[],MATCH(CONCATENATE(Liste!$C$3,$B$851,$B$1077),Data!$BO:$BO,0)-2,63),"")),"")</f>
        <v>Bez_Aus4_9</v>
      </c>
      <c r="G1097" s="38" t="str">
        <f ca="1">IF(H1095="","",4)</f>
        <v/>
      </c>
      <c r="H1097" s="35" t="str">
        <f ca="1">IFERROR(IF(INDEX(Tab_DaBa[],MATCH(CONCATENATE(Liste!$C$3,$B$851,$B$1077),Data!$BO:$BO,0)-2,63)&lt;&gt;"",INDEX(Tab_DaBa[],MATCH(CONCATENATE(Liste!$C$3,$B$851,$B$1077),Data!$BO:$BO,0)-2,13),""),"")</f>
        <v/>
      </c>
    </row>
    <row r="1098" spans="2:9" s="16" customFormat="1" ht="15.75">
      <c r="B1098" s="35" t="str">
        <f ca="1">IFERROR(IF(AND(INDEX(Tab_DaBa[],MATCH(CONCATENATE(Liste!$C$3,$B$851,$B$1077),Data!$BO:$BO,0)-2,48)&lt;&gt;"",INDEX(Tab_DaBa[],MATCH(CONCATENATE(Liste!$C$3,$B$851,$B$1077),Data!$BO:$BO,0)-2,53)=""),"Performance Level: "&amp;INDEX(Tab_DaBa[],MATCH(CONCATENATE(Liste!$C$3,$B$851,$B$1077),Data!$BO:$BO,0)-2,15),IF(INDEX(Tab_DaBa[],MATCH(CONCATENATE(Liste!$C$3,$B$851,$B$1077),Data!$BO:$BO,0)-2,48)&lt;&gt;"","Performance Level: "&amp;INDEX(Tab_DaBa[],MATCH(CONCATENATE(Liste!$C$3,$B$851,$B$1077),Data!$BO:$BO,0)-2,55),"")),"")</f>
        <v>Performance Level: PL_Lo03_09</v>
      </c>
      <c r="C1098" s="39"/>
      <c r="D1098" s="35" t="str">
        <f ca="1">IFERROR(IF(AND(INDEX(Tab_DaBa[],MATCH(CONCATENATE(Liste!$C$3,$B$851,$B$1077),Data!$BO:$BO,0)-2,53)&lt;&gt;"",INDEX(Tab_DaBa[],MATCH(CONCATENATE(Liste!$C$3,$B$851,$B$1077),Data!$BO:$BO,0)-2,58)=""),"Performance Level: "&amp;INDEX(Tab_DaBa[],MATCH(CONCATENATE(Liste!$C$3,$B$851,$B$1077),Data!$BO:$BO,0)-2,15),IF(INDEX(Tab_DaBa[],MATCH(CONCATENATE(Liste!$C$3,$B$851,$B$1077),Data!$BO:$BO,0)-2,53)&lt;&gt;"","Performance Level: "&amp;INDEX(Tab_DaBa[],MATCH(CONCATENATE(Liste!$C$3,$B$851,$B$1077),Data!$BO:$BO,0)-2,60),"")),"")</f>
        <v>Performance Level: PL_Lo03_09</v>
      </c>
      <c r="E1098" s="37"/>
      <c r="F1098" s="35" t="str">
        <f ca="1">IFERROR(IF(AND(INDEX(Tab_DaBa[],MATCH(CONCATENATE(Liste!$C$3,$B$851,$B$1077),Data!$BO:$BO,0)-2,58)&lt;&gt;"",INDEX(Tab_DaBa[],MATCH(CONCATENATE(Liste!$C$3,$B$851,$B$1077),Data!$BO:$BO,0)-2,63)=""),"Performance Level: "&amp;INDEX(Tab_DaBa[],MATCH(CONCATENATE(Liste!$C$3,$B$851,$B$1077),Data!$BO:$BO,0)-2,15),IF(INDEX(Tab_DaBa[],MATCH(CONCATENATE(Liste!$C$3,$B$851,$B$1077),Data!$BO:$BO,0)-2,58)&lt;&gt;"","Performance Level: "&amp;INDEX(Tab_DaBa[],MATCH(CONCATENATE(Liste!$C$3,$B$851,$B$1077),Data!$BO:$BO,0)-2,65),"")),"")</f>
        <v>Performance Level: PL_Aus4_9</v>
      </c>
      <c r="G1098" s="39"/>
      <c r="H1098" s="35" t="str">
        <f ca="1">IFERROR(IF(INDEX(Tab_DaBa[],MATCH(CONCATENATE(Liste!$C$3,$B$851,$B$1077),Data!$BO:$BO,0)-2,63)&lt;&gt;"","Performance Level: "&amp;INDEX(Tab_DaBa[],MATCH(CONCATENATE(Liste!$C$3,$B$851,$B$1077),Data!$BO:$BO,0)-2,15),""),"")</f>
        <v/>
      </c>
    </row>
    <row r="1099" spans="2:9" s="16" customFormat="1" ht="15.75">
      <c r="B1099" s="35" t="str">
        <f ca="1">IFERROR(IF(AND(INDEX(Tab_DaBa[],MATCH(CONCATENATE(Liste!$C$3,$B$851,$B$1077),Data!$BO:$BO,0)-2,48)&lt;&gt;"",INDEX(Tab_DaBa[],MATCH(CONCATENATE(Liste!$C$3,$B$851,$B$1077),Data!$BO:$BO,0)-2,53)=""),"PFH [1/h] = "&amp;10^9*INDEX(Tab_DaBa[],MATCH(CONCATENATE(Liste!$C$3,$B$851,$B$1077),Data!$BO:$BO,0)-2,16)&amp;"E-9",IF(INDEX(Tab_DaBa[],MATCH(CONCATENATE(Liste!$C$3,$B$851,$B$1077),Data!$BO:$BO,0)-2,48)&lt;&gt;"","PFH [1/h] = "&amp;10^9*INDEX(Tab_DaBa[],MATCH(CONCATENATE(Liste!$C$3,$B$851,$B$1077),Data!$BO:$BO,0)-2,56)&amp;"E-9","")),"")</f>
        <v>PFH [1/h] = 4,19E-9</v>
      </c>
      <c r="C1099" s="39"/>
      <c r="D1099" s="35" t="str">
        <f ca="1">IFERROR(IF(AND(INDEX(Tab_DaBa[],MATCH(CONCATENATE(Liste!$C$3,$B$851,$B$1077),Data!$BO:$BO,0)-2,53)&lt;&gt;"",INDEX(Tab_DaBa[],MATCH(CONCATENATE(Liste!$C$3,$B$851,$B$1077),Data!$BO:$BO,0)-2,58)=""),"PFH [1/h] = "&amp;10^9*INDEX(Tab_DaBa[],MATCH(CONCATENATE(Liste!$C$3,$B$851,$B$1077),Data!$BO:$BO,0)-2,16)&amp;"E-9",IF(INDEX(Tab_DaBa[],MATCH(CONCATENATE(Liste!$C$3,$B$851,$B$1077),Data!$BO:$BO,0)-2,53)&lt;&gt;"","PFH [1/h] = "&amp;10^9*INDEX(Tab_DaBa[],MATCH(CONCATENATE(Liste!$C$3,$B$851,$B$1077),Data!$BO:$BO,0)-2,61)&amp;"E-9","")),"")</f>
        <v>PFH [1/h] = 4,19E-9</v>
      </c>
      <c r="E1099" s="37"/>
      <c r="F1099" s="35" t="str">
        <f ca="1">IFERROR(IF(AND(INDEX(Tab_DaBa[],MATCH(CONCATENATE(Liste!$C$3,$B$851,$B$1077),Data!$BO:$BO,0)-2,58)&lt;&gt;"",INDEX(Tab_DaBa[],MATCH(CONCATENATE(Liste!$C$3,$B$851,$B$1077),Data!$BO:$BO,0)-2,63)=""),"PFH [1/h] = "&amp;10^9*INDEX(Tab_DaBa[],MATCH(CONCATENATE(Liste!$C$3,$B$851,$B$1077),Data!$BO:$BO,0)-2,16)&amp;"E-9",IF(INDEX(Tab_DaBa[],MATCH(CONCATENATE(Liste!$C$3,$B$851,$B$1077),Data!$BO:$BO,0)-2,58)&lt;&gt;"","PFH [1/h] = "&amp;10^9*INDEX(Tab_DaBa[],MATCH(CONCATENATE(Liste!$C$3,$B$851,$B$1077),Data!$BO:$BO,0)-2,66)&amp;"E-9","")),"")</f>
        <v>PFH [1/h] = 24,7E-9</v>
      </c>
      <c r="G1099" s="39"/>
      <c r="H1099" s="35" t="str">
        <f ca="1">IFERROR(IF(INDEX(Tab_DaBa[],MATCH(CONCATENATE(Liste!$C$3,$B$851,$B$1077),Data!$BO:$BO,0)-2,63)&lt;&gt;"","PFH [1/h] = "&amp;10^9*INDEX(Tab_DaBa[],MATCH(CONCATENATE(Liste!$C$3,$B$851,$B$1077),Data!$BO:$BO,0)-2,16)&amp;"E-9",""),"")</f>
        <v/>
      </c>
    </row>
    <row r="1100" spans="2:9" s="16" customFormat="1"/>
    <row r="1101" spans="2:9" s="16" customFormat="1">
      <c r="B1101" s="43" t="str">
        <f ca="1">IF(D1101="","","Erforderlich")</f>
        <v>Erforderlich</v>
      </c>
      <c r="D1101" s="44" t="str">
        <f ca="1">IFERROR("Performance Level: "&amp;INDEX(Tab_DaBa[],MATCH(CONCATENATE(Liste!$C$3,$B$851,$B$1077),Data!$BO:$BO,0)-2,4),"")</f>
        <v>Performance Level: PLr_ges4_9</v>
      </c>
    </row>
    <row r="1102" spans="2:9" s="16" customFormat="1">
      <c r="B1102" s="45"/>
    </row>
    <row r="1103" spans="2:9" s="16" customFormat="1">
      <c r="B1103" s="46" t="str">
        <f ca="1">IF(D1103="","","Erreicht")</f>
        <v>Erreicht</v>
      </c>
      <c r="D1103" s="47" t="str">
        <f ca="1">IFERROR("Performance Level: "&amp;INDEX(Tab_DaBa[],MATCH(CONCATENATE(Liste!$C$3,$B$851,$B$1077),Data!$BO:$BO,0)-2,5)&amp;"          PFH [1/h] = "&amp;10^9*INDEX(Tab_DaBa[],MATCH(CONCATENATE(Liste!$C$3,$B$851,$B$1077),Data!$BO:$BO,0)-2,6)&amp;"E-9","")</f>
        <v>Performance Level: Pl_ges4_9          PFH [1/h] = 71,7E-9</v>
      </c>
    </row>
    <row r="1104" spans="2:9" s="16" customFormat="1">
      <c r="B1104" s="50"/>
      <c r="C1104" s="49"/>
      <c r="D1104" s="49"/>
    </row>
    <row r="1105" spans="2:9" s="16" customFormat="1">
      <c r="B1105" s="42" t="str">
        <f ca="1">IFERROR(IF(10&gt;COUNTIF(Data!$BP:$BP,CONCATENATE(Liste!$C$3,$B$851)),"",INDEX(Tab_DaBa[],MATCH(CONCATENATE(Liste!$C$3,$B$851),Data!$BP:$BP,0)+7,3)),"")</f>
        <v>4.10 Test4 (E+10L+A)</v>
      </c>
    </row>
    <row r="1106" spans="2:9" s="16" customFormat="1"/>
    <row r="1107" spans="2:9" s="16" customFormat="1" ht="15.75">
      <c r="B1107" s="35" t="str">
        <f ca="1">IFERROR(INDEX(Tab_DaBa[],MATCH(CONCATENATE(Liste!$C$3,$B$851,$B$1105),Data!$BO:$BO,0)-2,9),"")</f>
        <v>Eingang</v>
      </c>
      <c r="C1107" s="54"/>
      <c r="D1107" s="35" t="str">
        <f ca="1">IFERROR(IF(INDEX(Tab_DaBa[],MATCH(CONCATENATE(Liste!$C$3,$B$851,$B$1105),Data!$BO:$BO,0)-2,18)=0,INDEX(Tab_DaBa[],MATCH(CONCATENATE(Liste!$C$3,$B$851,$B$1105),Data!$BO:$BO,0)-2,14),INDEX(Tab_DaBa[],MATCH(CONCATENATE(Liste!$C$3,$B$851,$B$1105),Data!$BO:$BO,0)-2,19)),"")</f>
        <v>Logik 01</v>
      </c>
      <c r="E1107" s="33"/>
      <c r="F1107" s="35" t="str">
        <f ca="1">IFERROR(IF(AND(INDEX(Tab_DaBa[],MATCH(CONCATENATE(Liste!$C$3,$B$851,$B$1105),Data!$BO:$BO,0)-2,18)&lt;&gt;"",INDEX(Tab_DaBa[],MATCH(CONCATENATE(Liste!$C$3,$B$851,$B$1105),Data!$BO:$BO,0)-2,23)=0),INDEX(Tab_DaBa[],MATCH(CONCATENATE(Liste!$C$3,$B$851,$B$1105),Data!$BO:$BO,0)-2,14),IF(INDEX(Tab_DaBa[],MATCH(CONCATENATE(Liste!$C$3,$B$851,$B$1105),Data!$BO:$BO,0)-2,23)&lt;&gt;"",INDEX(Tab_DaBa[],MATCH(CONCATENATE(Liste!$C$3,$B$851,$B$1105),Data!$BO:$BO,0)-2,24),"")),"")</f>
        <v>Logik 02</v>
      </c>
      <c r="G1107" s="39"/>
      <c r="H1107" s="35" t="str">
        <f ca="1">IFERROR(IF(AND(INDEX(Tab_DaBa[],MATCH(CONCATENATE(Liste!$C$3,$B$851,$B$1105),Data!$BO:$BO,0)-2,23)&lt;&gt;"",INDEX(Tab_DaBa[],MATCH(CONCATENATE(Liste!$C$3,$B$851,$B$1105),Data!$BO:$BO,0)-2,28)=0),INDEX(Tab_DaBa[],MATCH(CONCATENATE(Liste!$C$3,$B$851,$B$1105),Data!$BO:$BO,0)-2,14),IF(INDEX(Tab_DaBa[],MATCH(CONCATENATE(Liste!$C$3,$B$851,$B$1105),Data!$BO:$BO,0)-2,23)&lt;&gt;"",INDEX(Tab_DaBa[],MATCH(CONCATENATE(Liste!$C$3,$B$851,$B$1105),Data!$BO:$BO,0)-2,29),"")),"")</f>
        <v>Logik 03</v>
      </c>
      <c r="I1107" s="39"/>
    </row>
    <row r="1108" spans="2:9" s="16" customFormat="1" ht="15.75">
      <c r="B1108" s="35" t="str">
        <f ca="1">IFERROR(INDEX(Tab_DaBa[],MATCH(CONCATENATE(Liste!$C$3,$B$851,$B$1105),Data!$BO:$BO,0)-2,7),"")</f>
        <v>eeee-33_10</v>
      </c>
      <c r="C1108" s="54"/>
      <c r="D1108" s="35" t="str">
        <f ca="1">IFERROR(IF(INDEX(Tab_DaBa[],MATCH(CONCATENATE(Liste!$C$3,$B$851,$B$1105),Data!$BO:$BO,0)-2,18)="",INDEX(Tab_DaBa[],MATCH(CONCATENATE(Liste!$C$3,$B$851,$B$1105),Data!$BO:$BO,0)-2,12),INDEX(Tab_DaBa[],MATCH(CONCATENATE(Liste!$C$3,$B$851,$B$1105),Data!$BO:$BO,0)-2,17)),"")</f>
        <v>Log01-04_10</v>
      </c>
      <c r="E1108" s="36"/>
      <c r="F1108" s="35" t="str">
        <f ca="1">IFERROR(IF(AND(INDEX(Tab_DaBa[],MATCH(CONCATENATE(Liste!$C$3,$B$851,$B$1105),Data!$BO:$BO,0)-2,18)&lt;&gt;"",INDEX(Tab_DaBa[],MATCH(CONCATENATE(Liste!$C$3,$B$851,$B$1105),Data!$BO:$BO,0)-2,23)=0),INDEX(Tab_DaBa[],MATCH(CONCATENATE(Liste!$C$3,$B$851,$B$1105),Data!$BO:$BO,0)-2,12),IF(INDEX(Tab_DaBa[],MATCH(CONCATENATE(Liste!$C$3,$B$851,$B$1105),Data!$BO:$BO,0)-2,23)&lt;&gt;"",INDEX(Tab_DaBa[],MATCH(CONCATENATE(Liste!$C$3,$B$851,$B$1105),Data!$BO:$BO,0)-2,22),"")),"")</f>
        <v>Lo04-04_10</v>
      </c>
      <c r="G1108" s="39"/>
      <c r="H1108" s="35" t="str">
        <f ca="1">IFERROR(IF(AND(INDEX(Tab_DaBa[],MATCH(CONCATENATE(Liste!$C$3,$B$851,$B$1105),Data!$BO:$BO,0)-2,23)&lt;&gt;"",INDEX(Tab_DaBa[],MATCH(CONCATENATE(Liste!$C$3,$B$851,$B$1105),Data!$BO:$BO,0)-2,28)=0),INDEX(Tab_DaBa[],MATCH(CONCATENATE(Liste!$C$3,$B$851,$B$1105),Data!$BO:$BO,0)-2,12),IF(INDEX(Tab_DaBa[],MATCH(CONCATENATE(Liste!$C$3,$B$851,$B$1105),Data!$BO:$BO,0)-2,23)&lt;&gt;"",INDEX(Tab_DaBa[],MATCH(CONCATENATE(Liste!$C$3,$B$851,$B$1105),Data!$BO:$BO,0)-2,27),"")),"")</f>
        <v>Lo04-44_10</v>
      </c>
      <c r="I1108" s="39"/>
    </row>
    <row r="1109" spans="2:9" s="16" customFormat="1" ht="15.75">
      <c r="B1109" s="35" t="str">
        <f ca="1">IFERROR(INDEX(Tab_DaBa[],MATCH(CONCATENATE(Liste!$C$3,$B$851,$B$1105),Data!$BO:$BO,0)-2,8),"")</f>
        <v>Bez_Ein4_10</v>
      </c>
      <c r="C1109" s="40">
        <f ca="1">IF(D1107="","",4)</f>
        <v>4</v>
      </c>
      <c r="D1109" s="35" t="str">
        <f ca="1">IFERROR(IF(INDEX(Tab_DaBa[],MATCH(CONCATENATE(Liste!$C$3,$B$851,$B$1105),Data!$BO:$BO,0)-2,18)="",INDEX(Tab_DaBa[],MATCH(CONCATENATE(Liste!$C$3,$B$851,$B$1105),Data!$BO:$BO,0)-2,13),INDEX(Tab_DaBa[],MATCH(CONCATENATE(Liste!$C$3,$B$851,$B$1105),Data!$BO:$BO,0)-2,18)),"")</f>
        <v>Bez_Log01_04_10</v>
      </c>
      <c r="E1109" s="40">
        <f ca="1">IF(F1107="","",4)</f>
        <v>4</v>
      </c>
      <c r="F1109" s="35" t="str">
        <f ca="1">IFERROR(IF(AND(INDEX(Tab_DaBa[],MATCH(CONCATENATE(Liste!$C$3,$B$851,$B$1105),Data!$BO:$BO,0)-2,18)&lt;&gt;"",INDEX(Tab_DaBa[],MATCH(CONCATENATE(Liste!$C$3,$B$851,$B$1105),Data!$BO:$BO,0)-2,23)=""),INDEX(Tab_DaBa[],MATCH(CONCATENATE(Liste!$C$3,$B$851,$B$1105),Data!$BO:$BO,0)-2,13),IF(INDEX(Tab_DaBa[],MATCH(CONCATENATE(Liste!$C$3,$B$851,$B$1105),Data!$BO:$BO,0)-2,23)&lt;&gt;"",INDEX(Tab_DaBa[],MATCH(CONCATENATE(Liste!$C$3,$B$851,$B$1105),Data!$BO:$BO,0)-2,23),"")),"")</f>
        <v>Bez_Lo04_10</v>
      </c>
      <c r="G1109" s="38">
        <f ca="1">IF(H1107="","",4)</f>
        <v>4</v>
      </c>
      <c r="H1109" s="35" t="str">
        <f ca="1">IFERROR(IF(AND(INDEX(Tab_DaBa[],MATCH(CONCATENATE(Liste!$C$3,$B$851,$B$1105),Data!$BO:$BO,0)-2,23)&lt;&gt;"",INDEX(Tab_DaBa[],MATCH(CONCATENATE(Liste!$C$3,$B$851,$B$1105),Data!$BO:$BO,0)-2,28)=""),INDEX(Tab_DaBa[],MATCH(CONCATENATE(Liste!$C$3,$B$851,$B$1105),Data!$BO:$BO,0)-2,13),IF(INDEX(Tab_DaBa[],MATCH(CONCATENATE(Liste!$C$3,$B$851,$B$1105),Data!$BO:$BO,0)-2,23)&lt;&gt;"",INDEX(Tab_DaBa[],MATCH(CONCATENATE(Liste!$C$3,$B$851,$B$1105),Data!$BO:$BO,0)-2,28),"")),"")</f>
        <v>Bez_Lo04_10</v>
      </c>
      <c r="I1109" s="38">
        <f ca="1">IF(B1115="","",6)</f>
        <v>6</v>
      </c>
    </row>
    <row r="1110" spans="2:9" s="16" customFormat="1" ht="15.75">
      <c r="B1110" s="35" t="str">
        <f ca="1">IFERROR("Performance Level: "&amp;INDEX(Tab_DaBa[],MATCH(CONCATENATE(Liste!$C$3,$B$851,$B$1105),Data!$BO:$BO,0)-2,10),"")</f>
        <v>Performance Level: PL_Ein4_10</v>
      </c>
      <c r="C1110" s="54"/>
      <c r="D1110" s="35" t="str">
        <f ca="1">IFERROR(IF(INDEX(Tab_DaBa[],MATCH(CONCATENATE(Liste!$C$3,$B$851,$B$1105),Data!$BO:$BO,0)-2,18)="","Performance Level: "&amp;INDEX(Tab_DaBa[],MATCH(CONCATENATE(Liste!$C$3,$B$851,$B$1105),Data!$BO:$BO,0)-2,15),"Performance Level: "&amp;INDEX(Tab_DaBa[],MATCH(CONCATENATE(Liste!$C$3,$B$851,$B$1105),Data!$BO:$BO,0)-2,20)),"")</f>
        <v>Performance Level: PL_Log01_04_10</v>
      </c>
      <c r="E1110" s="36"/>
      <c r="F1110" s="35" t="str">
        <f ca="1">IFERROR(IF(AND(INDEX(Tab_DaBa[],MATCH(CONCATENATE(Liste!$C$3,$B$851,$B$1105),Data!$BO:$BO,0)-2,18)&lt;&gt;"",INDEX(Tab_DaBa[],MATCH(CONCATENATE(Liste!$C$3,$B$851,$B$1105),Data!$BO:$BO,0)-2,23)=""),"Performance Level: "&amp;INDEX(Tab_DaBa[],MATCH(CONCATENATE(Liste!$C$3,$B$851,$B$1105),Data!$BO:$BO,0)-2,15),IF(INDEX(Tab_DaBa[],MATCH(CONCATENATE(Liste!$C$3,$B$851,$B$1105),Data!$BO:$BO,0)-2,23)&lt;&gt;"","Performance Level: "&amp;INDEX(Tab_DaBa[],MATCH(CONCATENATE(Liste!$C$3,$B$851,$B$1105),Data!$BO:$BO,0)-2,25),"")),"")</f>
        <v>Performance Level: PL_Lo04_10</v>
      </c>
      <c r="G1110" s="39"/>
      <c r="H1110" s="35" t="str">
        <f ca="1">IFERROR(IF(AND(INDEX(Tab_DaBa[],MATCH(CONCATENATE(Liste!$C$3,$B$851,$B$1105),Data!$BO:$BO,0)-2,23)&lt;&gt;"",INDEX(Tab_DaBa[],MATCH(CONCATENATE(Liste!$C$3,$B$851,$B$1105),Data!$BO:$BO,0)-2,28)=""),"Performance Level: "&amp;INDEX(Tab_DaBa[],MATCH(CONCATENATE(Liste!$C$3,$B$851,$B$1105),Data!$BO:$BO,0)-2,15),IF(INDEX(Tab_DaBa[],MATCH(CONCATENATE(Liste!$C$3,$B$851,$B$1105),Data!$BO:$BO,0)-2,23)&lt;&gt;"","Performance Level: "&amp;INDEX(Tab_DaBa[],MATCH(CONCATENATE(Liste!$C$3,$B$851,$B$1105),Data!$BO:$BO,0)-2,30),"")),"")</f>
        <v>Performance Level: PL_Lo04_10</v>
      </c>
      <c r="I1110" s="38"/>
    </row>
    <row r="1111" spans="2:9" s="16" customFormat="1" ht="15.75">
      <c r="B1111" s="53" t="str">
        <f ca="1">IFERROR("PFH [1/h] = "&amp;10^9*INDEX(Tab_DaBa[],MATCH(CONCATENATE(Liste!$C$3,$B$851,$B$1105),Data!$BO:$BO,0)-2,11)&amp;"E-9","")</f>
        <v>PFH [1/h] = 42,9E-9</v>
      </c>
      <c r="C1111" s="54"/>
      <c r="D1111" s="35" t="str">
        <f ca="1">IFERROR(IF(INDEX(Tab_DaBa[],MATCH(CONCATENATE(Liste!$C$3,$B$851,$B$1105),Data!$BO:$BO,0)-2,18)="","PFH [1/h] = "&amp;10^9*INDEX(Tab_DaBa[],MATCH(CONCATENATE(Liste!$C$3,$B$851,$B$1105),Data!$BO:$BO,0)-2,16)&amp;"E-9","PFH [1/h] = "&amp;10^9*INDEX(Tab_DaBa[],MATCH(CONCATENATE(Liste!$C$3,$B$851,$B$1105),Data!$BO:$BO,0)-2,21)&amp;"E-9"),"")</f>
        <v>PFH [1/h] = 4,19E-9</v>
      </c>
      <c r="E1111" s="36"/>
      <c r="F1111" s="35" t="str">
        <f ca="1">IFERROR(IF(AND(INDEX(Tab_DaBa[],MATCH(CONCATENATE(Liste!$C$3,$B$851,$B$1105),Data!$BO:$BO,0)-2,18)&lt;&gt;"",INDEX(Tab_DaBa[],MATCH(CONCATENATE(Liste!$C$3,$B$851,$B$1105),Data!$BO:$BO,0)-2,23)=""),"PFH [1/h] = "&amp;10^9*INDEX(Tab_DaBa[],MATCH(CONCATENATE(Liste!$C$3,$B$851,$B$1105),Data!$BO:$BO,0)-2,16)&amp;"E-9",IF(INDEX(Tab_DaBa[],MATCH(CONCATENATE(Liste!$C$3,$B$851,$B$1105),Data!$BO:$BO,0)-2,23)&lt;&gt;"","PFH [1/h] = "&amp;10^9*INDEX(Tab_DaBa[],MATCH(CONCATENATE(Liste!$C$3,$B$851,$B$1105),Data!$BO:$BO,0)-2,26)&amp;"E-9","")),"")</f>
        <v>PFH [1/h] = 4,19E-9</v>
      </c>
      <c r="G1111" s="39"/>
      <c r="H1111" s="35" t="str">
        <f ca="1">IFERROR(IF(AND(INDEX(Tab_DaBa[],MATCH(CONCATENATE(Liste!$C$3,$B$851,$B$1105),Data!$BO:$BO,0)-2,23)&lt;&gt;"",INDEX(Tab_DaBa[],MATCH(CONCATENATE(Liste!$C$3,$B$851,$B$1105),Data!$BO:$BO,0)-2,28)=""),"PFH [1/h] = "&amp;10^9*INDEX(Tab_DaBa[],MATCH(CONCATENATE(Liste!$C$3,$B$851,$B$1105),Data!$BO:$BO,0)-2,16)&amp;"E-9",IF(INDEX(Tab_DaBa[],MATCH(CONCATENATE(Liste!$C$3,$B$851,$B$1105),Data!$BO:$BO,0)-2,23)&lt;&gt;"","PFH [1/h] = "&amp;10^9*INDEX(Tab_DaBa[],MATCH(CONCATENATE(Liste!$C$3,$B$851,$B$1105),Data!$BO:$BO,0)-2,31)&amp;"E-9","")),"")</f>
        <v>PFH [1/h] = 4,19E-9</v>
      </c>
      <c r="I1111" s="39"/>
    </row>
    <row r="1112" spans="2:9" s="16" customFormat="1">
      <c r="B1112" s="33"/>
      <c r="C1112" s="34"/>
      <c r="D1112" s="33"/>
      <c r="E1112" s="33"/>
      <c r="F1112" s="33"/>
      <c r="G1112" s="33"/>
      <c r="H1112" s="33"/>
      <c r="I1112" s="33"/>
    </row>
    <row r="1113" spans="2:9" s="16" customFormat="1" ht="15.75">
      <c r="B1113" s="38">
        <f ca="1">IF(B1115="","",6)</f>
        <v>6</v>
      </c>
      <c r="C1113" s="34"/>
      <c r="D1113" s="38">
        <f ca="1">IF(B1115="","",3)</f>
        <v>3</v>
      </c>
      <c r="E1113" s="33"/>
      <c r="F1113" s="38">
        <f ca="1">IF(B1115="","",3)</f>
        <v>3</v>
      </c>
      <c r="G1113" s="33"/>
      <c r="H1113" s="38">
        <f ca="1">IF(B1115="","",3)</f>
        <v>3</v>
      </c>
      <c r="I1113" s="33"/>
    </row>
    <row r="1114" spans="2:9" s="16" customFormat="1" ht="15.75">
      <c r="B1114" s="39"/>
      <c r="C1114" s="33"/>
      <c r="D1114" s="33"/>
      <c r="E1114" s="33"/>
      <c r="F1114" s="33"/>
      <c r="G1114" s="33"/>
      <c r="H1114" s="33"/>
      <c r="I1114" s="33"/>
    </row>
    <row r="1115" spans="2:9" s="16" customFormat="1" ht="15.75">
      <c r="B1115" s="35" t="str">
        <f ca="1">IFERROR(IF(AND(INDEX(Tab_DaBa[],MATCH(CONCATENATE(Liste!$C$3,$B$851,$B$1105),Data!$BO:$BO,0)-2,28)&lt;&gt;"",INDEX(Tab_DaBa[],MATCH(CONCATENATE(Liste!$C$3,$B$851,$B$1105),Data!$BO:$BO,0)-2,33)=0),INDEX(Tab_DaBa[],MATCH(CONCATENATE(Liste!$C$3,$B$851,$B$1105),Data!$BO:$BO,0)-2,14),IF(INDEX(Tab_DaBa[],MATCH(CONCATENATE(Liste!$C$3,$B$851,$B$1105),Data!$BO:$BO,0)-2,28)&lt;&gt;"",INDEX(Tab_DaBa[],MATCH(CONCATENATE(Liste!$C$3,$B$851,$B$1105),Data!$BO:$BO,0)-2,34),"")),"")</f>
        <v>Logik 04</v>
      </c>
      <c r="C1115" s="39"/>
      <c r="D1115" s="35" t="str">
        <f ca="1">IFERROR(IF(AND(INDEX(Tab_DaBa[],MATCH(CONCATENATE(Liste!$C$3,$B$851,$B$1105),Data!$BO:$BO,0)-2,33)&lt;&gt;"",INDEX(Tab_DaBa[],MATCH(CONCATENATE(Liste!$C$3,$B$851,$B$1105),Data!$BO:$BO,0)-2,38)=0),INDEX(Tab_DaBa[],MATCH(CONCATENATE(Liste!$C$3,$B$851,$B$1105),Data!$BO:$BO,0)-2,14),IF(INDEX(Tab_DaBa[],MATCH(CONCATENATE(Liste!$C$3,$B$851,$B$1105),Data!$BO:$BO,0)-2,33)&lt;&gt;"",INDEX(Tab_DaBa[],MATCH(CONCATENATE(Liste!$C$3,$B$851,$B$1105),Data!$BO:$BO,0)-2,39),"")),"")</f>
        <v>Logik 08</v>
      </c>
      <c r="E1115" s="33"/>
      <c r="F1115" s="35" t="str">
        <f ca="1">IFERROR(IF(AND(INDEX(Tab_DaBa[],MATCH(CONCATENATE(Liste!$C$3,$B$851,$B$1105),Data!$BO:$BO,0)-2,38)&lt;&gt;"",INDEX(Tab_DaBa[],MATCH(CONCATENATE(Liste!$C$3,$B$851,$B$1105),Data!$BO:$BO,0)-2,43)=0),INDEX(Tab_DaBa[],MATCH(CONCATENATE(Liste!$C$3,$B$851,$B$1105),Data!$BO:$BO,0)-2,14),IF(INDEX(Tab_DaBa[],MATCH(CONCATENATE(Liste!$C$3,$B$851,$B$1105),Data!$BO:$BO,0)-2,38)&lt;&gt;"",INDEX(Tab_DaBa[],MATCH(CONCATENATE(Liste!$C$3,$B$851,$B$1105),Data!$BO:$BO,0)-2,44),"")),"")</f>
        <v>Logik 06</v>
      </c>
      <c r="G1115" s="39"/>
      <c r="H1115" s="35" t="str">
        <f ca="1">IFERROR(IF(AND(INDEX(Tab_DaBa[],MATCH(CONCATENATE(Liste!$C$3,$B$851,$B$1105),Data!$BO:$BO,0)-2,43)&lt;&gt;"",INDEX(Tab_DaBa[],MATCH(CONCATENATE(Liste!$C$3,$B$851,$B$1105),Data!$BO:$BO,0)-2,48)=0),INDEX(Tab_DaBa[],MATCH(CONCATENATE(Liste!$C$3,$B$851,$B$1105),Data!$BO:$BO,0)-2,14),IF(INDEX(Tab_DaBa[],MATCH(CONCATENATE(Liste!$C$3,$B$851,$B$1105),Data!$BO:$BO,0)-2,43)&lt;&gt;"",INDEX(Tab_DaBa[],MATCH(CONCATENATE(Liste!$C$3,$B$851,$B$1105),Data!$BO:$BO,0)-2,49),"")),"")</f>
        <v>Logik 07</v>
      </c>
      <c r="I1115" s="39"/>
    </row>
    <row r="1116" spans="2:9" s="16" customFormat="1" ht="15.75">
      <c r="B1116" s="35" t="str">
        <f ca="1">IFERROR(IF(AND(INDEX(Tab_DaBa[],MATCH(CONCATENATE(Liste!$C$3,$B$851,$B$1105),Data!$BO:$BO,0)-2,28)&lt;&gt;"",INDEX(Tab_DaBa[],MATCH(CONCATENATE(Liste!$C$3,$B$851,$B$1105),Data!$BO:$BO,0)-2,33)=0),INDEX(Tab_DaBa[],MATCH(CONCATENATE(Liste!$C$3,$B$851,$B$1105),Data!$BO:$BO,0)-2,12),IF(INDEX(Tab_DaBa[],MATCH(CONCATENATE(Liste!$C$3,$B$851,$B$1105),Data!$BO:$BO,0)-2,28)&lt;&gt;"",INDEX(Tab_DaBa[],MATCH(CONCATENATE(Liste!$C$3,$B$851,$B$1105),Data!$BO:$BO,0)-2,32),"")),"")</f>
        <v>Lo04-44_10</v>
      </c>
      <c r="C1116" s="39"/>
      <c r="D1116" s="35" t="str">
        <f ca="1">IFERROR(IF(AND(INDEX(Tab_DaBa[],MATCH(CONCATENATE(Liste!$C$3,$B$851,$B$1105),Data!$BO:$BO,0)-2,33)&lt;&gt;"",INDEX(Tab_DaBa[],MATCH(CONCATENATE(Liste!$C$3,$B$851,$B$1105),Data!$BO:$BO,0)-2,38)=0),INDEX(Tab_DaBa[],MATCH(CONCATENATE(Liste!$C$3,$B$851,$B$1105),Data!$BO:$BO,0)-2,12),IF(INDEX(Tab_DaBa[],MATCH(CONCATENATE(Liste!$C$3,$B$851,$B$1105),Data!$BO:$BO,0)-2,33)&lt;&gt;"",INDEX(Tab_DaBa[],MATCH(CONCATENATE(Liste!$C$3,$B$851,$B$1105),Data!$BO:$BO,0)-2,37),"")),"")</f>
        <v>Lo04-44_10</v>
      </c>
      <c r="E1116" s="37"/>
      <c r="F1116" s="35" t="str">
        <f ca="1">IFERROR(IF(AND(INDEX(Tab_DaBa[],MATCH(CONCATENATE(Liste!$C$3,$B$851,$B$1105),Data!$BO:$BO,0)-2,38)&lt;&gt;"",INDEX(Tab_DaBa[],MATCH(CONCATENATE(Liste!$C$3,$B$851,$B$1105),Data!$BO:$BO,0)-2,43)=0),INDEX(Tab_DaBa[],MATCH(CONCATENATE(Liste!$C$3,$B$851,$B$1105),Data!$BO:$BO,0)-2,12),IF(INDEX(Tab_DaBa[],MATCH(CONCATENATE(Liste!$C$3,$B$851,$B$1105),Data!$BO:$BO,0)-2,38)&lt;&gt;"",INDEX(Tab_DaBa[],MATCH(CONCATENATE(Liste!$C$3,$B$851,$B$1105),Data!$BO:$BO,0)-2,42),"")),"")</f>
        <v>Lo03-33_10</v>
      </c>
      <c r="G1116" s="39"/>
      <c r="H1116" s="35" t="str">
        <f ca="1">IFERROR(IF(AND(INDEX(Tab_DaBa[],MATCH(CONCATENATE(Liste!$C$3,$B$851,$B$1105),Data!$BO:$BO,0)-2,43)&lt;&gt;"",INDEX(Tab_DaBa[],MATCH(CONCATENATE(Liste!$C$3,$B$851,$B$1105),Data!$BO:$BO,0)-2,48)=0),INDEX(Tab_DaBa[],MATCH(CONCATENATE(Liste!$C$3,$B$851,$B$1105),Data!$BO:$BO,0)-2,12),IF(INDEX(Tab_DaBa[],MATCH(CONCATENATE(Liste!$C$3,$B$851,$B$1105),Data!$BO:$BO,0)-2,43)&lt;&gt;"",INDEX(Tab_DaBa[],MATCH(CONCATENATE(Liste!$C$3,$B$851,$B$1105),Data!$BO:$BO,0)-2,47),"")),"")</f>
        <v>Lo03-33_10</v>
      </c>
      <c r="I1116" s="39"/>
    </row>
    <row r="1117" spans="2:9" s="16" customFormat="1" ht="15.75">
      <c r="B1117" s="35" t="str">
        <f ca="1">IFERROR(IF(AND(INDEX(Tab_DaBa[],MATCH(CONCATENATE(Liste!$C$3,$B$851,$B$1105),Data!$BO:$BO,0)-2,28)&lt;&gt;"",INDEX(Tab_DaBa[],MATCH(CONCATENATE(Liste!$C$3,$B$851,$B$1105),Data!$BO:$BO,0)-2,33)=""),INDEX(Tab_DaBa[],MATCH(CONCATENATE(Liste!$C$3,$B$851,$B$1105),Data!$BO:$BO,0)-2,13),IF(INDEX(Tab_DaBa[],MATCH(CONCATENATE(Liste!$C$3,$B$851,$B$1105),Data!$BO:$BO,0)-2,28)&lt;&gt;"",INDEX(Tab_DaBa[],MATCH(CONCATENATE(Liste!$C$3,$B$851,$B$1105),Data!$BO:$BO,0)-2,33),"")),"")</f>
        <v>Bez_Lo04_10</v>
      </c>
      <c r="C1117" s="38">
        <f ca="1">IF(D1115="","",4)</f>
        <v>4</v>
      </c>
      <c r="D1117" s="35" t="str">
        <f ca="1">IFERROR(IF(AND(INDEX(Tab_DaBa[],MATCH(CONCATENATE(Liste!$C$3,$B$851,$B$1105),Data!$BO:$BO,0)-2,33)&lt;&gt;"",INDEX(Tab_DaBa[],MATCH(CONCATENATE(Liste!$C$3,$B$851,$B$1105),Data!$BO:$BO,0)-2,38)=""),INDEX(Tab_DaBa[],MATCH(CONCATENATE(Liste!$C$3,$B$851,$B$1105),Data!$BO:$BO,0)-2,13),IF(INDEX(Tab_DaBa[],MATCH(CONCATENATE(Liste!$C$3,$B$851,$B$1105),Data!$BO:$BO,0)-2,33)&lt;&gt;"",INDEX(Tab_DaBa[],MATCH(CONCATENATE(Liste!$C$3,$B$851,$B$1105),Data!$BO:$BO,0)-2,38),"")),"")</f>
        <v>Bez_Lo03_10</v>
      </c>
      <c r="E1117" s="38">
        <f ca="1">IF(F1115="","",4)</f>
        <v>4</v>
      </c>
      <c r="F1117" s="35" t="str">
        <f ca="1">IFERROR(IF(AND(INDEX(Tab_DaBa[],MATCH(CONCATENATE(Liste!$C$3,$B$851,$B$1105),Data!$BO:$BO,0)-2,38)&lt;&gt;"",INDEX(Tab_DaBa[],MATCH(CONCATENATE(Liste!$C$3,$B$851,$B$1105),Data!$BO:$BO,0)-2,43)=""),INDEX(Tab_DaBa[],MATCH(CONCATENATE(Liste!$C$3,$B$851,$B$1105),Data!$BO:$BO,0)-2,13),IF(INDEX(Tab_DaBa[],MATCH(CONCATENATE(Liste!$C$3,$B$851,$B$1105),Data!$BO:$BO,0)-2,38)&lt;&gt;"",INDEX(Tab_DaBa[],MATCH(CONCATENATE(Liste!$C$3,$B$851,$B$1105),Data!$BO:$BO,0)-2,43),"")),"")</f>
        <v>Bez_Lo03_10</v>
      </c>
      <c r="G1117" s="38">
        <f ca="1">IF(H1115="","",4)</f>
        <v>4</v>
      </c>
      <c r="H1117" s="35" t="str">
        <f ca="1">IFERROR(IF(AND(INDEX(Tab_DaBa[],MATCH(CONCATENATE(Liste!$C$3,$B$851,$B$1105),Data!$BO:$BO,0)-2,43)&lt;&gt;"",INDEX(Tab_DaBa[],MATCH(CONCATENATE(Liste!$C$3,$B$851,$B$1105),Data!$BO:$BO,0)-2,48)=""),INDEX(Tab_DaBa[],MATCH(CONCATENATE(Liste!$C$3,$B$851,$B$1105),Data!$BO:$BO,0)-2,13),IF(INDEX(Tab_DaBa[],MATCH(CONCATENATE(Liste!$C$3,$B$851,$B$1105),Data!$BO:$BO,0)-2,43)&lt;&gt;"",INDEX(Tab_DaBa[],MATCH(CONCATENATE(Liste!$C$3,$B$851,$B$1105),Data!$BO:$BO,0)-2,48),"")),"")</f>
        <v>Bez_Lo03_10</v>
      </c>
      <c r="I1117" s="38">
        <f ca="1">IF(B1123="","",6)</f>
        <v>6</v>
      </c>
    </row>
    <row r="1118" spans="2:9" s="16" customFormat="1" ht="15.75">
      <c r="B1118" s="35" t="str">
        <f ca="1">IFERROR(IF(AND(INDEX(Tab_DaBa[],MATCH(CONCATENATE(Liste!$C$3,$B$851,$B$1105),Data!$BO:$BO,0)-2,28)&lt;&gt;"",INDEX(Tab_DaBa[],MATCH(CONCATENATE(Liste!$C$3,$B$851,$B$1105),Data!$BO:$BO,0)-2,33)=""),"Performance Level: "&amp;INDEX(Tab_DaBa[],MATCH(CONCATENATE(Liste!$C$3,$B$851,$B$1105),Data!$BO:$BO,0)-2,15),IF(INDEX(Tab_DaBa[],MATCH(CONCATENATE(Liste!$C$3,$B$851,$B$1105),Data!$BO:$BO,0)-2,28)&lt;&gt;"","Performance Level: "&amp;INDEX(Tab_DaBa[],MATCH(CONCATENATE(Liste!$C$3,$B$851,$B$1105),Data!$BO:$BO,0)-2,35),"")),"")</f>
        <v>Performance Level: PL_Lo04_10</v>
      </c>
      <c r="C1118" s="39"/>
      <c r="D1118" s="35" t="str">
        <f ca="1">IFERROR(IF(AND(INDEX(Tab_DaBa[],MATCH(CONCATENATE(Liste!$C$3,$B$851,$B$1105),Data!$BO:$BO,0)-2,33)&lt;&gt;"",INDEX(Tab_DaBa[],MATCH(CONCATENATE(Liste!$C$3,$B$851,$B$1105),Data!$BO:$BO,0)-2,38)=""),"Performance Level: "&amp;INDEX(Tab_DaBa[],MATCH(CONCATENATE(Liste!$C$3,$B$851,$B$1105),Data!$BO:$BO,0)-2,15),IF(INDEX(Tab_DaBa[],MATCH(CONCATENATE(Liste!$C$3,$B$851,$B$1105),Data!$BO:$BO,0)-2,33)&lt;&gt;"","Performance Level: "&amp;INDEX(Tab_DaBa[],MATCH(CONCATENATE(Liste!$C$3,$B$851,$B$1105),Data!$BO:$BO,0)-2,40),"")),"")</f>
        <v>Performance Level: PL_Lo03_10</v>
      </c>
      <c r="E1118" s="37"/>
      <c r="F1118" s="35" t="str">
        <f ca="1">IFERROR(IF(AND(INDEX(Tab_DaBa[],MATCH(CONCATENATE(Liste!$C$3,$B$851,$B$1105),Data!$BO:$BO,0)-2,38)&lt;&gt;"",INDEX(Tab_DaBa[],MATCH(CONCATENATE(Liste!$C$3,$B$851,$B$1105),Data!$BO:$BO,0)-2,43)=""),"Performance Level: "&amp;INDEX(Tab_DaBa[],MATCH(CONCATENATE(Liste!$C$3,$B$851,$B$1105),Data!$BO:$BO,0)-2,15),IF(INDEX(Tab_DaBa[],MATCH(CONCATENATE(Liste!$C$3,$B$851,$B$1105),Data!$BO:$BO,0)-2,38)&lt;&gt;"","Performance Level: "&amp;INDEX(Tab_DaBa[],MATCH(CONCATENATE(Liste!$C$3,$B$851,$B$1105),Data!$BO:$BO,0)-2,45),"")),"")</f>
        <v>Performance Level: PL_Lo03_10</v>
      </c>
      <c r="G1118" s="39"/>
      <c r="H1118" s="35" t="str">
        <f ca="1">IFERROR(IF(AND(INDEX(Tab_DaBa[],MATCH(CONCATENATE(Liste!$C$3,$B$851,$B$1105),Data!$BO:$BO,0)-2,43)&lt;&gt;"",INDEX(Tab_DaBa[],MATCH(CONCATENATE(Liste!$C$3,$B$851,$B$1105),Data!$BO:$BO,0)-2,48)=""),"Performance Level: "&amp;INDEX(Tab_DaBa[],MATCH(CONCATENATE(Liste!$C$3,$B$851,$B$1105),Data!$BO:$BO,0)-2,15),IF(INDEX(Tab_DaBa[],MATCH(CONCATENATE(Liste!$C$3,$B$851,$B$1105),Data!$BO:$BO,0)-2,43)&lt;&gt;"","Performance Level: "&amp;INDEX(Tab_DaBa[],MATCH(CONCATENATE(Liste!$C$3,$B$851,$B$1105),Data!$BO:$BO,0)-2,50),"")),"")</f>
        <v>Performance Level: PL_Lo03_10</v>
      </c>
      <c r="I1118" s="39"/>
    </row>
    <row r="1119" spans="2:9" s="16" customFormat="1" ht="15.75">
      <c r="B1119" s="35" t="str">
        <f ca="1">IFERROR(IF(AND(INDEX(Tab_DaBa[],MATCH(CONCATENATE(Liste!$C$3,$B$851,$B$1105),Data!$BO:$BO,0)-2,28)&lt;&gt;"",INDEX(Tab_DaBa[],MATCH(CONCATENATE(Liste!$C$3,$B$851,$B$1105),Data!$BO:$BO,0)-2,33)=""),"PFH [1/h] = "&amp;10^9*INDEX(Tab_DaBa[],MATCH(CONCATENATE(Liste!$C$3,$B$851,$B$1105),Data!$BO:$BO,0)-2,16)&amp;"E-9",IF(INDEX(Tab_DaBa[],MATCH(CONCATENATE(Liste!$C$3,$B$851,$B$1105),Data!$BO:$BO,0)-2,28)&lt;&gt;"","PFH [1/h] = "&amp;10^9*INDEX(Tab_DaBa[],MATCH(CONCATENATE(Liste!$C$3,$B$851,$B$1105),Data!$BO:$BO,0)-2,36)&amp;"E-9","")),"")</f>
        <v>PFH [1/h] = 4,19E-9</v>
      </c>
      <c r="C1119" s="39"/>
      <c r="D1119" s="35" t="str">
        <f ca="1">IFERROR(IF(AND(INDEX(Tab_DaBa[],MATCH(CONCATENATE(Liste!$C$3,$B$851,$B$1105),Data!$BO:$BO,0)-2,33)&lt;&gt;"",INDEX(Tab_DaBa[],MATCH(CONCATENATE(Liste!$C$3,$B$851,$B$1105),Data!$BO:$BO,0)-2,38)=""),"PFH [1/h] = "&amp;10^9*INDEX(Tab_DaBa[],MATCH(CONCATENATE(Liste!$C$3,$B$851,$B$1105),Data!$BO:$BO,0)-2,16)&amp;"E-9",IF(INDEX(Tab_DaBa[],MATCH(CONCATENATE(Liste!$C$3,$B$851,$B$1105),Data!$BO:$BO,0)-2,33)&lt;&gt;"","PFH [1/h] = "&amp;10^9*INDEX(Tab_DaBa[],MATCH(CONCATENATE(Liste!$C$3,$B$851,$B$1105),Data!$BO:$BO,0)-2,41)&amp;"E-9","")),"")</f>
        <v>PFH [1/h] = 4,19E-9</v>
      </c>
      <c r="E1119" s="37"/>
      <c r="F1119" s="35" t="str">
        <f ca="1">IFERROR(IF(AND(INDEX(Tab_DaBa[],MATCH(CONCATENATE(Liste!$C$3,$B$851,$B$1105),Data!$BO:$BO,0)-2,38)&lt;&gt;"",INDEX(Tab_DaBa[],MATCH(CONCATENATE(Liste!$C$3,$B$851,$B$1105),Data!$BO:$BO,0)-2,43)=""),"PFH [1/h] = "&amp;10^9*INDEX(Tab_DaBa[],MATCH(CONCATENATE(Liste!$C$3,$B$851,$B$1105),Data!$BO:$BO,0)-2,16)&amp;"E-9",IF(INDEX(Tab_DaBa[],MATCH(CONCATENATE(Liste!$C$3,$B$851,$B$1105),Data!$BO:$BO,0)-2,38)&lt;&gt;"","PFH [1/h] = "&amp;10^9*INDEX(Tab_DaBa[],MATCH(CONCATENATE(Liste!$C$3,$B$851,$B$1105),Data!$BO:$BO,0)-2,46)&amp;"E-9","")),"")</f>
        <v>PFH [1/h] = 4,19E-9</v>
      </c>
      <c r="G1119" s="39"/>
      <c r="H1119" s="35" t="str">
        <f ca="1">IFERROR(IF(AND(INDEX(Tab_DaBa[],MATCH(CONCATENATE(Liste!$C$3,$B$851,$B$1105),Data!$BO:$BO,0)-2,43)&lt;&gt;"",INDEX(Tab_DaBa[],MATCH(CONCATENATE(Liste!$C$3,$B$851,$B$1105),Data!$BO:$BO,0)-2,48)=""),"PFH [1/h] = "&amp;10^9*INDEX(Tab_DaBa[],MATCH(CONCATENATE(Liste!$C$3,$B$851,$B$1105),Data!$BO:$BO,0)-2,16)&amp;"E-9",IF(INDEX(Tab_DaBa[],MATCH(CONCATENATE(Liste!$C$3,$B$851,$B$1105),Data!$BO:$BO,0)-2,43)&lt;&gt;"","PFH [1/h] = "&amp;10^9*INDEX(Tab_DaBa[],MATCH(CONCATENATE(Liste!$C$3,$B$851,$B$1105),Data!$BO:$BO,0)-2,51)&amp;"E-9","")),"")</f>
        <v>PFH [1/h] = 4,19E-9</v>
      </c>
      <c r="I1119" s="39"/>
    </row>
    <row r="1120" spans="2:9" s="16" customFormat="1">
      <c r="B1120" s="33"/>
      <c r="C1120" s="33"/>
      <c r="D1120" s="33"/>
      <c r="E1120" s="33"/>
      <c r="F1120" s="33"/>
      <c r="G1120" s="33"/>
      <c r="H1120" s="33"/>
      <c r="I1120" s="33"/>
    </row>
    <row r="1121" spans="2:9" s="16" customFormat="1" ht="15.75">
      <c r="B1121" s="38">
        <f ca="1">IF(B1123="","",6)</f>
        <v>6</v>
      </c>
      <c r="C1121" s="33"/>
      <c r="D1121" s="38">
        <f ca="1">IF(B1123="","",3)</f>
        <v>3</v>
      </c>
      <c r="E1121" s="33"/>
      <c r="F1121" s="38">
        <f ca="1">IF(B1123="","",3)</f>
        <v>3</v>
      </c>
      <c r="G1121" s="33"/>
      <c r="H1121" s="38">
        <f ca="1">IF(B1123="","",3)</f>
        <v>3</v>
      </c>
      <c r="I1121" s="33"/>
    </row>
    <row r="1122" spans="2:9" s="16" customFormat="1" ht="15.75">
      <c r="B1122" s="39"/>
      <c r="C1122" s="33"/>
      <c r="D1122" s="33"/>
      <c r="E1122" s="33"/>
      <c r="F1122" s="33"/>
      <c r="G1122" s="33"/>
      <c r="H1122" s="33"/>
      <c r="I1122" s="33"/>
    </row>
    <row r="1123" spans="2:9" s="16" customFormat="1" ht="15.75">
      <c r="B1123" s="35" t="str">
        <f ca="1">IFERROR(IF(AND(INDEX(Tab_DaBa[],MATCH(CONCATENATE(Liste!$C$3,$B$851,$B$1105),Data!$BO:$BO,0)-2,48)&lt;&gt;"",INDEX(Tab_DaBa[],MATCH(CONCATENATE(Liste!$C$3,$B$851,$B$1105),Data!$BO:$BO,0)-2,53)=0),INDEX(Tab_DaBa[],MATCH(CONCATENATE(Liste!$C$3,$B$851,$B$1105),Data!$BO:$BO,0)-2,14),IF(INDEX(Tab_DaBa[],MATCH(CONCATENATE(Liste!$C$3,$B$851,$B$1105),Data!$BO:$BO,0)-2,48)&lt;&gt;"",INDEX(Tab_DaBa[],MATCH(CONCATENATE(Liste!$C$3,$B$851,$B$1105),Data!$BO:$BO,0)-2,54),"")),"")</f>
        <v>Logik 08</v>
      </c>
      <c r="C1123" s="39"/>
      <c r="D1123" s="35" t="str">
        <f ca="1">IFERROR(IF(AND(INDEX(Tab_DaBa[],MATCH(CONCATENATE(Liste!$C$3,$B$851,$B$1105),Data!$BO:$BO,0)-2,53)&lt;&gt;"",INDEX(Tab_DaBa[],MATCH(CONCATENATE(Liste!$C$3,$B$851,$B$1105),Data!$BO:$BO,0)-2,58)=0),INDEX(Tab_DaBa[],MATCH(CONCATENATE(Liste!$C$3,$B$851,$B$1105),Data!$BO:$BO,0)-2,14),IF(INDEX(Tab_DaBa[],MATCH(CONCATENATE(Liste!$C$3,$B$851,$B$1105),Data!$BO:$BO,0)-2,53)&lt;&gt;"",INDEX(Tab_DaBa[],MATCH(CONCATENATE(Liste!$C$3,$B$851,$B$1105),Data!$BO:$BO,0)-2,59),"")),"")</f>
        <v>Logik 09</v>
      </c>
      <c r="E1123" s="33"/>
      <c r="F1123" s="35" t="str">
        <f ca="1">IFERROR(IF(AND(INDEX(Tab_DaBa[],MATCH(CONCATENATE(Liste!$C$3,$B$851,$B$1105),Data!$BO:$BO,0)-2,58)&lt;&gt;"",INDEX(Tab_DaBa[],MATCH(CONCATENATE(Liste!$C$3,$B$851,$B$1105),Data!$BO:$BO,0)-2,63)=0),INDEX(Tab_DaBa[],MATCH(CONCATENATE(Liste!$C$3,$B$851,$B$1105),Data!$BO:$BO,0)-2,14),IF(INDEX(Tab_DaBa[],MATCH(CONCATENATE(Liste!$C$3,$B$851,$B$1105),Data!$BO:$BO,0)-2,58)&lt;&gt;"",INDEX(Tab_DaBa[],MATCH(CONCATENATE(Liste!$C$3,$B$851,$B$1105),Data!$BO:$BO,0)-2,64),"")),"")</f>
        <v>Logik 10</v>
      </c>
      <c r="G1123" s="39"/>
      <c r="H1123" s="35" t="str">
        <f ca="1">IFERROR(IF(INDEX(Tab_DaBa[],MATCH(CONCATENATE(Liste!$C$3,$B$851,$B$1105),Data!$BO:$BO,0)-2,63)&lt;&gt;"",INDEX(Tab_DaBa[],MATCH(CONCATENATE(Liste!$C$3,$B$851,$B$1105),Data!$BO:$BO,0)-2,14),""),"")</f>
        <v>Ausgang</v>
      </c>
    </row>
    <row r="1124" spans="2:9" s="16" customFormat="1" ht="15.75">
      <c r="B1124" s="35" t="str">
        <f ca="1">IFERROR(IF(AND(INDEX(Tab_DaBa[],MATCH(CONCATENATE(Liste!$C$3,$B$851,$B$1105),Data!$BO:$BO,0)-2,48)&lt;&gt;"",INDEX(Tab_DaBa[],MATCH(CONCATENATE(Liste!$C$3,$B$851,$B$1105),Data!$BO:$BO,0)-2,53)=0),INDEX(Tab_DaBa[],MATCH(CONCATENATE(Liste!$C$3,$B$851,$B$1105),Data!$BO:$BO,0)-2,12),IF(INDEX(Tab_DaBa[],MATCH(CONCATENATE(Liste!$C$3,$B$851,$B$1105),Data!$BO:$BO,0)-2,48)&lt;&gt;"",INDEX(Tab_DaBa[],MATCH(CONCATENATE(Liste!$C$3,$B$851,$B$1105),Data!$BO:$BO,0)-2,52),"")),"")</f>
        <v>Lo03-88_10</v>
      </c>
      <c r="C1124" s="39"/>
      <c r="D1124" s="35" t="str">
        <f ca="1">IFERROR(IF(AND(INDEX(Tab_DaBa[],MATCH(CONCATENATE(Liste!$C$3,$B$851,$B$1105),Data!$BO:$BO,0)-2,53)&lt;&gt;"",INDEX(Tab_DaBa[],MATCH(CONCATENATE(Liste!$C$3,$B$851,$B$1105),Data!$BO:$BO,0)-2,58)=0),INDEX(Tab_DaBa[],MATCH(CONCATENATE(Liste!$C$3,$B$851,$B$1105),Data!$BO:$BO,0)-2,12),IF(INDEX(Tab_DaBa[],MATCH(CONCATENATE(Liste!$C$3,$B$851,$B$1105),Data!$BO:$BO,0)-2,53)&lt;&gt;"",INDEX(Tab_DaBa[],MATCH(CONCATENATE(Liste!$C$3,$B$851,$B$1105),Data!$BO:$BO,0)-2,57),"")),"")</f>
        <v>Lo03-33_10</v>
      </c>
      <c r="E1124" s="37"/>
      <c r="F1124" s="35" t="str">
        <f ca="1">IFERROR(IF(AND(INDEX(Tab_DaBa[],MATCH(CONCATENATE(Liste!$C$3,$B$851,$B$1105),Data!$BO:$BO,0)-2,58)&lt;&gt;"",INDEX(Tab_DaBa[],MATCH(CONCATENATE(Liste!$C$3,$B$851,$B$1105),Data!$BO:$BO,0)-2,63)=0),INDEX(Tab_DaBa[],MATCH(CONCATENATE(Liste!$C$3,$B$851,$B$1105),Data!$BO:$BO,0)-2,12),IF(INDEX(Tab_DaBa[],MATCH(CONCATENATE(Liste!$C$3,$B$851,$B$1105),Data!$BO:$BO,0)-2,58)&lt;&gt;"",INDEX(Tab_DaBa[],MATCH(CONCATENATE(Liste!$C$3,$B$851,$B$1105),Data!$BO:$BO,0)-2,62),"")),"")</f>
        <v>Lo03-10_10</v>
      </c>
      <c r="G1124" s="39"/>
      <c r="H1124" s="35" t="str">
        <f ca="1">IFERROR(IF(INDEX(Tab_DaBa[],MATCH(CONCATENATE(Liste!$C$3,$B$851,$B$1105),Data!$BO:$BO,0)-2,63)&lt;&gt;"",INDEX(Tab_DaBa[],MATCH(CONCATENATE(Liste!$C$3,$B$851,$B$1105),Data!$BO:$BO,0)-2,12),""),"")</f>
        <v>aaaa-44_10</v>
      </c>
    </row>
    <row r="1125" spans="2:9" s="16" customFormat="1" ht="15.75">
      <c r="B1125" s="35" t="str">
        <f ca="1">IFERROR(IF(AND(INDEX(Tab_DaBa[],MATCH(CONCATENATE(Liste!$C$3,$B$851,$B$1105),Data!$BO:$BO,0)-2,48)&lt;&gt;"",INDEX(Tab_DaBa[],MATCH(CONCATENATE(Liste!$C$3,$B$851,$B$1105),Data!$BO:$BO,0)-2,53)=""),INDEX(Tab_DaBa[],MATCH(CONCATENATE(Liste!$C$3,$B$851,$B$1105),Data!$BO:$BO,0)-2,13),IF(INDEX(Tab_DaBa[],MATCH(CONCATENATE(Liste!$C$3,$B$851,$B$1105),Data!$BO:$BO,0)-2,48)&lt;&gt;"",INDEX(Tab_DaBa[],MATCH(CONCATENATE(Liste!$C$3,$B$851,$B$1105),Data!$BO:$BO,0)-2,53),"")),"")</f>
        <v>Bez_Lo03_10</v>
      </c>
      <c r="C1125" s="38">
        <f ca="1">IF(D1123="","",4)</f>
        <v>4</v>
      </c>
      <c r="D1125" s="35" t="str">
        <f ca="1">IFERROR(IF(AND(INDEX(Tab_DaBa[],MATCH(CONCATENATE(Liste!$C$3,$B$851,$B$1105),Data!$BO:$BO,0)-2,53)&lt;&gt;"",INDEX(Tab_DaBa[],MATCH(CONCATENATE(Liste!$C$3,$B$851,$B$1105),Data!$BO:$BO,0)-2,58)=""),INDEX(Tab_DaBa[],MATCH(CONCATENATE(Liste!$C$3,$B$851,$B$1105),Data!$BO:$BO,0)-2,13),IF(INDEX(Tab_DaBa[],MATCH(CONCATENATE(Liste!$C$3,$B$851,$B$1105),Data!$BO:$BO,0)-2,53)&lt;&gt;"",INDEX(Tab_DaBa[],MATCH(CONCATENATE(Liste!$C$3,$B$851,$B$1105),Data!$BO:$BO,0)-2,58),"")),"")</f>
        <v>Bez_Lo03_10</v>
      </c>
      <c r="E1125" s="38">
        <f ca="1">IF(F1123="","",4)</f>
        <v>4</v>
      </c>
      <c r="F1125" s="35" t="str">
        <f ca="1">IFERROR(IF(AND(INDEX(Tab_DaBa[],MATCH(CONCATENATE(Liste!$C$3,$B$851,$B$1105),Data!$BO:$BO,0)-2,58)&lt;&gt;"",INDEX(Tab_DaBa[],MATCH(CONCATENATE(Liste!$C$3,$B$851,$B$1105),Data!$BO:$BO,0)-2,63)=""),INDEX(Tab_DaBa[],MATCH(CONCATENATE(Liste!$C$3,$B$851,$B$1105),Data!$BO:$BO,0)-2,13),IF(INDEX(Tab_DaBa[],MATCH(CONCATENATE(Liste!$C$3,$B$851,$B$1105),Data!$BO:$BO,0)-2,58)&lt;&gt;"",INDEX(Tab_DaBa[],MATCH(CONCATENATE(Liste!$C$3,$B$851,$B$1105),Data!$BO:$BO,0)-2,63),"")),"")</f>
        <v>Bez_Lo03_10</v>
      </c>
      <c r="G1125" s="38">
        <f ca="1">IF(H1123="","",4)</f>
        <v>4</v>
      </c>
      <c r="H1125" s="35" t="str">
        <f ca="1">IFERROR(IF(INDEX(Tab_DaBa[],MATCH(CONCATENATE(Liste!$C$3,$B$851,$B$1105),Data!$BO:$BO,0)-2,63)&lt;&gt;"",INDEX(Tab_DaBa[],MATCH(CONCATENATE(Liste!$C$3,$B$851,$B$1105),Data!$BO:$BO,0)-2,13),""),"")</f>
        <v>Bez_Aus4_10</v>
      </c>
    </row>
    <row r="1126" spans="2:9" s="16" customFormat="1" ht="15.75">
      <c r="B1126" s="35" t="str">
        <f ca="1">IFERROR(IF(AND(INDEX(Tab_DaBa[],MATCH(CONCATENATE(Liste!$C$3,$B$851,$B$1105),Data!$BO:$BO,0)-2,48)&lt;&gt;"",INDEX(Tab_DaBa[],MATCH(CONCATENATE(Liste!$C$3,$B$851,$B$1105),Data!$BO:$BO,0)-2,53)=""),"Performance Level: "&amp;INDEX(Tab_DaBa[],MATCH(CONCATENATE(Liste!$C$3,$B$851,$B$1105),Data!$BO:$BO,0)-2,15),IF(INDEX(Tab_DaBa[],MATCH(CONCATENATE(Liste!$C$3,$B$851,$B$1105),Data!$BO:$BO,0)-2,48)&lt;&gt;"","Performance Level: "&amp;INDEX(Tab_DaBa[],MATCH(CONCATENATE(Liste!$C$3,$B$851,$B$1105),Data!$BO:$BO,0)-2,55),"")),"")</f>
        <v>Performance Level: PL_Lo03_10</v>
      </c>
      <c r="C1126" s="39"/>
      <c r="D1126" s="35" t="str">
        <f ca="1">IFERROR(IF(AND(INDEX(Tab_DaBa[],MATCH(CONCATENATE(Liste!$C$3,$B$851,$B$1105),Data!$BO:$BO,0)-2,53)&lt;&gt;"",INDEX(Tab_DaBa[],MATCH(CONCATENATE(Liste!$C$3,$B$851,$B$1105),Data!$BO:$BO,0)-2,58)=""),"Performance Level: "&amp;INDEX(Tab_DaBa[],MATCH(CONCATENATE(Liste!$C$3,$B$851,$B$1105),Data!$BO:$BO,0)-2,15),IF(INDEX(Tab_DaBa[],MATCH(CONCATENATE(Liste!$C$3,$B$851,$B$1105),Data!$BO:$BO,0)-2,53)&lt;&gt;"","Performance Level: "&amp;INDEX(Tab_DaBa[],MATCH(CONCATENATE(Liste!$C$3,$B$851,$B$1105),Data!$BO:$BO,0)-2,60),"")),"")</f>
        <v>Performance Level: PL_Lo03_10</v>
      </c>
      <c r="E1126" s="37"/>
      <c r="F1126" s="35" t="str">
        <f ca="1">IFERROR(IF(AND(INDEX(Tab_DaBa[],MATCH(CONCATENATE(Liste!$C$3,$B$851,$B$1105),Data!$BO:$BO,0)-2,58)&lt;&gt;"",INDEX(Tab_DaBa[],MATCH(CONCATENATE(Liste!$C$3,$B$851,$B$1105),Data!$BO:$BO,0)-2,63)=""),"Performance Level: "&amp;INDEX(Tab_DaBa[],MATCH(CONCATENATE(Liste!$C$3,$B$851,$B$1105),Data!$BO:$BO,0)-2,15),IF(INDEX(Tab_DaBa[],MATCH(CONCATENATE(Liste!$C$3,$B$851,$B$1105),Data!$BO:$BO,0)-2,58)&lt;&gt;"","Performance Level: "&amp;INDEX(Tab_DaBa[],MATCH(CONCATENATE(Liste!$C$3,$B$851,$B$1105),Data!$BO:$BO,0)-2,65),"")),"")</f>
        <v>Performance Level: PL_Lo03_10</v>
      </c>
      <c r="G1126" s="39"/>
      <c r="H1126" s="35" t="str">
        <f ca="1">IFERROR(IF(INDEX(Tab_DaBa[],MATCH(CONCATENATE(Liste!$C$3,$B$851,$B$1105),Data!$BO:$BO,0)-2,63)&lt;&gt;"","Performance Level: "&amp;INDEX(Tab_DaBa[],MATCH(CONCATENATE(Liste!$C$3,$B$851,$B$1105),Data!$BO:$BO,0)-2,15),""),"")</f>
        <v>Performance Level: PL_Aus4_10</v>
      </c>
    </row>
    <row r="1127" spans="2:9" s="16" customFormat="1" ht="15.75">
      <c r="B1127" s="35" t="str">
        <f ca="1">IFERROR(IF(AND(INDEX(Tab_DaBa[],MATCH(CONCATENATE(Liste!$C$3,$B$851,$B$1105),Data!$BO:$BO,0)-2,48)&lt;&gt;"",INDEX(Tab_DaBa[],MATCH(CONCATENATE(Liste!$C$3,$B$851,$B$1105),Data!$BO:$BO,0)-2,53)=""),"PFH [1/h] = "&amp;10^9*INDEX(Tab_DaBa[],MATCH(CONCATENATE(Liste!$C$3,$B$851,$B$1105),Data!$BO:$BO,0)-2,16)&amp;"E-9",IF(INDEX(Tab_DaBa[],MATCH(CONCATENATE(Liste!$C$3,$B$851,$B$1105),Data!$BO:$BO,0)-2,48)&lt;&gt;"","PFH [1/h] = "&amp;10^9*INDEX(Tab_DaBa[],MATCH(CONCATENATE(Liste!$C$3,$B$851,$B$1105),Data!$BO:$BO,0)-2,56)&amp;"E-9","")),"")</f>
        <v>PFH [1/h] = 4,19E-9</v>
      </c>
      <c r="C1127" s="39"/>
      <c r="D1127" s="35" t="str">
        <f ca="1">IFERROR(IF(AND(INDEX(Tab_DaBa[],MATCH(CONCATENATE(Liste!$C$3,$B$851,$B$1105),Data!$BO:$BO,0)-2,53)&lt;&gt;"",INDEX(Tab_DaBa[],MATCH(CONCATENATE(Liste!$C$3,$B$851,$B$1105),Data!$BO:$BO,0)-2,58)=""),"PFH [1/h] = "&amp;10^9*INDEX(Tab_DaBa[],MATCH(CONCATENATE(Liste!$C$3,$B$851,$B$1105),Data!$BO:$BO,0)-2,16)&amp;"E-9",IF(INDEX(Tab_DaBa[],MATCH(CONCATENATE(Liste!$C$3,$B$851,$B$1105),Data!$BO:$BO,0)-2,53)&lt;&gt;"","PFH [1/h] = "&amp;10^9*INDEX(Tab_DaBa[],MATCH(CONCATENATE(Liste!$C$3,$B$851,$B$1105),Data!$BO:$BO,0)-2,61)&amp;"E-9","")),"")</f>
        <v>PFH [1/h] = 4,19E-9</v>
      </c>
      <c r="E1127" s="37"/>
      <c r="F1127" s="35" t="str">
        <f ca="1">IFERROR(IF(AND(INDEX(Tab_DaBa[],MATCH(CONCATENATE(Liste!$C$3,$B$851,$B$1105),Data!$BO:$BO,0)-2,58)&lt;&gt;"",INDEX(Tab_DaBa[],MATCH(CONCATENATE(Liste!$C$3,$B$851,$B$1105),Data!$BO:$BO,0)-2,63)=""),"PFH [1/h] = "&amp;10^9*INDEX(Tab_DaBa[],MATCH(CONCATENATE(Liste!$C$3,$B$851,$B$1105),Data!$BO:$BO,0)-2,16)&amp;"E-9",IF(INDEX(Tab_DaBa[],MATCH(CONCATENATE(Liste!$C$3,$B$851,$B$1105),Data!$BO:$BO,0)-2,58)&lt;&gt;"","PFH [1/h] = "&amp;10^9*INDEX(Tab_DaBa[],MATCH(CONCATENATE(Liste!$C$3,$B$851,$B$1105),Data!$BO:$BO,0)-2,66)&amp;"E-9","")),"")</f>
        <v>PFH [1/h] = 4,19E-9</v>
      </c>
      <c r="G1127" s="39"/>
      <c r="H1127" s="35" t="str">
        <f ca="1">IFERROR(IF(INDEX(Tab_DaBa[],MATCH(CONCATENATE(Liste!$C$3,$B$851,$B$1105),Data!$BO:$BO,0)-2,63)&lt;&gt;"","PFH [1/h] = "&amp;10^9*INDEX(Tab_DaBa[],MATCH(CONCATENATE(Liste!$C$3,$B$851,$B$1105),Data!$BO:$BO,0)-2,16)&amp;"E-9",""),"")</f>
        <v>PFH [1/h] = 24,7E-9</v>
      </c>
    </row>
    <row r="1128" spans="2:9" s="16" customFormat="1"/>
    <row r="1129" spans="2:9" s="16" customFormat="1">
      <c r="B1129" s="43" t="str">
        <f ca="1">IF(D1129="","","Erforderlich")</f>
        <v>Erforderlich</v>
      </c>
      <c r="D1129" s="44" t="str">
        <f ca="1">IFERROR("Performance Level: "&amp;INDEX(Tab_DaBa[],MATCH(CONCATENATE(Liste!$C$3,$B$851,$B$1105),Data!$BO:$BO,0)-2,4),"")</f>
        <v>Performance Level: PLr_ges4_10</v>
      </c>
    </row>
    <row r="1130" spans="2:9" s="16" customFormat="1">
      <c r="B1130" s="45"/>
    </row>
    <row r="1131" spans="2:9" s="16" customFormat="1">
      <c r="B1131" s="46" t="str">
        <f ca="1">IF(D1131="","","Erreicht")</f>
        <v>Erreicht</v>
      </c>
      <c r="D1131" s="47" t="str">
        <f ca="1">IFERROR("Performance Level: "&amp;INDEX(Tab_DaBa[],MATCH(CONCATENATE(Liste!$C$3,$B$851,$B$1105),Data!$BO:$BO,0)-2,5)&amp;"          PFH [1/h] = "&amp;10^9*INDEX(Tab_DaBa[],MATCH(CONCATENATE(Liste!$C$3,$B$851,$B$1105),Data!$BO:$BO,0)-2,6)&amp;"E-9","")</f>
        <v>Performance Level: Pl_ges4_10          PFH [1/h] = 71,7E-9</v>
      </c>
    </row>
    <row r="1132" spans="2:9" s="16" customFormat="1"/>
    <row r="1133" spans="2:9" s="16" customFormat="1">
      <c r="B1133" s="55" t="str">
        <f ca="1">Liste!$D$8</f>
        <v>5. Test4</v>
      </c>
    </row>
    <row r="1134" spans="2:9" s="16" customFormat="1"/>
    <row r="1135" spans="2:9" s="16" customFormat="1">
      <c r="B1135" s="42" t="str">
        <f ca="1">IFERROR(IF(1&gt;COUNTIF(Data!$BP:$BP,CONCATENATE(Liste!$C$3,$B$1133)),"",INDEX(Tab_DaBa[],MATCH(CONCATENATE(Liste!$C$3,$B$1133),Data!$BP:$BP,0)-2,3)),"")</f>
        <v>5.1 Test4 (E+1L+A)</v>
      </c>
    </row>
    <row r="1136" spans="2:9" s="16" customFormat="1"/>
    <row r="1137" spans="2:9" s="16" customFormat="1" ht="15.75">
      <c r="B1137" s="35" t="str">
        <f ca="1">IFERROR(INDEX(Tab_DaBa[],MATCH(CONCATENATE(Liste!$C$3,$B$1133,$B$1135),Data!$BO:$BO,0)-2,9),"")</f>
        <v>Eingang</v>
      </c>
      <c r="C1137" s="54"/>
      <c r="D1137" s="35" t="str">
        <f ca="1">IFERROR(IF(INDEX(Tab_DaBa[],MATCH(CONCATENATE(Liste!$C$3,$B$1133,$B$1135),Data!$BO:$BO,0)-2,18)=0,INDEX(Tab_DaBa[],MATCH(CONCATENATE(Liste!$C$3,$B$1133,$B$1135),Data!$BO:$BO,0)-2,14),INDEX(Tab_DaBa[],MATCH(CONCATENATE(Liste!$C$3,$B$1133,$B$1135),Data!$BO:$BO,0)-2,19)),"")</f>
        <v>Logik 01</v>
      </c>
      <c r="E1137" s="33"/>
      <c r="F1137" s="35" t="str">
        <f ca="1">IFERROR(IF(AND(INDEX(Tab_DaBa[],MATCH(CONCATENATE(Liste!$C$3,$B$1133,$B$1135),Data!$BO:$BO,0)-2,18)&lt;&gt;"",INDEX(Tab_DaBa[],MATCH(CONCATENATE(Liste!$C$3,$B$1133,$B$1135),Data!$BO:$BO,0)-2,23)=0),INDEX(Tab_DaBa[],MATCH(CONCATENATE(Liste!$C$3,$B$1133,$B$1135),Data!$BO:$BO,0)-2,14),IF(INDEX(Tab_DaBa[],MATCH(CONCATENATE(Liste!$C$3,$B$1133,$B$1135),Data!$BO:$BO,0)-2,23)&lt;&gt;"",INDEX(Tab_DaBa[],MATCH(CONCATENATE(Liste!$C$3,$B$1133,$B$1135),Data!$BO:$BO,0)-2,24),"")),"")</f>
        <v>Ausgang</v>
      </c>
      <c r="G1137" s="39"/>
      <c r="H1137" s="35" t="str">
        <f ca="1">IFERROR(IF(AND(INDEX(Tab_DaBa[],MATCH(CONCATENATE(Liste!$C$3,$B$1133,$B$1135),Data!$BO:$BO,0)-2,23)&lt;&gt;"",INDEX(Tab_DaBa[],MATCH(CONCATENATE(Liste!$C$3,$B$1133,$B$1135),Data!$BO:$BO,0)-2,28)=0),INDEX(Tab_DaBa[],MATCH(CONCATENATE(Liste!$C$3,$B$1133,$B$1135),Data!$BO:$BO,0)-2,14),IF(INDEX(Tab_DaBa[],MATCH(CONCATENATE(Liste!$C$3,$B$1133,$B$1135),Data!$BO:$BO,0)-2,23)&lt;&gt;"",INDEX(Tab_DaBa[],MATCH(CONCATENATE(Liste!$C$3,$B$1133,$B$1135),Data!$BO:$BO,0)-2,29),"")),"")</f>
        <v/>
      </c>
      <c r="I1137" s="39"/>
    </row>
    <row r="1138" spans="2:9" s="16" customFormat="1" ht="15.75">
      <c r="B1138" s="35" t="str">
        <f ca="1">IFERROR(INDEX(Tab_DaBa[],MATCH(CONCATENATE(Liste!$C$3,$B$1133,$B$1135),Data!$BO:$BO,0)-2,7),"")</f>
        <v>eeee-33_1</v>
      </c>
      <c r="C1138" s="54"/>
      <c r="D1138" s="35" t="str">
        <f ca="1">IFERROR(IF(INDEX(Tab_DaBa[],MATCH(CONCATENATE(Liste!$C$3,$B$1133,$B$1135),Data!$BO:$BO,0)-2,18)="",INDEX(Tab_DaBa[],MATCH(CONCATENATE(Liste!$C$3,$B$1133,$B$1135),Data!$BO:$BO,0)-2,12),INDEX(Tab_DaBa[],MATCH(CONCATENATE(Liste!$C$3,$B$1133,$B$1135),Data!$BO:$BO,0)-2,17)),"")</f>
        <v>Log01-04_01</v>
      </c>
      <c r="E1138" s="36"/>
      <c r="F1138" s="35" t="str">
        <f ca="1">IFERROR(IF(AND(INDEX(Tab_DaBa[],MATCH(CONCATENATE(Liste!$C$3,$B$1133,$B$1135),Data!$BO:$BO,0)-2,18)&lt;&gt;"",INDEX(Tab_DaBa[],MATCH(CONCATENATE(Liste!$C$3,$B$1133,$B$1135),Data!$BO:$BO,0)-2,23)=0),INDEX(Tab_DaBa[],MATCH(CONCATENATE(Liste!$C$3,$B$1133,$B$1135),Data!$BO:$BO,0)-2,12),IF(INDEX(Tab_DaBa[],MATCH(CONCATENATE(Liste!$C$3,$B$1133,$B$1135),Data!$BO:$BO,0)-2,23)&lt;&gt;"",INDEX(Tab_DaBa[],MATCH(CONCATENATE(Liste!$C$3,$B$1133,$B$1135),Data!$BO:$BO,0)-2,22),"")),"")</f>
        <v>aaaa-44_1</v>
      </c>
      <c r="G1138" s="39"/>
      <c r="H1138" s="35" t="str">
        <f ca="1">IFERROR(IF(AND(INDEX(Tab_DaBa[],MATCH(CONCATENATE(Liste!$C$3,$B$1133,$B$1135),Data!$BO:$BO,0)-2,23)&lt;&gt;"",INDEX(Tab_DaBa[],MATCH(CONCATENATE(Liste!$C$3,$B$1133,$B$1135),Data!$BO:$BO,0)-2,28)=0),INDEX(Tab_DaBa[],MATCH(CONCATENATE(Liste!$C$3,$B$1133,$B$1135),Data!$BO:$BO,0)-2,12),IF(INDEX(Tab_DaBa[],MATCH(CONCATENATE(Liste!$C$3,$B$1133,$B$1135),Data!$BO:$BO,0)-2,23)&lt;&gt;"",INDEX(Tab_DaBa[],MATCH(CONCATENATE(Liste!$C$3,$B$1133,$B$1135),Data!$BO:$BO,0)-2,27),"")),"")</f>
        <v/>
      </c>
      <c r="I1138" s="39"/>
    </row>
    <row r="1139" spans="2:9" s="16" customFormat="1" ht="15.75">
      <c r="B1139" s="35" t="str">
        <f ca="1">IFERROR(INDEX(Tab_DaBa[],MATCH(CONCATENATE(Liste!$C$3,$B$1133,$B$1135),Data!$BO:$BO,0)-2,8),"")</f>
        <v>Bez_Ein4_1</v>
      </c>
      <c r="C1139" s="40">
        <f ca="1">IF(D1137="","",4)</f>
        <v>4</v>
      </c>
      <c r="D1139" s="35" t="str">
        <f ca="1">IFERROR(IF(INDEX(Tab_DaBa[],MATCH(CONCATENATE(Liste!$C$3,$B$1133,$B$1135),Data!$BO:$BO,0)-2,18)="",INDEX(Tab_DaBa[],MATCH(CONCATENATE(Liste!$C$3,$B$1133,$B$1135),Data!$BO:$BO,0)-2,13),INDEX(Tab_DaBa[],MATCH(CONCATENATE(Liste!$C$3,$B$1133,$B$1135),Data!$BO:$BO,0)-2,18)),"")</f>
        <v>Bez_Log01_04_01</v>
      </c>
      <c r="E1139" s="40">
        <f ca="1">IF(F1137="","",4)</f>
        <v>4</v>
      </c>
      <c r="F1139" s="35" t="str">
        <f ca="1">IFERROR(IF(AND(INDEX(Tab_DaBa[],MATCH(CONCATENATE(Liste!$C$3,$B$1133,$B$1135),Data!$BO:$BO,0)-2,18)&lt;&gt;"",INDEX(Tab_DaBa[],MATCH(CONCATENATE(Liste!$C$3,$B$1133,$B$1135),Data!$BO:$BO,0)-2,23)=""),INDEX(Tab_DaBa[],MATCH(CONCATENATE(Liste!$C$3,$B$1133,$B$1135),Data!$BO:$BO,0)-2,13),IF(INDEX(Tab_DaBa[],MATCH(CONCATENATE(Liste!$C$3,$B$1133,$B$1135),Data!$BO:$BO,0)-2,23)&lt;&gt;"",INDEX(Tab_DaBa[],MATCH(CONCATENATE(Liste!$C$3,$B$1133,$B$1135),Data!$BO:$BO,0)-2,23),"")),"")</f>
        <v>Bez_Aus4_1</v>
      </c>
      <c r="G1139" s="38" t="str">
        <f ca="1">IF(H1137="","",4)</f>
        <v/>
      </c>
      <c r="H1139" s="35" t="str">
        <f ca="1">IFERROR(IF(AND(INDEX(Tab_DaBa[],MATCH(CONCATENATE(Liste!$C$3,$B$1133,$B$1135),Data!$BO:$BO,0)-2,23)&lt;&gt;"",INDEX(Tab_DaBa[],MATCH(CONCATENATE(Liste!$C$3,$B$1133,$B$1135),Data!$BO:$BO,0)-2,28)=""),INDEX(Tab_DaBa[],MATCH(CONCATENATE(Liste!$C$3,$B$1133,$B$1135),Data!$BO:$BO,0)-2,13),IF(INDEX(Tab_DaBa[],MATCH(CONCATENATE(Liste!$C$3,$B$1133,$B$1135),Data!$BO:$BO,0)-2,23)&lt;&gt;"",INDEX(Tab_DaBa[],MATCH(CONCATENATE(Liste!$C$3,$B$1133,$B$1135),Data!$BO:$BO,0)-2,28),"")),"")</f>
        <v/>
      </c>
      <c r="I1139" s="38" t="str">
        <f ca="1">IF(B1145="","",6)</f>
        <v/>
      </c>
    </row>
    <row r="1140" spans="2:9" s="16" customFormat="1" ht="15.75">
      <c r="B1140" s="35" t="str">
        <f ca="1">IFERROR("Performance Level: "&amp;INDEX(Tab_DaBa[],MATCH(CONCATENATE(Liste!$C$3,$B$1133,$B$1135),Data!$BO:$BO,0)-2,10),"")</f>
        <v>Performance Level: PL_Ein4_1</v>
      </c>
      <c r="C1140" s="54"/>
      <c r="D1140" s="35" t="str">
        <f ca="1">IFERROR(IF(INDEX(Tab_DaBa[],MATCH(CONCATENATE(Liste!$C$3,$B$1133,$B$1135),Data!$BO:$BO,0)-2,18)="","Performance Level: "&amp;INDEX(Tab_DaBa[],MATCH(CONCATENATE(Liste!$C$3,$B$1133,$B$1135),Data!$BO:$BO,0)-2,15),"Performance Level: "&amp;INDEX(Tab_DaBa[],MATCH(CONCATENATE(Liste!$C$3,$B$1133,$B$1135),Data!$BO:$BO,0)-2,20)),"")</f>
        <v>Performance Level: PL_Log01_04_01</v>
      </c>
      <c r="E1140" s="36"/>
      <c r="F1140" s="35" t="str">
        <f ca="1">IFERROR(IF(AND(INDEX(Tab_DaBa[],MATCH(CONCATENATE(Liste!$C$3,$B$1133,$B$1135),Data!$BO:$BO,0)-2,18)&lt;&gt;"",INDEX(Tab_DaBa[],MATCH(CONCATENATE(Liste!$C$3,$B$1133,$B$1135),Data!$BO:$BO,0)-2,23)=""),"Performance Level: "&amp;INDEX(Tab_DaBa[],MATCH(CONCATENATE(Liste!$C$3,$B$1133,$B$1135),Data!$BO:$BO,0)-2,15),IF(INDEX(Tab_DaBa[],MATCH(CONCATENATE(Liste!$C$3,$B$1133,$B$1135),Data!$BO:$BO,0)-2,23)&lt;&gt;"","Performance Level: "&amp;INDEX(Tab_DaBa[],MATCH(CONCATENATE(Liste!$C$3,$B$1133,$B$1135),Data!$BO:$BO,0)-2,25),"")),"")</f>
        <v>Performance Level: PL_Aus4_1</v>
      </c>
      <c r="G1140" s="39"/>
      <c r="H1140" s="35" t="str">
        <f ca="1">IFERROR(IF(AND(INDEX(Tab_DaBa[],MATCH(CONCATENATE(Liste!$C$3,$B$1133,$B$1135),Data!$BO:$BO,0)-2,23)&lt;&gt;"",INDEX(Tab_DaBa[],MATCH(CONCATENATE(Liste!$C$3,$B$1133,$B$1135),Data!$BO:$BO,0)-2,28)=""),"Performance Level: "&amp;INDEX(Tab_DaBa[],MATCH(CONCATENATE(Liste!$C$3,$B$1133,$B$1135),Data!$BO:$BO,0)-2,15),IF(INDEX(Tab_DaBa[],MATCH(CONCATENATE(Liste!$C$3,$B$1133,$B$1135),Data!$BO:$BO,0)-2,23)&lt;&gt;"","Performance Level: "&amp;INDEX(Tab_DaBa[],MATCH(CONCATENATE(Liste!$C$3,$B$1133,$B$1135),Data!$BO:$BO,0)-2,30),"")),"")</f>
        <v/>
      </c>
      <c r="I1140" s="38"/>
    </row>
    <row r="1141" spans="2:9" s="16" customFormat="1" ht="15.75">
      <c r="B1141" s="53" t="str">
        <f ca="1">IFERROR("PFH [1/h] = "&amp;10^9*INDEX(Tab_DaBa[],MATCH(CONCATENATE(Liste!$C$3,$B$1133,$B$1135),Data!$BO:$BO,0)-2,11)&amp;"E-9","")</f>
        <v>PFH [1/h] = 42,9E-9</v>
      </c>
      <c r="C1141" s="54"/>
      <c r="D1141" s="35" t="str">
        <f ca="1">IFERROR(IF(INDEX(Tab_DaBa[],MATCH(CONCATENATE(Liste!$C$3,$B$1133,$B$1135),Data!$BO:$BO,0)-2,18)="","PFH [1/h] = "&amp;10^9*INDEX(Tab_DaBa[],MATCH(CONCATENATE(Liste!$C$3,$B$1133,$B$1135),Data!$BO:$BO,0)-2,16)&amp;"E-9","PFH [1/h] = "&amp;10^9*INDEX(Tab_DaBa[],MATCH(CONCATENATE(Liste!$C$3,$B$1133,$B$1135),Data!$BO:$BO,0)-2,21)&amp;"E-9"),"")</f>
        <v>PFH [1/h] = 4,19E-9</v>
      </c>
      <c r="E1141" s="36"/>
      <c r="F1141" s="35" t="str">
        <f ca="1">IFERROR(IF(AND(INDEX(Tab_DaBa[],MATCH(CONCATENATE(Liste!$C$3,$B$1133,$B$1135),Data!$BO:$BO,0)-2,18)&lt;&gt;"",INDEX(Tab_DaBa[],MATCH(CONCATENATE(Liste!$C$3,$B$1133,$B$1135),Data!$BO:$BO,0)-2,23)=""),"PFH [1/h] = "&amp;10^9*INDEX(Tab_DaBa[],MATCH(CONCATENATE(Liste!$C$3,$B$1133,$B$1135),Data!$BO:$BO,0)-2,16)&amp;"E-9",IF(INDEX(Tab_DaBa[],MATCH(CONCATENATE(Liste!$C$3,$B$1133,$B$1135),Data!$BO:$BO,0)-2,23)&lt;&gt;"","PFH [1/h] = "&amp;10^9*INDEX(Tab_DaBa[],MATCH(CONCATENATE(Liste!$C$3,$B$1133,$B$1135),Data!$BO:$BO,0)-2,26)&amp;"E-9","")),"")</f>
        <v>PFH [1/h] = 24,7E-9</v>
      </c>
      <c r="G1141" s="39"/>
      <c r="H1141" s="35" t="str">
        <f ca="1">IFERROR(IF(AND(INDEX(Tab_DaBa[],MATCH(CONCATENATE(Liste!$C$3,$B$1133,$B$1135),Data!$BO:$BO,0)-2,23)&lt;&gt;"",INDEX(Tab_DaBa[],MATCH(CONCATENATE(Liste!$C$3,$B$1133,$B$1135),Data!$BO:$BO,0)-2,28)=""),"PFH [1/h] = "&amp;10^9*INDEX(Tab_DaBa[],MATCH(CONCATENATE(Liste!$C$3,$B$1133,$B$1135),Data!$BO:$BO,0)-2,16)&amp;"E-9",IF(INDEX(Tab_DaBa[],MATCH(CONCATENATE(Liste!$C$3,$B$1133,$B$1135),Data!$BO:$BO,0)-2,23)&lt;&gt;"","PFH [1/h] = "&amp;10^9*INDEX(Tab_DaBa[],MATCH(CONCATENATE(Liste!$C$3,$B$1133,$B$1135),Data!$BO:$BO,0)-2,31)&amp;"E-9","")),"")</f>
        <v/>
      </c>
      <c r="I1141" s="39"/>
    </row>
    <row r="1142" spans="2:9" s="16" customFormat="1">
      <c r="B1142" s="33"/>
      <c r="C1142" s="34"/>
      <c r="D1142" s="33"/>
      <c r="E1142" s="33"/>
      <c r="F1142" s="33"/>
      <c r="G1142" s="33"/>
      <c r="H1142" s="33"/>
      <c r="I1142" s="33"/>
    </row>
    <row r="1143" spans="2:9" s="16" customFormat="1" ht="15.75">
      <c r="B1143" s="38" t="str">
        <f ca="1">IF(B1145="","",6)</f>
        <v/>
      </c>
      <c r="C1143" s="34"/>
      <c r="D1143" s="38" t="str">
        <f ca="1">IF(B1145="","",3)</f>
        <v/>
      </c>
      <c r="E1143" s="33"/>
      <c r="F1143" s="38" t="str">
        <f ca="1">IF(B1145="","",3)</f>
        <v/>
      </c>
      <c r="G1143" s="33"/>
      <c r="H1143" s="38" t="str">
        <f ca="1">IF(B1145="","",3)</f>
        <v/>
      </c>
      <c r="I1143" s="33"/>
    </row>
    <row r="1144" spans="2:9" s="16" customFormat="1" ht="15.75">
      <c r="B1144" s="39"/>
      <c r="C1144" s="33"/>
      <c r="D1144" s="33"/>
      <c r="E1144" s="33"/>
      <c r="F1144" s="33"/>
      <c r="G1144" s="33"/>
      <c r="H1144" s="33"/>
      <c r="I1144" s="33"/>
    </row>
    <row r="1145" spans="2:9" s="16" customFormat="1" ht="15.75">
      <c r="B1145" s="35" t="str">
        <f ca="1">IFERROR(IF(AND(INDEX(Tab_DaBa[],MATCH(CONCATENATE(Liste!$C$3,$B$1133,$B$1135),Data!$BO:$BO,0)-2,28)&lt;&gt;"",INDEX(Tab_DaBa[],MATCH(CONCATENATE(Liste!$C$3,$B$1133,$B$1135),Data!$BO:$BO,0)-2,33)=0),INDEX(Tab_DaBa[],MATCH(CONCATENATE(Liste!$C$3,$B$1133,$B$1135),Data!$BO:$BO,0)-2,14),IF(INDEX(Tab_DaBa[],MATCH(CONCATENATE(Liste!$C$3,$B$1133,$B$1135),Data!$BO:$BO,0)-2,28)&lt;&gt;"",INDEX(Tab_DaBa[],MATCH(CONCATENATE(Liste!$C$3,$B$1133,$B$1135),Data!$BO:$BO,0)-2,34),"")),"")</f>
        <v/>
      </c>
      <c r="C1145" s="39"/>
      <c r="D1145" s="35" t="str">
        <f ca="1">IFERROR(IF(AND(INDEX(Tab_DaBa[],MATCH(CONCATENATE(Liste!$C$3,$B$1133,$B$1135),Data!$BO:$BO,0)-2,33)&lt;&gt;"",INDEX(Tab_DaBa[],MATCH(CONCATENATE(Liste!$C$3,$B$1133,$B$1135),Data!$BO:$BO,0)-2,38)=0),INDEX(Tab_DaBa[],MATCH(CONCATENATE(Liste!$C$3,$B$1133,$B$1135),Data!$BO:$BO,0)-2,14),IF(INDEX(Tab_DaBa[],MATCH(CONCATENATE(Liste!$C$3,$B$1133,$B$1135),Data!$BO:$BO,0)-2,33)&lt;&gt;"",INDEX(Tab_DaBa[],MATCH(CONCATENATE(Liste!$C$3,$B$1133,$B$1135),Data!$BO:$BO,0)-2,39),"")),"")</f>
        <v/>
      </c>
      <c r="E1145" s="33"/>
      <c r="F1145" s="35" t="str">
        <f ca="1">IFERROR(IF(AND(INDEX(Tab_DaBa[],MATCH(CONCATENATE(Liste!$C$3,$B$1133,$B$1135),Data!$BO:$BO,0)-2,38)&lt;&gt;"",INDEX(Tab_DaBa[],MATCH(CONCATENATE(Liste!$C$3,$B$1133,$B$1135),Data!$BO:$BO,0)-2,43)=0),INDEX(Tab_DaBa[],MATCH(CONCATENATE(Liste!$C$3,$B$1133,$B$1135),Data!$BO:$BO,0)-2,14),IF(INDEX(Tab_DaBa[],MATCH(CONCATENATE(Liste!$C$3,$B$1133,$B$1135),Data!$BO:$BO,0)-2,38)&lt;&gt;"",INDEX(Tab_DaBa[],MATCH(CONCATENATE(Liste!$C$3,$B$1133,$B$1135),Data!$BO:$BO,0)-2,44),"")),"")</f>
        <v/>
      </c>
      <c r="G1145" s="39"/>
      <c r="H1145" s="35" t="str">
        <f ca="1">IFERROR(IF(AND(INDEX(Tab_DaBa[],MATCH(CONCATENATE(Liste!$C$3,$B$1133,$B$1135),Data!$BO:$BO,0)-2,43)&lt;&gt;"",INDEX(Tab_DaBa[],MATCH(CONCATENATE(Liste!$C$3,$B$1133,$B$1135),Data!$BO:$BO,0)-2,48)=0),INDEX(Tab_DaBa[],MATCH(CONCATENATE(Liste!$C$3,$B$1133,$B$1135),Data!$BO:$BO,0)-2,14),IF(INDEX(Tab_DaBa[],MATCH(CONCATENATE(Liste!$C$3,$B$1133,$B$1135),Data!$BO:$BO,0)-2,43)&lt;&gt;"",INDEX(Tab_DaBa[],MATCH(CONCATENATE(Liste!$C$3,$B$1133,$B$1135),Data!$BO:$BO,0)-2,49),"")),"")</f>
        <v/>
      </c>
      <c r="I1145" s="39"/>
    </row>
    <row r="1146" spans="2:9" s="16" customFormat="1" ht="15.75">
      <c r="B1146" s="35" t="str">
        <f ca="1">IFERROR(IF(AND(INDEX(Tab_DaBa[],MATCH(CONCATENATE(Liste!$C$3,$B$1133,$B$1135),Data!$BO:$BO,0)-2,28)&lt;&gt;"",INDEX(Tab_DaBa[],MATCH(CONCATENATE(Liste!$C$3,$B$1133,$B$1135),Data!$BO:$BO,0)-2,33)=0),INDEX(Tab_DaBa[],MATCH(CONCATENATE(Liste!$C$3,$B$1133,$B$1135),Data!$BO:$BO,0)-2,12),IF(INDEX(Tab_DaBa[],MATCH(CONCATENATE(Liste!$C$3,$B$1133,$B$1135),Data!$BO:$BO,0)-2,28)&lt;&gt;"",INDEX(Tab_DaBa[],MATCH(CONCATENATE(Liste!$C$3,$B$1133,$B$1135),Data!$BO:$BO,0)-2,32),"")),"")</f>
        <v/>
      </c>
      <c r="C1146" s="39"/>
      <c r="D1146" s="35" t="str">
        <f ca="1">IFERROR(IF(AND(INDEX(Tab_DaBa[],MATCH(CONCATENATE(Liste!$C$3,$B$1133,$B$1135),Data!$BO:$BO,0)-2,33)&lt;&gt;"",INDEX(Tab_DaBa[],MATCH(CONCATENATE(Liste!$C$3,$B$1133,$B$1135),Data!$BO:$BO,0)-2,38)=0),INDEX(Tab_DaBa[],MATCH(CONCATENATE(Liste!$C$3,$B$1133,$B$1135),Data!$BO:$BO,0)-2,12),IF(INDEX(Tab_DaBa[],MATCH(CONCATENATE(Liste!$C$3,$B$1133,$B$1135),Data!$BO:$BO,0)-2,33)&lt;&gt;"",INDEX(Tab_DaBa[],MATCH(CONCATENATE(Liste!$C$3,$B$1133,$B$1135),Data!$BO:$BO,0)-2,37),"")),"")</f>
        <v/>
      </c>
      <c r="E1146" s="37"/>
      <c r="F1146" s="35" t="str">
        <f ca="1">IFERROR(IF(AND(INDEX(Tab_DaBa[],MATCH(CONCATENATE(Liste!$C$3,$B$1133,$B$1135),Data!$BO:$BO,0)-2,38)&lt;&gt;"",INDEX(Tab_DaBa[],MATCH(CONCATENATE(Liste!$C$3,$B$1133,$B$1135),Data!$BO:$BO,0)-2,43)=0),INDEX(Tab_DaBa[],MATCH(CONCATENATE(Liste!$C$3,$B$1133,$B$1135),Data!$BO:$BO,0)-2,12),IF(INDEX(Tab_DaBa[],MATCH(CONCATENATE(Liste!$C$3,$B$1133,$B$1135),Data!$BO:$BO,0)-2,38)&lt;&gt;"",INDEX(Tab_DaBa[],MATCH(CONCATENATE(Liste!$C$3,$B$1133,$B$1135),Data!$BO:$BO,0)-2,42),"")),"")</f>
        <v/>
      </c>
      <c r="G1146" s="39"/>
      <c r="H1146" s="35" t="str">
        <f ca="1">IFERROR(IF(AND(INDEX(Tab_DaBa[],MATCH(CONCATENATE(Liste!$C$3,$B$1133,$B$1135),Data!$BO:$BO,0)-2,43)&lt;&gt;"",INDEX(Tab_DaBa[],MATCH(CONCATENATE(Liste!$C$3,$B$1133,$B$1135),Data!$BO:$BO,0)-2,48)=0),INDEX(Tab_DaBa[],MATCH(CONCATENATE(Liste!$C$3,$B$1133,$B$1135),Data!$BO:$BO,0)-2,12),IF(INDEX(Tab_DaBa[],MATCH(CONCATENATE(Liste!$C$3,$B$1133,$B$1135),Data!$BO:$BO,0)-2,43)&lt;&gt;"",INDEX(Tab_DaBa[],MATCH(CONCATENATE(Liste!$C$3,$B$1133,$B$1135),Data!$BO:$BO,0)-2,47),"")),"")</f>
        <v/>
      </c>
      <c r="I1146" s="39"/>
    </row>
    <row r="1147" spans="2:9" s="16" customFormat="1" ht="15.75">
      <c r="B1147" s="35" t="str">
        <f ca="1">IFERROR(IF(AND(INDEX(Tab_DaBa[],MATCH(CONCATENATE(Liste!$C$3,$B$1133,$B$1135),Data!$BO:$BO,0)-2,28)&lt;&gt;"",INDEX(Tab_DaBa[],MATCH(CONCATENATE(Liste!$C$3,$B$1133,$B$1135),Data!$BO:$BO,0)-2,33)=""),INDEX(Tab_DaBa[],MATCH(CONCATENATE(Liste!$C$3,$B$1133,$B$1135),Data!$BO:$BO,0)-2,13),IF(INDEX(Tab_DaBa[],MATCH(CONCATENATE(Liste!$C$3,$B$1133,$B$1135),Data!$BO:$BO,0)-2,28)&lt;&gt;"",INDEX(Tab_DaBa[],MATCH(CONCATENATE(Liste!$C$3,$B$1133,$B$1135),Data!$BO:$BO,0)-2,33),"")),"")</f>
        <v/>
      </c>
      <c r="C1147" s="38" t="str">
        <f ca="1">IF(D1145="","",4)</f>
        <v/>
      </c>
      <c r="D1147" s="35" t="str">
        <f ca="1">IFERROR(IF(AND(INDEX(Tab_DaBa[],MATCH(CONCATENATE(Liste!$C$3,$B$1133,$B$1135),Data!$BO:$BO,0)-2,33)&lt;&gt;"",INDEX(Tab_DaBa[],MATCH(CONCATENATE(Liste!$C$3,$B$1133,$B$1135),Data!$BO:$BO,0)-2,38)=""),INDEX(Tab_DaBa[],MATCH(CONCATENATE(Liste!$C$3,$B$1133,$B$1135),Data!$BO:$BO,0)-2,13),IF(INDEX(Tab_DaBa[],MATCH(CONCATENATE(Liste!$C$3,$B$1133,$B$1135),Data!$BO:$BO,0)-2,33)&lt;&gt;"",INDEX(Tab_DaBa[],MATCH(CONCATENATE(Liste!$C$3,$B$1133,$B$1135),Data!$BO:$BO,0)-2,38),"")),"")</f>
        <v/>
      </c>
      <c r="E1147" s="38" t="str">
        <f ca="1">IF(F1145="","",4)</f>
        <v/>
      </c>
      <c r="F1147" s="35" t="str">
        <f ca="1">IFERROR(IF(AND(INDEX(Tab_DaBa[],MATCH(CONCATENATE(Liste!$C$3,$B$1133,$B$1135),Data!$BO:$BO,0)-2,38)&lt;&gt;"",INDEX(Tab_DaBa[],MATCH(CONCATENATE(Liste!$C$3,$B$1133,$B$1135),Data!$BO:$BO,0)-2,43)=""),INDEX(Tab_DaBa[],MATCH(CONCATENATE(Liste!$C$3,$B$1133,$B$1135),Data!$BO:$BO,0)-2,13),IF(INDEX(Tab_DaBa[],MATCH(CONCATENATE(Liste!$C$3,$B$1133,$B$1135),Data!$BO:$BO,0)-2,38)&lt;&gt;"",INDEX(Tab_DaBa[],MATCH(CONCATENATE(Liste!$C$3,$B$1133,$B$1135),Data!$BO:$BO,0)-2,43),"")),"")</f>
        <v/>
      </c>
      <c r="G1147" s="38" t="str">
        <f ca="1">IF(H1145="","",4)</f>
        <v/>
      </c>
      <c r="H1147" s="35" t="str">
        <f ca="1">IFERROR(IF(AND(INDEX(Tab_DaBa[],MATCH(CONCATENATE(Liste!$C$3,$B$1133,$B$1135),Data!$BO:$BO,0)-2,43)&lt;&gt;"",INDEX(Tab_DaBa[],MATCH(CONCATENATE(Liste!$C$3,$B$1133,$B$1135),Data!$BO:$BO,0)-2,48)=""),INDEX(Tab_DaBa[],MATCH(CONCATENATE(Liste!$C$3,$B$1133,$B$1135),Data!$BO:$BO,0)-2,13),IF(INDEX(Tab_DaBa[],MATCH(CONCATENATE(Liste!$C$3,$B$1133,$B$1135),Data!$BO:$BO,0)-2,43)&lt;&gt;"",INDEX(Tab_DaBa[],MATCH(CONCATENATE(Liste!$C$3,$B$1133,$B$1135),Data!$BO:$BO,0)-2,48),"")),"")</f>
        <v/>
      </c>
      <c r="I1147" s="38" t="str">
        <f ca="1">IF(B1153="","",6)</f>
        <v/>
      </c>
    </row>
    <row r="1148" spans="2:9" s="16" customFormat="1" ht="15.75">
      <c r="B1148" s="35" t="str">
        <f ca="1">IFERROR(IF(AND(INDEX(Tab_DaBa[],MATCH(CONCATENATE(Liste!$C$3,$B$1133,$B$1135),Data!$BO:$BO,0)-2,28)&lt;&gt;"",INDEX(Tab_DaBa[],MATCH(CONCATENATE(Liste!$C$3,$B$1133,$B$1135),Data!$BO:$BO,0)-2,33)=""),"Performance Level: "&amp;INDEX(Tab_DaBa[],MATCH(CONCATENATE(Liste!$C$3,$B$1133,$B$1135),Data!$BO:$BO,0)-2,15),IF(INDEX(Tab_DaBa[],MATCH(CONCATENATE(Liste!$C$3,$B$1133,$B$1135),Data!$BO:$BO,0)-2,28)&lt;&gt;"","Performance Level: "&amp;INDEX(Tab_DaBa[],MATCH(CONCATENATE(Liste!$C$3,$B$1133,$B$1135),Data!$BO:$BO,0)-2,35),"")),"")</f>
        <v/>
      </c>
      <c r="C1148" s="39"/>
      <c r="D1148" s="35" t="str">
        <f ca="1">IFERROR(IF(AND(INDEX(Tab_DaBa[],MATCH(CONCATENATE(Liste!$C$3,$B$1133,$B$1135),Data!$BO:$BO,0)-2,33)&lt;&gt;"",INDEX(Tab_DaBa[],MATCH(CONCATENATE(Liste!$C$3,$B$1133,$B$1135),Data!$BO:$BO,0)-2,38)=""),"Performance Level: "&amp;INDEX(Tab_DaBa[],MATCH(CONCATENATE(Liste!$C$3,$B$1133,$B$1135),Data!$BO:$BO,0)-2,15),IF(INDEX(Tab_DaBa[],MATCH(CONCATENATE(Liste!$C$3,$B$1133,$B$1135),Data!$BO:$BO,0)-2,33)&lt;&gt;"","Performance Level: "&amp;INDEX(Tab_DaBa[],MATCH(CONCATENATE(Liste!$C$3,$B$1133,$B$1135),Data!$BO:$BO,0)-2,40),"")),"")</f>
        <v/>
      </c>
      <c r="E1148" s="37"/>
      <c r="F1148" s="35" t="str">
        <f ca="1">IFERROR(IF(AND(INDEX(Tab_DaBa[],MATCH(CONCATENATE(Liste!$C$3,$B$1133,$B$1135),Data!$BO:$BO,0)-2,38)&lt;&gt;"",INDEX(Tab_DaBa[],MATCH(CONCATENATE(Liste!$C$3,$B$1133,$B$1135),Data!$BO:$BO,0)-2,43)=""),"Performance Level: "&amp;INDEX(Tab_DaBa[],MATCH(CONCATENATE(Liste!$C$3,$B$1133,$B$1135),Data!$BO:$BO,0)-2,15),IF(INDEX(Tab_DaBa[],MATCH(CONCATENATE(Liste!$C$3,$B$1133,$B$1135),Data!$BO:$BO,0)-2,38)&lt;&gt;"","Performance Level: "&amp;INDEX(Tab_DaBa[],MATCH(CONCATENATE(Liste!$C$3,$B$1133,$B$1135),Data!$BO:$BO,0)-2,45),"")),"")</f>
        <v/>
      </c>
      <c r="G1148" s="39"/>
      <c r="H1148" s="35" t="str">
        <f ca="1">IFERROR(IF(AND(INDEX(Tab_DaBa[],MATCH(CONCATENATE(Liste!$C$3,$B$1133,$B$1135),Data!$BO:$BO,0)-2,43)&lt;&gt;"",INDEX(Tab_DaBa[],MATCH(CONCATENATE(Liste!$C$3,$B$1133,$B$1135),Data!$BO:$BO,0)-2,48)=""),"Performance Level: "&amp;INDEX(Tab_DaBa[],MATCH(CONCATENATE(Liste!$C$3,$B$1133,$B$1135),Data!$BO:$BO,0)-2,15),IF(INDEX(Tab_DaBa[],MATCH(CONCATENATE(Liste!$C$3,$B$1133,$B$1135),Data!$BO:$BO,0)-2,43)&lt;&gt;"","Performance Level: "&amp;INDEX(Tab_DaBa[],MATCH(CONCATENATE(Liste!$C$3,$B$1133,$B$1135),Data!$BO:$BO,0)-2,50),"")),"")</f>
        <v/>
      </c>
      <c r="I1148" s="39"/>
    </row>
    <row r="1149" spans="2:9" s="16" customFormat="1" ht="15.75">
      <c r="B1149" s="35" t="str">
        <f ca="1">IFERROR(IF(AND(INDEX(Tab_DaBa[],MATCH(CONCATENATE(Liste!$C$3,$B$1133,$B$1135),Data!$BO:$BO,0)-2,28)&lt;&gt;"",INDEX(Tab_DaBa[],MATCH(CONCATENATE(Liste!$C$3,$B$1133,$B$1135),Data!$BO:$BO,0)-2,33)=""),"PFH [1/h] = "&amp;10^9*INDEX(Tab_DaBa[],MATCH(CONCATENATE(Liste!$C$3,$B$1133,$B$1135),Data!$BO:$BO,0)-2,16)&amp;"E-9",IF(INDEX(Tab_DaBa[],MATCH(CONCATENATE(Liste!$C$3,$B$1133,$B$1135),Data!$BO:$BO,0)-2,28)&lt;&gt;"","PFH [1/h] = "&amp;10^9*INDEX(Tab_DaBa[],MATCH(CONCATENATE(Liste!$C$3,$B$1133,$B$1135),Data!$BO:$BO,0)-2,36)&amp;"E-9","")),"")</f>
        <v/>
      </c>
      <c r="C1149" s="39"/>
      <c r="D1149" s="35" t="str">
        <f ca="1">IFERROR(IF(AND(INDEX(Tab_DaBa[],MATCH(CONCATENATE(Liste!$C$3,$B$1133,$B$1135),Data!$BO:$BO,0)-2,33)&lt;&gt;"",INDEX(Tab_DaBa[],MATCH(CONCATENATE(Liste!$C$3,$B$1133,$B$1135),Data!$BO:$BO,0)-2,38)=""),"PFH [1/h] = "&amp;10^9*INDEX(Tab_DaBa[],MATCH(CONCATENATE(Liste!$C$3,$B$1133,$B$1135),Data!$BO:$BO,0)-2,16)&amp;"E-9",IF(INDEX(Tab_DaBa[],MATCH(CONCATENATE(Liste!$C$3,$B$1133,$B$1135),Data!$BO:$BO,0)-2,33)&lt;&gt;"","PFH [1/h] = "&amp;10^9*INDEX(Tab_DaBa[],MATCH(CONCATENATE(Liste!$C$3,$B$1133,$B$1135),Data!$BO:$BO,0)-2,41)&amp;"E-9","")),"")</f>
        <v/>
      </c>
      <c r="E1149" s="37"/>
      <c r="F1149" s="35" t="str">
        <f ca="1">IFERROR(IF(AND(INDEX(Tab_DaBa[],MATCH(CONCATENATE(Liste!$C$3,$B$1133,$B$1135),Data!$BO:$BO,0)-2,38)&lt;&gt;"",INDEX(Tab_DaBa[],MATCH(CONCATENATE(Liste!$C$3,$B$1133,$B$1135),Data!$BO:$BO,0)-2,43)=""),"PFH [1/h] = "&amp;10^9*INDEX(Tab_DaBa[],MATCH(CONCATENATE(Liste!$C$3,$B$1133,$B$1135),Data!$BO:$BO,0)-2,16)&amp;"E-9",IF(INDEX(Tab_DaBa[],MATCH(CONCATENATE(Liste!$C$3,$B$1133,$B$1135),Data!$BO:$BO,0)-2,38)&lt;&gt;"","PFH [1/h] = "&amp;10^9*INDEX(Tab_DaBa[],MATCH(CONCATENATE(Liste!$C$3,$B$1133,$B$1135),Data!$BO:$BO,0)-2,46)&amp;"E-9","")),"")</f>
        <v/>
      </c>
      <c r="G1149" s="39"/>
      <c r="H1149" s="35" t="str">
        <f ca="1">IFERROR(IF(AND(INDEX(Tab_DaBa[],MATCH(CONCATENATE(Liste!$C$3,$B$1133,$B$1135),Data!$BO:$BO,0)-2,43)&lt;&gt;"",INDEX(Tab_DaBa[],MATCH(CONCATENATE(Liste!$C$3,$B$1133,$B$1135),Data!$BO:$BO,0)-2,48)=""),"PFH [1/h] = "&amp;10^9*INDEX(Tab_DaBa[],MATCH(CONCATENATE(Liste!$C$3,$B$1133,$B$1135),Data!$BO:$BO,0)-2,16)&amp;"E-9",IF(INDEX(Tab_DaBa[],MATCH(CONCATENATE(Liste!$C$3,$B$1133,$B$1135),Data!$BO:$BO,0)-2,43)&lt;&gt;"","PFH [1/h] = "&amp;10^9*INDEX(Tab_DaBa[],MATCH(CONCATENATE(Liste!$C$3,$B$1133,$B$1135),Data!$BO:$BO,0)-2,51)&amp;"E-9","")),"")</f>
        <v/>
      </c>
      <c r="I1149" s="39"/>
    </row>
    <row r="1150" spans="2:9" s="16" customFormat="1">
      <c r="B1150" s="33"/>
      <c r="C1150" s="33"/>
      <c r="D1150" s="33"/>
      <c r="E1150" s="33"/>
      <c r="F1150" s="33"/>
      <c r="G1150" s="33"/>
      <c r="H1150" s="33"/>
      <c r="I1150" s="33"/>
    </row>
    <row r="1151" spans="2:9" s="16" customFormat="1" ht="15.75">
      <c r="B1151" s="38" t="str">
        <f ca="1">IF(B1153="","",6)</f>
        <v/>
      </c>
      <c r="C1151" s="33"/>
      <c r="D1151" s="38" t="str">
        <f ca="1">IF(B1153="","",3)</f>
        <v/>
      </c>
      <c r="E1151" s="33"/>
      <c r="F1151" s="38" t="str">
        <f ca="1">IF(B1153="","",3)</f>
        <v/>
      </c>
      <c r="G1151" s="33"/>
      <c r="H1151" s="38" t="str">
        <f ca="1">IF(B1153="","",3)</f>
        <v/>
      </c>
      <c r="I1151" s="33"/>
    </row>
    <row r="1152" spans="2:9" s="16" customFormat="1" ht="15.75">
      <c r="B1152" s="39"/>
      <c r="C1152" s="33"/>
      <c r="D1152" s="33"/>
      <c r="E1152" s="33"/>
      <c r="F1152" s="33"/>
      <c r="G1152" s="33"/>
      <c r="H1152" s="33"/>
      <c r="I1152" s="33"/>
    </row>
    <row r="1153" spans="2:9" s="16" customFormat="1" ht="15.75">
      <c r="B1153" s="35" t="str">
        <f ca="1">IFERROR(IF(AND(INDEX(Tab_DaBa[],MATCH(CONCATENATE(Liste!$C$3,$B$1133,$B$1135),Data!$BO:$BO,0)-2,48)&lt;&gt;"",INDEX(Tab_DaBa[],MATCH(CONCATENATE(Liste!$C$3,$B$1133,$B$1135),Data!$BO:$BO,0)-2,53)=0),INDEX(Tab_DaBa[],MATCH(CONCATENATE(Liste!$C$3,$B$1133,$B$1135),Data!$BO:$BO,0)-2,14),IF(INDEX(Tab_DaBa[],MATCH(CONCATENATE(Liste!$C$3,$B$1133,$B$1135),Data!$BO:$BO,0)-2,48)&lt;&gt;"",INDEX(Tab_DaBa[],MATCH(CONCATENATE(Liste!$C$3,$B$1133,$B$1135),Data!$BO:$BO,0)-2,54),"")),"")</f>
        <v/>
      </c>
      <c r="C1153" s="39"/>
      <c r="D1153" s="35" t="str">
        <f ca="1">IFERROR(IF(AND(INDEX(Tab_DaBa[],MATCH(CONCATENATE(Liste!$C$3,$B$1133,$B$1135),Data!$BO:$BO,0)-2,53)&lt;&gt;"",INDEX(Tab_DaBa[],MATCH(CONCATENATE(Liste!$C$3,$B$1133,$B$1135),Data!$BO:$BO,0)-2,58)=0),INDEX(Tab_DaBa[],MATCH(CONCATENATE(Liste!$C$3,$B$1133,$B$1135),Data!$BO:$BO,0)-2,14),IF(INDEX(Tab_DaBa[],MATCH(CONCATENATE(Liste!$C$3,$B$1133,$B$1135),Data!$BO:$BO,0)-2,53)&lt;&gt;"",INDEX(Tab_DaBa[],MATCH(CONCATENATE(Liste!$C$3,$B$1133,$B$1135),Data!$BO:$BO,0)-2,59),"")),"")</f>
        <v/>
      </c>
      <c r="E1153" s="33"/>
      <c r="F1153" s="35" t="str">
        <f ca="1">IFERROR(IF(AND(INDEX(Tab_DaBa[],MATCH(CONCATENATE(Liste!$C$3,$B$1133,$B$1135),Data!$BO:$BO,0)-2,58)&lt;&gt;"",INDEX(Tab_DaBa[],MATCH(CONCATENATE(Liste!$C$3,$B$1133,$B$1135),Data!$BO:$BO,0)-2,63)=0),INDEX(Tab_DaBa[],MATCH(CONCATENATE(Liste!$C$3,$B$1133,$B$1135),Data!$BO:$BO,0)-2,14),IF(INDEX(Tab_DaBa[],MATCH(CONCATENATE(Liste!$C$3,$B$1133,$B$1135),Data!$BO:$BO,0)-2,58)&lt;&gt;"",INDEX(Tab_DaBa[],MATCH(CONCATENATE(Liste!$C$3,$B$1133,$B$1135),Data!$BO:$BO,0)-2,64),"")),"")</f>
        <v/>
      </c>
      <c r="G1153" s="39"/>
      <c r="H1153" s="35" t="str">
        <f ca="1">IFERROR(IF(INDEX(Tab_DaBa[],MATCH(CONCATENATE(Liste!$C$3,$B$1133,$B$1135),Data!$BO:$BO,0)-2,63)&lt;&gt;"",INDEX(Tab_DaBa[],MATCH(CONCATENATE(Liste!$C$3,$B$1133,$B$1135),Data!$BO:$BO,0)-2,14),""),"")</f>
        <v/>
      </c>
    </row>
    <row r="1154" spans="2:9" s="16" customFormat="1" ht="15.75">
      <c r="B1154" s="35" t="str">
        <f ca="1">IFERROR(IF(AND(INDEX(Tab_DaBa[],MATCH(CONCATENATE(Liste!$C$3,$B$1133,$B$1135),Data!$BO:$BO,0)-2,48)&lt;&gt;"",INDEX(Tab_DaBa[],MATCH(CONCATENATE(Liste!$C$3,$B$1133,$B$1135),Data!$BO:$BO,0)-2,53)=0),INDEX(Tab_DaBa[],MATCH(CONCATENATE(Liste!$C$3,$B$1133,$B$1135),Data!$BO:$BO,0)-2,12),IF(INDEX(Tab_DaBa[],MATCH(CONCATENATE(Liste!$C$3,$B$1133,$B$1135),Data!$BO:$BO,0)-2,48)&lt;&gt;"",INDEX(Tab_DaBa[],MATCH(CONCATENATE(Liste!$C$3,$B$1133,$B$1135),Data!$BO:$BO,0)-2,52),"")),"")</f>
        <v/>
      </c>
      <c r="C1154" s="39"/>
      <c r="D1154" s="35" t="str">
        <f ca="1">IFERROR(IF(AND(INDEX(Tab_DaBa[],MATCH(CONCATENATE(Liste!$C$3,$B$1133,$B$1135),Data!$BO:$BO,0)-2,53)&lt;&gt;"",INDEX(Tab_DaBa[],MATCH(CONCATENATE(Liste!$C$3,$B$1133,$B$1135),Data!$BO:$BO,0)-2,58)=0),INDEX(Tab_DaBa[],MATCH(CONCATENATE(Liste!$C$3,$B$1133,$B$1135),Data!$BO:$BO,0)-2,12),IF(INDEX(Tab_DaBa[],MATCH(CONCATENATE(Liste!$C$3,$B$1133,$B$1135),Data!$BO:$BO,0)-2,53)&lt;&gt;"",INDEX(Tab_DaBa[],MATCH(CONCATENATE(Liste!$C$3,$B$1133,$B$1135),Data!$BO:$BO,0)-2,57),"")),"")</f>
        <v/>
      </c>
      <c r="E1154" s="37"/>
      <c r="F1154" s="35" t="str">
        <f ca="1">IFERROR(IF(AND(INDEX(Tab_DaBa[],MATCH(CONCATENATE(Liste!$C$3,$B$1133,$B$1135),Data!$BO:$BO,0)-2,58)&lt;&gt;"",INDEX(Tab_DaBa[],MATCH(CONCATENATE(Liste!$C$3,$B$1133,$B$1135),Data!$BO:$BO,0)-2,63)=0),INDEX(Tab_DaBa[],MATCH(CONCATENATE(Liste!$C$3,$B$1133,$B$1135),Data!$BO:$BO,0)-2,12),IF(INDEX(Tab_DaBa[],MATCH(CONCATENATE(Liste!$C$3,$B$1133,$B$1135),Data!$BO:$BO,0)-2,58)&lt;&gt;"",INDEX(Tab_DaBa[],MATCH(CONCATENATE(Liste!$C$3,$B$1133,$B$1135),Data!$BO:$BO,0)-2,62),"")),"")</f>
        <v/>
      </c>
      <c r="G1154" s="39"/>
      <c r="H1154" s="35" t="str">
        <f ca="1">IFERROR(IF(INDEX(Tab_DaBa[],MATCH(CONCATENATE(Liste!$C$3,$B$1133,$B$1135),Data!$BO:$BO,0)-2,63)&lt;&gt;"",INDEX(Tab_DaBa[],MATCH(CONCATENATE(Liste!$C$3,$B$1133,$B$1135),Data!$BO:$BO,0)-2,12),""),"")</f>
        <v/>
      </c>
    </row>
    <row r="1155" spans="2:9" s="16" customFormat="1" ht="15.75">
      <c r="B1155" s="35" t="str">
        <f ca="1">IFERROR(IF(AND(INDEX(Tab_DaBa[],MATCH(CONCATENATE(Liste!$C$3,$B$1133,$B$1135),Data!$BO:$BO,0)-2,48)&lt;&gt;"",INDEX(Tab_DaBa[],MATCH(CONCATENATE(Liste!$C$3,$B$1133,$B$1135),Data!$BO:$BO,0)-2,53)=""),INDEX(Tab_DaBa[],MATCH(CONCATENATE(Liste!$C$3,$B$1133,$B$1135),Data!$BO:$BO,0)-2,13),IF(INDEX(Tab_DaBa[],MATCH(CONCATENATE(Liste!$C$3,$B$1133,$B$1135),Data!$BO:$BO,0)-2,48)&lt;&gt;"",INDEX(Tab_DaBa[],MATCH(CONCATENATE(Liste!$C$3,$B$1133,$B$1135),Data!$BO:$BO,0)-2,53),"")),"")</f>
        <v/>
      </c>
      <c r="C1155" s="38" t="str">
        <f ca="1">IF(D1153="","",4)</f>
        <v/>
      </c>
      <c r="D1155" s="35" t="str">
        <f ca="1">IFERROR(IF(AND(INDEX(Tab_DaBa[],MATCH(CONCATENATE(Liste!$C$3,$B$1133,$B$1135),Data!$BO:$BO,0)-2,53)&lt;&gt;"",INDEX(Tab_DaBa[],MATCH(CONCATENATE(Liste!$C$3,$B$1133,$B$1135),Data!$BO:$BO,0)-2,58)=""),INDEX(Tab_DaBa[],MATCH(CONCATENATE(Liste!$C$3,$B$1133,$B$1135),Data!$BO:$BO,0)-2,13),IF(INDEX(Tab_DaBa[],MATCH(CONCATENATE(Liste!$C$3,$B$1133,$B$1135),Data!$BO:$BO,0)-2,53)&lt;&gt;"",INDEX(Tab_DaBa[],MATCH(CONCATENATE(Liste!$C$3,$B$1133,$B$1135),Data!$BO:$BO,0)-2,58),"")),"")</f>
        <v/>
      </c>
      <c r="E1155" s="38" t="str">
        <f ca="1">IF(F1153="","",4)</f>
        <v/>
      </c>
      <c r="F1155" s="35" t="str">
        <f ca="1">IFERROR(IF(AND(INDEX(Tab_DaBa[],MATCH(CONCATENATE(Liste!$C$3,$B$1133,$B$1135),Data!$BO:$BO,0)-2,58)&lt;&gt;"",INDEX(Tab_DaBa[],MATCH(CONCATENATE(Liste!$C$3,$B$1133,$B$1135),Data!$BO:$BO,0)-2,63)=""),INDEX(Tab_DaBa[],MATCH(CONCATENATE(Liste!$C$3,$B$1133,$B$1135),Data!$BO:$BO,0)-2,13),IF(INDEX(Tab_DaBa[],MATCH(CONCATENATE(Liste!$C$3,$B$1133,$B$1135),Data!$BO:$BO,0)-2,58)&lt;&gt;"",INDEX(Tab_DaBa[],MATCH(CONCATENATE(Liste!$C$3,$B$1133,$B$1135),Data!$BO:$BO,0)-2,63),"")),"")</f>
        <v/>
      </c>
      <c r="G1155" s="38" t="str">
        <f ca="1">IF(H1153="","",4)</f>
        <v/>
      </c>
      <c r="H1155" s="35" t="str">
        <f ca="1">IFERROR(IF(INDEX(Tab_DaBa[],MATCH(CONCATENATE(Liste!$C$3,$B$1133,$B$1135),Data!$BO:$BO,0)-2,63)&lt;&gt;"",INDEX(Tab_DaBa[],MATCH(CONCATENATE(Liste!$C$3,$B$1133,$B$1135),Data!$BO:$BO,0)-2,13),""),"")</f>
        <v/>
      </c>
    </row>
    <row r="1156" spans="2:9" s="16" customFormat="1" ht="15.75">
      <c r="B1156" s="35" t="str">
        <f ca="1">IFERROR(IF(AND(INDEX(Tab_DaBa[],MATCH(CONCATENATE(Liste!$C$3,$B$1133,$B$1135),Data!$BO:$BO,0)-2,48)&lt;&gt;"",INDEX(Tab_DaBa[],MATCH(CONCATENATE(Liste!$C$3,$B$1133,$B$1135),Data!$BO:$BO,0)-2,53)=""),"Performance Level: "&amp;INDEX(Tab_DaBa[],MATCH(CONCATENATE(Liste!$C$3,$B$1133,$B$1135),Data!$BO:$BO,0)-2,15),IF(INDEX(Tab_DaBa[],MATCH(CONCATENATE(Liste!$C$3,$B$1133,$B$1135),Data!$BO:$BO,0)-2,48)&lt;&gt;"","Performance Level: "&amp;INDEX(Tab_DaBa[],MATCH(CONCATENATE(Liste!$C$3,$B$1133,$B$1135),Data!$BO:$BO,0)-2,55),"")),"")</f>
        <v/>
      </c>
      <c r="C1156" s="39"/>
      <c r="D1156" s="35" t="str">
        <f ca="1">IFERROR(IF(AND(INDEX(Tab_DaBa[],MATCH(CONCATENATE(Liste!$C$3,$B$1133,$B$1135),Data!$BO:$BO,0)-2,53)&lt;&gt;"",INDEX(Tab_DaBa[],MATCH(CONCATENATE(Liste!$C$3,$B$1133,$B$1135),Data!$BO:$BO,0)-2,58)=""),"Performance Level: "&amp;INDEX(Tab_DaBa[],MATCH(CONCATENATE(Liste!$C$3,$B$1133,$B$1135),Data!$BO:$BO,0)-2,15),IF(INDEX(Tab_DaBa[],MATCH(CONCATENATE(Liste!$C$3,$B$1133,$B$1135),Data!$BO:$BO,0)-2,53)&lt;&gt;"","Performance Level: "&amp;INDEX(Tab_DaBa[],MATCH(CONCATENATE(Liste!$C$3,$B$1133,$B$1135),Data!$BO:$BO,0)-2,60),"")),"")</f>
        <v/>
      </c>
      <c r="E1156" s="37"/>
      <c r="F1156" s="35" t="str">
        <f ca="1">IFERROR(IF(AND(INDEX(Tab_DaBa[],MATCH(CONCATENATE(Liste!$C$3,$B$1133,$B$1135),Data!$BO:$BO,0)-2,58)&lt;&gt;"",INDEX(Tab_DaBa[],MATCH(CONCATENATE(Liste!$C$3,$B$1133,$B$1135),Data!$BO:$BO,0)-2,63)=""),"Performance Level: "&amp;INDEX(Tab_DaBa[],MATCH(CONCATENATE(Liste!$C$3,$B$1133,$B$1135),Data!$BO:$BO,0)-2,15),IF(INDEX(Tab_DaBa[],MATCH(CONCATENATE(Liste!$C$3,$B$1133,$B$1135),Data!$BO:$BO,0)-2,58)&lt;&gt;"","Performance Level: "&amp;INDEX(Tab_DaBa[],MATCH(CONCATENATE(Liste!$C$3,$B$1133,$B$1135),Data!$BO:$BO,0)-2,65),"")),"")</f>
        <v/>
      </c>
      <c r="G1156" s="39"/>
      <c r="H1156" s="35" t="str">
        <f ca="1">IFERROR(IF(INDEX(Tab_DaBa[],MATCH(CONCATENATE(Liste!$C$3,$B$1133,$B$1135),Data!$BO:$BO,0)-2,63)&lt;&gt;"","Performance Level: "&amp;INDEX(Tab_DaBa[],MATCH(CONCATENATE(Liste!$C$3,$B$1133,$B$1135),Data!$BO:$BO,0)-2,15),""),"")</f>
        <v/>
      </c>
    </row>
    <row r="1157" spans="2:9" s="16" customFormat="1" ht="15.75">
      <c r="B1157" s="35" t="str">
        <f ca="1">IFERROR(IF(AND(INDEX(Tab_DaBa[],MATCH(CONCATENATE(Liste!$C$3,$B$1133,$B$1135),Data!$BO:$BO,0)-2,48)&lt;&gt;"",INDEX(Tab_DaBa[],MATCH(CONCATENATE(Liste!$C$3,$B$1133,$B$1135),Data!$BO:$BO,0)-2,53)=""),"PFH [1/h] = "&amp;10^9*INDEX(Tab_DaBa[],MATCH(CONCATENATE(Liste!$C$3,$B$1133,$B$1135),Data!$BO:$BO,0)-2,16)&amp;"E-9",IF(INDEX(Tab_DaBa[],MATCH(CONCATENATE(Liste!$C$3,$B$1133,$B$1135),Data!$BO:$BO,0)-2,48)&lt;&gt;"","PFH [1/h] = "&amp;10^9*INDEX(Tab_DaBa[],MATCH(CONCATENATE(Liste!$C$3,$B$1133,$B$1135),Data!$BO:$BO,0)-2,56)&amp;"E-9","")),"")</f>
        <v/>
      </c>
      <c r="C1157" s="39"/>
      <c r="D1157" s="35" t="str">
        <f ca="1">IFERROR(IF(AND(INDEX(Tab_DaBa[],MATCH(CONCATENATE(Liste!$C$3,$B$1133,$B$1135),Data!$BO:$BO,0)-2,53)&lt;&gt;"",INDEX(Tab_DaBa[],MATCH(CONCATENATE(Liste!$C$3,$B$1133,$B$1135),Data!$BO:$BO,0)-2,58)=""),"PFH [1/h] = "&amp;10^9*INDEX(Tab_DaBa[],MATCH(CONCATENATE(Liste!$C$3,$B$1133,$B$1135),Data!$BO:$BO,0)-2,16)&amp;"E-9",IF(INDEX(Tab_DaBa[],MATCH(CONCATENATE(Liste!$C$3,$B$1133,$B$1135),Data!$BO:$BO,0)-2,53)&lt;&gt;"","PFH [1/h] = "&amp;10^9*INDEX(Tab_DaBa[],MATCH(CONCATENATE(Liste!$C$3,$B$1133,$B$1135),Data!$BO:$BO,0)-2,61)&amp;"E-9","")),"")</f>
        <v/>
      </c>
      <c r="E1157" s="37"/>
      <c r="F1157" s="35" t="str">
        <f ca="1">IFERROR(IF(AND(INDEX(Tab_DaBa[],MATCH(CONCATENATE(Liste!$C$3,$B$1133,$B$1135),Data!$BO:$BO,0)-2,58)&lt;&gt;"",INDEX(Tab_DaBa[],MATCH(CONCATENATE(Liste!$C$3,$B$1133,$B$1135),Data!$BO:$BO,0)-2,63)=""),"PFH [1/h] = "&amp;10^9*INDEX(Tab_DaBa[],MATCH(CONCATENATE(Liste!$C$3,$B$1133,$B$1135),Data!$BO:$BO,0)-2,16)&amp;"E-9",IF(INDEX(Tab_DaBa[],MATCH(CONCATENATE(Liste!$C$3,$B$1133,$B$1135),Data!$BO:$BO,0)-2,58)&lt;&gt;"","PFH [1/h] = "&amp;10^9*INDEX(Tab_DaBa[],MATCH(CONCATENATE(Liste!$C$3,$B$1133,$B$1135),Data!$BO:$BO,0)-2,66)&amp;"E-9","")),"")</f>
        <v/>
      </c>
      <c r="G1157" s="39"/>
      <c r="H1157" s="35" t="str">
        <f ca="1">IFERROR(IF(INDEX(Tab_DaBa[],MATCH(CONCATENATE(Liste!$C$3,$B$1133,$B$1135),Data!$BO:$BO,0)-2,63)&lt;&gt;"","PFH [1/h] = "&amp;10^9*INDEX(Tab_DaBa[],MATCH(CONCATENATE(Liste!$C$3,$B$1133,$B$1135),Data!$BO:$BO,0)-2,16)&amp;"E-9",""),"")</f>
        <v/>
      </c>
    </row>
    <row r="1158" spans="2:9" s="16" customFormat="1"/>
    <row r="1159" spans="2:9" s="16" customFormat="1">
      <c r="B1159" s="43" t="str">
        <f ca="1">IF(D1159="","","Erforderlich")</f>
        <v>Erforderlich</v>
      </c>
      <c r="D1159" s="44" t="str">
        <f ca="1">IFERROR("Performance Level: "&amp;INDEX(Tab_DaBa[],MATCH(CONCATENATE(Liste!$C$3,$B$1133,$B$1135),Data!$BO:$BO,0)-2,4),"")</f>
        <v>Performance Level: PLr_ges4_1</v>
      </c>
    </row>
    <row r="1160" spans="2:9" s="16" customFormat="1">
      <c r="B1160" s="45"/>
    </row>
    <row r="1161" spans="2:9" s="16" customFormat="1">
      <c r="B1161" s="46" t="str">
        <f ca="1">IF(D1161="","","Erreicht")</f>
        <v>Erreicht</v>
      </c>
      <c r="D1161" s="47" t="str">
        <f ca="1">IFERROR("Performance Level: "&amp;INDEX(Tab_DaBa[],MATCH(CONCATENATE(Liste!$C$3,$B$1133,$B$1135),Data!$BO:$BO,0)-2,5)&amp;"          PFH [1/h] = "&amp;10^9*INDEX(Tab_DaBa[],MATCH(CONCATENATE(Liste!$C$3,$B$1133,$B$1135),Data!$BO:$BO,0)-2,6)&amp;"E-9","")</f>
        <v>Performance Level: Pl_ges4_1          PFH [1/h] = 71,7E-9</v>
      </c>
    </row>
    <row r="1162" spans="2:9" s="16" customFormat="1"/>
    <row r="1163" spans="2:9" s="16" customFormat="1">
      <c r="B1163" s="42" t="str">
        <f ca="1">IFERROR(IF(2&gt;COUNTIF(Data!$BP:$BP,CONCATENATE(Liste!$C$3,$B$1133)),"",INDEX(Tab_DaBa[],MATCH(CONCATENATE(Liste!$C$3,$B$1133),Data!$BP:$BP,0)-1,3)),"")</f>
        <v>5.2 Test4 (E+2L+A)</v>
      </c>
    </row>
    <row r="1164" spans="2:9" s="16" customFormat="1"/>
    <row r="1165" spans="2:9" s="16" customFormat="1" ht="15.75">
      <c r="B1165" s="35" t="str">
        <f ca="1">IFERROR(INDEX(Tab_DaBa[],MATCH(CONCATENATE(Liste!$C$3,$B$1133,$B$1163),Data!$BO:$BO,0)-2,9),"")</f>
        <v>Eingang</v>
      </c>
      <c r="C1165" s="54"/>
      <c r="D1165" s="35" t="str">
        <f ca="1">IFERROR(IF(INDEX(Tab_DaBa[],MATCH(CONCATENATE(Liste!$C$3,$B$1133,$B$1163),Data!$BO:$BO,0)-2,18)=0,INDEX(Tab_DaBa[],MATCH(CONCATENATE(Liste!$C$3,$B$1133,$B$1163),Data!$BO:$BO,0)-2,14),INDEX(Tab_DaBa[],MATCH(CONCATENATE(Liste!$C$3,$B$1133,$B$1163),Data!$BO:$BO,0)-2,19)),"")</f>
        <v>Logik 01</v>
      </c>
      <c r="E1165" s="33"/>
      <c r="F1165" s="35" t="str">
        <f ca="1">IFERROR(IF(AND(INDEX(Tab_DaBa[],MATCH(CONCATENATE(Liste!$C$3,$B$1133,$B$1163),Data!$BO:$BO,0)-2,18)&lt;&gt;"",INDEX(Tab_DaBa[],MATCH(CONCATENATE(Liste!$C$3,$B$1133,$B$1163),Data!$BO:$BO,0)-2,23)=0),INDEX(Tab_DaBa[],MATCH(CONCATENATE(Liste!$C$3,$B$1133,$B$1163),Data!$BO:$BO,0)-2,14),IF(INDEX(Tab_DaBa[],MATCH(CONCATENATE(Liste!$C$3,$B$1133,$B$1163),Data!$BO:$BO,0)-2,23)&lt;&gt;"",INDEX(Tab_DaBa[],MATCH(CONCATENATE(Liste!$C$3,$B$1133,$B$1163),Data!$BO:$BO,0)-2,24),"")),"")</f>
        <v>Logik 02</v>
      </c>
      <c r="G1165" s="39"/>
      <c r="H1165" s="35" t="str">
        <f ca="1">IFERROR(IF(AND(INDEX(Tab_DaBa[],MATCH(CONCATENATE(Liste!$C$3,$B$1133,$B$1163),Data!$BO:$BO,0)-2,23)&lt;&gt;"",INDEX(Tab_DaBa[],MATCH(CONCATENATE(Liste!$C$3,$B$1133,$B$1163),Data!$BO:$BO,0)-2,28)=0),INDEX(Tab_DaBa[],MATCH(CONCATENATE(Liste!$C$3,$B$1133,$B$1163),Data!$BO:$BO,0)-2,14),IF(INDEX(Tab_DaBa[],MATCH(CONCATENATE(Liste!$C$3,$B$1133,$B$1163),Data!$BO:$BO,0)-2,23)&lt;&gt;"",INDEX(Tab_DaBa[],MATCH(CONCATENATE(Liste!$C$3,$B$1133,$B$1163),Data!$BO:$BO,0)-2,29),"")),"")</f>
        <v>Ausgang</v>
      </c>
      <c r="I1165" s="39"/>
    </row>
    <row r="1166" spans="2:9" s="16" customFormat="1" ht="15.75">
      <c r="B1166" s="35" t="str">
        <f ca="1">IFERROR(INDEX(Tab_DaBa[],MATCH(CONCATENATE(Liste!$C$3,$B$1133,$B$1163),Data!$BO:$BO,0)-2,7),"")</f>
        <v>eeee-33_2</v>
      </c>
      <c r="C1166" s="54"/>
      <c r="D1166" s="35" t="str">
        <f ca="1">IFERROR(IF(INDEX(Tab_DaBa[],MATCH(CONCATENATE(Liste!$C$3,$B$1133,$B$1163),Data!$BO:$BO,0)-2,18)="",INDEX(Tab_DaBa[],MATCH(CONCATENATE(Liste!$C$3,$B$1133,$B$1163),Data!$BO:$BO,0)-2,12),INDEX(Tab_DaBa[],MATCH(CONCATENATE(Liste!$C$3,$B$1133,$B$1163),Data!$BO:$BO,0)-2,17)),"")</f>
        <v>Log01-04_02</v>
      </c>
      <c r="E1166" s="36"/>
      <c r="F1166" s="35" t="str">
        <f ca="1">IFERROR(IF(AND(INDEX(Tab_DaBa[],MATCH(CONCATENATE(Liste!$C$3,$B$1133,$B$1163),Data!$BO:$BO,0)-2,18)&lt;&gt;"",INDEX(Tab_DaBa[],MATCH(CONCATENATE(Liste!$C$3,$B$1133,$B$1163),Data!$BO:$BO,0)-2,23)=0),INDEX(Tab_DaBa[],MATCH(CONCATENATE(Liste!$C$3,$B$1133,$B$1163),Data!$BO:$BO,0)-2,12),IF(INDEX(Tab_DaBa[],MATCH(CONCATENATE(Liste!$C$3,$B$1133,$B$1163),Data!$BO:$BO,0)-2,23)&lt;&gt;"",INDEX(Tab_DaBa[],MATCH(CONCATENATE(Liste!$C$3,$B$1133,$B$1163),Data!$BO:$BO,0)-2,22),"")),"")</f>
        <v>Lo04-04_02</v>
      </c>
      <c r="G1166" s="39"/>
      <c r="H1166" s="35" t="str">
        <f ca="1">IFERROR(IF(AND(INDEX(Tab_DaBa[],MATCH(CONCATENATE(Liste!$C$3,$B$1133,$B$1163),Data!$BO:$BO,0)-2,23)&lt;&gt;"",INDEX(Tab_DaBa[],MATCH(CONCATENATE(Liste!$C$3,$B$1133,$B$1163),Data!$BO:$BO,0)-2,28)=0),INDEX(Tab_DaBa[],MATCH(CONCATENATE(Liste!$C$3,$B$1133,$B$1163),Data!$BO:$BO,0)-2,12),IF(INDEX(Tab_DaBa[],MATCH(CONCATENATE(Liste!$C$3,$B$1133,$B$1163),Data!$BO:$BO,0)-2,23)&lt;&gt;"",INDEX(Tab_DaBa[],MATCH(CONCATENATE(Liste!$C$3,$B$1133,$B$1163),Data!$BO:$BO,0)-2,27),"")),"")</f>
        <v>aaaa-44_2</v>
      </c>
      <c r="I1166" s="39"/>
    </row>
    <row r="1167" spans="2:9" s="16" customFormat="1" ht="15.75">
      <c r="B1167" s="35" t="str">
        <f ca="1">IFERROR(INDEX(Tab_DaBa[],MATCH(CONCATENATE(Liste!$C$3,$B$1133,$B$1163),Data!$BO:$BO,0)-2,8),"")</f>
        <v>Bez_Ein4_2</v>
      </c>
      <c r="C1167" s="40">
        <f ca="1">IF(D1165="","",4)</f>
        <v>4</v>
      </c>
      <c r="D1167" s="35" t="str">
        <f ca="1">IFERROR(IF(INDEX(Tab_DaBa[],MATCH(CONCATENATE(Liste!$C$3,$B$1133,$B$1163),Data!$BO:$BO,0)-2,18)="",INDEX(Tab_DaBa[],MATCH(CONCATENATE(Liste!$C$3,$B$1133,$B$1163),Data!$BO:$BO,0)-2,13),INDEX(Tab_DaBa[],MATCH(CONCATENATE(Liste!$C$3,$B$1133,$B$1163),Data!$BO:$BO,0)-2,18)),"")</f>
        <v>Bez_Log01_04_02</v>
      </c>
      <c r="E1167" s="40">
        <f ca="1">IF(F1165="","",4)</f>
        <v>4</v>
      </c>
      <c r="F1167" s="35" t="str">
        <f ca="1">IFERROR(IF(AND(INDEX(Tab_DaBa[],MATCH(CONCATENATE(Liste!$C$3,$B$1133,$B$1163),Data!$BO:$BO,0)-2,18)&lt;&gt;"",INDEX(Tab_DaBa[],MATCH(CONCATENATE(Liste!$C$3,$B$1133,$B$1163),Data!$BO:$BO,0)-2,23)=""),INDEX(Tab_DaBa[],MATCH(CONCATENATE(Liste!$C$3,$B$1133,$B$1163),Data!$BO:$BO,0)-2,13),IF(INDEX(Tab_DaBa[],MATCH(CONCATENATE(Liste!$C$3,$B$1133,$B$1163),Data!$BO:$BO,0)-2,23)&lt;&gt;"",INDEX(Tab_DaBa[],MATCH(CONCATENATE(Liste!$C$3,$B$1133,$B$1163),Data!$BO:$BO,0)-2,23),"")),"")</f>
        <v>Bez_Lo04_02</v>
      </c>
      <c r="G1167" s="38">
        <f ca="1">IF(H1165="","",4)</f>
        <v>4</v>
      </c>
      <c r="H1167" s="35" t="str">
        <f ca="1">IFERROR(IF(AND(INDEX(Tab_DaBa[],MATCH(CONCATENATE(Liste!$C$3,$B$1133,$B$1163),Data!$BO:$BO,0)-2,23)&lt;&gt;"",INDEX(Tab_DaBa[],MATCH(CONCATENATE(Liste!$C$3,$B$1133,$B$1163),Data!$BO:$BO,0)-2,28)=""),INDEX(Tab_DaBa[],MATCH(CONCATENATE(Liste!$C$3,$B$1133,$B$1163),Data!$BO:$BO,0)-2,13),IF(INDEX(Tab_DaBa[],MATCH(CONCATENATE(Liste!$C$3,$B$1133,$B$1163),Data!$BO:$BO,0)-2,23)&lt;&gt;"",INDEX(Tab_DaBa[],MATCH(CONCATENATE(Liste!$C$3,$B$1133,$B$1163),Data!$BO:$BO,0)-2,28),"")),"")</f>
        <v>Bez_Aus4_2</v>
      </c>
      <c r="I1167" s="38" t="str">
        <f ca="1">IF(B1173="","",6)</f>
        <v/>
      </c>
    </row>
    <row r="1168" spans="2:9" s="16" customFormat="1" ht="15.75">
      <c r="B1168" s="35" t="str">
        <f ca="1">IFERROR("Performance Level: "&amp;INDEX(Tab_DaBa[],MATCH(CONCATENATE(Liste!$C$3,$B$1133,$B$1163),Data!$BO:$BO,0)-2,10),"")</f>
        <v>Performance Level: PL_Ein4_2</v>
      </c>
      <c r="C1168" s="54"/>
      <c r="D1168" s="35" t="str">
        <f ca="1">IFERROR(IF(INDEX(Tab_DaBa[],MATCH(CONCATENATE(Liste!$C$3,$B$1133,$B$1163),Data!$BO:$BO,0)-2,18)="","Performance Level: "&amp;INDEX(Tab_DaBa[],MATCH(CONCATENATE(Liste!$C$3,$B$1133,$B$1163),Data!$BO:$BO,0)-2,15),"Performance Level: "&amp;INDEX(Tab_DaBa[],MATCH(CONCATENATE(Liste!$C$3,$B$1133,$B$1163),Data!$BO:$BO,0)-2,20)),"")</f>
        <v>Performance Level: PL_Log01_04_02</v>
      </c>
      <c r="E1168" s="36"/>
      <c r="F1168" s="35" t="str">
        <f ca="1">IFERROR(IF(AND(INDEX(Tab_DaBa[],MATCH(CONCATENATE(Liste!$C$3,$B$1133,$B$1163),Data!$BO:$BO,0)-2,18)&lt;&gt;"",INDEX(Tab_DaBa[],MATCH(CONCATENATE(Liste!$C$3,$B$1133,$B$1163),Data!$BO:$BO,0)-2,23)=""),"Performance Level: "&amp;INDEX(Tab_DaBa[],MATCH(CONCATENATE(Liste!$C$3,$B$1133,$B$1163),Data!$BO:$BO,0)-2,15),IF(INDEX(Tab_DaBa[],MATCH(CONCATENATE(Liste!$C$3,$B$1133,$B$1163),Data!$BO:$BO,0)-2,23)&lt;&gt;"","Performance Level: "&amp;INDEX(Tab_DaBa[],MATCH(CONCATENATE(Liste!$C$3,$B$1133,$B$1163),Data!$BO:$BO,0)-2,25),"")),"")</f>
        <v>Performance Level: PL_Lo04_02</v>
      </c>
      <c r="G1168" s="39"/>
      <c r="H1168" s="35" t="str">
        <f ca="1">IFERROR(IF(AND(INDEX(Tab_DaBa[],MATCH(CONCATENATE(Liste!$C$3,$B$1133,$B$1163),Data!$BO:$BO,0)-2,23)&lt;&gt;"",INDEX(Tab_DaBa[],MATCH(CONCATENATE(Liste!$C$3,$B$1133,$B$1163),Data!$BO:$BO,0)-2,28)=""),"Performance Level: "&amp;INDEX(Tab_DaBa[],MATCH(CONCATENATE(Liste!$C$3,$B$1133,$B$1163),Data!$BO:$BO,0)-2,15),IF(INDEX(Tab_DaBa[],MATCH(CONCATENATE(Liste!$C$3,$B$1133,$B$1163),Data!$BO:$BO,0)-2,23)&lt;&gt;"","Performance Level: "&amp;INDEX(Tab_DaBa[],MATCH(CONCATENATE(Liste!$C$3,$B$1133,$B$1163),Data!$BO:$BO,0)-2,30),"")),"")</f>
        <v>Performance Level: PL_Aus4_2</v>
      </c>
      <c r="I1168" s="38"/>
    </row>
    <row r="1169" spans="2:9" s="16" customFormat="1" ht="15.75">
      <c r="B1169" s="53" t="str">
        <f ca="1">IFERROR("PFH [1/h] = "&amp;10^9*INDEX(Tab_DaBa[],MATCH(CONCATENATE(Liste!$C$3,$B$1133,$B$1163),Data!$BO:$BO,0)-2,11)&amp;"E-9","")</f>
        <v>PFH [1/h] = 42,9E-9</v>
      </c>
      <c r="C1169" s="54"/>
      <c r="D1169" s="35" t="str">
        <f ca="1">IFERROR(IF(INDEX(Tab_DaBa[],MATCH(CONCATENATE(Liste!$C$3,$B$1133,$B$1163),Data!$BO:$BO,0)-2,18)="","PFH [1/h] = "&amp;10^9*INDEX(Tab_DaBa[],MATCH(CONCATENATE(Liste!$C$3,$B$1133,$B$1163),Data!$BO:$BO,0)-2,16)&amp;"E-9","PFH [1/h] = "&amp;10^9*INDEX(Tab_DaBa[],MATCH(CONCATENATE(Liste!$C$3,$B$1133,$B$1163),Data!$BO:$BO,0)-2,21)&amp;"E-9"),"")</f>
        <v>PFH [1/h] = 4,19E-9</v>
      </c>
      <c r="E1169" s="36"/>
      <c r="F1169" s="35" t="str">
        <f ca="1">IFERROR(IF(AND(INDEX(Tab_DaBa[],MATCH(CONCATENATE(Liste!$C$3,$B$1133,$B$1163),Data!$BO:$BO,0)-2,18)&lt;&gt;"",INDEX(Tab_DaBa[],MATCH(CONCATENATE(Liste!$C$3,$B$1133,$B$1163),Data!$BO:$BO,0)-2,23)=""),"PFH [1/h] = "&amp;10^9*INDEX(Tab_DaBa[],MATCH(CONCATENATE(Liste!$C$3,$B$1133,$B$1163),Data!$BO:$BO,0)-2,16)&amp;"E-9",IF(INDEX(Tab_DaBa[],MATCH(CONCATENATE(Liste!$C$3,$B$1133,$B$1163),Data!$BO:$BO,0)-2,23)&lt;&gt;"","PFH [1/h] = "&amp;10^9*INDEX(Tab_DaBa[],MATCH(CONCATENATE(Liste!$C$3,$B$1133,$B$1163),Data!$BO:$BO,0)-2,26)&amp;"E-9","")),"")</f>
        <v>PFH [1/h] = 4,19E-9</v>
      </c>
      <c r="G1169" s="39"/>
      <c r="H1169" s="35" t="str">
        <f ca="1">IFERROR(IF(AND(INDEX(Tab_DaBa[],MATCH(CONCATENATE(Liste!$C$3,$B$1133,$B$1163),Data!$BO:$BO,0)-2,23)&lt;&gt;"",INDEX(Tab_DaBa[],MATCH(CONCATENATE(Liste!$C$3,$B$1133,$B$1163),Data!$BO:$BO,0)-2,28)=""),"PFH [1/h] = "&amp;10^9*INDEX(Tab_DaBa[],MATCH(CONCATENATE(Liste!$C$3,$B$1133,$B$1163),Data!$BO:$BO,0)-2,16)&amp;"E-9",IF(INDEX(Tab_DaBa[],MATCH(CONCATENATE(Liste!$C$3,$B$1133,$B$1163),Data!$BO:$BO,0)-2,23)&lt;&gt;"","PFH [1/h] = "&amp;10^9*INDEX(Tab_DaBa[],MATCH(CONCATENATE(Liste!$C$3,$B$1133,$B$1163),Data!$BO:$BO,0)-2,31)&amp;"E-9","")),"")</f>
        <v>PFH [1/h] = 24,7E-9</v>
      </c>
      <c r="I1169" s="39"/>
    </row>
    <row r="1170" spans="2:9" s="16" customFormat="1">
      <c r="B1170" s="33"/>
      <c r="C1170" s="34"/>
      <c r="D1170" s="33"/>
      <c r="E1170" s="33"/>
      <c r="F1170" s="33"/>
      <c r="G1170" s="33"/>
      <c r="H1170" s="33"/>
      <c r="I1170" s="33"/>
    </row>
    <row r="1171" spans="2:9" s="16" customFormat="1" ht="15.75">
      <c r="B1171" s="38" t="str">
        <f ca="1">IF(B1173="","",6)</f>
        <v/>
      </c>
      <c r="C1171" s="34"/>
      <c r="D1171" s="38" t="str">
        <f ca="1">IF(B1173="","",3)</f>
        <v/>
      </c>
      <c r="E1171" s="33"/>
      <c r="F1171" s="38" t="str">
        <f ca="1">IF(B1173="","",3)</f>
        <v/>
      </c>
      <c r="G1171" s="33"/>
      <c r="H1171" s="38" t="str">
        <f ca="1">IF(B1173="","",3)</f>
        <v/>
      </c>
      <c r="I1171" s="33"/>
    </row>
    <row r="1172" spans="2:9" s="16" customFormat="1" ht="15.75">
      <c r="B1172" s="39"/>
      <c r="C1172" s="33"/>
      <c r="D1172" s="33"/>
      <c r="E1172" s="33"/>
      <c r="F1172" s="33"/>
      <c r="G1172" s="33"/>
      <c r="H1172" s="33"/>
      <c r="I1172" s="33"/>
    </row>
    <row r="1173" spans="2:9" s="16" customFormat="1" ht="15.75">
      <c r="B1173" s="35" t="str">
        <f ca="1">IFERROR(IF(AND(INDEX(Tab_DaBa[],MATCH(CONCATENATE(Liste!$C$3,$B$1133,$B$1163),Data!$BO:$BO,0)-2,28)&lt;&gt;"",INDEX(Tab_DaBa[],MATCH(CONCATENATE(Liste!$C$3,$B$1133,$B$1163),Data!$BO:$BO,0)-2,33)=0),INDEX(Tab_DaBa[],MATCH(CONCATENATE(Liste!$C$3,$B$1133,$B$1163),Data!$BO:$BO,0)-2,14),IF(INDEX(Tab_DaBa[],MATCH(CONCATENATE(Liste!$C$3,$B$1133,$B$1163),Data!$BO:$BO,0)-2,28)&lt;&gt;"",INDEX(Tab_DaBa[],MATCH(CONCATENATE(Liste!$C$3,$B$1133,$B$1163),Data!$BO:$BO,0)-2,34),"")),"")</f>
        <v/>
      </c>
      <c r="C1173" s="39"/>
      <c r="D1173" s="35" t="str">
        <f ca="1">IFERROR(IF(AND(INDEX(Tab_DaBa[],MATCH(CONCATENATE(Liste!$C$3,$B$1133,$B$1163),Data!$BO:$BO,0)-2,33)&lt;&gt;"",INDEX(Tab_DaBa[],MATCH(CONCATENATE(Liste!$C$3,$B$1133,$B$1163),Data!$BO:$BO,0)-2,38)=0),INDEX(Tab_DaBa[],MATCH(CONCATENATE(Liste!$C$3,$B$1133,$B$1163),Data!$BO:$BO,0)-2,14),IF(INDEX(Tab_DaBa[],MATCH(CONCATENATE(Liste!$C$3,$B$1133,$B$1163),Data!$BO:$BO,0)-2,33)&lt;&gt;"",INDEX(Tab_DaBa[],MATCH(CONCATENATE(Liste!$C$3,$B$1133,$B$1163),Data!$BO:$BO,0)-2,39),"")),"")</f>
        <v/>
      </c>
      <c r="E1173" s="33"/>
      <c r="F1173" s="35" t="str">
        <f ca="1">IFERROR(IF(AND(INDEX(Tab_DaBa[],MATCH(CONCATENATE(Liste!$C$3,$B$1133,$B$1163),Data!$BO:$BO,0)-2,38)&lt;&gt;"",INDEX(Tab_DaBa[],MATCH(CONCATENATE(Liste!$C$3,$B$1133,$B$1163),Data!$BO:$BO,0)-2,43)=0),INDEX(Tab_DaBa[],MATCH(CONCATENATE(Liste!$C$3,$B$1133,$B$1163),Data!$BO:$BO,0)-2,14),IF(INDEX(Tab_DaBa[],MATCH(CONCATENATE(Liste!$C$3,$B$1133,$B$1163),Data!$BO:$BO,0)-2,38)&lt;&gt;"",INDEX(Tab_DaBa[],MATCH(CONCATENATE(Liste!$C$3,$B$1133,$B$1163),Data!$BO:$BO,0)-2,44),"")),"")</f>
        <v/>
      </c>
      <c r="G1173" s="39"/>
      <c r="H1173" s="35" t="str">
        <f ca="1">IFERROR(IF(AND(INDEX(Tab_DaBa[],MATCH(CONCATENATE(Liste!$C$3,$B$1133,$B$1163),Data!$BO:$BO,0)-2,43)&lt;&gt;"",INDEX(Tab_DaBa[],MATCH(CONCATENATE(Liste!$C$3,$B$1133,$B$1163),Data!$BO:$BO,0)-2,48)=0),INDEX(Tab_DaBa[],MATCH(CONCATENATE(Liste!$C$3,$B$1133,$B$1163),Data!$BO:$BO,0)-2,14),IF(INDEX(Tab_DaBa[],MATCH(CONCATENATE(Liste!$C$3,$B$1133,$B$1163),Data!$BO:$BO,0)-2,43)&lt;&gt;"",INDEX(Tab_DaBa[],MATCH(CONCATENATE(Liste!$C$3,$B$1133,$B$1163),Data!$BO:$BO,0)-2,49),"")),"")</f>
        <v/>
      </c>
      <c r="I1173" s="39"/>
    </row>
    <row r="1174" spans="2:9" s="16" customFormat="1" ht="15.75">
      <c r="B1174" s="35" t="str">
        <f ca="1">IFERROR(IF(AND(INDEX(Tab_DaBa[],MATCH(CONCATENATE(Liste!$C$3,$B$1133,$B$1163),Data!$BO:$BO,0)-2,28)&lt;&gt;"",INDEX(Tab_DaBa[],MATCH(CONCATENATE(Liste!$C$3,$B$1133,$B$1163),Data!$BO:$BO,0)-2,33)=0),INDEX(Tab_DaBa[],MATCH(CONCATENATE(Liste!$C$3,$B$1133,$B$1163),Data!$BO:$BO,0)-2,12),IF(INDEX(Tab_DaBa[],MATCH(CONCATENATE(Liste!$C$3,$B$1133,$B$1163),Data!$BO:$BO,0)-2,28)&lt;&gt;"",INDEX(Tab_DaBa[],MATCH(CONCATENATE(Liste!$C$3,$B$1133,$B$1163),Data!$BO:$BO,0)-2,32),"")),"")</f>
        <v/>
      </c>
      <c r="C1174" s="39"/>
      <c r="D1174" s="35" t="str">
        <f ca="1">IFERROR(IF(AND(INDEX(Tab_DaBa[],MATCH(CONCATENATE(Liste!$C$3,$B$1133,$B$1163),Data!$BO:$BO,0)-2,33)&lt;&gt;"",INDEX(Tab_DaBa[],MATCH(CONCATENATE(Liste!$C$3,$B$1133,$B$1163),Data!$BO:$BO,0)-2,38)=0),INDEX(Tab_DaBa[],MATCH(CONCATENATE(Liste!$C$3,$B$1133,$B$1163),Data!$BO:$BO,0)-2,12),IF(INDEX(Tab_DaBa[],MATCH(CONCATENATE(Liste!$C$3,$B$1133,$B$1163),Data!$BO:$BO,0)-2,33)&lt;&gt;"",INDEX(Tab_DaBa[],MATCH(CONCATENATE(Liste!$C$3,$B$1133,$B$1163),Data!$BO:$BO,0)-2,37),"")),"")</f>
        <v/>
      </c>
      <c r="E1174" s="37"/>
      <c r="F1174" s="35" t="str">
        <f ca="1">IFERROR(IF(AND(INDEX(Tab_DaBa[],MATCH(CONCATENATE(Liste!$C$3,$B$1133,$B$1163),Data!$BO:$BO,0)-2,38)&lt;&gt;"",INDEX(Tab_DaBa[],MATCH(CONCATENATE(Liste!$C$3,$B$1133,$B$1163),Data!$BO:$BO,0)-2,43)=0),INDEX(Tab_DaBa[],MATCH(CONCATENATE(Liste!$C$3,$B$1133,$B$1163),Data!$BO:$BO,0)-2,12),IF(INDEX(Tab_DaBa[],MATCH(CONCATENATE(Liste!$C$3,$B$1133,$B$1163),Data!$BO:$BO,0)-2,38)&lt;&gt;"",INDEX(Tab_DaBa[],MATCH(CONCATENATE(Liste!$C$3,$B$1133,$B$1163),Data!$BO:$BO,0)-2,42),"")),"")</f>
        <v/>
      </c>
      <c r="G1174" s="39"/>
      <c r="H1174" s="35" t="str">
        <f ca="1">IFERROR(IF(AND(INDEX(Tab_DaBa[],MATCH(CONCATENATE(Liste!$C$3,$B$1133,$B$1163),Data!$BO:$BO,0)-2,43)&lt;&gt;"",INDEX(Tab_DaBa[],MATCH(CONCATENATE(Liste!$C$3,$B$1133,$B$1163),Data!$BO:$BO,0)-2,48)=0),INDEX(Tab_DaBa[],MATCH(CONCATENATE(Liste!$C$3,$B$1133,$B$1163),Data!$BO:$BO,0)-2,12),IF(INDEX(Tab_DaBa[],MATCH(CONCATENATE(Liste!$C$3,$B$1133,$B$1163),Data!$BO:$BO,0)-2,43)&lt;&gt;"",INDEX(Tab_DaBa[],MATCH(CONCATENATE(Liste!$C$3,$B$1133,$B$1163),Data!$BO:$BO,0)-2,47),"")),"")</f>
        <v/>
      </c>
      <c r="I1174" s="39"/>
    </row>
    <row r="1175" spans="2:9" s="16" customFormat="1" ht="15.75">
      <c r="B1175" s="35" t="str">
        <f ca="1">IFERROR(IF(AND(INDEX(Tab_DaBa[],MATCH(CONCATENATE(Liste!$C$3,$B$1133,$B$1163),Data!$BO:$BO,0)-2,28)&lt;&gt;"",INDEX(Tab_DaBa[],MATCH(CONCATENATE(Liste!$C$3,$B$1133,$B$1163),Data!$BO:$BO,0)-2,33)=""),INDEX(Tab_DaBa[],MATCH(CONCATENATE(Liste!$C$3,$B$1133,$B$1163),Data!$BO:$BO,0)-2,13),IF(INDEX(Tab_DaBa[],MATCH(CONCATENATE(Liste!$C$3,$B$1133,$B$1163),Data!$BO:$BO,0)-2,28)&lt;&gt;"",INDEX(Tab_DaBa[],MATCH(CONCATENATE(Liste!$C$3,$B$1133,$B$1163),Data!$BO:$BO,0)-2,33),"")),"")</f>
        <v/>
      </c>
      <c r="C1175" s="38" t="str">
        <f ca="1">IF(D1173="","",4)</f>
        <v/>
      </c>
      <c r="D1175" s="35" t="str">
        <f ca="1">IFERROR(IF(AND(INDEX(Tab_DaBa[],MATCH(CONCATENATE(Liste!$C$3,$B$1133,$B$1163),Data!$BO:$BO,0)-2,33)&lt;&gt;"",INDEX(Tab_DaBa[],MATCH(CONCATENATE(Liste!$C$3,$B$1133,$B$1163),Data!$BO:$BO,0)-2,38)=""),INDEX(Tab_DaBa[],MATCH(CONCATENATE(Liste!$C$3,$B$1133,$B$1163),Data!$BO:$BO,0)-2,13),IF(INDEX(Tab_DaBa[],MATCH(CONCATENATE(Liste!$C$3,$B$1133,$B$1163),Data!$BO:$BO,0)-2,33)&lt;&gt;"",INDEX(Tab_DaBa[],MATCH(CONCATENATE(Liste!$C$3,$B$1133,$B$1163),Data!$BO:$BO,0)-2,38),"")),"")</f>
        <v/>
      </c>
      <c r="E1175" s="38" t="str">
        <f ca="1">IF(F1173="","",4)</f>
        <v/>
      </c>
      <c r="F1175" s="35" t="str">
        <f ca="1">IFERROR(IF(AND(INDEX(Tab_DaBa[],MATCH(CONCATENATE(Liste!$C$3,$B$1133,$B$1163),Data!$BO:$BO,0)-2,38)&lt;&gt;"",INDEX(Tab_DaBa[],MATCH(CONCATENATE(Liste!$C$3,$B$1133,$B$1163),Data!$BO:$BO,0)-2,43)=""),INDEX(Tab_DaBa[],MATCH(CONCATENATE(Liste!$C$3,$B$1133,$B$1163),Data!$BO:$BO,0)-2,13),IF(INDEX(Tab_DaBa[],MATCH(CONCATENATE(Liste!$C$3,$B$1133,$B$1163),Data!$BO:$BO,0)-2,38)&lt;&gt;"",INDEX(Tab_DaBa[],MATCH(CONCATENATE(Liste!$C$3,$B$1133,$B$1163),Data!$BO:$BO,0)-2,43),"")),"")</f>
        <v/>
      </c>
      <c r="G1175" s="38" t="str">
        <f ca="1">IF(H1173="","",4)</f>
        <v/>
      </c>
      <c r="H1175" s="35" t="str">
        <f ca="1">IFERROR(IF(AND(INDEX(Tab_DaBa[],MATCH(CONCATENATE(Liste!$C$3,$B$1133,$B$1163),Data!$BO:$BO,0)-2,43)&lt;&gt;"",INDEX(Tab_DaBa[],MATCH(CONCATENATE(Liste!$C$3,$B$1133,$B$1163),Data!$BO:$BO,0)-2,48)=""),INDEX(Tab_DaBa[],MATCH(CONCATENATE(Liste!$C$3,$B$1133,$B$1163),Data!$BO:$BO,0)-2,13),IF(INDEX(Tab_DaBa[],MATCH(CONCATENATE(Liste!$C$3,$B$1133,$B$1163),Data!$BO:$BO,0)-2,43)&lt;&gt;"",INDEX(Tab_DaBa[],MATCH(CONCATENATE(Liste!$C$3,$B$1133,$B$1163),Data!$BO:$BO,0)-2,48),"")),"")</f>
        <v/>
      </c>
      <c r="I1175" s="38" t="str">
        <f ca="1">IF(B1181="","",6)</f>
        <v/>
      </c>
    </row>
    <row r="1176" spans="2:9" s="16" customFormat="1" ht="15.75">
      <c r="B1176" s="35" t="str">
        <f ca="1">IFERROR(IF(AND(INDEX(Tab_DaBa[],MATCH(CONCATENATE(Liste!$C$3,$B$1133,$B$1163),Data!$BO:$BO,0)-2,28)&lt;&gt;"",INDEX(Tab_DaBa[],MATCH(CONCATENATE(Liste!$C$3,$B$1133,$B$1163),Data!$BO:$BO,0)-2,33)=""),"Performance Level: "&amp;INDEX(Tab_DaBa[],MATCH(CONCATENATE(Liste!$C$3,$B$1133,$B$1163),Data!$BO:$BO,0)-2,15),IF(INDEX(Tab_DaBa[],MATCH(CONCATENATE(Liste!$C$3,$B$1133,$B$1163),Data!$BO:$BO,0)-2,28)&lt;&gt;"","Performance Level: "&amp;INDEX(Tab_DaBa[],MATCH(CONCATENATE(Liste!$C$3,$B$1133,$B$1163),Data!$BO:$BO,0)-2,35),"")),"")</f>
        <v/>
      </c>
      <c r="C1176" s="39"/>
      <c r="D1176" s="35" t="str">
        <f ca="1">IFERROR(IF(AND(INDEX(Tab_DaBa[],MATCH(CONCATENATE(Liste!$C$3,$B$1133,$B$1163),Data!$BO:$BO,0)-2,33)&lt;&gt;"",INDEX(Tab_DaBa[],MATCH(CONCATENATE(Liste!$C$3,$B$1133,$B$1163),Data!$BO:$BO,0)-2,38)=""),"Performance Level: "&amp;INDEX(Tab_DaBa[],MATCH(CONCATENATE(Liste!$C$3,$B$1133,$B$1163),Data!$BO:$BO,0)-2,15),IF(INDEX(Tab_DaBa[],MATCH(CONCATENATE(Liste!$C$3,$B$1133,$B$1163),Data!$BO:$BO,0)-2,33)&lt;&gt;"","Performance Level: "&amp;INDEX(Tab_DaBa[],MATCH(CONCATENATE(Liste!$C$3,$B$1133,$B$1163),Data!$BO:$BO,0)-2,40),"")),"")</f>
        <v/>
      </c>
      <c r="E1176" s="37"/>
      <c r="F1176" s="35" t="str">
        <f ca="1">IFERROR(IF(AND(INDEX(Tab_DaBa[],MATCH(CONCATENATE(Liste!$C$3,$B$1133,$B$1163),Data!$BO:$BO,0)-2,38)&lt;&gt;"",INDEX(Tab_DaBa[],MATCH(CONCATENATE(Liste!$C$3,$B$1133,$B$1163),Data!$BO:$BO,0)-2,43)=""),"Performance Level: "&amp;INDEX(Tab_DaBa[],MATCH(CONCATENATE(Liste!$C$3,$B$1133,$B$1163),Data!$BO:$BO,0)-2,15),IF(INDEX(Tab_DaBa[],MATCH(CONCATENATE(Liste!$C$3,$B$1133,$B$1163),Data!$BO:$BO,0)-2,38)&lt;&gt;"","Performance Level: "&amp;INDEX(Tab_DaBa[],MATCH(CONCATENATE(Liste!$C$3,$B$1133,$B$1163),Data!$BO:$BO,0)-2,45),"")),"")</f>
        <v/>
      </c>
      <c r="G1176" s="39"/>
      <c r="H1176" s="35" t="str">
        <f ca="1">IFERROR(IF(AND(INDEX(Tab_DaBa[],MATCH(CONCATENATE(Liste!$C$3,$B$1133,$B$1163),Data!$BO:$BO,0)-2,43)&lt;&gt;"",INDEX(Tab_DaBa[],MATCH(CONCATENATE(Liste!$C$3,$B$1133,$B$1163),Data!$BO:$BO,0)-2,48)=""),"Performance Level: "&amp;INDEX(Tab_DaBa[],MATCH(CONCATENATE(Liste!$C$3,$B$1133,$B$1163),Data!$BO:$BO,0)-2,15),IF(INDEX(Tab_DaBa[],MATCH(CONCATENATE(Liste!$C$3,$B$1133,$B$1163),Data!$BO:$BO,0)-2,43)&lt;&gt;"","Performance Level: "&amp;INDEX(Tab_DaBa[],MATCH(CONCATENATE(Liste!$C$3,$B$1133,$B$1163),Data!$BO:$BO,0)-2,50),"")),"")</f>
        <v/>
      </c>
      <c r="I1176" s="39"/>
    </row>
    <row r="1177" spans="2:9" s="16" customFormat="1" ht="15.75">
      <c r="B1177" s="35" t="str">
        <f ca="1">IFERROR(IF(AND(INDEX(Tab_DaBa[],MATCH(CONCATENATE(Liste!$C$3,$B$1133,$B$1163),Data!$BO:$BO,0)-2,28)&lt;&gt;"",INDEX(Tab_DaBa[],MATCH(CONCATENATE(Liste!$C$3,$B$1133,$B$1163),Data!$BO:$BO,0)-2,33)=""),"PFH [1/h] = "&amp;10^9*INDEX(Tab_DaBa[],MATCH(CONCATENATE(Liste!$C$3,$B$1133,$B$1163),Data!$BO:$BO,0)-2,16)&amp;"E-9",IF(INDEX(Tab_DaBa[],MATCH(CONCATENATE(Liste!$C$3,$B$1133,$B$1163),Data!$BO:$BO,0)-2,28)&lt;&gt;"","PFH [1/h] = "&amp;10^9*INDEX(Tab_DaBa[],MATCH(CONCATENATE(Liste!$C$3,$B$1133,$B$1163),Data!$BO:$BO,0)-2,36)&amp;"E-9","")),"")</f>
        <v/>
      </c>
      <c r="C1177" s="39"/>
      <c r="D1177" s="35" t="str">
        <f ca="1">IFERROR(IF(AND(INDEX(Tab_DaBa[],MATCH(CONCATENATE(Liste!$C$3,$B$1133,$B$1163),Data!$BO:$BO,0)-2,33)&lt;&gt;"",INDEX(Tab_DaBa[],MATCH(CONCATENATE(Liste!$C$3,$B$1133,$B$1163),Data!$BO:$BO,0)-2,38)=""),"PFH [1/h] = "&amp;10^9*INDEX(Tab_DaBa[],MATCH(CONCATENATE(Liste!$C$3,$B$1133,$B$1163),Data!$BO:$BO,0)-2,16)&amp;"E-9",IF(INDEX(Tab_DaBa[],MATCH(CONCATENATE(Liste!$C$3,$B$1133,$B$1163),Data!$BO:$BO,0)-2,33)&lt;&gt;"","PFH [1/h] = "&amp;10^9*INDEX(Tab_DaBa[],MATCH(CONCATENATE(Liste!$C$3,$B$1133,$B$1163),Data!$BO:$BO,0)-2,41)&amp;"E-9","")),"")</f>
        <v/>
      </c>
      <c r="E1177" s="37"/>
      <c r="F1177" s="35" t="str">
        <f ca="1">IFERROR(IF(AND(INDEX(Tab_DaBa[],MATCH(CONCATENATE(Liste!$C$3,$B$1133,$B$1163),Data!$BO:$BO,0)-2,38)&lt;&gt;"",INDEX(Tab_DaBa[],MATCH(CONCATENATE(Liste!$C$3,$B$1133,$B$1163),Data!$BO:$BO,0)-2,43)=""),"PFH [1/h] = "&amp;10^9*INDEX(Tab_DaBa[],MATCH(CONCATENATE(Liste!$C$3,$B$1133,$B$1163),Data!$BO:$BO,0)-2,16)&amp;"E-9",IF(INDEX(Tab_DaBa[],MATCH(CONCATENATE(Liste!$C$3,$B$1133,$B$1163),Data!$BO:$BO,0)-2,38)&lt;&gt;"","PFH [1/h] = "&amp;10^9*INDEX(Tab_DaBa[],MATCH(CONCATENATE(Liste!$C$3,$B$1133,$B$1163),Data!$BO:$BO,0)-2,46)&amp;"E-9","")),"")</f>
        <v/>
      </c>
      <c r="G1177" s="39"/>
      <c r="H1177" s="35" t="str">
        <f ca="1">IFERROR(IF(AND(INDEX(Tab_DaBa[],MATCH(CONCATENATE(Liste!$C$3,$B$1133,$B$1163),Data!$BO:$BO,0)-2,43)&lt;&gt;"",INDEX(Tab_DaBa[],MATCH(CONCATENATE(Liste!$C$3,$B$1133,$B$1163),Data!$BO:$BO,0)-2,48)=""),"PFH [1/h] = "&amp;10^9*INDEX(Tab_DaBa[],MATCH(CONCATENATE(Liste!$C$3,$B$1133,$B$1163),Data!$BO:$BO,0)-2,16)&amp;"E-9",IF(INDEX(Tab_DaBa[],MATCH(CONCATENATE(Liste!$C$3,$B$1133,$B$1163),Data!$BO:$BO,0)-2,43)&lt;&gt;"","PFH [1/h] = "&amp;10^9*INDEX(Tab_DaBa[],MATCH(CONCATENATE(Liste!$C$3,$B$1133,$B$1163),Data!$BO:$BO,0)-2,51)&amp;"E-9","")),"")</f>
        <v/>
      </c>
      <c r="I1177" s="39"/>
    </row>
    <row r="1178" spans="2:9" s="16" customFormat="1">
      <c r="B1178" s="33"/>
      <c r="C1178" s="33"/>
      <c r="D1178" s="33"/>
      <c r="E1178" s="33"/>
      <c r="F1178" s="33"/>
      <c r="G1178" s="33"/>
      <c r="H1178" s="33"/>
      <c r="I1178" s="33"/>
    </row>
    <row r="1179" spans="2:9" s="16" customFormat="1" ht="15.75">
      <c r="B1179" s="38" t="str">
        <f ca="1">IF(B1181="","",6)</f>
        <v/>
      </c>
      <c r="C1179" s="33"/>
      <c r="D1179" s="38" t="str">
        <f ca="1">IF(B1181="","",3)</f>
        <v/>
      </c>
      <c r="E1179" s="33"/>
      <c r="F1179" s="38" t="str">
        <f ca="1">IF(B1181="","",3)</f>
        <v/>
      </c>
      <c r="G1179" s="33"/>
      <c r="H1179" s="38" t="str">
        <f ca="1">IF(B1181="","",3)</f>
        <v/>
      </c>
      <c r="I1179" s="33"/>
    </row>
    <row r="1180" spans="2:9" s="16" customFormat="1" ht="15.75">
      <c r="B1180" s="39"/>
      <c r="C1180" s="33"/>
      <c r="D1180" s="33"/>
      <c r="E1180" s="33"/>
      <c r="F1180" s="33"/>
      <c r="G1180" s="33"/>
      <c r="H1180" s="33"/>
      <c r="I1180" s="33"/>
    </row>
    <row r="1181" spans="2:9" s="16" customFormat="1" ht="15.75">
      <c r="B1181" s="35" t="str">
        <f ca="1">IFERROR(IF(AND(INDEX(Tab_DaBa[],MATCH(CONCATENATE(Liste!$C$3,$B$1133,$B$1163),Data!$BO:$BO,0)-2,48)&lt;&gt;"",INDEX(Tab_DaBa[],MATCH(CONCATENATE(Liste!$C$3,$B$1133,$B$1163),Data!$BO:$BO,0)-2,53)=0),INDEX(Tab_DaBa[],MATCH(CONCATENATE(Liste!$C$3,$B$1133,$B$1163),Data!$BO:$BO,0)-2,14),IF(INDEX(Tab_DaBa[],MATCH(CONCATENATE(Liste!$C$3,$B$1133,$B$1163),Data!$BO:$BO,0)-2,48)&lt;&gt;"",INDEX(Tab_DaBa[],MATCH(CONCATENATE(Liste!$C$3,$B$1133,$B$1163),Data!$BO:$BO,0)-2,54),"")),"")</f>
        <v/>
      </c>
      <c r="C1181" s="39"/>
      <c r="D1181" s="35" t="str">
        <f ca="1">IFERROR(IF(AND(INDEX(Tab_DaBa[],MATCH(CONCATENATE(Liste!$C$3,$B$1133,$B$1163),Data!$BO:$BO,0)-2,53)&lt;&gt;"",INDEX(Tab_DaBa[],MATCH(CONCATENATE(Liste!$C$3,$B$1133,$B$1163),Data!$BO:$BO,0)-2,58)=0),INDEX(Tab_DaBa[],MATCH(CONCATENATE(Liste!$C$3,$B$1133,$B$1163),Data!$BO:$BO,0)-2,14),IF(INDEX(Tab_DaBa[],MATCH(CONCATENATE(Liste!$C$3,$B$1133,$B$1163),Data!$BO:$BO,0)-2,53)&lt;&gt;"",INDEX(Tab_DaBa[],MATCH(CONCATENATE(Liste!$C$3,$B$1133,$B$1163),Data!$BO:$BO,0)-2,59),"")),"")</f>
        <v/>
      </c>
      <c r="E1181" s="33"/>
      <c r="F1181" s="35" t="str">
        <f ca="1">IFERROR(IF(AND(INDEX(Tab_DaBa[],MATCH(CONCATENATE(Liste!$C$3,$B$1133,$B$1163),Data!$BO:$BO,0)-2,58)&lt;&gt;"",INDEX(Tab_DaBa[],MATCH(CONCATENATE(Liste!$C$3,$B$1133,$B$1163),Data!$BO:$BO,0)-2,63)=0),INDEX(Tab_DaBa[],MATCH(CONCATENATE(Liste!$C$3,$B$1133,$B$1163),Data!$BO:$BO,0)-2,14),IF(INDEX(Tab_DaBa[],MATCH(CONCATENATE(Liste!$C$3,$B$1133,$B$1163),Data!$BO:$BO,0)-2,58)&lt;&gt;"",INDEX(Tab_DaBa[],MATCH(CONCATENATE(Liste!$C$3,$B$1133,$B$1163),Data!$BO:$BO,0)-2,64),"")),"")</f>
        <v/>
      </c>
      <c r="G1181" s="39"/>
      <c r="H1181" s="35" t="str">
        <f ca="1">IFERROR(IF(INDEX(Tab_DaBa[],MATCH(CONCATENATE(Liste!$C$3,$B$1133,$B$1163),Data!$BO:$BO,0)-2,63)&lt;&gt;"",INDEX(Tab_DaBa[],MATCH(CONCATENATE(Liste!$C$3,$B$1133,$B$1163),Data!$BO:$BO,0)-2,14),""),"")</f>
        <v/>
      </c>
    </row>
    <row r="1182" spans="2:9" s="16" customFormat="1" ht="15.75">
      <c r="B1182" s="35" t="str">
        <f ca="1">IFERROR(IF(AND(INDEX(Tab_DaBa[],MATCH(CONCATENATE(Liste!$C$3,$B$1133,$B$1163),Data!$BO:$BO,0)-2,48)&lt;&gt;"",INDEX(Tab_DaBa[],MATCH(CONCATENATE(Liste!$C$3,$B$1133,$B$1163),Data!$BO:$BO,0)-2,53)=0),INDEX(Tab_DaBa[],MATCH(CONCATENATE(Liste!$C$3,$B$1133,$B$1163),Data!$BO:$BO,0)-2,12),IF(INDEX(Tab_DaBa[],MATCH(CONCATENATE(Liste!$C$3,$B$1133,$B$1163),Data!$BO:$BO,0)-2,48)&lt;&gt;"",INDEX(Tab_DaBa[],MATCH(CONCATENATE(Liste!$C$3,$B$1133,$B$1163),Data!$BO:$BO,0)-2,52),"")),"")</f>
        <v/>
      </c>
      <c r="C1182" s="39"/>
      <c r="D1182" s="35" t="str">
        <f ca="1">IFERROR(IF(AND(INDEX(Tab_DaBa[],MATCH(CONCATENATE(Liste!$C$3,$B$1133,$B$1163),Data!$BO:$BO,0)-2,53)&lt;&gt;"",INDEX(Tab_DaBa[],MATCH(CONCATENATE(Liste!$C$3,$B$1133,$B$1163),Data!$BO:$BO,0)-2,58)=0),INDEX(Tab_DaBa[],MATCH(CONCATENATE(Liste!$C$3,$B$1133,$B$1163),Data!$BO:$BO,0)-2,12),IF(INDEX(Tab_DaBa[],MATCH(CONCATENATE(Liste!$C$3,$B$1133,$B$1163),Data!$BO:$BO,0)-2,53)&lt;&gt;"",INDEX(Tab_DaBa[],MATCH(CONCATENATE(Liste!$C$3,$B$1133,$B$1163),Data!$BO:$BO,0)-2,57),"")),"")</f>
        <v/>
      </c>
      <c r="E1182" s="37"/>
      <c r="F1182" s="35" t="str">
        <f ca="1">IFERROR(IF(AND(INDEX(Tab_DaBa[],MATCH(CONCATENATE(Liste!$C$3,$B$1133,$B$1163),Data!$BO:$BO,0)-2,58)&lt;&gt;"",INDEX(Tab_DaBa[],MATCH(CONCATENATE(Liste!$C$3,$B$1133,$B$1163),Data!$BO:$BO,0)-2,63)=0),INDEX(Tab_DaBa[],MATCH(CONCATENATE(Liste!$C$3,$B$1133,$B$1163),Data!$BO:$BO,0)-2,12),IF(INDEX(Tab_DaBa[],MATCH(CONCATENATE(Liste!$C$3,$B$1133,$B$1163),Data!$BO:$BO,0)-2,58)&lt;&gt;"",INDEX(Tab_DaBa[],MATCH(CONCATENATE(Liste!$C$3,$B$1133,$B$1163),Data!$BO:$BO,0)-2,62),"")),"")</f>
        <v/>
      </c>
      <c r="G1182" s="39"/>
      <c r="H1182" s="35" t="str">
        <f ca="1">IFERROR(IF(INDEX(Tab_DaBa[],MATCH(CONCATENATE(Liste!$C$3,$B$1133,$B$1163),Data!$BO:$BO,0)-2,63)&lt;&gt;"",INDEX(Tab_DaBa[],MATCH(CONCATENATE(Liste!$C$3,$B$1133,$B$1163),Data!$BO:$BO,0)-2,12),""),"")</f>
        <v/>
      </c>
    </row>
    <row r="1183" spans="2:9" s="16" customFormat="1" ht="15.75">
      <c r="B1183" s="35" t="str">
        <f ca="1">IFERROR(IF(AND(INDEX(Tab_DaBa[],MATCH(CONCATENATE(Liste!$C$3,$B$1133,$B$1163),Data!$BO:$BO,0)-2,48)&lt;&gt;"",INDEX(Tab_DaBa[],MATCH(CONCATENATE(Liste!$C$3,$B$1133,$B$1163),Data!$BO:$BO,0)-2,53)=""),INDEX(Tab_DaBa[],MATCH(CONCATENATE(Liste!$C$3,$B$1133,$B$1163),Data!$BO:$BO,0)-2,13),IF(INDEX(Tab_DaBa[],MATCH(CONCATENATE(Liste!$C$3,$B$1133,$B$1163),Data!$BO:$BO,0)-2,48)&lt;&gt;"",INDEX(Tab_DaBa[],MATCH(CONCATENATE(Liste!$C$3,$B$1133,$B$1163),Data!$BO:$BO,0)-2,53),"")),"")</f>
        <v/>
      </c>
      <c r="C1183" s="38" t="str">
        <f ca="1">IF(D1181="","",4)</f>
        <v/>
      </c>
      <c r="D1183" s="35" t="str">
        <f ca="1">IFERROR(IF(AND(INDEX(Tab_DaBa[],MATCH(CONCATENATE(Liste!$C$3,$B$1133,$B$1163),Data!$BO:$BO,0)-2,53)&lt;&gt;"",INDEX(Tab_DaBa[],MATCH(CONCATENATE(Liste!$C$3,$B$1133,$B$1163),Data!$BO:$BO,0)-2,58)=""),INDEX(Tab_DaBa[],MATCH(CONCATENATE(Liste!$C$3,$B$1133,$B$1163),Data!$BO:$BO,0)-2,13),IF(INDEX(Tab_DaBa[],MATCH(CONCATENATE(Liste!$C$3,$B$1133,$B$1163),Data!$BO:$BO,0)-2,53)&lt;&gt;"",INDEX(Tab_DaBa[],MATCH(CONCATENATE(Liste!$C$3,$B$1133,$B$1163),Data!$BO:$BO,0)-2,58),"")),"")</f>
        <v/>
      </c>
      <c r="E1183" s="38" t="str">
        <f ca="1">IF(F1181="","",4)</f>
        <v/>
      </c>
      <c r="F1183" s="35" t="str">
        <f ca="1">IFERROR(IF(AND(INDEX(Tab_DaBa[],MATCH(CONCATENATE(Liste!$C$3,$B$1133,$B$1163),Data!$BO:$BO,0)-2,58)&lt;&gt;"",INDEX(Tab_DaBa[],MATCH(CONCATENATE(Liste!$C$3,$B$1133,$B$1163),Data!$BO:$BO,0)-2,63)=""),INDEX(Tab_DaBa[],MATCH(CONCATENATE(Liste!$C$3,$B$1133,$B$1163),Data!$BO:$BO,0)-2,13),IF(INDEX(Tab_DaBa[],MATCH(CONCATENATE(Liste!$C$3,$B$1133,$B$1163),Data!$BO:$BO,0)-2,58)&lt;&gt;"",INDEX(Tab_DaBa[],MATCH(CONCATENATE(Liste!$C$3,$B$1133,$B$1163),Data!$BO:$BO,0)-2,63),"")),"")</f>
        <v/>
      </c>
      <c r="G1183" s="38" t="str">
        <f ca="1">IF(H1181="","",4)</f>
        <v/>
      </c>
      <c r="H1183" s="35" t="str">
        <f ca="1">IFERROR(IF(INDEX(Tab_DaBa[],MATCH(CONCATENATE(Liste!$C$3,$B$1133,$B$1163),Data!$BO:$BO,0)-2,63)&lt;&gt;"",INDEX(Tab_DaBa[],MATCH(CONCATENATE(Liste!$C$3,$B$1133,$B$1163),Data!$BO:$BO,0)-2,13),""),"")</f>
        <v/>
      </c>
    </row>
    <row r="1184" spans="2:9" s="16" customFormat="1" ht="15.75">
      <c r="B1184" s="35" t="str">
        <f ca="1">IFERROR(IF(AND(INDEX(Tab_DaBa[],MATCH(CONCATENATE(Liste!$C$3,$B$1133,$B$1163),Data!$BO:$BO,0)-2,48)&lt;&gt;"",INDEX(Tab_DaBa[],MATCH(CONCATENATE(Liste!$C$3,$B$1133,$B$1163),Data!$BO:$BO,0)-2,53)=""),"Performance Level: "&amp;INDEX(Tab_DaBa[],MATCH(CONCATENATE(Liste!$C$3,$B$1133,$B$1163),Data!$BO:$BO,0)-2,15),IF(INDEX(Tab_DaBa[],MATCH(CONCATENATE(Liste!$C$3,$B$1133,$B$1163),Data!$BO:$BO,0)-2,48)&lt;&gt;"","Performance Level: "&amp;INDEX(Tab_DaBa[],MATCH(CONCATENATE(Liste!$C$3,$B$1133,$B$1163),Data!$BO:$BO,0)-2,55),"")),"")</f>
        <v/>
      </c>
      <c r="C1184" s="39"/>
      <c r="D1184" s="35" t="str">
        <f ca="1">IFERROR(IF(AND(INDEX(Tab_DaBa[],MATCH(CONCATENATE(Liste!$C$3,$B$1133,$B$1163),Data!$BO:$BO,0)-2,53)&lt;&gt;"",INDEX(Tab_DaBa[],MATCH(CONCATENATE(Liste!$C$3,$B$1133,$B$1163),Data!$BO:$BO,0)-2,58)=""),"Performance Level: "&amp;INDEX(Tab_DaBa[],MATCH(CONCATENATE(Liste!$C$3,$B$1133,$B$1163),Data!$BO:$BO,0)-2,15),IF(INDEX(Tab_DaBa[],MATCH(CONCATENATE(Liste!$C$3,$B$1133,$B$1163),Data!$BO:$BO,0)-2,53)&lt;&gt;"","Performance Level: "&amp;INDEX(Tab_DaBa[],MATCH(CONCATENATE(Liste!$C$3,$B$1133,$B$1163),Data!$BO:$BO,0)-2,60),"")),"")</f>
        <v/>
      </c>
      <c r="E1184" s="37"/>
      <c r="F1184" s="35" t="str">
        <f ca="1">IFERROR(IF(AND(INDEX(Tab_DaBa[],MATCH(CONCATENATE(Liste!$C$3,$B$1133,$B$1163),Data!$BO:$BO,0)-2,58)&lt;&gt;"",INDEX(Tab_DaBa[],MATCH(CONCATENATE(Liste!$C$3,$B$1133,$B$1163),Data!$BO:$BO,0)-2,63)=""),"Performance Level: "&amp;INDEX(Tab_DaBa[],MATCH(CONCATENATE(Liste!$C$3,$B$1133,$B$1163),Data!$BO:$BO,0)-2,15),IF(INDEX(Tab_DaBa[],MATCH(CONCATENATE(Liste!$C$3,$B$1133,$B$1163),Data!$BO:$BO,0)-2,58)&lt;&gt;"","Performance Level: "&amp;INDEX(Tab_DaBa[],MATCH(CONCATENATE(Liste!$C$3,$B$1133,$B$1163),Data!$BO:$BO,0)-2,65),"")),"")</f>
        <v/>
      </c>
      <c r="G1184" s="39"/>
      <c r="H1184" s="35" t="str">
        <f ca="1">IFERROR(IF(INDEX(Tab_DaBa[],MATCH(CONCATENATE(Liste!$C$3,$B$1133,$B$1163),Data!$BO:$BO,0)-2,63)&lt;&gt;"","Performance Level: "&amp;INDEX(Tab_DaBa[],MATCH(CONCATENATE(Liste!$C$3,$B$1133,$B$1163),Data!$BO:$BO,0)-2,15),""),"")</f>
        <v/>
      </c>
    </row>
    <row r="1185" spans="2:9" s="16" customFormat="1" ht="15.75">
      <c r="B1185" s="35" t="str">
        <f ca="1">IFERROR(IF(AND(INDEX(Tab_DaBa[],MATCH(CONCATENATE(Liste!$C$3,$B$1133,$B$1163),Data!$BO:$BO,0)-2,48)&lt;&gt;"",INDEX(Tab_DaBa[],MATCH(CONCATENATE(Liste!$C$3,$B$1133,$B$1163),Data!$BO:$BO,0)-2,53)=""),"PFH [1/h] = "&amp;10^9*INDEX(Tab_DaBa[],MATCH(CONCATENATE(Liste!$C$3,$B$1133,$B$1163),Data!$BO:$BO,0)-2,16)&amp;"E-9",IF(INDEX(Tab_DaBa[],MATCH(CONCATENATE(Liste!$C$3,$B$1133,$B$1163),Data!$BO:$BO,0)-2,48)&lt;&gt;"","PFH [1/h] = "&amp;10^9*INDEX(Tab_DaBa[],MATCH(CONCATENATE(Liste!$C$3,$B$1133,$B$1163),Data!$BO:$BO,0)-2,56)&amp;"E-9","")),"")</f>
        <v/>
      </c>
      <c r="C1185" s="39"/>
      <c r="D1185" s="35" t="str">
        <f ca="1">IFERROR(IF(AND(INDEX(Tab_DaBa[],MATCH(CONCATENATE(Liste!$C$3,$B$1133,$B$1163),Data!$BO:$BO,0)-2,53)&lt;&gt;"",INDEX(Tab_DaBa[],MATCH(CONCATENATE(Liste!$C$3,$B$1133,$B$1163),Data!$BO:$BO,0)-2,58)=""),"PFH [1/h] = "&amp;10^9*INDEX(Tab_DaBa[],MATCH(CONCATENATE(Liste!$C$3,$B$1133,$B$1163),Data!$BO:$BO,0)-2,16)&amp;"E-9",IF(INDEX(Tab_DaBa[],MATCH(CONCATENATE(Liste!$C$3,$B$1133,$B$1163),Data!$BO:$BO,0)-2,53)&lt;&gt;"","PFH [1/h] = "&amp;10^9*INDEX(Tab_DaBa[],MATCH(CONCATENATE(Liste!$C$3,$B$1133,$B$1163),Data!$BO:$BO,0)-2,61)&amp;"E-9","")),"")</f>
        <v/>
      </c>
      <c r="E1185" s="37"/>
      <c r="F1185" s="35" t="str">
        <f ca="1">IFERROR(IF(AND(INDEX(Tab_DaBa[],MATCH(CONCATENATE(Liste!$C$3,$B$1133,$B$1163),Data!$BO:$BO,0)-2,58)&lt;&gt;"",INDEX(Tab_DaBa[],MATCH(CONCATENATE(Liste!$C$3,$B$1133,$B$1163),Data!$BO:$BO,0)-2,63)=""),"PFH [1/h] = "&amp;10^9*INDEX(Tab_DaBa[],MATCH(CONCATENATE(Liste!$C$3,$B$1133,$B$1163),Data!$BO:$BO,0)-2,16)&amp;"E-9",IF(INDEX(Tab_DaBa[],MATCH(CONCATENATE(Liste!$C$3,$B$1133,$B$1163),Data!$BO:$BO,0)-2,58)&lt;&gt;"","PFH [1/h] = "&amp;10^9*INDEX(Tab_DaBa[],MATCH(CONCATENATE(Liste!$C$3,$B$1133,$B$1163),Data!$BO:$BO,0)-2,66)&amp;"E-9","")),"")</f>
        <v/>
      </c>
      <c r="G1185" s="39"/>
      <c r="H1185" s="35" t="str">
        <f ca="1">IFERROR(IF(INDEX(Tab_DaBa[],MATCH(CONCATENATE(Liste!$C$3,$B$1133,$B$1163),Data!$BO:$BO,0)-2,63)&lt;&gt;"","PFH [1/h] = "&amp;10^9*INDEX(Tab_DaBa[],MATCH(CONCATENATE(Liste!$C$3,$B$1133,$B$1163),Data!$BO:$BO,0)-2,16)&amp;"E-9",""),"")</f>
        <v/>
      </c>
    </row>
    <row r="1186" spans="2:9" s="16" customFormat="1"/>
    <row r="1187" spans="2:9" s="16" customFormat="1">
      <c r="B1187" s="43" t="str">
        <f ca="1">IF(D1187="","","Erforderlich")</f>
        <v>Erforderlich</v>
      </c>
      <c r="D1187" s="44" t="str">
        <f ca="1">IFERROR("Performance Level: "&amp;INDEX(Tab_DaBa[],MATCH(CONCATENATE(Liste!$C$3,$B$1133,$B$1163),Data!$BO:$BO,0)-2,4),"")</f>
        <v>Performance Level: PLr_ges4_2</v>
      </c>
    </row>
    <row r="1188" spans="2:9" s="16" customFormat="1">
      <c r="B1188" s="45"/>
    </row>
    <row r="1189" spans="2:9" s="16" customFormat="1">
      <c r="B1189" s="46" t="str">
        <f ca="1">IF(D1189="","","Erreicht")</f>
        <v>Erreicht</v>
      </c>
      <c r="D1189" s="47" t="str">
        <f ca="1">IFERROR("Performance Level: "&amp;INDEX(Tab_DaBa[],MATCH(CONCATENATE(Liste!$C$3,$B$1133,$B$1163),Data!$BO:$BO,0)-2,5)&amp;"          PFH [1/h] = "&amp;10^9*INDEX(Tab_DaBa[],MATCH(CONCATENATE(Liste!$C$3,$B$1133,$B$1163),Data!$BO:$BO,0)-2,6)&amp;"E-9","")</f>
        <v>Performance Level: Pl_ges4_2          PFH [1/h] = 71,7E-9</v>
      </c>
    </row>
    <row r="1190" spans="2:9" s="16" customFormat="1"/>
    <row r="1191" spans="2:9" s="16" customFormat="1">
      <c r="B1191" s="42" t="str">
        <f ca="1">IFERROR(IF(3&gt;COUNTIF(Data!$BP:$BP,CONCATENATE(Liste!$C$3,$B$1133)),"",INDEX(Tab_DaBa[],MATCH(CONCATENATE(Liste!$C$3,$B$1133),Data!$BP:$BP,0),3)),"")</f>
        <v>5.3 Test4 (E+3L+A)</v>
      </c>
    </row>
    <row r="1192" spans="2:9" s="16" customFormat="1"/>
    <row r="1193" spans="2:9" s="16" customFormat="1" ht="15.75">
      <c r="B1193" s="35" t="str">
        <f ca="1">IFERROR(INDEX(Tab_DaBa[],MATCH(CONCATENATE(Liste!$C$3,$B$1133,$B$1191),Data!$BO:$BO,0)-2,9),"")</f>
        <v>Eingang</v>
      </c>
      <c r="C1193" s="54"/>
      <c r="D1193" s="35" t="str">
        <f ca="1">IFERROR(IF(INDEX(Tab_DaBa[],MATCH(CONCATENATE(Liste!$C$3,$B$1133,$B$1191),Data!$BO:$BO,0)-2,18)=0,INDEX(Tab_DaBa[],MATCH(CONCATENATE(Liste!$C$3,$B$1133,$B$1191),Data!$BO:$BO,0)-2,14),INDEX(Tab_DaBa[],MATCH(CONCATENATE(Liste!$C$3,$B$1133,$B$1191),Data!$BO:$BO,0)-2,19)),"")</f>
        <v>Logik 01</v>
      </c>
      <c r="E1193" s="33"/>
      <c r="F1193" s="35" t="str">
        <f ca="1">IFERROR(IF(AND(INDEX(Tab_DaBa[],MATCH(CONCATENATE(Liste!$C$3,$B$1133,$B$1191),Data!$BO:$BO,0)-2,18)&lt;&gt;"",INDEX(Tab_DaBa[],MATCH(CONCATENATE(Liste!$C$3,$B$1133,$B$1191),Data!$BO:$BO,0)-2,23)=0),INDEX(Tab_DaBa[],MATCH(CONCATENATE(Liste!$C$3,$B$1133,$B$1191),Data!$BO:$BO,0)-2,14),IF(INDEX(Tab_DaBa[],MATCH(CONCATENATE(Liste!$C$3,$B$1133,$B$1191),Data!$BO:$BO,0)-2,23)&lt;&gt;"",INDEX(Tab_DaBa[],MATCH(CONCATENATE(Liste!$C$3,$B$1133,$B$1191),Data!$BO:$BO,0)-2,24),"")),"")</f>
        <v>Logik 02</v>
      </c>
      <c r="G1193" s="39"/>
      <c r="H1193" s="35" t="str">
        <f ca="1">IFERROR(IF(AND(INDEX(Tab_DaBa[],MATCH(CONCATENATE(Liste!$C$3,$B$1133,$B$1191),Data!$BO:$BO,0)-2,23)&lt;&gt;"",INDEX(Tab_DaBa[],MATCH(CONCATENATE(Liste!$C$3,$B$1133,$B$1191),Data!$BO:$BO,0)-2,28)=0),INDEX(Tab_DaBa[],MATCH(CONCATENATE(Liste!$C$3,$B$1133,$B$1191),Data!$BO:$BO,0)-2,14),IF(INDEX(Tab_DaBa[],MATCH(CONCATENATE(Liste!$C$3,$B$1133,$B$1191),Data!$BO:$BO,0)-2,23)&lt;&gt;"",INDEX(Tab_DaBa[],MATCH(CONCATENATE(Liste!$C$3,$B$1133,$B$1191),Data!$BO:$BO,0)-2,29),"")),"")</f>
        <v>Logik 03</v>
      </c>
      <c r="I1193" s="39"/>
    </row>
    <row r="1194" spans="2:9" s="16" customFormat="1" ht="15.75">
      <c r="B1194" s="35" t="str">
        <f ca="1">IFERROR(INDEX(Tab_DaBa[],MATCH(CONCATENATE(Liste!$C$3,$B$1133,$B$1191),Data!$BO:$BO,0)-2,7),"")</f>
        <v>eeee-33_3</v>
      </c>
      <c r="C1194" s="54"/>
      <c r="D1194" s="35" t="str">
        <f ca="1">IFERROR(IF(INDEX(Tab_DaBa[],MATCH(CONCATENATE(Liste!$C$3,$B$1133,$B$1191),Data!$BO:$BO,0)-2,18)="",INDEX(Tab_DaBa[],MATCH(CONCATENATE(Liste!$C$3,$B$1133,$B$1191),Data!$BO:$BO,0)-2,12),INDEX(Tab_DaBa[],MATCH(CONCATENATE(Liste!$C$3,$B$1133,$B$1191),Data!$BO:$BO,0)-2,17)),"")</f>
        <v>Log01-04_03</v>
      </c>
      <c r="E1194" s="36"/>
      <c r="F1194" s="35" t="str">
        <f ca="1">IFERROR(IF(AND(INDEX(Tab_DaBa[],MATCH(CONCATENATE(Liste!$C$3,$B$1133,$B$1191),Data!$BO:$BO,0)-2,18)&lt;&gt;"",INDEX(Tab_DaBa[],MATCH(CONCATENATE(Liste!$C$3,$B$1133,$B$1191),Data!$BO:$BO,0)-2,23)=0),INDEX(Tab_DaBa[],MATCH(CONCATENATE(Liste!$C$3,$B$1133,$B$1191),Data!$BO:$BO,0)-2,12),IF(INDEX(Tab_DaBa[],MATCH(CONCATENATE(Liste!$C$3,$B$1133,$B$1191),Data!$BO:$BO,0)-2,23)&lt;&gt;"",INDEX(Tab_DaBa[],MATCH(CONCATENATE(Liste!$C$3,$B$1133,$B$1191),Data!$BO:$BO,0)-2,22),"")),"")</f>
        <v>Lo04-04_03</v>
      </c>
      <c r="G1194" s="39"/>
      <c r="H1194" s="35" t="str">
        <f ca="1">IFERROR(IF(AND(INDEX(Tab_DaBa[],MATCH(CONCATENATE(Liste!$C$3,$B$1133,$B$1191),Data!$BO:$BO,0)-2,23)&lt;&gt;"",INDEX(Tab_DaBa[],MATCH(CONCATENATE(Liste!$C$3,$B$1133,$B$1191),Data!$BO:$BO,0)-2,28)=0),INDEX(Tab_DaBa[],MATCH(CONCATENATE(Liste!$C$3,$B$1133,$B$1191),Data!$BO:$BO,0)-2,12),IF(INDEX(Tab_DaBa[],MATCH(CONCATENATE(Liste!$C$3,$B$1133,$B$1191),Data!$BO:$BO,0)-2,23)&lt;&gt;"",INDEX(Tab_DaBa[],MATCH(CONCATENATE(Liste!$C$3,$B$1133,$B$1191),Data!$BO:$BO,0)-2,27),"")),"")</f>
        <v>Lo04-44_03</v>
      </c>
      <c r="I1194" s="39"/>
    </row>
    <row r="1195" spans="2:9" s="16" customFormat="1" ht="15.75">
      <c r="B1195" s="35" t="str">
        <f ca="1">IFERROR(INDEX(Tab_DaBa[],MATCH(CONCATENATE(Liste!$C$3,$B$1133,$B$1191),Data!$BO:$BO,0)-2,8),"")</f>
        <v>Bez_Ein4_3</v>
      </c>
      <c r="C1195" s="40">
        <f ca="1">IF(D1193="","",4)</f>
        <v>4</v>
      </c>
      <c r="D1195" s="35" t="str">
        <f ca="1">IFERROR(IF(INDEX(Tab_DaBa[],MATCH(CONCATENATE(Liste!$C$3,$B$1133,$B$1191),Data!$BO:$BO,0)-2,18)="",INDEX(Tab_DaBa[],MATCH(CONCATENATE(Liste!$C$3,$B$1133,$B$1191),Data!$BO:$BO,0)-2,13),INDEX(Tab_DaBa[],MATCH(CONCATENATE(Liste!$C$3,$B$1133,$B$1191),Data!$BO:$BO,0)-2,18)),"")</f>
        <v>Bez_Log01_04_03</v>
      </c>
      <c r="E1195" s="40">
        <f ca="1">IF(F1193="","",4)</f>
        <v>4</v>
      </c>
      <c r="F1195" s="35" t="str">
        <f ca="1">IFERROR(IF(AND(INDEX(Tab_DaBa[],MATCH(CONCATENATE(Liste!$C$3,$B$1133,$B$1191),Data!$BO:$BO,0)-2,18)&lt;&gt;"",INDEX(Tab_DaBa[],MATCH(CONCATENATE(Liste!$C$3,$B$1133,$B$1191),Data!$BO:$BO,0)-2,23)=""),INDEX(Tab_DaBa[],MATCH(CONCATENATE(Liste!$C$3,$B$1133,$B$1191),Data!$BO:$BO,0)-2,13),IF(INDEX(Tab_DaBa[],MATCH(CONCATENATE(Liste!$C$3,$B$1133,$B$1191),Data!$BO:$BO,0)-2,23)&lt;&gt;"",INDEX(Tab_DaBa[],MATCH(CONCATENATE(Liste!$C$3,$B$1133,$B$1191),Data!$BO:$BO,0)-2,23),"")),"")</f>
        <v>Bez_Lo04_03</v>
      </c>
      <c r="G1195" s="38">
        <f ca="1">IF(H1193="","",4)</f>
        <v>4</v>
      </c>
      <c r="H1195" s="35" t="str">
        <f ca="1">IFERROR(IF(AND(INDEX(Tab_DaBa[],MATCH(CONCATENATE(Liste!$C$3,$B$1133,$B$1191),Data!$BO:$BO,0)-2,23)&lt;&gt;"",INDEX(Tab_DaBa[],MATCH(CONCATENATE(Liste!$C$3,$B$1133,$B$1191),Data!$BO:$BO,0)-2,28)=""),INDEX(Tab_DaBa[],MATCH(CONCATENATE(Liste!$C$3,$B$1133,$B$1191),Data!$BO:$BO,0)-2,13),IF(INDEX(Tab_DaBa[],MATCH(CONCATENATE(Liste!$C$3,$B$1133,$B$1191),Data!$BO:$BO,0)-2,23)&lt;&gt;"",INDEX(Tab_DaBa[],MATCH(CONCATENATE(Liste!$C$3,$B$1133,$B$1191),Data!$BO:$BO,0)-2,28),"")),"")</f>
        <v>Bez_Lo04_03</v>
      </c>
      <c r="I1195" s="38">
        <f ca="1">IF(B1201="","",6)</f>
        <v>6</v>
      </c>
    </row>
    <row r="1196" spans="2:9" s="16" customFormat="1" ht="15.75">
      <c r="B1196" s="35" t="str">
        <f ca="1">IFERROR("Performance Level: "&amp;INDEX(Tab_DaBa[],MATCH(CONCATENATE(Liste!$C$3,$B$1133,$B$1191),Data!$BO:$BO,0)-2,10),"")</f>
        <v>Performance Level: PL_Ein4_3</v>
      </c>
      <c r="C1196" s="54"/>
      <c r="D1196" s="35" t="str">
        <f ca="1">IFERROR(IF(INDEX(Tab_DaBa[],MATCH(CONCATENATE(Liste!$C$3,$B$1133,$B$1191),Data!$BO:$BO,0)-2,18)="","Performance Level: "&amp;INDEX(Tab_DaBa[],MATCH(CONCATENATE(Liste!$C$3,$B$1133,$B$1191),Data!$BO:$BO,0)-2,15),"Performance Level: "&amp;INDEX(Tab_DaBa[],MATCH(CONCATENATE(Liste!$C$3,$B$1133,$B$1191),Data!$BO:$BO,0)-2,20)),"")</f>
        <v>Performance Level: PL_Log01_04_03</v>
      </c>
      <c r="E1196" s="36"/>
      <c r="F1196" s="35" t="str">
        <f ca="1">IFERROR(IF(AND(INDEX(Tab_DaBa[],MATCH(CONCATENATE(Liste!$C$3,$B$1133,$B$1191),Data!$BO:$BO,0)-2,18)&lt;&gt;"",INDEX(Tab_DaBa[],MATCH(CONCATENATE(Liste!$C$3,$B$1133,$B$1191),Data!$BO:$BO,0)-2,23)=""),"Performance Level: "&amp;INDEX(Tab_DaBa[],MATCH(CONCATENATE(Liste!$C$3,$B$1133,$B$1191),Data!$BO:$BO,0)-2,15),IF(INDEX(Tab_DaBa[],MATCH(CONCATENATE(Liste!$C$3,$B$1133,$B$1191),Data!$BO:$BO,0)-2,23)&lt;&gt;"","Performance Level: "&amp;INDEX(Tab_DaBa[],MATCH(CONCATENATE(Liste!$C$3,$B$1133,$B$1191),Data!$BO:$BO,0)-2,25),"")),"")</f>
        <v>Performance Level: PL_Lo04_03</v>
      </c>
      <c r="G1196" s="39"/>
      <c r="H1196" s="35" t="str">
        <f ca="1">IFERROR(IF(AND(INDEX(Tab_DaBa[],MATCH(CONCATENATE(Liste!$C$3,$B$1133,$B$1191),Data!$BO:$BO,0)-2,23)&lt;&gt;"",INDEX(Tab_DaBa[],MATCH(CONCATENATE(Liste!$C$3,$B$1133,$B$1191),Data!$BO:$BO,0)-2,28)=""),"Performance Level: "&amp;INDEX(Tab_DaBa[],MATCH(CONCATENATE(Liste!$C$3,$B$1133,$B$1191),Data!$BO:$BO,0)-2,15),IF(INDEX(Tab_DaBa[],MATCH(CONCATENATE(Liste!$C$3,$B$1133,$B$1191),Data!$BO:$BO,0)-2,23)&lt;&gt;"","Performance Level: "&amp;INDEX(Tab_DaBa[],MATCH(CONCATENATE(Liste!$C$3,$B$1133,$B$1191),Data!$BO:$BO,0)-2,30),"")),"")</f>
        <v>Performance Level: PL_Lo04_03</v>
      </c>
      <c r="I1196" s="38"/>
    </row>
    <row r="1197" spans="2:9" s="16" customFormat="1" ht="15.75">
      <c r="B1197" s="53" t="str">
        <f ca="1">IFERROR("PFH [1/h] = "&amp;10^9*INDEX(Tab_DaBa[],MATCH(CONCATENATE(Liste!$C$3,$B$1133,$B$1191),Data!$BO:$BO,0)-2,11)&amp;"E-9","")</f>
        <v>PFH [1/h] = 42,9E-9</v>
      </c>
      <c r="C1197" s="54"/>
      <c r="D1197" s="35" t="str">
        <f ca="1">IFERROR(IF(INDEX(Tab_DaBa[],MATCH(CONCATENATE(Liste!$C$3,$B$1133,$B$1191),Data!$BO:$BO,0)-2,18)="","PFH [1/h] = "&amp;10^9*INDEX(Tab_DaBa[],MATCH(CONCATENATE(Liste!$C$3,$B$1133,$B$1191),Data!$BO:$BO,0)-2,16)&amp;"E-9","PFH [1/h] = "&amp;10^9*INDEX(Tab_DaBa[],MATCH(CONCATENATE(Liste!$C$3,$B$1133,$B$1191),Data!$BO:$BO,0)-2,21)&amp;"E-9"),"")</f>
        <v>PFH [1/h] = 4,19E-9</v>
      </c>
      <c r="E1197" s="36"/>
      <c r="F1197" s="35" t="str">
        <f ca="1">IFERROR(IF(AND(INDEX(Tab_DaBa[],MATCH(CONCATENATE(Liste!$C$3,$B$1133,$B$1191),Data!$BO:$BO,0)-2,18)&lt;&gt;"",INDEX(Tab_DaBa[],MATCH(CONCATENATE(Liste!$C$3,$B$1133,$B$1191),Data!$BO:$BO,0)-2,23)=""),"PFH [1/h] = "&amp;10^9*INDEX(Tab_DaBa[],MATCH(CONCATENATE(Liste!$C$3,$B$1133,$B$1191),Data!$BO:$BO,0)-2,16)&amp;"E-9",IF(INDEX(Tab_DaBa[],MATCH(CONCATENATE(Liste!$C$3,$B$1133,$B$1191),Data!$BO:$BO,0)-2,23)&lt;&gt;"","PFH [1/h] = "&amp;10^9*INDEX(Tab_DaBa[],MATCH(CONCATENATE(Liste!$C$3,$B$1133,$B$1191),Data!$BO:$BO,0)-2,26)&amp;"E-9","")),"")</f>
        <v>PFH [1/h] = 4,19E-9</v>
      </c>
      <c r="G1197" s="39"/>
      <c r="H1197" s="35" t="str">
        <f ca="1">IFERROR(IF(AND(INDEX(Tab_DaBa[],MATCH(CONCATENATE(Liste!$C$3,$B$1133,$B$1191),Data!$BO:$BO,0)-2,23)&lt;&gt;"",INDEX(Tab_DaBa[],MATCH(CONCATENATE(Liste!$C$3,$B$1133,$B$1191),Data!$BO:$BO,0)-2,28)=""),"PFH [1/h] = "&amp;10^9*INDEX(Tab_DaBa[],MATCH(CONCATENATE(Liste!$C$3,$B$1133,$B$1191),Data!$BO:$BO,0)-2,16)&amp;"E-9",IF(INDEX(Tab_DaBa[],MATCH(CONCATENATE(Liste!$C$3,$B$1133,$B$1191),Data!$BO:$BO,0)-2,23)&lt;&gt;"","PFH [1/h] = "&amp;10^9*INDEX(Tab_DaBa[],MATCH(CONCATENATE(Liste!$C$3,$B$1133,$B$1191),Data!$BO:$BO,0)-2,31)&amp;"E-9","")),"")</f>
        <v>PFH [1/h] = 4,19E-9</v>
      </c>
      <c r="I1197" s="39"/>
    </row>
    <row r="1198" spans="2:9" s="16" customFormat="1">
      <c r="B1198" s="33"/>
      <c r="C1198" s="34"/>
      <c r="D1198" s="33"/>
      <c r="E1198" s="33"/>
      <c r="F1198" s="33"/>
      <c r="G1198" s="33"/>
      <c r="H1198" s="33"/>
      <c r="I1198" s="33"/>
    </row>
    <row r="1199" spans="2:9" s="16" customFormat="1" ht="15.75">
      <c r="B1199" s="38">
        <f ca="1">IF(B1201="","",6)</f>
        <v>6</v>
      </c>
      <c r="C1199" s="34"/>
      <c r="D1199" s="38">
        <f ca="1">IF(B1201="","",3)</f>
        <v>3</v>
      </c>
      <c r="E1199" s="33"/>
      <c r="F1199" s="38">
        <f ca="1">IF(B1201="","",3)</f>
        <v>3</v>
      </c>
      <c r="G1199" s="33"/>
      <c r="H1199" s="38">
        <f ca="1">IF(B1201="","",3)</f>
        <v>3</v>
      </c>
      <c r="I1199" s="33"/>
    </row>
    <row r="1200" spans="2:9" s="16" customFormat="1" ht="15.75">
      <c r="B1200" s="39"/>
      <c r="C1200" s="33"/>
      <c r="D1200" s="33"/>
      <c r="E1200" s="33"/>
      <c r="F1200" s="33"/>
      <c r="G1200" s="33"/>
      <c r="H1200" s="33"/>
      <c r="I1200" s="33"/>
    </row>
    <row r="1201" spans="2:9" s="16" customFormat="1" ht="15.75">
      <c r="B1201" s="35" t="str">
        <f ca="1">IFERROR(IF(AND(INDEX(Tab_DaBa[],MATCH(CONCATENATE(Liste!$C$3,$B$1133,$B$1191),Data!$BO:$BO,0)-2,28)&lt;&gt;"",INDEX(Tab_DaBa[],MATCH(CONCATENATE(Liste!$C$3,$B$1133,$B$1191),Data!$BO:$BO,0)-2,33)=0),INDEX(Tab_DaBa[],MATCH(CONCATENATE(Liste!$C$3,$B$1133,$B$1191),Data!$BO:$BO,0)-2,14),IF(INDEX(Tab_DaBa[],MATCH(CONCATENATE(Liste!$C$3,$B$1133,$B$1191),Data!$BO:$BO,0)-2,28)&lt;&gt;"",INDEX(Tab_DaBa[],MATCH(CONCATENATE(Liste!$C$3,$B$1133,$B$1191),Data!$BO:$BO,0)-2,34),"")),"")</f>
        <v>Ausgang</v>
      </c>
      <c r="C1201" s="39"/>
      <c r="D1201" s="35" t="str">
        <f ca="1">IFERROR(IF(AND(INDEX(Tab_DaBa[],MATCH(CONCATENATE(Liste!$C$3,$B$1133,$B$1191),Data!$BO:$BO,0)-2,33)&lt;&gt;"",INDEX(Tab_DaBa[],MATCH(CONCATENATE(Liste!$C$3,$B$1133,$B$1191),Data!$BO:$BO,0)-2,38)=0),INDEX(Tab_DaBa[],MATCH(CONCATENATE(Liste!$C$3,$B$1133,$B$1191),Data!$BO:$BO,0)-2,14),IF(INDEX(Tab_DaBa[],MATCH(CONCATENATE(Liste!$C$3,$B$1133,$B$1191),Data!$BO:$BO,0)-2,33)&lt;&gt;"",INDEX(Tab_DaBa[],MATCH(CONCATENATE(Liste!$C$3,$B$1133,$B$1191),Data!$BO:$BO,0)-2,39),"")),"")</f>
        <v/>
      </c>
      <c r="E1201" s="33"/>
      <c r="F1201" s="35" t="str">
        <f ca="1">IFERROR(IF(AND(INDEX(Tab_DaBa[],MATCH(CONCATENATE(Liste!$C$3,$B$1133,$B$1191),Data!$BO:$BO,0)-2,38)&lt;&gt;"",INDEX(Tab_DaBa[],MATCH(CONCATENATE(Liste!$C$3,$B$1133,$B$1191),Data!$BO:$BO,0)-2,43)=0),INDEX(Tab_DaBa[],MATCH(CONCATENATE(Liste!$C$3,$B$1133,$B$1191),Data!$BO:$BO,0)-2,14),IF(INDEX(Tab_DaBa[],MATCH(CONCATENATE(Liste!$C$3,$B$1133,$B$1191),Data!$BO:$BO,0)-2,38)&lt;&gt;"",INDEX(Tab_DaBa[],MATCH(CONCATENATE(Liste!$C$3,$B$1133,$B$1191),Data!$BO:$BO,0)-2,44),"")),"")</f>
        <v/>
      </c>
      <c r="G1201" s="39"/>
      <c r="H1201" s="35" t="str">
        <f ca="1">IFERROR(IF(AND(INDEX(Tab_DaBa[],MATCH(CONCATENATE(Liste!$C$3,$B$1133,$B$1191),Data!$BO:$BO,0)-2,43)&lt;&gt;"",INDEX(Tab_DaBa[],MATCH(CONCATENATE(Liste!$C$3,$B$1133,$B$1191),Data!$BO:$BO,0)-2,48)=0),INDEX(Tab_DaBa[],MATCH(CONCATENATE(Liste!$C$3,$B$1133,$B$1191),Data!$BO:$BO,0)-2,14),IF(INDEX(Tab_DaBa[],MATCH(CONCATENATE(Liste!$C$3,$B$1133,$B$1191),Data!$BO:$BO,0)-2,43)&lt;&gt;"",INDEX(Tab_DaBa[],MATCH(CONCATENATE(Liste!$C$3,$B$1133,$B$1191),Data!$BO:$BO,0)-2,49),"")),"")</f>
        <v/>
      </c>
      <c r="I1201" s="39"/>
    </row>
    <row r="1202" spans="2:9" s="16" customFormat="1" ht="15.75">
      <c r="B1202" s="35" t="str">
        <f ca="1">IFERROR(IF(AND(INDEX(Tab_DaBa[],MATCH(CONCATENATE(Liste!$C$3,$B$1133,$B$1191),Data!$BO:$BO,0)-2,28)&lt;&gt;"",INDEX(Tab_DaBa[],MATCH(CONCATENATE(Liste!$C$3,$B$1133,$B$1191),Data!$BO:$BO,0)-2,33)=0),INDEX(Tab_DaBa[],MATCH(CONCATENATE(Liste!$C$3,$B$1133,$B$1191),Data!$BO:$BO,0)-2,12),IF(INDEX(Tab_DaBa[],MATCH(CONCATENATE(Liste!$C$3,$B$1133,$B$1191),Data!$BO:$BO,0)-2,28)&lt;&gt;"",INDEX(Tab_DaBa[],MATCH(CONCATENATE(Liste!$C$3,$B$1133,$B$1191),Data!$BO:$BO,0)-2,32),"")),"")</f>
        <v>aaaa-44_3</v>
      </c>
      <c r="C1202" s="39"/>
      <c r="D1202" s="35" t="str">
        <f ca="1">IFERROR(IF(AND(INDEX(Tab_DaBa[],MATCH(CONCATENATE(Liste!$C$3,$B$1133,$B$1191),Data!$BO:$BO,0)-2,33)&lt;&gt;"",INDEX(Tab_DaBa[],MATCH(CONCATENATE(Liste!$C$3,$B$1133,$B$1191),Data!$BO:$BO,0)-2,38)=0),INDEX(Tab_DaBa[],MATCH(CONCATENATE(Liste!$C$3,$B$1133,$B$1191),Data!$BO:$BO,0)-2,12),IF(INDEX(Tab_DaBa[],MATCH(CONCATENATE(Liste!$C$3,$B$1133,$B$1191),Data!$BO:$BO,0)-2,33)&lt;&gt;"",INDEX(Tab_DaBa[],MATCH(CONCATENATE(Liste!$C$3,$B$1133,$B$1191),Data!$BO:$BO,0)-2,37),"")),"")</f>
        <v/>
      </c>
      <c r="E1202" s="37"/>
      <c r="F1202" s="35" t="str">
        <f ca="1">IFERROR(IF(AND(INDEX(Tab_DaBa[],MATCH(CONCATENATE(Liste!$C$3,$B$1133,$B$1191),Data!$BO:$BO,0)-2,38)&lt;&gt;"",INDEX(Tab_DaBa[],MATCH(CONCATENATE(Liste!$C$3,$B$1133,$B$1191),Data!$BO:$BO,0)-2,43)=0),INDEX(Tab_DaBa[],MATCH(CONCATENATE(Liste!$C$3,$B$1133,$B$1191),Data!$BO:$BO,0)-2,12),IF(INDEX(Tab_DaBa[],MATCH(CONCATENATE(Liste!$C$3,$B$1133,$B$1191),Data!$BO:$BO,0)-2,38)&lt;&gt;"",INDEX(Tab_DaBa[],MATCH(CONCATENATE(Liste!$C$3,$B$1133,$B$1191),Data!$BO:$BO,0)-2,42),"")),"")</f>
        <v/>
      </c>
      <c r="G1202" s="39"/>
      <c r="H1202" s="35" t="str">
        <f ca="1">IFERROR(IF(AND(INDEX(Tab_DaBa[],MATCH(CONCATENATE(Liste!$C$3,$B$1133,$B$1191),Data!$BO:$BO,0)-2,43)&lt;&gt;"",INDEX(Tab_DaBa[],MATCH(CONCATENATE(Liste!$C$3,$B$1133,$B$1191),Data!$BO:$BO,0)-2,48)=0),INDEX(Tab_DaBa[],MATCH(CONCATENATE(Liste!$C$3,$B$1133,$B$1191),Data!$BO:$BO,0)-2,12),IF(INDEX(Tab_DaBa[],MATCH(CONCATENATE(Liste!$C$3,$B$1133,$B$1191),Data!$BO:$BO,0)-2,43)&lt;&gt;"",INDEX(Tab_DaBa[],MATCH(CONCATENATE(Liste!$C$3,$B$1133,$B$1191),Data!$BO:$BO,0)-2,47),"")),"")</f>
        <v/>
      </c>
      <c r="I1202" s="39"/>
    </row>
    <row r="1203" spans="2:9" s="16" customFormat="1" ht="15.75">
      <c r="B1203" s="35" t="str">
        <f ca="1">IFERROR(IF(AND(INDEX(Tab_DaBa[],MATCH(CONCATENATE(Liste!$C$3,$B$1133,$B$1191),Data!$BO:$BO,0)-2,28)&lt;&gt;"",INDEX(Tab_DaBa[],MATCH(CONCATENATE(Liste!$C$3,$B$1133,$B$1191),Data!$BO:$BO,0)-2,33)=""),INDEX(Tab_DaBa[],MATCH(CONCATENATE(Liste!$C$3,$B$1133,$B$1191),Data!$BO:$BO,0)-2,13),IF(INDEX(Tab_DaBa[],MATCH(CONCATENATE(Liste!$C$3,$B$1133,$B$1191),Data!$BO:$BO,0)-2,28)&lt;&gt;"",INDEX(Tab_DaBa[],MATCH(CONCATENATE(Liste!$C$3,$B$1133,$B$1191),Data!$BO:$BO,0)-2,33),"")),"")</f>
        <v>Bez_Aus4_3</v>
      </c>
      <c r="C1203" s="38" t="str">
        <f ca="1">IF(D1201="","",4)</f>
        <v/>
      </c>
      <c r="D1203" s="35" t="str">
        <f ca="1">IFERROR(IF(AND(INDEX(Tab_DaBa[],MATCH(CONCATENATE(Liste!$C$3,$B$1133,$B$1191),Data!$BO:$BO,0)-2,33)&lt;&gt;"",INDEX(Tab_DaBa[],MATCH(CONCATENATE(Liste!$C$3,$B$1133,$B$1191),Data!$BO:$BO,0)-2,38)=""),INDEX(Tab_DaBa[],MATCH(CONCATENATE(Liste!$C$3,$B$1133,$B$1191),Data!$BO:$BO,0)-2,13),IF(INDEX(Tab_DaBa[],MATCH(CONCATENATE(Liste!$C$3,$B$1133,$B$1191),Data!$BO:$BO,0)-2,33)&lt;&gt;"",INDEX(Tab_DaBa[],MATCH(CONCATENATE(Liste!$C$3,$B$1133,$B$1191),Data!$BO:$BO,0)-2,38),"")),"")</f>
        <v/>
      </c>
      <c r="E1203" s="38" t="str">
        <f ca="1">IF(F1201="","",4)</f>
        <v/>
      </c>
      <c r="F1203" s="35" t="str">
        <f ca="1">IFERROR(IF(AND(INDEX(Tab_DaBa[],MATCH(CONCATENATE(Liste!$C$3,$B$1133,$B$1191),Data!$BO:$BO,0)-2,38)&lt;&gt;"",INDEX(Tab_DaBa[],MATCH(CONCATENATE(Liste!$C$3,$B$1133,$B$1191),Data!$BO:$BO,0)-2,43)=""),INDEX(Tab_DaBa[],MATCH(CONCATENATE(Liste!$C$3,$B$1133,$B$1191),Data!$BO:$BO,0)-2,13),IF(INDEX(Tab_DaBa[],MATCH(CONCATENATE(Liste!$C$3,$B$1133,$B$1191),Data!$BO:$BO,0)-2,38)&lt;&gt;"",INDEX(Tab_DaBa[],MATCH(CONCATENATE(Liste!$C$3,$B$1133,$B$1191),Data!$BO:$BO,0)-2,43),"")),"")</f>
        <v/>
      </c>
      <c r="G1203" s="38" t="str">
        <f ca="1">IF(H1201="","",4)</f>
        <v/>
      </c>
      <c r="H1203" s="35" t="str">
        <f ca="1">IFERROR(IF(AND(INDEX(Tab_DaBa[],MATCH(CONCATENATE(Liste!$C$3,$B$1133,$B$1191),Data!$BO:$BO,0)-2,43)&lt;&gt;"",INDEX(Tab_DaBa[],MATCH(CONCATENATE(Liste!$C$3,$B$1133,$B$1191),Data!$BO:$BO,0)-2,48)=""),INDEX(Tab_DaBa[],MATCH(CONCATENATE(Liste!$C$3,$B$1133,$B$1191),Data!$BO:$BO,0)-2,13),IF(INDEX(Tab_DaBa[],MATCH(CONCATENATE(Liste!$C$3,$B$1133,$B$1191),Data!$BO:$BO,0)-2,43)&lt;&gt;"",INDEX(Tab_DaBa[],MATCH(CONCATENATE(Liste!$C$3,$B$1133,$B$1191),Data!$BO:$BO,0)-2,48),"")),"")</f>
        <v/>
      </c>
      <c r="I1203" s="38" t="str">
        <f ca="1">IF(B1209="","",6)</f>
        <v/>
      </c>
    </row>
    <row r="1204" spans="2:9" s="16" customFormat="1" ht="15.75">
      <c r="B1204" s="35" t="str">
        <f ca="1">IFERROR(IF(AND(INDEX(Tab_DaBa[],MATCH(CONCATENATE(Liste!$C$3,$B$1133,$B$1191),Data!$BO:$BO,0)-2,28)&lt;&gt;"",INDEX(Tab_DaBa[],MATCH(CONCATENATE(Liste!$C$3,$B$1133,$B$1191),Data!$BO:$BO,0)-2,33)=""),"Performance Level: "&amp;INDEX(Tab_DaBa[],MATCH(CONCATENATE(Liste!$C$3,$B$1133,$B$1191),Data!$BO:$BO,0)-2,15),IF(INDEX(Tab_DaBa[],MATCH(CONCATENATE(Liste!$C$3,$B$1133,$B$1191),Data!$BO:$BO,0)-2,28)&lt;&gt;"","Performance Level: "&amp;INDEX(Tab_DaBa[],MATCH(CONCATENATE(Liste!$C$3,$B$1133,$B$1191),Data!$BO:$BO,0)-2,35),"")),"")</f>
        <v>Performance Level: PL_Aus4_3</v>
      </c>
      <c r="C1204" s="39"/>
      <c r="D1204" s="35" t="str">
        <f ca="1">IFERROR(IF(AND(INDEX(Tab_DaBa[],MATCH(CONCATENATE(Liste!$C$3,$B$1133,$B$1191),Data!$BO:$BO,0)-2,33)&lt;&gt;"",INDEX(Tab_DaBa[],MATCH(CONCATENATE(Liste!$C$3,$B$1133,$B$1191),Data!$BO:$BO,0)-2,38)=""),"Performance Level: "&amp;INDEX(Tab_DaBa[],MATCH(CONCATENATE(Liste!$C$3,$B$1133,$B$1191),Data!$BO:$BO,0)-2,15),IF(INDEX(Tab_DaBa[],MATCH(CONCATENATE(Liste!$C$3,$B$1133,$B$1191),Data!$BO:$BO,0)-2,33)&lt;&gt;"","Performance Level: "&amp;INDEX(Tab_DaBa[],MATCH(CONCATENATE(Liste!$C$3,$B$1133,$B$1191),Data!$BO:$BO,0)-2,40),"")),"")</f>
        <v/>
      </c>
      <c r="E1204" s="37"/>
      <c r="F1204" s="35" t="str">
        <f ca="1">IFERROR(IF(AND(INDEX(Tab_DaBa[],MATCH(CONCATENATE(Liste!$C$3,$B$1133,$B$1191),Data!$BO:$BO,0)-2,38)&lt;&gt;"",INDEX(Tab_DaBa[],MATCH(CONCATENATE(Liste!$C$3,$B$1133,$B$1191),Data!$BO:$BO,0)-2,43)=""),"Performance Level: "&amp;INDEX(Tab_DaBa[],MATCH(CONCATENATE(Liste!$C$3,$B$1133,$B$1191),Data!$BO:$BO,0)-2,15),IF(INDEX(Tab_DaBa[],MATCH(CONCATENATE(Liste!$C$3,$B$1133,$B$1191),Data!$BO:$BO,0)-2,38)&lt;&gt;"","Performance Level: "&amp;INDEX(Tab_DaBa[],MATCH(CONCATENATE(Liste!$C$3,$B$1133,$B$1191),Data!$BO:$BO,0)-2,45),"")),"")</f>
        <v/>
      </c>
      <c r="G1204" s="39"/>
      <c r="H1204" s="35" t="str">
        <f ca="1">IFERROR(IF(AND(INDEX(Tab_DaBa[],MATCH(CONCATENATE(Liste!$C$3,$B$1133,$B$1191),Data!$BO:$BO,0)-2,43)&lt;&gt;"",INDEX(Tab_DaBa[],MATCH(CONCATENATE(Liste!$C$3,$B$1133,$B$1191),Data!$BO:$BO,0)-2,48)=""),"Performance Level: "&amp;INDEX(Tab_DaBa[],MATCH(CONCATENATE(Liste!$C$3,$B$1133,$B$1191),Data!$BO:$BO,0)-2,15),IF(INDEX(Tab_DaBa[],MATCH(CONCATENATE(Liste!$C$3,$B$1133,$B$1191),Data!$BO:$BO,0)-2,43)&lt;&gt;"","Performance Level: "&amp;INDEX(Tab_DaBa[],MATCH(CONCATENATE(Liste!$C$3,$B$1133,$B$1191),Data!$BO:$BO,0)-2,50),"")),"")</f>
        <v/>
      </c>
      <c r="I1204" s="39"/>
    </row>
    <row r="1205" spans="2:9" s="16" customFormat="1" ht="15.75">
      <c r="B1205" s="35" t="str">
        <f ca="1">IFERROR(IF(AND(INDEX(Tab_DaBa[],MATCH(CONCATENATE(Liste!$C$3,$B$1133,$B$1191),Data!$BO:$BO,0)-2,28)&lt;&gt;"",INDEX(Tab_DaBa[],MATCH(CONCATENATE(Liste!$C$3,$B$1133,$B$1191),Data!$BO:$BO,0)-2,33)=""),"PFH [1/h] = "&amp;10^9*INDEX(Tab_DaBa[],MATCH(CONCATENATE(Liste!$C$3,$B$1133,$B$1191),Data!$BO:$BO,0)-2,16)&amp;"E-9",IF(INDEX(Tab_DaBa[],MATCH(CONCATENATE(Liste!$C$3,$B$1133,$B$1191),Data!$BO:$BO,0)-2,28)&lt;&gt;"","PFH [1/h] = "&amp;10^9*INDEX(Tab_DaBa[],MATCH(CONCATENATE(Liste!$C$3,$B$1133,$B$1191),Data!$BO:$BO,0)-2,36)&amp;"E-9","")),"")</f>
        <v>PFH [1/h] = 24,7E-9</v>
      </c>
      <c r="C1205" s="39"/>
      <c r="D1205" s="35" t="str">
        <f ca="1">IFERROR(IF(AND(INDEX(Tab_DaBa[],MATCH(CONCATENATE(Liste!$C$3,$B$1133,$B$1191),Data!$BO:$BO,0)-2,33)&lt;&gt;"",INDEX(Tab_DaBa[],MATCH(CONCATENATE(Liste!$C$3,$B$1133,$B$1191),Data!$BO:$BO,0)-2,38)=""),"PFH [1/h] = "&amp;10^9*INDEX(Tab_DaBa[],MATCH(CONCATENATE(Liste!$C$3,$B$1133,$B$1191),Data!$BO:$BO,0)-2,16)&amp;"E-9",IF(INDEX(Tab_DaBa[],MATCH(CONCATENATE(Liste!$C$3,$B$1133,$B$1191),Data!$BO:$BO,0)-2,33)&lt;&gt;"","PFH [1/h] = "&amp;10^9*INDEX(Tab_DaBa[],MATCH(CONCATENATE(Liste!$C$3,$B$1133,$B$1191),Data!$BO:$BO,0)-2,41)&amp;"E-9","")),"")</f>
        <v/>
      </c>
      <c r="E1205" s="37"/>
      <c r="F1205" s="35" t="str">
        <f ca="1">IFERROR(IF(AND(INDEX(Tab_DaBa[],MATCH(CONCATENATE(Liste!$C$3,$B$1133,$B$1191),Data!$BO:$BO,0)-2,38)&lt;&gt;"",INDEX(Tab_DaBa[],MATCH(CONCATENATE(Liste!$C$3,$B$1133,$B$1191),Data!$BO:$BO,0)-2,43)=""),"PFH [1/h] = "&amp;10^9*INDEX(Tab_DaBa[],MATCH(CONCATENATE(Liste!$C$3,$B$1133,$B$1191),Data!$BO:$BO,0)-2,16)&amp;"E-9",IF(INDEX(Tab_DaBa[],MATCH(CONCATENATE(Liste!$C$3,$B$1133,$B$1191),Data!$BO:$BO,0)-2,38)&lt;&gt;"","PFH [1/h] = "&amp;10^9*INDEX(Tab_DaBa[],MATCH(CONCATENATE(Liste!$C$3,$B$1133,$B$1191),Data!$BO:$BO,0)-2,46)&amp;"E-9","")),"")</f>
        <v/>
      </c>
      <c r="G1205" s="39"/>
      <c r="H1205" s="35" t="str">
        <f ca="1">IFERROR(IF(AND(INDEX(Tab_DaBa[],MATCH(CONCATENATE(Liste!$C$3,$B$1133,$B$1191),Data!$BO:$BO,0)-2,43)&lt;&gt;"",INDEX(Tab_DaBa[],MATCH(CONCATENATE(Liste!$C$3,$B$1133,$B$1191),Data!$BO:$BO,0)-2,48)=""),"PFH [1/h] = "&amp;10^9*INDEX(Tab_DaBa[],MATCH(CONCATENATE(Liste!$C$3,$B$1133,$B$1191),Data!$BO:$BO,0)-2,16)&amp;"E-9",IF(INDEX(Tab_DaBa[],MATCH(CONCATENATE(Liste!$C$3,$B$1133,$B$1191),Data!$BO:$BO,0)-2,43)&lt;&gt;"","PFH [1/h] = "&amp;10^9*INDEX(Tab_DaBa[],MATCH(CONCATENATE(Liste!$C$3,$B$1133,$B$1191),Data!$BO:$BO,0)-2,51)&amp;"E-9","")),"")</f>
        <v/>
      </c>
      <c r="I1205" s="39"/>
    </row>
    <row r="1206" spans="2:9" s="16" customFormat="1">
      <c r="B1206" s="33"/>
      <c r="C1206" s="33"/>
      <c r="D1206" s="33"/>
      <c r="E1206" s="33"/>
      <c r="F1206" s="33"/>
      <c r="G1206" s="33"/>
      <c r="H1206" s="33"/>
      <c r="I1206" s="33"/>
    </row>
    <row r="1207" spans="2:9" s="16" customFormat="1" ht="15.75">
      <c r="B1207" s="38" t="str">
        <f ca="1">IF(B1209="","",6)</f>
        <v/>
      </c>
      <c r="C1207" s="33"/>
      <c r="D1207" s="38" t="str">
        <f ca="1">IF(B1209="","",3)</f>
        <v/>
      </c>
      <c r="E1207" s="33"/>
      <c r="F1207" s="38" t="str">
        <f ca="1">IF(B1209="","",3)</f>
        <v/>
      </c>
      <c r="G1207" s="33"/>
      <c r="H1207" s="38" t="str">
        <f ca="1">IF(B1209="","",3)</f>
        <v/>
      </c>
      <c r="I1207" s="33"/>
    </row>
    <row r="1208" spans="2:9" s="16" customFormat="1" ht="15.75">
      <c r="B1208" s="39"/>
      <c r="C1208" s="33"/>
      <c r="D1208" s="33"/>
      <c r="E1208" s="33"/>
      <c r="F1208" s="33"/>
      <c r="G1208" s="33"/>
      <c r="H1208" s="33"/>
      <c r="I1208" s="33"/>
    </row>
    <row r="1209" spans="2:9" s="16" customFormat="1" ht="15.75">
      <c r="B1209" s="35" t="str">
        <f ca="1">IFERROR(IF(AND(INDEX(Tab_DaBa[],MATCH(CONCATENATE(Liste!$C$3,$B$1133,$B$1191),Data!$BO:$BO,0)-2,48)&lt;&gt;"",INDEX(Tab_DaBa[],MATCH(CONCATENATE(Liste!$C$3,$B$1133,$B$1191),Data!$BO:$BO,0)-2,53)=0),INDEX(Tab_DaBa[],MATCH(CONCATENATE(Liste!$C$3,$B$1133,$B$1191),Data!$BO:$BO,0)-2,14),IF(INDEX(Tab_DaBa[],MATCH(CONCATENATE(Liste!$C$3,$B$1133,$B$1191),Data!$BO:$BO,0)-2,48)&lt;&gt;"",INDEX(Tab_DaBa[],MATCH(CONCATENATE(Liste!$C$3,$B$1133,$B$1191),Data!$BO:$BO,0)-2,54),"")),"")</f>
        <v/>
      </c>
      <c r="C1209" s="39"/>
      <c r="D1209" s="35" t="str">
        <f ca="1">IFERROR(IF(AND(INDEX(Tab_DaBa[],MATCH(CONCATENATE(Liste!$C$3,$B$1133,$B$1191),Data!$BO:$BO,0)-2,53)&lt;&gt;"",INDEX(Tab_DaBa[],MATCH(CONCATENATE(Liste!$C$3,$B$1133,$B$1191),Data!$BO:$BO,0)-2,58)=0),INDEX(Tab_DaBa[],MATCH(CONCATENATE(Liste!$C$3,$B$1133,$B$1191),Data!$BO:$BO,0)-2,14),IF(INDEX(Tab_DaBa[],MATCH(CONCATENATE(Liste!$C$3,$B$1133,$B$1191),Data!$BO:$BO,0)-2,53)&lt;&gt;"",INDEX(Tab_DaBa[],MATCH(CONCATENATE(Liste!$C$3,$B$1133,$B$1191),Data!$BO:$BO,0)-2,59),"")),"")</f>
        <v/>
      </c>
      <c r="E1209" s="33"/>
      <c r="F1209" s="35" t="str">
        <f ca="1">IFERROR(IF(AND(INDEX(Tab_DaBa[],MATCH(CONCATENATE(Liste!$C$3,$B$1133,$B$1191),Data!$BO:$BO,0)-2,58)&lt;&gt;"",INDEX(Tab_DaBa[],MATCH(CONCATENATE(Liste!$C$3,$B$1133,$B$1191),Data!$BO:$BO,0)-2,63)=0),INDEX(Tab_DaBa[],MATCH(CONCATENATE(Liste!$C$3,$B$1133,$B$1191),Data!$BO:$BO,0)-2,14),IF(INDEX(Tab_DaBa[],MATCH(CONCATENATE(Liste!$C$3,$B$1133,$B$1191),Data!$BO:$BO,0)-2,58)&lt;&gt;"",INDEX(Tab_DaBa[],MATCH(CONCATENATE(Liste!$C$3,$B$1133,$B$1191),Data!$BO:$BO,0)-2,64),"")),"")</f>
        <v/>
      </c>
      <c r="G1209" s="39"/>
      <c r="H1209" s="35" t="str">
        <f ca="1">IFERROR(IF(INDEX(Tab_DaBa[],MATCH(CONCATENATE(Liste!$C$3,$B$1133,$B$1191),Data!$BO:$BO,0)-2,63)&lt;&gt;"",INDEX(Tab_DaBa[],MATCH(CONCATENATE(Liste!$C$3,$B$1133,$B$1191),Data!$BO:$BO,0)-2,14),""),"")</f>
        <v/>
      </c>
    </row>
    <row r="1210" spans="2:9" s="16" customFormat="1" ht="15.75">
      <c r="B1210" s="35" t="str">
        <f ca="1">IFERROR(IF(AND(INDEX(Tab_DaBa[],MATCH(CONCATENATE(Liste!$C$3,$B$1133,$B$1191),Data!$BO:$BO,0)-2,48)&lt;&gt;"",INDEX(Tab_DaBa[],MATCH(CONCATENATE(Liste!$C$3,$B$1133,$B$1191),Data!$BO:$BO,0)-2,53)=0),INDEX(Tab_DaBa[],MATCH(CONCATENATE(Liste!$C$3,$B$1133,$B$1191),Data!$BO:$BO,0)-2,12),IF(INDEX(Tab_DaBa[],MATCH(CONCATENATE(Liste!$C$3,$B$1133,$B$1191),Data!$BO:$BO,0)-2,48)&lt;&gt;"",INDEX(Tab_DaBa[],MATCH(CONCATENATE(Liste!$C$3,$B$1133,$B$1191),Data!$BO:$BO,0)-2,52),"")),"")</f>
        <v/>
      </c>
      <c r="C1210" s="39"/>
      <c r="D1210" s="35" t="str">
        <f ca="1">IFERROR(IF(AND(INDEX(Tab_DaBa[],MATCH(CONCATENATE(Liste!$C$3,$B$1133,$B$1191),Data!$BO:$BO,0)-2,53)&lt;&gt;"",INDEX(Tab_DaBa[],MATCH(CONCATENATE(Liste!$C$3,$B$1133,$B$1191),Data!$BO:$BO,0)-2,58)=0),INDEX(Tab_DaBa[],MATCH(CONCATENATE(Liste!$C$3,$B$1133,$B$1191),Data!$BO:$BO,0)-2,12),IF(INDEX(Tab_DaBa[],MATCH(CONCATENATE(Liste!$C$3,$B$1133,$B$1191),Data!$BO:$BO,0)-2,53)&lt;&gt;"",INDEX(Tab_DaBa[],MATCH(CONCATENATE(Liste!$C$3,$B$1133,$B$1191),Data!$BO:$BO,0)-2,57),"")),"")</f>
        <v/>
      </c>
      <c r="E1210" s="37"/>
      <c r="F1210" s="35" t="str">
        <f ca="1">IFERROR(IF(AND(INDEX(Tab_DaBa[],MATCH(CONCATENATE(Liste!$C$3,$B$1133,$B$1191),Data!$BO:$BO,0)-2,58)&lt;&gt;"",INDEX(Tab_DaBa[],MATCH(CONCATENATE(Liste!$C$3,$B$1133,$B$1191),Data!$BO:$BO,0)-2,63)=0),INDEX(Tab_DaBa[],MATCH(CONCATENATE(Liste!$C$3,$B$1133,$B$1191),Data!$BO:$BO,0)-2,12),IF(INDEX(Tab_DaBa[],MATCH(CONCATENATE(Liste!$C$3,$B$1133,$B$1191),Data!$BO:$BO,0)-2,58)&lt;&gt;"",INDEX(Tab_DaBa[],MATCH(CONCATENATE(Liste!$C$3,$B$1133,$B$1191),Data!$BO:$BO,0)-2,62),"")),"")</f>
        <v/>
      </c>
      <c r="G1210" s="39"/>
      <c r="H1210" s="35" t="str">
        <f ca="1">IFERROR(IF(INDEX(Tab_DaBa[],MATCH(CONCATENATE(Liste!$C$3,$B$1133,$B$1191),Data!$BO:$BO,0)-2,63)&lt;&gt;"",INDEX(Tab_DaBa[],MATCH(CONCATENATE(Liste!$C$3,$B$1133,$B$1191),Data!$BO:$BO,0)-2,12),""),"")</f>
        <v/>
      </c>
    </row>
    <row r="1211" spans="2:9" s="16" customFormat="1" ht="15.75">
      <c r="B1211" s="35" t="str">
        <f ca="1">IFERROR(IF(AND(INDEX(Tab_DaBa[],MATCH(CONCATENATE(Liste!$C$3,$B$1133,$B$1191),Data!$BO:$BO,0)-2,48)&lt;&gt;"",INDEX(Tab_DaBa[],MATCH(CONCATENATE(Liste!$C$3,$B$1133,$B$1191),Data!$BO:$BO,0)-2,53)=""),INDEX(Tab_DaBa[],MATCH(CONCATENATE(Liste!$C$3,$B$1133,$B$1191),Data!$BO:$BO,0)-2,13),IF(INDEX(Tab_DaBa[],MATCH(CONCATENATE(Liste!$C$3,$B$1133,$B$1191),Data!$BO:$BO,0)-2,48)&lt;&gt;"",INDEX(Tab_DaBa[],MATCH(CONCATENATE(Liste!$C$3,$B$1133,$B$1191),Data!$BO:$BO,0)-2,53),"")),"")</f>
        <v/>
      </c>
      <c r="C1211" s="38" t="str">
        <f ca="1">IF(D1209="","",4)</f>
        <v/>
      </c>
      <c r="D1211" s="35" t="str">
        <f ca="1">IFERROR(IF(AND(INDEX(Tab_DaBa[],MATCH(CONCATENATE(Liste!$C$3,$B$1133,$B$1191),Data!$BO:$BO,0)-2,53)&lt;&gt;"",INDEX(Tab_DaBa[],MATCH(CONCATENATE(Liste!$C$3,$B$1133,$B$1191),Data!$BO:$BO,0)-2,58)=""),INDEX(Tab_DaBa[],MATCH(CONCATENATE(Liste!$C$3,$B$1133,$B$1191),Data!$BO:$BO,0)-2,13),IF(INDEX(Tab_DaBa[],MATCH(CONCATENATE(Liste!$C$3,$B$1133,$B$1191),Data!$BO:$BO,0)-2,53)&lt;&gt;"",INDEX(Tab_DaBa[],MATCH(CONCATENATE(Liste!$C$3,$B$1133,$B$1191),Data!$BO:$BO,0)-2,58),"")),"")</f>
        <v/>
      </c>
      <c r="E1211" s="38" t="str">
        <f ca="1">IF(F1209="","",4)</f>
        <v/>
      </c>
      <c r="F1211" s="35" t="str">
        <f ca="1">IFERROR(IF(AND(INDEX(Tab_DaBa[],MATCH(CONCATENATE(Liste!$C$3,$B$1133,$B$1191),Data!$BO:$BO,0)-2,58)&lt;&gt;"",INDEX(Tab_DaBa[],MATCH(CONCATENATE(Liste!$C$3,$B$1133,$B$1191),Data!$BO:$BO,0)-2,63)=""),INDEX(Tab_DaBa[],MATCH(CONCATENATE(Liste!$C$3,$B$1133,$B$1191),Data!$BO:$BO,0)-2,13),IF(INDEX(Tab_DaBa[],MATCH(CONCATENATE(Liste!$C$3,$B$1133,$B$1191),Data!$BO:$BO,0)-2,58)&lt;&gt;"",INDEX(Tab_DaBa[],MATCH(CONCATENATE(Liste!$C$3,$B$1133,$B$1191),Data!$BO:$BO,0)-2,63),"")),"")</f>
        <v/>
      </c>
      <c r="G1211" s="38" t="str">
        <f ca="1">IF(H1209="","",4)</f>
        <v/>
      </c>
      <c r="H1211" s="35" t="str">
        <f ca="1">IFERROR(IF(INDEX(Tab_DaBa[],MATCH(CONCATENATE(Liste!$C$3,$B$1133,$B$1191),Data!$BO:$BO,0)-2,63)&lt;&gt;"",INDEX(Tab_DaBa[],MATCH(CONCATENATE(Liste!$C$3,$B$1133,$B$1191),Data!$BO:$BO,0)-2,13),""),"")</f>
        <v/>
      </c>
    </row>
    <row r="1212" spans="2:9" s="16" customFormat="1" ht="15.75">
      <c r="B1212" s="35" t="str">
        <f ca="1">IFERROR(IF(AND(INDEX(Tab_DaBa[],MATCH(CONCATENATE(Liste!$C$3,$B$1133,$B$1191),Data!$BO:$BO,0)-2,48)&lt;&gt;"",INDEX(Tab_DaBa[],MATCH(CONCATENATE(Liste!$C$3,$B$1133,$B$1191),Data!$BO:$BO,0)-2,53)=""),"Performance Level: "&amp;INDEX(Tab_DaBa[],MATCH(CONCATENATE(Liste!$C$3,$B$1133,$B$1191),Data!$BO:$BO,0)-2,15),IF(INDEX(Tab_DaBa[],MATCH(CONCATENATE(Liste!$C$3,$B$1133,$B$1191),Data!$BO:$BO,0)-2,48)&lt;&gt;"","Performance Level: "&amp;INDEX(Tab_DaBa[],MATCH(CONCATENATE(Liste!$C$3,$B$1133,$B$1191),Data!$BO:$BO,0)-2,55),"")),"")</f>
        <v/>
      </c>
      <c r="C1212" s="39"/>
      <c r="D1212" s="35" t="str">
        <f ca="1">IFERROR(IF(AND(INDEX(Tab_DaBa[],MATCH(CONCATENATE(Liste!$C$3,$B$1133,$B$1191),Data!$BO:$BO,0)-2,53)&lt;&gt;"",INDEX(Tab_DaBa[],MATCH(CONCATENATE(Liste!$C$3,$B$1133,$B$1191),Data!$BO:$BO,0)-2,58)=""),"Performance Level: "&amp;INDEX(Tab_DaBa[],MATCH(CONCATENATE(Liste!$C$3,$B$1133,$B$1191),Data!$BO:$BO,0)-2,15),IF(INDEX(Tab_DaBa[],MATCH(CONCATENATE(Liste!$C$3,$B$1133,$B$1191),Data!$BO:$BO,0)-2,53)&lt;&gt;"","Performance Level: "&amp;INDEX(Tab_DaBa[],MATCH(CONCATENATE(Liste!$C$3,$B$1133,$B$1191),Data!$BO:$BO,0)-2,60),"")),"")</f>
        <v/>
      </c>
      <c r="E1212" s="37"/>
      <c r="F1212" s="35" t="str">
        <f ca="1">IFERROR(IF(AND(INDEX(Tab_DaBa[],MATCH(CONCATENATE(Liste!$C$3,$B$1133,$B$1191),Data!$BO:$BO,0)-2,58)&lt;&gt;"",INDEX(Tab_DaBa[],MATCH(CONCATENATE(Liste!$C$3,$B$1133,$B$1191),Data!$BO:$BO,0)-2,63)=""),"Performance Level: "&amp;INDEX(Tab_DaBa[],MATCH(CONCATENATE(Liste!$C$3,$B$1133,$B$1191),Data!$BO:$BO,0)-2,15),IF(INDEX(Tab_DaBa[],MATCH(CONCATENATE(Liste!$C$3,$B$1133,$B$1191),Data!$BO:$BO,0)-2,58)&lt;&gt;"","Performance Level: "&amp;INDEX(Tab_DaBa[],MATCH(CONCATENATE(Liste!$C$3,$B$1133,$B$1191),Data!$BO:$BO,0)-2,65),"")),"")</f>
        <v/>
      </c>
      <c r="G1212" s="39"/>
      <c r="H1212" s="35" t="str">
        <f ca="1">IFERROR(IF(INDEX(Tab_DaBa[],MATCH(CONCATENATE(Liste!$C$3,$B$1133,$B$1191),Data!$BO:$BO,0)-2,63)&lt;&gt;"","Performance Level: "&amp;INDEX(Tab_DaBa[],MATCH(CONCATENATE(Liste!$C$3,$B$1133,$B$1191),Data!$BO:$BO,0)-2,15),""),"")</f>
        <v/>
      </c>
    </row>
    <row r="1213" spans="2:9" s="16" customFormat="1" ht="15.75">
      <c r="B1213" s="35" t="str">
        <f ca="1">IFERROR(IF(AND(INDEX(Tab_DaBa[],MATCH(CONCATENATE(Liste!$C$3,$B$1133,$B$1191),Data!$BO:$BO,0)-2,48)&lt;&gt;"",INDEX(Tab_DaBa[],MATCH(CONCATENATE(Liste!$C$3,$B$1133,$B$1191),Data!$BO:$BO,0)-2,53)=""),"PFH [1/h] = "&amp;10^9*INDEX(Tab_DaBa[],MATCH(CONCATENATE(Liste!$C$3,$B$1133,$B$1191),Data!$BO:$BO,0)-2,16)&amp;"E-9",IF(INDEX(Tab_DaBa[],MATCH(CONCATENATE(Liste!$C$3,$B$1133,$B$1191),Data!$BO:$BO,0)-2,48)&lt;&gt;"","PFH [1/h] = "&amp;10^9*INDEX(Tab_DaBa[],MATCH(CONCATENATE(Liste!$C$3,$B$1133,$B$1191),Data!$BO:$BO,0)-2,56)&amp;"E-9","")),"")</f>
        <v/>
      </c>
      <c r="C1213" s="39"/>
      <c r="D1213" s="35" t="str">
        <f ca="1">IFERROR(IF(AND(INDEX(Tab_DaBa[],MATCH(CONCATENATE(Liste!$C$3,$B$1133,$B$1191),Data!$BO:$BO,0)-2,53)&lt;&gt;"",INDEX(Tab_DaBa[],MATCH(CONCATENATE(Liste!$C$3,$B$1133,$B$1191),Data!$BO:$BO,0)-2,58)=""),"PFH [1/h] = "&amp;10^9*INDEX(Tab_DaBa[],MATCH(CONCATENATE(Liste!$C$3,$B$1133,$B$1191),Data!$BO:$BO,0)-2,16)&amp;"E-9",IF(INDEX(Tab_DaBa[],MATCH(CONCATENATE(Liste!$C$3,$B$1133,$B$1191),Data!$BO:$BO,0)-2,53)&lt;&gt;"","PFH [1/h] = "&amp;10^9*INDEX(Tab_DaBa[],MATCH(CONCATENATE(Liste!$C$3,$B$1133,$B$1191),Data!$BO:$BO,0)-2,61)&amp;"E-9","")),"")</f>
        <v/>
      </c>
      <c r="E1213" s="37"/>
      <c r="F1213" s="35" t="str">
        <f ca="1">IFERROR(IF(AND(INDEX(Tab_DaBa[],MATCH(CONCATENATE(Liste!$C$3,$B$1133,$B$1191),Data!$BO:$BO,0)-2,58)&lt;&gt;"",INDEX(Tab_DaBa[],MATCH(CONCATENATE(Liste!$C$3,$B$1133,$B$1191),Data!$BO:$BO,0)-2,63)=""),"PFH [1/h] = "&amp;10^9*INDEX(Tab_DaBa[],MATCH(CONCATENATE(Liste!$C$3,$B$1133,$B$1191),Data!$BO:$BO,0)-2,16)&amp;"E-9",IF(INDEX(Tab_DaBa[],MATCH(CONCATENATE(Liste!$C$3,$B$1133,$B$1191),Data!$BO:$BO,0)-2,58)&lt;&gt;"","PFH [1/h] = "&amp;10^9*INDEX(Tab_DaBa[],MATCH(CONCATENATE(Liste!$C$3,$B$1133,$B$1191),Data!$BO:$BO,0)-2,66)&amp;"E-9","")),"")</f>
        <v/>
      </c>
      <c r="G1213" s="39"/>
      <c r="H1213" s="35" t="str">
        <f ca="1">IFERROR(IF(INDEX(Tab_DaBa[],MATCH(CONCATENATE(Liste!$C$3,$B$1133,$B$1191),Data!$BO:$BO,0)-2,63)&lt;&gt;"","PFH [1/h] = "&amp;10^9*INDEX(Tab_DaBa[],MATCH(CONCATENATE(Liste!$C$3,$B$1133,$B$1191),Data!$BO:$BO,0)-2,16)&amp;"E-9",""),"")</f>
        <v/>
      </c>
    </row>
    <row r="1214" spans="2:9" s="16" customFormat="1"/>
    <row r="1215" spans="2:9" s="16" customFormat="1">
      <c r="B1215" s="43" t="str">
        <f ca="1">IF(D1215="","","Erforderlich")</f>
        <v>Erforderlich</v>
      </c>
      <c r="D1215" s="44" t="str">
        <f ca="1">IFERROR("Performance Level: "&amp;INDEX(Tab_DaBa[],MATCH(CONCATENATE(Liste!$C$3,$B$1133,$B$1191),Data!$BO:$BO,0)-2,4),"")</f>
        <v>Performance Level: PLr_ges4_3</v>
      </c>
    </row>
    <row r="1216" spans="2:9" s="16" customFormat="1">
      <c r="B1216" s="45"/>
    </row>
    <row r="1217" spans="2:9" s="16" customFormat="1">
      <c r="B1217" s="46" t="str">
        <f ca="1">IF(D1217="","","Erreicht")</f>
        <v>Erreicht</v>
      </c>
      <c r="D1217" s="47" t="str">
        <f ca="1">IFERROR("Performance Level: "&amp;INDEX(Tab_DaBa[],MATCH(CONCATENATE(Liste!$C$3,$B$1133,$B$1191),Data!$BO:$BO,0)-2,5)&amp;"          PFH [1/h] = "&amp;10^9*INDEX(Tab_DaBa[],MATCH(CONCATENATE(Liste!$C$3,$B$1133,$B$1191),Data!$BO:$BO,0)-2,6)&amp;"E-9","")</f>
        <v>Performance Level: Pl_ges4_3          PFH [1/h] = 71,7E-9</v>
      </c>
    </row>
    <row r="1218" spans="2:9" s="16" customFormat="1"/>
    <row r="1219" spans="2:9" s="16" customFormat="1">
      <c r="B1219" s="42" t="str">
        <f ca="1">IFERROR(IF(4&gt;COUNTIF(Data!$BP:$BP,CONCATENATE(Liste!$C$3,$B$1133)),"",INDEX(Tab_DaBa[],MATCH(CONCATENATE(Liste!$C$3,$B$1133),Data!$BP:$BP,0)+1,3)),"")</f>
        <v>5.4 Test4 (E+4L+A)</v>
      </c>
    </row>
    <row r="1220" spans="2:9" s="16" customFormat="1"/>
    <row r="1221" spans="2:9" s="16" customFormat="1" ht="15.75">
      <c r="B1221" s="35" t="str">
        <f ca="1">IFERROR(INDEX(Tab_DaBa[],MATCH(CONCATENATE(Liste!$C$3,$B$1133,$B$1219),Data!$BO:$BO,0)-2,9),"")</f>
        <v>Eingang</v>
      </c>
      <c r="C1221" s="54"/>
      <c r="D1221" s="35" t="str">
        <f ca="1">IFERROR(IF(INDEX(Tab_DaBa[],MATCH(CONCATENATE(Liste!$C$3,$B$1133,$B$1219),Data!$BO:$BO,0)-2,18)=0,INDEX(Tab_DaBa[],MATCH(CONCATENATE(Liste!$C$3,$B$1133,$B$1219),Data!$BO:$BO,0)-2,14),INDEX(Tab_DaBa[],MATCH(CONCATENATE(Liste!$C$3,$B$1133,$B$1219),Data!$BO:$BO,0)-2,19)),"")</f>
        <v>Logik 01</v>
      </c>
      <c r="E1221" s="33"/>
      <c r="F1221" s="35" t="str">
        <f ca="1">IFERROR(IF(AND(INDEX(Tab_DaBa[],MATCH(CONCATENATE(Liste!$C$3,$B$1133,$B$1219),Data!$BO:$BO,0)-2,18)&lt;&gt;"",INDEX(Tab_DaBa[],MATCH(CONCATENATE(Liste!$C$3,$B$1133,$B$1219),Data!$BO:$BO,0)-2,23)=0),INDEX(Tab_DaBa[],MATCH(CONCATENATE(Liste!$C$3,$B$1133,$B$1219),Data!$BO:$BO,0)-2,14),IF(INDEX(Tab_DaBa[],MATCH(CONCATENATE(Liste!$C$3,$B$1133,$B$1219),Data!$BO:$BO,0)-2,23)&lt;&gt;"",INDEX(Tab_DaBa[],MATCH(CONCATENATE(Liste!$C$3,$B$1133,$B$1219),Data!$BO:$BO,0)-2,24),"")),"")</f>
        <v>Logik 02</v>
      </c>
      <c r="G1221" s="39"/>
      <c r="H1221" s="35" t="str">
        <f ca="1">IFERROR(IF(AND(INDEX(Tab_DaBa[],MATCH(CONCATENATE(Liste!$C$3,$B$1133,$B$1219),Data!$BO:$BO,0)-2,23)&lt;&gt;"",INDEX(Tab_DaBa[],MATCH(CONCATENATE(Liste!$C$3,$B$1133,$B$1219),Data!$BO:$BO,0)-2,28)=0),INDEX(Tab_DaBa[],MATCH(CONCATENATE(Liste!$C$3,$B$1133,$B$1219),Data!$BO:$BO,0)-2,14),IF(INDEX(Tab_DaBa[],MATCH(CONCATENATE(Liste!$C$3,$B$1133,$B$1219),Data!$BO:$BO,0)-2,23)&lt;&gt;"",INDEX(Tab_DaBa[],MATCH(CONCATENATE(Liste!$C$3,$B$1133,$B$1219),Data!$BO:$BO,0)-2,29),"")),"")</f>
        <v>Logik 03</v>
      </c>
      <c r="I1221" s="39"/>
    </row>
    <row r="1222" spans="2:9" s="16" customFormat="1" ht="15.75">
      <c r="B1222" s="35" t="str">
        <f ca="1">IFERROR(INDEX(Tab_DaBa[],MATCH(CONCATENATE(Liste!$C$3,$B$1133,$B$1219),Data!$BO:$BO,0)-2,7),"")</f>
        <v>eeee-33_4</v>
      </c>
      <c r="C1222" s="54"/>
      <c r="D1222" s="35" t="str">
        <f ca="1">IFERROR(IF(INDEX(Tab_DaBa[],MATCH(CONCATENATE(Liste!$C$3,$B$1133,$B$1219),Data!$BO:$BO,0)-2,18)="",INDEX(Tab_DaBa[],MATCH(CONCATENATE(Liste!$C$3,$B$1133,$B$1219),Data!$BO:$BO,0)-2,12),INDEX(Tab_DaBa[],MATCH(CONCATENATE(Liste!$C$3,$B$1133,$B$1219),Data!$BO:$BO,0)-2,17)),"")</f>
        <v>Log01-04_04</v>
      </c>
      <c r="E1222" s="36"/>
      <c r="F1222" s="35" t="str">
        <f ca="1">IFERROR(IF(AND(INDEX(Tab_DaBa[],MATCH(CONCATENATE(Liste!$C$3,$B$1133,$B$1219),Data!$BO:$BO,0)-2,18)&lt;&gt;"",INDEX(Tab_DaBa[],MATCH(CONCATENATE(Liste!$C$3,$B$1133,$B$1219),Data!$BO:$BO,0)-2,23)=0),INDEX(Tab_DaBa[],MATCH(CONCATENATE(Liste!$C$3,$B$1133,$B$1219),Data!$BO:$BO,0)-2,12),IF(INDEX(Tab_DaBa[],MATCH(CONCATENATE(Liste!$C$3,$B$1133,$B$1219),Data!$BO:$BO,0)-2,23)&lt;&gt;"",INDEX(Tab_DaBa[],MATCH(CONCATENATE(Liste!$C$3,$B$1133,$B$1219),Data!$BO:$BO,0)-2,22),"")),"")</f>
        <v>Lo04-04_04</v>
      </c>
      <c r="G1222" s="39"/>
      <c r="H1222" s="35" t="str">
        <f ca="1">IFERROR(IF(AND(INDEX(Tab_DaBa[],MATCH(CONCATENATE(Liste!$C$3,$B$1133,$B$1219),Data!$BO:$BO,0)-2,23)&lt;&gt;"",INDEX(Tab_DaBa[],MATCH(CONCATENATE(Liste!$C$3,$B$1133,$B$1219),Data!$BO:$BO,0)-2,28)=0),INDEX(Tab_DaBa[],MATCH(CONCATENATE(Liste!$C$3,$B$1133,$B$1219),Data!$BO:$BO,0)-2,12),IF(INDEX(Tab_DaBa[],MATCH(CONCATENATE(Liste!$C$3,$B$1133,$B$1219),Data!$BO:$BO,0)-2,23)&lt;&gt;"",INDEX(Tab_DaBa[],MATCH(CONCATENATE(Liste!$C$3,$B$1133,$B$1219),Data!$BO:$BO,0)-2,27),"")),"")</f>
        <v>Lo04-44_04</v>
      </c>
      <c r="I1222" s="39"/>
    </row>
    <row r="1223" spans="2:9" s="16" customFormat="1" ht="15.75">
      <c r="B1223" s="35" t="str">
        <f ca="1">IFERROR(INDEX(Tab_DaBa[],MATCH(CONCATENATE(Liste!$C$3,$B$1133,$B$1219),Data!$BO:$BO,0)-2,8),"")</f>
        <v>Bez_Ein4_4</v>
      </c>
      <c r="C1223" s="40">
        <f ca="1">IF(D1221="","",4)</f>
        <v>4</v>
      </c>
      <c r="D1223" s="35" t="str">
        <f ca="1">IFERROR(IF(INDEX(Tab_DaBa[],MATCH(CONCATENATE(Liste!$C$3,$B$1133,$B$1219),Data!$BO:$BO,0)-2,18)="",INDEX(Tab_DaBa[],MATCH(CONCATENATE(Liste!$C$3,$B$1133,$B$1219),Data!$BO:$BO,0)-2,13),INDEX(Tab_DaBa[],MATCH(CONCATENATE(Liste!$C$3,$B$1133,$B$1219),Data!$BO:$BO,0)-2,18)),"")</f>
        <v>Bez_Log01_04_04</v>
      </c>
      <c r="E1223" s="40">
        <f ca="1">IF(F1221="","",4)</f>
        <v>4</v>
      </c>
      <c r="F1223" s="35" t="str">
        <f ca="1">IFERROR(IF(AND(INDEX(Tab_DaBa[],MATCH(CONCATENATE(Liste!$C$3,$B$1133,$B$1219),Data!$BO:$BO,0)-2,18)&lt;&gt;"",INDEX(Tab_DaBa[],MATCH(CONCATENATE(Liste!$C$3,$B$1133,$B$1219),Data!$BO:$BO,0)-2,23)=""),INDEX(Tab_DaBa[],MATCH(CONCATENATE(Liste!$C$3,$B$1133,$B$1219),Data!$BO:$BO,0)-2,13),IF(INDEX(Tab_DaBa[],MATCH(CONCATENATE(Liste!$C$3,$B$1133,$B$1219),Data!$BO:$BO,0)-2,23)&lt;&gt;"",INDEX(Tab_DaBa[],MATCH(CONCATENATE(Liste!$C$3,$B$1133,$B$1219),Data!$BO:$BO,0)-2,23),"")),"")</f>
        <v>Bez_Lo04_04</v>
      </c>
      <c r="G1223" s="38">
        <f ca="1">IF(H1221="","",4)</f>
        <v>4</v>
      </c>
      <c r="H1223" s="35" t="str">
        <f ca="1">IFERROR(IF(AND(INDEX(Tab_DaBa[],MATCH(CONCATENATE(Liste!$C$3,$B$1133,$B$1219),Data!$BO:$BO,0)-2,23)&lt;&gt;"",INDEX(Tab_DaBa[],MATCH(CONCATENATE(Liste!$C$3,$B$1133,$B$1219),Data!$BO:$BO,0)-2,28)=""),INDEX(Tab_DaBa[],MATCH(CONCATENATE(Liste!$C$3,$B$1133,$B$1219),Data!$BO:$BO,0)-2,13),IF(INDEX(Tab_DaBa[],MATCH(CONCATENATE(Liste!$C$3,$B$1133,$B$1219),Data!$BO:$BO,0)-2,23)&lt;&gt;"",INDEX(Tab_DaBa[],MATCH(CONCATENATE(Liste!$C$3,$B$1133,$B$1219),Data!$BO:$BO,0)-2,28),"")),"")</f>
        <v>Bez_Lo04_04</v>
      </c>
      <c r="I1223" s="38">
        <f ca="1">IF(B1229="","",6)</f>
        <v>6</v>
      </c>
    </row>
    <row r="1224" spans="2:9" s="16" customFormat="1" ht="15.75">
      <c r="B1224" s="35" t="str">
        <f ca="1">IFERROR("Performance Level: "&amp;INDEX(Tab_DaBa[],MATCH(CONCATENATE(Liste!$C$3,$B$1133,$B$1219),Data!$BO:$BO,0)-2,10),"")</f>
        <v>Performance Level: PL_Ein4_4</v>
      </c>
      <c r="C1224" s="54"/>
      <c r="D1224" s="35" t="str">
        <f ca="1">IFERROR(IF(INDEX(Tab_DaBa[],MATCH(CONCATENATE(Liste!$C$3,$B$1133,$B$1219),Data!$BO:$BO,0)-2,18)="","Performance Level: "&amp;INDEX(Tab_DaBa[],MATCH(CONCATENATE(Liste!$C$3,$B$1133,$B$1219),Data!$BO:$BO,0)-2,15),"Performance Level: "&amp;INDEX(Tab_DaBa[],MATCH(CONCATENATE(Liste!$C$3,$B$1133,$B$1219),Data!$BO:$BO,0)-2,20)),"")</f>
        <v>Performance Level: PL_Log01_04_04</v>
      </c>
      <c r="E1224" s="36"/>
      <c r="F1224" s="35" t="str">
        <f ca="1">IFERROR(IF(AND(INDEX(Tab_DaBa[],MATCH(CONCATENATE(Liste!$C$3,$B$1133,$B$1219),Data!$BO:$BO,0)-2,18)&lt;&gt;"",INDEX(Tab_DaBa[],MATCH(CONCATENATE(Liste!$C$3,$B$1133,$B$1219),Data!$BO:$BO,0)-2,23)=""),"Performance Level: "&amp;INDEX(Tab_DaBa[],MATCH(CONCATENATE(Liste!$C$3,$B$1133,$B$1219),Data!$BO:$BO,0)-2,15),IF(INDEX(Tab_DaBa[],MATCH(CONCATENATE(Liste!$C$3,$B$1133,$B$1219),Data!$BO:$BO,0)-2,23)&lt;&gt;"","Performance Level: "&amp;INDEX(Tab_DaBa[],MATCH(CONCATENATE(Liste!$C$3,$B$1133,$B$1219),Data!$BO:$BO,0)-2,25),"")),"")</f>
        <v>Performance Level: PL_Lo04_04</v>
      </c>
      <c r="G1224" s="39"/>
      <c r="H1224" s="35" t="str">
        <f ca="1">IFERROR(IF(AND(INDEX(Tab_DaBa[],MATCH(CONCATENATE(Liste!$C$3,$B$1133,$B$1219),Data!$BO:$BO,0)-2,23)&lt;&gt;"",INDEX(Tab_DaBa[],MATCH(CONCATENATE(Liste!$C$3,$B$1133,$B$1219),Data!$BO:$BO,0)-2,28)=""),"Performance Level: "&amp;INDEX(Tab_DaBa[],MATCH(CONCATENATE(Liste!$C$3,$B$1133,$B$1219),Data!$BO:$BO,0)-2,15),IF(INDEX(Tab_DaBa[],MATCH(CONCATENATE(Liste!$C$3,$B$1133,$B$1219),Data!$BO:$BO,0)-2,23)&lt;&gt;"","Performance Level: "&amp;INDEX(Tab_DaBa[],MATCH(CONCATENATE(Liste!$C$3,$B$1133,$B$1219),Data!$BO:$BO,0)-2,30),"")),"")</f>
        <v>Performance Level: PL_Lo04_04</v>
      </c>
      <c r="I1224" s="38"/>
    </row>
    <row r="1225" spans="2:9" s="16" customFormat="1" ht="15.75">
      <c r="B1225" s="53" t="str">
        <f ca="1">IFERROR("PFH [1/h] = "&amp;10^9*INDEX(Tab_DaBa[],MATCH(CONCATENATE(Liste!$C$3,$B$1133,$B$1219),Data!$BO:$BO,0)-2,11)&amp;"E-9","")</f>
        <v>PFH [1/h] = 42,9E-9</v>
      </c>
      <c r="C1225" s="54"/>
      <c r="D1225" s="35" t="str">
        <f ca="1">IFERROR(IF(INDEX(Tab_DaBa[],MATCH(CONCATENATE(Liste!$C$3,$B$1133,$B$1219),Data!$BO:$BO,0)-2,18)="","PFH [1/h] = "&amp;10^9*INDEX(Tab_DaBa[],MATCH(CONCATENATE(Liste!$C$3,$B$1133,$B$1219),Data!$BO:$BO,0)-2,16)&amp;"E-9","PFH [1/h] = "&amp;10^9*INDEX(Tab_DaBa[],MATCH(CONCATENATE(Liste!$C$3,$B$1133,$B$1219),Data!$BO:$BO,0)-2,21)&amp;"E-9"),"")</f>
        <v>PFH [1/h] = 4,19E-9</v>
      </c>
      <c r="E1225" s="36"/>
      <c r="F1225" s="35" t="str">
        <f ca="1">IFERROR(IF(AND(INDEX(Tab_DaBa[],MATCH(CONCATENATE(Liste!$C$3,$B$1133,$B$1219),Data!$BO:$BO,0)-2,18)&lt;&gt;"",INDEX(Tab_DaBa[],MATCH(CONCATENATE(Liste!$C$3,$B$1133,$B$1219),Data!$BO:$BO,0)-2,23)=""),"PFH [1/h] = "&amp;10^9*INDEX(Tab_DaBa[],MATCH(CONCATENATE(Liste!$C$3,$B$1133,$B$1219),Data!$BO:$BO,0)-2,16)&amp;"E-9",IF(INDEX(Tab_DaBa[],MATCH(CONCATENATE(Liste!$C$3,$B$1133,$B$1219),Data!$BO:$BO,0)-2,23)&lt;&gt;"","PFH [1/h] = "&amp;10^9*INDEX(Tab_DaBa[],MATCH(CONCATENATE(Liste!$C$3,$B$1133,$B$1219),Data!$BO:$BO,0)-2,26)&amp;"E-9","")),"")</f>
        <v>PFH [1/h] = 4,19E-9</v>
      </c>
      <c r="G1225" s="39"/>
      <c r="H1225" s="35" t="str">
        <f ca="1">IFERROR(IF(AND(INDEX(Tab_DaBa[],MATCH(CONCATENATE(Liste!$C$3,$B$1133,$B$1219),Data!$BO:$BO,0)-2,23)&lt;&gt;"",INDEX(Tab_DaBa[],MATCH(CONCATENATE(Liste!$C$3,$B$1133,$B$1219),Data!$BO:$BO,0)-2,28)=""),"PFH [1/h] = "&amp;10^9*INDEX(Tab_DaBa[],MATCH(CONCATENATE(Liste!$C$3,$B$1133,$B$1219),Data!$BO:$BO,0)-2,16)&amp;"E-9",IF(INDEX(Tab_DaBa[],MATCH(CONCATENATE(Liste!$C$3,$B$1133,$B$1219),Data!$BO:$BO,0)-2,23)&lt;&gt;"","PFH [1/h] = "&amp;10^9*INDEX(Tab_DaBa[],MATCH(CONCATENATE(Liste!$C$3,$B$1133,$B$1219),Data!$BO:$BO,0)-2,31)&amp;"E-9","")),"")</f>
        <v>PFH [1/h] = 4,19E-9</v>
      </c>
      <c r="I1225" s="39"/>
    </row>
    <row r="1226" spans="2:9" s="16" customFormat="1">
      <c r="B1226" s="33"/>
      <c r="C1226" s="34"/>
      <c r="D1226" s="33"/>
      <c r="E1226" s="33"/>
      <c r="F1226" s="33"/>
      <c r="G1226" s="33"/>
      <c r="H1226" s="33"/>
      <c r="I1226" s="33"/>
    </row>
    <row r="1227" spans="2:9" s="16" customFormat="1" ht="15.75">
      <c r="B1227" s="38">
        <f ca="1">IF(B1229="","",6)</f>
        <v>6</v>
      </c>
      <c r="C1227" s="34"/>
      <c r="D1227" s="38">
        <f ca="1">IF(B1229="","",3)</f>
        <v>3</v>
      </c>
      <c r="E1227" s="33"/>
      <c r="F1227" s="38">
        <f ca="1">IF(B1229="","",3)</f>
        <v>3</v>
      </c>
      <c r="G1227" s="33"/>
      <c r="H1227" s="38">
        <f ca="1">IF(B1229="","",3)</f>
        <v>3</v>
      </c>
      <c r="I1227" s="33"/>
    </row>
    <row r="1228" spans="2:9" s="16" customFormat="1" ht="15.75">
      <c r="B1228" s="39"/>
      <c r="C1228" s="33"/>
      <c r="D1228" s="33"/>
      <c r="E1228" s="33"/>
      <c r="F1228" s="33"/>
      <c r="G1228" s="33"/>
      <c r="H1228" s="33"/>
      <c r="I1228" s="33"/>
    </row>
    <row r="1229" spans="2:9" s="16" customFormat="1" ht="15.75">
      <c r="B1229" s="35" t="str">
        <f ca="1">IFERROR(IF(AND(INDEX(Tab_DaBa[],MATCH(CONCATENATE(Liste!$C$3,$B$1133,$B$1219),Data!$BO:$BO,0)-2,28)&lt;&gt;"",INDEX(Tab_DaBa[],MATCH(CONCATENATE(Liste!$C$3,$B$1133,$B$1219),Data!$BO:$BO,0)-2,33)=0),INDEX(Tab_DaBa[],MATCH(CONCATENATE(Liste!$C$3,$B$1133,$B$1219),Data!$BO:$BO,0)-2,14),IF(INDEX(Tab_DaBa[],MATCH(CONCATENATE(Liste!$C$3,$B$1133,$B$1219),Data!$BO:$BO,0)-2,28)&lt;&gt;"",INDEX(Tab_DaBa[],MATCH(CONCATENATE(Liste!$C$3,$B$1133,$B$1219),Data!$BO:$BO,0)-2,34),"")),"")</f>
        <v>Logik 04</v>
      </c>
      <c r="C1229" s="39"/>
      <c r="D1229" s="35" t="str">
        <f ca="1">IFERROR(IF(AND(INDEX(Tab_DaBa[],MATCH(CONCATENATE(Liste!$C$3,$B$1133,$B$1219),Data!$BO:$BO,0)-2,33)&lt;&gt;"",INDEX(Tab_DaBa[],MATCH(CONCATENATE(Liste!$C$3,$B$1133,$B$1219),Data!$BO:$BO,0)-2,38)=0),INDEX(Tab_DaBa[],MATCH(CONCATENATE(Liste!$C$3,$B$1133,$B$1219),Data!$BO:$BO,0)-2,14),IF(INDEX(Tab_DaBa[],MATCH(CONCATENATE(Liste!$C$3,$B$1133,$B$1219),Data!$BO:$BO,0)-2,33)&lt;&gt;"",INDEX(Tab_DaBa[],MATCH(CONCATENATE(Liste!$C$3,$B$1133,$B$1219),Data!$BO:$BO,0)-2,39),"")),"")</f>
        <v>Ausgang</v>
      </c>
      <c r="E1229" s="33"/>
      <c r="F1229" s="35" t="str">
        <f ca="1">IFERROR(IF(AND(INDEX(Tab_DaBa[],MATCH(CONCATENATE(Liste!$C$3,$B$1133,$B$1219),Data!$BO:$BO,0)-2,38)&lt;&gt;"",INDEX(Tab_DaBa[],MATCH(CONCATENATE(Liste!$C$3,$B$1133,$B$1219),Data!$BO:$BO,0)-2,43)=0),INDEX(Tab_DaBa[],MATCH(CONCATENATE(Liste!$C$3,$B$1133,$B$1219),Data!$BO:$BO,0)-2,14),IF(INDEX(Tab_DaBa[],MATCH(CONCATENATE(Liste!$C$3,$B$1133,$B$1219),Data!$BO:$BO,0)-2,38)&lt;&gt;"",INDEX(Tab_DaBa[],MATCH(CONCATENATE(Liste!$C$3,$B$1133,$B$1219),Data!$BO:$BO,0)-2,44),"")),"")</f>
        <v/>
      </c>
      <c r="G1229" s="39"/>
      <c r="H1229" s="35" t="str">
        <f ca="1">IFERROR(IF(AND(INDEX(Tab_DaBa[],MATCH(CONCATENATE(Liste!$C$3,$B$1133,$B$1219),Data!$BO:$BO,0)-2,43)&lt;&gt;"",INDEX(Tab_DaBa[],MATCH(CONCATENATE(Liste!$C$3,$B$1133,$B$1219),Data!$BO:$BO,0)-2,48)=0),INDEX(Tab_DaBa[],MATCH(CONCATENATE(Liste!$C$3,$B$1133,$B$1219),Data!$BO:$BO,0)-2,14),IF(INDEX(Tab_DaBa[],MATCH(CONCATENATE(Liste!$C$3,$B$1133,$B$1219),Data!$BO:$BO,0)-2,43)&lt;&gt;"",INDEX(Tab_DaBa[],MATCH(CONCATENATE(Liste!$C$3,$B$1133,$B$1219),Data!$BO:$BO,0)-2,49),"")),"")</f>
        <v/>
      </c>
      <c r="I1229" s="39"/>
    </row>
    <row r="1230" spans="2:9" s="16" customFormat="1" ht="15.75">
      <c r="B1230" s="35" t="str">
        <f ca="1">IFERROR(IF(AND(INDEX(Tab_DaBa[],MATCH(CONCATENATE(Liste!$C$3,$B$1133,$B$1219),Data!$BO:$BO,0)-2,28)&lt;&gt;"",INDEX(Tab_DaBa[],MATCH(CONCATENATE(Liste!$C$3,$B$1133,$B$1219),Data!$BO:$BO,0)-2,33)=0),INDEX(Tab_DaBa[],MATCH(CONCATENATE(Liste!$C$3,$B$1133,$B$1219),Data!$BO:$BO,0)-2,12),IF(INDEX(Tab_DaBa[],MATCH(CONCATENATE(Liste!$C$3,$B$1133,$B$1219),Data!$BO:$BO,0)-2,28)&lt;&gt;"",INDEX(Tab_DaBa[],MATCH(CONCATENATE(Liste!$C$3,$B$1133,$B$1219),Data!$BO:$BO,0)-2,32),"")),"")</f>
        <v>Lo04-44_04</v>
      </c>
      <c r="C1230" s="39"/>
      <c r="D1230" s="35" t="str">
        <f ca="1">IFERROR(IF(AND(INDEX(Tab_DaBa[],MATCH(CONCATENATE(Liste!$C$3,$B$1133,$B$1219),Data!$BO:$BO,0)-2,33)&lt;&gt;"",INDEX(Tab_DaBa[],MATCH(CONCATENATE(Liste!$C$3,$B$1133,$B$1219),Data!$BO:$BO,0)-2,38)=0),INDEX(Tab_DaBa[],MATCH(CONCATENATE(Liste!$C$3,$B$1133,$B$1219),Data!$BO:$BO,0)-2,12),IF(INDEX(Tab_DaBa[],MATCH(CONCATENATE(Liste!$C$3,$B$1133,$B$1219),Data!$BO:$BO,0)-2,33)&lt;&gt;"",INDEX(Tab_DaBa[],MATCH(CONCATENATE(Liste!$C$3,$B$1133,$B$1219),Data!$BO:$BO,0)-2,37),"")),"")</f>
        <v>aaaa-44_4</v>
      </c>
      <c r="E1230" s="37"/>
      <c r="F1230" s="35" t="str">
        <f ca="1">IFERROR(IF(AND(INDEX(Tab_DaBa[],MATCH(CONCATENATE(Liste!$C$3,$B$1133,$B$1219),Data!$BO:$BO,0)-2,38)&lt;&gt;"",INDEX(Tab_DaBa[],MATCH(CONCATENATE(Liste!$C$3,$B$1133,$B$1219),Data!$BO:$BO,0)-2,43)=0),INDEX(Tab_DaBa[],MATCH(CONCATENATE(Liste!$C$3,$B$1133,$B$1219),Data!$BO:$BO,0)-2,12),IF(INDEX(Tab_DaBa[],MATCH(CONCATENATE(Liste!$C$3,$B$1133,$B$1219),Data!$BO:$BO,0)-2,38)&lt;&gt;"",INDEX(Tab_DaBa[],MATCH(CONCATENATE(Liste!$C$3,$B$1133,$B$1219),Data!$BO:$BO,0)-2,42),"")),"")</f>
        <v/>
      </c>
      <c r="G1230" s="39"/>
      <c r="H1230" s="35" t="str">
        <f ca="1">IFERROR(IF(AND(INDEX(Tab_DaBa[],MATCH(CONCATENATE(Liste!$C$3,$B$1133,$B$1219),Data!$BO:$BO,0)-2,43)&lt;&gt;"",INDEX(Tab_DaBa[],MATCH(CONCATENATE(Liste!$C$3,$B$1133,$B$1219),Data!$BO:$BO,0)-2,48)=0),INDEX(Tab_DaBa[],MATCH(CONCATENATE(Liste!$C$3,$B$1133,$B$1219),Data!$BO:$BO,0)-2,12),IF(INDEX(Tab_DaBa[],MATCH(CONCATENATE(Liste!$C$3,$B$1133,$B$1219),Data!$BO:$BO,0)-2,43)&lt;&gt;"",INDEX(Tab_DaBa[],MATCH(CONCATENATE(Liste!$C$3,$B$1133,$B$1219),Data!$BO:$BO,0)-2,47),"")),"")</f>
        <v/>
      </c>
      <c r="I1230" s="39"/>
    </row>
    <row r="1231" spans="2:9" s="16" customFormat="1" ht="15.75">
      <c r="B1231" s="35" t="str">
        <f ca="1">IFERROR(IF(AND(INDEX(Tab_DaBa[],MATCH(CONCATENATE(Liste!$C$3,$B$1133,$B$1219),Data!$BO:$BO,0)-2,28)&lt;&gt;"",INDEX(Tab_DaBa[],MATCH(CONCATENATE(Liste!$C$3,$B$1133,$B$1219),Data!$BO:$BO,0)-2,33)=""),INDEX(Tab_DaBa[],MATCH(CONCATENATE(Liste!$C$3,$B$1133,$B$1219),Data!$BO:$BO,0)-2,13),IF(INDEX(Tab_DaBa[],MATCH(CONCATENATE(Liste!$C$3,$B$1133,$B$1219),Data!$BO:$BO,0)-2,28)&lt;&gt;"",INDEX(Tab_DaBa[],MATCH(CONCATENATE(Liste!$C$3,$B$1133,$B$1219),Data!$BO:$BO,0)-2,33),"")),"")</f>
        <v>Bez_Lo04_04</v>
      </c>
      <c r="C1231" s="38">
        <f ca="1">IF(D1229="","",4)</f>
        <v>4</v>
      </c>
      <c r="D1231" s="35" t="str">
        <f ca="1">IFERROR(IF(AND(INDEX(Tab_DaBa[],MATCH(CONCATENATE(Liste!$C$3,$B$1133,$B$1219),Data!$BO:$BO,0)-2,33)&lt;&gt;"",INDEX(Tab_DaBa[],MATCH(CONCATENATE(Liste!$C$3,$B$1133,$B$1219),Data!$BO:$BO,0)-2,38)=""),INDEX(Tab_DaBa[],MATCH(CONCATENATE(Liste!$C$3,$B$1133,$B$1219),Data!$BO:$BO,0)-2,13),IF(INDEX(Tab_DaBa[],MATCH(CONCATENATE(Liste!$C$3,$B$1133,$B$1219),Data!$BO:$BO,0)-2,33)&lt;&gt;"",INDEX(Tab_DaBa[],MATCH(CONCATENATE(Liste!$C$3,$B$1133,$B$1219),Data!$BO:$BO,0)-2,38),"")),"")</f>
        <v>Bez_Aus4_4</v>
      </c>
      <c r="E1231" s="38" t="str">
        <f ca="1">IF(F1229="","",4)</f>
        <v/>
      </c>
      <c r="F1231" s="35" t="str">
        <f ca="1">IFERROR(IF(AND(INDEX(Tab_DaBa[],MATCH(CONCATENATE(Liste!$C$3,$B$1133,$B$1219),Data!$BO:$BO,0)-2,38)&lt;&gt;"",INDEX(Tab_DaBa[],MATCH(CONCATENATE(Liste!$C$3,$B$1133,$B$1219),Data!$BO:$BO,0)-2,43)=""),INDEX(Tab_DaBa[],MATCH(CONCATENATE(Liste!$C$3,$B$1133,$B$1219),Data!$BO:$BO,0)-2,13),IF(INDEX(Tab_DaBa[],MATCH(CONCATENATE(Liste!$C$3,$B$1133,$B$1219),Data!$BO:$BO,0)-2,38)&lt;&gt;"",INDEX(Tab_DaBa[],MATCH(CONCATENATE(Liste!$C$3,$B$1133,$B$1219),Data!$BO:$BO,0)-2,43),"")),"")</f>
        <v/>
      </c>
      <c r="G1231" s="38" t="str">
        <f ca="1">IF(H1229="","",4)</f>
        <v/>
      </c>
      <c r="H1231" s="35" t="str">
        <f ca="1">IFERROR(IF(AND(INDEX(Tab_DaBa[],MATCH(CONCATENATE(Liste!$C$3,$B$1133,$B$1219),Data!$BO:$BO,0)-2,43)&lt;&gt;"",INDEX(Tab_DaBa[],MATCH(CONCATENATE(Liste!$C$3,$B$1133,$B$1219),Data!$BO:$BO,0)-2,48)=""),INDEX(Tab_DaBa[],MATCH(CONCATENATE(Liste!$C$3,$B$1133,$B$1219),Data!$BO:$BO,0)-2,13),IF(INDEX(Tab_DaBa[],MATCH(CONCATENATE(Liste!$C$3,$B$1133,$B$1219),Data!$BO:$BO,0)-2,43)&lt;&gt;"",INDEX(Tab_DaBa[],MATCH(CONCATENATE(Liste!$C$3,$B$1133,$B$1219),Data!$BO:$BO,0)-2,48),"")),"")</f>
        <v/>
      </c>
      <c r="I1231" s="38" t="str">
        <f ca="1">IF(B1237="","",6)</f>
        <v/>
      </c>
    </row>
    <row r="1232" spans="2:9" s="16" customFormat="1" ht="15.75">
      <c r="B1232" s="35" t="str">
        <f ca="1">IFERROR(IF(AND(INDEX(Tab_DaBa[],MATCH(CONCATENATE(Liste!$C$3,$B$1133,$B$1219),Data!$BO:$BO,0)-2,28)&lt;&gt;"",INDEX(Tab_DaBa[],MATCH(CONCATENATE(Liste!$C$3,$B$1133,$B$1219),Data!$BO:$BO,0)-2,33)=""),"Performance Level: "&amp;INDEX(Tab_DaBa[],MATCH(CONCATENATE(Liste!$C$3,$B$1133,$B$1219),Data!$BO:$BO,0)-2,15),IF(INDEX(Tab_DaBa[],MATCH(CONCATENATE(Liste!$C$3,$B$1133,$B$1219),Data!$BO:$BO,0)-2,28)&lt;&gt;"","Performance Level: "&amp;INDEX(Tab_DaBa[],MATCH(CONCATENATE(Liste!$C$3,$B$1133,$B$1219),Data!$BO:$BO,0)-2,35),"")),"")</f>
        <v>Performance Level: PL_Lo04_04</v>
      </c>
      <c r="C1232" s="39"/>
      <c r="D1232" s="35" t="str">
        <f ca="1">IFERROR(IF(AND(INDEX(Tab_DaBa[],MATCH(CONCATENATE(Liste!$C$3,$B$1133,$B$1219),Data!$BO:$BO,0)-2,33)&lt;&gt;"",INDEX(Tab_DaBa[],MATCH(CONCATENATE(Liste!$C$3,$B$1133,$B$1219),Data!$BO:$BO,0)-2,38)=""),"Performance Level: "&amp;INDEX(Tab_DaBa[],MATCH(CONCATENATE(Liste!$C$3,$B$1133,$B$1219),Data!$BO:$BO,0)-2,15),IF(INDEX(Tab_DaBa[],MATCH(CONCATENATE(Liste!$C$3,$B$1133,$B$1219),Data!$BO:$BO,0)-2,33)&lt;&gt;"","Performance Level: "&amp;INDEX(Tab_DaBa[],MATCH(CONCATENATE(Liste!$C$3,$B$1133,$B$1219),Data!$BO:$BO,0)-2,40),"")),"")</f>
        <v>Performance Level: PL_Aus4_4</v>
      </c>
      <c r="E1232" s="37"/>
      <c r="F1232" s="35" t="str">
        <f ca="1">IFERROR(IF(AND(INDEX(Tab_DaBa[],MATCH(CONCATENATE(Liste!$C$3,$B$1133,$B$1219),Data!$BO:$BO,0)-2,38)&lt;&gt;"",INDEX(Tab_DaBa[],MATCH(CONCATENATE(Liste!$C$3,$B$1133,$B$1219),Data!$BO:$BO,0)-2,43)=""),"Performance Level: "&amp;INDEX(Tab_DaBa[],MATCH(CONCATENATE(Liste!$C$3,$B$1133,$B$1219),Data!$BO:$BO,0)-2,15),IF(INDEX(Tab_DaBa[],MATCH(CONCATENATE(Liste!$C$3,$B$1133,$B$1219),Data!$BO:$BO,0)-2,38)&lt;&gt;"","Performance Level: "&amp;INDEX(Tab_DaBa[],MATCH(CONCATENATE(Liste!$C$3,$B$1133,$B$1219),Data!$BO:$BO,0)-2,45),"")),"")</f>
        <v/>
      </c>
      <c r="G1232" s="39"/>
      <c r="H1232" s="35" t="str">
        <f ca="1">IFERROR(IF(AND(INDEX(Tab_DaBa[],MATCH(CONCATENATE(Liste!$C$3,$B$1133,$B$1219),Data!$BO:$BO,0)-2,43)&lt;&gt;"",INDEX(Tab_DaBa[],MATCH(CONCATENATE(Liste!$C$3,$B$1133,$B$1219),Data!$BO:$BO,0)-2,48)=""),"Performance Level: "&amp;INDEX(Tab_DaBa[],MATCH(CONCATENATE(Liste!$C$3,$B$1133,$B$1219),Data!$BO:$BO,0)-2,15),IF(INDEX(Tab_DaBa[],MATCH(CONCATENATE(Liste!$C$3,$B$1133,$B$1219),Data!$BO:$BO,0)-2,43)&lt;&gt;"","Performance Level: "&amp;INDEX(Tab_DaBa[],MATCH(CONCATENATE(Liste!$C$3,$B$1133,$B$1219),Data!$BO:$BO,0)-2,50),"")),"")</f>
        <v/>
      </c>
      <c r="I1232" s="39"/>
    </row>
    <row r="1233" spans="2:9" s="16" customFormat="1" ht="15.75">
      <c r="B1233" s="35" t="str">
        <f ca="1">IFERROR(IF(AND(INDEX(Tab_DaBa[],MATCH(CONCATENATE(Liste!$C$3,$B$1133,$B$1219),Data!$BO:$BO,0)-2,28)&lt;&gt;"",INDEX(Tab_DaBa[],MATCH(CONCATENATE(Liste!$C$3,$B$1133,$B$1219),Data!$BO:$BO,0)-2,33)=""),"PFH [1/h] = "&amp;10^9*INDEX(Tab_DaBa[],MATCH(CONCATENATE(Liste!$C$3,$B$1133,$B$1219),Data!$BO:$BO,0)-2,16)&amp;"E-9",IF(INDEX(Tab_DaBa[],MATCH(CONCATENATE(Liste!$C$3,$B$1133,$B$1219),Data!$BO:$BO,0)-2,28)&lt;&gt;"","PFH [1/h] = "&amp;10^9*INDEX(Tab_DaBa[],MATCH(CONCATENATE(Liste!$C$3,$B$1133,$B$1219),Data!$BO:$BO,0)-2,36)&amp;"E-9","")),"")</f>
        <v>PFH [1/h] = 4,19E-9</v>
      </c>
      <c r="C1233" s="39"/>
      <c r="D1233" s="35" t="str">
        <f ca="1">IFERROR(IF(AND(INDEX(Tab_DaBa[],MATCH(CONCATENATE(Liste!$C$3,$B$1133,$B$1219),Data!$BO:$BO,0)-2,33)&lt;&gt;"",INDEX(Tab_DaBa[],MATCH(CONCATENATE(Liste!$C$3,$B$1133,$B$1219),Data!$BO:$BO,0)-2,38)=""),"PFH [1/h] = "&amp;10^9*INDEX(Tab_DaBa[],MATCH(CONCATENATE(Liste!$C$3,$B$1133,$B$1219),Data!$BO:$BO,0)-2,16)&amp;"E-9",IF(INDEX(Tab_DaBa[],MATCH(CONCATENATE(Liste!$C$3,$B$1133,$B$1219),Data!$BO:$BO,0)-2,33)&lt;&gt;"","PFH [1/h] = "&amp;10^9*INDEX(Tab_DaBa[],MATCH(CONCATENATE(Liste!$C$3,$B$1133,$B$1219),Data!$BO:$BO,0)-2,41)&amp;"E-9","")),"")</f>
        <v>PFH [1/h] = 24,7E-9</v>
      </c>
      <c r="E1233" s="37"/>
      <c r="F1233" s="35" t="str">
        <f ca="1">IFERROR(IF(AND(INDEX(Tab_DaBa[],MATCH(CONCATENATE(Liste!$C$3,$B$1133,$B$1219),Data!$BO:$BO,0)-2,38)&lt;&gt;"",INDEX(Tab_DaBa[],MATCH(CONCATENATE(Liste!$C$3,$B$1133,$B$1219),Data!$BO:$BO,0)-2,43)=""),"PFH [1/h] = "&amp;10^9*INDEX(Tab_DaBa[],MATCH(CONCATENATE(Liste!$C$3,$B$1133,$B$1219),Data!$BO:$BO,0)-2,16)&amp;"E-9",IF(INDEX(Tab_DaBa[],MATCH(CONCATENATE(Liste!$C$3,$B$1133,$B$1219),Data!$BO:$BO,0)-2,38)&lt;&gt;"","PFH [1/h] = "&amp;10^9*INDEX(Tab_DaBa[],MATCH(CONCATENATE(Liste!$C$3,$B$1133,$B$1219),Data!$BO:$BO,0)-2,46)&amp;"E-9","")),"")</f>
        <v/>
      </c>
      <c r="G1233" s="39"/>
      <c r="H1233" s="35" t="str">
        <f ca="1">IFERROR(IF(AND(INDEX(Tab_DaBa[],MATCH(CONCATENATE(Liste!$C$3,$B$1133,$B$1219),Data!$BO:$BO,0)-2,43)&lt;&gt;"",INDEX(Tab_DaBa[],MATCH(CONCATENATE(Liste!$C$3,$B$1133,$B$1219),Data!$BO:$BO,0)-2,48)=""),"PFH [1/h] = "&amp;10^9*INDEX(Tab_DaBa[],MATCH(CONCATENATE(Liste!$C$3,$B$1133,$B$1219),Data!$BO:$BO,0)-2,16)&amp;"E-9",IF(INDEX(Tab_DaBa[],MATCH(CONCATENATE(Liste!$C$3,$B$1133,$B$1219),Data!$BO:$BO,0)-2,43)&lt;&gt;"","PFH [1/h] = "&amp;10^9*INDEX(Tab_DaBa[],MATCH(CONCATENATE(Liste!$C$3,$B$1133,$B$1219),Data!$BO:$BO,0)-2,51)&amp;"E-9","")),"")</f>
        <v/>
      </c>
      <c r="I1233" s="39"/>
    </row>
    <row r="1234" spans="2:9" s="16" customFormat="1">
      <c r="B1234" s="33"/>
      <c r="C1234" s="33"/>
      <c r="D1234" s="33"/>
      <c r="E1234" s="33"/>
      <c r="F1234" s="33"/>
      <c r="G1234" s="33"/>
      <c r="H1234" s="33"/>
      <c r="I1234" s="33"/>
    </row>
    <row r="1235" spans="2:9" s="16" customFormat="1" ht="15.75">
      <c r="B1235" s="38" t="str">
        <f ca="1">IF(B1237="","",6)</f>
        <v/>
      </c>
      <c r="C1235" s="33"/>
      <c r="D1235" s="38" t="str">
        <f ca="1">IF(B1237="","",3)</f>
        <v/>
      </c>
      <c r="E1235" s="33"/>
      <c r="F1235" s="38" t="str">
        <f ca="1">IF(B1237="","",3)</f>
        <v/>
      </c>
      <c r="G1235" s="33"/>
      <c r="H1235" s="38" t="str">
        <f ca="1">IF(B1237="","",3)</f>
        <v/>
      </c>
      <c r="I1235" s="33"/>
    </row>
    <row r="1236" spans="2:9" s="16" customFormat="1" ht="15.75">
      <c r="B1236" s="39"/>
      <c r="C1236" s="33"/>
      <c r="D1236" s="33"/>
      <c r="E1236" s="33"/>
      <c r="F1236" s="33"/>
      <c r="G1236" s="33"/>
      <c r="H1236" s="33"/>
      <c r="I1236" s="33"/>
    </row>
    <row r="1237" spans="2:9" s="16" customFormat="1" ht="15.75">
      <c r="B1237" s="35" t="str">
        <f ca="1">IFERROR(IF(AND(INDEX(Tab_DaBa[],MATCH(CONCATENATE(Liste!$C$3,$B$1133,$B$1219),Data!$BO:$BO,0)-2,48)&lt;&gt;"",INDEX(Tab_DaBa[],MATCH(CONCATENATE(Liste!$C$3,$B$1133,$B$1219),Data!$BO:$BO,0)-2,53)=0),INDEX(Tab_DaBa[],MATCH(CONCATENATE(Liste!$C$3,$B$1133,$B$1219),Data!$BO:$BO,0)-2,14),IF(INDEX(Tab_DaBa[],MATCH(CONCATENATE(Liste!$C$3,$B$1133,$B$1219),Data!$BO:$BO,0)-2,48)&lt;&gt;"",INDEX(Tab_DaBa[],MATCH(CONCATENATE(Liste!$C$3,$B$1133,$B$1219),Data!$BO:$BO,0)-2,54),"")),"")</f>
        <v/>
      </c>
      <c r="C1237" s="39"/>
      <c r="D1237" s="35" t="str">
        <f ca="1">IFERROR(IF(AND(INDEX(Tab_DaBa[],MATCH(CONCATENATE(Liste!$C$3,$B$1133,$B$1219),Data!$BO:$BO,0)-2,53)&lt;&gt;"",INDEX(Tab_DaBa[],MATCH(CONCATENATE(Liste!$C$3,$B$1133,$B$1219),Data!$BO:$BO,0)-2,58)=0),INDEX(Tab_DaBa[],MATCH(CONCATENATE(Liste!$C$3,$B$1133,$B$1219),Data!$BO:$BO,0)-2,14),IF(INDEX(Tab_DaBa[],MATCH(CONCATENATE(Liste!$C$3,$B$1133,$B$1219),Data!$BO:$BO,0)-2,53)&lt;&gt;"",INDEX(Tab_DaBa[],MATCH(CONCATENATE(Liste!$C$3,$B$1133,$B$1219),Data!$BO:$BO,0)-2,59),"")),"")</f>
        <v/>
      </c>
      <c r="E1237" s="33"/>
      <c r="F1237" s="35" t="str">
        <f ca="1">IFERROR(IF(AND(INDEX(Tab_DaBa[],MATCH(CONCATENATE(Liste!$C$3,$B$1133,$B$1219),Data!$BO:$BO,0)-2,58)&lt;&gt;"",INDEX(Tab_DaBa[],MATCH(CONCATENATE(Liste!$C$3,$B$1133,$B$1219),Data!$BO:$BO,0)-2,63)=0),INDEX(Tab_DaBa[],MATCH(CONCATENATE(Liste!$C$3,$B$1133,$B$1219),Data!$BO:$BO,0)-2,14),IF(INDEX(Tab_DaBa[],MATCH(CONCATENATE(Liste!$C$3,$B$1133,$B$1219),Data!$BO:$BO,0)-2,58)&lt;&gt;"",INDEX(Tab_DaBa[],MATCH(CONCATENATE(Liste!$C$3,$B$1133,$B$1219),Data!$BO:$BO,0)-2,64),"")),"")</f>
        <v/>
      </c>
      <c r="G1237" s="39"/>
      <c r="H1237" s="35" t="str">
        <f ca="1">IFERROR(IF(INDEX(Tab_DaBa[],MATCH(CONCATENATE(Liste!$C$3,$B$1133,$B$1219),Data!$BO:$BO,0)-2,63)&lt;&gt;"",INDEX(Tab_DaBa[],MATCH(CONCATENATE(Liste!$C$3,$B$1133,$B$1219),Data!$BO:$BO,0)-2,14),""),"")</f>
        <v/>
      </c>
    </row>
    <row r="1238" spans="2:9" s="16" customFormat="1" ht="15.75">
      <c r="B1238" s="35" t="str">
        <f ca="1">IFERROR(IF(AND(INDEX(Tab_DaBa[],MATCH(CONCATENATE(Liste!$C$3,$B$1133,$B$1219),Data!$BO:$BO,0)-2,48)&lt;&gt;"",INDEX(Tab_DaBa[],MATCH(CONCATENATE(Liste!$C$3,$B$1133,$B$1219),Data!$BO:$BO,0)-2,53)=0),INDEX(Tab_DaBa[],MATCH(CONCATENATE(Liste!$C$3,$B$1133,$B$1219),Data!$BO:$BO,0)-2,12),IF(INDEX(Tab_DaBa[],MATCH(CONCATENATE(Liste!$C$3,$B$1133,$B$1219),Data!$BO:$BO,0)-2,48)&lt;&gt;"",INDEX(Tab_DaBa[],MATCH(CONCATENATE(Liste!$C$3,$B$1133,$B$1219),Data!$BO:$BO,0)-2,52),"")),"")</f>
        <v/>
      </c>
      <c r="C1238" s="39"/>
      <c r="D1238" s="35" t="str">
        <f ca="1">IFERROR(IF(AND(INDEX(Tab_DaBa[],MATCH(CONCATENATE(Liste!$C$3,$B$1133,$B$1219),Data!$BO:$BO,0)-2,53)&lt;&gt;"",INDEX(Tab_DaBa[],MATCH(CONCATENATE(Liste!$C$3,$B$1133,$B$1219),Data!$BO:$BO,0)-2,58)=0),INDEX(Tab_DaBa[],MATCH(CONCATENATE(Liste!$C$3,$B$1133,$B$1219),Data!$BO:$BO,0)-2,12),IF(INDEX(Tab_DaBa[],MATCH(CONCATENATE(Liste!$C$3,$B$1133,$B$1219),Data!$BO:$BO,0)-2,53)&lt;&gt;"",INDEX(Tab_DaBa[],MATCH(CONCATENATE(Liste!$C$3,$B$1133,$B$1219),Data!$BO:$BO,0)-2,57),"")),"")</f>
        <v/>
      </c>
      <c r="E1238" s="37"/>
      <c r="F1238" s="35" t="str">
        <f ca="1">IFERROR(IF(AND(INDEX(Tab_DaBa[],MATCH(CONCATENATE(Liste!$C$3,$B$1133,$B$1219),Data!$BO:$BO,0)-2,58)&lt;&gt;"",INDEX(Tab_DaBa[],MATCH(CONCATENATE(Liste!$C$3,$B$1133,$B$1219),Data!$BO:$BO,0)-2,63)=0),INDEX(Tab_DaBa[],MATCH(CONCATENATE(Liste!$C$3,$B$1133,$B$1219),Data!$BO:$BO,0)-2,12),IF(INDEX(Tab_DaBa[],MATCH(CONCATENATE(Liste!$C$3,$B$1133,$B$1219),Data!$BO:$BO,0)-2,58)&lt;&gt;"",INDEX(Tab_DaBa[],MATCH(CONCATENATE(Liste!$C$3,$B$1133,$B$1219),Data!$BO:$BO,0)-2,62),"")),"")</f>
        <v/>
      </c>
      <c r="G1238" s="39"/>
      <c r="H1238" s="35" t="str">
        <f ca="1">IFERROR(IF(INDEX(Tab_DaBa[],MATCH(CONCATENATE(Liste!$C$3,$B$1133,$B$1219),Data!$BO:$BO,0)-2,63)&lt;&gt;"",INDEX(Tab_DaBa[],MATCH(CONCATENATE(Liste!$C$3,$B$1133,$B$1219),Data!$BO:$BO,0)-2,12),""),"")</f>
        <v/>
      </c>
    </row>
    <row r="1239" spans="2:9" s="16" customFormat="1" ht="15.75">
      <c r="B1239" s="35" t="str">
        <f ca="1">IFERROR(IF(AND(INDEX(Tab_DaBa[],MATCH(CONCATENATE(Liste!$C$3,$B$1133,$B$1219),Data!$BO:$BO,0)-2,48)&lt;&gt;"",INDEX(Tab_DaBa[],MATCH(CONCATENATE(Liste!$C$3,$B$1133,$B$1219),Data!$BO:$BO,0)-2,53)=""),INDEX(Tab_DaBa[],MATCH(CONCATENATE(Liste!$C$3,$B$1133,$B$1219),Data!$BO:$BO,0)-2,13),IF(INDEX(Tab_DaBa[],MATCH(CONCATENATE(Liste!$C$3,$B$1133,$B$1219),Data!$BO:$BO,0)-2,48)&lt;&gt;"",INDEX(Tab_DaBa[],MATCH(CONCATENATE(Liste!$C$3,$B$1133,$B$1219),Data!$BO:$BO,0)-2,53),"")),"")</f>
        <v/>
      </c>
      <c r="C1239" s="38" t="str">
        <f ca="1">IF(D1237="","",4)</f>
        <v/>
      </c>
      <c r="D1239" s="35" t="str">
        <f ca="1">IFERROR(IF(AND(INDEX(Tab_DaBa[],MATCH(CONCATENATE(Liste!$C$3,$B$1133,$B$1219),Data!$BO:$BO,0)-2,53)&lt;&gt;"",INDEX(Tab_DaBa[],MATCH(CONCATENATE(Liste!$C$3,$B$1133,$B$1219),Data!$BO:$BO,0)-2,58)=""),INDEX(Tab_DaBa[],MATCH(CONCATENATE(Liste!$C$3,$B$1133,$B$1219),Data!$BO:$BO,0)-2,13),IF(INDEX(Tab_DaBa[],MATCH(CONCATENATE(Liste!$C$3,$B$1133,$B$1219),Data!$BO:$BO,0)-2,53)&lt;&gt;"",INDEX(Tab_DaBa[],MATCH(CONCATENATE(Liste!$C$3,$B$1133,$B$1219),Data!$BO:$BO,0)-2,58),"")),"")</f>
        <v/>
      </c>
      <c r="E1239" s="38" t="str">
        <f ca="1">IF(F1237="","",4)</f>
        <v/>
      </c>
      <c r="F1239" s="35" t="str">
        <f ca="1">IFERROR(IF(AND(INDEX(Tab_DaBa[],MATCH(CONCATENATE(Liste!$C$3,$B$1133,$B$1219),Data!$BO:$BO,0)-2,58)&lt;&gt;"",INDEX(Tab_DaBa[],MATCH(CONCATENATE(Liste!$C$3,$B$1133,$B$1219),Data!$BO:$BO,0)-2,63)=""),INDEX(Tab_DaBa[],MATCH(CONCATENATE(Liste!$C$3,$B$1133,$B$1219),Data!$BO:$BO,0)-2,13),IF(INDEX(Tab_DaBa[],MATCH(CONCATENATE(Liste!$C$3,$B$1133,$B$1219),Data!$BO:$BO,0)-2,58)&lt;&gt;"",INDEX(Tab_DaBa[],MATCH(CONCATENATE(Liste!$C$3,$B$1133,$B$1219),Data!$BO:$BO,0)-2,63),"")),"")</f>
        <v/>
      </c>
      <c r="G1239" s="38" t="str">
        <f ca="1">IF(H1237="","",4)</f>
        <v/>
      </c>
      <c r="H1239" s="35" t="str">
        <f ca="1">IFERROR(IF(INDEX(Tab_DaBa[],MATCH(CONCATENATE(Liste!$C$3,$B$1133,$B$1219),Data!$BO:$BO,0)-2,63)&lt;&gt;"",INDEX(Tab_DaBa[],MATCH(CONCATENATE(Liste!$C$3,$B$1133,$B$1219),Data!$BO:$BO,0)-2,13),""),"")</f>
        <v/>
      </c>
    </row>
    <row r="1240" spans="2:9" s="16" customFormat="1" ht="15.75">
      <c r="B1240" s="35" t="str">
        <f ca="1">IFERROR(IF(AND(INDEX(Tab_DaBa[],MATCH(CONCATENATE(Liste!$C$3,$B$1133,$B$1219),Data!$BO:$BO,0)-2,48)&lt;&gt;"",INDEX(Tab_DaBa[],MATCH(CONCATENATE(Liste!$C$3,$B$1133,$B$1219),Data!$BO:$BO,0)-2,53)=""),"Performance Level: "&amp;INDEX(Tab_DaBa[],MATCH(CONCATENATE(Liste!$C$3,$B$1133,$B$1219),Data!$BO:$BO,0)-2,15),IF(INDEX(Tab_DaBa[],MATCH(CONCATENATE(Liste!$C$3,$B$1133,$B$1219),Data!$BO:$BO,0)-2,48)&lt;&gt;"","Performance Level: "&amp;INDEX(Tab_DaBa[],MATCH(CONCATENATE(Liste!$C$3,$B$1133,$B$1219),Data!$BO:$BO,0)-2,55),"")),"")</f>
        <v/>
      </c>
      <c r="C1240" s="39"/>
      <c r="D1240" s="35" t="str">
        <f ca="1">IFERROR(IF(AND(INDEX(Tab_DaBa[],MATCH(CONCATENATE(Liste!$C$3,$B$1133,$B$1219),Data!$BO:$BO,0)-2,53)&lt;&gt;"",INDEX(Tab_DaBa[],MATCH(CONCATENATE(Liste!$C$3,$B$1133,$B$1219),Data!$BO:$BO,0)-2,58)=""),"Performance Level: "&amp;INDEX(Tab_DaBa[],MATCH(CONCATENATE(Liste!$C$3,$B$1133,$B$1219),Data!$BO:$BO,0)-2,15),IF(INDEX(Tab_DaBa[],MATCH(CONCATENATE(Liste!$C$3,$B$1133,$B$1219),Data!$BO:$BO,0)-2,53)&lt;&gt;"","Performance Level: "&amp;INDEX(Tab_DaBa[],MATCH(CONCATENATE(Liste!$C$3,$B$1133,$B$1219),Data!$BO:$BO,0)-2,60),"")),"")</f>
        <v/>
      </c>
      <c r="E1240" s="37"/>
      <c r="F1240" s="35" t="str">
        <f ca="1">IFERROR(IF(AND(INDEX(Tab_DaBa[],MATCH(CONCATENATE(Liste!$C$3,$B$1133,$B$1219),Data!$BO:$BO,0)-2,58)&lt;&gt;"",INDEX(Tab_DaBa[],MATCH(CONCATENATE(Liste!$C$3,$B$1133,$B$1219),Data!$BO:$BO,0)-2,63)=""),"Performance Level: "&amp;INDEX(Tab_DaBa[],MATCH(CONCATENATE(Liste!$C$3,$B$1133,$B$1219),Data!$BO:$BO,0)-2,15),IF(INDEX(Tab_DaBa[],MATCH(CONCATENATE(Liste!$C$3,$B$1133,$B$1219),Data!$BO:$BO,0)-2,58)&lt;&gt;"","Performance Level: "&amp;INDEX(Tab_DaBa[],MATCH(CONCATENATE(Liste!$C$3,$B$1133,$B$1219),Data!$BO:$BO,0)-2,65),"")),"")</f>
        <v/>
      </c>
      <c r="G1240" s="39"/>
      <c r="H1240" s="35" t="str">
        <f ca="1">IFERROR(IF(INDEX(Tab_DaBa[],MATCH(CONCATENATE(Liste!$C$3,$B$1133,$B$1219),Data!$BO:$BO,0)-2,63)&lt;&gt;"","Performance Level: "&amp;INDEX(Tab_DaBa[],MATCH(CONCATENATE(Liste!$C$3,$B$1133,$B$1219),Data!$BO:$BO,0)-2,15),""),"")</f>
        <v/>
      </c>
    </row>
    <row r="1241" spans="2:9" s="16" customFormat="1" ht="15.75">
      <c r="B1241" s="35" t="str">
        <f ca="1">IFERROR(IF(AND(INDEX(Tab_DaBa[],MATCH(CONCATENATE(Liste!$C$3,$B$1133,$B$1219),Data!$BO:$BO,0)-2,48)&lt;&gt;"",INDEX(Tab_DaBa[],MATCH(CONCATENATE(Liste!$C$3,$B$1133,$B$1219),Data!$BO:$BO,0)-2,53)=""),"PFH [1/h] = "&amp;10^9*INDEX(Tab_DaBa[],MATCH(CONCATENATE(Liste!$C$3,$B$1133,$B$1219),Data!$BO:$BO,0)-2,16)&amp;"E-9",IF(INDEX(Tab_DaBa[],MATCH(CONCATENATE(Liste!$C$3,$B$1133,$B$1219),Data!$BO:$BO,0)-2,48)&lt;&gt;"","PFH [1/h] = "&amp;10^9*INDEX(Tab_DaBa[],MATCH(CONCATENATE(Liste!$C$3,$B$1133,$B$1219),Data!$BO:$BO,0)-2,56)&amp;"E-9","")),"")</f>
        <v/>
      </c>
      <c r="C1241" s="39"/>
      <c r="D1241" s="35" t="str">
        <f ca="1">IFERROR(IF(AND(INDEX(Tab_DaBa[],MATCH(CONCATENATE(Liste!$C$3,$B$1133,$B$1219),Data!$BO:$BO,0)-2,53)&lt;&gt;"",INDEX(Tab_DaBa[],MATCH(CONCATENATE(Liste!$C$3,$B$1133,$B$1219),Data!$BO:$BO,0)-2,58)=""),"PFH [1/h] = "&amp;10^9*INDEX(Tab_DaBa[],MATCH(CONCATENATE(Liste!$C$3,$B$1133,$B$1219),Data!$BO:$BO,0)-2,16)&amp;"E-9",IF(INDEX(Tab_DaBa[],MATCH(CONCATENATE(Liste!$C$3,$B$1133,$B$1219),Data!$BO:$BO,0)-2,53)&lt;&gt;"","PFH [1/h] = "&amp;10^9*INDEX(Tab_DaBa[],MATCH(CONCATENATE(Liste!$C$3,$B$1133,$B$1219),Data!$BO:$BO,0)-2,61)&amp;"E-9","")),"")</f>
        <v/>
      </c>
      <c r="E1241" s="37"/>
      <c r="F1241" s="35" t="str">
        <f ca="1">IFERROR(IF(AND(INDEX(Tab_DaBa[],MATCH(CONCATENATE(Liste!$C$3,$B$1133,$B$1219),Data!$BO:$BO,0)-2,58)&lt;&gt;"",INDEX(Tab_DaBa[],MATCH(CONCATENATE(Liste!$C$3,$B$1133,$B$1219),Data!$BO:$BO,0)-2,63)=""),"PFH [1/h] = "&amp;10^9*INDEX(Tab_DaBa[],MATCH(CONCATENATE(Liste!$C$3,$B$1133,$B$1219),Data!$BO:$BO,0)-2,16)&amp;"E-9",IF(INDEX(Tab_DaBa[],MATCH(CONCATENATE(Liste!$C$3,$B$1133,$B$1219),Data!$BO:$BO,0)-2,58)&lt;&gt;"","PFH [1/h] = "&amp;10^9*INDEX(Tab_DaBa[],MATCH(CONCATENATE(Liste!$C$3,$B$1133,$B$1219),Data!$BO:$BO,0)-2,66)&amp;"E-9","")),"")</f>
        <v/>
      </c>
      <c r="G1241" s="39"/>
      <c r="H1241" s="35" t="str">
        <f ca="1">IFERROR(IF(INDEX(Tab_DaBa[],MATCH(CONCATENATE(Liste!$C$3,$B$1133,$B$1219),Data!$BO:$BO,0)-2,63)&lt;&gt;"","PFH [1/h] = "&amp;10^9*INDEX(Tab_DaBa[],MATCH(CONCATENATE(Liste!$C$3,$B$1133,$B$1219),Data!$BO:$BO,0)-2,16)&amp;"E-9",""),"")</f>
        <v/>
      </c>
    </row>
    <row r="1242" spans="2:9" s="16" customFormat="1"/>
    <row r="1243" spans="2:9" s="16" customFormat="1">
      <c r="B1243" s="43" t="str">
        <f ca="1">IF(D1243="","","Erforderlich")</f>
        <v>Erforderlich</v>
      </c>
      <c r="D1243" s="44" t="str">
        <f ca="1">IFERROR("Performance Level: "&amp;INDEX(Tab_DaBa[],MATCH(CONCATENATE(Liste!$C$3,$B$1133,$B$1219),Data!$BO:$BO,0)-2,4),"")</f>
        <v>Performance Level: PLr_ges4_4</v>
      </c>
    </row>
    <row r="1244" spans="2:9" s="16" customFormat="1">
      <c r="B1244" s="45"/>
    </row>
    <row r="1245" spans="2:9" s="16" customFormat="1">
      <c r="B1245" s="46" t="str">
        <f ca="1">IF(D1245="","","Erreicht")</f>
        <v>Erreicht</v>
      </c>
      <c r="D1245" s="47" t="str">
        <f ca="1">IFERROR("Performance Level: "&amp;INDEX(Tab_DaBa[],MATCH(CONCATENATE(Liste!$C$3,$B$1133,$B$1219),Data!$BO:$BO,0)-2,5)&amp;"          PFH [1/h] = "&amp;10^9*INDEX(Tab_DaBa[],MATCH(CONCATENATE(Liste!$C$3,$B$1133,$B$1219),Data!$BO:$BO,0)-2,6)&amp;"E-9","")</f>
        <v>Performance Level: Pl_ges4_4          PFH [1/h] = 71,7E-9</v>
      </c>
    </row>
    <row r="1246" spans="2:9" s="16" customFormat="1"/>
    <row r="1247" spans="2:9" s="16" customFormat="1">
      <c r="B1247" s="42" t="str">
        <f ca="1">IFERROR(IF(5&gt;COUNTIF(Data!$BP:$BP,CONCATENATE(Liste!$C$3,$B$1133)),"",INDEX(Tab_DaBa[],MATCH(CONCATENATE(Liste!$C$3,$B$1133),Data!$BP:$BP,0)+2,3)),"")</f>
        <v>5.5 Test4 (E+5L+A)</v>
      </c>
    </row>
    <row r="1248" spans="2:9" s="16" customFormat="1"/>
    <row r="1249" spans="2:9" s="16" customFormat="1" ht="15.75">
      <c r="B1249" s="35" t="str">
        <f ca="1">IFERROR(INDEX(Tab_DaBa[],MATCH(CONCATENATE(Liste!$C$3,$B$1133,$B$1247),Data!$BO:$BO,0)-2,9),"")</f>
        <v>Eingang</v>
      </c>
      <c r="C1249" s="54"/>
      <c r="D1249" s="35" t="str">
        <f ca="1">IFERROR(IF(INDEX(Tab_DaBa[],MATCH(CONCATENATE(Liste!$C$3,$B$1133,$B$1247),Data!$BO:$BO,0)-2,18)=0,INDEX(Tab_DaBa[],MATCH(CONCATENATE(Liste!$C$3,$B$1133,$B$1247),Data!$BO:$BO,0)-2,14),INDEX(Tab_DaBa[],MATCH(CONCATENATE(Liste!$C$3,$B$1133,$B$1247),Data!$BO:$BO,0)-2,19)),"")</f>
        <v>Logik 01</v>
      </c>
      <c r="E1249" s="33"/>
      <c r="F1249" s="35" t="str">
        <f ca="1">IFERROR(IF(AND(INDEX(Tab_DaBa[],MATCH(CONCATENATE(Liste!$C$3,$B$1133,$B$1247),Data!$BO:$BO,0)-2,18)&lt;&gt;"",INDEX(Tab_DaBa[],MATCH(CONCATENATE(Liste!$C$3,$B$1133,$B$1247),Data!$BO:$BO,0)-2,23)=0),INDEX(Tab_DaBa[],MATCH(CONCATENATE(Liste!$C$3,$B$1133,$B$1247),Data!$BO:$BO,0)-2,14),IF(INDEX(Tab_DaBa[],MATCH(CONCATENATE(Liste!$C$3,$B$1133,$B$1247),Data!$BO:$BO,0)-2,23)&lt;&gt;"",INDEX(Tab_DaBa[],MATCH(CONCATENATE(Liste!$C$3,$B$1133,$B$1247),Data!$BO:$BO,0)-2,24),"")),"")</f>
        <v>Logik 02</v>
      </c>
      <c r="G1249" s="39"/>
      <c r="H1249" s="35" t="str">
        <f ca="1">IFERROR(IF(AND(INDEX(Tab_DaBa[],MATCH(CONCATENATE(Liste!$C$3,$B$1133,$B$1247),Data!$BO:$BO,0)-2,23)&lt;&gt;"",INDEX(Tab_DaBa[],MATCH(CONCATENATE(Liste!$C$3,$B$1133,$B$1247),Data!$BO:$BO,0)-2,28)=0),INDEX(Tab_DaBa[],MATCH(CONCATENATE(Liste!$C$3,$B$1133,$B$1247),Data!$BO:$BO,0)-2,14),IF(INDEX(Tab_DaBa[],MATCH(CONCATENATE(Liste!$C$3,$B$1133,$B$1247),Data!$BO:$BO,0)-2,23)&lt;&gt;"",INDEX(Tab_DaBa[],MATCH(CONCATENATE(Liste!$C$3,$B$1133,$B$1247),Data!$BO:$BO,0)-2,29),"")),"")</f>
        <v>Logik 03</v>
      </c>
      <c r="I1249" s="39"/>
    </row>
    <row r="1250" spans="2:9" s="16" customFormat="1" ht="15.75">
      <c r="B1250" s="35" t="str">
        <f ca="1">IFERROR(INDEX(Tab_DaBa[],MATCH(CONCATENATE(Liste!$C$3,$B$1133,$B$1247),Data!$BO:$BO,0)-2,7),"")</f>
        <v>eeee-33_5</v>
      </c>
      <c r="C1250" s="54"/>
      <c r="D1250" s="35" t="str">
        <f ca="1">IFERROR(IF(INDEX(Tab_DaBa[],MATCH(CONCATENATE(Liste!$C$3,$B$1133,$B$1247),Data!$BO:$BO,0)-2,18)="",INDEX(Tab_DaBa[],MATCH(CONCATENATE(Liste!$C$3,$B$1133,$B$1247),Data!$BO:$BO,0)-2,12),INDEX(Tab_DaBa[],MATCH(CONCATENATE(Liste!$C$3,$B$1133,$B$1247),Data!$BO:$BO,0)-2,17)),"")</f>
        <v>Log01-04_05</v>
      </c>
      <c r="E1250" s="36"/>
      <c r="F1250" s="35" t="str">
        <f ca="1">IFERROR(IF(AND(INDEX(Tab_DaBa[],MATCH(CONCATENATE(Liste!$C$3,$B$1133,$B$1247),Data!$BO:$BO,0)-2,18)&lt;&gt;"",INDEX(Tab_DaBa[],MATCH(CONCATENATE(Liste!$C$3,$B$1133,$B$1247),Data!$BO:$BO,0)-2,23)=0),INDEX(Tab_DaBa[],MATCH(CONCATENATE(Liste!$C$3,$B$1133,$B$1247),Data!$BO:$BO,0)-2,12),IF(INDEX(Tab_DaBa[],MATCH(CONCATENATE(Liste!$C$3,$B$1133,$B$1247),Data!$BO:$BO,0)-2,23)&lt;&gt;"",INDEX(Tab_DaBa[],MATCH(CONCATENATE(Liste!$C$3,$B$1133,$B$1247),Data!$BO:$BO,0)-2,22),"")),"")</f>
        <v>Lo04-04_05</v>
      </c>
      <c r="G1250" s="39"/>
      <c r="H1250" s="35" t="str">
        <f ca="1">IFERROR(IF(AND(INDEX(Tab_DaBa[],MATCH(CONCATENATE(Liste!$C$3,$B$1133,$B$1247),Data!$BO:$BO,0)-2,23)&lt;&gt;"",INDEX(Tab_DaBa[],MATCH(CONCATENATE(Liste!$C$3,$B$1133,$B$1247),Data!$BO:$BO,0)-2,28)=0),INDEX(Tab_DaBa[],MATCH(CONCATENATE(Liste!$C$3,$B$1133,$B$1247),Data!$BO:$BO,0)-2,12),IF(INDEX(Tab_DaBa[],MATCH(CONCATENATE(Liste!$C$3,$B$1133,$B$1247),Data!$BO:$BO,0)-2,23)&lt;&gt;"",INDEX(Tab_DaBa[],MATCH(CONCATENATE(Liste!$C$3,$B$1133,$B$1247),Data!$BO:$BO,0)-2,27),"")),"")</f>
        <v>Lo04-44_05</v>
      </c>
      <c r="I1250" s="39"/>
    </row>
    <row r="1251" spans="2:9" s="16" customFormat="1" ht="15.75">
      <c r="B1251" s="35" t="str">
        <f ca="1">IFERROR(INDEX(Tab_DaBa[],MATCH(CONCATENATE(Liste!$C$3,$B$1133,$B$1247),Data!$BO:$BO,0)-2,8),"")</f>
        <v>Bez_Ein4_5</v>
      </c>
      <c r="C1251" s="40">
        <f ca="1">IF(D1249="","",4)</f>
        <v>4</v>
      </c>
      <c r="D1251" s="35" t="str">
        <f ca="1">IFERROR(IF(INDEX(Tab_DaBa[],MATCH(CONCATENATE(Liste!$C$3,$B$1133,$B$1247),Data!$BO:$BO,0)-2,18)="",INDEX(Tab_DaBa[],MATCH(CONCATENATE(Liste!$C$3,$B$1133,$B$1247),Data!$BO:$BO,0)-2,13),INDEX(Tab_DaBa[],MATCH(CONCATENATE(Liste!$C$3,$B$1133,$B$1247),Data!$BO:$BO,0)-2,18)),"")</f>
        <v>Bez_Log01_04_05</v>
      </c>
      <c r="E1251" s="40">
        <f ca="1">IF(F1249="","",4)</f>
        <v>4</v>
      </c>
      <c r="F1251" s="35" t="str">
        <f ca="1">IFERROR(IF(AND(INDEX(Tab_DaBa[],MATCH(CONCATENATE(Liste!$C$3,$B$1133,$B$1247),Data!$BO:$BO,0)-2,18)&lt;&gt;"",INDEX(Tab_DaBa[],MATCH(CONCATENATE(Liste!$C$3,$B$1133,$B$1247),Data!$BO:$BO,0)-2,23)=""),INDEX(Tab_DaBa[],MATCH(CONCATENATE(Liste!$C$3,$B$1133,$B$1247),Data!$BO:$BO,0)-2,13),IF(INDEX(Tab_DaBa[],MATCH(CONCATENATE(Liste!$C$3,$B$1133,$B$1247),Data!$BO:$BO,0)-2,23)&lt;&gt;"",INDEX(Tab_DaBa[],MATCH(CONCATENATE(Liste!$C$3,$B$1133,$B$1247),Data!$BO:$BO,0)-2,23),"")),"")</f>
        <v>Bez_Lo04_05</v>
      </c>
      <c r="G1251" s="38">
        <f ca="1">IF(H1249="","",4)</f>
        <v>4</v>
      </c>
      <c r="H1251" s="35" t="str">
        <f ca="1">IFERROR(IF(AND(INDEX(Tab_DaBa[],MATCH(CONCATENATE(Liste!$C$3,$B$1133,$B$1247),Data!$BO:$BO,0)-2,23)&lt;&gt;"",INDEX(Tab_DaBa[],MATCH(CONCATENATE(Liste!$C$3,$B$1133,$B$1247),Data!$BO:$BO,0)-2,28)=""),INDEX(Tab_DaBa[],MATCH(CONCATENATE(Liste!$C$3,$B$1133,$B$1247),Data!$BO:$BO,0)-2,13),IF(INDEX(Tab_DaBa[],MATCH(CONCATENATE(Liste!$C$3,$B$1133,$B$1247),Data!$BO:$BO,0)-2,23)&lt;&gt;"",INDEX(Tab_DaBa[],MATCH(CONCATENATE(Liste!$C$3,$B$1133,$B$1247),Data!$BO:$BO,0)-2,28),"")),"")</f>
        <v>Bez_Lo04_05</v>
      </c>
      <c r="I1251" s="38">
        <f ca="1">IF(B1257="","",6)</f>
        <v>6</v>
      </c>
    </row>
    <row r="1252" spans="2:9" s="16" customFormat="1" ht="15.75">
      <c r="B1252" s="35" t="str">
        <f ca="1">IFERROR("Performance Level: "&amp;INDEX(Tab_DaBa[],MATCH(CONCATENATE(Liste!$C$3,$B$1133,$B$1247),Data!$BO:$BO,0)-2,10),"")</f>
        <v>Performance Level: PL_Ein4_5</v>
      </c>
      <c r="C1252" s="54"/>
      <c r="D1252" s="35" t="str">
        <f ca="1">IFERROR(IF(INDEX(Tab_DaBa[],MATCH(CONCATENATE(Liste!$C$3,$B$1133,$B$1247),Data!$BO:$BO,0)-2,18)="","Performance Level: "&amp;INDEX(Tab_DaBa[],MATCH(CONCATENATE(Liste!$C$3,$B$1133,$B$1247),Data!$BO:$BO,0)-2,15),"Performance Level: "&amp;INDEX(Tab_DaBa[],MATCH(CONCATENATE(Liste!$C$3,$B$1133,$B$1247),Data!$BO:$BO,0)-2,20)),"")</f>
        <v>Performance Level: PL_Log01_04_05</v>
      </c>
      <c r="E1252" s="36"/>
      <c r="F1252" s="35" t="str">
        <f ca="1">IFERROR(IF(AND(INDEX(Tab_DaBa[],MATCH(CONCATENATE(Liste!$C$3,$B$1133,$B$1247),Data!$BO:$BO,0)-2,18)&lt;&gt;"",INDEX(Tab_DaBa[],MATCH(CONCATENATE(Liste!$C$3,$B$1133,$B$1247),Data!$BO:$BO,0)-2,23)=""),"Performance Level: "&amp;INDEX(Tab_DaBa[],MATCH(CONCATENATE(Liste!$C$3,$B$1133,$B$1247),Data!$BO:$BO,0)-2,15),IF(INDEX(Tab_DaBa[],MATCH(CONCATENATE(Liste!$C$3,$B$1133,$B$1247),Data!$BO:$BO,0)-2,23)&lt;&gt;"","Performance Level: "&amp;INDEX(Tab_DaBa[],MATCH(CONCATENATE(Liste!$C$3,$B$1133,$B$1247),Data!$BO:$BO,0)-2,25),"")),"")</f>
        <v>Performance Level: PL_Lo04_05</v>
      </c>
      <c r="G1252" s="39"/>
      <c r="H1252" s="35" t="str">
        <f ca="1">IFERROR(IF(AND(INDEX(Tab_DaBa[],MATCH(CONCATENATE(Liste!$C$3,$B$1133,$B$1247),Data!$BO:$BO,0)-2,23)&lt;&gt;"",INDEX(Tab_DaBa[],MATCH(CONCATENATE(Liste!$C$3,$B$1133,$B$1247),Data!$BO:$BO,0)-2,28)=""),"Performance Level: "&amp;INDEX(Tab_DaBa[],MATCH(CONCATENATE(Liste!$C$3,$B$1133,$B$1247),Data!$BO:$BO,0)-2,15),IF(INDEX(Tab_DaBa[],MATCH(CONCATENATE(Liste!$C$3,$B$1133,$B$1247),Data!$BO:$BO,0)-2,23)&lt;&gt;"","Performance Level: "&amp;INDEX(Tab_DaBa[],MATCH(CONCATENATE(Liste!$C$3,$B$1133,$B$1247),Data!$BO:$BO,0)-2,30),"")),"")</f>
        <v>Performance Level: PL_Lo04_05</v>
      </c>
      <c r="I1252" s="38"/>
    </row>
    <row r="1253" spans="2:9" s="16" customFormat="1" ht="15.75">
      <c r="B1253" s="53" t="str">
        <f ca="1">IFERROR("PFH [1/h] = "&amp;10^9*INDEX(Tab_DaBa[],MATCH(CONCATENATE(Liste!$C$3,$B$1133,$B$1247),Data!$BO:$BO,0)-2,11)&amp;"E-9","")</f>
        <v>PFH [1/h] = 42,9E-9</v>
      </c>
      <c r="C1253" s="54"/>
      <c r="D1253" s="35" t="str">
        <f ca="1">IFERROR(IF(INDEX(Tab_DaBa[],MATCH(CONCATENATE(Liste!$C$3,$B$1133,$B$1247),Data!$BO:$BO,0)-2,18)="","PFH [1/h] = "&amp;10^9*INDEX(Tab_DaBa[],MATCH(CONCATENATE(Liste!$C$3,$B$1133,$B$1247),Data!$BO:$BO,0)-2,16)&amp;"E-9","PFH [1/h] = "&amp;10^9*INDEX(Tab_DaBa[],MATCH(CONCATENATE(Liste!$C$3,$B$1133,$B$1247),Data!$BO:$BO,0)-2,21)&amp;"E-9"),"")</f>
        <v>PFH [1/h] = 4,19E-9</v>
      </c>
      <c r="E1253" s="36"/>
      <c r="F1253" s="35" t="str">
        <f ca="1">IFERROR(IF(AND(INDEX(Tab_DaBa[],MATCH(CONCATENATE(Liste!$C$3,$B$1133,$B$1247),Data!$BO:$BO,0)-2,18)&lt;&gt;"",INDEX(Tab_DaBa[],MATCH(CONCATENATE(Liste!$C$3,$B$1133,$B$1247),Data!$BO:$BO,0)-2,23)=""),"PFH [1/h] = "&amp;10^9*INDEX(Tab_DaBa[],MATCH(CONCATENATE(Liste!$C$3,$B$1133,$B$1247),Data!$BO:$BO,0)-2,16)&amp;"E-9",IF(INDEX(Tab_DaBa[],MATCH(CONCATENATE(Liste!$C$3,$B$1133,$B$1247),Data!$BO:$BO,0)-2,23)&lt;&gt;"","PFH [1/h] = "&amp;10^9*INDEX(Tab_DaBa[],MATCH(CONCATENATE(Liste!$C$3,$B$1133,$B$1247),Data!$BO:$BO,0)-2,26)&amp;"E-9","")),"")</f>
        <v>PFH [1/h] = 4,19E-9</v>
      </c>
      <c r="G1253" s="39"/>
      <c r="H1253" s="35" t="str">
        <f ca="1">IFERROR(IF(AND(INDEX(Tab_DaBa[],MATCH(CONCATENATE(Liste!$C$3,$B$1133,$B$1247),Data!$BO:$BO,0)-2,23)&lt;&gt;"",INDEX(Tab_DaBa[],MATCH(CONCATENATE(Liste!$C$3,$B$1133,$B$1247),Data!$BO:$BO,0)-2,28)=""),"PFH [1/h] = "&amp;10^9*INDEX(Tab_DaBa[],MATCH(CONCATENATE(Liste!$C$3,$B$1133,$B$1247),Data!$BO:$BO,0)-2,16)&amp;"E-9",IF(INDEX(Tab_DaBa[],MATCH(CONCATENATE(Liste!$C$3,$B$1133,$B$1247),Data!$BO:$BO,0)-2,23)&lt;&gt;"","PFH [1/h] = "&amp;10^9*INDEX(Tab_DaBa[],MATCH(CONCATENATE(Liste!$C$3,$B$1133,$B$1247),Data!$BO:$BO,0)-2,31)&amp;"E-9","")),"")</f>
        <v>PFH [1/h] = 4,19E-9</v>
      </c>
      <c r="I1253" s="39"/>
    </row>
    <row r="1254" spans="2:9" s="16" customFormat="1">
      <c r="B1254" s="33"/>
      <c r="C1254" s="34"/>
      <c r="D1254" s="33"/>
      <c r="E1254" s="33"/>
      <c r="F1254" s="33"/>
      <c r="G1254" s="33"/>
      <c r="H1254" s="33"/>
      <c r="I1254" s="33"/>
    </row>
    <row r="1255" spans="2:9" s="16" customFormat="1" ht="15.75">
      <c r="B1255" s="38">
        <f ca="1">IF(B1257="","",6)</f>
        <v>6</v>
      </c>
      <c r="C1255" s="34"/>
      <c r="D1255" s="38">
        <f ca="1">IF(B1257="","",3)</f>
        <v>3</v>
      </c>
      <c r="E1255" s="33"/>
      <c r="F1255" s="38">
        <f ca="1">IF(B1257="","",3)</f>
        <v>3</v>
      </c>
      <c r="G1255" s="33"/>
      <c r="H1255" s="38">
        <f ca="1">IF(B1257="","",3)</f>
        <v>3</v>
      </c>
      <c r="I1255" s="33"/>
    </row>
    <row r="1256" spans="2:9" s="16" customFormat="1" ht="15.75">
      <c r="B1256" s="39"/>
      <c r="C1256" s="33"/>
      <c r="D1256" s="33"/>
      <c r="E1256" s="33"/>
      <c r="F1256" s="33"/>
      <c r="G1256" s="33"/>
      <c r="H1256" s="33"/>
      <c r="I1256" s="33"/>
    </row>
    <row r="1257" spans="2:9" s="16" customFormat="1" ht="15.75">
      <c r="B1257" s="35" t="str">
        <f ca="1">IFERROR(IF(AND(INDEX(Tab_DaBa[],MATCH(CONCATENATE(Liste!$C$3,$B$1133,$B$1247),Data!$BO:$BO,0)-2,28)&lt;&gt;"",INDEX(Tab_DaBa[],MATCH(CONCATENATE(Liste!$C$3,$B$1133,$B$1247),Data!$BO:$BO,0)-2,33)=0),INDEX(Tab_DaBa[],MATCH(CONCATENATE(Liste!$C$3,$B$1133,$B$1247),Data!$BO:$BO,0)-2,14),IF(INDEX(Tab_DaBa[],MATCH(CONCATENATE(Liste!$C$3,$B$1133,$B$1247),Data!$BO:$BO,0)-2,28)&lt;&gt;"",INDEX(Tab_DaBa[],MATCH(CONCATENATE(Liste!$C$3,$B$1133,$B$1247),Data!$BO:$BO,0)-2,34),"")),"")</f>
        <v>Logik 04</v>
      </c>
      <c r="C1257" s="39"/>
      <c r="D1257" s="35" t="str">
        <f ca="1">IFERROR(IF(AND(INDEX(Tab_DaBa[],MATCH(CONCATENATE(Liste!$C$3,$B$1133,$B$1247),Data!$BO:$BO,0)-2,33)&lt;&gt;"",INDEX(Tab_DaBa[],MATCH(CONCATENATE(Liste!$C$3,$B$1133,$B$1247),Data!$BO:$BO,0)-2,38)=0),INDEX(Tab_DaBa[],MATCH(CONCATENATE(Liste!$C$3,$B$1133,$B$1247),Data!$BO:$BO,0)-2,14),IF(INDEX(Tab_DaBa[],MATCH(CONCATENATE(Liste!$C$3,$B$1133,$B$1247),Data!$BO:$BO,0)-2,33)&lt;&gt;"",INDEX(Tab_DaBa[],MATCH(CONCATENATE(Liste!$C$3,$B$1133,$B$1247),Data!$BO:$BO,0)-2,39),"")),"")</f>
        <v>Logik 05</v>
      </c>
      <c r="E1257" s="33"/>
      <c r="F1257" s="35" t="str">
        <f ca="1">IFERROR(IF(AND(INDEX(Tab_DaBa[],MATCH(CONCATENATE(Liste!$C$3,$B$1133,$B$1247),Data!$BO:$BO,0)-2,38)&lt;&gt;"",INDEX(Tab_DaBa[],MATCH(CONCATENATE(Liste!$C$3,$B$1133,$B$1247),Data!$BO:$BO,0)-2,43)=0),INDEX(Tab_DaBa[],MATCH(CONCATENATE(Liste!$C$3,$B$1133,$B$1247),Data!$BO:$BO,0)-2,14),IF(INDEX(Tab_DaBa[],MATCH(CONCATENATE(Liste!$C$3,$B$1133,$B$1247),Data!$BO:$BO,0)-2,38)&lt;&gt;"",INDEX(Tab_DaBa[],MATCH(CONCATENATE(Liste!$C$3,$B$1133,$B$1247),Data!$BO:$BO,0)-2,44),"")),"")</f>
        <v>Ausgang</v>
      </c>
      <c r="G1257" s="39"/>
      <c r="H1257" s="35" t="str">
        <f ca="1">IFERROR(IF(AND(INDEX(Tab_DaBa[],MATCH(CONCATENATE(Liste!$C$3,$B$1133,$B$1247),Data!$BO:$BO,0)-2,43)&lt;&gt;"",INDEX(Tab_DaBa[],MATCH(CONCATENATE(Liste!$C$3,$B$1133,$B$1247),Data!$BO:$BO,0)-2,48)=0),INDEX(Tab_DaBa[],MATCH(CONCATENATE(Liste!$C$3,$B$1133,$B$1247),Data!$BO:$BO,0)-2,14),IF(INDEX(Tab_DaBa[],MATCH(CONCATENATE(Liste!$C$3,$B$1133,$B$1247),Data!$BO:$BO,0)-2,43)&lt;&gt;"",INDEX(Tab_DaBa[],MATCH(CONCATENATE(Liste!$C$3,$B$1133,$B$1247),Data!$BO:$BO,0)-2,49),"")),"")</f>
        <v/>
      </c>
      <c r="I1257" s="39"/>
    </row>
    <row r="1258" spans="2:9" s="16" customFormat="1" ht="15.75">
      <c r="B1258" s="35" t="str">
        <f ca="1">IFERROR(IF(AND(INDEX(Tab_DaBa[],MATCH(CONCATENATE(Liste!$C$3,$B$1133,$B$1247),Data!$BO:$BO,0)-2,28)&lt;&gt;"",INDEX(Tab_DaBa[],MATCH(CONCATENATE(Liste!$C$3,$B$1133,$B$1247),Data!$BO:$BO,0)-2,33)=0),INDEX(Tab_DaBa[],MATCH(CONCATENATE(Liste!$C$3,$B$1133,$B$1247),Data!$BO:$BO,0)-2,12),IF(INDEX(Tab_DaBa[],MATCH(CONCATENATE(Liste!$C$3,$B$1133,$B$1247),Data!$BO:$BO,0)-2,28)&lt;&gt;"",INDEX(Tab_DaBa[],MATCH(CONCATENATE(Liste!$C$3,$B$1133,$B$1247),Data!$BO:$BO,0)-2,32),"")),"")</f>
        <v>Lo04-44_05</v>
      </c>
      <c r="C1258" s="39"/>
      <c r="D1258" s="35" t="str">
        <f ca="1">IFERROR(IF(AND(INDEX(Tab_DaBa[],MATCH(CONCATENATE(Liste!$C$3,$B$1133,$B$1247),Data!$BO:$BO,0)-2,33)&lt;&gt;"",INDEX(Tab_DaBa[],MATCH(CONCATENATE(Liste!$C$3,$B$1133,$B$1247),Data!$BO:$BO,0)-2,38)=0),INDEX(Tab_DaBa[],MATCH(CONCATENATE(Liste!$C$3,$B$1133,$B$1247),Data!$BO:$BO,0)-2,12),IF(INDEX(Tab_DaBa[],MATCH(CONCATENATE(Liste!$C$3,$B$1133,$B$1247),Data!$BO:$BO,0)-2,33)&lt;&gt;"",INDEX(Tab_DaBa[],MATCH(CONCATENATE(Liste!$C$3,$B$1133,$B$1247),Data!$BO:$BO,0)-2,37),"")),"")</f>
        <v>Lo04-44_05</v>
      </c>
      <c r="E1258" s="37"/>
      <c r="F1258" s="35" t="str">
        <f ca="1">IFERROR(IF(AND(INDEX(Tab_DaBa[],MATCH(CONCATENATE(Liste!$C$3,$B$1133,$B$1247),Data!$BO:$BO,0)-2,38)&lt;&gt;"",INDEX(Tab_DaBa[],MATCH(CONCATENATE(Liste!$C$3,$B$1133,$B$1247),Data!$BO:$BO,0)-2,43)=0),INDEX(Tab_DaBa[],MATCH(CONCATENATE(Liste!$C$3,$B$1133,$B$1247),Data!$BO:$BO,0)-2,12),IF(INDEX(Tab_DaBa[],MATCH(CONCATENATE(Liste!$C$3,$B$1133,$B$1247),Data!$BO:$BO,0)-2,38)&lt;&gt;"",INDEX(Tab_DaBa[],MATCH(CONCATENATE(Liste!$C$3,$B$1133,$B$1247),Data!$BO:$BO,0)-2,42),"")),"")</f>
        <v>aaaa-44_5</v>
      </c>
      <c r="G1258" s="39"/>
      <c r="H1258" s="35" t="str">
        <f ca="1">IFERROR(IF(AND(INDEX(Tab_DaBa[],MATCH(CONCATENATE(Liste!$C$3,$B$1133,$B$1247),Data!$BO:$BO,0)-2,43)&lt;&gt;"",INDEX(Tab_DaBa[],MATCH(CONCATENATE(Liste!$C$3,$B$1133,$B$1247),Data!$BO:$BO,0)-2,48)=0),INDEX(Tab_DaBa[],MATCH(CONCATENATE(Liste!$C$3,$B$1133,$B$1247),Data!$BO:$BO,0)-2,12),IF(INDEX(Tab_DaBa[],MATCH(CONCATENATE(Liste!$C$3,$B$1133,$B$1247),Data!$BO:$BO,0)-2,43)&lt;&gt;"",INDEX(Tab_DaBa[],MATCH(CONCATENATE(Liste!$C$3,$B$1133,$B$1247),Data!$BO:$BO,0)-2,47),"")),"")</f>
        <v/>
      </c>
      <c r="I1258" s="39"/>
    </row>
    <row r="1259" spans="2:9" s="16" customFormat="1" ht="15.75">
      <c r="B1259" s="35" t="str">
        <f ca="1">IFERROR(IF(AND(INDEX(Tab_DaBa[],MATCH(CONCATENATE(Liste!$C$3,$B$1133,$B$1247),Data!$BO:$BO,0)-2,28)&lt;&gt;"",INDEX(Tab_DaBa[],MATCH(CONCATENATE(Liste!$C$3,$B$1133,$B$1247),Data!$BO:$BO,0)-2,33)=""),INDEX(Tab_DaBa[],MATCH(CONCATENATE(Liste!$C$3,$B$1133,$B$1247),Data!$BO:$BO,0)-2,13),IF(INDEX(Tab_DaBa[],MATCH(CONCATENATE(Liste!$C$3,$B$1133,$B$1247),Data!$BO:$BO,0)-2,28)&lt;&gt;"",INDEX(Tab_DaBa[],MATCH(CONCATENATE(Liste!$C$3,$B$1133,$B$1247),Data!$BO:$BO,0)-2,33),"")),"")</f>
        <v>Bez_Lo04_05</v>
      </c>
      <c r="C1259" s="38">
        <f ca="1">IF(D1257="","",4)</f>
        <v>4</v>
      </c>
      <c r="D1259" s="35" t="str">
        <f ca="1">IFERROR(IF(AND(INDEX(Tab_DaBa[],MATCH(CONCATENATE(Liste!$C$3,$B$1133,$B$1247),Data!$BO:$BO,0)-2,33)&lt;&gt;"",INDEX(Tab_DaBa[],MATCH(CONCATENATE(Liste!$C$3,$B$1133,$B$1247),Data!$BO:$BO,0)-2,38)=""),INDEX(Tab_DaBa[],MATCH(CONCATENATE(Liste!$C$3,$B$1133,$B$1247),Data!$BO:$BO,0)-2,13),IF(INDEX(Tab_DaBa[],MATCH(CONCATENATE(Liste!$C$3,$B$1133,$B$1247),Data!$BO:$BO,0)-2,33)&lt;&gt;"",INDEX(Tab_DaBa[],MATCH(CONCATENATE(Liste!$C$3,$B$1133,$B$1247),Data!$BO:$BO,0)-2,38),"")),"")</f>
        <v>Bez_Lo05_05</v>
      </c>
      <c r="E1259" s="38">
        <f ca="1">IF(F1257="","",4)</f>
        <v>4</v>
      </c>
      <c r="F1259" s="35" t="str">
        <f ca="1">IFERROR(IF(AND(INDEX(Tab_DaBa[],MATCH(CONCATENATE(Liste!$C$3,$B$1133,$B$1247),Data!$BO:$BO,0)-2,38)&lt;&gt;"",INDEX(Tab_DaBa[],MATCH(CONCATENATE(Liste!$C$3,$B$1133,$B$1247),Data!$BO:$BO,0)-2,43)=""),INDEX(Tab_DaBa[],MATCH(CONCATENATE(Liste!$C$3,$B$1133,$B$1247),Data!$BO:$BO,0)-2,13),IF(INDEX(Tab_DaBa[],MATCH(CONCATENATE(Liste!$C$3,$B$1133,$B$1247),Data!$BO:$BO,0)-2,38)&lt;&gt;"",INDEX(Tab_DaBa[],MATCH(CONCATENATE(Liste!$C$3,$B$1133,$B$1247),Data!$BO:$BO,0)-2,43),"")),"")</f>
        <v>Bez_Aus4_5</v>
      </c>
      <c r="G1259" s="38" t="str">
        <f ca="1">IF(H1257="","",4)</f>
        <v/>
      </c>
      <c r="H1259" s="35" t="str">
        <f ca="1">IFERROR(IF(AND(INDEX(Tab_DaBa[],MATCH(CONCATENATE(Liste!$C$3,$B$1133,$B$1247),Data!$BO:$BO,0)-2,43)&lt;&gt;"",INDEX(Tab_DaBa[],MATCH(CONCATENATE(Liste!$C$3,$B$1133,$B$1247),Data!$BO:$BO,0)-2,48)=""),INDEX(Tab_DaBa[],MATCH(CONCATENATE(Liste!$C$3,$B$1133,$B$1247),Data!$BO:$BO,0)-2,13),IF(INDEX(Tab_DaBa[],MATCH(CONCATENATE(Liste!$C$3,$B$1133,$B$1247),Data!$BO:$BO,0)-2,43)&lt;&gt;"",INDEX(Tab_DaBa[],MATCH(CONCATENATE(Liste!$C$3,$B$1133,$B$1247),Data!$BO:$BO,0)-2,48),"")),"")</f>
        <v/>
      </c>
      <c r="I1259" s="38" t="str">
        <f ca="1">IF(B1265="","",6)</f>
        <v/>
      </c>
    </row>
    <row r="1260" spans="2:9" s="16" customFormat="1" ht="15.75">
      <c r="B1260" s="35" t="str">
        <f ca="1">IFERROR(IF(AND(INDEX(Tab_DaBa[],MATCH(CONCATENATE(Liste!$C$3,$B$1133,$B$1247),Data!$BO:$BO,0)-2,28)&lt;&gt;"",INDEX(Tab_DaBa[],MATCH(CONCATENATE(Liste!$C$3,$B$1133,$B$1247),Data!$BO:$BO,0)-2,33)=""),"Performance Level: "&amp;INDEX(Tab_DaBa[],MATCH(CONCATENATE(Liste!$C$3,$B$1133,$B$1247),Data!$BO:$BO,0)-2,15),IF(INDEX(Tab_DaBa[],MATCH(CONCATENATE(Liste!$C$3,$B$1133,$B$1247),Data!$BO:$BO,0)-2,28)&lt;&gt;"","Performance Level: "&amp;INDEX(Tab_DaBa[],MATCH(CONCATENATE(Liste!$C$3,$B$1133,$B$1247),Data!$BO:$BO,0)-2,35),"")),"")</f>
        <v>Performance Level: PL_Lo04_05</v>
      </c>
      <c r="C1260" s="39"/>
      <c r="D1260" s="35" t="str">
        <f ca="1">IFERROR(IF(AND(INDEX(Tab_DaBa[],MATCH(CONCATENATE(Liste!$C$3,$B$1133,$B$1247),Data!$BO:$BO,0)-2,33)&lt;&gt;"",INDEX(Tab_DaBa[],MATCH(CONCATENATE(Liste!$C$3,$B$1133,$B$1247),Data!$BO:$BO,0)-2,38)=""),"Performance Level: "&amp;INDEX(Tab_DaBa[],MATCH(CONCATENATE(Liste!$C$3,$B$1133,$B$1247),Data!$BO:$BO,0)-2,15),IF(INDEX(Tab_DaBa[],MATCH(CONCATENATE(Liste!$C$3,$B$1133,$B$1247),Data!$BO:$BO,0)-2,33)&lt;&gt;"","Performance Level: "&amp;INDEX(Tab_DaBa[],MATCH(CONCATENATE(Liste!$C$3,$B$1133,$B$1247),Data!$BO:$BO,0)-2,40),"")),"")</f>
        <v>Performance Level: PL_Lo03_5</v>
      </c>
      <c r="E1260" s="37"/>
      <c r="F1260" s="35" t="str">
        <f ca="1">IFERROR(IF(AND(INDEX(Tab_DaBa[],MATCH(CONCATENATE(Liste!$C$3,$B$1133,$B$1247),Data!$BO:$BO,0)-2,38)&lt;&gt;"",INDEX(Tab_DaBa[],MATCH(CONCATENATE(Liste!$C$3,$B$1133,$B$1247),Data!$BO:$BO,0)-2,43)=""),"Performance Level: "&amp;INDEX(Tab_DaBa[],MATCH(CONCATENATE(Liste!$C$3,$B$1133,$B$1247),Data!$BO:$BO,0)-2,15),IF(INDEX(Tab_DaBa[],MATCH(CONCATENATE(Liste!$C$3,$B$1133,$B$1247),Data!$BO:$BO,0)-2,38)&lt;&gt;"","Performance Level: "&amp;INDEX(Tab_DaBa[],MATCH(CONCATENATE(Liste!$C$3,$B$1133,$B$1247),Data!$BO:$BO,0)-2,45),"")),"")</f>
        <v>Performance Level: PL_Aus4_5</v>
      </c>
      <c r="G1260" s="39"/>
      <c r="H1260" s="35" t="str">
        <f ca="1">IFERROR(IF(AND(INDEX(Tab_DaBa[],MATCH(CONCATENATE(Liste!$C$3,$B$1133,$B$1247),Data!$BO:$BO,0)-2,43)&lt;&gt;"",INDEX(Tab_DaBa[],MATCH(CONCATENATE(Liste!$C$3,$B$1133,$B$1247),Data!$BO:$BO,0)-2,48)=""),"Performance Level: "&amp;INDEX(Tab_DaBa[],MATCH(CONCATENATE(Liste!$C$3,$B$1133,$B$1247),Data!$BO:$BO,0)-2,15),IF(INDEX(Tab_DaBa[],MATCH(CONCATENATE(Liste!$C$3,$B$1133,$B$1247),Data!$BO:$BO,0)-2,43)&lt;&gt;"","Performance Level: "&amp;INDEX(Tab_DaBa[],MATCH(CONCATENATE(Liste!$C$3,$B$1133,$B$1247),Data!$BO:$BO,0)-2,50),"")),"")</f>
        <v/>
      </c>
      <c r="I1260" s="39"/>
    </row>
    <row r="1261" spans="2:9" s="16" customFormat="1" ht="15.75">
      <c r="B1261" s="35" t="str">
        <f ca="1">IFERROR(IF(AND(INDEX(Tab_DaBa[],MATCH(CONCATENATE(Liste!$C$3,$B$1133,$B$1247),Data!$BO:$BO,0)-2,28)&lt;&gt;"",INDEX(Tab_DaBa[],MATCH(CONCATENATE(Liste!$C$3,$B$1133,$B$1247),Data!$BO:$BO,0)-2,33)=""),"PFH [1/h] = "&amp;10^9*INDEX(Tab_DaBa[],MATCH(CONCATENATE(Liste!$C$3,$B$1133,$B$1247),Data!$BO:$BO,0)-2,16)&amp;"E-9",IF(INDEX(Tab_DaBa[],MATCH(CONCATENATE(Liste!$C$3,$B$1133,$B$1247),Data!$BO:$BO,0)-2,28)&lt;&gt;"","PFH [1/h] = "&amp;10^9*INDEX(Tab_DaBa[],MATCH(CONCATENATE(Liste!$C$3,$B$1133,$B$1247),Data!$BO:$BO,0)-2,36)&amp;"E-9","")),"")</f>
        <v>PFH [1/h] = 4,19E-9</v>
      </c>
      <c r="C1261" s="39"/>
      <c r="D1261" s="35" t="str">
        <f ca="1">IFERROR(IF(AND(INDEX(Tab_DaBa[],MATCH(CONCATENATE(Liste!$C$3,$B$1133,$B$1247),Data!$BO:$BO,0)-2,33)&lt;&gt;"",INDEX(Tab_DaBa[],MATCH(CONCATENATE(Liste!$C$3,$B$1133,$B$1247),Data!$BO:$BO,0)-2,38)=""),"PFH [1/h] = "&amp;10^9*INDEX(Tab_DaBa[],MATCH(CONCATENATE(Liste!$C$3,$B$1133,$B$1247),Data!$BO:$BO,0)-2,16)&amp;"E-9",IF(INDEX(Tab_DaBa[],MATCH(CONCATENATE(Liste!$C$3,$B$1133,$B$1247),Data!$BO:$BO,0)-2,33)&lt;&gt;"","PFH [1/h] = "&amp;10^9*INDEX(Tab_DaBa[],MATCH(CONCATENATE(Liste!$C$3,$B$1133,$B$1247),Data!$BO:$BO,0)-2,41)&amp;"E-9","")),"")</f>
        <v>PFH [1/h] = 4,19E-9</v>
      </c>
      <c r="E1261" s="37"/>
      <c r="F1261" s="35" t="str">
        <f ca="1">IFERROR(IF(AND(INDEX(Tab_DaBa[],MATCH(CONCATENATE(Liste!$C$3,$B$1133,$B$1247),Data!$BO:$BO,0)-2,38)&lt;&gt;"",INDEX(Tab_DaBa[],MATCH(CONCATENATE(Liste!$C$3,$B$1133,$B$1247),Data!$BO:$BO,0)-2,43)=""),"PFH [1/h] = "&amp;10^9*INDEX(Tab_DaBa[],MATCH(CONCATENATE(Liste!$C$3,$B$1133,$B$1247),Data!$BO:$BO,0)-2,16)&amp;"E-9",IF(INDEX(Tab_DaBa[],MATCH(CONCATENATE(Liste!$C$3,$B$1133,$B$1247),Data!$BO:$BO,0)-2,38)&lt;&gt;"","PFH [1/h] = "&amp;10^9*INDEX(Tab_DaBa[],MATCH(CONCATENATE(Liste!$C$3,$B$1133,$B$1247),Data!$BO:$BO,0)-2,46)&amp;"E-9","")),"")</f>
        <v>PFH [1/h] = 24,7E-9</v>
      </c>
      <c r="G1261" s="39"/>
      <c r="H1261" s="35" t="str">
        <f ca="1">IFERROR(IF(AND(INDEX(Tab_DaBa[],MATCH(CONCATENATE(Liste!$C$3,$B$1133,$B$1247),Data!$BO:$BO,0)-2,43)&lt;&gt;"",INDEX(Tab_DaBa[],MATCH(CONCATENATE(Liste!$C$3,$B$1133,$B$1247),Data!$BO:$BO,0)-2,48)=""),"PFH [1/h] = "&amp;10^9*INDEX(Tab_DaBa[],MATCH(CONCATENATE(Liste!$C$3,$B$1133,$B$1247),Data!$BO:$BO,0)-2,16)&amp;"E-9",IF(INDEX(Tab_DaBa[],MATCH(CONCATENATE(Liste!$C$3,$B$1133,$B$1247),Data!$BO:$BO,0)-2,43)&lt;&gt;"","PFH [1/h] = "&amp;10^9*INDEX(Tab_DaBa[],MATCH(CONCATENATE(Liste!$C$3,$B$1133,$B$1247),Data!$BO:$BO,0)-2,51)&amp;"E-9","")),"")</f>
        <v/>
      </c>
      <c r="I1261" s="39"/>
    </row>
    <row r="1262" spans="2:9" s="16" customFormat="1">
      <c r="B1262" s="33"/>
      <c r="C1262" s="33"/>
      <c r="D1262" s="33"/>
      <c r="E1262" s="33"/>
      <c r="F1262" s="33"/>
      <c r="G1262" s="33"/>
      <c r="H1262" s="33"/>
      <c r="I1262" s="33"/>
    </row>
    <row r="1263" spans="2:9" s="16" customFormat="1" ht="15.75">
      <c r="B1263" s="38" t="str">
        <f ca="1">IF(B1265="","",6)</f>
        <v/>
      </c>
      <c r="C1263" s="33"/>
      <c r="D1263" s="38" t="str">
        <f ca="1">IF(B1265="","",3)</f>
        <v/>
      </c>
      <c r="E1263" s="33"/>
      <c r="F1263" s="38" t="str">
        <f ca="1">IF(B1265="","",3)</f>
        <v/>
      </c>
      <c r="G1263" s="33"/>
      <c r="H1263" s="38" t="str">
        <f ca="1">IF(B1265="","",3)</f>
        <v/>
      </c>
      <c r="I1263" s="33"/>
    </row>
    <row r="1264" spans="2:9" s="16" customFormat="1" ht="15.75">
      <c r="B1264" s="39"/>
      <c r="C1264" s="33"/>
      <c r="D1264" s="33"/>
      <c r="E1264" s="33"/>
      <c r="F1264" s="33"/>
      <c r="G1264" s="33"/>
      <c r="H1264" s="33"/>
      <c r="I1264" s="33"/>
    </row>
    <row r="1265" spans="2:9" s="16" customFormat="1" ht="15.75">
      <c r="B1265" s="35" t="str">
        <f ca="1">IFERROR(IF(AND(INDEX(Tab_DaBa[],MATCH(CONCATENATE(Liste!$C$3,$B$1133,$B$1247),Data!$BO:$BO,0)-2,48)&lt;&gt;"",INDEX(Tab_DaBa[],MATCH(CONCATENATE(Liste!$C$3,$B$1133,$B$1247),Data!$BO:$BO,0)-2,53)=0),INDEX(Tab_DaBa[],MATCH(CONCATENATE(Liste!$C$3,$B$1133,$B$1247),Data!$BO:$BO,0)-2,14),IF(INDEX(Tab_DaBa[],MATCH(CONCATENATE(Liste!$C$3,$B$1133,$B$1247),Data!$BO:$BO,0)-2,48)&lt;&gt;"",INDEX(Tab_DaBa[],MATCH(CONCATENATE(Liste!$C$3,$B$1133,$B$1247),Data!$BO:$BO,0)-2,54),"")),"")</f>
        <v/>
      </c>
      <c r="C1265" s="39"/>
      <c r="D1265" s="35" t="str">
        <f ca="1">IFERROR(IF(AND(INDEX(Tab_DaBa[],MATCH(CONCATENATE(Liste!$C$3,$B$1133,$B$1247),Data!$BO:$BO,0)-2,53)&lt;&gt;"",INDEX(Tab_DaBa[],MATCH(CONCATENATE(Liste!$C$3,$B$1133,$B$1247),Data!$BO:$BO,0)-2,58)=0),INDEX(Tab_DaBa[],MATCH(CONCATENATE(Liste!$C$3,$B$1133,$B$1247),Data!$BO:$BO,0)-2,14),IF(INDEX(Tab_DaBa[],MATCH(CONCATENATE(Liste!$C$3,$B$1133,$B$1247),Data!$BO:$BO,0)-2,53)&lt;&gt;"",INDEX(Tab_DaBa[],MATCH(CONCATENATE(Liste!$C$3,$B$1133,$B$1247),Data!$BO:$BO,0)-2,59),"")),"")</f>
        <v/>
      </c>
      <c r="E1265" s="33"/>
      <c r="F1265" s="35" t="str">
        <f ca="1">IFERROR(IF(AND(INDEX(Tab_DaBa[],MATCH(CONCATENATE(Liste!$C$3,$B$1133,$B$1247),Data!$BO:$BO,0)-2,58)&lt;&gt;"",INDEX(Tab_DaBa[],MATCH(CONCATENATE(Liste!$C$3,$B$1133,$B$1247),Data!$BO:$BO,0)-2,63)=0),INDEX(Tab_DaBa[],MATCH(CONCATENATE(Liste!$C$3,$B$1133,$B$1247),Data!$BO:$BO,0)-2,14),IF(INDEX(Tab_DaBa[],MATCH(CONCATENATE(Liste!$C$3,$B$1133,$B$1247),Data!$BO:$BO,0)-2,58)&lt;&gt;"",INDEX(Tab_DaBa[],MATCH(CONCATENATE(Liste!$C$3,$B$1133,$B$1247),Data!$BO:$BO,0)-2,64),"")),"")</f>
        <v/>
      </c>
      <c r="G1265" s="39"/>
      <c r="H1265" s="35" t="str">
        <f ca="1">IFERROR(IF(INDEX(Tab_DaBa[],MATCH(CONCATENATE(Liste!$C$3,$B$1133,$B$1247),Data!$BO:$BO,0)-2,63)&lt;&gt;"",INDEX(Tab_DaBa[],MATCH(CONCATENATE(Liste!$C$3,$B$1133,$B$1247),Data!$BO:$BO,0)-2,14),""),"")</f>
        <v/>
      </c>
    </row>
    <row r="1266" spans="2:9" s="16" customFormat="1" ht="15.75">
      <c r="B1266" s="35" t="str">
        <f ca="1">IFERROR(IF(AND(INDEX(Tab_DaBa[],MATCH(CONCATENATE(Liste!$C$3,$B$1133,$B$1247),Data!$BO:$BO,0)-2,48)&lt;&gt;"",INDEX(Tab_DaBa[],MATCH(CONCATENATE(Liste!$C$3,$B$1133,$B$1247),Data!$BO:$BO,0)-2,53)=0),INDEX(Tab_DaBa[],MATCH(CONCATENATE(Liste!$C$3,$B$1133,$B$1247),Data!$BO:$BO,0)-2,12),IF(INDEX(Tab_DaBa[],MATCH(CONCATENATE(Liste!$C$3,$B$1133,$B$1247),Data!$BO:$BO,0)-2,48)&lt;&gt;"",INDEX(Tab_DaBa[],MATCH(CONCATENATE(Liste!$C$3,$B$1133,$B$1247),Data!$BO:$BO,0)-2,52),"")),"")</f>
        <v/>
      </c>
      <c r="C1266" s="39"/>
      <c r="D1266" s="35" t="str">
        <f ca="1">IFERROR(IF(AND(INDEX(Tab_DaBa[],MATCH(CONCATENATE(Liste!$C$3,$B$1133,$B$1247),Data!$BO:$BO,0)-2,53)&lt;&gt;"",INDEX(Tab_DaBa[],MATCH(CONCATENATE(Liste!$C$3,$B$1133,$B$1247),Data!$BO:$BO,0)-2,58)=0),INDEX(Tab_DaBa[],MATCH(CONCATENATE(Liste!$C$3,$B$1133,$B$1247),Data!$BO:$BO,0)-2,12),IF(INDEX(Tab_DaBa[],MATCH(CONCATENATE(Liste!$C$3,$B$1133,$B$1247),Data!$BO:$BO,0)-2,53)&lt;&gt;"",INDEX(Tab_DaBa[],MATCH(CONCATENATE(Liste!$C$3,$B$1133,$B$1247),Data!$BO:$BO,0)-2,57),"")),"")</f>
        <v/>
      </c>
      <c r="E1266" s="37"/>
      <c r="F1266" s="35" t="str">
        <f ca="1">IFERROR(IF(AND(INDEX(Tab_DaBa[],MATCH(CONCATENATE(Liste!$C$3,$B$1133,$B$1247),Data!$BO:$BO,0)-2,58)&lt;&gt;"",INDEX(Tab_DaBa[],MATCH(CONCATENATE(Liste!$C$3,$B$1133,$B$1247),Data!$BO:$BO,0)-2,63)=0),INDEX(Tab_DaBa[],MATCH(CONCATENATE(Liste!$C$3,$B$1133,$B$1247),Data!$BO:$BO,0)-2,12),IF(INDEX(Tab_DaBa[],MATCH(CONCATENATE(Liste!$C$3,$B$1133,$B$1247),Data!$BO:$BO,0)-2,58)&lt;&gt;"",INDEX(Tab_DaBa[],MATCH(CONCATENATE(Liste!$C$3,$B$1133,$B$1247),Data!$BO:$BO,0)-2,62),"")),"")</f>
        <v/>
      </c>
      <c r="G1266" s="39"/>
      <c r="H1266" s="35" t="str">
        <f ca="1">IFERROR(IF(INDEX(Tab_DaBa[],MATCH(CONCATENATE(Liste!$C$3,$B$1133,$B$1247),Data!$BO:$BO,0)-2,63)&lt;&gt;"",INDEX(Tab_DaBa[],MATCH(CONCATENATE(Liste!$C$3,$B$1133,$B$1247),Data!$BO:$BO,0)-2,12),""),"")</f>
        <v/>
      </c>
    </row>
    <row r="1267" spans="2:9" s="16" customFormat="1" ht="15.75">
      <c r="B1267" s="35" t="str">
        <f ca="1">IFERROR(IF(AND(INDEX(Tab_DaBa[],MATCH(CONCATENATE(Liste!$C$3,$B$1133,$B$1247),Data!$BO:$BO,0)-2,48)&lt;&gt;"",INDEX(Tab_DaBa[],MATCH(CONCATENATE(Liste!$C$3,$B$1133,$B$1247),Data!$BO:$BO,0)-2,53)=""),INDEX(Tab_DaBa[],MATCH(CONCATENATE(Liste!$C$3,$B$1133,$B$1247),Data!$BO:$BO,0)-2,13),IF(INDEX(Tab_DaBa[],MATCH(CONCATENATE(Liste!$C$3,$B$1133,$B$1247),Data!$BO:$BO,0)-2,48)&lt;&gt;"",INDEX(Tab_DaBa[],MATCH(CONCATENATE(Liste!$C$3,$B$1133,$B$1247),Data!$BO:$BO,0)-2,53),"")),"")</f>
        <v/>
      </c>
      <c r="C1267" s="38" t="str">
        <f ca="1">IF(D1265="","",4)</f>
        <v/>
      </c>
      <c r="D1267" s="35" t="str">
        <f ca="1">IFERROR(IF(AND(INDEX(Tab_DaBa[],MATCH(CONCATENATE(Liste!$C$3,$B$1133,$B$1247),Data!$BO:$BO,0)-2,53)&lt;&gt;"",INDEX(Tab_DaBa[],MATCH(CONCATENATE(Liste!$C$3,$B$1133,$B$1247),Data!$BO:$BO,0)-2,58)=""),INDEX(Tab_DaBa[],MATCH(CONCATENATE(Liste!$C$3,$B$1133,$B$1247),Data!$BO:$BO,0)-2,13),IF(INDEX(Tab_DaBa[],MATCH(CONCATENATE(Liste!$C$3,$B$1133,$B$1247),Data!$BO:$BO,0)-2,53)&lt;&gt;"",INDEX(Tab_DaBa[],MATCH(CONCATENATE(Liste!$C$3,$B$1133,$B$1247),Data!$BO:$BO,0)-2,58),"")),"")</f>
        <v/>
      </c>
      <c r="E1267" s="38" t="str">
        <f ca="1">IF(F1265="","",4)</f>
        <v/>
      </c>
      <c r="F1267" s="35" t="str">
        <f ca="1">IFERROR(IF(AND(INDEX(Tab_DaBa[],MATCH(CONCATENATE(Liste!$C$3,$B$1133,$B$1247),Data!$BO:$BO,0)-2,58)&lt;&gt;"",INDEX(Tab_DaBa[],MATCH(CONCATENATE(Liste!$C$3,$B$1133,$B$1247),Data!$BO:$BO,0)-2,63)=""),INDEX(Tab_DaBa[],MATCH(CONCATENATE(Liste!$C$3,$B$1133,$B$1247),Data!$BO:$BO,0)-2,13),IF(INDEX(Tab_DaBa[],MATCH(CONCATENATE(Liste!$C$3,$B$1133,$B$1247),Data!$BO:$BO,0)-2,58)&lt;&gt;"",INDEX(Tab_DaBa[],MATCH(CONCATENATE(Liste!$C$3,$B$1133,$B$1247),Data!$BO:$BO,0)-2,63),"")),"")</f>
        <v/>
      </c>
      <c r="G1267" s="38" t="str">
        <f ca="1">IF(H1265="","",4)</f>
        <v/>
      </c>
      <c r="H1267" s="35" t="str">
        <f ca="1">IFERROR(IF(INDEX(Tab_DaBa[],MATCH(CONCATENATE(Liste!$C$3,$B$1133,$B$1247),Data!$BO:$BO,0)-2,63)&lt;&gt;"",INDEX(Tab_DaBa[],MATCH(CONCATENATE(Liste!$C$3,$B$1133,$B$1247),Data!$BO:$BO,0)-2,13),""),"")</f>
        <v/>
      </c>
    </row>
    <row r="1268" spans="2:9" s="16" customFormat="1" ht="15.75">
      <c r="B1268" s="35" t="str">
        <f ca="1">IFERROR(IF(AND(INDEX(Tab_DaBa[],MATCH(CONCATENATE(Liste!$C$3,$B$1133,$B$1247),Data!$BO:$BO,0)-2,48)&lt;&gt;"",INDEX(Tab_DaBa[],MATCH(CONCATENATE(Liste!$C$3,$B$1133,$B$1247),Data!$BO:$BO,0)-2,53)=""),"Performance Level: "&amp;INDEX(Tab_DaBa[],MATCH(CONCATENATE(Liste!$C$3,$B$1133,$B$1247),Data!$BO:$BO,0)-2,15),IF(INDEX(Tab_DaBa[],MATCH(CONCATENATE(Liste!$C$3,$B$1133,$B$1247),Data!$BO:$BO,0)-2,48)&lt;&gt;"","Performance Level: "&amp;INDEX(Tab_DaBa[],MATCH(CONCATENATE(Liste!$C$3,$B$1133,$B$1247),Data!$BO:$BO,0)-2,55),"")),"")</f>
        <v/>
      </c>
      <c r="C1268" s="39"/>
      <c r="D1268" s="35" t="str">
        <f ca="1">IFERROR(IF(AND(INDEX(Tab_DaBa[],MATCH(CONCATENATE(Liste!$C$3,$B$1133,$B$1247),Data!$BO:$BO,0)-2,53)&lt;&gt;"",INDEX(Tab_DaBa[],MATCH(CONCATENATE(Liste!$C$3,$B$1133,$B$1247),Data!$BO:$BO,0)-2,58)=""),"Performance Level: "&amp;INDEX(Tab_DaBa[],MATCH(CONCATENATE(Liste!$C$3,$B$1133,$B$1247),Data!$BO:$BO,0)-2,15),IF(INDEX(Tab_DaBa[],MATCH(CONCATENATE(Liste!$C$3,$B$1133,$B$1247),Data!$BO:$BO,0)-2,53)&lt;&gt;"","Performance Level: "&amp;INDEX(Tab_DaBa[],MATCH(CONCATENATE(Liste!$C$3,$B$1133,$B$1247),Data!$BO:$BO,0)-2,60),"")),"")</f>
        <v/>
      </c>
      <c r="E1268" s="37"/>
      <c r="F1268" s="35" t="str">
        <f ca="1">IFERROR(IF(AND(INDEX(Tab_DaBa[],MATCH(CONCATENATE(Liste!$C$3,$B$1133,$B$1247),Data!$BO:$BO,0)-2,58)&lt;&gt;"",INDEX(Tab_DaBa[],MATCH(CONCATENATE(Liste!$C$3,$B$1133,$B$1247),Data!$BO:$BO,0)-2,63)=""),"Performance Level: "&amp;INDEX(Tab_DaBa[],MATCH(CONCATENATE(Liste!$C$3,$B$1133,$B$1247),Data!$BO:$BO,0)-2,15),IF(INDEX(Tab_DaBa[],MATCH(CONCATENATE(Liste!$C$3,$B$1133,$B$1247),Data!$BO:$BO,0)-2,58)&lt;&gt;"","Performance Level: "&amp;INDEX(Tab_DaBa[],MATCH(CONCATENATE(Liste!$C$3,$B$1133,$B$1247),Data!$BO:$BO,0)-2,65),"")),"")</f>
        <v/>
      </c>
      <c r="G1268" s="39"/>
      <c r="H1268" s="35" t="str">
        <f ca="1">IFERROR(IF(INDEX(Tab_DaBa[],MATCH(CONCATENATE(Liste!$C$3,$B$1133,$B$1247),Data!$BO:$BO,0)-2,63)&lt;&gt;"","Performance Level: "&amp;INDEX(Tab_DaBa[],MATCH(CONCATENATE(Liste!$C$3,$B$1133,$B$1247),Data!$BO:$BO,0)-2,15),""),"")</f>
        <v/>
      </c>
    </row>
    <row r="1269" spans="2:9" s="16" customFormat="1" ht="15.75">
      <c r="B1269" s="35" t="str">
        <f ca="1">IFERROR(IF(AND(INDEX(Tab_DaBa[],MATCH(CONCATENATE(Liste!$C$3,$B$1133,$B$1247),Data!$BO:$BO,0)-2,48)&lt;&gt;"",INDEX(Tab_DaBa[],MATCH(CONCATENATE(Liste!$C$3,$B$1133,$B$1247),Data!$BO:$BO,0)-2,53)=""),"PFH [1/h] = "&amp;10^9*INDEX(Tab_DaBa[],MATCH(CONCATENATE(Liste!$C$3,$B$1133,$B$1247),Data!$BO:$BO,0)-2,16)&amp;"E-9",IF(INDEX(Tab_DaBa[],MATCH(CONCATENATE(Liste!$C$3,$B$1133,$B$1247),Data!$BO:$BO,0)-2,48)&lt;&gt;"","PFH [1/h] = "&amp;10^9*INDEX(Tab_DaBa[],MATCH(CONCATENATE(Liste!$C$3,$B$1133,$B$1247),Data!$BO:$BO,0)-2,56)&amp;"E-9","")),"")</f>
        <v/>
      </c>
      <c r="C1269" s="39"/>
      <c r="D1269" s="35" t="str">
        <f ca="1">IFERROR(IF(AND(INDEX(Tab_DaBa[],MATCH(CONCATENATE(Liste!$C$3,$B$1133,$B$1247),Data!$BO:$BO,0)-2,53)&lt;&gt;"",INDEX(Tab_DaBa[],MATCH(CONCATENATE(Liste!$C$3,$B$1133,$B$1247),Data!$BO:$BO,0)-2,58)=""),"PFH [1/h] = "&amp;10^9*INDEX(Tab_DaBa[],MATCH(CONCATENATE(Liste!$C$3,$B$1133,$B$1247),Data!$BO:$BO,0)-2,16)&amp;"E-9",IF(INDEX(Tab_DaBa[],MATCH(CONCATENATE(Liste!$C$3,$B$1133,$B$1247),Data!$BO:$BO,0)-2,53)&lt;&gt;"","PFH [1/h] = "&amp;10^9*INDEX(Tab_DaBa[],MATCH(CONCATENATE(Liste!$C$3,$B$1133,$B$1247),Data!$BO:$BO,0)-2,61)&amp;"E-9","")),"")</f>
        <v/>
      </c>
      <c r="E1269" s="37"/>
      <c r="F1269" s="35" t="str">
        <f ca="1">IFERROR(IF(AND(INDEX(Tab_DaBa[],MATCH(CONCATENATE(Liste!$C$3,$B$1133,$B$1247),Data!$BO:$BO,0)-2,58)&lt;&gt;"",INDEX(Tab_DaBa[],MATCH(CONCATENATE(Liste!$C$3,$B$1133,$B$1247),Data!$BO:$BO,0)-2,63)=""),"PFH [1/h] = "&amp;10^9*INDEX(Tab_DaBa[],MATCH(CONCATENATE(Liste!$C$3,$B$1133,$B$1247),Data!$BO:$BO,0)-2,16)&amp;"E-9",IF(INDEX(Tab_DaBa[],MATCH(CONCATENATE(Liste!$C$3,$B$1133,$B$1247),Data!$BO:$BO,0)-2,58)&lt;&gt;"","PFH [1/h] = "&amp;10^9*INDEX(Tab_DaBa[],MATCH(CONCATENATE(Liste!$C$3,$B$1133,$B$1247),Data!$BO:$BO,0)-2,66)&amp;"E-9","")),"")</f>
        <v/>
      </c>
      <c r="G1269" s="39"/>
      <c r="H1269" s="35" t="str">
        <f ca="1">IFERROR(IF(INDEX(Tab_DaBa[],MATCH(CONCATENATE(Liste!$C$3,$B$1133,$B$1247),Data!$BO:$BO,0)-2,63)&lt;&gt;"","PFH [1/h] = "&amp;10^9*INDEX(Tab_DaBa[],MATCH(CONCATENATE(Liste!$C$3,$B$1133,$B$1247),Data!$BO:$BO,0)-2,16)&amp;"E-9",""),"")</f>
        <v/>
      </c>
    </row>
    <row r="1270" spans="2:9" s="16" customFormat="1"/>
    <row r="1271" spans="2:9" s="16" customFormat="1">
      <c r="B1271" s="43" t="str">
        <f ca="1">IF(D1271="","","Erforderlich")</f>
        <v>Erforderlich</v>
      </c>
      <c r="D1271" s="44" t="str">
        <f ca="1">IFERROR("Performance Level: "&amp;INDEX(Tab_DaBa[],MATCH(CONCATENATE(Liste!$C$3,$B$1133,$B$1247),Data!$BO:$BO,0)-2,4),"")</f>
        <v>Performance Level: PLr_ges4_5</v>
      </c>
    </row>
    <row r="1272" spans="2:9" s="16" customFormat="1">
      <c r="B1272" s="45"/>
    </row>
    <row r="1273" spans="2:9" s="16" customFormat="1">
      <c r="B1273" s="46" t="str">
        <f ca="1">IF(D1273="","","Erreicht")</f>
        <v>Erreicht</v>
      </c>
      <c r="D1273" s="47" t="str">
        <f ca="1">IFERROR("Performance Level: "&amp;INDEX(Tab_DaBa[],MATCH(CONCATENATE(Liste!$C$3,$B$1133,$B$1247),Data!$BO:$BO,0)-2,5)&amp;"          PFH [1/h] = "&amp;10^9*INDEX(Tab_DaBa[],MATCH(CONCATENATE(Liste!$C$3,$B$1133,$B$1247),Data!$BO:$BO,0)-2,6)&amp;"E-9","")</f>
        <v>Performance Level: Pl_ges4_5          PFH [1/h] = 71,7E-9</v>
      </c>
    </row>
    <row r="1274" spans="2:9" s="16" customFormat="1"/>
    <row r="1275" spans="2:9" s="16" customFormat="1">
      <c r="B1275" s="42" t="str">
        <f ca="1">IFERROR(IF(6&gt;COUNTIF(Data!$BP:$BP,CONCATENATE(Liste!$C$3,$B$1133)),"",INDEX(Tab_DaBa[],MATCH(CONCATENATE(Liste!$C$3,$B$1133),Data!$BP:$BP,0)+3,3)),"")</f>
        <v>5.6 Test4 (E+6L+A)</v>
      </c>
    </row>
    <row r="1276" spans="2:9" s="16" customFormat="1"/>
    <row r="1277" spans="2:9" s="16" customFormat="1" ht="15.75">
      <c r="B1277" s="35" t="str">
        <f ca="1">IFERROR(INDEX(Tab_DaBa[],MATCH(CONCATENATE(Liste!$C$3,$B$1133,$B$1275),Data!$BO:$BO,0)-2,9),"")</f>
        <v>Eingang</v>
      </c>
      <c r="C1277" s="54"/>
      <c r="D1277" s="35" t="str">
        <f ca="1">IFERROR(IF(INDEX(Tab_DaBa[],MATCH(CONCATENATE(Liste!$C$3,$B$1133,$B$1275),Data!$BO:$BO,0)-2,18)=0,INDEX(Tab_DaBa[],MATCH(CONCATENATE(Liste!$C$3,$B$1133,$B$1275),Data!$BO:$BO,0)-2,14),INDEX(Tab_DaBa[],MATCH(CONCATENATE(Liste!$C$3,$B$1133,$B$1275),Data!$BO:$BO,0)-2,19)),"")</f>
        <v>Logik 01</v>
      </c>
      <c r="E1277" s="33"/>
      <c r="F1277" s="35" t="str">
        <f ca="1">IFERROR(IF(AND(INDEX(Tab_DaBa[],MATCH(CONCATENATE(Liste!$C$3,$B$1133,$B$1275),Data!$BO:$BO,0)-2,18)&lt;&gt;"",INDEX(Tab_DaBa[],MATCH(CONCATENATE(Liste!$C$3,$B$1133,$B$1275),Data!$BO:$BO,0)-2,23)=0),INDEX(Tab_DaBa[],MATCH(CONCATENATE(Liste!$C$3,$B$1133,$B$1275),Data!$BO:$BO,0)-2,14),IF(INDEX(Tab_DaBa[],MATCH(CONCATENATE(Liste!$C$3,$B$1133,$B$1275),Data!$BO:$BO,0)-2,23)&lt;&gt;"",INDEX(Tab_DaBa[],MATCH(CONCATENATE(Liste!$C$3,$B$1133,$B$1275),Data!$BO:$BO,0)-2,24),"")),"")</f>
        <v>Logik 02</v>
      </c>
      <c r="G1277" s="39"/>
      <c r="H1277" s="35" t="str">
        <f ca="1">IFERROR(IF(AND(INDEX(Tab_DaBa[],MATCH(CONCATENATE(Liste!$C$3,$B$1133,$B$1275),Data!$BO:$BO,0)-2,23)&lt;&gt;"",INDEX(Tab_DaBa[],MATCH(CONCATENATE(Liste!$C$3,$B$1133,$B$1275),Data!$BO:$BO,0)-2,28)=0),INDEX(Tab_DaBa[],MATCH(CONCATENATE(Liste!$C$3,$B$1133,$B$1275),Data!$BO:$BO,0)-2,14),IF(INDEX(Tab_DaBa[],MATCH(CONCATENATE(Liste!$C$3,$B$1133,$B$1275),Data!$BO:$BO,0)-2,23)&lt;&gt;"",INDEX(Tab_DaBa[],MATCH(CONCATENATE(Liste!$C$3,$B$1133,$B$1275),Data!$BO:$BO,0)-2,29),"")),"")</f>
        <v>Logik 03</v>
      </c>
      <c r="I1277" s="39"/>
    </row>
    <row r="1278" spans="2:9" s="16" customFormat="1" ht="15.75">
      <c r="B1278" s="35" t="str">
        <f ca="1">IFERROR(INDEX(Tab_DaBa[],MATCH(CONCATENATE(Liste!$C$3,$B$1133,$B$1275),Data!$BO:$BO,0)-2,7),"")</f>
        <v>eeee-33_6</v>
      </c>
      <c r="C1278" s="54"/>
      <c r="D1278" s="35" t="str">
        <f ca="1">IFERROR(IF(INDEX(Tab_DaBa[],MATCH(CONCATENATE(Liste!$C$3,$B$1133,$B$1275),Data!$BO:$BO,0)-2,18)="",INDEX(Tab_DaBa[],MATCH(CONCATENATE(Liste!$C$3,$B$1133,$B$1275),Data!$BO:$BO,0)-2,12),INDEX(Tab_DaBa[],MATCH(CONCATENATE(Liste!$C$3,$B$1133,$B$1275),Data!$BO:$BO,0)-2,17)),"")</f>
        <v>Log01-04_06</v>
      </c>
      <c r="E1278" s="36"/>
      <c r="F1278" s="35" t="str">
        <f ca="1">IFERROR(IF(AND(INDEX(Tab_DaBa[],MATCH(CONCATENATE(Liste!$C$3,$B$1133,$B$1275),Data!$BO:$BO,0)-2,18)&lt;&gt;"",INDEX(Tab_DaBa[],MATCH(CONCATENATE(Liste!$C$3,$B$1133,$B$1275),Data!$BO:$BO,0)-2,23)=0),INDEX(Tab_DaBa[],MATCH(CONCATENATE(Liste!$C$3,$B$1133,$B$1275),Data!$BO:$BO,0)-2,12),IF(INDEX(Tab_DaBa[],MATCH(CONCATENATE(Liste!$C$3,$B$1133,$B$1275),Data!$BO:$BO,0)-2,23)&lt;&gt;"",INDEX(Tab_DaBa[],MATCH(CONCATENATE(Liste!$C$3,$B$1133,$B$1275),Data!$BO:$BO,0)-2,22),"")),"")</f>
        <v>Lo04-04_06</v>
      </c>
      <c r="G1278" s="39"/>
      <c r="H1278" s="35" t="str">
        <f ca="1">IFERROR(IF(AND(INDEX(Tab_DaBa[],MATCH(CONCATENATE(Liste!$C$3,$B$1133,$B$1275),Data!$BO:$BO,0)-2,23)&lt;&gt;"",INDEX(Tab_DaBa[],MATCH(CONCATENATE(Liste!$C$3,$B$1133,$B$1275),Data!$BO:$BO,0)-2,28)=0),INDEX(Tab_DaBa[],MATCH(CONCATENATE(Liste!$C$3,$B$1133,$B$1275),Data!$BO:$BO,0)-2,12),IF(INDEX(Tab_DaBa[],MATCH(CONCATENATE(Liste!$C$3,$B$1133,$B$1275),Data!$BO:$BO,0)-2,23)&lt;&gt;"",INDEX(Tab_DaBa[],MATCH(CONCATENATE(Liste!$C$3,$B$1133,$B$1275),Data!$BO:$BO,0)-2,27),"")),"")</f>
        <v>Lo04-44_06</v>
      </c>
      <c r="I1278" s="39"/>
    </row>
    <row r="1279" spans="2:9" s="16" customFormat="1" ht="15.75">
      <c r="B1279" s="35" t="str">
        <f ca="1">IFERROR(INDEX(Tab_DaBa[],MATCH(CONCATENATE(Liste!$C$3,$B$1133,$B$1275),Data!$BO:$BO,0)-2,8),"")</f>
        <v>Bez_Ein4_6</v>
      </c>
      <c r="C1279" s="40">
        <f ca="1">IF(D1277="","",4)</f>
        <v>4</v>
      </c>
      <c r="D1279" s="35" t="str">
        <f ca="1">IFERROR(IF(INDEX(Tab_DaBa[],MATCH(CONCATENATE(Liste!$C$3,$B$1133,$B$1275),Data!$BO:$BO,0)-2,18)="",INDEX(Tab_DaBa[],MATCH(CONCATENATE(Liste!$C$3,$B$1133,$B$1275),Data!$BO:$BO,0)-2,13),INDEX(Tab_DaBa[],MATCH(CONCATENATE(Liste!$C$3,$B$1133,$B$1275),Data!$BO:$BO,0)-2,18)),"")</f>
        <v>Bez_Log01_04_06</v>
      </c>
      <c r="E1279" s="40">
        <f ca="1">IF(F1277="","",4)</f>
        <v>4</v>
      </c>
      <c r="F1279" s="35" t="str">
        <f ca="1">IFERROR(IF(AND(INDEX(Tab_DaBa[],MATCH(CONCATENATE(Liste!$C$3,$B$1133,$B$1275),Data!$BO:$BO,0)-2,18)&lt;&gt;"",INDEX(Tab_DaBa[],MATCH(CONCATENATE(Liste!$C$3,$B$1133,$B$1275),Data!$BO:$BO,0)-2,23)=""),INDEX(Tab_DaBa[],MATCH(CONCATENATE(Liste!$C$3,$B$1133,$B$1275),Data!$BO:$BO,0)-2,13),IF(INDEX(Tab_DaBa[],MATCH(CONCATENATE(Liste!$C$3,$B$1133,$B$1275),Data!$BO:$BO,0)-2,23)&lt;&gt;"",INDEX(Tab_DaBa[],MATCH(CONCATENATE(Liste!$C$3,$B$1133,$B$1275),Data!$BO:$BO,0)-2,23),"")),"")</f>
        <v>Bez_Lo04_06</v>
      </c>
      <c r="G1279" s="38">
        <f ca="1">IF(H1277="","",4)</f>
        <v>4</v>
      </c>
      <c r="H1279" s="35" t="str">
        <f ca="1">IFERROR(IF(AND(INDEX(Tab_DaBa[],MATCH(CONCATENATE(Liste!$C$3,$B$1133,$B$1275),Data!$BO:$BO,0)-2,23)&lt;&gt;"",INDEX(Tab_DaBa[],MATCH(CONCATENATE(Liste!$C$3,$B$1133,$B$1275),Data!$BO:$BO,0)-2,28)=""),INDEX(Tab_DaBa[],MATCH(CONCATENATE(Liste!$C$3,$B$1133,$B$1275),Data!$BO:$BO,0)-2,13),IF(INDEX(Tab_DaBa[],MATCH(CONCATENATE(Liste!$C$3,$B$1133,$B$1275),Data!$BO:$BO,0)-2,23)&lt;&gt;"",INDEX(Tab_DaBa[],MATCH(CONCATENATE(Liste!$C$3,$B$1133,$B$1275),Data!$BO:$BO,0)-2,28),"")),"")</f>
        <v>Bez_Lo04_06</v>
      </c>
      <c r="I1279" s="38">
        <f ca="1">IF(B1285="","",6)</f>
        <v>6</v>
      </c>
    </row>
    <row r="1280" spans="2:9" s="16" customFormat="1" ht="15.75">
      <c r="B1280" s="35" t="str">
        <f ca="1">IFERROR("Performance Level: "&amp;INDEX(Tab_DaBa[],MATCH(CONCATENATE(Liste!$C$3,$B$1133,$B$1275),Data!$BO:$BO,0)-2,10),"")</f>
        <v>Performance Level: PL_Ein4_6</v>
      </c>
      <c r="C1280" s="54"/>
      <c r="D1280" s="35" t="str">
        <f ca="1">IFERROR(IF(INDEX(Tab_DaBa[],MATCH(CONCATENATE(Liste!$C$3,$B$1133,$B$1275),Data!$BO:$BO,0)-2,18)="","Performance Level: "&amp;INDEX(Tab_DaBa[],MATCH(CONCATENATE(Liste!$C$3,$B$1133,$B$1275),Data!$BO:$BO,0)-2,15),"Performance Level: "&amp;INDEX(Tab_DaBa[],MATCH(CONCATENATE(Liste!$C$3,$B$1133,$B$1275),Data!$BO:$BO,0)-2,20)),"")</f>
        <v>Performance Level: PL_Log01_04_06</v>
      </c>
      <c r="E1280" s="36"/>
      <c r="F1280" s="35" t="str">
        <f ca="1">IFERROR(IF(AND(INDEX(Tab_DaBa[],MATCH(CONCATENATE(Liste!$C$3,$B$1133,$B$1275),Data!$BO:$BO,0)-2,18)&lt;&gt;"",INDEX(Tab_DaBa[],MATCH(CONCATENATE(Liste!$C$3,$B$1133,$B$1275),Data!$BO:$BO,0)-2,23)=""),"Performance Level: "&amp;INDEX(Tab_DaBa[],MATCH(CONCATENATE(Liste!$C$3,$B$1133,$B$1275),Data!$BO:$BO,0)-2,15),IF(INDEX(Tab_DaBa[],MATCH(CONCATENATE(Liste!$C$3,$B$1133,$B$1275),Data!$BO:$BO,0)-2,23)&lt;&gt;"","Performance Level: "&amp;INDEX(Tab_DaBa[],MATCH(CONCATENATE(Liste!$C$3,$B$1133,$B$1275),Data!$BO:$BO,0)-2,25),"")),"")</f>
        <v>Performance Level: PL_Lo04_06</v>
      </c>
      <c r="G1280" s="39"/>
      <c r="H1280" s="35" t="str">
        <f ca="1">IFERROR(IF(AND(INDEX(Tab_DaBa[],MATCH(CONCATENATE(Liste!$C$3,$B$1133,$B$1275),Data!$BO:$BO,0)-2,23)&lt;&gt;"",INDEX(Tab_DaBa[],MATCH(CONCATENATE(Liste!$C$3,$B$1133,$B$1275),Data!$BO:$BO,0)-2,28)=""),"Performance Level: "&amp;INDEX(Tab_DaBa[],MATCH(CONCATENATE(Liste!$C$3,$B$1133,$B$1275),Data!$BO:$BO,0)-2,15),IF(INDEX(Tab_DaBa[],MATCH(CONCATENATE(Liste!$C$3,$B$1133,$B$1275),Data!$BO:$BO,0)-2,23)&lt;&gt;"","Performance Level: "&amp;INDEX(Tab_DaBa[],MATCH(CONCATENATE(Liste!$C$3,$B$1133,$B$1275),Data!$BO:$BO,0)-2,30),"")),"")</f>
        <v>Performance Level: PL_Lo04_06</v>
      </c>
      <c r="I1280" s="38"/>
    </row>
    <row r="1281" spans="2:9" s="16" customFormat="1" ht="15.75">
      <c r="B1281" s="53" t="str">
        <f ca="1">IFERROR("PFH [1/h] = "&amp;10^9*INDEX(Tab_DaBa[],MATCH(CONCATENATE(Liste!$C$3,$B$1133,$B$1275),Data!$BO:$BO,0)-2,11)&amp;"E-9","")</f>
        <v>PFH [1/h] = 42,9E-9</v>
      </c>
      <c r="C1281" s="54"/>
      <c r="D1281" s="35" t="str">
        <f ca="1">IFERROR(IF(INDEX(Tab_DaBa[],MATCH(CONCATENATE(Liste!$C$3,$B$1133,$B$1275),Data!$BO:$BO,0)-2,18)="","PFH [1/h] = "&amp;10^9*INDEX(Tab_DaBa[],MATCH(CONCATENATE(Liste!$C$3,$B$1133,$B$1275),Data!$BO:$BO,0)-2,16)&amp;"E-9","PFH [1/h] = "&amp;10^9*INDEX(Tab_DaBa[],MATCH(CONCATENATE(Liste!$C$3,$B$1133,$B$1275),Data!$BO:$BO,0)-2,21)&amp;"E-9"),"")</f>
        <v>PFH [1/h] = 4,19E-9</v>
      </c>
      <c r="E1281" s="36"/>
      <c r="F1281" s="35" t="str">
        <f ca="1">IFERROR(IF(AND(INDEX(Tab_DaBa[],MATCH(CONCATENATE(Liste!$C$3,$B$1133,$B$1275),Data!$BO:$BO,0)-2,18)&lt;&gt;"",INDEX(Tab_DaBa[],MATCH(CONCATENATE(Liste!$C$3,$B$1133,$B$1275),Data!$BO:$BO,0)-2,23)=""),"PFH [1/h] = "&amp;10^9*INDEX(Tab_DaBa[],MATCH(CONCATENATE(Liste!$C$3,$B$1133,$B$1275),Data!$BO:$BO,0)-2,16)&amp;"E-9",IF(INDEX(Tab_DaBa[],MATCH(CONCATENATE(Liste!$C$3,$B$1133,$B$1275),Data!$BO:$BO,0)-2,23)&lt;&gt;"","PFH [1/h] = "&amp;10^9*INDEX(Tab_DaBa[],MATCH(CONCATENATE(Liste!$C$3,$B$1133,$B$1275),Data!$BO:$BO,0)-2,26)&amp;"E-9","")),"")</f>
        <v>PFH [1/h] = 4,19E-9</v>
      </c>
      <c r="G1281" s="39"/>
      <c r="H1281" s="35" t="str">
        <f ca="1">IFERROR(IF(AND(INDEX(Tab_DaBa[],MATCH(CONCATENATE(Liste!$C$3,$B$1133,$B$1275),Data!$BO:$BO,0)-2,23)&lt;&gt;"",INDEX(Tab_DaBa[],MATCH(CONCATENATE(Liste!$C$3,$B$1133,$B$1275),Data!$BO:$BO,0)-2,28)=""),"PFH [1/h] = "&amp;10^9*INDEX(Tab_DaBa[],MATCH(CONCATENATE(Liste!$C$3,$B$1133,$B$1275),Data!$BO:$BO,0)-2,16)&amp;"E-9",IF(INDEX(Tab_DaBa[],MATCH(CONCATENATE(Liste!$C$3,$B$1133,$B$1275),Data!$BO:$BO,0)-2,23)&lt;&gt;"","PFH [1/h] = "&amp;10^9*INDEX(Tab_DaBa[],MATCH(CONCATENATE(Liste!$C$3,$B$1133,$B$1275),Data!$BO:$BO,0)-2,31)&amp;"E-9","")),"")</f>
        <v>PFH [1/h] = 4,19E-9</v>
      </c>
      <c r="I1281" s="39"/>
    </row>
    <row r="1282" spans="2:9" s="16" customFormat="1">
      <c r="B1282" s="33"/>
      <c r="C1282" s="34"/>
      <c r="D1282" s="33"/>
      <c r="E1282" s="33"/>
      <c r="F1282" s="33"/>
      <c r="G1282" s="33"/>
      <c r="H1282" s="33"/>
      <c r="I1282" s="33"/>
    </row>
    <row r="1283" spans="2:9" s="16" customFormat="1" ht="15.75">
      <c r="B1283" s="38">
        <f ca="1">IF(B1285="","",6)</f>
        <v>6</v>
      </c>
      <c r="C1283" s="34"/>
      <c r="D1283" s="38">
        <f ca="1">IF(B1285="","",3)</f>
        <v>3</v>
      </c>
      <c r="E1283" s="33"/>
      <c r="F1283" s="38">
        <f ca="1">IF(B1285="","",3)</f>
        <v>3</v>
      </c>
      <c r="G1283" s="33"/>
      <c r="H1283" s="38">
        <f ca="1">IF(B1285="","",3)</f>
        <v>3</v>
      </c>
      <c r="I1283" s="33"/>
    </row>
    <row r="1284" spans="2:9" s="16" customFormat="1" ht="15.75">
      <c r="B1284" s="39"/>
      <c r="C1284" s="33"/>
      <c r="D1284" s="33"/>
      <c r="E1284" s="33"/>
      <c r="F1284" s="33"/>
      <c r="G1284" s="33"/>
      <c r="H1284" s="33"/>
      <c r="I1284" s="33"/>
    </row>
    <row r="1285" spans="2:9" s="16" customFormat="1" ht="15.75">
      <c r="B1285" s="35" t="str">
        <f ca="1">IFERROR(IF(AND(INDEX(Tab_DaBa[],MATCH(CONCATENATE(Liste!$C$3,$B$1133,$B$1275),Data!$BO:$BO,0)-2,28)&lt;&gt;"",INDEX(Tab_DaBa[],MATCH(CONCATENATE(Liste!$C$3,$B$1133,$B$1275),Data!$BO:$BO,0)-2,33)=0),INDEX(Tab_DaBa[],MATCH(CONCATENATE(Liste!$C$3,$B$1133,$B$1275),Data!$BO:$BO,0)-2,14),IF(INDEX(Tab_DaBa[],MATCH(CONCATENATE(Liste!$C$3,$B$1133,$B$1275),Data!$BO:$BO,0)-2,28)&lt;&gt;"",INDEX(Tab_DaBa[],MATCH(CONCATENATE(Liste!$C$3,$B$1133,$B$1275),Data!$BO:$BO,0)-2,34),"")),"")</f>
        <v>Logik 04</v>
      </c>
      <c r="C1285" s="39"/>
      <c r="D1285" s="35" t="str">
        <f ca="1">IFERROR(IF(AND(INDEX(Tab_DaBa[],MATCH(CONCATENATE(Liste!$C$3,$B$1133,$B$1275),Data!$BO:$BO,0)-2,33)&lt;&gt;"",INDEX(Tab_DaBa[],MATCH(CONCATENATE(Liste!$C$3,$B$1133,$B$1275),Data!$BO:$BO,0)-2,38)=0),INDEX(Tab_DaBa[],MATCH(CONCATENATE(Liste!$C$3,$B$1133,$B$1275),Data!$BO:$BO,0)-2,14),IF(INDEX(Tab_DaBa[],MATCH(CONCATENATE(Liste!$C$3,$B$1133,$B$1275),Data!$BO:$BO,0)-2,33)&lt;&gt;"",INDEX(Tab_DaBa[],MATCH(CONCATENATE(Liste!$C$3,$B$1133,$B$1275),Data!$BO:$BO,0)-2,39),"")),"")</f>
        <v>Logik 05</v>
      </c>
      <c r="E1285" s="33"/>
      <c r="F1285" s="35" t="str">
        <f ca="1">IFERROR(IF(AND(INDEX(Tab_DaBa[],MATCH(CONCATENATE(Liste!$C$3,$B$1133,$B$1275),Data!$BO:$BO,0)-2,38)&lt;&gt;"",INDEX(Tab_DaBa[],MATCH(CONCATENATE(Liste!$C$3,$B$1133,$B$1275),Data!$BO:$BO,0)-2,43)=0),INDEX(Tab_DaBa[],MATCH(CONCATENATE(Liste!$C$3,$B$1133,$B$1275),Data!$BO:$BO,0)-2,14),IF(INDEX(Tab_DaBa[],MATCH(CONCATENATE(Liste!$C$3,$B$1133,$B$1275),Data!$BO:$BO,0)-2,38)&lt;&gt;"",INDEX(Tab_DaBa[],MATCH(CONCATENATE(Liste!$C$3,$B$1133,$B$1275),Data!$BO:$BO,0)-2,44),"")),"")</f>
        <v>Logik 06</v>
      </c>
      <c r="G1285" s="39"/>
      <c r="H1285" s="35" t="str">
        <f ca="1">IFERROR(IF(AND(INDEX(Tab_DaBa[],MATCH(CONCATENATE(Liste!$C$3,$B$1133,$B$1275),Data!$BO:$BO,0)-2,43)&lt;&gt;"",INDEX(Tab_DaBa[],MATCH(CONCATENATE(Liste!$C$3,$B$1133,$B$1275),Data!$BO:$BO,0)-2,48)=0),INDEX(Tab_DaBa[],MATCH(CONCATENATE(Liste!$C$3,$B$1133,$B$1275),Data!$BO:$BO,0)-2,14),IF(INDEX(Tab_DaBa[],MATCH(CONCATENATE(Liste!$C$3,$B$1133,$B$1275),Data!$BO:$BO,0)-2,43)&lt;&gt;"",INDEX(Tab_DaBa[],MATCH(CONCATENATE(Liste!$C$3,$B$1133,$B$1275),Data!$BO:$BO,0)-2,49),"")),"")</f>
        <v>Ausgang</v>
      </c>
      <c r="I1285" s="39"/>
    </row>
    <row r="1286" spans="2:9" s="16" customFormat="1" ht="15.75">
      <c r="B1286" s="35" t="str">
        <f ca="1">IFERROR(IF(AND(INDEX(Tab_DaBa[],MATCH(CONCATENATE(Liste!$C$3,$B$1133,$B$1275),Data!$BO:$BO,0)-2,28)&lt;&gt;"",INDEX(Tab_DaBa[],MATCH(CONCATENATE(Liste!$C$3,$B$1133,$B$1275),Data!$BO:$BO,0)-2,33)=0),INDEX(Tab_DaBa[],MATCH(CONCATENATE(Liste!$C$3,$B$1133,$B$1275),Data!$BO:$BO,0)-2,12),IF(INDEX(Tab_DaBa[],MATCH(CONCATENATE(Liste!$C$3,$B$1133,$B$1275),Data!$BO:$BO,0)-2,28)&lt;&gt;"",INDEX(Tab_DaBa[],MATCH(CONCATENATE(Liste!$C$3,$B$1133,$B$1275),Data!$BO:$BO,0)-2,32),"")),"")</f>
        <v>Lo04-44_06</v>
      </c>
      <c r="C1286" s="39"/>
      <c r="D1286" s="35" t="str">
        <f ca="1">IFERROR(IF(AND(INDEX(Tab_DaBa[],MATCH(CONCATENATE(Liste!$C$3,$B$1133,$B$1275),Data!$BO:$BO,0)-2,33)&lt;&gt;"",INDEX(Tab_DaBa[],MATCH(CONCATENATE(Liste!$C$3,$B$1133,$B$1275),Data!$BO:$BO,0)-2,38)=0),INDEX(Tab_DaBa[],MATCH(CONCATENATE(Liste!$C$3,$B$1133,$B$1275),Data!$BO:$BO,0)-2,12),IF(INDEX(Tab_DaBa[],MATCH(CONCATENATE(Liste!$C$3,$B$1133,$B$1275),Data!$BO:$BO,0)-2,33)&lt;&gt;"",INDEX(Tab_DaBa[],MATCH(CONCATENATE(Liste!$C$3,$B$1133,$B$1275),Data!$BO:$BO,0)-2,37),"")),"")</f>
        <v>Lo04-44_06</v>
      </c>
      <c r="E1286" s="37"/>
      <c r="F1286" s="35" t="str">
        <f ca="1">IFERROR(IF(AND(INDEX(Tab_DaBa[],MATCH(CONCATENATE(Liste!$C$3,$B$1133,$B$1275),Data!$BO:$BO,0)-2,38)&lt;&gt;"",INDEX(Tab_DaBa[],MATCH(CONCATENATE(Liste!$C$3,$B$1133,$B$1275),Data!$BO:$BO,0)-2,43)=0),INDEX(Tab_DaBa[],MATCH(CONCATENATE(Liste!$C$3,$B$1133,$B$1275),Data!$BO:$BO,0)-2,12),IF(INDEX(Tab_DaBa[],MATCH(CONCATENATE(Liste!$C$3,$B$1133,$B$1275),Data!$BO:$BO,0)-2,38)&lt;&gt;"",INDEX(Tab_DaBa[],MATCH(CONCATENATE(Liste!$C$3,$B$1133,$B$1275),Data!$BO:$BO,0)-2,42),"")),"")</f>
        <v>Lo03-33_06</v>
      </c>
      <c r="G1286" s="39"/>
      <c r="H1286" s="35" t="str">
        <f ca="1">IFERROR(IF(AND(INDEX(Tab_DaBa[],MATCH(CONCATENATE(Liste!$C$3,$B$1133,$B$1275),Data!$BO:$BO,0)-2,43)&lt;&gt;"",INDEX(Tab_DaBa[],MATCH(CONCATENATE(Liste!$C$3,$B$1133,$B$1275),Data!$BO:$BO,0)-2,48)=0),INDEX(Tab_DaBa[],MATCH(CONCATENATE(Liste!$C$3,$B$1133,$B$1275),Data!$BO:$BO,0)-2,12),IF(INDEX(Tab_DaBa[],MATCH(CONCATENATE(Liste!$C$3,$B$1133,$B$1275),Data!$BO:$BO,0)-2,43)&lt;&gt;"",INDEX(Tab_DaBa[],MATCH(CONCATENATE(Liste!$C$3,$B$1133,$B$1275),Data!$BO:$BO,0)-2,47),"")),"")</f>
        <v>aaaa-44_6</v>
      </c>
      <c r="I1286" s="39"/>
    </row>
    <row r="1287" spans="2:9" s="16" customFormat="1" ht="15.75">
      <c r="B1287" s="35" t="str">
        <f ca="1">IFERROR(IF(AND(INDEX(Tab_DaBa[],MATCH(CONCATENATE(Liste!$C$3,$B$1133,$B$1275),Data!$BO:$BO,0)-2,28)&lt;&gt;"",INDEX(Tab_DaBa[],MATCH(CONCATENATE(Liste!$C$3,$B$1133,$B$1275),Data!$BO:$BO,0)-2,33)=""),INDEX(Tab_DaBa[],MATCH(CONCATENATE(Liste!$C$3,$B$1133,$B$1275),Data!$BO:$BO,0)-2,13),IF(INDEX(Tab_DaBa[],MATCH(CONCATENATE(Liste!$C$3,$B$1133,$B$1275),Data!$BO:$BO,0)-2,28)&lt;&gt;"",INDEX(Tab_DaBa[],MATCH(CONCATENATE(Liste!$C$3,$B$1133,$B$1275),Data!$BO:$BO,0)-2,33),"")),"")</f>
        <v>Bez_Lo04_06</v>
      </c>
      <c r="C1287" s="38">
        <f ca="1">IF(D1285="","",4)</f>
        <v>4</v>
      </c>
      <c r="D1287" s="35" t="str">
        <f ca="1">IFERROR(IF(AND(INDEX(Tab_DaBa[],MATCH(CONCATENATE(Liste!$C$3,$B$1133,$B$1275),Data!$BO:$BO,0)-2,33)&lt;&gt;"",INDEX(Tab_DaBa[],MATCH(CONCATENATE(Liste!$C$3,$B$1133,$B$1275),Data!$BO:$BO,0)-2,38)=""),INDEX(Tab_DaBa[],MATCH(CONCATENATE(Liste!$C$3,$B$1133,$B$1275),Data!$BO:$BO,0)-2,13),IF(INDEX(Tab_DaBa[],MATCH(CONCATENATE(Liste!$C$3,$B$1133,$B$1275),Data!$BO:$BO,0)-2,33)&lt;&gt;"",INDEX(Tab_DaBa[],MATCH(CONCATENATE(Liste!$C$3,$B$1133,$B$1275),Data!$BO:$BO,0)-2,38),"")),"")</f>
        <v>Bez_Lo03_06</v>
      </c>
      <c r="E1287" s="38">
        <f ca="1">IF(F1285="","",4)</f>
        <v>4</v>
      </c>
      <c r="F1287" s="35" t="str">
        <f ca="1">IFERROR(IF(AND(INDEX(Tab_DaBa[],MATCH(CONCATENATE(Liste!$C$3,$B$1133,$B$1275),Data!$BO:$BO,0)-2,38)&lt;&gt;"",INDEX(Tab_DaBa[],MATCH(CONCATENATE(Liste!$C$3,$B$1133,$B$1275),Data!$BO:$BO,0)-2,43)=""),INDEX(Tab_DaBa[],MATCH(CONCATENATE(Liste!$C$3,$B$1133,$B$1275),Data!$BO:$BO,0)-2,13),IF(INDEX(Tab_DaBa[],MATCH(CONCATENATE(Liste!$C$3,$B$1133,$B$1275),Data!$BO:$BO,0)-2,38)&lt;&gt;"",INDEX(Tab_DaBa[],MATCH(CONCATENATE(Liste!$C$3,$B$1133,$B$1275),Data!$BO:$BO,0)-2,43),"")),"")</f>
        <v>Bez_Lo03_06</v>
      </c>
      <c r="G1287" s="38">
        <f ca="1">IF(H1285="","",4)</f>
        <v>4</v>
      </c>
      <c r="H1287" s="35" t="str">
        <f ca="1">IFERROR(IF(AND(INDEX(Tab_DaBa[],MATCH(CONCATENATE(Liste!$C$3,$B$1133,$B$1275),Data!$BO:$BO,0)-2,43)&lt;&gt;"",INDEX(Tab_DaBa[],MATCH(CONCATENATE(Liste!$C$3,$B$1133,$B$1275),Data!$BO:$BO,0)-2,48)=""),INDEX(Tab_DaBa[],MATCH(CONCATENATE(Liste!$C$3,$B$1133,$B$1275),Data!$BO:$BO,0)-2,13),IF(INDEX(Tab_DaBa[],MATCH(CONCATENATE(Liste!$C$3,$B$1133,$B$1275),Data!$BO:$BO,0)-2,43)&lt;&gt;"",INDEX(Tab_DaBa[],MATCH(CONCATENATE(Liste!$C$3,$B$1133,$B$1275),Data!$BO:$BO,0)-2,48),"")),"")</f>
        <v>Bez_Aus4_6</v>
      </c>
      <c r="I1287" s="38" t="str">
        <f ca="1">IF(B1293="","",6)</f>
        <v/>
      </c>
    </row>
    <row r="1288" spans="2:9" s="16" customFormat="1" ht="15.75">
      <c r="B1288" s="35" t="str">
        <f ca="1">IFERROR(IF(AND(INDEX(Tab_DaBa[],MATCH(CONCATENATE(Liste!$C$3,$B$1133,$B$1275),Data!$BO:$BO,0)-2,28)&lt;&gt;"",INDEX(Tab_DaBa[],MATCH(CONCATENATE(Liste!$C$3,$B$1133,$B$1275),Data!$BO:$BO,0)-2,33)=""),"Performance Level: "&amp;INDEX(Tab_DaBa[],MATCH(CONCATENATE(Liste!$C$3,$B$1133,$B$1275),Data!$BO:$BO,0)-2,15),IF(INDEX(Tab_DaBa[],MATCH(CONCATENATE(Liste!$C$3,$B$1133,$B$1275),Data!$BO:$BO,0)-2,28)&lt;&gt;"","Performance Level: "&amp;INDEX(Tab_DaBa[],MATCH(CONCATENATE(Liste!$C$3,$B$1133,$B$1275),Data!$BO:$BO,0)-2,35),"")),"")</f>
        <v>Performance Level: PL_Lo04_06</v>
      </c>
      <c r="C1288" s="39"/>
      <c r="D1288" s="35" t="str">
        <f ca="1">IFERROR(IF(AND(INDEX(Tab_DaBa[],MATCH(CONCATENATE(Liste!$C$3,$B$1133,$B$1275),Data!$BO:$BO,0)-2,33)&lt;&gt;"",INDEX(Tab_DaBa[],MATCH(CONCATENATE(Liste!$C$3,$B$1133,$B$1275),Data!$BO:$BO,0)-2,38)=""),"Performance Level: "&amp;INDEX(Tab_DaBa[],MATCH(CONCATENATE(Liste!$C$3,$B$1133,$B$1275),Data!$BO:$BO,0)-2,15),IF(INDEX(Tab_DaBa[],MATCH(CONCATENATE(Liste!$C$3,$B$1133,$B$1275),Data!$BO:$BO,0)-2,33)&lt;&gt;"","Performance Level: "&amp;INDEX(Tab_DaBa[],MATCH(CONCATENATE(Liste!$C$3,$B$1133,$B$1275),Data!$BO:$BO,0)-2,40),"")),"")</f>
        <v>Performance Level: PL_Lo03_6</v>
      </c>
      <c r="E1288" s="37"/>
      <c r="F1288" s="35" t="str">
        <f ca="1">IFERROR(IF(AND(INDEX(Tab_DaBa[],MATCH(CONCATENATE(Liste!$C$3,$B$1133,$B$1275),Data!$BO:$BO,0)-2,38)&lt;&gt;"",INDEX(Tab_DaBa[],MATCH(CONCATENATE(Liste!$C$3,$B$1133,$B$1275),Data!$BO:$BO,0)-2,43)=""),"Performance Level: "&amp;INDEX(Tab_DaBa[],MATCH(CONCATENATE(Liste!$C$3,$B$1133,$B$1275),Data!$BO:$BO,0)-2,15),IF(INDEX(Tab_DaBa[],MATCH(CONCATENATE(Liste!$C$3,$B$1133,$B$1275),Data!$BO:$BO,0)-2,38)&lt;&gt;"","Performance Level: "&amp;INDEX(Tab_DaBa[],MATCH(CONCATENATE(Liste!$C$3,$B$1133,$B$1275),Data!$BO:$BO,0)-2,45),"")),"")</f>
        <v>Performance Level: PL_Lo03_06</v>
      </c>
      <c r="G1288" s="39"/>
      <c r="H1288" s="35" t="str">
        <f ca="1">IFERROR(IF(AND(INDEX(Tab_DaBa[],MATCH(CONCATENATE(Liste!$C$3,$B$1133,$B$1275),Data!$BO:$BO,0)-2,43)&lt;&gt;"",INDEX(Tab_DaBa[],MATCH(CONCATENATE(Liste!$C$3,$B$1133,$B$1275),Data!$BO:$BO,0)-2,48)=""),"Performance Level: "&amp;INDEX(Tab_DaBa[],MATCH(CONCATENATE(Liste!$C$3,$B$1133,$B$1275),Data!$BO:$BO,0)-2,15),IF(INDEX(Tab_DaBa[],MATCH(CONCATENATE(Liste!$C$3,$B$1133,$B$1275),Data!$BO:$BO,0)-2,43)&lt;&gt;"","Performance Level: "&amp;INDEX(Tab_DaBa[],MATCH(CONCATENATE(Liste!$C$3,$B$1133,$B$1275),Data!$BO:$BO,0)-2,50),"")),"")</f>
        <v>Performance Level: PL_Aus4_6</v>
      </c>
      <c r="I1288" s="39"/>
    </row>
    <row r="1289" spans="2:9" s="16" customFormat="1" ht="15.75">
      <c r="B1289" s="35" t="str">
        <f ca="1">IFERROR(IF(AND(INDEX(Tab_DaBa[],MATCH(CONCATENATE(Liste!$C$3,$B$1133,$B$1275),Data!$BO:$BO,0)-2,28)&lt;&gt;"",INDEX(Tab_DaBa[],MATCH(CONCATENATE(Liste!$C$3,$B$1133,$B$1275),Data!$BO:$BO,0)-2,33)=""),"PFH [1/h] = "&amp;10^9*INDEX(Tab_DaBa[],MATCH(CONCATENATE(Liste!$C$3,$B$1133,$B$1275),Data!$BO:$BO,0)-2,16)&amp;"E-9",IF(INDEX(Tab_DaBa[],MATCH(CONCATENATE(Liste!$C$3,$B$1133,$B$1275),Data!$BO:$BO,0)-2,28)&lt;&gt;"","PFH [1/h] = "&amp;10^9*INDEX(Tab_DaBa[],MATCH(CONCATENATE(Liste!$C$3,$B$1133,$B$1275),Data!$BO:$BO,0)-2,36)&amp;"E-9","")),"")</f>
        <v>PFH [1/h] = 4,19E-9</v>
      </c>
      <c r="C1289" s="39"/>
      <c r="D1289" s="35" t="str">
        <f ca="1">IFERROR(IF(AND(INDEX(Tab_DaBa[],MATCH(CONCATENATE(Liste!$C$3,$B$1133,$B$1275),Data!$BO:$BO,0)-2,33)&lt;&gt;"",INDEX(Tab_DaBa[],MATCH(CONCATENATE(Liste!$C$3,$B$1133,$B$1275),Data!$BO:$BO,0)-2,38)=""),"PFH [1/h] = "&amp;10^9*INDEX(Tab_DaBa[],MATCH(CONCATENATE(Liste!$C$3,$B$1133,$B$1275),Data!$BO:$BO,0)-2,16)&amp;"E-9",IF(INDEX(Tab_DaBa[],MATCH(CONCATENATE(Liste!$C$3,$B$1133,$B$1275),Data!$BO:$BO,0)-2,33)&lt;&gt;"","PFH [1/h] = "&amp;10^9*INDEX(Tab_DaBa[],MATCH(CONCATENATE(Liste!$C$3,$B$1133,$B$1275),Data!$BO:$BO,0)-2,41)&amp;"E-9","")),"")</f>
        <v>PFH [1/h] = 4,19E-9</v>
      </c>
      <c r="E1289" s="37"/>
      <c r="F1289" s="35" t="str">
        <f ca="1">IFERROR(IF(AND(INDEX(Tab_DaBa[],MATCH(CONCATENATE(Liste!$C$3,$B$1133,$B$1275),Data!$BO:$BO,0)-2,38)&lt;&gt;"",INDEX(Tab_DaBa[],MATCH(CONCATENATE(Liste!$C$3,$B$1133,$B$1275),Data!$BO:$BO,0)-2,43)=""),"PFH [1/h] = "&amp;10^9*INDEX(Tab_DaBa[],MATCH(CONCATENATE(Liste!$C$3,$B$1133,$B$1275),Data!$BO:$BO,0)-2,16)&amp;"E-9",IF(INDEX(Tab_DaBa[],MATCH(CONCATENATE(Liste!$C$3,$B$1133,$B$1275),Data!$BO:$BO,0)-2,38)&lt;&gt;"","PFH [1/h] = "&amp;10^9*INDEX(Tab_DaBa[],MATCH(CONCATENATE(Liste!$C$3,$B$1133,$B$1275),Data!$BO:$BO,0)-2,46)&amp;"E-9","")),"")</f>
        <v>PFH [1/h] = 4,19E-9</v>
      </c>
      <c r="G1289" s="39"/>
      <c r="H1289" s="35" t="str">
        <f ca="1">IFERROR(IF(AND(INDEX(Tab_DaBa[],MATCH(CONCATENATE(Liste!$C$3,$B$1133,$B$1275),Data!$BO:$BO,0)-2,43)&lt;&gt;"",INDEX(Tab_DaBa[],MATCH(CONCATENATE(Liste!$C$3,$B$1133,$B$1275),Data!$BO:$BO,0)-2,48)=""),"PFH [1/h] = "&amp;10^9*INDEX(Tab_DaBa[],MATCH(CONCATENATE(Liste!$C$3,$B$1133,$B$1275),Data!$BO:$BO,0)-2,16)&amp;"E-9",IF(INDEX(Tab_DaBa[],MATCH(CONCATENATE(Liste!$C$3,$B$1133,$B$1275),Data!$BO:$BO,0)-2,43)&lt;&gt;"","PFH [1/h] = "&amp;10^9*INDEX(Tab_DaBa[],MATCH(CONCATENATE(Liste!$C$3,$B$1133,$B$1275),Data!$BO:$BO,0)-2,51)&amp;"E-9","")),"")</f>
        <v>PFH [1/h] = 24,7E-9</v>
      </c>
      <c r="I1289" s="39"/>
    </row>
    <row r="1290" spans="2:9" s="16" customFormat="1">
      <c r="B1290" s="33"/>
      <c r="C1290" s="33"/>
      <c r="D1290" s="33"/>
      <c r="E1290" s="33"/>
      <c r="F1290" s="33"/>
      <c r="G1290" s="33"/>
      <c r="H1290" s="33"/>
      <c r="I1290" s="33"/>
    </row>
    <row r="1291" spans="2:9" s="16" customFormat="1" ht="15.75">
      <c r="B1291" s="38" t="str">
        <f ca="1">IF(B1293="","",6)</f>
        <v/>
      </c>
      <c r="C1291" s="33"/>
      <c r="D1291" s="38" t="str">
        <f ca="1">IF(B1293="","",3)</f>
        <v/>
      </c>
      <c r="E1291" s="33"/>
      <c r="F1291" s="38" t="str">
        <f ca="1">IF(B1293="","",3)</f>
        <v/>
      </c>
      <c r="G1291" s="33"/>
      <c r="H1291" s="38" t="str">
        <f ca="1">IF(B1293="","",3)</f>
        <v/>
      </c>
      <c r="I1291" s="33"/>
    </row>
    <row r="1292" spans="2:9" s="16" customFormat="1" ht="15.75">
      <c r="B1292" s="39"/>
      <c r="C1292" s="33"/>
      <c r="D1292" s="33"/>
      <c r="E1292" s="33"/>
      <c r="F1292" s="33"/>
      <c r="G1292" s="33"/>
      <c r="H1292" s="33"/>
      <c r="I1292" s="33"/>
    </row>
    <row r="1293" spans="2:9" s="16" customFormat="1" ht="15.75">
      <c r="B1293" s="35" t="str">
        <f ca="1">IFERROR(IF(AND(INDEX(Tab_DaBa[],MATCH(CONCATENATE(Liste!$C$3,$B$1133,$B$1275),Data!$BO:$BO,0)-2,48)&lt;&gt;"",INDEX(Tab_DaBa[],MATCH(CONCATENATE(Liste!$C$3,$B$1133,$B$1275),Data!$BO:$BO,0)-2,53)=0),INDEX(Tab_DaBa[],MATCH(CONCATENATE(Liste!$C$3,$B$1133,$B$1275),Data!$BO:$BO,0)-2,14),IF(INDEX(Tab_DaBa[],MATCH(CONCATENATE(Liste!$C$3,$B$1133,$B$1275),Data!$BO:$BO,0)-2,48)&lt;&gt;"",INDEX(Tab_DaBa[],MATCH(CONCATENATE(Liste!$C$3,$B$1133,$B$1275),Data!$BO:$BO,0)-2,54),"")),"")</f>
        <v/>
      </c>
      <c r="C1293" s="39"/>
      <c r="D1293" s="35" t="str">
        <f ca="1">IFERROR(IF(AND(INDEX(Tab_DaBa[],MATCH(CONCATENATE(Liste!$C$3,$B$1133,$B$1275),Data!$BO:$BO,0)-2,53)&lt;&gt;"",INDEX(Tab_DaBa[],MATCH(CONCATENATE(Liste!$C$3,$B$1133,$B$1275),Data!$BO:$BO,0)-2,58)=0),INDEX(Tab_DaBa[],MATCH(CONCATENATE(Liste!$C$3,$B$1133,$B$1275),Data!$BO:$BO,0)-2,14),IF(INDEX(Tab_DaBa[],MATCH(CONCATENATE(Liste!$C$3,$B$1133,$B$1275),Data!$BO:$BO,0)-2,53)&lt;&gt;"",INDEX(Tab_DaBa[],MATCH(CONCATENATE(Liste!$C$3,$B$1133,$B$1275),Data!$BO:$BO,0)-2,59),"")),"")</f>
        <v/>
      </c>
      <c r="E1293" s="33"/>
      <c r="F1293" s="35" t="str">
        <f ca="1">IFERROR(IF(AND(INDEX(Tab_DaBa[],MATCH(CONCATENATE(Liste!$C$3,$B$1133,$B$1275),Data!$BO:$BO,0)-2,58)&lt;&gt;"",INDEX(Tab_DaBa[],MATCH(CONCATENATE(Liste!$C$3,$B$1133,$B$1275),Data!$BO:$BO,0)-2,63)=0),INDEX(Tab_DaBa[],MATCH(CONCATENATE(Liste!$C$3,$B$1133,$B$1275),Data!$BO:$BO,0)-2,14),IF(INDEX(Tab_DaBa[],MATCH(CONCATENATE(Liste!$C$3,$B$1133,$B$1275),Data!$BO:$BO,0)-2,58)&lt;&gt;"",INDEX(Tab_DaBa[],MATCH(CONCATENATE(Liste!$C$3,$B$1133,$B$1275),Data!$BO:$BO,0)-2,64),"")),"")</f>
        <v/>
      </c>
      <c r="G1293" s="39"/>
      <c r="H1293" s="35" t="str">
        <f ca="1">IFERROR(IF(INDEX(Tab_DaBa[],MATCH(CONCATENATE(Liste!$C$3,$B$1133,$B$1275),Data!$BO:$BO,0)-2,63)&lt;&gt;"",INDEX(Tab_DaBa[],MATCH(CONCATENATE(Liste!$C$3,$B$1133,$B$1275),Data!$BO:$BO,0)-2,14),""),"")</f>
        <v/>
      </c>
    </row>
    <row r="1294" spans="2:9" s="16" customFormat="1" ht="15.75">
      <c r="B1294" s="35" t="str">
        <f ca="1">IFERROR(IF(AND(INDEX(Tab_DaBa[],MATCH(CONCATENATE(Liste!$C$3,$B$1133,$B$1275),Data!$BO:$BO,0)-2,48)&lt;&gt;"",INDEX(Tab_DaBa[],MATCH(CONCATENATE(Liste!$C$3,$B$1133,$B$1275),Data!$BO:$BO,0)-2,53)=0),INDEX(Tab_DaBa[],MATCH(CONCATENATE(Liste!$C$3,$B$1133,$B$1275),Data!$BO:$BO,0)-2,12),IF(INDEX(Tab_DaBa[],MATCH(CONCATENATE(Liste!$C$3,$B$1133,$B$1275),Data!$BO:$BO,0)-2,48)&lt;&gt;"",INDEX(Tab_DaBa[],MATCH(CONCATENATE(Liste!$C$3,$B$1133,$B$1275),Data!$BO:$BO,0)-2,52),"")),"")</f>
        <v/>
      </c>
      <c r="C1294" s="39"/>
      <c r="D1294" s="35" t="str">
        <f ca="1">IFERROR(IF(AND(INDEX(Tab_DaBa[],MATCH(CONCATENATE(Liste!$C$3,$B$1133,$B$1275),Data!$BO:$BO,0)-2,53)&lt;&gt;"",INDEX(Tab_DaBa[],MATCH(CONCATENATE(Liste!$C$3,$B$1133,$B$1275),Data!$BO:$BO,0)-2,58)=0),INDEX(Tab_DaBa[],MATCH(CONCATENATE(Liste!$C$3,$B$1133,$B$1275),Data!$BO:$BO,0)-2,12),IF(INDEX(Tab_DaBa[],MATCH(CONCATENATE(Liste!$C$3,$B$1133,$B$1275),Data!$BO:$BO,0)-2,53)&lt;&gt;"",INDEX(Tab_DaBa[],MATCH(CONCATENATE(Liste!$C$3,$B$1133,$B$1275),Data!$BO:$BO,0)-2,57),"")),"")</f>
        <v/>
      </c>
      <c r="E1294" s="37"/>
      <c r="F1294" s="35" t="str">
        <f ca="1">IFERROR(IF(AND(INDEX(Tab_DaBa[],MATCH(CONCATENATE(Liste!$C$3,$B$1133,$B$1275),Data!$BO:$BO,0)-2,58)&lt;&gt;"",INDEX(Tab_DaBa[],MATCH(CONCATENATE(Liste!$C$3,$B$1133,$B$1275),Data!$BO:$BO,0)-2,63)=0),INDEX(Tab_DaBa[],MATCH(CONCATENATE(Liste!$C$3,$B$1133,$B$1275),Data!$BO:$BO,0)-2,12),IF(INDEX(Tab_DaBa[],MATCH(CONCATENATE(Liste!$C$3,$B$1133,$B$1275),Data!$BO:$BO,0)-2,58)&lt;&gt;"",INDEX(Tab_DaBa[],MATCH(CONCATENATE(Liste!$C$3,$B$1133,$B$1275),Data!$BO:$BO,0)-2,62),"")),"")</f>
        <v/>
      </c>
      <c r="G1294" s="39"/>
      <c r="H1294" s="35" t="str">
        <f ca="1">IFERROR(IF(INDEX(Tab_DaBa[],MATCH(CONCATENATE(Liste!$C$3,$B$1133,$B$1275),Data!$BO:$BO,0)-2,63)&lt;&gt;"",INDEX(Tab_DaBa[],MATCH(CONCATENATE(Liste!$C$3,$B$1133,$B$1275),Data!$BO:$BO,0)-2,12),""),"")</f>
        <v/>
      </c>
    </row>
    <row r="1295" spans="2:9" s="16" customFormat="1" ht="15.75">
      <c r="B1295" s="35" t="str">
        <f ca="1">IFERROR(IF(AND(INDEX(Tab_DaBa[],MATCH(CONCATENATE(Liste!$C$3,$B$1133,$B$1275),Data!$BO:$BO,0)-2,48)&lt;&gt;"",INDEX(Tab_DaBa[],MATCH(CONCATENATE(Liste!$C$3,$B$1133,$B$1275),Data!$BO:$BO,0)-2,53)=""),INDEX(Tab_DaBa[],MATCH(CONCATENATE(Liste!$C$3,$B$1133,$B$1275),Data!$BO:$BO,0)-2,13),IF(INDEX(Tab_DaBa[],MATCH(CONCATENATE(Liste!$C$3,$B$1133,$B$1275),Data!$BO:$BO,0)-2,48)&lt;&gt;"",INDEX(Tab_DaBa[],MATCH(CONCATENATE(Liste!$C$3,$B$1133,$B$1275),Data!$BO:$BO,0)-2,53),"")),"")</f>
        <v/>
      </c>
      <c r="C1295" s="38" t="str">
        <f ca="1">IF(D1293="","",4)</f>
        <v/>
      </c>
      <c r="D1295" s="35" t="str">
        <f ca="1">IFERROR(IF(AND(INDEX(Tab_DaBa[],MATCH(CONCATENATE(Liste!$C$3,$B$1133,$B$1275),Data!$BO:$BO,0)-2,53)&lt;&gt;"",INDEX(Tab_DaBa[],MATCH(CONCATENATE(Liste!$C$3,$B$1133,$B$1275),Data!$BO:$BO,0)-2,58)=""),INDEX(Tab_DaBa[],MATCH(CONCATENATE(Liste!$C$3,$B$1133,$B$1275),Data!$BO:$BO,0)-2,13),IF(INDEX(Tab_DaBa[],MATCH(CONCATENATE(Liste!$C$3,$B$1133,$B$1275),Data!$BO:$BO,0)-2,53)&lt;&gt;"",INDEX(Tab_DaBa[],MATCH(CONCATENATE(Liste!$C$3,$B$1133,$B$1275),Data!$BO:$BO,0)-2,58),"")),"")</f>
        <v/>
      </c>
      <c r="E1295" s="38" t="str">
        <f ca="1">IF(F1293="","",4)</f>
        <v/>
      </c>
      <c r="F1295" s="35" t="str">
        <f ca="1">IFERROR(IF(AND(INDEX(Tab_DaBa[],MATCH(CONCATENATE(Liste!$C$3,$B$1133,$B$1275),Data!$BO:$BO,0)-2,58)&lt;&gt;"",INDEX(Tab_DaBa[],MATCH(CONCATENATE(Liste!$C$3,$B$1133,$B$1275),Data!$BO:$BO,0)-2,63)=""),INDEX(Tab_DaBa[],MATCH(CONCATENATE(Liste!$C$3,$B$1133,$B$1275),Data!$BO:$BO,0)-2,13),IF(INDEX(Tab_DaBa[],MATCH(CONCATENATE(Liste!$C$3,$B$1133,$B$1275),Data!$BO:$BO,0)-2,58)&lt;&gt;"",INDEX(Tab_DaBa[],MATCH(CONCATENATE(Liste!$C$3,$B$1133,$B$1275),Data!$BO:$BO,0)-2,63),"")),"")</f>
        <v/>
      </c>
      <c r="G1295" s="38" t="str">
        <f ca="1">IF(H1293="","",4)</f>
        <v/>
      </c>
      <c r="H1295" s="35" t="str">
        <f ca="1">IFERROR(IF(INDEX(Tab_DaBa[],MATCH(CONCATENATE(Liste!$C$3,$B$1133,$B$1275),Data!$BO:$BO,0)-2,63)&lt;&gt;"",INDEX(Tab_DaBa[],MATCH(CONCATENATE(Liste!$C$3,$B$1133,$B$1275),Data!$BO:$BO,0)-2,13),""),"")</f>
        <v/>
      </c>
    </row>
    <row r="1296" spans="2:9" s="16" customFormat="1" ht="15.75">
      <c r="B1296" s="35" t="str">
        <f ca="1">IFERROR(IF(AND(INDEX(Tab_DaBa[],MATCH(CONCATENATE(Liste!$C$3,$B$1133,$B$1275),Data!$BO:$BO,0)-2,48)&lt;&gt;"",INDEX(Tab_DaBa[],MATCH(CONCATENATE(Liste!$C$3,$B$1133,$B$1275),Data!$BO:$BO,0)-2,53)=""),"Performance Level: "&amp;INDEX(Tab_DaBa[],MATCH(CONCATENATE(Liste!$C$3,$B$1133,$B$1275),Data!$BO:$BO,0)-2,15),IF(INDEX(Tab_DaBa[],MATCH(CONCATENATE(Liste!$C$3,$B$1133,$B$1275),Data!$BO:$BO,0)-2,48)&lt;&gt;"","Performance Level: "&amp;INDEX(Tab_DaBa[],MATCH(CONCATENATE(Liste!$C$3,$B$1133,$B$1275),Data!$BO:$BO,0)-2,55),"")),"")</f>
        <v/>
      </c>
      <c r="C1296" s="39"/>
      <c r="D1296" s="35" t="str">
        <f ca="1">IFERROR(IF(AND(INDEX(Tab_DaBa[],MATCH(CONCATENATE(Liste!$C$3,$B$1133,$B$1275),Data!$BO:$BO,0)-2,53)&lt;&gt;"",INDEX(Tab_DaBa[],MATCH(CONCATENATE(Liste!$C$3,$B$1133,$B$1275),Data!$BO:$BO,0)-2,58)=""),"Performance Level: "&amp;INDEX(Tab_DaBa[],MATCH(CONCATENATE(Liste!$C$3,$B$1133,$B$1275),Data!$BO:$BO,0)-2,15),IF(INDEX(Tab_DaBa[],MATCH(CONCATENATE(Liste!$C$3,$B$1133,$B$1275),Data!$BO:$BO,0)-2,53)&lt;&gt;"","Performance Level: "&amp;INDEX(Tab_DaBa[],MATCH(CONCATENATE(Liste!$C$3,$B$1133,$B$1275),Data!$BO:$BO,0)-2,60),"")),"")</f>
        <v/>
      </c>
      <c r="E1296" s="37"/>
      <c r="F1296" s="35" t="str">
        <f ca="1">IFERROR(IF(AND(INDEX(Tab_DaBa[],MATCH(CONCATENATE(Liste!$C$3,$B$1133,$B$1275),Data!$BO:$BO,0)-2,58)&lt;&gt;"",INDEX(Tab_DaBa[],MATCH(CONCATENATE(Liste!$C$3,$B$1133,$B$1275),Data!$BO:$BO,0)-2,63)=""),"Performance Level: "&amp;INDEX(Tab_DaBa[],MATCH(CONCATENATE(Liste!$C$3,$B$1133,$B$1275),Data!$BO:$BO,0)-2,15),IF(INDEX(Tab_DaBa[],MATCH(CONCATENATE(Liste!$C$3,$B$1133,$B$1275),Data!$BO:$BO,0)-2,58)&lt;&gt;"","Performance Level: "&amp;INDEX(Tab_DaBa[],MATCH(CONCATENATE(Liste!$C$3,$B$1133,$B$1275),Data!$BO:$BO,0)-2,65),"")),"")</f>
        <v/>
      </c>
      <c r="G1296" s="39"/>
      <c r="H1296" s="35" t="str">
        <f ca="1">IFERROR(IF(INDEX(Tab_DaBa[],MATCH(CONCATENATE(Liste!$C$3,$B$1133,$B$1275),Data!$BO:$BO,0)-2,63)&lt;&gt;"","Performance Level: "&amp;INDEX(Tab_DaBa[],MATCH(CONCATENATE(Liste!$C$3,$B$1133,$B$1275),Data!$BO:$BO,0)-2,15),""),"")</f>
        <v/>
      </c>
    </row>
    <row r="1297" spans="2:9" s="16" customFormat="1" ht="15.75">
      <c r="B1297" s="35" t="str">
        <f ca="1">IFERROR(IF(AND(INDEX(Tab_DaBa[],MATCH(CONCATENATE(Liste!$C$3,$B$1133,$B$1275),Data!$BO:$BO,0)-2,48)&lt;&gt;"",INDEX(Tab_DaBa[],MATCH(CONCATENATE(Liste!$C$3,$B$1133,$B$1275),Data!$BO:$BO,0)-2,53)=""),"PFH [1/h] = "&amp;10^9*INDEX(Tab_DaBa[],MATCH(CONCATENATE(Liste!$C$3,$B$1133,$B$1275),Data!$BO:$BO,0)-2,16)&amp;"E-9",IF(INDEX(Tab_DaBa[],MATCH(CONCATENATE(Liste!$C$3,$B$1133,$B$1275),Data!$BO:$BO,0)-2,48)&lt;&gt;"","PFH [1/h] = "&amp;10^9*INDEX(Tab_DaBa[],MATCH(CONCATENATE(Liste!$C$3,$B$1133,$B$1275),Data!$BO:$BO,0)-2,56)&amp;"E-9","")),"")</f>
        <v/>
      </c>
      <c r="C1297" s="39"/>
      <c r="D1297" s="35" t="str">
        <f ca="1">IFERROR(IF(AND(INDEX(Tab_DaBa[],MATCH(CONCATENATE(Liste!$C$3,$B$1133,$B$1275),Data!$BO:$BO,0)-2,53)&lt;&gt;"",INDEX(Tab_DaBa[],MATCH(CONCATENATE(Liste!$C$3,$B$1133,$B$1275),Data!$BO:$BO,0)-2,58)=""),"PFH [1/h] = "&amp;10^9*INDEX(Tab_DaBa[],MATCH(CONCATENATE(Liste!$C$3,$B$1133,$B$1275),Data!$BO:$BO,0)-2,16)&amp;"E-9",IF(INDEX(Tab_DaBa[],MATCH(CONCATENATE(Liste!$C$3,$B$1133,$B$1275),Data!$BO:$BO,0)-2,53)&lt;&gt;"","PFH [1/h] = "&amp;10^9*INDEX(Tab_DaBa[],MATCH(CONCATENATE(Liste!$C$3,$B$1133,$B$1275),Data!$BO:$BO,0)-2,61)&amp;"E-9","")),"")</f>
        <v/>
      </c>
      <c r="E1297" s="37"/>
      <c r="F1297" s="35" t="str">
        <f ca="1">IFERROR(IF(AND(INDEX(Tab_DaBa[],MATCH(CONCATENATE(Liste!$C$3,$B$1133,$B$1275),Data!$BO:$BO,0)-2,58)&lt;&gt;"",INDEX(Tab_DaBa[],MATCH(CONCATENATE(Liste!$C$3,$B$1133,$B$1275),Data!$BO:$BO,0)-2,63)=""),"PFH [1/h] = "&amp;10^9*INDEX(Tab_DaBa[],MATCH(CONCATENATE(Liste!$C$3,$B$1133,$B$1275),Data!$BO:$BO,0)-2,16)&amp;"E-9",IF(INDEX(Tab_DaBa[],MATCH(CONCATENATE(Liste!$C$3,$B$1133,$B$1275),Data!$BO:$BO,0)-2,58)&lt;&gt;"","PFH [1/h] = "&amp;10^9*INDEX(Tab_DaBa[],MATCH(CONCATENATE(Liste!$C$3,$B$1133,$B$1275),Data!$BO:$BO,0)-2,66)&amp;"E-9","")),"")</f>
        <v/>
      </c>
      <c r="G1297" s="39"/>
      <c r="H1297" s="35" t="str">
        <f ca="1">IFERROR(IF(INDEX(Tab_DaBa[],MATCH(CONCATENATE(Liste!$C$3,$B$1133,$B$1275),Data!$BO:$BO,0)-2,63)&lt;&gt;"","PFH [1/h] = "&amp;10^9*INDEX(Tab_DaBa[],MATCH(CONCATENATE(Liste!$C$3,$B$1133,$B$1275),Data!$BO:$BO,0)-2,16)&amp;"E-9",""),"")</f>
        <v/>
      </c>
    </row>
    <row r="1298" spans="2:9" s="16" customFormat="1"/>
    <row r="1299" spans="2:9" s="16" customFormat="1">
      <c r="B1299" s="43" t="str">
        <f ca="1">IF(D1299="","","Erforderlich")</f>
        <v>Erforderlich</v>
      </c>
      <c r="D1299" s="44" t="str">
        <f ca="1">IFERROR("Performance Level: "&amp;INDEX(Tab_DaBa[],MATCH(CONCATENATE(Liste!$C$3,$B$1133,$B$1275),Data!$BO:$BO,0)-2,4),"")</f>
        <v>Performance Level: PLr_ges4_6</v>
      </c>
    </row>
    <row r="1300" spans="2:9" s="16" customFormat="1">
      <c r="B1300" s="45"/>
    </row>
    <row r="1301" spans="2:9" s="16" customFormat="1">
      <c r="B1301" s="46" t="str">
        <f ca="1">IF(D1301="","","Erreicht")</f>
        <v>Erreicht</v>
      </c>
      <c r="D1301" s="47" t="str">
        <f ca="1">IFERROR("Performance Level: "&amp;INDEX(Tab_DaBa[],MATCH(CONCATENATE(Liste!$C$3,$B$1133,$B$1275),Data!$BO:$BO,0)-2,5)&amp;"          PFH [1/h] = "&amp;10^9*INDEX(Tab_DaBa[],MATCH(CONCATENATE(Liste!$C$3,$B$1133,$B$1275),Data!$BO:$BO,0)-2,6)&amp;"E-9","")</f>
        <v>Performance Level: Pl_ges4_6          PFH [1/h] = 71,7E-9</v>
      </c>
    </row>
    <row r="1302" spans="2:9" s="16" customFormat="1"/>
    <row r="1303" spans="2:9" s="16" customFormat="1">
      <c r="B1303" s="42" t="str">
        <f ca="1">IFERROR(IF(7&gt;COUNTIF(Data!$BP:$BP,CONCATENATE(Liste!$C$3,$B$1133)),"",INDEX(Tab_DaBa[],MATCH(CONCATENATE(Liste!$C$3,$B$1133),Data!$BP:$BP,0)+4,3)),"")</f>
        <v>5.7 Test4 (E+7L+A)</v>
      </c>
    </row>
    <row r="1304" spans="2:9" s="16" customFormat="1"/>
    <row r="1305" spans="2:9" s="16" customFormat="1" ht="15.75">
      <c r="B1305" s="35" t="str">
        <f ca="1">IFERROR(INDEX(Tab_DaBa[],MATCH(CONCATENATE(Liste!$C$3,$B$1133,$B$1303),Data!$BO:$BO,0)-2,9),"")</f>
        <v>Eingang</v>
      </c>
      <c r="C1305" s="54"/>
      <c r="D1305" s="35" t="str">
        <f ca="1">IFERROR(IF(INDEX(Tab_DaBa[],MATCH(CONCATENATE(Liste!$C$3,$B$1133,$B$1303),Data!$BO:$BO,0)-2,18)=0,INDEX(Tab_DaBa[],MATCH(CONCATENATE(Liste!$C$3,$B$1133,$B$1303),Data!$BO:$BO,0)-2,14),INDEX(Tab_DaBa[],MATCH(CONCATENATE(Liste!$C$3,$B$1133,$B$1303),Data!$BO:$BO,0)-2,19)),"")</f>
        <v>Logik 01</v>
      </c>
      <c r="E1305" s="33"/>
      <c r="F1305" s="35" t="str">
        <f ca="1">IFERROR(IF(AND(INDEX(Tab_DaBa[],MATCH(CONCATENATE(Liste!$C$3,$B$1133,$B$1303),Data!$BO:$BO,0)-2,18)&lt;&gt;"",INDEX(Tab_DaBa[],MATCH(CONCATENATE(Liste!$C$3,$B$1133,$B$1303),Data!$BO:$BO,0)-2,23)=0),INDEX(Tab_DaBa[],MATCH(CONCATENATE(Liste!$C$3,$B$1133,$B$1303),Data!$BO:$BO,0)-2,14),IF(INDEX(Tab_DaBa[],MATCH(CONCATENATE(Liste!$C$3,$B$1133,$B$1303),Data!$BO:$BO,0)-2,23)&lt;&gt;"",INDEX(Tab_DaBa[],MATCH(CONCATENATE(Liste!$C$3,$B$1133,$B$1303),Data!$BO:$BO,0)-2,24),"")),"")</f>
        <v>Logik 02</v>
      </c>
      <c r="G1305" s="39"/>
      <c r="H1305" s="35" t="str">
        <f ca="1">IFERROR(IF(AND(INDEX(Tab_DaBa[],MATCH(CONCATENATE(Liste!$C$3,$B$1133,$B$1303),Data!$BO:$BO,0)-2,23)&lt;&gt;"",INDEX(Tab_DaBa[],MATCH(CONCATENATE(Liste!$C$3,$B$1133,$B$1303),Data!$BO:$BO,0)-2,28)=0),INDEX(Tab_DaBa[],MATCH(CONCATENATE(Liste!$C$3,$B$1133,$B$1303),Data!$BO:$BO,0)-2,14),IF(INDEX(Tab_DaBa[],MATCH(CONCATENATE(Liste!$C$3,$B$1133,$B$1303),Data!$BO:$BO,0)-2,23)&lt;&gt;"",INDEX(Tab_DaBa[],MATCH(CONCATENATE(Liste!$C$3,$B$1133,$B$1303),Data!$BO:$BO,0)-2,29),"")),"")</f>
        <v>Logik 03</v>
      </c>
      <c r="I1305" s="39"/>
    </row>
    <row r="1306" spans="2:9" s="16" customFormat="1" ht="15.75">
      <c r="B1306" s="35" t="str">
        <f ca="1">IFERROR(INDEX(Tab_DaBa[],MATCH(CONCATENATE(Liste!$C$3,$B$1133,$B$1303),Data!$BO:$BO,0)-2,7),"")</f>
        <v>eeee-33_7</v>
      </c>
      <c r="C1306" s="54"/>
      <c r="D1306" s="35" t="str">
        <f ca="1">IFERROR(IF(INDEX(Tab_DaBa[],MATCH(CONCATENATE(Liste!$C$3,$B$1133,$B$1303),Data!$BO:$BO,0)-2,18)="",INDEX(Tab_DaBa[],MATCH(CONCATENATE(Liste!$C$3,$B$1133,$B$1303),Data!$BO:$BO,0)-2,12),INDEX(Tab_DaBa[],MATCH(CONCATENATE(Liste!$C$3,$B$1133,$B$1303),Data!$BO:$BO,0)-2,17)),"")</f>
        <v>Log01-04_07</v>
      </c>
      <c r="E1306" s="36"/>
      <c r="F1306" s="35" t="str">
        <f ca="1">IFERROR(IF(AND(INDEX(Tab_DaBa[],MATCH(CONCATENATE(Liste!$C$3,$B$1133,$B$1303),Data!$BO:$BO,0)-2,18)&lt;&gt;"",INDEX(Tab_DaBa[],MATCH(CONCATENATE(Liste!$C$3,$B$1133,$B$1303),Data!$BO:$BO,0)-2,23)=0),INDEX(Tab_DaBa[],MATCH(CONCATENATE(Liste!$C$3,$B$1133,$B$1303),Data!$BO:$BO,0)-2,12),IF(INDEX(Tab_DaBa[],MATCH(CONCATENATE(Liste!$C$3,$B$1133,$B$1303),Data!$BO:$BO,0)-2,23)&lt;&gt;"",INDEX(Tab_DaBa[],MATCH(CONCATENATE(Liste!$C$3,$B$1133,$B$1303),Data!$BO:$BO,0)-2,22),"")),"")</f>
        <v>Lo04-04_07</v>
      </c>
      <c r="G1306" s="39"/>
      <c r="H1306" s="35" t="str">
        <f ca="1">IFERROR(IF(AND(INDEX(Tab_DaBa[],MATCH(CONCATENATE(Liste!$C$3,$B$1133,$B$1303),Data!$BO:$BO,0)-2,23)&lt;&gt;"",INDEX(Tab_DaBa[],MATCH(CONCATENATE(Liste!$C$3,$B$1133,$B$1303),Data!$BO:$BO,0)-2,28)=0),INDEX(Tab_DaBa[],MATCH(CONCATENATE(Liste!$C$3,$B$1133,$B$1303),Data!$BO:$BO,0)-2,12),IF(INDEX(Tab_DaBa[],MATCH(CONCATENATE(Liste!$C$3,$B$1133,$B$1303),Data!$BO:$BO,0)-2,23)&lt;&gt;"",INDEX(Tab_DaBa[],MATCH(CONCATENATE(Liste!$C$3,$B$1133,$B$1303),Data!$BO:$BO,0)-2,27),"")),"")</f>
        <v>Lo04-44_07</v>
      </c>
      <c r="I1306" s="39"/>
    </row>
    <row r="1307" spans="2:9" s="16" customFormat="1" ht="15.75">
      <c r="B1307" s="35" t="str">
        <f ca="1">IFERROR(INDEX(Tab_DaBa[],MATCH(CONCATENATE(Liste!$C$3,$B$1133,$B$1303),Data!$BO:$BO,0)-2,8),"")</f>
        <v>Bez_Ein4_7</v>
      </c>
      <c r="C1307" s="40">
        <f ca="1">IF(D1305="","",4)</f>
        <v>4</v>
      </c>
      <c r="D1307" s="35" t="str">
        <f ca="1">IFERROR(IF(INDEX(Tab_DaBa[],MATCH(CONCATENATE(Liste!$C$3,$B$1133,$B$1303),Data!$BO:$BO,0)-2,18)="",INDEX(Tab_DaBa[],MATCH(CONCATENATE(Liste!$C$3,$B$1133,$B$1303),Data!$BO:$BO,0)-2,13),INDEX(Tab_DaBa[],MATCH(CONCATENATE(Liste!$C$3,$B$1133,$B$1303),Data!$BO:$BO,0)-2,18)),"")</f>
        <v>Bez_Log01_04_07</v>
      </c>
      <c r="E1307" s="40">
        <f ca="1">IF(F1305="","",4)</f>
        <v>4</v>
      </c>
      <c r="F1307" s="35" t="str">
        <f ca="1">IFERROR(IF(AND(INDEX(Tab_DaBa[],MATCH(CONCATENATE(Liste!$C$3,$B$1133,$B$1303),Data!$BO:$BO,0)-2,18)&lt;&gt;"",INDEX(Tab_DaBa[],MATCH(CONCATENATE(Liste!$C$3,$B$1133,$B$1303),Data!$BO:$BO,0)-2,23)=""),INDEX(Tab_DaBa[],MATCH(CONCATENATE(Liste!$C$3,$B$1133,$B$1303),Data!$BO:$BO,0)-2,13),IF(INDEX(Tab_DaBa[],MATCH(CONCATENATE(Liste!$C$3,$B$1133,$B$1303),Data!$BO:$BO,0)-2,23)&lt;&gt;"",INDEX(Tab_DaBa[],MATCH(CONCATENATE(Liste!$C$3,$B$1133,$B$1303),Data!$BO:$BO,0)-2,23),"")),"")</f>
        <v>Bez_Lo04_07</v>
      </c>
      <c r="G1307" s="38">
        <f ca="1">IF(H1305="","",4)</f>
        <v>4</v>
      </c>
      <c r="H1307" s="35" t="str">
        <f ca="1">IFERROR(IF(AND(INDEX(Tab_DaBa[],MATCH(CONCATENATE(Liste!$C$3,$B$1133,$B$1303),Data!$BO:$BO,0)-2,23)&lt;&gt;"",INDEX(Tab_DaBa[],MATCH(CONCATENATE(Liste!$C$3,$B$1133,$B$1303),Data!$BO:$BO,0)-2,28)=""),INDEX(Tab_DaBa[],MATCH(CONCATENATE(Liste!$C$3,$B$1133,$B$1303),Data!$BO:$BO,0)-2,13),IF(INDEX(Tab_DaBa[],MATCH(CONCATENATE(Liste!$C$3,$B$1133,$B$1303),Data!$BO:$BO,0)-2,23)&lt;&gt;"",INDEX(Tab_DaBa[],MATCH(CONCATENATE(Liste!$C$3,$B$1133,$B$1303),Data!$BO:$BO,0)-2,28),"")),"")</f>
        <v>Bez_Lo04_07</v>
      </c>
      <c r="I1307" s="38">
        <f ca="1">IF(B1313="","",6)</f>
        <v>6</v>
      </c>
    </row>
    <row r="1308" spans="2:9" s="16" customFormat="1" ht="15.75">
      <c r="B1308" s="35" t="str">
        <f ca="1">IFERROR("Performance Level: "&amp;INDEX(Tab_DaBa[],MATCH(CONCATENATE(Liste!$C$3,$B$1133,$B$1303),Data!$BO:$BO,0)-2,10),"")</f>
        <v>Performance Level: PL_Ein4_7</v>
      </c>
      <c r="C1308" s="54"/>
      <c r="D1308" s="35" t="str">
        <f ca="1">IFERROR(IF(INDEX(Tab_DaBa[],MATCH(CONCATENATE(Liste!$C$3,$B$1133,$B$1303),Data!$BO:$BO,0)-2,18)="","Performance Level: "&amp;INDEX(Tab_DaBa[],MATCH(CONCATENATE(Liste!$C$3,$B$1133,$B$1303),Data!$BO:$BO,0)-2,15),"Performance Level: "&amp;INDEX(Tab_DaBa[],MATCH(CONCATENATE(Liste!$C$3,$B$1133,$B$1303),Data!$BO:$BO,0)-2,20)),"")</f>
        <v>Performance Level: PL_Log01_04_07</v>
      </c>
      <c r="E1308" s="36"/>
      <c r="F1308" s="35" t="str">
        <f ca="1">IFERROR(IF(AND(INDEX(Tab_DaBa[],MATCH(CONCATENATE(Liste!$C$3,$B$1133,$B$1303),Data!$BO:$BO,0)-2,18)&lt;&gt;"",INDEX(Tab_DaBa[],MATCH(CONCATENATE(Liste!$C$3,$B$1133,$B$1303),Data!$BO:$BO,0)-2,23)=""),"Performance Level: "&amp;INDEX(Tab_DaBa[],MATCH(CONCATENATE(Liste!$C$3,$B$1133,$B$1303),Data!$BO:$BO,0)-2,15),IF(INDEX(Tab_DaBa[],MATCH(CONCATENATE(Liste!$C$3,$B$1133,$B$1303),Data!$BO:$BO,0)-2,23)&lt;&gt;"","Performance Level: "&amp;INDEX(Tab_DaBa[],MATCH(CONCATENATE(Liste!$C$3,$B$1133,$B$1303),Data!$BO:$BO,0)-2,25),"")),"")</f>
        <v>Performance Level: PL_Lo04_07</v>
      </c>
      <c r="G1308" s="39"/>
      <c r="H1308" s="35" t="str">
        <f ca="1">IFERROR(IF(AND(INDEX(Tab_DaBa[],MATCH(CONCATENATE(Liste!$C$3,$B$1133,$B$1303),Data!$BO:$BO,0)-2,23)&lt;&gt;"",INDEX(Tab_DaBa[],MATCH(CONCATENATE(Liste!$C$3,$B$1133,$B$1303),Data!$BO:$BO,0)-2,28)=""),"Performance Level: "&amp;INDEX(Tab_DaBa[],MATCH(CONCATENATE(Liste!$C$3,$B$1133,$B$1303),Data!$BO:$BO,0)-2,15),IF(INDEX(Tab_DaBa[],MATCH(CONCATENATE(Liste!$C$3,$B$1133,$B$1303),Data!$BO:$BO,0)-2,23)&lt;&gt;"","Performance Level: "&amp;INDEX(Tab_DaBa[],MATCH(CONCATENATE(Liste!$C$3,$B$1133,$B$1303),Data!$BO:$BO,0)-2,30),"")),"")</f>
        <v>Performance Level: PL_Lo04_07</v>
      </c>
      <c r="I1308" s="38"/>
    </row>
    <row r="1309" spans="2:9" s="16" customFormat="1" ht="15.75">
      <c r="B1309" s="53" t="str">
        <f ca="1">IFERROR("PFH [1/h] = "&amp;10^9*INDEX(Tab_DaBa[],MATCH(CONCATENATE(Liste!$C$3,$B$1133,$B$1303),Data!$BO:$BO,0)-2,11)&amp;"E-9","")</f>
        <v>PFH [1/h] = 42,9E-9</v>
      </c>
      <c r="C1309" s="54"/>
      <c r="D1309" s="35" t="str">
        <f ca="1">IFERROR(IF(INDEX(Tab_DaBa[],MATCH(CONCATENATE(Liste!$C$3,$B$1133,$B$1303),Data!$BO:$BO,0)-2,18)="","PFH [1/h] = "&amp;10^9*INDEX(Tab_DaBa[],MATCH(CONCATENATE(Liste!$C$3,$B$1133,$B$1303),Data!$BO:$BO,0)-2,16)&amp;"E-9","PFH [1/h] = "&amp;10^9*INDEX(Tab_DaBa[],MATCH(CONCATENATE(Liste!$C$3,$B$1133,$B$1303),Data!$BO:$BO,0)-2,21)&amp;"E-9"),"")</f>
        <v>PFH [1/h] = 4,19E-9</v>
      </c>
      <c r="E1309" s="36"/>
      <c r="F1309" s="35" t="str">
        <f ca="1">IFERROR(IF(AND(INDEX(Tab_DaBa[],MATCH(CONCATENATE(Liste!$C$3,$B$1133,$B$1303),Data!$BO:$BO,0)-2,18)&lt;&gt;"",INDEX(Tab_DaBa[],MATCH(CONCATENATE(Liste!$C$3,$B$1133,$B$1303),Data!$BO:$BO,0)-2,23)=""),"PFH [1/h] = "&amp;10^9*INDEX(Tab_DaBa[],MATCH(CONCATENATE(Liste!$C$3,$B$1133,$B$1303),Data!$BO:$BO,0)-2,16)&amp;"E-9",IF(INDEX(Tab_DaBa[],MATCH(CONCATENATE(Liste!$C$3,$B$1133,$B$1303),Data!$BO:$BO,0)-2,23)&lt;&gt;"","PFH [1/h] = "&amp;10^9*INDEX(Tab_DaBa[],MATCH(CONCATENATE(Liste!$C$3,$B$1133,$B$1303),Data!$BO:$BO,0)-2,26)&amp;"E-9","")),"")</f>
        <v>PFH [1/h] = 4,19E-9</v>
      </c>
      <c r="G1309" s="39"/>
      <c r="H1309" s="35" t="str">
        <f ca="1">IFERROR(IF(AND(INDEX(Tab_DaBa[],MATCH(CONCATENATE(Liste!$C$3,$B$1133,$B$1303),Data!$BO:$BO,0)-2,23)&lt;&gt;"",INDEX(Tab_DaBa[],MATCH(CONCATENATE(Liste!$C$3,$B$1133,$B$1303),Data!$BO:$BO,0)-2,28)=""),"PFH [1/h] = "&amp;10^9*INDEX(Tab_DaBa[],MATCH(CONCATENATE(Liste!$C$3,$B$1133,$B$1303),Data!$BO:$BO,0)-2,16)&amp;"E-9",IF(INDEX(Tab_DaBa[],MATCH(CONCATENATE(Liste!$C$3,$B$1133,$B$1303),Data!$BO:$BO,0)-2,23)&lt;&gt;"","PFH [1/h] = "&amp;10^9*INDEX(Tab_DaBa[],MATCH(CONCATENATE(Liste!$C$3,$B$1133,$B$1303),Data!$BO:$BO,0)-2,31)&amp;"E-9","")),"")</f>
        <v>PFH [1/h] = 4,19E-9</v>
      </c>
      <c r="I1309" s="39"/>
    </row>
    <row r="1310" spans="2:9" s="16" customFormat="1">
      <c r="B1310" s="33"/>
      <c r="C1310" s="34"/>
      <c r="D1310" s="33"/>
      <c r="E1310" s="33"/>
      <c r="F1310" s="33"/>
      <c r="G1310" s="33"/>
      <c r="H1310" s="33"/>
      <c r="I1310" s="33"/>
    </row>
    <row r="1311" spans="2:9" s="16" customFormat="1" ht="15.75">
      <c r="B1311" s="38">
        <f ca="1">IF(B1313="","",6)</f>
        <v>6</v>
      </c>
      <c r="C1311" s="34"/>
      <c r="D1311" s="38">
        <f ca="1">IF(B1313="","",3)</f>
        <v>3</v>
      </c>
      <c r="E1311" s="33"/>
      <c r="F1311" s="38">
        <f ca="1">IF(B1313="","",3)</f>
        <v>3</v>
      </c>
      <c r="G1311" s="33"/>
      <c r="H1311" s="38">
        <f ca="1">IF(B1313="","",3)</f>
        <v>3</v>
      </c>
      <c r="I1311" s="33"/>
    </row>
    <row r="1312" spans="2:9" s="16" customFormat="1" ht="15.75">
      <c r="B1312" s="39"/>
      <c r="C1312" s="33"/>
      <c r="D1312" s="33"/>
      <c r="E1312" s="33"/>
      <c r="F1312" s="33"/>
      <c r="G1312" s="33"/>
      <c r="H1312" s="33"/>
      <c r="I1312" s="33"/>
    </row>
    <row r="1313" spans="2:9" s="16" customFormat="1" ht="15.75">
      <c r="B1313" s="35" t="str">
        <f ca="1">IFERROR(IF(AND(INDEX(Tab_DaBa[],MATCH(CONCATENATE(Liste!$C$3,$B$1133,$B$1303),Data!$BO:$BO,0)-2,28)&lt;&gt;"",INDEX(Tab_DaBa[],MATCH(CONCATENATE(Liste!$C$3,$B$1133,$B$1303),Data!$BO:$BO,0)-2,33)=0),INDEX(Tab_DaBa[],MATCH(CONCATENATE(Liste!$C$3,$B$1133,$B$1303),Data!$BO:$BO,0)-2,14),IF(INDEX(Tab_DaBa[],MATCH(CONCATENATE(Liste!$C$3,$B$1133,$B$1303),Data!$BO:$BO,0)-2,28)&lt;&gt;"",INDEX(Tab_DaBa[],MATCH(CONCATENATE(Liste!$C$3,$B$1133,$B$1303),Data!$BO:$BO,0)-2,34),"")),"")</f>
        <v>Logik 04</v>
      </c>
      <c r="C1313" s="39"/>
      <c r="D1313" s="35" t="str">
        <f ca="1">IFERROR(IF(AND(INDEX(Tab_DaBa[],MATCH(CONCATENATE(Liste!$C$3,$B$1133,$B$1303),Data!$BO:$BO,0)-2,33)&lt;&gt;"",INDEX(Tab_DaBa[],MATCH(CONCATENATE(Liste!$C$3,$B$1133,$B$1303),Data!$BO:$BO,0)-2,38)=0),INDEX(Tab_DaBa[],MATCH(CONCATENATE(Liste!$C$3,$B$1133,$B$1303),Data!$BO:$BO,0)-2,14),IF(INDEX(Tab_DaBa[],MATCH(CONCATENATE(Liste!$C$3,$B$1133,$B$1303),Data!$BO:$BO,0)-2,33)&lt;&gt;"",INDEX(Tab_DaBa[],MATCH(CONCATENATE(Liste!$C$3,$B$1133,$B$1303),Data!$BO:$BO,0)-2,39),"")),"")</f>
        <v>Logik 05</v>
      </c>
      <c r="E1313" s="33"/>
      <c r="F1313" s="35" t="str">
        <f ca="1">IFERROR(IF(AND(INDEX(Tab_DaBa[],MATCH(CONCATENATE(Liste!$C$3,$B$1133,$B$1303),Data!$BO:$BO,0)-2,38)&lt;&gt;"",INDEX(Tab_DaBa[],MATCH(CONCATENATE(Liste!$C$3,$B$1133,$B$1303),Data!$BO:$BO,0)-2,43)=0),INDEX(Tab_DaBa[],MATCH(CONCATENATE(Liste!$C$3,$B$1133,$B$1303),Data!$BO:$BO,0)-2,14),IF(INDEX(Tab_DaBa[],MATCH(CONCATENATE(Liste!$C$3,$B$1133,$B$1303),Data!$BO:$BO,0)-2,38)&lt;&gt;"",INDEX(Tab_DaBa[],MATCH(CONCATENATE(Liste!$C$3,$B$1133,$B$1303),Data!$BO:$BO,0)-2,44),"")),"")</f>
        <v>Logik 06</v>
      </c>
      <c r="G1313" s="39"/>
      <c r="H1313" s="35" t="str">
        <f ca="1">IFERROR(IF(AND(INDEX(Tab_DaBa[],MATCH(CONCATENATE(Liste!$C$3,$B$1133,$B$1303),Data!$BO:$BO,0)-2,43)&lt;&gt;"",INDEX(Tab_DaBa[],MATCH(CONCATENATE(Liste!$C$3,$B$1133,$B$1303),Data!$BO:$BO,0)-2,48)=0),INDEX(Tab_DaBa[],MATCH(CONCATENATE(Liste!$C$3,$B$1133,$B$1303),Data!$BO:$BO,0)-2,14),IF(INDEX(Tab_DaBa[],MATCH(CONCATENATE(Liste!$C$3,$B$1133,$B$1303),Data!$BO:$BO,0)-2,43)&lt;&gt;"",INDEX(Tab_DaBa[],MATCH(CONCATENATE(Liste!$C$3,$B$1133,$B$1303),Data!$BO:$BO,0)-2,49),"")),"")</f>
        <v>Logik 07</v>
      </c>
      <c r="I1313" s="39"/>
    </row>
    <row r="1314" spans="2:9" s="16" customFormat="1" ht="15.75">
      <c r="B1314" s="35" t="str">
        <f ca="1">IFERROR(IF(AND(INDEX(Tab_DaBa[],MATCH(CONCATENATE(Liste!$C$3,$B$1133,$B$1303),Data!$BO:$BO,0)-2,28)&lt;&gt;"",INDEX(Tab_DaBa[],MATCH(CONCATENATE(Liste!$C$3,$B$1133,$B$1303),Data!$BO:$BO,0)-2,33)=0),INDEX(Tab_DaBa[],MATCH(CONCATENATE(Liste!$C$3,$B$1133,$B$1303),Data!$BO:$BO,0)-2,12),IF(INDEX(Tab_DaBa[],MATCH(CONCATENATE(Liste!$C$3,$B$1133,$B$1303),Data!$BO:$BO,0)-2,28)&lt;&gt;"",INDEX(Tab_DaBa[],MATCH(CONCATENATE(Liste!$C$3,$B$1133,$B$1303),Data!$BO:$BO,0)-2,32),"")),"")</f>
        <v>Lo04-44_07</v>
      </c>
      <c r="C1314" s="39"/>
      <c r="D1314" s="35" t="str">
        <f ca="1">IFERROR(IF(AND(INDEX(Tab_DaBa[],MATCH(CONCATENATE(Liste!$C$3,$B$1133,$B$1303),Data!$BO:$BO,0)-2,33)&lt;&gt;"",INDEX(Tab_DaBa[],MATCH(CONCATENATE(Liste!$C$3,$B$1133,$B$1303),Data!$BO:$BO,0)-2,38)=0),INDEX(Tab_DaBa[],MATCH(CONCATENATE(Liste!$C$3,$B$1133,$B$1303),Data!$BO:$BO,0)-2,12),IF(INDEX(Tab_DaBa[],MATCH(CONCATENATE(Liste!$C$3,$B$1133,$B$1303),Data!$BO:$BO,0)-2,33)&lt;&gt;"",INDEX(Tab_DaBa[],MATCH(CONCATENATE(Liste!$C$3,$B$1133,$B$1303),Data!$BO:$BO,0)-2,37),"")),"")</f>
        <v>Lo04-44_07</v>
      </c>
      <c r="E1314" s="37"/>
      <c r="F1314" s="35" t="str">
        <f ca="1">IFERROR(IF(AND(INDEX(Tab_DaBa[],MATCH(CONCATENATE(Liste!$C$3,$B$1133,$B$1303),Data!$BO:$BO,0)-2,38)&lt;&gt;"",INDEX(Tab_DaBa[],MATCH(CONCATENATE(Liste!$C$3,$B$1133,$B$1303),Data!$BO:$BO,0)-2,43)=0),INDEX(Tab_DaBa[],MATCH(CONCATENATE(Liste!$C$3,$B$1133,$B$1303),Data!$BO:$BO,0)-2,12),IF(INDEX(Tab_DaBa[],MATCH(CONCATENATE(Liste!$C$3,$B$1133,$B$1303),Data!$BO:$BO,0)-2,38)&lt;&gt;"",INDEX(Tab_DaBa[],MATCH(CONCATENATE(Liste!$C$3,$B$1133,$B$1303),Data!$BO:$BO,0)-2,42),"")),"")</f>
        <v>Lo03-33_07</v>
      </c>
      <c r="G1314" s="39"/>
      <c r="H1314" s="35" t="str">
        <f ca="1">IFERROR(IF(AND(INDEX(Tab_DaBa[],MATCH(CONCATENATE(Liste!$C$3,$B$1133,$B$1303),Data!$BO:$BO,0)-2,43)&lt;&gt;"",INDEX(Tab_DaBa[],MATCH(CONCATENATE(Liste!$C$3,$B$1133,$B$1303),Data!$BO:$BO,0)-2,48)=0),INDEX(Tab_DaBa[],MATCH(CONCATENATE(Liste!$C$3,$B$1133,$B$1303),Data!$BO:$BO,0)-2,12),IF(INDEX(Tab_DaBa[],MATCH(CONCATENATE(Liste!$C$3,$B$1133,$B$1303),Data!$BO:$BO,0)-2,43)&lt;&gt;"",INDEX(Tab_DaBa[],MATCH(CONCATENATE(Liste!$C$3,$B$1133,$B$1303),Data!$BO:$BO,0)-2,47),"")),"")</f>
        <v>Lo03-33_07</v>
      </c>
      <c r="I1314" s="39"/>
    </row>
    <row r="1315" spans="2:9" s="16" customFormat="1" ht="15.75">
      <c r="B1315" s="35" t="str">
        <f ca="1">IFERROR(IF(AND(INDEX(Tab_DaBa[],MATCH(CONCATENATE(Liste!$C$3,$B$1133,$B$1303),Data!$BO:$BO,0)-2,28)&lt;&gt;"",INDEX(Tab_DaBa[],MATCH(CONCATENATE(Liste!$C$3,$B$1133,$B$1303),Data!$BO:$BO,0)-2,33)=""),INDEX(Tab_DaBa[],MATCH(CONCATENATE(Liste!$C$3,$B$1133,$B$1303),Data!$BO:$BO,0)-2,13),IF(INDEX(Tab_DaBa[],MATCH(CONCATENATE(Liste!$C$3,$B$1133,$B$1303),Data!$BO:$BO,0)-2,28)&lt;&gt;"",INDEX(Tab_DaBa[],MATCH(CONCATENATE(Liste!$C$3,$B$1133,$B$1303),Data!$BO:$BO,0)-2,33),"")),"")</f>
        <v>Bez_Lo04_07</v>
      </c>
      <c r="C1315" s="38">
        <f ca="1">IF(D1313="","",4)</f>
        <v>4</v>
      </c>
      <c r="D1315" s="35" t="str">
        <f ca="1">IFERROR(IF(AND(INDEX(Tab_DaBa[],MATCH(CONCATENATE(Liste!$C$3,$B$1133,$B$1303),Data!$BO:$BO,0)-2,33)&lt;&gt;"",INDEX(Tab_DaBa[],MATCH(CONCATENATE(Liste!$C$3,$B$1133,$B$1303),Data!$BO:$BO,0)-2,38)=""),INDEX(Tab_DaBa[],MATCH(CONCATENATE(Liste!$C$3,$B$1133,$B$1303),Data!$BO:$BO,0)-2,13),IF(INDEX(Tab_DaBa[],MATCH(CONCATENATE(Liste!$C$3,$B$1133,$B$1303),Data!$BO:$BO,0)-2,33)&lt;&gt;"",INDEX(Tab_DaBa[],MATCH(CONCATENATE(Liste!$C$3,$B$1133,$B$1303),Data!$BO:$BO,0)-2,38),"")),"")</f>
        <v>Bez_Lo03_07</v>
      </c>
      <c r="E1315" s="38">
        <f ca="1">IF(F1313="","",4)</f>
        <v>4</v>
      </c>
      <c r="F1315" s="35" t="str">
        <f ca="1">IFERROR(IF(AND(INDEX(Tab_DaBa[],MATCH(CONCATENATE(Liste!$C$3,$B$1133,$B$1303),Data!$BO:$BO,0)-2,38)&lt;&gt;"",INDEX(Tab_DaBa[],MATCH(CONCATENATE(Liste!$C$3,$B$1133,$B$1303),Data!$BO:$BO,0)-2,43)=""),INDEX(Tab_DaBa[],MATCH(CONCATENATE(Liste!$C$3,$B$1133,$B$1303),Data!$BO:$BO,0)-2,13),IF(INDEX(Tab_DaBa[],MATCH(CONCATENATE(Liste!$C$3,$B$1133,$B$1303),Data!$BO:$BO,0)-2,38)&lt;&gt;"",INDEX(Tab_DaBa[],MATCH(CONCATENATE(Liste!$C$3,$B$1133,$B$1303),Data!$BO:$BO,0)-2,43),"")),"")</f>
        <v>Bez_Lo03_07</v>
      </c>
      <c r="G1315" s="38">
        <f ca="1">IF(H1313="","",4)</f>
        <v>4</v>
      </c>
      <c r="H1315" s="35" t="str">
        <f ca="1">IFERROR(IF(AND(INDEX(Tab_DaBa[],MATCH(CONCATENATE(Liste!$C$3,$B$1133,$B$1303),Data!$BO:$BO,0)-2,43)&lt;&gt;"",INDEX(Tab_DaBa[],MATCH(CONCATENATE(Liste!$C$3,$B$1133,$B$1303),Data!$BO:$BO,0)-2,48)=""),INDEX(Tab_DaBa[],MATCH(CONCATENATE(Liste!$C$3,$B$1133,$B$1303),Data!$BO:$BO,0)-2,13),IF(INDEX(Tab_DaBa[],MATCH(CONCATENATE(Liste!$C$3,$B$1133,$B$1303),Data!$BO:$BO,0)-2,43)&lt;&gt;"",INDEX(Tab_DaBa[],MATCH(CONCATENATE(Liste!$C$3,$B$1133,$B$1303),Data!$BO:$BO,0)-2,48),"")),"")</f>
        <v>Bez_Lo03_07</v>
      </c>
      <c r="I1315" s="38">
        <f ca="1">IF(B1321="","",6)</f>
        <v>6</v>
      </c>
    </row>
    <row r="1316" spans="2:9" s="16" customFormat="1" ht="15.75">
      <c r="B1316" s="35" t="str">
        <f ca="1">IFERROR(IF(AND(INDEX(Tab_DaBa[],MATCH(CONCATENATE(Liste!$C$3,$B$1133,$B$1303),Data!$BO:$BO,0)-2,28)&lt;&gt;"",INDEX(Tab_DaBa[],MATCH(CONCATENATE(Liste!$C$3,$B$1133,$B$1303),Data!$BO:$BO,0)-2,33)=""),"Performance Level: "&amp;INDEX(Tab_DaBa[],MATCH(CONCATENATE(Liste!$C$3,$B$1133,$B$1303),Data!$BO:$BO,0)-2,15),IF(INDEX(Tab_DaBa[],MATCH(CONCATENATE(Liste!$C$3,$B$1133,$B$1303),Data!$BO:$BO,0)-2,28)&lt;&gt;"","Performance Level: "&amp;INDEX(Tab_DaBa[],MATCH(CONCATENATE(Liste!$C$3,$B$1133,$B$1303),Data!$BO:$BO,0)-2,35),"")),"")</f>
        <v>Performance Level: PL_Lo04_07</v>
      </c>
      <c r="C1316" s="39"/>
      <c r="D1316" s="35" t="str">
        <f ca="1">IFERROR(IF(AND(INDEX(Tab_DaBa[],MATCH(CONCATENATE(Liste!$C$3,$B$1133,$B$1303),Data!$BO:$BO,0)-2,33)&lt;&gt;"",INDEX(Tab_DaBa[],MATCH(CONCATENATE(Liste!$C$3,$B$1133,$B$1303),Data!$BO:$BO,0)-2,38)=""),"Performance Level: "&amp;INDEX(Tab_DaBa[],MATCH(CONCATENATE(Liste!$C$3,$B$1133,$B$1303),Data!$BO:$BO,0)-2,15),IF(INDEX(Tab_DaBa[],MATCH(CONCATENATE(Liste!$C$3,$B$1133,$B$1303),Data!$BO:$BO,0)-2,33)&lt;&gt;"","Performance Level: "&amp;INDEX(Tab_DaBa[],MATCH(CONCATENATE(Liste!$C$3,$B$1133,$B$1303),Data!$BO:$BO,0)-2,40),"")),"")</f>
        <v>Performance Level: PL_Lo03_7</v>
      </c>
      <c r="E1316" s="37"/>
      <c r="F1316" s="35" t="str">
        <f ca="1">IFERROR(IF(AND(INDEX(Tab_DaBa[],MATCH(CONCATENATE(Liste!$C$3,$B$1133,$B$1303),Data!$BO:$BO,0)-2,38)&lt;&gt;"",INDEX(Tab_DaBa[],MATCH(CONCATENATE(Liste!$C$3,$B$1133,$B$1303),Data!$BO:$BO,0)-2,43)=""),"Performance Level: "&amp;INDEX(Tab_DaBa[],MATCH(CONCATENATE(Liste!$C$3,$B$1133,$B$1303),Data!$BO:$BO,0)-2,15),IF(INDEX(Tab_DaBa[],MATCH(CONCATENATE(Liste!$C$3,$B$1133,$B$1303),Data!$BO:$BO,0)-2,38)&lt;&gt;"","Performance Level: "&amp;INDEX(Tab_DaBa[],MATCH(CONCATENATE(Liste!$C$3,$B$1133,$B$1303),Data!$BO:$BO,0)-2,45),"")),"")</f>
        <v>Performance Level: PL_Lo03_07</v>
      </c>
      <c r="G1316" s="39"/>
      <c r="H1316" s="35" t="str">
        <f ca="1">IFERROR(IF(AND(INDEX(Tab_DaBa[],MATCH(CONCATENATE(Liste!$C$3,$B$1133,$B$1303),Data!$BO:$BO,0)-2,43)&lt;&gt;"",INDEX(Tab_DaBa[],MATCH(CONCATENATE(Liste!$C$3,$B$1133,$B$1303),Data!$BO:$BO,0)-2,48)=""),"Performance Level: "&amp;INDEX(Tab_DaBa[],MATCH(CONCATENATE(Liste!$C$3,$B$1133,$B$1303),Data!$BO:$BO,0)-2,15),IF(INDEX(Tab_DaBa[],MATCH(CONCATENATE(Liste!$C$3,$B$1133,$B$1303),Data!$BO:$BO,0)-2,43)&lt;&gt;"","Performance Level: "&amp;INDEX(Tab_DaBa[],MATCH(CONCATENATE(Liste!$C$3,$B$1133,$B$1303),Data!$BO:$BO,0)-2,50),"")),"")</f>
        <v>Performance Level: PL_Lo03_07</v>
      </c>
      <c r="I1316" s="39"/>
    </row>
    <row r="1317" spans="2:9" s="16" customFormat="1" ht="15.75">
      <c r="B1317" s="35" t="str">
        <f ca="1">IFERROR(IF(AND(INDEX(Tab_DaBa[],MATCH(CONCATENATE(Liste!$C$3,$B$1133,$B$1303),Data!$BO:$BO,0)-2,28)&lt;&gt;"",INDEX(Tab_DaBa[],MATCH(CONCATENATE(Liste!$C$3,$B$1133,$B$1303),Data!$BO:$BO,0)-2,33)=""),"PFH [1/h] = "&amp;10^9*INDEX(Tab_DaBa[],MATCH(CONCATENATE(Liste!$C$3,$B$1133,$B$1303),Data!$BO:$BO,0)-2,16)&amp;"E-9",IF(INDEX(Tab_DaBa[],MATCH(CONCATENATE(Liste!$C$3,$B$1133,$B$1303),Data!$BO:$BO,0)-2,28)&lt;&gt;"","PFH [1/h] = "&amp;10^9*INDEX(Tab_DaBa[],MATCH(CONCATENATE(Liste!$C$3,$B$1133,$B$1303),Data!$BO:$BO,0)-2,36)&amp;"E-9","")),"")</f>
        <v>PFH [1/h] = 4,19E-9</v>
      </c>
      <c r="C1317" s="39"/>
      <c r="D1317" s="35" t="str">
        <f ca="1">IFERROR(IF(AND(INDEX(Tab_DaBa[],MATCH(CONCATENATE(Liste!$C$3,$B$1133,$B$1303),Data!$BO:$BO,0)-2,33)&lt;&gt;"",INDEX(Tab_DaBa[],MATCH(CONCATENATE(Liste!$C$3,$B$1133,$B$1303),Data!$BO:$BO,0)-2,38)=""),"PFH [1/h] = "&amp;10^9*INDEX(Tab_DaBa[],MATCH(CONCATENATE(Liste!$C$3,$B$1133,$B$1303),Data!$BO:$BO,0)-2,16)&amp;"E-9",IF(INDEX(Tab_DaBa[],MATCH(CONCATENATE(Liste!$C$3,$B$1133,$B$1303),Data!$BO:$BO,0)-2,33)&lt;&gt;"","PFH [1/h] = "&amp;10^9*INDEX(Tab_DaBa[],MATCH(CONCATENATE(Liste!$C$3,$B$1133,$B$1303),Data!$BO:$BO,0)-2,41)&amp;"E-9","")),"")</f>
        <v>PFH [1/h] = 4,19E-9</v>
      </c>
      <c r="E1317" s="37"/>
      <c r="F1317" s="35" t="str">
        <f ca="1">IFERROR(IF(AND(INDEX(Tab_DaBa[],MATCH(CONCATENATE(Liste!$C$3,$B$1133,$B$1303),Data!$BO:$BO,0)-2,38)&lt;&gt;"",INDEX(Tab_DaBa[],MATCH(CONCATENATE(Liste!$C$3,$B$1133,$B$1303),Data!$BO:$BO,0)-2,43)=""),"PFH [1/h] = "&amp;10^9*INDEX(Tab_DaBa[],MATCH(CONCATENATE(Liste!$C$3,$B$1133,$B$1303),Data!$BO:$BO,0)-2,16)&amp;"E-9",IF(INDEX(Tab_DaBa[],MATCH(CONCATENATE(Liste!$C$3,$B$1133,$B$1303),Data!$BO:$BO,0)-2,38)&lt;&gt;"","PFH [1/h] = "&amp;10^9*INDEX(Tab_DaBa[],MATCH(CONCATENATE(Liste!$C$3,$B$1133,$B$1303),Data!$BO:$BO,0)-2,46)&amp;"E-9","")),"")</f>
        <v>PFH [1/h] = 4,19E-9</v>
      </c>
      <c r="G1317" s="39"/>
      <c r="H1317" s="35" t="str">
        <f ca="1">IFERROR(IF(AND(INDEX(Tab_DaBa[],MATCH(CONCATENATE(Liste!$C$3,$B$1133,$B$1303),Data!$BO:$BO,0)-2,43)&lt;&gt;"",INDEX(Tab_DaBa[],MATCH(CONCATENATE(Liste!$C$3,$B$1133,$B$1303),Data!$BO:$BO,0)-2,48)=""),"PFH [1/h] = "&amp;10^9*INDEX(Tab_DaBa[],MATCH(CONCATENATE(Liste!$C$3,$B$1133,$B$1303),Data!$BO:$BO,0)-2,16)&amp;"E-9",IF(INDEX(Tab_DaBa[],MATCH(CONCATENATE(Liste!$C$3,$B$1133,$B$1303),Data!$BO:$BO,0)-2,43)&lt;&gt;"","PFH [1/h] = "&amp;10^9*INDEX(Tab_DaBa[],MATCH(CONCATENATE(Liste!$C$3,$B$1133,$B$1303),Data!$BO:$BO,0)-2,51)&amp;"E-9","")),"")</f>
        <v>PFH [1/h] = 4,19E-9</v>
      </c>
      <c r="I1317" s="39"/>
    </row>
    <row r="1318" spans="2:9" s="16" customFormat="1">
      <c r="B1318" s="33"/>
      <c r="C1318" s="33"/>
      <c r="D1318" s="33"/>
      <c r="E1318" s="33"/>
      <c r="F1318" s="33"/>
      <c r="G1318" s="33"/>
      <c r="H1318" s="33"/>
      <c r="I1318" s="33"/>
    </row>
    <row r="1319" spans="2:9" s="16" customFormat="1" ht="15.75">
      <c r="B1319" s="38">
        <f ca="1">IF(B1321="","",6)</f>
        <v>6</v>
      </c>
      <c r="C1319" s="33"/>
      <c r="D1319" s="38">
        <f ca="1">IF(B1321="","",3)</f>
        <v>3</v>
      </c>
      <c r="E1319" s="33"/>
      <c r="F1319" s="38">
        <f ca="1">IF(B1321="","",3)</f>
        <v>3</v>
      </c>
      <c r="G1319" s="33"/>
      <c r="H1319" s="38">
        <f ca="1">IF(B1321="","",3)</f>
        <v>3</v>
      </c>
      <c r="I1319" s="33"/>
    </row>
    <row r="1320" spans="2:9" s="16" customFormat="1" ht="15.75">
      <c r="B1320" s="39"/>
      <c r="C1320" s="33"/>
      <c r="D1320" s="33"/>
      <c r="E1320" s="33"/>
      <c r="F1320" s="33"/>
      <c r="G1320" s="33"/>
      <c r="H1320" s="33"/>
      <c r="I1320" s="33"/>
    </row>
    <row r="1321" spans="2:9" s="16" customFormat="1" ht="15.75">
      <c r="B1321" s="35" t="str">
        <f ca="1">IFERROR(IF(AND(INDEX(Tab_DaBa[],MATCH(CONCATENATE(Liste!$C$3,$B$1133,$B$1303),Data!$BO:$BO,0)-2,48)&lt;&gt;"",INDEX(Tab_DaBa[],MATCH(CONCATENATE(Liste!$C$3,$B$1133,$B$1303),Data!$BO:$BO,0)-2,53)=0),INDEX(Tab_DaBa[],MATCH(CONCATENATE(Liste!$C$3,$B$1133,$B$1303),Data!$BO:$BO,0)-2,14),IF(INDEX(Tab_DaBa[],MATCH(CONCATENATE(Liste!$C$3,$B$1133,$B$1303),Data!$BO:$BO,0)-2,48)&lt;&gt;"",INDEX(Tab_DaBa[],MATCH(CONCATENATE(Liste!$C$3,$B$1133,$B$1303),Data!$BO:$BO,0)-2,54),"")),"")</f>
        <v>Ausgang</v>
      </c>
      <c r="C1321" s="39"/>
      <c r="D1321" s="35" t="str">
        <f ca="1">IFERROR(IF(AND(INDEX(Tab_DaBa[],MATCH(CONCATENATE(Liste!$C$3,$B$1133,$B$1303),Data!$BO:$BO,0)-2,53)&lt;&gt;"",INDEX(Tab_DaBa[],MATCH(CONCATENATE(Liste!$C$3,$B$1133,$B$1303),Data!$BO:$BO,0)-2,58)=0),INDEX(Tab_DaBa[],MATCH(CONCATENATE(Liste!$C$3,$B$1133,$B$1303),Data!$BO:$BO,0)-2,14),IF(INDEX(Tab_DaBa[],MATCH(CONCATENATE(Liste!$C$3,$B$1133,$B$1303),Data!$BO:$BO,0)-2,53)&lt;&gt;"",INDEX(Tab_DaBa[],MATCH(CONCATENATE(Liste!$C$3,$B$1133,$B$1303),Data!$BO:$BO,0)-2,59),"")),"")</f>
        <v/>
      </c>
      <c r="E1321" s="33"/>
      <c r="F1321" s="35" t="str">
        <f ca="1">IFERROR(IF(AND(INDEX(Tab_DaBa[],MATCH(CONCATENATE(Liste!$C$3,$B$1133,$B$1303),Data!$BO:$BO,0)-2,58)&lt;&gt;"",INDEX(Tab_DaBa[],MATCH(CONCATENATE(Liste!$C$3,$B$1133,$B$1303),Data!$BO:$BO,0)-2,63)=0),INDEX(Tab_DaBa[],MATCH(CONCATENATE(Liste!$C$3,$B$1133,$B$1303),Data!$BO:$BO,0)-2,14),IF(INDEX(Tab_DaBa[],MATCH(CONCATENATE(Liste!$C$3,$B$1133,$B$1303),Data!$BO:$BO,0)-2,58)&lt;&gt;"",INDEX(Tab_DaBa[],MATCH(CONCATENATE(Liste!$C$3,$B$1133,$B$1303),Data!$BO:$BO,0)-2,64),"")),"")</f>
        <v/>
      </c>
      <c r="G1321" s="39"/>
      <c r="H1321" s="35" t="str">
        <f ca="1">IFERROR(IF(INDEX(Tab_DaBa[],MATCH(CONCATENATE(Liste!$C$3,$B$1133,$B$1303),Data!$BO:$BO,0)-2,63)&lt;&gt;"",INDEX(Tab_DaBa[],MATCH(CONCATENATE(Liste!$C$3,$B$1133,$B$1303),Data!$BO:$BO,0)-2,14),""),"")</f>
        <v/>
      </c>
    </row>
    <row r="1322" spans="2:9" s="16" customFormat="1" ht="15.75">
      <c r="B1322" s="35" t="str">
        <f ca="1">IFERROR(IF(AND(INDEX(Tab_DaBa[],MATCH(CONCATENATE(Liste!$C$3,$B$1133,$B$1303),Data!$BO:$BO,0)-2,48)&lt;&gt;"",INDEX(Tab_DaBa[],MATCH(CONCATENATE(Liste!$C$3,$B$1133,$B$1303),Data!$BO:$BO,0)-2,53)=0),INDEX(Tab_DaBa[],MATCH(CONCATENATE(Liste!$C$3,$B$1133,$B$1303),Data!$BO:$BO,0)-2,12),IF(INDEX(Tab_DaBa[],MATCH(CONCATENATE(Liste!$C$3,$B$1133,$B$1303),Data!$BO:$BO,0)-2,48)&lt;&gt;"",INDEX(Tab_DaBa[],MATCH(CONCATENATE(Liste!$C$3,$B$1133,$B$1303),Data!$BO:$BO,0)-2,52),"")),"")</f>
        <v>aaaa-44_7</v>
      </c>
      <c r="C1322" s="39"/>
      <c r="D1322" s="35" t="str">
        <f ca="1">IFERROR(IF(AND(INDEX(Tab_DaBa[],MATCH(CONCATENATE(Liste!$C$3,$B$1133,$B$1303),Data!$BO:$BO,0)-2,53)&lt;&gt;"",INDEX(Tab_DaBa[],MATCH(CONCATENATE(Liste!$C$3,$B$1133,$B$1303),Data!$BO:$BO,0)-2,58)=0),INDEX(Tab_DaBa[],MATCH(CONCATENATE(Liste!$C$3,$B$1133,$B$1303),Data!$BO:$BO,0)-2,12),IF(INDEX(Tab_DaBa[],MATCH(CONCATENATE(Liste!$C$3,$B$1133,$B$1303),Data!$BO:$BO,0)-2,53)&lt;&gt;"",INDEX(Tab_DaBa[],MATCH(CONCATENATE(Liste!$C$3,$B$1133,$B$1303),Data!$BO:$BO,0)-2,57),"")),"")</f>
        <v/>
      </c>
      <c r="E1322" s="37"/>
      <c r="F1322" s="35" t="str">
        <f ca="1">IFERROR(IF(AND(INDEX(Tab_DaBa[],MATCH(CONCATENATE(Liste!$C$3,$B$1133,$B$1303),Data!$BO:$BO,0)-2,58)&lt;&gt;"",INDEX(Tab_DaBa[],MATCH(CONCATENATE(Liste!$C$3,$B$1133,$B$1303),Data!$BO:$BO,0)-2,63)=0),INDEX(Tab_DaBa[],MATCH(CONCATENATE(Liste!$C$3,$B$1133,$B$1303),Data!$BO:$BO,0)-2,12),IF(INDEX(Tab_DaBa[],MATCH(CONCATENATE(Liste!$C$3,$B$1133,$B$1303),Data!$BO:$BO,0)-2,58)&lt;&gt;"",INDEX(Tab_DaBa[],MATCH(CONCATENATE(Liste!$C$3,$B$1133,$B$1303),Data!$BO:$BO,0)-2,62),"")),"")</f>
        <v/>
      </c>
      <c r="G1322" s="39"/>
      <c r="H1322" s="35" t="str">
        <f ca="1">IFERROR(IF(INDEX(Tab_DaBa[],MATCH(CONCATENATE(Liste!$C$3,$B$1133,$B$1303),Data!$BO:$BO,0)-2,63)&lt;&gt;"",INDEX(Tab_DaBa[],MATCH(CONCATENATE(Liste!$C$3,$B$1133,$B$1303),Data!$BO:$BO,0)-2,12),""),"")</f>
        <v/>
      </c>
    </row>
    <row r="1323" spans="2:9" s="16" customFormat="1" ht="15.75">
      <c r="B1323" s="35" t="str">
        <f ca="1">IFERROR(IF(AND(INDEX(Tab_DaBa[],MATCH(CONCATENATE(Liste!$C$3,$B$1133,$B$1303),Data!$BO:$BO,0)-2,48)&lt;&gt;"",INDEX(Tab_DaBa[],MATCH(CONCATENATE(Liste!$C$3,$B$1133,$B$1303),Data!$BO:$BO,0)-2,53)=""),INDEX(Tab_DaBa[],MATCH(CONCATENATE(Liste!$C$3,$B$1133,$B$1303),Data!$BO:$BO,0)-2,13),IF(INDEX(Tab_DaBa[],MATCH(CONCATENATE(Liste!$C$3,$B$1133,$B$1303),Data!$BO:$BO,0)-2,48)&lt;&gt;"",INDEX(Tab_DaBa[],MATCH(CONCATENATE(Liste!$C$3,$B$1133,$B$1303),Data!$BO:$BO,0)-2,53),"")),"")</f>
        <v>Bez_Aus4_7</v>
      </c>
      <c r="C1323" s="38" t="str">
        <f ca="1">IF(D1321="","",4)</f>
        <v/>
      </c>
      <c r="D1323" s="35" t="str">
        <f ca="1">IFERROR(IF(AND(INDEX(Tab_DaBa[],MATCH(CONCATENATE(Liste!$C$3,$B$1133,$B$1303),Data!$BO:$BO,0)-2,53)&lt;&gt;"",INDEX(Tab_DaBa[],MATCH(CONCATENATE(Liste!$C$3,$B$1133,$B$1303),Data!$BO:$BO,0)-2,58)=""),INDEX(Tab_DaBa[],MATCH(CONCATENATE(Liste!$C$3,$B$1133,$B$1303),Data!$BO:$BO,0)-2,13),IF(INDEX(Tab_DaBa[],MATCH(CONCATENATE(Liste!$C$3,$B$1133,$B$1303),Data!$BO:$BO,0)-2,53)&lt;&gt;"",INDEX(Tab_DaBa[],MATCH(CONCATENATE(Liste!$C$3,$B$1133,$B$1303),Data!$BO:$BO,0)-2,58),"")),"")</f>
        <v/>
      </c>
      <c r="E1323" s="38" t="str">
        <f ca="1">IF(F1321="","",4)</f>
        <v/>
      </c>
      <c r="F1323" s="35" t="str">
        <f ca="1">IFERROR(IF(AND(INDEX(Tab_DaBa[],MATCH(CONCATENATE(Liste!$C$3,$B$1133,$B$1303),Data!$BO:$BO,0)-2,58)&lt;&gt;"",INDEX(Tab_DaBa[],MATCH(CONCATENATE(Liste!$C$3,$B$1133,$B$1303),Data!$BO:$BO,0)-2,63)=""),INDEX(Tab_DaBa[],MATCH(CONCATENATE(Liste!$C$3,$B$1133,$B$1303),Data!$BO:$BO,0)-2,13),IF(INDEX(Tab_DaBa[],MATCH(CONCATENATE(Liste!$C$3,$B$1133,$B$1303),Data!$BO:$BO,0)-2,58)&lt;&gt;"",INDEX(Tab_DaBa[],MATCH(CONCATENATE(Liste!$C$3,$B$1133,$B$1303),Data!$BO:$BO,0)-2,63),"")),"")</f>
        <v/>
      </c>
      <c r="G1323" s="38" t="str">
        <f ca="1">IF(H1321="","",4)</f>
        <v/>
      </c>
      <c r="H1323" s="35" t="str">
        <f ca="1">IFERROR(IF(INDEX(Tab_DaBa[],MATCH(CONCATENATE(Liste!$C$3,$B$1133,$B$1303),Data!$BO:$BO,0)-2,63)&lt;&gt;"",INDEX(Tab_DaBa[],MATCH(CONCATENATE(Liste!$C$3,$B$1133,$B$1303),Data!$BO:$BO,0)-2,13),""),"")</f>
        <v/>
      </c>
    </row>
    <row r="1324" spans="2:9" s="16" customFormat="1" ht="15.75">
      <c r="B1324" s="35" t="str">
        <f ca="1">IFERROR(IF(AND(INDEX(Tab_DaBa[],MATCH(CONCATENATE(Liste!$C$3,$B$1133,$B$1303),Data!$BO:$BO,0)-2,48)&lt;&gt;"",INDEX(Tab_DaBa[],MATCH(CONCATENATE(Liste!$C$3,$B$1133,$B$1303),Data!$BO:$BO,0)-2,53)=""),"Performance Level: "&amp;INDEX(Tab_DaBa[],MATCH(CONCATENATE(Liste!$C$3,$B$1133,$B$1303),Data!$BO:$BO,0)-2,15),IF(INDEX(Tab_DaBa[],MATCH(CONCATENATE(Liste!$C$3,$B$1133,$B$1303),Data!$BO:$BO,0)-2,48)&lt;&gt;"","Performance Level: "&amp;INDEX(Tab_DaBa[],MATCH(CONCATENATE(Liste!$C$3,$B$1133,$B$1303),Data!$BO:$BO,0)-2,55),"")),"")</f>
        <v>Performance Level: PL_Aus4_7</v>
      </c>
      <c r="C1324" s="39"/>
      <c r="D1324" s="35" t="str">
        <f ca="1">IFERROR(IF(AND(INDEX(Tab_DaBa[],MATCH(CONCATENATE(Liste!$C$3,$B$1133,$B$1303),Data!$BO:$BO,0)-2,53)&lt;&gt;"",INDEX(Tab_DaBa[],MATCH(CONCATENATE(Liste!$C$3,$B$1133,$B$1303),Data!$BO:$BO,0)-2,58)=""),"Performance Level: "&amp;INDEX(Tab_DaBa[],MATCH(CONCATENATE(Liste!$C$3,$B$1133,$B$1303),Data!$BO:$BO,0)-2,15),IF(INDEX(Tab_DaBa[],MATCH(CONCATENATE(Liste!$C$3,$B$1133,$B$1303),Data!$BO:$BO,0)-2,53)&lt;&gt;"","Performance Level: "&amp;INDEX(Tab_DaBa[],MATCH(CONCATENATE(Liste!$C$3,$B$1133,$B$1303),Data!$BO:$BO,0)-2,60),"")),"")</f>
        <v/>
      </c>
      <c r="E1324" s="37"/>
      <c r="F1324" s="35" t="str">
        <f ca="1">IFERROR(IF(AND(INDEX(Tab_DaBa[],MATCH(CONCATENATE(Liste!$C$3,$B$1133,$B$1303),Data!$BO:$BO,0)-2,58)&lt;&gt;"",INDEX(Tab_DaBa[],MATCH(CONCATENATE(Liste!$C$3,$B$1133,$B$1303),Data!$BO:$BO,0)-2,63)=""),"Performance Level: "&amp;INDEX(Tab_DaBa[],MATCH(CONCATENATE(Liste!$C$3,$B$1133,$B$1303),Data!$BO:$BO,0)-2,15),IF(INDEX(Tab_DaBa[],MATCH(CONCATENATE(Liste!$C$3,$B$1133,$B$1303),Data!$BO:$BO,0)-2,58)&lt;&gt;"","Performance Level: "&amp;INDEX(Tab_DaBa[],MATCH(CONCATENATE(Liste!$C$3,$B$1133,$B$1303),Data!$BO:$BO,0)-2,65),"")),"")</f>
        <v/>
      </c>
      <c r="G1324" s="39"/>
      <c r="H1324" s="35" t="str">
        <f ca="1">IFERROR(IF(INDEX(Tab_DaBa[],MATCH(CONCATENATE(Liste!$C$3,$B$1133,$B$1303),Data!$BO:$BO,0)-2,63)&lt;&gt;"","Performance Level: "&amp;INDEX(Tab_DaBa[],MATCH(CONCATENATE(Liste!$C$3,$B$1133,$B$1303),Data!$BO:$BO,0)-2,15),""),"")</f>
        <v/>
      </c>
    </row>
    <row r="1325" spans="2:9" s="16" customFormat="1" ht="15.75">
      <c r="B1325" s="35" t="str">
        <f ca="1">IFERROR(IF(AND(INDEX(Tab_DaBa[],MATCH(CONCATENATE(Liste!$C$3,$B$1133,$B$1303),Data!$BO:$BO,0)-2,48)&lt;&gt;"",INDEX(Tab_DaBa[],MATCH(CONCATENATE(Liste!$C$3,$B$1133,$B$1303),Data!$BO:$BO,0)-2,53)=""),"PFH [1/h] = "&amp;10^9*INDEX(Tab_DaBa[],MATCH(CONCATENATE(Liste!$C$3,$B$1133,$B$1303),Data!$BO:$BO,0)-2,16)&amp;"E-9",IF(INDEX(Tab_DaBa[],MATCH(CONCATENATE(Liste!$C$3,$B$1133,$B$1303),Data!$BO:$BO,0)-2,48)&lt;&gt;"","PFH [1/h] = "&amp;10^9*INDEX(Tab_DaBa[],MATCH(CONCATENATE(Liste!$C$3,$B$1133,$B$1303),Data!$BO:$BO,0)-2,56)&amp;"E-9","")),"")</f>
        <v>PFH [1/h] = 24,7E-9</v>
      </c>
      <c r="C1325" s="39"/>
      <c r="D1325" s="35" t="str">
        <f ca="1">IFERROR(IF(AND(INDEX(Tab_DaBa[],MATCH(CONCATENATE(Liste!$C$3,$B$1133,$B$1303),Data!$BO:$BO,0)-2,53)&lt;&gt;"",INDEX(Tab_DaBa[],MATCH(CONCATENATE(Liste!$C$3,$B$1133,$B$1303),Data!$BO:$BO,0)-2,58)=""),"PFH [1/h] = "&amp;10^9*INDEX(Tab_DaBa[],MATCH(CONCATENATE(Liste!$C$3,$B$1133,$B$1303),Data!$BO:$BO,0)-2,16)&amp;"E-9",IF(INDEX(Tab_DaBa[],MATCH(CONCATENATE(Liste!$C$3,$B$1133,$B$1303),Data!$BO:$BO,0)-2,53)&lt;&gt;"","PFH [1/h] = "&amp;10^9*INDEX(Tab_DaBa[],MATCH(CONCATENATE(Liste!$C$3,$B$1133,$B$1303),Data!$BO:$BO,0)-2,61)&amp;"E-9","")),"")</f>
        <v/>
      </c>
      <c r="E1325" s="37"/>
      <c r="F1325" s="35" t="str">
        <f ca="1">IFERROR(IF(AND(INDEX(Tab_DaBa[],MATCH(CONCATENATE(Liste!$C$3,$B$1133,$B$1303),Data!$BO:$BO,0)-2,58)&lt;&gt;"",INDEX(Tab_DaBa[],MATCH(CONCATENATE(Liste!$C$3,$B$1133,$B$1303),Data!$BO:$BO,0)-2,63)=""),"PFH [1/h] = "&amp;10^9*INDEX(Tab_DaBa[],MATCH(CONCATENATE(Liste!$C$3,$B$1133,$B$1303),Data!$BO:$BO,0)-2,16)&amp;"E-9",IF(INDEX(Tab_DaBa[],MATCH(CONCATENATE(Liste!$C$3,$B$1133,$B$1303),Data!$BO:$BO,0)-2,58)&lt;&gt;"","PFH [1/h] = "&amp;10^9*INDEX(Tab_DaBa[],MATCH(CONCATENATE(Liste!$C$3,$B$1133,$B$1303),Data!$BO:$BO,0)-2,66)&amp;"E-9","")),"")</f>
        <v/>
      </c>
      <c r="G1325" s="39"/>
      <c r="H1325" s="35" t="str">
        <f ca="1">IFERROR(IF(INDEX(Tab_DaBa[],MATCH(CONCATENATE(Liste!$C$3,$B$1133,$B$1303),Data!$BO:$BO,0)-2,63)&lt;&gt;"","PFH [1/h] = "&amp;10^9*INDEX(Tab_DaBa[],MATCH(CONCATENATE(Liste!$C$3,$B$1133,$B$1303),Data!$BO:$BO,0)-2,16)&amp;"E-9",""),"")</f>
        <v/>
      </c>
    </row>
    <row r="1326" spans="2:9" s="16" customFormat="1"/>
    <row r="1327" spans="2:9" s="16" customFormat="1">
      <c r="B1327" s="43" t="str">
        <f ca="1">IF(D1327="","","Erforderlich")</f>
        <v>Erforderlich</v>
      </c>
      <c r="D1327" s="44" t="str">
        <f ca="1">IFERROR("Performance Level: "&amp;INDEX(Tab_DaBa[],MATCH(CONCATENATE(Liste!$C$3,$B$1133,$B$1303),Data!$BO:$BO,0)-2,4),"")</f>
        <v>Performance Level: PLr_ges4_7</v>
      </c>
    </row>
    <row r="1328" spans="2:9" s="16" customFormat="1">
      <c r="B1328" s="45"/>
    </row>
    <row r="1329" spans="2:9" s="16" customFormat="1">
      <c r="B1329" s="46" t="str">
        <f ca="1">IF(D1329="","","Erreicht")</f>
        <v>Erreicht</v>
      </c>
      <c r="D1329" s="47" t="str">
        <f ca="1">IFERROR("Performance Level: "&amp;INDEX(Tab_DaBa[],MATCH(CONCATENATE(Liste!$C$3,$B$1133,$B$1303),Data!$BO:$BO,0)-2,5)&amp;"          PFH [1/h] = "&amp;10^9*INDEX(Tab_DaBa[],MATCH(CONCATENATE(Liste!$C$3,$B$1133,$B$1303),Data!$BO:$BO,0)-2,6)&amp;"E-9","")</f>
        <v>Performance Level: Pl_ges4_7          PFH [1/h] = 71,7E-9</v>
      </c>
    </row>
    <row r="1330" spans="2:9" s="16" customFormat="1"/>
    <row r="1331" spans="2:9" s="16" customFormat="1">
      <c r="B1331" s="42" t="str">
        <f ca="1">IFERROR(IF(8&gt;COUNTIF(Data!$BP:$BP,CONCATENATE(Liste!$C$3,$B$1133)),"",INDEX(Tab_DaBa[],MATCH(CONCATENATE(Liste!$C$3,$B$1133),Data!$BP:$BP,0)+5,3)),"")</f>
        <v>5.8 Test4 (E+8L+A)</v>
      </c>
    </row>
    <row r="1332" spans="2:9" s="16" customFormat="1"/>
    <row r="1333" spans="2:9" s="16" customFormat="1" ht="15.75">
      <c r="B1333" s="35" t="str">
        <f ca="1">IFERROR(INDEX(Tab_DaBa[],MATCH(CONCATENATE(Liste!$C$3,$B$1133,$B$1331),Data!$BO:$BO,0)-2,9),"")</f>
        <v>Eingang</v>
      </c>
      <c r="C1333" s="54"/>
      <c r="D1333" s="35" t="str">
        <f ca="1">IFERROR(IF(INDEX(Tab_DaBa[],MATCH(CONCATENATE(Liste!$C$3,$B$1133,$B$1331),Data!$BO:$BO,0)-2,18)=0,INDEX(Tab_DaBa[],MATCH(CONCATENATE(Liste!$C$3,$B$1133,$B$1331),Data!$BO:$BO,0)-2,14),INDEX(Tab_DaBa[],MATCH(CONCATENATE(Liste!$C$3,$B$1133,$B$1331),Data!$BO:$BO,0)-2,19)),"")</f>
        <v>Logik 01</v>
      </c>
      <c r="E1333" s="33"/>
      <c r="F1333" s="35" t="str">
        <f ca="1">IFERROR(IF(AND(INDEX(Tab_DaBa[],MATCH(CONCATENATE(Liste!$C$3,$B$1133,$B$1331),Data!$BO:$BO,0)-2,18)&lt;&gt;"",INDEX(Tab_DaBa[],MATCH(CONCATENATE(Liste!$C$3,$B$1133,$B$1331),Data!$BO:$BO,0)-2,23)=0),INDEX(Tab_DaBa[],MATCH(CONCATENATE(Liste!$C$3,$B$1133,$B$1331),Data!$BO:$BO,0)-2,14),IF(INDEX(Tab_DaBa[],MATCH(CONCATENATE(Liste!$C$3,$B$1133,$B$1331),Data!$BO:$BO,0)-2,23)&lt;&gt;"",INDEX(Tab_DaBa[],MATCH(CONCATENATE(Liste!$C$3,$B$1133,$B$1331),Data!$BO:$BO,0)-2,24),"")),"")</f>
        <v>Logik 02</v>
      </c>
      <c r="G1333" s="39"/>
      <c r="H1333" s="35" t="str">
        <f ca="1">IFERROR(IF(AND(INDEX(Tab_DaBa[],MATCH(CONCATENATE(Liste!$C$3,$B$1133,$B$1331),Data!$BO:$BO,0)-2,23)&lt;&gt;"",INDEX(Tab_DaBa[],MATCH(CONCATENATE(Liste!$C$3,$B$1133,$B$1331),Data!$BO:$BO,0)-2,28)=0),INDEX(Tab_DaBa[],MATCH(CONCATENATE(Liste!$C$3,$B$1133,$B$1331),Data!$BO:$BO,0)-2,14),IF(INDEX(Tab_DaBa[],MATCH(CONCATENATE(Liste!$C$3,$B$1133,$B$1331),Data!$BO:$BO,0)-2,23)&lt;&gt;"",INDEX(Tab_DaBa[],MATCH(CONCATENATE(Liste!$C$3,$B$1133,$B$1331),Data!$BO:$BO,0)-2,29),"")),"")</f>
        <v>Logik 03</v>
      </c>
      <c r="I1333" s="39"/>
    </row>
    <row r="1334" spans="2:9" s="16" customFormat="1" ht="15.75">
      <c r="B1334" s="35" t="str">
        <f ca="1">IFERROR(INDEX(Tab_DaBa[],MATCH(CONCATENATE(Liste!$C$3,$B$1133,$B$1331),Data!$BO:$BO,0)-2,7),"")</f>
        <v>eeee-33_8</v>
      </c>
      <c r="C1334" s="54"/>
      <c r="D1334" s="35" t="str">
        <f ca="1">IFERROR(IF(INDEX(Tab_DaBa[],MATCH(CONCATENATE(Liste!$C$3,$B$1133,$B$1331),Data!$BO:$BO,0)-2,18)="",INDEX(Tab_DaBa[],MATCH(CONCATENATE(Liste!$C$3,$B$1133,$B$1331),Data!$BO:$BO,0)-2,12),INDEX(Tab_DaBa[],MATCH(CONCATENATE(Liste!$C$3,$B$1133,$B$1331),Data!$BO:$BO,0)-2,17)),"")</f>
        <v>Log01-04_08</v>
      </c>
      <c r="E1334" s="36"/>
      <c r="F1334" s="35" t="str">
        <f ca="1">IFERROR(IF(AND(INDEX(Tab_DaBa[],MATCH(CONCATENATE(Liste!$C$3,$B$1133,$B$1331),Data!$BO:$BO,0)-2,18)&lt;&gt;"",INDEX(Tab_DaBa[],MATCH(CONCATENATE(Liste!$C$3,$B$1133,$B$1331),Data!$BO:$BO,0)-2,23)=0),INDEX(Tab_DaBa[],MATCH(CONCATENATE(Liste!$C$3,$B$1133,$B$1331),Data!$BO:$BO,0)-2,12),IF(INDEX(Tab_DaBa[],MATCH(CONCATENATE(Liste!$C$3,$B$1133,$B$1331),Data!$BO:$BO,0)-2,23)&lt;&gt;"",INDEX(Tab_DaBa[],MATCH(CONCATENATE(Liste!$C$3,$B$1133,$B$1331),Data!$BO:$BO,0)-2,22),"")),"")</f>
        <v>Lo04-04_08</v>
      </c>
      <c r="G1334" s="39"/>
      <c r="H1334" s="35" t="str">
        <f ca="1">IFERROR(IF(AND(INDEX(Tab_DaBa[],MATCH(CONCATENATE(Liste!$C$3,$B$1133,$B$1331),Data!$BO:$BO,0)-2,23)&lt;&gt;"",INDEX(Tab_DaBa[],MATCH(CONCATENATE(Liste!$C$3,$B$1133,$B$1331),Data!$BO:$BO,0)-2,28)=0),INDEX(Tab_DaBa[],MATCH(CONCATENATE(Liste!$C$3,$B$1133,$B$1331),Data!$BO:$BO,0)-2,12),IF(INDEX(Tab_DaBa[],MATCH(CONCATENATE(Liste!$C$3,$B$1133,$B$1331),Data!$BO:$BO,0)-2,23)&lt;&gt;"",INDEX(Tab_DaBa[],MATCH(CONCATENATE(Liste!$C$3,$B$1133,$B$1331),Data!$BO:$BO,0)-2,27),"")),"")</f>
        <v>Lo04-44_08</v>
      </c>
      <c r="I1334" s="39"/>
    </row>
    <row r="1335" spans="2:9" s="16" customFormat="1" ht="15.75">
      <c r="B1335" s="35" t="str">
        <f ca="1">IFERROR(INDEX(Tab_DaBa[],MATCH(CONCATENATE(Liste!$C$3,$B$1133,$B$1331),Data!$BO:$BO,0)-2,8),"")</f>
        <v>Bez_Ein4_8</v>
      </c>
      <c r="C1335" s="40">
        <f ca="1">IF(D1333="","",4)</f>
        <v>4</v>
      </c>
      <c r="D1335" s="35" t="str">
        <f ca="1">IFERROR(IF(INDEX(Tab_DaBa[],MATCH(CONCATENATE(Liste!$C$3,$B$1133,$B$1331),Data!$BO:$BO,0)-2,18)="",INDEX(Tab_DaBa[],MATCH(CONCATENATE(Liste!$C$3,$B$1133,$B$1331),Data!$BO:$BO,0)-2,13),INDEX(Tab_DaBa[],MATCH(CONCATENATE(Liste!$C$3,$B$1133,$B$1331),Data!$BO:$BO,0)-2,18)),"")</f>
        <v>Bez_Log01_04_08</v>
      </c>
      <c r="E1335" s="40">
        <f ca="1">IF(F1333="","",4)</f>
        <v>4</v>
      </c>
      <c r="F1335" s="35" t="str">
        <f ca="1">IFERROR(IF(AND(INDEX(Tab_DaBa[],MATCH(CONCATENATE(Liste!$C$3,$B$1133,$B$1331),Data!$BO:$BO,0)-2,18)&lt;&gt;"",INDEX(Tab_DaBa[],MATCH(CONCATENATE(Liste!$C$3,$B$1133,$B$1331),Data!$BO:$BO,0)-2,23)=""),INDEX(Tab_DaBa[],MATCH(CONCATENATE(Liste!$C$3,$B$1133,$B$1331),Data!$BO:$BO,0)-2,13),IF(INDEX(Tab_DaBa[],MATCH(CONCATENATE(Liste!$C$3,$B$1133,$B$1331),Data!$BO:$BO,0)-2,23)&lt;&gt;"",INDEX(Tab_DaBa[],MATCH(CONCATENATE(Liste!$C$3,$B$1133,$B$1331),Data!$BO:$BO,0)-2,23),"")),"")</f>
        <v>Bez_Lo04_08</v>
      </c>
      <c r="G1335" s="38">
        <f ca="1">IF(H1333="","",4)</f>
        <v>4</v>
      </c>
      <c r="H1335" s="35" t="str">
        <f ca="1">IFERROR(IF(AND(INDEX(Tab_DaBa[],MATCH(CONCATENATE(Liste!$C$3,$B$1133,$B$1331),Data!$BO:$BO,0)-2,23)&lt;&gt;"",INDEX(Tab_DaBa[],MATCH(CONCATENATE(Liste!$C$3,$B$1133,$B$1331),Data!$BO:$BO,0)-2,28)=""),INDEX(Tab_DaBa[],MATCH(CONCATENATE(Liste!$C$3,$B$1133,$B$1331),Data!$BO:$BO,0)-2,13),IF(INDEX(Tab_DaBa[],MATCH(CONCATENATE(Liste!$C$3,$B$1133,$B$1331),Data!$BO:$BO,0)-2,23)&lt;&gt;"",INDEX(Tab_DaBa[],MATCH(CONCATENATE(Liste!$C$3,$B$1133,$B$1331),Data!$BO:$BO,0)-2,28),"")),"")</f>
        <v>Bez_Lo04_08</v>
      </c>
      <c r="I1335" s="38">
        <f ca="1">IF(B1341="","",6)</f>
        <v>6</v>
      </c>
    </row>
    <row r="1336" spans="2:9" s="16" customFormat="1" ht="15.75">
      <c r="B1336" s="35" t="str">
        <f ca="1">IFERROR("Performance Level: "&amp;INDEX(Tab_DaBa[],MATCH(CONCATENATE(Liste!$C$3,$B$1133,$B$1331),Data!$BO:$BO,0)-2,10),"")</f>
        <v>Performance Level: PL_Ein4_8</v>
      </c>
      <c r="C1336" s="54"/>
      <c r="D1336" s="35" t="str">
        <f ca="1">IFERROR(IF(INDEX(Tab_DaBa[],MATCH(CONCATENATE(Liste!$C$3,$B$1133,$B$1331),Data!$BO:$BO,0)-2,18)="","Performance Level: "&amp;INDEX(Tab_DaBa[],MATCH(CONCATENATE(Liste!$C$3,$B$1133,$B$1331),Data!$BO:$BO,0)-2,15),"Performance Level: "&amp;INDEX(Tab_DaBa[],MATCH(CONCATENATE(Liste!$C$3,$B$1133,$B$1331),Data!$BO:$BO,0)-2,20)),"")</f>
        <v>Performance Level: PL_Log01_04_08</v>
      </c>
      <c r="E1336" s="36"/>
      <c r="F1336" s="35" t="str">
        <f ca="1">IFERROR(IF(AND(INDEX(Tab_DaBa[],MATCH(CONCATENATE(Liste!$C$3,$B$1133,$B$1331),Data!$BO:$BO,0)-2,18)&lt;&gt;"",INDEX(Tab_DaBa[],MATCH(CONCATENATE(Liste!$C$3,$B$1133,$B$1331),Data!$BO:$BO,0)-2,23)=""),"Performance Level: "&amp;INDEX(Tab_DaBa[],MATCH(CONCATENATE(Liste!$C$3,$B$1133,$B$1331),Data!$BO:$BO,0)-2,15),IF(INDEX(Tab_DaBa[],MATCH(CONCATENATE(Liste!$C$3,$B$1133,$B$1331),Data!$BO:$BO,0)-2,23)&lt;&gt;"","Performance Level: "&amp;INDEX(Tab_DaBa[],MATCH(CONCATENATE(Liste!$C$3,$B$1133,$B$1331),Data!$BO:$BO,0)-2,25),"")),"")</f>
        <v>Performance Level: PL_Lo04_08</v>
      </c>
      <c r="G1336" s="39"/>
      <c r="H1336" s="35" t="str">
        <f ca="1">IFERROR(IF(AND(INDEX(Tab_DaBa[],MATCH(CONCATENATE(Liste!$C$3,$B$1133,$B$1331),Data!$BO:$BO,0)-2,23)&lt;&gt;"",INDEX(Tab_DaBa[],MATCH(CONCATENATE(Liste!$C$3,$B$1133,$B$1331),Data!$BO:$BO,0)-2,28)=""),"Performance Level: "&amp;INDEX(Tab_DaBa[],MATCH(CONCATENATE(Liste!$C$3,$B$1133,$B$1331),Data!$BO:$BO,0)-2,15),IF(INDEX(Tab_DaBa[],MATCH(CONCATENATE(Liste!$C$3,$B$1133,$B$1331),Data!$BO:$BO,0)-2,23)&lt;&gt;"","Performance Level: "&amp;INDEX(Tab_DaBa[],MATCH(CONCATENATE(Liste!$C$3,$B$1133,$B$1331),Data!$BO:$BO,0)-2,30),"")),"")</f>
        <v>Performance Level: PL_Lo04_08</v>
      </c>
      <c r="I1336" s="38"/>
    </row>
    <row r="1337" spans="2:9" s="16" customFormat="1" ht="15.75">
      <c r="B1337" s="53" t="str">
        <f ca="1">IFERROR("PFH [1/h] = "&amp;10^9*INDEX(Tab_DaBa[],MATCH(CONCATENATE(Liste!$C$3,$B$1133,$B$1331),Data!$BO:$BO,0)-2,11)&amp;"E-9","")</f>
        <v>PFH [1/h] = 42,9E-9</v>
      </c>
      <c r="C1337" s="54"/>
      <c r="D1337" s="35" t="str">
        <f ca="1">IFERROR(IF(INDEX(Tab_DaBa[],MATCH(CONCATENATE(Liste!$C$3,$B$1133,$B$1331),Data!$BO:$BO,0)-2,18)="","PFH [1/h] = "&amp;10^9*INDEX(Tab_DaBa[],MATCH(CONCATENATE(Liste!$C$3,$B$1133,$B$1331),Data!$BO:$BO,0)-2,16)&amp;"E-9","PFH [1/h] = "&amp;10^9*INDEX(Tab_DaBa[],MATCH(CONCATENATE(Liste!$C$3,$B$1133,$B$1331),Data!$BO:$BO,0)-2,21)&amp;"E-9"),"")</f>
        <v>PFH [1/h] = 4,19E-9</v>
      </c>
      <c r="E1337" s="36"/>
      <c r="F1337" s="35" t="str">
        <f ca="1">IFERROR(IF(AND(INDEX(Tab_DaBa[],MATCH(CONCATENATE(Liste!$C$3,$B$1133,$B$1331),Data!$BO:$BO,0)-2,18)&lt;&gt;"",INDEX(Tab_DaBa[],MATCH(CONCATENATE(Liste!$C$3,$B$1133,$B$1331),Data!$BO:$BO,0)-2,23)=""),"PFH [1/h] = "&amp;10^9*INDEX(Tab_DaBa[],MATCH(CONCATENATE(Liste!$C$3,$B$1133,$B$1331),Data!$BO:$BO,0)-2,16)&amp;"E-9",IF(INDEX(Tab_DaBa[],MATCH(CONCATENATE(Liste!$C$3,$B$1133,$B$1331),Data!$BO:$BO,0)-2,23)&lt;&gt;"","PFH [1/h] = "&amp;10^9*INDEX(Tab_DaBa[],MATCH(CONCATENATE(Liste!$C$3,$B$1133,$B$1331),Data!$BO:$BO,0)-2,26)&amp;"E-9","")),"")</f>
        <v>PFH [1/h] = 4,19E-9</v>
      </c>
      <c r="G1337" s="39"/>
      <c r="H1337" s="35" t="str">
        <f ca="1">IFERROR(IF(AND(INDEX(Tab_DaBa[],MATCH(CONCATENATE(Liste!$C$3,$B$1133,$B$1331),Data!$BO:$BO,0)-2,23)&lt;&gt;"",INDEX(Tab_DaBa[],MATCH(CONCATENATE(Liste!$C$3,$B$1133,$B$1331),Data!$BO:$BO,0)-2,28)=""),"PFH [1/h] = "&amp;10^9*INDEX(Tab_DaBa[],MATCH(CONCATENATE(Liste!$C$3,$B$1133,$B$1331),Data!$BO:$BO,0)-2,16)&amp;"E-9",IF(INDEX(Tab_DaBa[],MATCH(CONCATENATE(Liste!$C$3,$B$1133,$B$1331),Data!$BO:$BO,0)-2,23)&lt;&gt;"","PFH [1/h] = "&amp;10^9*INDEX(Tab_DaBa[],MATCH(CONCATENATE(Liste!$C$3,$B$1133,$B$1331),Data!$BO:$BO,0)-2,31)&amp;"E-9","")),"")</f>
        <v>PFH [1/h] = 4,19E-9</v>
      </c>
      <c r="I1337" s="39"/>
    </row>
    <row r="1338" spans="2:9" s="16" customFormat="1">
      <c r="B1338" s="33"/>
      <c r="C1338" s="34"/>
      <c r="D1338" s="33"/>
      <c r="E1338" s="33"/>
      <c r="F1338" s="33"/>
      <c r="G1338" s="33"/>
      <c r="H1338" s="33"/>
      <c r="I1338" s="33"/>
    </row>
    <row r="1339" spans="2:9" s="16" customFormat="1" ht="15.75">
      <c r="B1339" s="38">
        <f ca="1">IF(B1341="","",6)</f>
        <v>6</v>
      </c>
      <c r="C1339" s="34"/>
      <c r="D1339" s="38">
        <f ca="1">IF(B1341="","",3)</f>
        <v>3</v>
      </c>
      <c r="E1339" s="33"/>
      <c r="F1339" s="38">
        <f ca="1">IF(B1341="","",3)</f>
        <v>3</v>
      </c>
      <c r="G1339" s="33"/>
      <c r="H1339" s="38">
        <f ca="1">IF(B1341="","",3)</f>
        <v>3</v>
      </c>
      <c r="I1339" s="33"/>
    </row>
    <row r="1340" spans="2:9" s="16" customFormat="1" ht="15.75">
      <c r="B1340" s="39"/>
      <c r="C1340" s="33"/>
      <c r="D1340" s="33"/>
      <c r="E1340" s="33"/>
      <c r="F1340" s="33"/>
      <c r="G1340" s="33"/>
      <c r="H1340" s="33"/>
      <c r="I1340" s="33"/>
    </row>
    <row r="1341" spans="2:9" s="16" customFormat="1" ht="15.75">
      <c r="B1341" s="35" t="str">
        <f ca="1">IFERROR(IF(AND(INDEX(Tab_DaBa[],MATCH(CONCATENATE(Liste!$C$3,$B$1133,$B$1331),Data!$BO:$BO,0)-2,28)&lt;&gt;"",INDEX(Tab_DaBa[],MATCH(CONCATENATE(Liste!$C$3,$B$1133,$B$1331),Data!$BO:$BO,0)-2,33)=0),INDEX(Tab_DaBa[],MATCH(CONCATENATE(Liste!$C$3,$B$1133,$B$1331),Data!$BO:$BO,0)-2,14),IF(INDEX(Tab_DaBa[],MATCH(CONCATENATE(Liste!$C$3,$B$1133,$B$1331),Data!$BO:$BO,0)-2,28)&lt;&gt;"",INDEX(Tab_DaBa[],MATCH(CONCATENATE(Liste!$C$3,$B$1133,$B$1331),Data!$BO:$BO,0)-2,34),"")),"")</f>
        <v>Logik 04</v>
      </c>
      <c r="C1341" s="39"/>
      <c r="D1341" s="35" t="str">
        <f ca="1">IFERROR(IF(AND(INDEX(Tab_DaBa[],MATCH(CONCATENATE(Liste!$C$3,$B$1133,$B$1331),Data!$BO:$BO,0)-2,33)&lt;&gt;"",INDEX(Tab_DaBa[],MATCH(CONCATENATE(Liste!$C$3,$B$1133,$B$1331),Data!$BO:$BO,0)-2,38)=0),INDEX(Tab_DaBa[],MATCH(CONCATENATE(Liste!$C$3,$B$1133,$B$1331),Data!$BO:$BO,0)-2,14),IF(INDEX(Tab_DaBa[],MATCH(CONCATENATE(Liste!$C$3,$B$1133,$B$1331),Data!$BO:$BO,0)-2,33)&lt;&gt;"",INDEX(Tab_DaBa[],MATCH(CONCATENATE(Liste!$C$3,$B$1133,$B$1331),Data!$BO:$BO,0)-2,39),"")),"")</f>
        <v>Logik 06</v>
      </c>
      <c r="E1341" s="33"/>
      <c r="F1341" s="35" t="str">
        <f ca="1">IFERROR(IF(AND(INDEX(Tab_DaBa[],MATCH(CONCATENATE(Liste!$C$3,$B$1133,$B$1331),Data!$BO:$BO,0)-2,38)&lt;&gt;"",INDEX(Tab_DaBa[],MATCH(CONCATENATE(Liste!$C$3,$B$1133,$B$1331),Data!$BO:$BO,0)-2,43)=0),INDEX(Tab_DaBa[],MATCH(CONCATENATE(Liste!$C$3,$B$1133,$B$1331),Data!$BO:$BO,0)-2,14),IF(INDEX(Tab_DaBa[],MATCH(CONCATENATE(Liste!$C$3,$B$1133,$B$1331),Data!$BO:$BO,0)-2,38)&lt;&gt;"",INDEX(Tab_DaBa[],MATCH(CONCATENATE(Liste!$C$3,$B$1133,$B$1331),Data!$BO:$BO,0)-2,44),"")),"")</f>
        <v>Logik 06</v>
      </c>
      <c r="G1341" s="39"/>
      <c r="H1341" s="35" t="str">
        <f ca="1">IFERROR(IF(AND(INDEX(Tab_DaBa[],MATCH(CONCATENATE(Liste!$C$3,$B$1133,$B$1331),Data!$BO:$BO,0)-2,43)&lt;&gt;"",INDEX(Tab_DaBa[],MATCH(CONCATENATE(Liste!$C$3,$B$1133,$B$1331),Data!$BO:$BO,0)-2,48)=0),INDEX(Tab_DaBa[],MATCH(CONCATENATE(Liste!$C$3,$B$1133,$B$1331),Data!$BO:$BO,0)-2,14),IF(INDEX(Tab_DaBa[],MATCH(CONCATENATE(Liste!$C$3,$B$1133,$B$1331),Data!$BO:$BO,0)-2,43)&lt;&gt;"",INDEX(Tab_DaBa[],MATCH(CONCATENATE(Liste!$C$3,$B$1133,$B$1331),Data!$BO:$BO,0)-2,49),"")),"")</f>
        <v>Logik 07</v>
      </c>
      <c r="I1341" s="39"/>
    </row>
    <row r="1342" spans="2:9" s="16" customFormat="1" ht="15.75">
      <c r="B1342" s="35" t="str">
        <f ca="1">IFERROR(IF(AND(INDEX(Tab_DaBa[],MATCH(CONCATENATE(Liste!$C$3,$B$1133,$B$1331),Data!$BO:$BO,0)-2,28)&lt;&gt;"",INDEX(Tab_DaBa[],MATCH(CONCATENATE(Liste!$C$3,$B$1133,$B$1331),Data!$BO:$BO,0)-2,33)=0),INDEX(Tab_DaBa[],MATCH(CONCATENATE(Liste!$C$3,$B$1133,$B$1331),Data!$BO:$BO,0)-2,12),IF(INDEX(Tab_DaBa[],MATCH(CONCATENATE(Liste!$C$3,$B$1133,$B$1331),Data!$BO:$BO,0)-2,28)&lt;&gt;"",INDEX(Tab_DaBa[],MATCH(CONCATENATE(Liste!$C$3,$B$1133,$B$1331),Data!$BO:$BO,0)-2,32),"")),"")</f>
        <v>Lo04-44_08</v>
      </c>
      <c r="C1342" s="39"/>
      <c r="D1342" s="35" t="str">
        <f ca="1">IFERROR(IF(AND(INDEX(Tab_DaBa[],MATCH(CONCATENATE(Liste!$C$3,$B$1133,$B$1331),Data!$BO:$BO,0)-2,33)&lt;&gt;"",INDEX(Tab_DaBa[],MATCH(CONCATENATE(Liste!$C$3,$B$1133,$B$1331),Data!$BO:$BO,0)-2,38)=0),INDEX(Tab_DaBa[],MATCH(CONCATENATE(Liste!$C$3,$B$1133,$B$1331),Data!$BO:$BO,0)-2,12),IF(INDEX(Tab_DaBa[],MATCH(CONCATENATE(Liste!$C$3,$B$1133,$B$1331),Data!$BO:$BO,0)-2,33)&lt;&gt;"",INDEX(Tab_DaBa[],MATCH(CONCATENATE(Liste!$C$3,$B$1133,$B$1331),Data!$BO:$BO,0)-2,37),"")),"")</f>
        <v>Lo04-44_08</v>
      </c>
      <c r="E1342" s="37"/>
      <c r="F1342" s="35" t="str">
        <f ca="1">IFERROR(IF(AND(INDEX(Tab_DaBa[],MATCH(CONCATENATE(Liste!$C$3,$B$1133,$B$1331),Data!$BO:$BO,0)-2,38)&lt;&gt;"",INDEX(Tab_DaBa[],MATCH(CONCATENATE(Liste!$C$3,$B$1133,$B$1331),Data!$BO:$BO,0)-2,43)=0),INDEX(Tab_DaBa[],MATCH(CONCATENATE(Liste!$C$3,$B$1133,$B$1331),Data!$BO:$BO,0)-2,12),IF(INDEX(Tab_DaBa[],MATCH(CONCATENATE(Liste!$C$3,$B$1133,$B$1331),Data!$BO:$BO,0)-2,38)&lt;&gt;"",INDEX(Tab_DaBa[],MATCH(CONCATENATE(Liste!$C$3,$B$1133,$B$1331),Data!$BO:$BO,0)-2,42),"")),"")</f>
        <v>Lo03-33_08</v>
      </c>
      <c r="G1342" s="39"/>
      <c r="H1342" s="35" t="str">
        <f ca="1">IFERROR(IF(AND(INDEX(Tab_DaBa[],MATCH(CONCATENATE(Liste!$C$3,$B$1133,$B$1331),Data!$BO:$BO,0)-2,43)&lt;&gt;"",INDEX(Tab_DaBa[],MATCH(CONCATENATE(Liste!$C$3,$B$1133,$B$1331),Data!$BO:$BO,0)-2,48)=0),INDEX(Tab_DaBa[],MATCH(CONCATENATE(Liste!$C$3,$B$1133,$B$1331),Data!$BO:$BO,0)-2,12),IF(INDEX(Tab_DaBa[],MATCH(CONCATENATE(Liste!$C$3,$B$1133,$B$1331),Data!$BO:$BO,0)-2,43)&lt;&gt;"",INDEX(Tab_DaBa[],MATCH(CONCATENATE(Liste!$C$3,$B$1133,$B$1331),Data!$BO:$BO,0)-2,47),"")),"")</f>
        <v>Lo03-33_08</v>
      </c>
      <c r="I1342" s="39"/>
    </row>
    <row r="1343" spans="2:9" s="16" customFormat="1" ht="15.75">
      <c r="B1343" s="35" t="str">
        <f ca="1">IFERROR(IF(AND(INDEX(Tab_DaBa[],MATCH(CONCATENATE(Liste!$C$3,$B$1133,$B$1331),Data!$BO:$BO,0)-2,28)&lt;&gt;"",INDEX(Tab_DaBa[],MATCH(CONCATENATE(Liste!$C$3,$B$1133,$B$1331),Data!$BO:$BO,0)-2,33)=""),INDEX(Tab_DaBa[],MATCH(CONCATENATE(Liste!$C$3,$B$1133,$B$1331),Data!$BO:$BO,0)-2,13),IF(INDEX(Tab_DaBa[],MATCH(CONCATENATE(Liste!$C$3,$B$1133,$B$1331),Data!$BO:$BO,0)-2,28)&lt;&gt;"",INDEX(Tab_DaBa[],MATCH(CONCATENATE(Liste!$C$3,$B$1133,$B$1331),Data!$BO:$BO,0)-2,33),"")),"")</f>
        <v>Bez_Lo04_08</v>
      </c>
      <c r="C1343" s="38">
        <f ca="1">IF(D1341="","",4)</f>
        <v>4</v>
      </c>
      <c r="D1343" s="35" t="str">
        <f ca="1">IFERROR(IF(AND(INDEX(Tab_DaBa[],MATCH(CONCATENATE(Liste!$C$3,$B$1133,$B$1331),Data!$BO:$BO,0)-2,33)&lt;&gt;"",INDEX(Tab_DaBa[],MATCH(CONCATENATE(Liste!$C$3,$B$1133,$B$1331),Data!$BO:$BO,0)-2,38)=""),INDEX(Tab_DaBa[],MATCH(CONCATENATE(Liste!$C$3,$B$1133,$B$1331),Data!$BO:$BO,0)-2,13),IF(INDEX(Tab_DaBa[],MATCH(CONCATENATE(Liste!$C$3,$B$1133,$B$1331),Data!$BO:$BO,0)-2,33)&lt;&gt;"",INDEX(Tab_DaBa[],MATCH(CONCATENATE(Liste!$C$3,$B$1133,$B$1331),Data!$BO:$BO,0)-2,38),"")),"")</f>
        <v>Bez_Lo03_08</v>
      </c>
      <c r="E1343" s="38">
        <f ca="1">IF(F1341="","",4)</f>
        <v>4</v>
      </c>
      <c r="F1343" s="35" t="str">
        <f ca="1">IFERROR(IF(AND(INDEX(Tab_DaBa[],MATCH(CONCATENATE(Liste!$C$3,$B$1133,$B$1331),Data!$BO:$BO,0)-2,38)&lt;&gt;"",INDEX(Tab_DaBa[],MATCH(CONCATENATE(Liste!$C$3,$B$1133,$B$1331),Data!$BO:$BO,0)-2,43)=""),INDEX(Tab_DaBa[],MATCH(CONCATENATE(Liste!$C$3,$B$1133,$B$1331),Data!$BO:$BO,0)-2,13),IF(INDEX(Tab_DaBa[],MATCH(CONCATENATE(Liste!$C$3,$B$1133,$B$1331),Data!$BO:$BO,0)-2,38)&lt;&gt;"",INDEX(Tab_DaBa[],MATCH(CONCATENATE(Liste!$C$3,$B$1133,$B$1331),Data!$BO:$BO,0)-2,43),"")),"")</f>
        <v>Bez_Lo03_08</v>
      </c>
      <c r="G1343" s="38">
        <f ca="1">IF(H1341="","",4)</f>
        <v>4</v>
      </c>
      <c r="H1343" s="35" t="str">
        <f ca="1">IFERROR(IF(AND(INDEX(Tab_DaBa[],MATCH(CONCATENATE(Liste!$C$3,$B$1133,$B$1331),Data!$BO:$BO,0)-2,43)&lt;&gt;"",INDEX(Tab_DaBa[],MATCH(CONCATENATE(Liste!$C$3,$B$1133,$B$1331),Data!$BO:$BO,0)-2,48)=""),INDEX(Tab_DaBa[],MATCH(CONCATENATE(Liste!$C$3,$B$1133,$B$1331),Data!$BO:$BO,0)-2,13),IF(INDEX(Tab_DaBa[],MATCH(CONCATENATE(Liste!$C$3,$B$1133,$B$1331),Data!$BO:$BO,0)-2,43)&lt;&gt;"",INDEX(Tab_DaBa[],MATCH(CONCATENATE(Liste!$C$3,$B$1133,$B$1331),Data!$BO:$BO,0)-2,48),"")),"")</f>
        <v>Bez_Lo03_08</v>
      </c>
      <c r="I1343" s="38">
        <f ca="1">IF(B1349="","",6)</f>
        <v>6</v>
      </c>
    </row>
    <row r="1344" spans="2:9" s="16" customFormat="1" ht="15.75">
      <c r="B1344" s="35" t="str">
        <f ca="1">IFERROR(IF(AND(INDEX(Tab_DaBa[],MATCH(CONCATENATE(Liste!$C$3,$B$1133,$B$1331),Data!$BO:$BO,0)-2,28)&lt;&gt;"",INDEX(Tab_DaBa[],MATCH(CONCATENATE(Liste!$C$3,$B$1133,$B$1331),Data!$BO:$BO,0)-2,33)=""),"Performance Level: "&amp;INDEX(Tab_DaBa[],MATCH(CONCATENATE(Liste!$C$3,$B$1133,$B$1331),Data!$BO:$BO,0)-2,15),IF(INDEX(Tab_DaBa[],MATCH(CONCATENATE(Liste!$C$3,$B$1133,$B$1331),Data!$BO:$BO,0)-2,28)&lt;&gt;"","Performance Level: "&amp;INDEX(Tab_DaBa[],MATCH(CONCATENATE(Liste!$C$3,$B$1133,$B$1331),Data!$BO:$BO,0)-2,35),"")),"")</f>
        <v>Performance Level: PL_Lo04_08</v>
      </c>
      <c r="C1344" s="39"/>
      <c r="D1344" s="35" t="str">
        <f ca="1">IFERROR(IF(AND(INDEX(Tab_DaBa[],MATCH(CONCATENATE(Liste!$C$3,$B$1133,$B$1331),Data!$BO:$BO,0)-2,33)&lt;&gt;"",INDEX(Tab_DaBa[],MATCH(CONCATENATE(Liste!$C$3,$B$1133,$B$1331),Data!$BO:$BO,0)-2,38)=""),"Performance Level: "&amp;INDEX(Tab_DaBa[],MATCH(CONCATENATE(Liste!$C$3,$B$1133,$B$1331),Data!$BO:$BO,0)-2,15),IF(INDEX(Tab_DaBa[],MATCH(CONCATENATE(Liste!$C$3,$B$1133,$B$1331),Data!$BO:$BO,0)-2,33)&lt;&gt;"","Performance Level: "&amp;INDEX(Tab_DaBa[],MATCH(CONCATENATE(Liste!$C$3,$B$1133,$B$1331),Data!$BO:$BO,0)-2,40),"")),"")</f>
        <v>Performance Level: PL_Lo03_8</v>
      </c>
      <c r="E1344" s="37"/>
      <c r="F1344" s="35" t="str">
        <f ca="1">IFERROR(IF(AND(INDEX(Tab_DaBa[],MATCH(CONCATENATE(Liste!$C$3,$B$1133,$B$1331),Data!$BO:$BO,0)-2,38)&lt;&gt;"",INDEX(Tab_DaBa[],MATCH(CONCATENATE(Liste!$C$3,$B$1133,$B$1331),Data!$BO:$BO,0)-2,43)=""),"Performance Level: "&amp;INDEX(Tab_DaBa[],MATCH(CONCATENATE(Liste!$C$3,$B$1133,$B$1331),Data!$BO:$BO,0)-2,15),IF(INDEX(Tab_DaBa[],MATCH(CONCATENATE(Liste!$C$3,$B$1133,$B$1331),Data!$BO:$BO,0)-2,38)&lt;&gt;"","Performance Level: "&amp;INDEX(Tab_DaBa[],MATCH(CONCATENATE(Liste!$C$3,$B$1133,$B$1331),Data!$BO:$BO,0)-2,45),"")),"")</f>
        <v>Performance Level: PL_Lo03_08</v>
      </c>
      <c r="G1344" s="39"/>
      <c r="H1344" s="35" t="str">
        <f ca="1">IFERROR(IF(AND(INDEX(Tab_DaBa[],MATCH(CONCATENATE(Liste!$C$3,$B$1133,$B$1331),Data!$BO:$BO,0)-2,43)&lt;&gt;"",INDEX(Tab_DaBa[],MATCH(CONCATENATE(Liste!$C$3,$B$1133,$B$1331),Data!$BO:$BO,0)-2,48)=""),"Performance Level: "&amp;INDEX(Tab_DaBa[],MATCH(CONCATENATE(Liste!$C$3,$B$1133,$B$1331),Data!$BO:$BO,0)-2,15),IF(INDEX(Tab_DaBa[],MATCH(CONCATENATE(Liste!$C$3,$B$1133,$B$1331),Data!$BO:$BO,0)-2,43)&lt;&gt;"","Performance Level: "&amp;INDEX(Tab_DaBa[],MATCH(CONCATENATE(Liste!$C$3,$B$1133,$B$1331),Data!$BO:$BO,0)-2,50),"")),"")</f>
        <v>Performance Level: PL_Lo03_08</v>
      </c>
      <c r="I1344" s="39"/>
    </row>
    <row r="1345" spans="2:9" s="16" customFormat="1" ht="15.75">
      <c r="B1345" s="35" t="str">
        <f ca="1">IFERROR(IF(AND(INDEX(Tab_DaBa[],MATCH(CONCATENATE(Liste!$C$3,$B$1133,$B$1331),Data!$BO:$BO,0)-2,28)&lt;&gt;"",INDEX(Tab_DaBa[],MATCH(CONCATENATE(Liste!$C$3,$B$1133,$B$1331),Data!$BO:$BO,0)-2,33)=""),"PFH [1/h] = "&amp;10^9*INDEX(Tab_DaBa[],MATCH(CONCATENATE(Liste!$C$3,$B$1133,$B$1331),Data!$BO:$BO,0)-2,16)&amp;"E-9",IF(INDEX(Tab_DaBa[],MATCH(CONCATENATE(Liste!$C$3,$B$1133,$B$1331),Data!$BO:$BO,0)-2,28)&lt;&gt;"","PFH [1/h] = "&amp;10^9*INDEX(Tab_DaBa[],MATCH(CONCATENATE(Liste!$C$3,$B$1133,$B$1331),Data!$BO:$BO,0)-2,36)&amp;"E-9","")),"")</f>
        <v>PFH [1/h] = 4,19E-9</v>
      </c>
      <c r="C1345" s="39"/>
      <c r="D1345" s="35" t="str">
        <f ca="1">IFERROR(IF(AND(INDEX(Tab_DaBa[],MATCH(CONCATENATE(Liste!$C$3,$B$1133,$B$1331),Data!$BO:$BO,0)-2,33)&lt;&gt;"",INDEX(Tab_DaBa[],MATCH(CONCATENATE(Liste!$C$3,$B$1133,$B$1331),Data!$BO:$BO,0)-2,38)=""),"PFH [1/h] = "&amp;10^9*INDEX(Tab_DaBa[],MATCH(CONCATENATE(Liste!$C$3,$B$1133,$B$1331),Data!$BO:$BO,0)-2,16)&amp;"E-9",IF(INDEX(Tab_DaBa[],MATCH(CONCATENATE(Liste!$C$3,$B$1133,$B$1331),Data!$BO:$BO,0)-2,33)&lt;&gt;"","PFH [1/h] = "&amp;10^9*INDEX(Tab_DaBa[],MATCH(CONCATENATE(Liste!$C$3,$B$1133,$B$1331),Data!$BO:$BO,0)-2,41)&amp;"E-9","")),"")</f>
        <v>PFH [1/h] = 4,19E-9</v>
      </c>
      <c r="E1345" s="37"/>
      <c r="F1345" s="35" t="str">
        <f ca="1">IFERROR(IF(AND(INDEX(Tab_DaBa[],MATCH(CONCATENATE(Liste!$C$3,$B$1133,$B$1331),Data!$BO:$BO,0)-2,38)&lt;&gt;"",INDEX(Tab_DaBa[],MATCH(CONCATENATE(Liste!$C$3,$B$1133,$B$1331),Data!$BO:$BO,0)-2,43)=""),"PFH [1/h] = "&amp;10^9*INDEX(Tab_DaBa[],MATCH(CONCATENATE(Liste!$C$3,$B$1133,$B$1331),Data!$BO:$BO,0)-2,16)&amp;"E-9",IF(INDEX(Tab_DaBa[],MATCH(CONCATENATE(Liste!$C$3,$B$1133,$B$1331),Data!$BO:$BO,0)-2,38)&lt;&gt;"","PFH [1/h] = "&amp;10^9*INDEX(Tab_DaBa[],MATCH(CONCATENATE(Liste!$C$3,$B$1133,$B$1331),Data!$BO:$BO,0)-2,46)&amp;"E-9","")),"")</f>
        <v>PFH [1/h] = 4,19E-9</v>
      </c>
      <c r="G1345" s="39"/>
      <c r="H1345" s="35" t="str">
        <f ca="1">IFERROR(IF(AND(INDEX(Tab_DaBa[],MATCH(CONCATENATE(Liste!$C$3,$B$1133,$B$1331),Data!$BO:$BO,0)-2,43)&lt;&gt;"",INDEX(Tab_DaBa[],MATCH(CONCATENATE(Liste!$C$3,$B$1133,$B$1331),Data!$BO:$BO,0)-2,48)=""),"PFH [1/h] = "&amp;10^9*INDEX(Tab_DaBa[],MATCH(CONCATENATE(Liste!$C$3,$B$1133,$B$1331),Data!$BO:$BO,0)-2,16)&amp;"E-9",IF(INDEX(Tab_DaBa[],MATCH(CONCATENATE(Liste!$C$3,$B$1133,$B$1331),Data!$BO:$BO,0)-2,43)&lt;&gt;"","PFH [1/h] = "&amp;10^9*INDEX(Tab_DaBa[],MATCH(CONCATENATE(Liste!$C$3,$B$1133,$B$1331),Data!$BO:$BO,0)-2,51)&amp;"E-9","")),"")</f>
        <v>PFH [1/h] = 4,19E-9</v>
      </c>
      <c r="I1345" s="39"/>
    </row>
    <row r="1346" spans="2:9" s="16" customFormat="1">
      <c r="B1346" s="33"/>
      <c r="C1346" s="33"/>
      <c r="D1346" s="33"/>
      <c r="E1346" s="33"/>
      <c r="F1346" s="33"/>
      <c r="G1346" s="33"/>
      <c r="H1346" s="33"/>
      <c r="I1346" s="33"/>
    </row>
    <row r="1347" spans="2:9" s="16" customFormat="1" ht="15.75">
      <c r="B1347" s="38">
        <f ca="1">IF(B1349="","",6)</f>
        <v>6</v>
      </c>
      <c r="C1347" s="33"/>
      <c r="D1347" s="38">
        <f ca="1">IF(B1349="","",3)</f>
        <v>3</v>
      </c>
      <c r="E1347" s="33"/>
      <c r="F1347" s="38">
        <f ca="1">IF(B1349="","",3)</f>
        <v>3</v>
      </c>
      <c r="G1347" s="33"/>
      <c r="H1347" s="38">
        <f ca="1">IF(B1349="","",3)</f>
        <v>3</v>
      </c>
      <c r="I1347" s="33"/>
    </row>
    <row r="1348" spans="2:9" s="16" customFormat="1" ht="15.75">
      <c r="B1348" s="39"/>
      <c r="C1348" s="33"/>
      <c r="D1348" s="33"/>
      <c r="E1348" s="33"/>
      <c r="F1348" s="33"/>
      <c r="G1348" s="33"/>
      <c r="H1348" s="33"/>
      <c r="I1348" s="33"/>
    </row>
    <row r="1349" spans="2:9" s="16" customFormat="1" ht="15.75">
      <c r="B1349" s="35" t="str">
        <f ca="1">IFERROR(IF(AND(INDEX(Tab_DaBa[],MATCH(CONCATENATE(Liste!$C$3,$B$1133,$B$1331),Data!$BO:$BO,0)-2,48)&lt;&gt;"",INDEX(Tab_DaBa[],MATCH(CONCATENATE(Liste!$C$3,$B$1133,$B$1331),Data!$BO:$BO,0)-2,53)=0),INDEX(Tab_DaBa[],MATCH(CONCATENATE(Liste!$C$3,$B$1133,$B$1331),Data!$BO:$BO,0)-2,14),IF(INDEX(Tab_DaBa[],MATCH(CONCATENATE(Liste!$C$3,$B$1133,$B$1331),Data!$BO:$BO,0)-2,48)&lt;&gt;"",INDEX(Tab_DaBa[],MATCH(CONCATENATE(Liste!$C$3,$B$1133,$B$1331),Data!$BO:$BO,0)-2,54),"")),"")</f>
        <v>Logik 08</v>
      </c>
      <c r="C1349" s="39"/>
      <c r="D1349" s="35" t="str">
        <f ca="1">IFERROR(IF(AND(INDEX(Tab_DaBa[],MATCH(CONCATENATE(Liste!$C$3,$B$1133,$B$1331),Data!$BO:$BO,0)-2,53)&lt;&gt;"",INDEX(Tab_DaBa[],MATCH(CONCATENATE(Liste!$C$3,$B$1133,$B$1331),Data!$BO:$BO,0)-2,58)=0),INDEX(Tab_DaBa[],MATCH(CONCATENATE(Liste!$C$3,$B$1133,$B$1331),Data!$BO:$BO,0)-2,14),IF(INDEX(Tab_DaBa[],MATCH(CONCATENATE(Liste!$C$3,$B$1133,$B$1331),Data!$BO:$BO,0)-2,53)&lt;&gt;"",INDEX(Tab_DaBa[],MATCH(CONCATENATE(Liste!$C$3,$B$1133,$B$1331),Data!$BO:$BO,0)-2,59),"")),"")</f>
        <v>Ausgang</v>
      </c>
      <c r="E1349" s="33"/>
      <c r="F1349" s="35" t="str">
        <f ca="1">IFERROR(IF(AND(INDEX(Tab_DaBa[],MATCH(CONCATENATE(Liste!$C$3,$B$1133,$B$1331),Data!$BO:$BO,0)-2,58)&lt;&gt;"",INDEX(Tab_DaBa[],MATCH(CONCATENATE(Liste!$C$3,$B$1133,$B$1331),Data!$BO:$BO,0)-2,63)=0),INDEX(Tab_DaBa[],MATCH(CONCATENATE(Liste!$C$3,$B$1133,$B$1331),Data!$BO:$BO,0)-2,14),IF(INDEX(Tab_DaBa[],MATCH(CONCATENATE(Liste!$C$3,$B$1133,$B$1331),Data!$BO:$BO,0)-2,58)&lt;&gt;"",INDEX(Tab_DaBa[],MATCH(CONCATENATE(Liste!$C$3,$B$1133,$B$1331),Data!$BO:$BO,0)-2,64),"")),"")</f>
        <v/>
      </c>
      <c r="G1349" s="39"/>
      <c r="H1349" s="35" t="str">
        <f ca="1">IFERROR(IF(INDEX(Tab_DaBa[],MATCH(CONCATENATE(Liste!$C$3,$B$1133,$B$1331),Data!$BO:$BO,0)-2,63)&lt;&gt;"",INDEX(Tab_DaBa[],MATCH(CONCATENATE(Liste!$C$3,$B$1133,$B$1331),Data!$BO:$BO,0)-2,14),""),"")</f>
        <v/>
      </c>
    </row>
    <row r="1350" spans="2:9" s="16" customFormat="1" ht="15.75">
      <c r="B1350" s="35" t="str">
        <f ca="1">IFERROR(IF(AND(INDEX(Tab_DaBa[],MATCH(CONCATENATE(Liste!$C$3,$B$1133,$B$1331),Data!$BO:$BO,0)-2,48)&lt;&gt;"",INDEX(Tab_DaBa[],MATCH(CONCATENATE(Liste!$C$3,$B$1133,$B$1331),Data!$BO:$BO,0)-2,53)=0),INDEX(Tab_DaBa[],MATCH(CONCATENATE(Liste!$C$3,$B$1133,$B$1331),Data!$BO:$BO,0)-2,12),IF(INDEX(Tab_DaBa[],MATCH(CONCATENATE(Liste!$C$3,$B$1133,$B$1331),Data!$BO:$BO,0)-2,48)&lt;&gt;"",INDEX(Tab_DaBa[],MATCH(CONCATENATE(Liste!$C$3,$B$1133,$B$1331),Data!$BO:$BO,0)-2,52),"")),"")</f>
        <v>Lo03-88_08</v>
      </c>
      <c r="C1350" s="39"/>
      <c r="D1350" s="35" t="str">
        <f ca="1">IFERROR(IF(AND(INDEX(Tab_DaBa[],MATCH(CONCATENATE(Liste!$C$3,$B$1133,$B$1331),Data!$BO:$BO,0)-2,53)&lt;&gt;"",INDEX(Tab_DaBa[],MATCH(CONCATENATE(Liste!$C$3,$B$1133,$B$1331),Data!$BO:$BO,0)-2,58)=0),INDEX(Tab_DaBa[],MATCH(CONCATENATE(Liste!$C$3,$B$1133,$B$1331),Data!$BO:$BO,0)-2,12),IF(INDEX(Tab_DaBa[],MATCH(CONCATENATE(Liste!$C$3,$B$1133,$B$1331),Data!$BO:$BO,0)-2,53)&lt;&gt;"",INDEX(Tab_DaBa[],MATCH(CONCATENATE(Liste!$C$3,$B$1133,$B$1331),Data!$BO:$BO,0)-2,57),"")),"")</f>
        <v>aaaa-44_8</v>
      </c>
      <c r="E1350" s="37"/>
      <c r="F1350" s="35" t="str">
        <f ca="1">IFERROR(IF(AND(INDEX(Tab_DaBa[],MATCH(CONCATENATE(Liste!$C$3,$B$1133,$B$1331),Data!$BO:$BO,0)-2,58)&lt;&gt;"",INDEX(Tab_DaBa[],MATCH(CONCATENATE(Liste!$C$3,$B$1133,$B$1331),Data!$BO:$BO,0)-2,63)=0),INDEX(Tab_DaBa[],MATCH(CONCATENATE(Liste!$C$3,$B$1133,$B$1331),Data!$BO:$BO,0)-2,12),IF(INDEX(Tab_DaBa[],MATCH(CONCATENATE(Liste!$C$3,$B$1133,$B$1331),Data!$BO:$BO,0)-2,58)&lt;&gt;"",INDEX(Tab_DaBa[],MATCH(CONCATENATE(Liste!$C$3,$B$1133,$B$1331),Data!$BO:$BO,0)-2,62),"")),"")</f>
        <v/>
      </c>
      <c r="G1350" s="39"/>
      <c r="H1350" s="35" t="str">
        <f ca="1">IFERROR(IF(INDEX(Tab_DaBa[],MATCH(CONCATENATE(Liste!$C$3,$B$1133,$B$1331),Data!$BO:$BO,0)-2,63)&lt;&gt;"",INDEX(Tab_DaBa[],MATCH(CONCATENATE(Liste!$C$3,$B$1133,$B$1331),Data!$BO:$BO,0)-2,12),""),"")</f>
        <v/>
      </c>
    </row>
    <row r="1351" spans="2:9" s="16" customFormat="1" ht="15.75">
      <c r="B1351" s="35" t="str">
        <f ca="1">IFERROR(IF(AND(INDEX(Tab_DaBa[],MATCH(CONCATENATE(Liste!$C$3,$B$1133,$B$1331),Data!$BO:$BO,0)-2,48)&lt;&gt;"",INDEX(Tab_DaBa[],MATCH(CONCATENATE(Liste!$C$3,$B$1133,$B$1331),Data!$BO:$BO,0)-2,53)=""),INDEX(Tab_DaBa[],MATCH(CONCATENATE(Liste!$C$3,$B$1133,$B$1331),Data!$BO:$BO,0)-2,13),IF(INDEX(Tab_DaBa[],MATCH(CONCATENATE(Liste!$C$3,$B$1133,$B$1331),Data!$BO:$BO,0)-2,48)&lt;&gt;"",INDEX(Tab_DaBa[],MATCH(CONCATENATE(Liste!$C$3,$B$1133,$B$1331),Data!$BO:$BO,0)-2,53),"")),"")</f>
        <v>Bez_Lo03_08</v>
      </c>
      <c r="C1351" s="38">
        <f ca="1">IF(D1349="","",4)</f>
        <v>4</v>
      </c>
      <c r="D1351" s="35" t="str">
        <f ca="1">IFERROR(IF(AND(INDEX(Tab_DaBa[],MATCH(CONCATENATE(Liste!$C$3,$B$1133,$B$1331),Data!$BO:$BO,0)-2,53)&lt;&gt;"",INDEX(Tab_DaBa[],MATCH(CONCATENATE(Liste!$C$3,$B$1133,$B$1331),Data!$BO:$BO,0)-2,58)=""),INDEX(Tab_DaBa[],MATCH(CONCATENATE(Liste!$C$3,$B$1133,$B$1331),Data!$BO:$BO,0)-2,13),IF(INDEX(Tab_DaBa[],MATCH(CONCATENATE(Liste!$C$3,$B$1133,$B$1331),Data!$BO:$BO,0)-2,53)&lt;&gt;"",INDEX(Tab_DaBa[],MATCH(CONCATENATE(Liste!$C$3,$B$1133,$B$1331),Data!$BO:$BO,0)-2,58),"")),"")</f>
        <v>Bez_Aus4_8</v>
      </c>
      <c r="E1351" s="38" t="str">
        <f ca="1">IF(F1349="","",4)</f>
        <v/>
      </c>
      <c r="F1351" s="35" t="str">
        <f ca="1">IFERROR(IF(AND(INDEX(Tab_DaBa[],MATCH(CONCATENATE(Liste!$C$3,$B$1133,$B$1331),Data!$BO:$BO,0)-2,58)&lt;&gt;"",INDEX(Tab_DaBa[],MATCH(CONCATENATE(Liste!$C$3,$B$1133,$B$1331),Data!$BO:$BO,0)-2,63)=""),INDEX(Tab_DaBa[],MATCH(CONCATENATE(Liste!$C$3,$B$1133,$B$1331),Data!$BO:$BO,0)-2,13),IF(INDEX(Tab_DaBa[],MATCH(CONCATENATE(Liste!$C$3,$B$1133,$B$1331),Data!$BO:$BO,0)-2,58)&lt;&gt;"",INDEX(Tab_DaBa[],MATCH(CONCATENATE(Liste!$C$3,$B$1133,$B$1331),Data!$BO:$BO,0)-2,63),"")),"")</f>
        <v/>
      </c>
      <c r="G1351" s="38" t="str">
        <f ca="1">IF(H1349="","",4)</f>
        <v/>
      </c>
      <c r="H1351" s="35" t="str">
        <f ca="1">IFERROR(IF(INDEX(Tab_DaBa[],MATCH(CONCATENATE(Liste!$C$3,$B$1133,$B$1331),Data!$BO:$BO,0)-2,63)&lt;&gt;"",INDEX(Tab_DaBa[],MATCH(CONCATENATE(Liste!$C$3,$B$1133,$B$1331),Data!$BO:$BO,0)-2,13),""),"")</f>
        <v/>
      </c>
    </row>
    <row r="1352" spans="2:9" s="16" customFormat="1" ht="15.75">
      <c r="B1352" s="35" t="str">
        <f ca="1">IFERROR(IF(AND(INDEX(Tab_DaBa[],MATCH(CONCATENATE(Liste!$C$3,$B$1133,$B$1331),Data!$BO:$BO,0)-2,48)&lt;&gt;"",INDEX(Tab_DaBa[],MATCH(CONCATENATE(Liste!$C$3,$B$1133,$B$1331),Data!$BO:$BO,0)-2,53)=""),"Performance Level: "&amp;INDEX(Tab_DaBa[],MATCH(CONCATENATE(Liste!$C$3,$B$1133,$B$1331),Data!$BO:$BO,0)-2,15),IF(INDEX(Tab_DaBa[],MATCH(CONCATENATE(Liste!$C$3,$B$1133,$B$1331),Data!$BO:$BO,0)-2,48)&lt;&gt;"","Performance Level: "&amp;INDEX(Tab_DaBa[],MATCH(CONCATENATE(Liste!$C$3,$B$1133,$B$1331),Data!$BO:$BO,0)-2,55),"")),"")</f>
        <v>Performance Level: PL_Lo03_08</v>
      </c>
      <c r="C1352" s="39"/>
      <c r="D1352" s="35" t="str">
        <f ca="1">IFERROR(IF(AND(INDEX(Tab_DaBa[],MATCH(CONCATENATE(Liste!$C$3,$B$1133,$B$1331),Data!$BO:$BO,0)-2,53)&lt;&gt;"",INDEX(Tab_DaBa[],MATCH(CONCATENATE(Liste!$C$3,$B$1133,$B$1331),Data!$BO:$BO,0)-2,58)=""),"Performance Level: "&amp;INDEX(Tab_DaBa[],MATCH(CONCATENATE(Liste!$C$3,$B$1133,$B$1331),Data!$BO:$BO,0)-2,15),IF(INDEX(Tab_DaBa[],MATCH(CONCATENATE(Liste!$C$3,$B$1133,$B$1331),Data!$BO:$BO,0)-2,53)&lt;&gt;"","Performance Level: "&amp;INDEX(Tab_DaBa[],MATCH(CONCATENATE(Liste!$C$3,$B$1133,$B$1331),Data!$BO:$BO,0)-2,60),"")),"")</f>
        <v>Performance Level: PL_Aus4_8</v>
      </c>
      <c r="E1352" s="37"/>
      <c r="F1352" s="35" t="str">
        <f ca="1">IFERROR(IF(AND(INDEX(Tab_DaBa[],MATCH(CONCATENATE(Liste!$C$3,$B$1133,$B$1331),Data!$BO:$BO,0)-2,58)&lt;&gt;"",INDEX(Tab_DaBa[],MATCH(CONCATENATE(Liste!$C$3,$B$1133,$B$1331),Data!$BO:$BO,0)-2,63)=""),"Performance Level: "&amp;INDEX(Tab_DaBa[],MATCH(CONCATENATE(Liste!$C$3,$B$1133,$B$1331),Data!$BO:$BO,0)-2,15),IF(INDEX(Tab_DaBa[],MATCH(CONCATENATE(Liste!$C$3,$B$1133,$B$1331),Data!$BO:$BO,0)-2,58)&lt;&gt;"","Performance Level: "&amp;INDEX(Tab_DaBa[],MATCH(CONCATENATE(Liste!$C$3,$B$1133,$B$1331),Data!$BO:$BO,0)-2,65),"")),"")</f>
        <v/>
      </c>
      <c r="G1352" s="39"/>
      <c r="H1352" s="35" t="str">
        <f ca="1">IFERROR(IF(INDEX(Tab_DaBa[],MATCH(CONCATENATE(Liste!$C$3,$B$1133,$B$1331),Data!$BO:$BO,0)-2,63)&lt;&gt;"","Performance Level: "&amp;INDEX(Tab_DaBa[],MATCH(CONCATENATE(Liste!$C$3,$B$1133,$B$1331),Data!$BO:$BO,0)-2,15),""),"")</f>
        <v/>
      </c>
    </row>
    <row r="1353" spans="2:9" s="16" customFormat="1" ht="15.75">
      <c r="B1353" s="35" t="str">
        <f ca="1">IFERROR(IF(AND(INDEX(Tab_DaBa[],MATCH(CONCATENATE(Liste!$C$3,$B$1133,$B$1331),Data!$BO:$BO,0)-2,48)&lt;&gt;"",INDEX(Tab_DaBa[],MATCH(CONCATENATE(Liste!$C$3,$B$1133,$B$1331),Data!$BO:$BO,0)-2,53)=""),"PFH [1/h] = "&amp;10^9*INDEX(Tab_DaBa[],MATCH(CONCATENATE(Liste!$C$3,$B$1133,$B$1331),Data!$BO:$BO,0)-2,16)&amp;"E-9",IF(INDEX(Tab_DaBa[],MATCH(CONCATENATE(Liste!$C$3,$B$1133,$B$1331),Data!$BO:$BO,0)-2,48)&lt;&gt;"","PFH [1/h] = "&amp;10^9*INDEX(Tab_DaBa[],MATCH(CONCATENATE(Liste!$C$3,$B$1133,$B$1331),Data!$BO:$BO,0)-2,56)&amp;"E-9","")),"")</f>
        <v>PFH [1/h] = 4,19E-9</v>
      </c>
      <c r="C1353" s="39"/>
      <c r="D1353" s="35" t="str">
        <f ca="1">IFERROR(IF(AND(INDEX(Tab_DaBa[],MATCH(CONCATENATE(Liste!$C$3,$B$1133,$B$1331),Data!$BO:$BO,0)-2,53)&lt;&gt;"",INDEX(Tab_DaBa[],MATCH(CONCATENATE(Liste!$C$3,$B$1133,$B$1331),Data!$BO:$BO,0)-2,58)=""),"PFH [1/h] = "&amp;10^9*INDEX(Tab_DaBa[],MATCH(CONCATENATE(Liste!$C$3,$B$1133,$B$1331),Data!$BO:$BO,0)-2,16)&amp;"E-9",IF(INDEX(Tab_DaBa[],MATCH(CONCATENATE(Liste!$C$3,$B$1133,$B$1331),Data!$BO:$BO,0)-2,53)&lt;&gt;"","PFH [1/h] = "&amp;10^9*INDEX(Tab_DaBa[],MATCH(CONCATENATE(Liste!$C$3,$B$1133,$B$1331),Data!$BO:$BO,0)-2,61)&amp;"E-9","")),"")</f>
        <v>PFH [1/h] = 24,7E-9</v>
      </c>
      <c r="E1353" s="37"/>
      <c r="F1353" s="35" t="str">
        <f ca="1">IFERROR(IF(AND(INDEX(Tab_DaBa[],MATCH(CONCATENATE(Liste!$C$3,$B$1133,$B$1331),Data!$BO:$BO,0)-2,58)&lt;&gt;"",INDEX(Tab_DaBa[],MATCH(CONCATENATE(Liste!$C$3,$B$1133,$B$1331),Data!$BO:$BO,0)-2,63)=""),"PFH [1/h] = "&amp;10^9*INDEX(Tab_DaBa[],MATCH(CONCATENATE(Liste!$C$3,$B$1133,$B$1331),Data!$BO:$BO,0)-2,16)&amp;"E-9",IF(INDEX(Tab_DaBa[],MATCH(CONCATENATE(Liste!$C$3,$B$1133,$B$1331),Data!$BO:$BO,0)-2,58)&lt;&gt;"","PFH [1/h] = "&amp;10^9*INDEX(Tab_DaBa[],MATCH(CONCATENATE(Liste!$C$3,$B$1133,$B$1331),Data!$BO:$BO,0)-2,66)&amp;"E-9","")),"")</f>
        <v/>
      </c>
      <c r="G1353" s="39"/>
      <c r="H1353" s="35" t="str">
        <f ca="1">IFERROR(IF(INDEX(Tab_DaBa[],MATCH(CONCATENATE(Liste!$C$3,$B$1133,$B$1331),Data!$BO:$BO,0)-2,63)&lt;&gt;"","PFH [1/h] = "&amp;10^9*INDEX(Tab_DaBa[],MATCH(CONCATENATE(Liste!$C$3,$B$1133,$B$1331),Data!$BO:$BO,0)-2,16)&amp;"E-9",""),"")</f>
        <v/>
      </c>
    </row>
    <row r="1354" spans="2:9" s="16" customFormat="1"/>
    <row r="1355" spans="2:9" s="16" customFormat="1">
      <c r="B1355" s="43" t="str">
        <f ca="1">IF(D1355="","","Erforderlich")</f>
        <v>Erforderlich</v>
      </c>
      <c r="D1355" s="44" t="str">
        <f ca="1">IFERROR("Performance Level: "&amp;INDEX(Tab_DaBa[],MATCH(CONCATENATE(Liste!$C$3,$B$1133,$B$1331),Data!$BO:$BO,0)-2,4),"")</f>
        <v>Performance Level: PLr_ges4_8</v>
      </c>
    </row>
    <row r="1356" spans="2:9" s="16" customFormat="1">
      <c r="B1356" s="45"/>
    </row>
    <row r="1357" spans="2:9" s="16" customFormat="1">
      <c r="B1357" s="46" t="str">
        <f ca="1">IF(D1357="","","Erreicht")</f>
        <v>Erreicht</v>
      </c>
      <c r="D1357" s="47" t="str">
        <f ca="1">IFERROR("Performance Level: "&amp;INDEX(Tab_DaBa[],MATCH(CONCATENATE(Liste!$C$3,$B$1133,$B$1331),Data!$BO:$BO,0)-2,5)&amp;"          PFH [1/h] = "&amp;10^9*INDEX(Tab_DaBa[],MATCH(CONCATENATE(Liste!$C$3,$B$1133,$B$1331),Data!$BO:$BO,0)-2,6)&amp;"E-9","")</f>
        <v>Performance Level: Pl_ges4_8          PFH [1/h] = 71,7E-9</v>
      </c>
    </row>
    <row r="1358" spans="2:9" s="16" customFormat="1">
      <c r="B1358" s="50"/>
      <c r="C1358" s="49"/>
      <c r="D1358" s="49"/>
    </row>
    <row r="1359" spans="2:9" s="16" customFormat="1">
      <c r="B1359" s="42" t="str">
        <f ca="1">IFERROR(IF(9&gt;COUNTIF(Data!$BP:$BP,CONCATENATE(Liste!$C$3,$B$1133)),"",INDEX(Tab_DaBa[],MATCH(CONCATENATE(Liste!$C$3,$B$1133),Data!$BP:$BP,0)+6,3)),"")</f>
        <v>5.9 Test4 (E+9L+A)</v>
      </c>
    </row>
    <row r="1360" spans="2:9" s="16" customFormat="1"/>
    <row r="1361" spans="2:9" s="16" customFormat="1" ht="15.75">
      <c r="B1361" s="35" t="str">
        <f ca="1">IFERROR(INDEX(Tab_DaBa[],MATCH(CONCATENATE(Liste!$C$3,$B$1133,$B$1359),Data!$BO:$BO,0)-2,9),"")</f>
        <v>Eingang</v>
      </c>
      <c r="C1361" s="54"/>
      <c r="D1361" s="35" t="str">
        <f ca="1">IFERROR(IF(INDEX(Tab_DaBa[],MATCH(CONCATENATE(Liste!$C$3,$B$1133,$B$1359),Data!$BO:$BO,0)-2,18)=0,INDEX(Tab_DaBa[],MATCH(CONCATENATE(Liste!$C$3,$B$1133,$B$1359),Data!$BO:$BO,0)-2,14),INDEX(Tab_DaBa[],MATCH(CONCATENATE(Liste!$C$3,$B$1133,$B$1359),Data!$BO:$BO,0)-2,19)),"")</f>
        <v>Logik 01</v>
      </c>
      <c r="E1361" s="33"/>
      <c r="F1361" s="35" t="str">
        <f ca="1">IFERROR(IF(AND(INDEX(Tab_DaBa[],MATCH(CONCATENATE(Liste!$C$3,$B$1133,$B$1359),Data!$BO:$BO,0)-2,18)&lt;&gt;"",INDEX(Tab_DaBa[],MATCH(CONCATENATE(Liste!$C$3,$B$1133,$B$1359),Data!$BO:$BO,0)-2,23)=0),INDEX(Tab_DaBa[],MATCH(CONCATENATE(Liste!$C$3,$B$1133,$B$1359),Data!$BO:$BO,0)-2,14),IF(INDEX(Tab_DaBa[],MATCH(CONCATENATE(Liste!$C$3,$B$1133,$B$1359),Data!$BO:$BO,0)-2,23)&lt;&gt;"",INDEX(Tab_DaBa[],MATCH(CONCATENATE(Liste!$C$3,$B$1133,$B$1359),Data!$BO:$BO,0)-2,24),"")),"")</f>
        <v>Logik 02</v>
      </c>
      <c r="G1361" s="39"/>
      <c r="H1361" s="35" t="str">
        <f ca="1">IFERROR(IF(AND(INDEX(Tab_DaBa[],MATCH(CONCATENATE(Liste!$C$3,$B$1133,$B$1359),Data!$BO:$BO,0)-2,23)&lt;&gt;"",INDEX(Tab_DaBa[],MATCH(CONCATENATE(Liste!$C$3,$B$1133,$B$1359),Data!$BO:$BO,0)-2,28)=0),INDEX(Tab_DaBa[],MATCH(CONCATENATE(Liste!$C$3,$B$1133,$B$1359),Data!$BO:$BO,0)-2,14),IF(INDEX(Tab_DaBa[],MATCH(CONCATENATE(Liste!$C$3,$B$1133,$B$1359),Data!$BO:$BO,0)-2,23)&lt;&gt;"",INDEX(Tab_DaBa[],MATCH(CONCATENATE(Liste!$C$3,$B$1133,$B$1359),Data!$BO:$BO,0)-2,29),"")),"")</f>
        <v>Logik 03</v>
      </c>
      <c r="I1361" s="39"/>
    </row>
    <row r="1362" spans="2:9" s="16" customFormat="1" ht="15.75">
      <c r="B1362" s="35" t="str">
        <f ca="1">IFERROR(INDEX(Tab_DaBa[],MATCH(CONCATENATE(Liste!$C$3,$B$1133,$B$1359),Data!$BO:$BO,0)-2,7),"")</f>
        <v>eeee-33_9</v>
      </c>
      <c r="C1362" s="54"/>
      <c r="D1362" s="35" t="str">
        <f ca="1">IFERROR(IF(INDEX(Tab_DaBa[],MATCH(CONCATENATE(Liste!$C$3,$B$1133,$B$1359),Data!$BO:$BO,0)-2,18)="",INDEX(Tab_DaBa[],MATCH(CONCATENATE(Liste!$C$3,$B$1133,$B$1359),Data!$BO:$BO,0)-2,12),INDEX(Tab_DaBa[],MATCH(CONCATENATE(Liste!$C$3,$B$1133,$B$1359),Data!$BO:$BO,0)-2,17)),"")</f>
        <v>Log01-04_09</v>
      </c>
      <c r="E1362" s="36"/>
      <c r="F1362" s="35" t="str">
        <f ca="1">IFERROR(IF(AND(INDEX(Tab_DaBa[],MATCH(CONCATENATE(Liste!$C$3,$B$1133,$B$1359),Data!$BO:$BO,0)-2,18)&lt;&gt;"",INDEX(Tab_DaBa[],MATCH(CONCATENATE(Liste!$C$3,$B$1133,$B$1359),Data!$BO:$BO,0)-2,23)=0),INDEX(Tab_DaBa[],MATCH(CONCATENATE(Liste!$C$3,$B$1133,$B$1359),Data!$BO:$BO,0)-2,12),IF(INDEX(Tab_DaBa[],MATCH(CONCATENATE(Liste!$C$3,$B$1133,$B$1359),Data!$BO:$BO,0)-2,23)&lt;&gt;"",INDEX(Tab_DaBa[],MATCH(CONCATENATE(Liste!$C$3,$B$1133,$B$1359),Data!$BO:$BO,0)-2,22),"")),"")</f>
        <v>Lo04-04_09</v>
      </c>
      <c r="G1362" s="39"/>
      <c r="H1362" s="35" t="str">
        <f ca="1">IFERROR(IF(AND(INDEX(Tab_DaBa[],MATCH(CONCATENATE(Liste!$C$3,$B$1133,$B$1359),Data!$BO:$BO,0)-2,23)&lt;&gt;"",INDEX(Tab_DaBa[],MATCH(CONCATENATE(Liste!$C$3,$B$1133,$B$1359),Data!$BO:$BO,0)-2,28)=0),INDEX(Tab_DaBa[],MATCH(CONCATENATE(Liste!$C$3,$B$1133,$B$1359),Data!$BO:$BO,0)-2,12),IF(INDEX(Tab_DaBa[],MATCH(CONCATENATE(Liste!$C$3,$B$1133,$B$1359),Data!$BO:$BO,0)-2,23)&lt;&gt;"",INDEX(Tab_DaBa[],MATCH(CONCATENATE(Liste!$C$3,$B$1133,$B$1359),Data!$BO:$BO,0)-2,27),"")),"")</f>
        <v>Lo04-44_09</v>
      </c>
      <c r="I1362" s="39"/>
    </row>
    <row r="1363" spans="2:9" s="16" customFormat="1" ht="15.75">
      <c r="B1363" s="35" t="str">
        <f ca="1">IFERROR(INDEX(Tab_DaBa[],MATCH(CONCATENATE(Liste!$C$3,$B$1133,$B$1359),Data!$BO:$BO,0)-2,8),"")</f>
        <v>Bez_Ein4_9</v>
      </c>
      <c r="C1363" s="40">
        <f ca="1">IF(D1361="","",4)</f>
        <v>4</v>
      </c>
      <c r="D1363" s="35" t="str">
        <f ca="1">IFERROR(IF(INDEX(Tab_DaBa[],MATCH(CONCATENATE(Liste!$C$3,$B$1133,$B$1359),Data!$BO:$BO,0)-2,18)="",INDEX(Tab_DaBa[],MATCH(CONCATENATE(Liste!$C$3,$B$1133,$B$1359),Data!$BO:$BO,0)-2,13),INDEX(Tab_DaBa[],MATCH(CONCATENATE(Liste!$C$3,$B$1133,$B$1359),Data!$BO:$BO,0)-2,18)),"")</f>
        <v>Bez_Log01_04_09</v>
      </c>
      <c r="E1363" s="40">
        <f ca="1">IF(F1361="","",4)</f>
        <v>4</v>
      </c>
      <c r="F1363" s="35" t="str">
        <f ca="1">IFERROR(IF(AND(INDEX(Tab_DaBa[],MATCH(CONCATENATE(Liste!$C$3,$B$1133,$B$1359),Data!$BO:$BO,0)-2,18)&lt;&gt;"",INDEX(Tab_DaBa[],MATCH(CONCATENATE(Liste!$C$3,$B$1133,$B$1359),Data!$BO:$BO,0)-2,23)=""),INDEX(Tab_DaBa[],MATCH(CONCATENATE(Liste!$C$3,$B$1133,$B$1359),Data!$BO:$BO,0)-2,13),IF(INDEX(Tab_DaBa[],MATCH(CONCATENATE(Liste!$C$3,$B$1133,$B$1359),Data!$BO:$BO,0)-2,23)&lt;&gt;"",INDEX(Tab_DaBa[],MATCH(CONCATENATE(Liste!$C$3,$B$1133,$B$1359),Data!$BO:$BO,0)-2,23),"")),"")</f>
        <v>Bez_Lo04_09</v>
      </c>
      <c r="G1363" s="38">
        <f ca="1">IF(H1361="","",4)</f>
        <v>4</v>
      </c>
      <c r="H1363" s="35" t="str">
        <f ca="1">IFERROR(IF(AND(INDEX(Tab_DaBa[],MATCH(CONCATENATE(Liste!$C$3,$B$1133,$B$1359),Data!$BO:$BO,0)-2,23)&lt;&gt;"",INDEX(Tab_DaBa[],MATCH(CONCATENATE(Liste!$C$3,$B$1133,$B$1359),Data!$BO:$BO,0)-2,28)=""),INDEX(Tab_DaBa[],MATCH(CONCATENATE(Liste!$C$3,$B$1133,$B$1359),Data!$BO:$BO,0)-2,13),IF(INDEX(Tab_DaBa[],MATCH(CONCATENATE(Liste!$C$3,$B$1133,$B$1359),Data!$BO:$BO,0)-2,23)&lt;&gt;"",INDEX(Tab_DaBa[],MATCH(CONCATENATE(Liste!$C$3,$B$1133,$B$1359),Data!$BO:$BO,0)-2,28),"")),"")</f>
        <v>Bez_Lo04_09</v>
      </c>
      <c r="I1363" s="38">
        <f ca="1">IF(B1369="","",6)</f>
        <v>6</v>
      </c>
    </row>
    <row r="1364" spans="2:9" s="16" customFormat="1" ht="15.75">
      <c r="B1364" s="35" t="str">
        <f ca="1">IFERROR("Performance Level: "&amp;INDEX(Tab_DaBa[],MATCH(CONCATENATE(Liste!$C$3,$B$1133,$B$1359),Data!$BO:$BO,0)-2,10),"")</f>
        <v>Performance Level: PL_Ein4_9</v>
      </c>
      <c r="C1364" s="54"/>
      <c r="D1364" s="35" t="str">
        <f ca="1">IFERROR(IF(INDEX(Tab_DaBa[],MATCH(CONCATENATE(Liste!$C$3,$B$1133,$B$1359),Data!$BO:$BO,0)-2,18)="","Performance Level: "&amp;INDEX(Tab_DaBa[],MATCH(CONCATENATE(Liste!$C$3,$B$1133,$B$1359),Data!$BO:$BO,0)-2,15),"Performance Level: "&amp;INDEX(Tab_DaBa[],MATCH(CONCATENATE(Liste!$C$3,$B$1133,$B$1359),Data!$BO:$BO,0)-2,20)),"")</f>
        <v>Performance Level: PL_Log01_04_09</v>
      </c>
      <c r="E1364" s="36"/>
      <c r="F1364" s="35" t="str">
        <f ca="1">IFERROR(IF(AND(INDEX(Tab_DaBa[],MATCH(CONCATENATE(Liste!$C$3,$B$1133,$B$1359),Data!$BO:$BO,0)-2,18)&lt;&gt;"",INDEX(Tab_DaBa[],MATCH(CONCATENATE(Liste!$C$3,$B$1133,$B$1359),Data!$BO:$BO,0)-2,23)=""),"Performance Level: "&amp;INDEX(Tab_DaBa[],MATCH(CONCATENATE(Liste!$C$3,$B$1133,$B$1359),Data!$BO:$BO,0)-2,15),IF(INDEX(Tab_DaBa[],MATCH(CONCATENATE(Liste!$C$3,$B$1133,$B$1359),Data!$BO:$BO,0)-2,23)&lt;&gt;"","Performance Level: "&amp;INDEX(Tab_DaBa[],MATCH(CONCATENATE(Liste!$C$3,$B$1133,$B$1359),Data!$BO:$BO,0)-2,25),"")),"")</f>
        <v>Performance Level: PL_Lo04_09</v>
      </c>
      <c r="G1364" s="39"/>
      <c r="H1364" s="35" t="str">
        <f ca="1">IFERROR(IF(AND(INDEX(Tab_DaBa[],MATCH(CONCATENATE(Liste!$C$3,$B$1133,$B$1359),Data!$BO:$BO,0)-2,23)&lt;&gt;"",INDEX(Tab_DaBa[],MATCH(CONCATENATE(Liste!$C$3,$B$1133,$B$1359),Data!$BO:$BO,0)-2,28)=""),"Performance Level: "&amp;INDEX(Tab_DaBa[],MATCH(CONCATENATE(Liste!$C$3,$B$1133,$B$1359),Data!$BO:$BO,0)-2,15),IF(INDEX(Tab_DaBa[],MATCH(CONCATENATE(Liste!$C$3,$B$1133,$B$1359),Data!$BO:$BO,0)-2,23)&lt;&gt;"","Performance Level: "&amp;INDEX(Tab_DaBa[],MATCH(CONCATENATE(Liste!$C$3,$B$1133,$B$1359),Data!$BO:$BO,0)-2,30),"")),"")</f>
        <v>Performance Level: PL_Lo04_09</v>
      </c>
      <c r="I1364" s="38"/>
    </row>
    <row r="1365" spans="2:9" s="16" customFormat="1" ht="15.75">
      <c r="B1365" s="53" t="str">
        <f ca="1">IFERROR("PFH [1/h] = "&amp;10^9*INDEX(Tab_DaBa[],MATCH(CONCATENATE(Liste!$C$3,$B$1133,$B$1359),Data!$BO:$BO,0)-2,11)&amp;"E-9","")</f>
        <v>PFH [1/h] = 42,9E-9</v>
      </c>
      <c r="C1365" s="54"/>
      <c r="D1365" s="35" t="str">
        <f ca="1">IFERROR(IF(INDEX(Tab_DaBa[],MATCH(CONCATENATE(Liste!$C$3,$B$1133,$B$1359),Data!$BO:$BO,0)-2,18)="","PFH [1/h] = "&amp;10^9*INDEX(Tab_DaBa[],MATCH(CONCATENATE(Liste!$C$3,$B$1133,$B$1359),Data!$BO:$BO,0)-2,16)&amp;"E-9","PFH [1/h] = "&amp;10^9*INDEX(Tab_DaBa[],MATCH(CONCATENATE(Liste!$C$3,$B$1133,$B$1359),Data!$BO:$BO,0)-2,21)&amp;"E-9"),"")</f>
        <v>PFH [1/h] = 4,19E-9</v>
      </c>
      <c r="E1365" s="36"/>
      <c r="F1365" s="35" t="str">
        <f ca="1">IFERROR(IF(AND(INDEX(Tab_DaBa[],MATCH(CONCATENATE(Liste!$C$3,$B$1133,$B$1359),Data!$BO:$BO,0)-2,18)&lt;&gt;"",INDEX(Tab_DaBa[],MATCH(CONCATENATE(Liste!$C$3,$B$1133,$B$1359),Data!$BO:$BO,0)-2,23)=""),"PFH [1/h] = "&amp;10^9*INDEX(Tab_DaBa[],MATCH(CONCATENATE(Liste!$C$3,$B$1133,$B$1359),Data!$BO:$BO,0)-2,16)&amp;"E-9",IF(INDEX(Tab_DaBa[],MATCH(CONCATENATE(Liste!$C$3,$B$1133,$B$1359),Data!$BO:$BO,0)-2,23)&lt;&gt;"","PFH [1/h] = "&amp;10^9*INDEX(Tab_DaBa[],MATCH(CONCATENATE(Liste!$C$3,$B$1133,$B$1359),Data!$BO:$BO,0)-2,26)&amp;"E-9","")),"")</f>
        <v>PFH [1/h] = 4,19E-9</v>
      </c>
      <c r="G1365" s="39"/>
      <c r="H1365" s="35" t="str">
        <f ca="1">IFERROR(IF(AND(INDEX(Tab_DaBa[],MATCH(CONCATENATE(Liste!$C$3,$B$1133,$B$1359),Data!$BO:$BO,0)-2,23)&lt;&gt;"",INDEX(Tab_DaBa[],MATCH(CONCATENATE(Liste!$C$3,$B$1133,$B$1359),Data!$BO:$BO,0)-2,28)=""),"PFH [1/h] = "&amp;10^9*INDEX(Tab_DaBa[],MATCH(CONCATENATE(Liste!$C$3,$B$1133,$B$1359),Data!$BO:$BO,0)-2,16)&amp;"E-9",IF(INDEX(Tab_DaBa[],MATCH(CONCATENATE(Liste!$C$3,$B$1133,$B$1359),Data!$BO:$BO,0)-2,23)&lt;&gt;"","PFH [1/h] = "&amp;10^9*INDEX(Tab_DaBa[],MATCH(CONCATENATE(Liste!$C$3,$B$1133,$B$1359),Data!$BO:$BO,0)-2,31)&amp;"E-9","")),"")</f>
        <v>PFH [1/h] = 4,19E-9</v>
      </c>
      <c r="I1365" s="39"/>
    </row>
    <row r="1366" spans="2:9" s="16" customFormat="1">
      <c r="B1366" s="33"/>
      <c r="C1366" s="34"/>
      <c r="D1366" s="33"/>
      <c r="E1366" s="33"/>
      <c r="F1366" s="33"/>
      <c r="G1366" s="33"/>
      <c r="H1366" s="33"/>
      <c r="I1366" s="33"/>
    </row>
    <row r="1367" spans="2:9" s="16" customFormat="1" ht="15.75">
      <c r="B1367" s="38">
        <f ca="1">IF(B1369="","",6)</f>
        <v>6</v>
      </c>
      <c r="C1367" s="34"/>
      <c r="D1367" s="38">
        <f ca="1">IF(B1369="","",3)</f>
        <v>3</v>
      </c>
      <c r="E1367" s="33"/>
      <c r="F1367" s="38">
        <f ca="1">IF(B1369="","",3)</f>
        <v>3</v>
      </c>
      <c r="G1367" s="33"/>
      <c r="H1367" s="38">
        <f ca="1">IF(B1369="","",3)</f>
        <v>3</v>
      </c>
      <c r="I1367" s="33"/>
    </row>
    <row r="1368" spans="2:9" s="16" customFormat="1" ht="15.75">
      <c r="B1368" s="39"/>
      <c r="C1368" s="33"/>
      <c r="D1368" s="33"/>
      <c r="E1368" s="33"/>
      <c r="F1368" s="33"/>
      <c r="G1368" s="33"/>
      <c r="H1368" s="33"/>
      <c r="I1368" s="33"/>
    </row>
    <row r="1369" spans="2:9" s="16" customFormat="1" ht="15.75">
      <c r="B1369" s="35" t="str">
        <f ca="1">IFERROR(IF(AND(INDEX(Tab_DaBa[],MATCH(CONCATENATE(Liste!$C$3,$B$1133,$B$1359),Data!$BO:$BO,0)-2,28)&lt;&gt;"",INDEX(Tab_DaBa[],MATCH(CONCATENATE(Liste!$C$3,$B$1133,$B$1359),Data!$BO:$BO,0)-2,33)=0),INDEX(Tab_DaBa[],MATCH(CONCATENATE(Liste!$C$3,$B$1133,$B$1359),Data!$BO:$BO,0)-2,14),IF(INDEX(Tab_DaBa[],MATCH(CONCATENATE(Liste!$C$3,$B$1133,$B$1359),Data!$BO:$BO,0)-2,28)&lt;&gt;"",INDEX(Tab_DaBa[],MATCH(CONCATENATE(Liste!$C$3,$B$1133,$B$1359),Data!$BO:$BO,0)-2,34),"")),"")</f>
        <v>Logik 04</v>
      </c>
      <c r="C1369" s="39"/>
      <c r="D1369" s="35" t="str">
        <f ca="1">IFERROR(IF(AND(INDEX(Tab_DaBa[],MATCH(CONCATENATE(Liste!$C$3,$B$1133,$B$1359),Data!$BO:$BO,0)-2,33)&lt;&gt;"",INDEX(Tab_DaBa[],MATCH(CONCATENATE(Liste!$C$3,$B$1133,$B$1359),Data!$BO:$BO,0)-2,38)=0),INDEX(Tab_DaBa[],MATCH(CONCATENATE(Liste!$C$3,$B$1133,$B$1359),Data!$BO:$BO,0)-2,14),IF(INDEX(Tab_DaBa[],MATCH(CONCATENATE(Liste!$C$3,$B$1133,$B$1359),Data!$BO:$BO,0)-2,33)&lt;&gt;"",INDEX(Tab_DaBa[],MATCH(CONCATENATE(Liste!$C$3,$B$1133,$B$1359),Data!$BO:$BO,0)-2,39),"")),"")</f>
        <v>Logik 07</v>
      </c>
      <c r="E1369" s="33"/>
      <c r="F1369" s="35" t="str">
        <f ca="1">IFERROR(IF(AND(INDEX(Tab_DaBa[],MATCH(CONCATENATE(Liste!$C$3,$B$1133,$B$1359),Data!$BO:$BO,0)-2,38)&lt;&gt;"",INDEX(Tab_DaBa[],MATCH(CONCATENATE(Liste!$C$3,$B$1133,$B$1359),Data!$BO:$BO,0)-2,43)=0),INDEX(Tab_DaBa[],MATCH(CONCATENATE(Liste!$C$3,$B$1133,$B$1359),Data!$BO:$BO,0)-2,14),IF(INDEX(Tab_DaBa[],MATCH(CONCATENATE(Liste!$C$3,$B$1133,$B$1359),Data!$BO:$BO,0)-2,38)&lt;&gt;"",INDEX(Tab_DaBa[],MATCH(CONCATENATE(Liste!$C$3,$B$1133,$B$1359),Data!$BO:$BO,0)-2,44),"")),"")</f>
        <v>Logik 06</v>
      </c>
      <c r="G1369" s="39"/>
      <c r="H1369" s="35" t="str">
        <f ca="1">IFERROR(IF(AND(INDEX(Tab_DaBa[],MATCH(CONCATENATE(Liste!$C$3,$B$1133,$B$1359),Data!$BO:$BO,0)-2,43)&lt;&gt;"",INDEX(Tab_DaBa[],MATCH(CONCATENATE(Liste!$C$3,$B$1133,$B$1359),Data!$BO:$BO,0)-2,48)=0),INDEX(Tab_DaBa[],MATCH(CONCATENATE(Liste!$C$3,$B$1133,$B$1359),Data!$BO:$BO,0)-2,14),IF(INDEX(Tab_DaBa[],MATCH(CONCATENATE(Liste!$C$3,$B$1133,$B$1359),Data!$BO:$BO,0)-2,43)&lt;&gt;"",INDEX(Tab_DaBa[],MATCH(CONCATENATE(Liste!$C$3,$B$1133,$B$1359),Data!$BO:$BO,0)-2,49),"")),"")</f>
        <v>Logik 07</v>
      </c>
      <c r="I1369" s="39"/>
    </row>
    <row r="1370" spans="2:9" s="16" customFormat="1" ht="15.75">
      <c r="B1370" s="35" t="str">
        <f ca="1">IFERROR(IF(AND(INDEX(Tab_DaBa[],MATCH(CONCATENATE(Liste!$C$3,$B$1133,$B$1359),Data!$BO:$BO,0)-2,28)&lt;&gt;"",INDEX(Tab_DaBa[],MATCH(CONCATENATE(Liste!$C$3,$B$1133,$B$1359),Data!$BO:$BO,0)-2,33)=0),INDEX(Tab_DaBa[],MATCH(CONCATENATE(Liste!$C$3,$B$1133,$B$1359),Data!$BO:$BO,0)-2,12),IF(INDEX(Tab_DaBa[],MATCH(CONCATENATE(Liste!$C$3,$B$1133,$B$1359),Data!$BO:$BO,0)-2,28)&lt;&gt;"",INDEX(Tab_DaBa[],MATCH(CONCATENATE(Liste!$C$3,$B$1133,$B$1359),Data!$BO:$BO,0)-2,32),"")),"")</f>
        <v>Lo04-44_09</v>
      </c>
      <c r="C1370" s="39"/>
      <c r="D1370" s="35" t="str">
        <f ca="1">IFERROR(IF(AND(INDEX(Tab_DaBa[],MATCH(CONCATENATE(Liste!$C$3,$B$1133,$B$1359),Data!$BO:$BO,0)-2,33)&lt;&gt;"",INDEX(Tab_DaBa[],MATCH(CONCATENATE(Liste!$C$3,$B$1133,$B$1359),Data!$BO:$BO,0)-2,38)=0),INDEX(Tab_DaBa[],MATCH(CONCATENATE(Liste!$C$3,$B$1133,$B$1359),Data!$BO:$BO,0)-2,12),IF(INDEX(Tab_DaBa[],MATCH(CONCATENATE(Liste!$C$3,$B$1133,$B$1359),Data!$BO:$BO,0)-2,33)&lt;&gt;"",INDEX(Tab_DaBa[],MATCH(CONCATENATE(Liste!$C$3,$B$1133,$B$1359),Data!$BO:$BO,0)-2,37),"")),"")</f>
        <v>Lo04-44_09</v>
      </c>
      <c r="E1370" s="37"/>
      <c r="F1370" s="35" t="str">
        <f ca="1">IFERROR(IF(AND(INDEX(Tab_DaBa[],MATCH(CONCATENATE(Liste!$C$3,$B$1133,$B$1359),Data!$BO:$BO,0)-2,38)&lt;&gt;"",INDEX(Tab_DaBa[],MATCH(CONCATENATE(Liste!$C$3,$B$1133,$B$1359),Data!$BO:$BO,0)-2,43)=0),INDEX(Tab_DaBa[],MATCH(CONCATENATE(Liste!$C$3,$B$1133,$B$1359),Data!$BO:$BO,0)-2,12),IF(INDEX(Tab_DaBa[],MATCH(CONCATENATE(Liste!$C$3,$B$1133,$B$1359),Data!$BO:$BO,0)-2,38)&lt;&gt;"",INDEX(Tab_DaBa[],MATCH(CONCATENATE(Liste!$C$3,$B$1133,$B$1359),Data!$BO:$BO,0)-2,42),"")),"")</f>
        <v>Lo03-33_09</v>
      </c>
      <c r="G1370" s="39"/>
      <c r="H1370" s="35" t="str">
        <f ca="1">IFERROR(IF(AND(INDEX(Tab_DaBa[],MATCH(CONCATENATE(Liste!$C$3,$B$1133,$B$1359),Data!$BO:$BO,0)-2,43)&lt;&gt;"",INDEX(Tab_DaBa[],MATCH(CONCATENATE(Liste!$C$3,$B$1133,$B$1359),Data!$BO:$BO,0)-2,48)=0),INDEX(Tab_DaBa[],MATCH(CONCATENATE(Liste!$C$3,$B$1133,$B$1359),Data!$BO:$BO,0)-2,12),IF(INDEX(Tab_DaBa[],MATCH(CONCATENATE(Liste!$C$3,$B$1133,$B$1359),Data!$BO:$BO,0)-2,43)&lt;&gt;"",INDEX(Tab_DaBa[],MATCH(CONCATENATE(Liste!$C$3,$B$1133,$B$1359),Data!$BO:$BO,0)-2,47),"")),"")</f>
        <v>Lo03-33_09</v>
      </c>
      <c r="I1370" s="39"/>
    </row>
    <row r="1371" spans="2:9" s="16" customFormat="1" ht="15.75">
      <c r="B1371" s="35" t="str">
        <f ca="1">IFERROR(IF(AND(INDEX(Tab_DaBa[],MATCH(CONCATENATE(Liste!$C$3,$B$1133,$B$1359),Data!$BO:$BO,0)-2,28)&lt;&gt;"",INDEX(Tab_DaBa[],MATCH(CONCATENATE(Liste!$C$3,$B$1133,$B$1359),Data!$BO:$BO,0)-2,33)=""),INDEX(Tab_DaBa[],MATCH(CONCATENATE(Liste!$C$3,$B$1133,$B$1359),Data!$BO:$BO,0)-2,13),IF(INDEX(Tab_DaBa[],MATCH(CONCATENATE(Liste!$C$3,$B$1133,$B$1359),Data!$BO:$BO,0)-2,28)&lt;&gt;"",INDEX(Tab_DaBa[],MATCH(CONCATENATE(Liste!$C$3,$B$1133,$B$1359),Data!$BO:$BO,0)-2,33),"")),"")</f>
        <v>Bez_Lo04_09</v>
      </c>
      <c r="C1371" s="38">
        <f ca="1">IF(D1369="","",4)</f>
        <v>4</v>
      </c>
      <c r="D1371" s="35" t="str">
        <f ca="1">IFERROR(IF(AND(INDEX(Tab_DaBa[],MATCH(CONCATENATE(Liste!$C$3,$B$1133,$B$1359),Data!$BO:$BO,0)-2,33)&lt;&gt;"",INDEX(Tab_DaBa[],MATCH(CONCATENATE(Liste!$C$3,$B$1133,$B$1359),Data!$BO:$BO,0)-2,38)=""),INDEX(Tab_DaBa[],MATCH(CONCATENATE(Liste!$C$3,$B$1133,$B$1359),Data!$BO:$BO,0)-2,13),IF(INDEX(Tab_DaBa[],MATCH(CONCATENATE(Liste!$C$3,$B$1133,$B$1359),Data!$BO:$BO,0)-2,33)&lt;&gt;"",INDEX(Tab_DaBa[],MATCH(CONCATENATE(Liste!$C$3,$B$1133,$B$1359),Data!$BO:$BO,0)-2,38),"")),"")</f>
        <v>Bez_Lo03_09</v>
      </c>
      <c r="E1371" s="38">
        <f ca="1">IF(F1369="","",4)</f>
        <v>4</v>
      </c>
      <c r="F1371" s="35" t="str">
        <f ca="1">IFERROR(IF(AND(INDEX(Tab_DaBa[],MATCH(CONCATENATE(Liste!$C$3,$B$1133,$B$1359),Data!$BO:$BO,0)-2,38)&lt;&gt;"",INDEX(Tab_DaBa[],MATCH(CONCATENATE(Liste!$C$3,$B$1133,$B$1359),Data!$BO:$BO,0)-2,43)=""),INDEX(Tab_DaBa[],MATCH(CONCATENATE(Liste!$C$3,$B$1133,$B$1359),Data!$BO:$BO,0)-2,13),IF(INDEX(Tab_DaBa[],MATCH(CONCATENATE(Liste!$C$3,$B$1133,$B$1359),Data!$BO:$BO,0)-2,38)&lt;&gt;"",INDEX(Tab_DaBa[],MATCH(CONCATENATE(Liste!$C$3,$B$1133,$B$1359),Data!$BO:$BO,0)-2,43),"")),"")</f>
        <v>Bez_Lo03_09</v>
      </c>
      <c r="G1371" s="38">
        <f ca="1">IF(H1369="","",4)</f>
        <v>4</v>
      </c>
      <c r="H1371" s="35" t="str">
        <f ca="1">IFERROR(IF(AND(INDEX(Tab_DaBa[],MATCH(CONCATENATE(Liste!$C$3,$B$1133,$B$1359),Data!$BO:$BO,0)-2,43)&lt;&gt;"",INDEX(Tab_DaBa[],MATCH(CONCATENATE(Liste!$C$3,$B$1133,$B$1359),Data!$BO:$BO,0)-2,48)=""),INDEX(Tab_DaBa[],MATCH(CONCATENATE(Liste!$C$3,$B$1133,$B$1359),Data!$BO:$BO,0)-2,13),IF(INDEX(Tab_DaBa[],MATCH(CONCATENATE(Liste!$C$3,$B$1133,$B$1359),Data!$BO:$BO,0)-2,43)&lt;&gt;"",INDEX(Tab_DaBa[],MATCH(CONCATENATE(Liste!$C$3,$B$1133,$B$1359),Data!$BO:$BO,0)-2,48),"")),"")</f>
        <v>Bez_Lo03_09</v>
      </c>
      <c r="I1371" s="38">
        <f ca="1">IF(B1377="","",6)</f>
        <v>6</v>
      </c>
    </row>
    <row r="1372" spans="2:9" s="16" customFormat="1" ht="15.75">
      <c r="B1372" s="35" t="str">
        <f ca="1">IFERROR(IF(AND(INDEX(Tab_DaBa[],MATCH(CONCATENATE(Liste!$C$3,$B$1133,$B$1359),Data!$BO:$BO,0)-2,28)&lt;&gt;"",INDEX(Tab_DaBa[],MATCH(CONCATENATE(Liste!$C$3,$B$1133,$B$1359),Data!$BO:$BO,0)-2,33)=""),"Performance Level: "&amp;INDEX(Tab_DaBa[],MATCH(CONCATENATE(Liste!$C$3,$B$1133,$B$1359),Data!$BO:$BO,0)-2,15),IF(INDEX(Tab_DaBa[],MATCH(CONCATENATE(Liste!$C$3,$B$1133,$B$1359),Data!$BO:$BO,0)-2,28)&lt;&gt;"","Performance Level: "&amp;INDEX(Tab_DaBa[],MATCH(CONCATENATE(Liste!$C$3,$B$1133,$B$1359),Data!$BO:$BO,0)-2,35),"")),"")</f>
        <v>Performance Level: PL_Lo04_09</v>
      </c>
      <c r="C1372" s="39"/>
      <c r="D1372" s="35" t="str">
        <f ca="1">IFERROR(IF(AND(INDEX(Tab_DaBa[],MATCH(CONCATENATE(Liste!$C$3,$B$1133,$B$1359),Data!$BO:$BO,0)-2,33)&lt;&gt;"",INDEX(Tab_DaBa[],MATCH(CONCATENATE(Liste!$C$3,$B$1133,$B$1359),Data!$BO:$BO,0)-2,38)=""),"Performance Level: "&amp;INDEX(Tab_DaBa[],MATCH(CONCATENATE(Liste!$C$3,$B$1133,$B$1359),Data!$BO:$BO,0)-2,15),IF(INDEX(Tab_DaBa[],MATCH(CONCATENATE(Liste!$C$3,$B$1133,$B$1359),Data!$BO:$BO,0)-2,33)&lt;&gt;"","Performance Level: "&amp;INDEX(Tab_DaBa[],MATCH(CONCATENATE(Liste!$C$3,$B$1133,$B$1359),Data!$BO:$BO,0)-2,40),"")),"")</f>
        <v>Performance Level: PL_Lo03_9</v>
      </c>
      <c r="E1372" s="37"/>
      <c r="F1372" s="35" t="str">
        <f ca="1">IFERROR(IF(AND(INDEX(Tab_DaBa[],MATCH(CONCATENATE(Liste!$C$3,$B$1133,$B$1359),Data!$BO:$BO,0)-2,38)&lt;&gt;"",INDEX(Tab_DaBa[],MATCH(CONCATENATE(Liste!$C$3,$B$1133,$B$1359),Data!$BO:$BO,0)-2,43)=""),"Performance Level: "&amp;INDEX(Tab_DaBa[],MATCH(CONCATENATE(Liste!$C$3,$B$1133,$B$1359),Data!$BO:$BO,0)-2,15),IF(INDEX(Tab_DaBa[],MATCH(CONCATENATE(Liste!$C$3,$B$1133,$B$1359),Data!$BO:$BO,0)-2,38)&lt;&gt;"","Performance Level: "&amp;INDEX(Tab_DaBa[],MATCH(CONCATENATE(Liste!$C$3,$B$1133,$B$1359),Data!$BO:$BO,0)-2,45),"")),"")</f>
        <v>Performance Level: PL_Lo03_09</v>
      </c>
      <c r="G1372" s="39"/>
      <c r="H1372" s="35" t="str">
        <f ca="1">IFERROR(IF(AND(INDEX(Tab_DaBa[],MATCH(CONCATENATE(Liste!$C$3,$B$1133,$B$1359),Data!$BO:$BO,0)-2,43)&lt;&gt;"",INDEX(Tab_DaBa[],MATCH(CONCATENATE(Liste!$C$3,$B$1133,$B$1359),Data!$BO:$BO,0)-2,48)=""),"Performance Level: "&amp;INDEX(Tab_DaBa[],MATCH(CONCATENATE(Liste!$C$3,$B$1133,$B$1359),Data!$BO:$BO,0)-2,15),IF(INDEX(Tab_DaBa[],MATCH(CONCATENATE(Liste!$C$3,$B$1133,$B$1359),Data!$BO:$BO,0)-2,43)&lt;&gt;"","Performance Level: "&amp;INDEX(Tab_DaBa[],MATCH(CONCATENATE(Liste!$C$3,$B$1133,$B$1359),Data!$BO:$BO,0)-2,50),"")),"")</f>
        <v>Performance Level: PL_Lo03_09</v>
      </c>
      <c r="I1372" s="39"/>
    </row>
    <row r="1373" spans="2:9" s="16" customFormat="1" ht="15.75">
      <c r="B1373" s="35" t="str">
        <f ca="1">IFERROR(IF(AND(INDEX(Tab_DaBa[],MATCH(CONCATENATE(Liste!$C$3,$B$1133,$B$1359),Data!$BO:$BO,0)-2,28)&lt;&gt;"",INDEX(Tab_DaBa[],MATCH(CONCATENATE(Liste!$C$3,$B$1133,$B$1359),Data!$BO:$BO,0)-2,33)=""),"PFH [1/h] = "&amp;10^9*INDEX(Tab_DaBa[],MATCH(CONCATENATE(Liste!$C$3,$B$1133,$B$1359),Data!$BO:$BO,0)-2,16)&amp;"E-9",IF(INDEX(Tab_DaBa[],MATCH(CONCATENATE(Liste!$C$3,$B$1133,$B$1359),Data!$BO:$BO,0)-2,28)&lt;&gt;"","PFH [1/h] = "&amp;10^9*INDEX(Tab_DaBa[],MATCH(CONCATENATE(Liste!$C$3,$B$1133,$B$1359),Data!$BO:$BO,0)-2,36)&amp;"E-9","")),"")</f>
        <v>PFH [1/h] = 4,19E-9</v>
      </c>
      <c r="C1373" s="39"/>
      <c r="D1373" s="35" t="str">
        <f ca="1">IFERROR(IF(AND(INDEX(Tab_DaBa[],MATCH(CONCATENATE(Liste!$C$3,$B$1133,$B$1359),Data!$BO:$BO,0)-2,33)&lt;&gt;"",INDEX(Tab_DaBa[],MATCH(CONCATENATE(Liste!$C$3,$B$1133,$B$1359),Data!$BO:$BO,0)-2,38)=""),"PFH [1/h] = "&amp;10^9*INDEX(Tab_DaBa[],MATCH(CONCATENATE(Liste!$C$3,$B$1133,$B$1359),Data!$BO:$BO,0)-2,16)&amp;"E-9",IF(INDEX(Tab_DaBa[],MATCH(CONCATENATE(Liste!$C$3,$B$1133,$B$1359),Data!$BO:$BO,0)-2,33)&lt;&gt;"","PFH [1/h] = "&amp;10^9*INDEX(Tab_DaBa[],MATCH(CONCATENATE(Liste!$C$3,$B$1133,$B$1359),Data!$BO:$BO,0)-2,41)&amp;"E-9","")),"")</f>
        <v>PFH [1/h] = 4,19E-9</v>
      </c>
      <c r="E1373" s="37"/>
      <c r="F1373" s="35" t="str">
        <f ca="1">IFERROR(IF(AND(INDEX(Tab_DaBa[],MATCH(CONCATENATE(Liste!$C$3,$B$1133,$B$1359),Data!$BO:$BO,0)-2,38)&lt;&gt;"",INDEX(Tab_DaBa[],MATCH(CONCATENATE(Liste!$C$3,$B$1133,$B$1359),Data!$BO:$BO,0)-2,43)=""),"PFH [1/h] = "&amp;10^9*INDEX(Tab_DaBa[],MATCH(CONCATENATE(Liste!$C$3,$B$1133,$B$1359),Data!$BO:$BO,0)-2,16)&amp;"E-9",IF(INDEX(Tab_DaBa[],MATCH(CONCATENATE(Liste!$C$3,$B$1133,$B$1359),Data!$BO:$BO,0)-2,38)&lt;&gt;"","PFH [1/h] = "&amp;10^9*INDEX(Tab_DaBa[],MATCH(CONCATENATE(Liste!$C$3,$B$1133,$B$1359),Data!$BO:$BO,0)-2,46)&amp;"E-9","")),"")</f>
        <v>PFH [1/h] = 4,19E-9</v>
      </c>
      <c r="G1373" s="39"/>
      <c r="H1373" s="35" t="str">
        <f ca="1">IFERROR(IF(AND(INDEX(Tab_DaBa[],MATCH(CONCATENATE(Liste!$C$3,$B$1133,$B$1359),Data!$BO:$BO,0)-2,43)&lt;&gt;"",INDEX(Tab_DaBa[],MATCH(CONCATENATE(Liste!$C$3,$B$1133,$B$1359),Data!$BO:$BO,0)-2,48)=""),"PFH [1/h] = "&amp;10^9*INDEX(Tab_DaBa[],MATCH(CONCATENATE(Liste!$C$3,$B$1133,$B$1359),Data!$BO:$BO,0)-2,16)&amp;"E-9",IF(INDEX(Tab_DaBa[],MATCH(CONCATENATE(Liste!$C$3,$B$1133,$B$1359),Data!$BO:$BO,0)-2,43)&lt;&gt;"","PFH [1/h] = "&amp;10^9*INDEX(Tab_DaBa[],MATCH(CONCATENATE(Liste!$C$3,$B$1133,$B$1359),Data!$BO:$BO,0)-2,51)&amp;"E-9","")),"")</f>
        <v>PFH [1/h] = 4,19E-9</v>
      </c>
      <c r="I1373" s="39"/>
    </row>
    <row r="1374" spans="2:9" s="16" customFormat="1">
      <c r="B1374" s="33"/>
      <c r="C1374" s="33"/>
      <c r="D1374" s="33"/>
      <c r="E1374" s="33"/>
      <c r="F1374" s="33"/>
      <c r="G1374" s="33"/>
      <c r="H1374" s="33"/>
      <c r="I1374" s="33"/>
    </row>
    <row r="1375" spans="2:9" s="16" customFormat="1" ht="15.75">
      <c r="B1375" s="38">
        <f ca="1">IF(B1377="","",6)</f>
        <v>6</v>
      </c>
      <c r="C1375" s="33"/>
      <c r="D1375" s="38">
        <f ca="1">IF(B1377="","",3)</f>
        <v>3</v>
      </c>
      <c r="E1375" s="33"/>
      <c r="F1375" s="38">
        <f ca="1">IF(B1377="","",3)</f>
        <v>3</v>
      </c>
      <c r="G1375" s="33"/>
      <c r="H1375" s="38">
        <f ca="1">IF(B1377="","",3)</f>
        <v>3</v>
      </c>
      <c r="I1375" s="33"/>
    </row>
    <row r="1376" spans="2:9" s="16" customFormat="1" ht="15.75">
      <c r="B1376" s="39"/>
      <c r="C1376" s="33"/>
      <c r="D1376" s="33"/>
      <c r="E1376" s="33"/>
      <c r="F1376" s="33"/>
      <c r="G1376" s="33"/>
      <c r="H1376" s="33"/>
      <c r="I1376" s="33"/>
    </row>
    <row r="1377" spans="2:9" s="16" customFormat="1" ht="15.75">
      <c r="B1377" s="35" t="str">
        <f ca="1">IFERROR(IF(AND(INDEX(Tab_DaBa[],MATCH(CONCATENATE(Liste!$C$3,$B$1133,$B$1359),Data!$BO:$BO,0)-2,48)&lt;&gt;"",INDEX(Tab_DaBa[],MATCH(CONCATENATE(Liste!$C$3,$B$1133,$B$1359),Data!$BO:$BO,0)-2,53)=0),INDEX(Tab_DaBa[],MATCH(CONCATENATE(Liste!$C$3,$B$1133,$B$1359),Data!$BO:$BO,0)-2,14),IF(INDEX(Tab_DaBa[],MATCH(CONCATENATE(Liste!$C$3,$B$1133,$B$1359),Data!$BO:$BO,0)-2,48)&lt;&gt;"",INDEX(Tab_DaBa[],MATCH(CONCATENATE(Liste!$C$3,$B$1133,$B$1359),Data!$BO:$BO,0)-2,54),"")),"")</f>
        <v>Logik 08</v>
      </c>
      <c r="C1377" s="39"/>
      <c r="D1377" s="35" t="str">
        <f ca="1">IFERROR(IF(AND(INDEX(Tab_DaBa[],MATCH(CONCATENATE(Liste!$C$3,$B$1133,$B$1359),Data!$BO:$BO,0)-2,53)&lt;&gt;"",INDEX(Tab_DaBa[],MATCH(CONCATENATE(Liste!$C$3,$B$1133,$B$1359),Data!$BO:$BO,0)-2,58)=0),INDEX(Tab_DaBa[],MATCH(CONCATENATE(Liste!$C$3,$B$1133,$B$1359),Data!$BO:$BO,0)-2,14),IF(INDEX(Tab_DaBa[],MATCH(CONCATENATE(Liste!$C$3,$B$1133,$B$1359),Data!$BO:$BO,0)-2,53)&lt;&gt;"",INDEX(Tab_DaBa[],MATCH(CONCATENATE(Liste!$C$3,$B$1133,$B$1359),Data!$BO:$BO,0)-2,59),"")),"")</f>
        <v>Logik 09</v>
      </c>
      <c r="E1377" s="33"/>
      <c r="F1377" s="35" t="str">
        <f ca="1">IFERROR(IF(AND(INDEX(Tab_DaBa[],MATCH(CONCATENATE(Liste!$C$3,$B$1133,$B$1359),Data!$BO:$BO,0)-2,58)&lt;&gt;"",INDEX(Tab_DaBa[],MATCH(CONCATENATE(Liste!$C$3,$B$1133,$B$1359),Data!$BO:$BO,0)-2,63)=0),INDEX(Tab_DaBa[],MATCH(CONCATENATE(Liste!$C$3,$B$1133,$B$1359),Data!$BO:$BO,0)-2,14),IF(INDEX(Tab_DaBa[],MATCH(CONCATENATE(Liste!$C$3,$B$1133,$B$1359),Data!$BO:$BO,0)-2,58)&lt;&gt;"",INDEX(Tab_DaBa[],MATCH(CONCATENATE(Liste!$C$3,$B$1133,$B$1359),Data!$BO:$BO,0)-2,64),"")),"")</f>
        <v>Ausgang</v>
      </c>
      <c r="G1377" s="39"/>
      <c r="H1377" s="35" t="str">
        <f ca="1">IFERROR(IF(INDEX(Tab_DaBa[],MATCH(CONCATENATE(Liste!$C$3,$B$1133,$B$1359),Data!$BO:$BO,0)-2,63)&lt;&gt;"",INDEX(Tab_DaBa[],MATCH(CONCATENATE(Liste!$C$3,$B$1133,$B$1359),Data!$BO:$BO,0)-2,14),""),"")</f>
        <v/>
      </c>
    </row>
    <row r="1378" spans="2:9" s="16" customFormat="1" ht="15.75">
      <c r="B1378" s="35" t="str">
        <f ca="1">IFERROR(IF(AND(INDEX(Tab_DaBa[],MATCH(CONCATENATE(Liste!$C$3,$B$1133,$B$1359),Data!$BO:$BO,0)-2,48)&lt;&gt;"",INDEX(Tab_DaBa[],MATCH(CONCATENATE(Liste!$C$3,$B$1133,$B$1359),Data!$BO:$BO,0)-2,53)=0),INDEX(Tab_DaBa[],MATCH(CONCATENATE(Liste!$C$3,$B$1133,$B$1359),Data!$BO:$BO,0)-2,12),IF(INDEX(Tab_DaBa[],MATCH(CONCATENATE(Liste!$C$3,$B$1133,$B$1359),Data!$BO:$BO,0)-2,48)&lt;&gt;"",INDEX(Tab_DaBa[],MATCH(CONCATENATE(Liste!$C$3,$B$1133,$B$1359),Data!$BO:$BO,0)-2,52),"")),"")</f>
        <v>Lo03-88_09</v>
      </c>
      <c r="C1378" s="39"/>
      <c r="D1378" s="35" t="str">
        <f ca="1">IFERROR(IF(AND(INDEX(Tab_DaBa[],MATCH(CONCATENATE(Liste!$C$3,$B$1133,$B$1359),Data!$BO:$BO,0)-2,53)&lt;&gt;"",INDEX(Tab_DaBa[],MATCH(CONCATENATE(Liste!$C$3,$B$1133,$B$1359),Data!$BO:$BO,0)-2,58)=0),INDEX(Tab_DaBa[],MATCH(CONCATENATE(Liste!$C$3,$B$1133,$B$1359),Data!$BO:$BO,0)-2,12),IF(INDEX(Tab_DaBa[],MATCH(CONCATENATE(Liste!$C$3,$B$1133,$B$1359),Data!$BO:$BO,0)-2,53)&lt;&gt;"",INDEX(Tab_DaBa[],MATCH(CONCATENATE(Liste!$C$3,$B$1133,$B$1359),Data!$BO:$BO,0)-2,57),"")),"")</f>
        <v>Lo03-33_09</v>
      </c>
      <c r="E1378" s="37"/>
      <c r="F1378" s="35" t="str">
        <f ca="1">IFERROR(IF(AND(INDEX(Tab_DaBa[],MATCH(CONCATENATE(Liste!$C$3,$B$1133,$B$1359),Data!$BO:$BO,0)-2,58)&lt;&gt;"",INDEX(Tab_DaBa[],MATCH(CONCATENATE(Liste!$C$3,$B$1133,$B$1359),Data!$BO:$BO,0)-2,63)=0),INDEX(Tab_DaBa[],MATCH(CONCATENATE(Liste!$C$3,$B$1133,$B$1359),Data!$BO:$BO,0)-2,12),IF(INDEX(Tab_DaBa[],MATCH(CONCATENATE(Liste!$C$3,$B$1133,$B$1359),Data!$BO:$BO,0)-2,58)&lt;&gt;"",INDEX(Tab_DaBa[],MATCH(CONCATENATE(Liste!$C$3,$B$1133,$B$1359),Data!$BO:$BO,0)-2,62),"")),"")</f>
        <v>aaaa-44_9</v>
      </c>
      <c r="G1378" s="39"/>
      <c r="H1378" s="35" t="str">
        <f ca="1">IFERROR(IF(INDEX(Tab_DaBa[],MATCH(CONCATENATE(Liste!$C$3,$B$1133,$B$1359),Data!$BO:$BO,0)-2,63)&lt;&gt;"",INDEX(Tab_DaBa[],MATCH(CONCATENATE(Liste!$C$3,$B$1133,$B$1359),Data!$BO:$BO,0)-2,12),""),"")</f>
        <v/>
      </c>
    </row>
    <row r="1379" spans="2:9" s="16" customFormat="1" ht="15.75">
      <c r="B1379" s="35" t="str">
        <f ca="1">IFERROR(IF(AND(INDEX(Tab_DaBa[],MATCH(CONCATENATE(Liste!$C$3,$B$1133,$B$1359),Data!$BO:$BO,0)-2,48)&lt;&gt;"",INDEX(Tab_DaBa[],MATCH(CONCATENATE(Liste!$C$3,$B$1133,$B$1359),Data!$BO:$BO,0)-2,53)=""),INDEX(Tab_DaBa[],MATCH(CONCATENATE(Liste!$C$3,$B$1133,$B$1359),Data!$BO:$BO,0)-2,13),IF(INDEX(Tab_DaBa[],MATCH(CONCATENATE(Liste!$C$3,$B$1133,$B$1359),Data!$BO:$BO,0)-2,48)&lt;&gt;"",INDEX(Tab_DaBa[],MATCH(CONCATENATE(Liste!$C$3,$B$1133,$B$1359),Data!$BO:$BO,0)-2,53),"")),"")</f>
        <v>Bez_Lo03_09</v>
      </c>
      <c r="C1379" s="38">
        <f ca="1">IF(D1377="","",4)</f>
        <v>4</v>
      </c>
      <c r="D1379" s="35" t="str">
        <f ca="1">IFERROR(IF(AND(INDEX(Tab_DaBa[],MATCH(CONCATENATE(Liste!$C$3,$B$1133,$B$1359),Data!$BO:$BO,0)-2,53)&lt;&gt;"",INDEX(Tab_DaBa[],MATCH(CONCATENATE(Liste!$C$3,$B$1133,$B$1359),Data!$BO:$BO,0)-2,58)=""),INDEX(Tab_DaBa[],MATCH(CONCATENATE(Liste!$C$3,$B$1133,$B$1359),Data!$BO:$BO,0)-2,13),IF(INDEX(Tab_DaBa[],MATCH(CONCATENATE(Liste!$C$3,$B$1133,$B$1359),Data!$BO:$BO,0)-2,53)&lt;&gt;"",INDEX(Tab_DaBa[],MATCH(CONCATENATE(Liste!$C$3,$B$1133,$B$1359),Data!$BO:$BO,0)-2,58),"")),"")</f>
        <v>Bez_Lo03_09</v>
      </c>
      <c r="E1379" s="38">
        <f ca="1">IF(F1377="","",4)</f>
        <v>4</v>
      </c>
      <c r="F1379" s="35" t="str">
        <f ca="1">IFERROR(IF(AND(INDEX(Tab_DaBa[],MATCH(CONCATENATE(Liste!$C$3,$B$1133,$B$1359),Data!$BO:$BO,0)-2,58)&lt;&gt;"",INDEX(Tab_DaBa[],MATCH(CONCATENATE(Liste!$C$3,$B$1133,$B$1359),Data!$BO:$BO,0)-2,63)=""),INDEX(Tab_DaBa[],MATCH(CONCATENATE(Liste!$C$3,$B$1133,$B$1359),Data!$BO:$BO,0)-2,13),IF(INDEX(Tab_DaBa[],MATCH(CONCATENATE(Liste!$C$3,$B$1133,$B$1359),Data!$BO:$BO,0)-2,58)&lt;&gt;"",INDEX(Tab_DaBa[],MATCH(CONCATENATE(Liste!$C$3,$B$1133,$B$1359),Data!$BO:$BO,0)-2,63),"")),"")</f>
        <v>Bez_Aus4_9</v>
      </c>
      <c r="G1379" s="38" t="str">
        <f ca="1">IF(H1377="","",4)</f>
        <v/>
      </c>
      <c r="H1379" s="35" t="str">
        <f ca="1">IFERROR(IF(INDEX(Tab_DaBa[],MATCH(CONCATENATE(Liste!$C$3,$B$1133,$B$1359),Data!$BO:$BO,0)-2,63)&lt;&gt;"",INDEX(Tab_DaBa[],MATCH(CONCATENATE(Liste!$C$3,$B$1133,$B$1359),Data!$BO:$BO,0)-2,13),""),"")</f>
        <v/>
      </c>
    </row>
    <row r="1380" spans="2:9" s="16" customFormat="1" ht="15.75">
      <c r="B1380" s="35" t="str">
        <f ca="1">IFERROR(IF(AND(INDEX(Tab_DaBa[],MATCH(CONCATENATE(Liste!$C$3,$B$1133,$B$1359),Data!$BO:$BO,0)-2,48)&lt;&gt;"",INDEX(Tab_DaBa[],MATCH(CONCATENATE(Liste!$C$3,$B$1133,$B$1359),Data!$BO:$BO,0)-2,53)=""),"Performance Level: "&amp;INDEX(Tab_DaBa[],MATCH(CONCATENATE(Liste!$C$3,$B$1133,$B$1359),Data!$BO:$BO,0)-2,15),IF(INDEX(Tab_DaBa[],MATCH(CONCATENATE(Liste!$C$3,$B$1133,$B$1359),Data!$BO:$BO,0)-2,48)&lt;&gt;"","Performance Level: "&amp;INDEX(Tab_DaBa[],MATCH(CONCATENATE(Liste!$C$3,$B$1133,$B$1359),Data!$BO:$BO,0)-2,55),"")),"")</f>
        <v>Performance Level: PL_Lo03_09</v>
      </c>
      <c r="C1380" s="39"/>
      <c r="D1380" s="35" t="str">
        <f ca="1">IFERROR(IF(AND(INDEX(Tab_DaBa[],MATCH(CONCATENATE(Liste!$C$3,$B$1133,$B$1359),Data!$BO:$BO,0)-2,53)&lt;&gt;"",INDEX(Tab_DaBa[],MATCH(CONCATENATE(Liste!$C$3,$B$1133,$B$1359),Data!$BO:$BO,0)-2,58)=""),"Performance Level: "&amp;INDEX(Tab_DaBa[],MATCH(CONCATENATE(Liste!$C$3,$B$1133,$B$1359),Data!$BO:$BO,0)-2,15),IF(INDEX(Tab_DaBa[],MATCH(CONCATENATE(Liste!$C$3,$B$1133,$B$1359),Data!$BO:$BO,0)-2,53)&lt;&gt;"","Performance Level: "&amp;INDEX(Tab_DaBa[],MATCH(CONCATENATE(Liste!$C$3,$B$1133,$B$1359),Data!$BO:$BO,0)-2,60),"")),"")</f>
        <v>Performance Level: PL_Lo03_09</v>
      </c>
      <c r="E1380" s="37"/>
      <c r="F1380" s="35" t="str">
        <f ca="1">IFERROR(IF(AND(INDEX(Tab_DaBa[],MATCH(CONCATENATE(Liste!$C$3,$B$1133,$B$1359),Data!$BO:$BO,0)-2,58)&lt;&gt;"",INDEX(Tab_DaBa[],MATCH(CONCATENATE(Liste!$C$3,$B$1133,$B$1359),Data!$BO:$BO,0)-2,63)=""),"Performance Level: "&amp;INDEX(Tab_DaBa[],MATCH(CONCATENATE(Liste!$C$3,$B$1133,$B$1359),Data!$BO:$BO,0)-2,15),IF(INDEX(Tab_DaBa[],MATCH(CONCATENATE(Liste!$C$3,$B$1133,$B$1359),Data!$BO:$BO,0)-2,58)&lt;&gt;"","Performance Level: "&amp;INDEX(Tab_DaBa[],MATCH(CONCATENATE(Liste!$C$3,$B$1133,$B$1359),Data!$BO:$BO,0)-2,65),"")),"")</f>
        <v>Performance Level: PL_Aus4_9</v>
      </c>
      <c r="G1380" s="39"/>
      <c r="H1380" s="35" t="str">
        <f ca="1">IFERROR(IF(INDEX(Tab_DaBa[],MATCH(CONCATENATE(Liste!$C$3,$B$1133,$B$1359),Data!$BO:$BO,0)-2,63)&lt;&gt;"","Performance Level: "&amp;INDEX(Tab_DaBa[],MATCH(CONCATENATE(Liste!$C$3,$B$1133,$B$1359),Data!$BO:$BO,0)-2,15),""),"")</f>
        <v/>
      </c>
    </row>
    <row r="1381" spans="2:9" s="16" customFormat="1" ht="15.75">
      <c r="B1381" s="35" t="str">
        <f ca="1">IFERROR(IF(AND(INDEX(Tab_DaBa[],MATCH(CONCATENATE(Liste!$C$3,$B$1133,$B$1359),Data!$BO:$BO,0)-2,48)&lt;&gt;"",INDEX(Tab_DaBa[],MATCH(CONCATENATE(Liste!$C$3,$B$1133,$B$1359),Data!$BO:$BO,0)-2,53)=""),"PFH [1/h] = "&amp;10^9*INDEX(Tab_DaBa[],MATCH(CONCATENATE(Liste!$C$3,$B$1133,$B$1359),Data!$BO:$BO,0)-2,16)&amp;"E-9",IF(INDEX(Tab_DaBa[],MATCH(CONCATENATE(Liste!$C$3,$B$1133,$B$1359),Data!$BO:$BO,0)-2,48)&lt;&gt;"","PFH [1/h] = "&amp;10^9*INDEX(Tab_DaBa[],MATCH(CONCATENATE(Liste!$C$3,$B$1133,$B$1359),Data!$BO:$BO,0)-2,56)&amp;"E-9","")),"")</f>
        <v>PFH [1/h] = 4,19E-9</v>
      </c>
      <c r="C1381" s="39"/>
      <c r="D1381" s="35" t="str">
        <f ca="1">IFERROR(IF(AND(INDEX(Tab_DaBa[],MATCH(CONCATENATE(Liste!$C$3,$B$1133,$B$1359),Data!$BO:$BO,0)-2,53)&lt;&gt;"",INDEX(Tab_DaBa[],MATCH(CONCATENATE(Liste!$C$3,$B$1133,$B$1359),Data!$BO:$BO,0)-2,58)=""),"PFH [1/h] = "&amp;10^9*INDEX(Tab_DaBa[],MATCH(CONCATENATE(Liste!$C$3,$B$1133,$B$1359),Data!$BO:$BO,0)-2,16)&amp;"E-9",IF(INDEX(Tab_DaBa[],MATCH(CONCATENATE(Liste!$C$3,$B$1133,$B$1359),Data!$BO:$BO,0)-2,53)&lt;&gt;"","PFH [1/h] = "&amp;10^9*INDEX(Tab_DaBa[],MATCH(CONCATENATE(Liste!$C$3,$B$1133,$B$1359),Data!$BO:$BO,0)-2,61)&amp;"E-9","")),"")</f>
        <v>PFH [1/h] = 4,19E-9</v>
      </c>
      <c r="E1381" s="37"/>
      <c r="F1381" s="35" t="str">
        <f ca="1">IFERROR(IF(AND(INDEX(Tab_DaBa[],MATCH(CONCATENATE(Liste!$C$3,$B$1133,$B$1359),Data!$BO:$BO,0)-2,58)&lt;&gt;"",INDEX(Tab_DaBa[],MATCH(CONCATENATE(Liste!$C$3,$B$1133,$B$1359),Data!$BO:$BO,0)-2,63)=""),"PFH [1/h] = "&amp;10^9*INDEX(Tab_DaBa[],MATCH(CONCATENATE(Liste!$C$3,$B$1133,$B$1359),Data!$BO:$BO,0)-2,16)&amp;"E-9",IF(INDEX(Tab_DaBa[],MATCH(CONCATENATE(Liste!$C$3,$B$1133,$B$1359),Data!$BO:$BO,0)-2,58)&lt;&gt;"","PFH [1/h] = "&amp;10^9*INDEX(Tab_DaBa[],MATCH(CONCATENATE(Liste!$C$3,$B$1133,$B$1359),Data!$BO:$BO,0)-2,66)&amp;"E-9","")),"")</f>
        <v>PFH [1/h] = 24,7E-9</v>
      </c>
      <c r="G1381" s="39"/>
      <c r="H1381" s="35" t="str">
        <f ca="1">IFERROR(IF(INDEX(Tab_DaBa[],MATCH(CONCATENATE(Liste!$C$3,$B$1133,$B$1359),Data!$BO:$BO,0)-2,63)&lt;&gt;"","PFH [1/h] = "&amp;10^9*INDEX(Tab_DaBa[],MATCH(CONCATENATE(Liste!$C$3,$B$1133,$B$1359),Data!$BO:$BO,0)-2,16)&amp;"E-9",""),"")</f>
        <v/>
      </c>
    </row>
    <row r="1382" spans="2:9" s="16" customFormat="1"/>
    <row r="1383" spans="2:9" s="16" customFormat="1">
      <c r="B1383" s="43" t="str">
        <f ca="1">IF(D1383="","","Erforderlich")</f>
        <v>Erforderlich</v>
      </c>
      <c r="D1383" s="44" t="str">
        <f ca="1">IFERROR("Performance Level: "&amp;INDEX(Tab_DaBa[],MATCH(CONCATENATE(Liste!$C$3,$B$1133,$B$1359),Data!$BO:$BO,0)-2,4),"")</f>
        <v>Performance Level: PLr_ges4_9</v>
      </c>
    </row>
    <row r="1384" spans="2:9" s="16" customFormat="1">
      <c r="B1384" s="45"/>
    </row>
    <row r="1385" spans="2:9" s="16" customFormat="1">
      <c r="B1385" s="46" t="str">
        <f ca="1">IF(D1385="","","Erreicht")</f>
        <v>Erreicht</v>
      </c>
      <c r="D1385" s="47" t="str">
        <f ca="1">IFERROR("Performance Level: "&amp;INDEX(Tab_DaBa[],MATCH(CONCATENATE(Liste!$C$3,$B$1133,$B$1359),Data!$BO:$BO,0)-2,5)&amp;"          PFH [1/h] = "&amp;10^9*INDEX(Tab_DaBa[],MATCH(CONCATENATE(Liste!$C$3,$B$1133,$B$1359),Data!$BO:$BO,0)-2,6)&amp;"E-9","")</f>
        <v>Performance Level: Pl_ges4_9          PFH [1/h] = 71,7E-9</v>
      </c>
    </row>
    <row r="1386" spans="2:9" s="16" customFormat="1">
      <c r="B1386" s="50"/>
      <c r="C1386" s="49"/>
      <c r="D1386" s="49"/>
    </row>
    <row r="1387" spans="2:9" s="16" customFormat="1">
      <c r="B1387" s="42" t="str">
        <f ca="1">IFERROR(IF(10&gt;COUNTIF(Data!$BP:$BP,CONCATENATE(Liste!$C$3,$B$1133)),"",INDEX(Tab_DaBa[],MATCH(CONCATENATE(Liste!$C$3,$B$1133),Data!$BP:$BP,0)+7,3)),"")</f>
        <v>5.10 Test4 (E+10L+A)</v>
      </c>
    </row>
    <row r="1388" spans="2:9" s="16" customFormat="1"/>
    <row r="1389" spans="2:9" s="16" customFormat="1" ht="15.75">
      <c r="B1389" s="35" t="str">
        <f ca="1">IFERROR(INDEX(Tab_DaBa[],MATCH(CONCATENATE(Liste!$C$3,$B$1133,$B$1387),Data!$BO:$BO,0)-2,9),"")</f>
        <v>Eingang</v>
      </c>
      <c r="C1389" s="54"/>
      <c r="D1389" s="35" t="str">
        <f ca="1">IFERROR(IF(INDEX(Tab_DaBa[],MATCH(CONCATENATE(Liste!$C$3,$B$1133,$B$1387),Data!$BO:$BO,0)-2,18)=0,INDEX(Tab_DaBa[],MATCH(CONCATENATE(Liste!$C$3,$B$1133,$B$1387),Data!$BO:$BO,0)-2,14),INDEX(Tab_DaBa[],MATCH(CONCATENATE(Liste!$C$3,$B$1133,$B$1387),Data!$BO:$BO,0)-2,19)),"")</f>
        <v>Logik 01</v>
      </c>
      <c r="E1389" s="33"/>
      <c r="F1389" s="35" t="str">
        <f ca="1">IFERROR(IF(AND(INDEX(Tab_DaBa[],MATCH(CONCATENATE(Liste!$C$3,$B$1133,$B$1387),Data!$BO:$BO,0)-2,18)&lt;&gt;"",INDEX(Tab_DaBa[],MATCH(CONCATENATE(Liste!$C$3,$B$1133,$B$1387),Data!$BO:$BO,0)-2,23)=0),INDEX(Tab_DaBa[],MATCH(CONCATENATE(Liste!$C$3,$B$1133,$B$1387),Data!$BO:$BO,0)-2,14),IF(INDEX(Tab_DaBa[],MATCH(CONCATENATE(Liste!$C$3,$B$1133,$B$1387),Data!$BO:$BO,0)-2,23)&lt;&gt;"",INDEX(Tab_DaBa[],MATCH(CONCATENATE(Liste!$C$3,$B$1133,$B$1387),Data!$BO:$BO,0)-2,24),"")),"")</f>
        <v>Logik 02</v>
      </c>
      <c r="G1389" s="39"/>
      <c r="H1389" s="35" t="str">
        <f ca="1">IFERROR(IF(AND(INDEX(Tab_DaBa[],MATCH(CONCATENATE(Liste!$C$3,$B$1133,$B$1387),Data!$BO:$BO,0)-2,23)&lt;&gt;"",INDEX(Tab_DaBa[],MATCH(CONCATENATE(Liste!$C$3,$B$1133,$B$1387),Data!$BO:$BO,0)-2,28)=0),INDEX(Tab_DaBa[],MATCH(CONCATENATE(Liste!$C$3,$B$1133,$B$1387),Data!$BO:$BO,0)-2,14),IF(INDEX(Tab_DaBa[],MATCH(CONCATENATE(Liste!$C$3,$B$1133,$B$1387),Data!$BO:$BO,0)-2,23)&lt;&gt;"",INDEX(Tab_DaBa[],MATCH(CONCATENATE(Liste!$C$3,$B$1133,$B$1387),Data!$BO:$BO,0)-2,29),"")),"")</f>
        <v>Logik 03</v>
      </c>
      <c r="I1389" s="39"/>
    </row>
    <row r="1390" spans="2:9" s="16" customFormat="1" ht="15.75">
      <c r="B1390" s="35" t="str">
        <f ca="1">IFERROR(INDEX(Tab_DaBa[],MATCH(CONCATENATE(Liste!$C$3,$B$1133,$B$1387),Data!$BO:$BO,0)-2,7),"")</f>
        <v>eeee-33_10</v>
      </c>
      <c r="C1390" s="54"/>
      <c r="D1390" s="35" t="str">
        <f ca="1">IFERROR(IF(INDEX(Tab_DaBa[],MATCH(CONCATENATE(Liste!$C$3,$B$1133,$B$1387),Data!$BO:$BO,0)-2,18)="",INDEX(Tab_DaBa[],MATCH(CONCATENATE(Liste!$C$3,$B$1133,$B$1387),Data!$BO:$BO,0)-2,12),INDEX(Tab_DaBa[],MATCH(CONCATENATE(Liste!$C$3,$B$1133,$B$1387),Data!$BO:$BO,0)-2,17)),"")</f>
        <v>Log01-04_10</v>
      </c>
      <c r="E1390" s="36"/>
      <c r="F1390" s="35" t="str">
        <f ca="1">IFERROR(IF(AND(INDEX(Tab_DaBa[],MATCH(CONCATENATE(Liste!$C$3,$B$1133,$B$1387),Data!$BO:$BO,0)-2,18)&lt;&gt;"",INDEX(Tab_DaBa[],MATCH(CONCATENATE(Liste!$C$3,$B$1133,$B$1387),Data!$BO:$BO,0)-2,23)=0),INDEX(Tab_DaBa[],MATCH(CONCATENATE(Liste!$C$3,$B$1133,$B$1387),Data!$BO:$BO,0)-2,12),IF(INDEX(Tab_DaBa[],MATCH(CONCATENATE(Liste!$C$3,$B$1133,$B$1387),Data!$BO:$BO,0)-2,23)&lt;&gt;"",INDEX(Tab_DaBa[],MATCH(CONCATENATE(Liste!$C$3,$B$1133,$B$1387),Data!$BO:$BO,0)-2,22),"")),"")</f>
        <v>Lo04-04_10</v>
      </c>
      <c r="G1390" s="39"/>
      <c r="H1390" s="35" t="str">
        <f ca="1">IFERROR(IF(AND(INDEX(Tab_DaBa[],MATCH(CONCATENATE(Liste!$C$3,$B$1133,$B$1387),Data!$BO:$BO,0)-2,23)&lt;&gt;"",INDEX(Tab_DaBa[],MATCH(CONCATENATE(Liste!$C$3,$B$1133,$B$1387),Data!$BO:$BO,0)-2,28)=0),INDEX(Tab_DaBa[],MATCH(CONCATENATE(Liste!$C$3,$B$1133,$B$1387),Data!$BO:$BO,0)-2,12),IF(INDEX(Tab_DaBa[],MATCH(CONCATENATE(Liste!$C$3,$B$1133,$B$1387),Data!$BO:$BO,0)-2,23)&lt;&gt;"",INDEX(Tab_DaBa[],MATCH(CONCATENATE(Liste!$C$3,$B$1133,$B$1387),Data!$BO:$BO,0)-2,27),"")),"")</f>
        <v>Lo04-44_10</v>
      </c>
      <c r="I1390" s="39"/>
    </row>
    <row r="1391" spans="2:9" s="16" customFormat="1" ht="15.75">
      <c r="B1391" s="35" t="str">
        <f ca="1">IFERROR(INDEX(Tab_DaBa[],MATCH(CONCATENATE(Liste!$C$3,$B$1133,$B$1387),Data!$BO:$BO,0)-2,8),"")</f>
        <v>Bez_Ein4_10</v>
      </c>
      <c r="C1391" s="40">
        <f ca="1">IF(D1389="","",4)</f>
        <v>4</v>
      </c>
      <c r="D1391" s="35" t="str">
        <f ca="1">IFERROR(IF(INDEX(Tab_DaBa[],MATCH(CONCATENATE(Liste!$C$3,$B$1133,$B$1387),Data!$BO:$BO,0)-2,18)="",INDEX(Tab_DaBa[],MATCH(CONCATENATE(Liste!$C$3,$B$1133,$B$1387),Data!$BO:$BO,0)-2,13),INDEX(Tab_DaBa[],MATCH(CONCATENATE(Liste!$C$3,$B$1133,$B$1387),Data!$BO:$BO,0)-2,18)),"")</f>
        <v>Bez_Log01_04_10</v>
      </c>
      <c r="E1391" s="40">
        <f ca="1">IF(F1389="","",4)</f>
        <v>4</v>
      </c>
      <c r="F1391" s="35" t="str">
        <f ca="1">IFERROR(IF(AND(INDEX(Tab_DaBa[],MATCH(CONCATENATE(Liste!$C$3,$B$1133,$B$1387),Data!$BO:$BO,0)-2,18)&lt;&gt;"",INDEX(Tab_DaBa[],MATCH(CONCATENATE(Liste!$C$3,$B$1133,$B$1387),Data!$BO:$BO,0)-2,23)=""),INDEX(Tab_DaBa[],MATCH(CONCATENATE(Liste!$C$3,$B$1133,$B$1387),Data!$BO:$BO,0)-2,13),IF(INDEX(Tab_DaBa[],MATCH(CONCATENATE(Liste!$C$3,$B$1133,$B$1387),Data!$BO:$BO,0)-2,23)&lt;&gt;"",INDEX(Tab_DaBa[],MATCH(CONCATENATE(Liste!$C$3,$B$1133,$B$1387),Data!$BO:$BO,0)-2,23),"")),"")</f>
        <v>Bez_Lo04_10</v>
      </c>
      <c r="G1391" s="38">
        <f ca="1">IF(H1389="","",4)</f>
        <v>4</v>
      </c>
      <c r="H1391" s="35" t="str">
        <f ca="1">IFERROR(IF(AND(INDEX(Tab_DaBa[],MATCH(CONCATENATE(Liste!$C$3,$B$1133,$B$1387),Data!$BO:$BO,0)-2,23)&lt;&gt;"",INDEX(Tab_DaBa[],MATCH(CONCATENATE(Liste!$C$3,$B$1133,$B$1387),Data!$BO:$BO,0)-2,28)=""),INDEX(Tab_DaBa[],MATCH(CONCATENATE(Liste!$C$3,$B$1133,$B$1387),Data!$BO:$BO,0)-2,13),IF(INDEX(Tab_DaBa[],MATCH(CONCATENATE(Liste!$C$3,$B$1133,$B$1387),Data!$BO:$BO,0)-2,23)&lt;&gt;"",INDEX(Tab_DaBa[],MATCH(CONCATENATE(Liste!$C$3,$B$1133,$B$1387),Data!$BO:$BO,0)-2,28),"")),"")</f>
        <v>Bez_Lo04_10</v>
      </c>
      <c r="I1391" s="38">
        <f ca="1">IF(B1397="","",6)</f>
        <v>6</v>
      </c>
    </row>
    <row r="1392" spans="2:9" s="16" customFormat="1" ht="15.75">
      <c r="B1392" s="35" t="str">
        <f ca="1">IFERROR("Performance Level: "&amp;INDEX(Tab_DaBa[],MATCH(CONCATENATE(Liste!$C$3,$B$1133,$B$1387),Data!$BO:$BO,0)-2,10),"")</f>
        <v>Performance Level: PL_Ein4_10</v>
      </c>
      <c r="C1392" s="54"/>
      <c r="D1392" s="35" t="str">
        <f ca="1">IFERROR(IF(INDEX(Tab_DaBa[],MATCH(CONCATENATE(Liste!$C$3,$B$1133,$B$1387),Data!$BO:$BO,0)-2,18)="","Performance Level: "&amp;INDEX(Tab_DaBa[],MATCH(CONCATENATE(Liste!$C$3,$B$1133,$B$1387),Data!$BO:$BO,0)-2,15),"Performance Level: "&amp;INDEX(Tab_DaBa[],MATCH(CONCATENATE(Liste!$C$3,$B$1133,$B$1387),Data!$BO:$BO,0)-2,20)),"")</f>
        <v>Performance Level: PL_Log01_04_10</v>
      </c>
      <c r="E1392" s="36"/>
      <c r="F1392" s="35" t="str">
        <f ca="1">IFERROR(IF(AND(INDEX(Tab_DaBa[],MATCH(CONCATENATE(Liste!$C$3,$B$1133,$B$1387),Data!$BO:$BO,0)-2,18)&lt;&gt;"",INDEX(Tab_DaBa[],MATCH(CONCATENATE(Liste!$C$3,$B$1133,$B$1387),Data!$BO:$BO,0)-2,23)=""),"Performance Level: "&amp;INDEX(Tab_DaBa[],MATCH(CONCATENATE(Liste!$C$3,$B$1133,$B$1387),Data!$BO:$BO,0)-2,15),IF(INDEX(Tab_DaBa[],MATCH(CONCATENATE(Liste!$C$3,$B$1133,$B$1387),Data!$BO:$BO,0)-2,23)&lt;&gt;"","Performance Level: "&amp;INDEX(Tab_DaBa[],MATCH(CONCATENATE(Liste!$C$3,$B$1133,$B$1387),Data!$BO:$BO,0)-2,25),"")),"")</f>
        <v>Performance Level: PL_Lo04_10</v>
      </c>
      <c r="G1392" s="39"/>
      <c r="H1392" s="35" t="str">
        <f ca="1">IFERROR(IF(AND(INDEX(Tab_DaBa[],MATCH(CONCATENATE(Liste!$C$3,$B$1133,$B$1387),Data!$BO:$BO,0)-2,23)&lt;&gt;"",INDEX(Tab_DaBa[],MATCH(CONCATENATE(Liste!$C$3,$B$1133,$B$1387),Data!$BO:$BO,0)-2,28)=""),"Performance Level: "&amp;INDEX(Tab_DaBa[],MATCH(CONCATENATE(Liste!$C$3,$B$1133,$B$1387),Data!$BO:$BO,0)-2,15),IF(INDEX(Tab_DaBa[],MATCH(CONCATENATE(Liste!$C$3,$B$1133,$B$1387),Data!$BO:$BO,0)-2,23)&lt;&gt;"","Performance Level: "&amp;INDEX(Tab_DaBa[],MATCH(CONCATENATE(Liste!$C$3,$B$1133,$B$1387),Data!$BO:$BO,0)-2,30),"")),"")</f>
        <v>Performance Level: PL_Lo04_10</v>
      </c>
      <c r="I1392" s="38"/>
    </row>
    <row r="1393" spans="2:9" s="16" customFormat="1" ht="15.75">
      <c r="B1393" s="53" t="str">
        <f ca="1">IFERROR("PFH [1/h] = "&amp;10^9*INDEX(Tab_DaBa[],MATCH(CONCATENATE(Liste!$C$3,$B$1133,$B$1387),Data!$BO:$BO,0)-2,11)&amp;"E-9","")</f>
        <v>PFH [1/h] = 42,9E-9</v>
      </c>
      <c r="C1393" s="54"/>
      <c r="D1393" s="35" t="str">
        <f ca="1">IFERROR(IF(INDEX(Tab_DaBa[],MATCH(CONCATENATE(Liste!$C$3,$B$1133,$B$1387),Data!$BO:$BO,0)-2,18)="","PFH [1/h] = "&amp;10^9*INDEX(Tab_DaBa[],MATCH(CONCATENATE(Liste!$C$3,$B$1133,$B$1387),Data!$BO:$BO,0)-2,16)&amp;"E-9","PFH [1/h] = "&amp;10^9*INDEX(Tab_DaBa[],MATCH(CONCATENATE(Liste!$C$3,$B$1133,$B$1387),Data!$BO:$BO,0)-2,21)&amp;"E-9"),"")</f>
        <v>PFH [1/h] = 4,19E-9</v>
      </c>
      <c r="E1393" s="36"/>
      <c r="F1393" s="35" t="str">
        <f ca="1">IFERROR(IF(AND(INDEX(Tab_DaBa[],MATCH(CONCATENATE(Liste!$C$3,$B$1133,$B$1387),Data!$BO:$BO,0)-2,18)&lt;&gt;"",INDEX(Tab_DaBa[],MATCH(CONCATENATE(Liste!$C$3,$B$1133,$B$1387),Data!$BO:$BO,0)-2,23)=""),"PFH [1/h] = "&amp;10^9*INDEX(Tab_DaBa[],MATCH(CONCATENATE(Liste!$C$3,$B$1133,$B$1387),Data!$BO:$BO,0)-2,16)&amp;"E-9",IF(INDEX(Tab_DaBa[],MATCH(CONCATENATE(Liste!$C$3,$B$1133,$B$1387),Data!$BO:$BO,0)-2,23)&lt;&gt;"","PFH [1/h] = "&amp;10^9*INDEX(Tab_DaBa[],MATCH(CONCATENATE(Liste!$C$3,$B$1133,$B$1387),Data!$BO:$BO,0)-2,26)&amp;"E-9","")),"")</f>
        <v>PFH [1/h] = 4,19E-9</v>
      </c>
      <c r="G1393" s="39"/>
      <c r="H1393" s="35" t="str">
        <f ca="1">IFERROR(IF(AND(INDEX(Tab_DaBa[],MATCH(CONCATENATE(Liste!$C$3,$B$1133,$B$1387),Data!$BO:$BO,0)-2,23)&lt;&gt;"",INDEX(Tab_DaBa[],MATCH(CONCATENATE(Liste!$C$3,$B$1133,$B$1387),Data!$BO:$BO,0)-2,28)=""),"PFH [1/h] = "&amp;10^9*INDEX(Tab_DaBa[],MATCH(CONCATENATE(Liste!$C$3,$B$1133,$B$1387),Data!$BO:$BO,0)-2,16)&amp;"E-9",IF(INDEX(Tab_DaBa[],MATCH(CONCATENATE(Liste!$C$3,$B$1133,$B$1387),Data!$BO:$BO,0)-2,23)&lt;&gt;"","PFH [1/h] = "&amp;10^9*INDEX(Tab_DaBa[],MATCH(CONCATENATE(Liste!$C$3,$B$1133,$B$1387),Data!$BO:$BO,0)-2,31)&amp;"E-9","")),"")</f>
        <v>PFH [1/h] = 4,19E-9</v>
      </c>
      <c r="I1393" s="39"/>
    </row>
    <row r="1394" spans="2:9" s="16" customFormat="1">
      <c r="B1394" s="33"/>
      <c r="C1394" s="34"/>
      <c r="D1394" s="33"/>
      <c r="E1394" s="33"/>
      <c r="F1394" s="33"/>
      <c r="G1394" s="33"/>
      <c r="H1394" s="33"/>
      <c r="I1394" s="33"/>
    </row>
    <row r="1395" spans="2:9" s="16" customFormat="1" ht="15.75">
      <c r="B1395" s="38">
        <f ca="1">IF(B1397="","",6)</f>
        <v>6</v>
      </c>
      <c r="C1395" s="34"/>
      <c r="D1395" s="38">
        <f ca="1">IF(B1397="","",3)</f>
        <v>3</v>
      </c>
      <c r="E1395" s="33"/>
      <c r="F1395" s="38">
        <f ca="1">IF(B1397="","",3)</f>
        <v>3</v>
      </c>
      <c r="G1395" s="33"/>
      <c r="H1395" s="38">
        <f ca="1">IF(B1397="","",3)</f>
        <v>3</v>
      </c>
      <c r="I1395" s="33"/>
    </row>
    <row r="1396" spans="2:9" s="16" customFormat="1" ht="15.75">
      <c r="B1396" s="39"/>
      <c r="C1396" s="33"/>
      <c r="D1396" s="33"/>
      <c r="E1396" s="33"/>
      <c r="F1396" s="33"/>
      <c r="G1396" s="33"/>
      <c r="H1396" s="33"/>
      <c r="I1396" s="33"/>
    </row>
    <row r="1397" spans="2:9" s="16" customFormat="1" ht="15.75">
      <c r="B1397" s="35" t="str">
        <f ca="1">IFERROR(IF(AND(INDEX(Tab_DaBa[],MATCH(CONCATENATE(Liste!$C$3,$B$1133,$B$1387),Data!$BO:$BO,0)-2,28)&lt;&gt;"",INDEX(Tab_DaBa[],MATCH(CONCATENATE(Liste!$C$3,$B$1133,$B$1387),Data!$BO:$BO,0)-2,33)=0),INDEX(Tab_DaBa[],MATCH(CONCATENATE(Liste!$C$3,$B$1133,$B$1387),Data!$BO:$BO,0)-2,14),IF(INDEX(Tab_DaBa[],MATCH(CONCATENATE(Liste!$C$3,$B$1133,$B$1387),Data!$BO:$BO,0)-2,28)&lt;&gt;"",INDEX(Tab_DaBa[],MATCH(CONCATENATE(Liste!$C$3,$B$1133,$B$1387),Data!$BO:$BO,0)-2,34),"")),"")</f>
        <v>Logik 04</v>
      </c>
      <c r="C1397" s="39"/>
      <c r="D1397" s="35" t="str">
        <f ca="1">IFERROR(IF(AND(INDEX(Tab_DaBa[],MATCH(CONCATENATE(Liste!$C$3,$B$1133,$B$1387),Data!$BO:$BO,0)-2,33)&lt;&gt;"",INDEX(Tab_DaBa[],MATCH(CONCATENATE(Liste!$C$3,$B$1133,$B$1387),Data!$BO:$BO,0)-2,38)=0),INDEX(Tab_DaBa[],MATCH(CONCATENATE(Liste!$C$3,$B$1133,$B$1387),Data!$BO:$BO,0)-2,14),IF(INDEX(Tab_DaBa[],MATCH(CONCATENATE(Liste!$C$3,$B$1133,$B$1387),Data!$BO:$BO,0)-2,33)&lt;&gt;"",INDEX(Tab_DaBa[],MATCH(CONCATENATE(Liste!$C$3,$B$1133,$B$1387),Data!$BO:$BO,0)-2,39),"")),"")</f>
        <v>Logik 08</v>
      </c>
      <c r="E1397" s="33"/>
      <c r="F1397" s="35" t="str">
        <f ca="1">IFERROR(IF(AND(INDEX(Tab_DaBa[],MATCH(CONCATENATE(Liste!$C$3,$B$1133,$B$1387),Data!$BO:$BO,0)-2,38)&lt;&gt;"",INDEX(Tab_DaBa[],MATCH(CONCATENATE(Liste!$C$3,$B$1133,$B$1387),Data!$BO:$BO,0)-2,43)=0),INDEX(Tab_DaBa[],MATCH(CONCATENATE(Liste!$C$3,$B$1133,$B$1387),Data!$BO:$BO,0)-2,14),IF(INDEX(Tab_DaBa[],MATCH(CONCATENATE(Liste!$C$3,$B$1133,$B$1387),Data!$BO:$BO,0)-2,38)&lt;&gt;"",INDEX(Tab_DaBa[],MATCH(CONCATENATE(Liste!$C$3,$B$1133,$B$1387),Data!$BO:$BO,0)-2,44),"")),"")</f>
        <v>Logik 06</v>
      </c>
      <c r="G1397" s="39"/>
      <c r="H1397" s="35" t="str">
        <f ca="1">IFERROR(IF(AND(INDEX(Tab_DaBa[],MATCH(CONCATENATE(Liste!$C$3,$B$1133,$B$1387),Data!$BO:$BO,0)-2,43)&lt;&gt;"",INDEX(Tab_DaBa[],MATCH(CONCATENATE(Liste!$C$3,$B$1133,$B$1387),Data!$BO:$BO,0)-2,48)=0),INDEX(Tab_DaBa[],MATCH(CONCATENATE(Liste!$C$3,$B$1133,$B$1387),Data!$BO:$BO,0)-2,14),IF(INDEX(Tab_DaBa[],MATCH(CONCATENATE(Liste!$C$3,$B$1133,$B$1387),Data!$BO:$BO,0)-2,43)&lt;&gt;"",INDEX(Tab_DaBa[],MATCH(CONCATENATE(Liste!$C$3,$B$1133,$B$1387),Data!$BO:$BO,0)-2,49),"")),"")</f>
        <v>Logik 07</v>
      </c>
      <c r="I1397" s="39"/>
    </row>
    <row r="1398" spans="2:9" s="16" customFormat="1" ht="15.75">
      <c r="B1398" s="35" t="str">
        <f ca="1">IFERROR(IF(AND(INDEX(Tab_DaBa[],MATCH(CONCATENATE(Liste!$C$3,$B$1133,$B$1387),Data!$BO:$BO,0)-2,28)&lt;&gt;"",INDEX(Tab_DaBa[],MATCH(CONCATENATE(Liste!$C$3,$B$1133,$B$1387),Data!$BO:$BO,0)-2,33)=0),INDEX(Tab_DaBa[],MATCH(CONCATENATE(Liste!$C$3,$B$1133,$B$1387),Data!$BO:$BO,0)-2,12),IF(INDEX(Tab_DaBa[],MATCH(CONCATENATE(Liste!$C$3,$B$1133,$B$1387),Data!$BO:$BO,0)-2,28)&lt;&gt;"",INDEX(Tab_DaBa[],MATCH(CONCATENATE(Liste!$C$3,$B$1133,$B$1387),Data!$BO:$BO,0)-2,32),"")),"")</f>
        <v>Lo04-44_10</v>
      </c>
      <c r="C1398" s="39"/>
      <c r="D1398" s="35" t="str">
        <f ca="1">IFERROR(IF(AND(INDEX(Tab_DaBa[],MATCH(CONCATENATE(Liste!$C$3,$B$1133,$B$1387),Data!$BO:$BO,0)-2,33)&lt;&gt;"",INDEX(Tab_DaBa[],MATCH(CONCATENATE(Liste!$C$3,$B$1133,$B$1387),Data!$BO:$BO,0)-2,38)=0),INDEX(Tab_DaBa[],MATCH(CONCATENATE(Liste!$C$3,$B$1133,$B$1387),Data!$BO:$BO,0)-2,12),IF(INDEX(Tab_DaBa[],MATCH(CONCATENATE(Liste!$C$3,$B$1133,$B$1387),Data!$BO:$BO,0)-2,33)&lt;&gt;"",INDEX(Tab_DaBa[],MATCH(CONCATENATE(Liste!$C$3,$B$1133,$B$1387),Data!$BO:$BO,0)-2,37),"")),"")</f>
        <v>Lo04-44_10</v>
      </c>
      <c r="E1398" s="37"/>
      <c r="F1398" s="35" t="str">
        <f ca="1">IFERROR(IF(AND(INDEX(Tab_DaBa[],MATCH(CONCATENATE(Liste!$C$3,$B$1133,$B$1387),Data!$BO:$BO,0)-2,38)&lt;&gt;"",INDEX(Tab_DaBa[],MATCH(CONCATENATE(Liste!$C$3,$B$1133,$B$1387),Data!$BO:$BO,0)-2,43)=0),INDEX(Tab_DaBa[],MATCH(CONCATENATE(Liste!$C$3,$B$1133,$B$1387),Data!$BO:$BO,0)-2,12),IF(INDEX(Tab_DaBa[],MATCH(CONCATENATE(Liste!$C$3,$B$1133,$B$1387),Data!$BO:$BO,0)-2,38)&lt;&gt;"",INDEX(Tab_DaBa[],MATCH(CONCATENATE(Liste!$C$3,$B$1133,$B$1387),Data!$BO:$BO,0)-2,42),"")),"")</f>
        <v>Lo03-33_10</v>
      </c>
      <c r="G1398" s="39"/>
      <c r="H1398" s="35" t="str">
        <f ca="1">IFERROR(IF(AND(INDEX(Tab_DaBa[],MATCH(CONCATENATE(Liste!$C$3,$B$1133,$B$1387),Data!$BO:$BO,0)-2,43)&lt;&gt;"",INDEX(Tab_DaBa[],MATCH(CONCATENATE(Liste!$C$3,$B$1133,$B$1387),Data!$BO:$BO,0)-2,48)=0),INDEX(Tab_DaBa[],MATCH(CONCATENATE(Liste!$C$3,$B$1133,$B$1387),Data!$BO:$BO,0)-2,12),IF(INDEX(Tab_DaBa[],MATCH(CONCATENATE(Liste!$C$3,$B$1133,$B$1387),Data!$BO:$BO,0)-2,43)&lt;&gt;"",INDEX(Tab_DaBa[],MATCH(CONCATENATE(Liste!$C$3,$B$1133,$B$1387),Data!$BO:$BO,0)-2,47),"")),"")</f>
        <v>Lo03-33_10</v>
      </c>
      <c r="I1398" s="39"/>
    </row>
    <row r="1399" spans="2:9" s="16" customFormat="1" ht="15.75">
      <c r="B1399" s="35" t="str">
        <f ca="1">IFERROR(IF(AND(INDEX(Tab_DaBa[],MATCH(CONCATENATE(Liste!$C$3,$B$1133,$B$1387),Data!$BO:$BO,0)-2,28)&lt;&gt;"",INDEX(Tab_DaBa[],MATCH(CONCATENATE(Liste!$C$3,$B$1133,$B$1387),Data!$BO:$BO,0)-2,33)=""),INDEX(Tab_DaBa[],MATCH(CONCATENATE(Liste!$C$3,$B$1133,$B$1387),Data!$BO:$BO,0)-2,13),IF(INDEX(Tab_DaBa[],MATCH(CONCATENATE(Liste!$C$3,$B$1133,$B$1387),Data!$BO:$BO,0)-2,28)&lt;&gt;"",INDEX(Tab_DaBa[],MATCH(CONCATENATE(Liste!$C$3,$B$1133,$B$1387),Data!$BO:$BO,0)-2,33),"")),"")</f>
        <v>Bez_Lo04_10</v>
      </c>
      <c r="C1399" s="38">
        <f ca="1">IF(D1397="","",4)</f>
        <v>4</v>
      </c>
      <c r="D1399" s="35" t="str">
        <f ca="1">IFERROR(IF(AND(INDEX(Tab_DaBa[],MATCH(CONCATENATE(Liste!$C$3,$B$1133,$B$1387),Data!$BO:$BO,0)-2,33)&lt;&gt;"",INDEX(Tab_DaBa[],MATCH(CONCATENATE(Liste!$C$3,$B$1133,$B$1387),Data!$BO:$BO,0)-2,38)=""),INDEX(Tab_DaBa[],MATCH(CONCATENATE(Liste!$C$3,$B$1133,$B$1387),Data!$BO:$BO,0)-2,13),IF(INDEX(Tab_DaBa[],MATCH(CONCATENATE(Liste!$C$3,$B$1133,$B$1387),Data!$BO:$BO,0)-2,33)&lt;&gt;"",INDEX(Tab_DaBa[],MATCH(CONCATENATE(Liste!$C$3,$B$1133,$B$1387),Data!$BO:$BO,0)-2,38),"")),"")</f>
        <v>Bez_Lo03_10</v>
      </c>
      <c r="E1399" s="38">
        <f ca="1">IF(F1397="","",4)</f>
        <v>4</v>
      </c>
      <c r="F1399" s="35" t="str">
        <f ca="1">IFERROR(IF(AND(INDEX(Tab_DaBa[],MATCH(CONCATENATE(Liste!$C$3,$B$1133,$B$1387),Data!$BO:$BO,0)-2,38)&lt;&gt;"",INDEX(Tab_DaBa[],MATCH(CONCATENATE(Liste!$C$3,$B$1133,$B$1387),Data!$BO:$BO,0)-2,43)=""),INDEX(Tab_DaBa[],MATCH(CONCATENATE(Liste!$C$3,$B$1133,$B$1387),Data!$BO:$BO,0)-2,13),IF(INDEX(Tab_DaBa[],MATCH(CONCATENATE(Liste!$C$3,$B$1133,$B$1387),Data!$BO:$BO,0)-2,38)&lt;&gt;"",INDEX(Tab_DaBa[],MATCH(CONCATENATE(Liste!$C$3,$B$1133,$B$1387),Data!$BO:$BO,0)-2,43),"")),"")</f>
        <v>Bez_Lo03_10</v>
      </c>
      <c r="G1399" s="38">
        <f ca="1">IF(H1397="","",4)</f>
        <v>4</v>
      </c>
      <c r="H1399" s="35" t="str">
        <f ca="1">IFERROR(IF(AND(INDEX(Tab_DaBa[],MATCH(CONCATENATE(Liste!$C$3,$B$1133,$B$1387),Data!$BO:$BO,0)-2,43)&lt;&gt;"",INDEX(Tab_DaBa[],MATCH(CONCATENATE(Liste!$C$3,$B$1133,$B$1387),Data!$BO:$BO,0)-2,48)=""),INDEX(Tab_DaBa[],MATCH(CONCATENATE(Liste!$C$3,$B$1133,$B$1387),Data!$BO:$BO,0)-2,13),IF(INDEX(Tab_DaBa[],MATCH(CONCATENATE(Liste!$C$3,$B$1133,$B$1387),Data!$BO:$BO,0)-2,43)&lt;&gt;"",INDEX(Tab_DaBa[],MATCH(CONCATENATE(Liste!$C$3,$B$1133,$B$1387),Data!$BO:$BO,0)-2,48),"")),"")</f>
        <v>Bez_Lo03_10</v>
      </c>
      <c r="I1399" s="38">
        <f ca="1">IF(B1405="","",6)</f>
        <v>6</v>
      </c>
    </row>
    <row r="1400" spans="2:9" s="16" customFormat="1" ht="15.75">
      <c r="B1400" s="35" t="str">
        <f ca="1">IFERROR(IF(AND(INDEX(Tab_DaBa[],MATCH(CONCATENATE(Liste!$C$3,$B$1133,$B$1387),Data!$BO:$BO,0)-2,28)&lt;&gt;"",INDEX(Tab_DaBa[],MATCH(CONCATENATE(Liste!$C$3,$B$1133,$B$1387),Data!$BO:$BO,0)-2,33)=""),"Performance Level: "&amp;INDEX(Tab_DaBa[],MATCH(CONCATENATE(Liste!$C$3,$B$1133,$B$1387),Data!$BO:$BO,0)-2,15),IF(INDEX(Tab_DaBa[],MATCH(CONCATENATE(Liste!$C$3,$B$1133,$B$1387),Data!$BO:$BO,0)-2,28)&lt;&gt;"","Performance Level: "&amp;INDEX(Tab_DaBa[],MATCH(CONCATENATE(Liste!$C$3,$B$1133,$B$1387),Data!$BO:$BO,0)-2,35),"")),"")</f>
        <v>Performance Level: PL_Lo04_10</v>
      </c>
      <c r="C1400" s="39"/>
      <c r="D1400" s="35" t="str">
        <f ca="1">IFERROR(IF(AND(INDEX(Tab_DaBa[],MATCH(CONCATENATE(Liste!$C$3,$B$1133,$B$1387),Data!$BO:$BO,0)-2,33)&lt;&gt;"",INDEX(Tab_DaBa[],MATCH(CONCATENATE(Liste!$C$3,$B$1133,$B$1387),Data!$BO:$BO,0)-2,38)=""),"Performance Level: "&amp;INDEX(Tab_DaBa[],MATCH(CONCATENATE(Liste!$C$3,$B$1133,$B$1387),Data!$BO:$BO,0)-2,15),IF(INDEX(Tab_DaBa[],MATCH(CONCATENATE(Liste!$C$3,$B$1133,$B$1387),Data!$BO:$BO,0)-2,33)&lt;&gt;"","Performance Level: "&amp;INDEX(Tab_DaBa[],MATCH(CONCATENATE(Liste!$C$3,$B$1133,$B$1387),Data!$BO:$BO,0)-2,40),"")),"")</f>
        <v>Performance Level: PL_Lo03_10</v>
      </c>
      <c r="E1400" s="37"/>
      <c r="F1400" s="35" t="str">
        <f ca="1">IFERROR(IF(AND(INDEX(Tab_DaBa[],MATCH(CONCATENATE(Liste!$C$3,$B$1133,$B$1387),Data!$BO:$BO,0)-2,38)&lt;&gt;"",INDEX(Tab_DaBa[],MATCH(CONCATENATE(Liste!$C$3,$B$1133,$B$1387),Data!$BO:$BO,0)-2,43)=""),"Performance Level: "&amp;INDEX(Tab_DaBa[],MATCH(CONCATENATE(Liste!$C$3,$B$1133,$B$1387),Data!$BO:$BO,0)-2,15),IF(INDEX(Tab_DaBa[],MATCH(CONCATENATE(Liste!$C$3,$B$1133,$B$1387),Data!$BO:$BO,0)-2,38)&lt;&gt;"","Performance Level: "&amp;INDEX(Tab_DaBa[],MATCH(CONCATENATE(Liste!$C$3,$B$1133,$B$1387),Data!$BO:$BO,0)-2,45),"")),"")</f>
        <v>Performance Level: PL_Lo03_10</v>
      </c>
      <c r="G1400" s="39"/>
      <c r="H1400" s="35" t="str">
        <f ca="1">IFERROR(IF(AND(INDEX(Tab_DaBa[],MATCH(CONCATENATE(Liste!$C$3,$B$1133,$B$1387),Data!$BO:$BO,0)-2,43)&lt;&gt;"",INDEX(Tab_DaBa[],MATCH(CONCATENATE(Liste!$C$3,$B$1133,$B$1387),Data!$BO:$BO,0)-2,48)=""),"Performance Level: "&amp;INDEX(Tab_DaBa[],MATCH(CONCATENATE(Liste!$C$3,$B$1133,$B$1387),Data!$BO:$BO,0)-2,15),IF(INDEX(Tab_DaBa[],MATCH(CONCATENATE(Liste!$C$3,$B$1133,$B$1387),Data!$BO:$BO,0)-2,43)&lt;&gt;"","Performance Level: "&amp;INDEX(Tab_DaBa[],MATCH(CONCATENATE(Liste!$C$3,$B$1133,$B$1387),Data!$BO:$BO,0)-2,50),"")),"")</f>
        <v>Performance Level: PL_Lo03_10</v>
      </c>
      <c r="I1400" s="39"/>
    </row>
    <row r="1401" spans="2:9" s="16" customFormat="1" ht="15.75">
      <c r="B1401" s="35" t="str">
        <f ca="1">IFERROR(IF(AND(INDEX(Tab_DaBa[],MATCH(CONCATENATE(Liste!$C$3,$B$1133,$B$1387),Data!$BO:$BO,0)-2,28)&lt;&gt;"",INDEX(Tab_DaBa[],MATCH(CONCATENATE(Liste!$C$3,$B$1133,$B$1387),Data!$BO:$BO,0)-2,33)=""),"PFH [1/h] = "&amp;10^9*INDEX(Tab_DaBa[],MATCH(CONCATENATE(Liste!$C$3,$B$1133,$B$1387),Data!$BO:$BO,0)-2,16)&amp;"E-9",IF(INDEX(Tab_DaBa[],MATCH(CONCATENATE(Liste!$C$3,$B$1133,$B$1387),Data!$BO:$BO,0)-2,28)&lt;&gt;"","PFH [1/h] = "&amp;10^9*INDEX(Tab_DaBa[],MATCH(CONCATENATE(Liste!$C$3,$B$1133,$B$1387),Data!$BO:$BO,0)-2,36)&amp;"E-9","")),"")</f>
        <v>PFH [1/h] = 4,19E-9</v>
      </c>
      <c r="C1401" s="39"/>
      <c r="D1401" s="35" t="str">
        <f ca="1">IFERROR(IF(AND(INDEX(Tab_DaBa[],MATCH(CONCATENATE(Liste!$C$3,$B$1133,$B$1387),Data!$BO:$BO,0)-2,33)&lt;&gt;"",INDEX(Tab_DaBa[],MATCH(CONCATENATE(Liste!$C$3,$B$1133,$B$1387),Data!$BO:$BO,0)-2,38)=""),"PFH [1/h] = "&amp;10^9*INDEX(Tab_DaBa[],MATCH(CONCATENATE(Liste!$C$3,$B$1133,$B$1387),Data!$BO:$BO,0)-2,16)&amp;"E-9",IF(INDEX(Tab_DaBa[],MATCH(CONCATENATE(Liste!$C$3,$B$1133,$B$1387),Data!$BO:$BO,0)-2,33)&lt;&gt;"","PFH [1/h] = "&amp;10^9*INDEX(Tab_DaBa[],MATCH(CONCATENATE(Liste!$C$3,$B$1133,$B$1387),Data!$BO:$BO,0)-2,41)&amp;"E-9","")),"")</f>
        <v>PFH [1/h] = 4,19E-9</v>
      </c>
      <c r="E1401" s="37"/>
      <c r="F1401" s="35" t="str">
        <f ca="1">IFERROR(IF(AND(INDEX(Tab_DaBa[],MATCH(CONCATENATE(Liste!$C$3,$B$1133,$B$1387),Data!$BO:$BO,0)-2,38)&lt;&gt;"",INDEX(Tab_DaBa[],MATCH(CONCATENATE(Liste!$C$3,$B$1133,$B$1387),Data!$BO:$BO,0)-2,43)=""),"PFH [1/h] = "&amp;10^9*INDEX(Tab_DaBa[],MATCH(CONCATENATE(Liste!$C$3,$B$1133,$B$1387),Data!$BO:$BO,0)-2,16)&amp;"E-9",IF(INDEX(Tab_DaBa[],MATCH(CONCATENATE(Liste!$C$3,$B$1133,$B$1387),Data!$BO:$BO,0)-2,38)&lt;&gt;"","PFH [1/h] = "&amp;10^9*INDEX(Tab_DaBa[],MATCH(CONCATENATE(Liste!$C$3,$B$1133,$B$1387),Data!$BO:$BO,0)-2,46)&amp;"E-9","")),"")</f>
        <v>PFH [1/h] = 4,19E-9</v>
      </c>
      <c r="G1401" s="39"/>
      <c r="H1401" s="35" t="str">
        <f ca="1">IFERROR(IF(AND(INDEX(Tab_DaBa[],MATCH(CONCATENATE(Liste!$C$3,$B$1133,$B$1387),Data!$BO:$BO,0)-2,43)&lt;&gt;"",INDEX(Tab_DaBa[],MATCH(CONCATENATE(Liste!$C$3,$B$1133,$B$1387),Data!$BO:$BO,0)-2,48)=""),"PFH [1/h] = "&amp;10^9*INDEX(Tab_DaBa[],MATCH(CONCATENATE(Liste!$C$3,$B$1133,$B$1387),Data!$BO:$BO,0)-2,16)&amp;"E-9",IF(INDEX(Tab_DaBa[],MATCH(CONCATENATE(Liste!$C$3,$B$1133,$B$1387),Data!$BO:$BO,0)-2,43)&lt;&gt;"","PFH [1/h] = "&amp;10^9*INDEX(Tab_DaBa[],MATCH(CONCATENATE(Liste!$C$3,$B$1133,$B$1387),Data!$BO:$BO,0)-2,51)&amp;"E-9","")),"")</f>
        <v>PFH [1/h] = 4,19E-9</v>
      </c>
      <c r="I1401" s="39"/>
    </row>
    <row r="1402" spans="2:9" s="16" customFormat="1">
      <c r="B1402" s="33"/>
      <c r="C1402" s="33"/>
      <c r="D1402" s="33"/>
      <c r="E1402" s="33"/>
      <c r="F1402" s="33"/>
      <c r="G1402" s="33"/>
      <c r="H1402" s="33"/>
      <c r="I1402" s="33"/>
    </row>
    <row r="1403" spans="2:9" s="16" customFormat="1" ht="15.75">
      <c r="B1403" s="38">
        <f ca="1">IF(B1405="","",6)</f>
        <v>6</v>
      </c>
      <c r="C1403" s="33"/>
      <c r="D1403" s="38">
        <f ca="1">IF(B1405="","",3)</f>
        <v>3</v>
      </c>
      <c r="E1403" s="33"/>
      <c r="F1403" s="38">
        <f ca="1">IF(B1405="","",3)</f>
        <v>3</v>
      </c>
      <c r="G1403" s="33"/>
      <c r="H1403" s="38">
        <f ca="1">IF(B1405="","",3)</f>
        <v>3</v>
      </c>
      <c r="I1403" s="33"/>
    </row>
    <row r="1404" spans="2:9" s="16" customFormat="1" ht="15.75">
      <c r="B1404" s="39"/>
      <c r="C1404" s="33"/>
      <c r="D1404" s="33"/>
      <c r="E1404" s="33"/>
      <c r="F1404" s="33"/>
      <c r="G1404" s="33"/>
      <c r="H1404" s="33"/>
      <c r="I1404" s="33"/>
    </row>
    <row r="1405" spans="2:9" s="16" customFormat="1" ht="15.75">
      <c r="B1405" s="35" t="str">
        <f ca="1">IFERROR(IF(AND(INDEX(Tab_DaBa[],MATCH(CONCATENATE(Liste!$C$3,$B$1133,$B$1387),Data!$BO:$BO,0)-2,48)&lt;&gt;"",INDEX(Tab_DaBa[],MATCH(CONCATENATE(Liste!$C$3,$B$1133,$B$1387),Data!$BO:$BO,0)-2,53)=0),INDEX(Tab_DaBa[],MATCH(CONCATENATE(Liste!$C$3,$B$1133,$B$1387),Data!$BO:$BO,0)-2,14),IF(INDEX(Tab_DaBa[],MATCH(CONCATENATE(Liste!$C$3,$B$1133,$B$1387),Data!$BO:$BO,0)-2,48)&lt;&gt;"",INDEX(Tab_DaBa[],MATCH(CONCATENATE(Liste!$C$3,$B$1133,$B$1387),Data!$BO:$BO,0)-2,54),"")),"")</f>
        <v>Logik 08</v>
      </c>
      <c r="C1405" s="39"/>
      <c r="D1405" s="35" t="str">
        <f ca="1">IFERROR(IF(AND(INDEX(Tab_DaBa[],MATCH(CONCATENATE(Liste!$C$3,$B$1133,$B$1387),Data!$BO:$BO,0)-2,53)&lt;&gt;"",INDEX(Tab_DaBa[],MATCH(CONCATENATE(Liste!$C$3,$B$1133,$B$1387),Data!$BO:$BO,0)-2,58)=0),INDEX(Tab_DaBa[],MATCH(CONCATENATE(Liste!$C$3,$B$1133,$B$1387),Data!$BO:$BO,0)-2,14),IF(INDEX(Tab_DaBa[],MATCH(CONCATENATE(Liste!$C$3,$B$1133,$B$1387),Data!$BO:$BO,0)-2,53)&lt;&gt;"",INDEX(Tab_DaBa[],MATCH(CONCATENATE(Liste!$C$3,$B$1133,$B$1387),Data!$BO:$BO,0)-2,59),"")),"")</f>
        <v>Logik 09</v>
      </c>
      <c r="E1405" s="33"/>
      <c r="F1405" s="35" t="str">
        <f ca="1">IFERROR(IF(AND(INDEX(Tab_DaBa[],MATCH(CONCATENATE(Liste!$C$3,$B$1133,$B$1387),Data!$BO:$BO,0)-2,58)&lt;&gt;"",INDEX(Tab_DaBa[],MATCH(CONCATENATE(Liste!$C$3,$B$1133,$B$1387),Data!$BO:$BO,0)-2,63)=0),INDEX(Tab_DaBa[],MATCH(CONCATENATE(Liste!$C$3,$B$1133,$B$1387),Data!$BO:$BO,0)-2,14),IF(INDEX(Tab_DaBa[],MATCH(CONCATENATE(Liste!$C$3,$B$1133,$B$1387),Data!$BO:$BO,0)-2,58)&lt;&gt;"",INDEX(Tab_DaBa[],MATCH(CONCATENATE(Liste!$C$3,$B$1133,$B$1387),Data!$BO:$BO,0)-2,64),"")),"")</f>
        <v>Logik 10</v>
      </c>
      <c r="G1405" s="39"/>
      <c r="H1405" s="35" t="str">
        <f ca="1">IFERROR(IF(INDEX(Tab_DaBa[],MATCH(CONCATENATE(Liste!$C$3,$B$1133,$B$1387),Data!$BO:$BO,0)-2,63)&lt;&gt;"",INDEX(Tab_DaBa[],MATCH(CONCATENATE(Liste!$C$3,$B$1133,$B$1387),Data!$BO:$BO,0)-2,14),""),"")</f>
        <v>Ausgang</v>
      </c>
    </row>
    <row r="1406" spans="2:9" s="16" customFormat="1" ht="15.75">
      <c r="B1406" s="35" t="str">
        <f ca="1">IFERROR(IF(AND(INDEX(Tab_DaBa[],MATCH(CONCATENATE(Liste!$C$3,$B$1133,$B$1387),Data!$BO:$BO,0)-2,48)&lt;&gt;"",INDEX(Tab_DaBa[],MATCH(CONCATENATE(Liste!$C$3,$B$1133,$B$1387),Data!$BO:$BO,0)-2,53)=0),INDEX(Tab_DaBa[],MATCH(CONCATENATE(Liste!$C$3,$B$1133,$B$1387),Data!$BO:$BO,0)-2,12),IF(INDEX(Tab_DaBa[],MATCH(CONCATENATE(Liste!$C$3,$B$1133,$B$1387),Data!$BO:$BO,0)-2,48)&lt;&gt;"",INDEX(Tab_DaBa[],MATCH(CONCATENATE(Liste!$C$3,$B$1133,$B$1387),Data!$BO:$BO,0)-2,52),"")),"")</f>
        <v>Lo03-88_10</v>
      </c>
      <c r="C1406" s="39"/>
      <c r="D1406" s="35" t="str">
        <f ca="1">IFERROR(IF(AND(INDEX(Tab_DaBa[],MATCH(CONCATENATE(Liste!$C$3,$B$1133,$B$1387),Data!$BO:$BO,0)-2,53)&lt;&gt;"",INDEX(Tab_DaBa[],MATCH(CONCATENATE(Liste!$C$3,$B$1133,$B$1387),Data!$BO:$BO,0)-2,58)=0),INDEX(Tab_DaBa[],MATCH(CONCATENATE(Liste!$C$3,$B$1133,$B$1387),Data!$BO:$BO,0)-2,12),IF(INDEX(Tab_DaBa[],MATCH(CONCATENATE(Liste!$C$3,$B$1133,$B$1387),Data!$BO:$BO,0)-2,53)&lt;&gt;"",INDEX(Tab_DaBa[],MATCH(CONCATENATE(Liste!$C$3,$B$1133,$B$1387),Data!$BO:$BO,0)-2,57),"")),"")</f>
        <v>Lo03-33_10</v>
      </c>
      <c r="E1406" s="37"/>
      <c r="F1406" s="35" t="str">
        <f ca="1">IFERROR(IF(AND(INDEX(Tab_DaBa[],MATCH(CONCATENATE(Liste!$C$3,$B$1133,$B$1387),Data!$BO:$BO,0)-2,58)&lt;&gt;"",INDEX(Tab_DaBa[],MATCH(CONCATENATE(Liste!$C$3,$B$1133,$B$1387),Data!$BO:$BO,0)-2,63)=0),INDEX(Tab_DaBa[],MATCH(CONCATENATE(Liste!$C$3,$B$1133,$B$1387),Data!$BO:$BO,0)-2,12),IF(INDEX(Tab_DaBa[],MATCH(CONCATENATE(Liste!$C$3,$B$1133,$B$1387),Data!$BO:$BO,0)-2,58)&lt;&gt;"",INDEX(Tab_DaBa[],MATCH(CONCATENATE(Liste!$C$3,$B$1133,$B$1387),Data!$BO:$BO,0)-2,62),"")),"")</f>
        <v>Lo03-10_10</v>
      </c>
      <c r="G1406" s="39"/>
      <c r="H1406" s="35" t="str">
        <f ca="1">IFERROR(IF(INDEX(Tab_DaBa[],MATCH(CONCATENATE(Liste!$C$3,$B$1133,$B$1387),Data!$BO:$BO,0)-2,63)&lt;&gt;"",INDEX(Tab_DaBa[],MATCH(CONCATENATE(Liste!$C$3,$B$1133,$B$1387),Data!$BO:$BO,0)-2,12),""),"")</f>
        <v>aaaa-44_10</v>
      </c>
    </row>
    <row r="1407" spans="2:9" s="16" customFormat="1" ht="15.75">
      <c r="B1407" s="35" t="str">
        <f ca="1">IFERROR(IF(AND(INDEX(Tab_DaBa[],MATCH(CONCATENATE(Liste!$C$3,$B$1133,$B$1387),Data!$BO:$BO,0)-2,48)&lt;&gt;"",INDEX(Tab_DaBa[],MATCH(CONCATENATE(Liste!$C$3,$B$1133,$B$1387),Data!$BO:$BO,0)-2,53)=""),INDEX(Tab_DaBa[],MATCH(CONCATENATE(Liste!$C$3,$B$1133,$B$1387),Data!$BO:$BO,0)-2,13),IF(INDEX(Tab_DaBa[],MATCH(CONCATENATE(Liste!$C$3,$B$1133,$B$1387),Data!$BO:$BO,0)-2,48)&lt;&gt;"",INDEX(Tab_DaBa[],MATCH(CONCATENATE(Liste!$C$3,$B$1133,$B$1387),Data!$BO:$BO,0)-2,53),"")),"")</f>
        <v>Bez_Lo03_10</v>
      </c>
      <c r="C1407" s="38">
        <f ca="1">IF(D1405="","",4)</f>
        <v>4</v>
      </c>
      <c r="D1407" s="35" t="str">
        <f ca="1">IFERROR(IF(AND(INDEX(Tab_DaBa[],MATCH(CONCATENATE(Liste!$C$3,$B$1133,$B$1387),Data!$BO:$BO,0)-2,53)&lt;&gt;"",INDEX(Tab_DaBa[],MATCH(CONCATENATE(Liste!$C$3,$B$1133,$B$1387),Data!$BO:$BO,0)-2,58)=""),INDEX(Tab_DaBa[],MATCH(CONCATENATE(Liste!$C$3,$B$1133,$B$1387),Data!$BO:$BO,0)-2,13),IF(INDEX(Tab_DaBa[],MATCH(CONCATENATE(Liste!$C$3,$B$1133,$B$1387),Data!$BO:$BO,0)-2,53)&lt;&gt;"",INDEX(Tab_DaBa[],MATCH(CONCATENATE(Liste!$C$3,$B$1133,$B$1387),Data!$BO:$BO,0)-2,58),"")),"")</f>
        <v>Bez_Lo03_10</v>
      </c>
      <c r="E1407" s="38">
        <f ca="1">IF(F1405="","",4)</f>
        <v>4</v>
      </c>
      <c r="F1407" s="35" t="str">
        <f ca="1">IFERROR(IF(AND(INDEX(Tab_DaBa[],MATCH(CONCATENATE(Liste!$C$3,$B$1133,$B$1387),Data!$BO:$BO,0)-2,58)&lt;&gt;"",INDEX(Tab_DaBa[],MATCH(CONCATENATE(Liste!$C$3,$B$1133,$B$1387),Data!$BO:$BO,0)-2,63)=""),INDEX(Tab_DaBa[],MATCH(CONCATENATE(Liste!$C$3,$B$1133,$B$1387),Data!$BO:$BO,0)-2,13),IF(INDEX(Tab_DaBa[],MATCH(CONCATENATE(Liste!$C$3,$B$1133,$B$1387),Data!$BO:$BO,0)-2,58)&lt;&gt;"",INDEX(Tab_DaBa[],MATCH(CONCATENATE(Liste!$C$3,$B$1133,$B$1387),Data!$BO:$BO,0)-2,63),"")),"")</f>
        <v>Bez_Lo03_10</v>
      </c>
      <c r="G1407" s="38">
        <f ca="1">IF(H1405="","",4)</f>
        <v>4</v>
      </c>
      <c r="H1407" s="35" t="str">
        <f ca="1">IFERROR(IF(INDEX(Tab_DaBa[],MATCH(CONCATENATE(Liste!$C$3,$B$1133,$B$1387),Data!$BO:$BO,0)-2,63)&lt;&gt;"",INDEX(Tab_DaBa[],MATCH(CONCATENATE(Liste!$C$3,$B$1133,$B$1387),Data!$BO:$BO,0)-2,13),""),"")</f>
        <v>Bez_Aus4_10</v>
      </c>
    </row>
    <row r="1408" spans="2:9" s="16" customFormat="1" ht="15.75">
      <c r="B1408" s="35" t="str">
        <f ca="1">IFERROR(IF(AND(INDEX(Tab_DaBa[],MATCH(CONCATENATE(Liste!$C$3,$B$1133,$B$1387),Data!$BO:$BO,0)-2,48)&lt;&gt;"",INDEX(Tab_DaBa[],MATCH(CONCATENATE(Liste!$C$3,$B$1133,$B$1387),Data!$BO:$BO,0)-2,53)=""),"Performance Level: "&amp;INDEX(Tab_DaBa[],MATCH(CONCATENATE(Liste!$C$3,$B$1133,$B$1387),Data!$BO:$BO,0)-2,15),IF(INDEX(Tab_DaBa[],MATCH(CONCATENATE(Liste!$C$3,$B$1133,$B$1387),Data!$BO:$BO,0)-2,48)&lt;&gt;"","Performance Level: "&amp;INDEX(Tab_DaBa[],MATCH(CONCATENATE(Liste!$C$3,$B$1133,$B$1387),Data!$BO:$BO,0)-2,55),"")),"")</f>
        <v>Performance Level: PL_Lo03_10</v>
      </c>
      <c r="C1408" s="39"/>
      <c r="D1408" s="35" t="str">
        <f ca="1">IFERROR(IF(AND(INDEX(Tab_DaBa[],MATCH(CONCATENATE(Liste!$C$3,$B$1133,$B$1387),Data!$BO:$BO,0)-2,53)&lt;&gt;"",INDEX(Tab_DaBa[],MATCH(CONCATENATE(Liste!$C$3,$B$1133,$B$1387),Data!$BO:$BO,0)-2,58)=""),"Performance Level: "&amp;INDEX(Tab_DaBa[],MATCH(CONCATENATE(Liste!$C$3,$B$1133,$B$1387),Data!$BO:$BO,0)-2,15),IF(INDEX(Tab_DaBa[],MATCH(CONCATENATE(Liste!$C$3,$B$1133,$B$1387),Data!$BO:$BO,0)-2,53)&lt;&gt;"","Performance Level: "&amp;INDEX(Tab_DaBa[],MATCH(CONCATENATE(Liste!$C$3,$B$1133,$B$1387),Data!$BO:$BO,0)-2,60),"")),"")</f>
        <v>Performance Level: PL_Lo03_10</v>
      </c>
      <c r="E1408" s="37"/>
      <c r="F1408" s="35" t="str">
        <f ca="1">IFERROR(IF(AND(INDEX(Tab_DaBa[],MATCH(CONCATENATE(Liste!$C$3,$B$1133,$B$1387),Data!$BO:$BO,0)-2,58)&lt;&gt;"",INDEX(Tab_DaBa[],MATCH(CONCATENATE(Liste!$C$3,$B$1133,$B$1387),Data!$BO:$BO,0)-2,63)=""),"Performance Level: "&amp;INDEX(Tab_DaBa[],MATCH(CONCATENATE(Liste!$C$3,$B$1133,$B$1387),Data!$BO:$BO,0)-2,15),IF(INDEX(Tab_DaBa[],MATCH(CONCATENATE(Liste!$C$3,$B$1133,$B$1387),Data!$BO:$BO,0)-2,58)&lt;&gt;"","Performance Level: "&amp;INDEX(Tab_DaBa[],MATCH(CONCATENATE(Liste!$C$3,$B$1133,$B$1387),Data!$BO:$BO,0)-2,65),"")),"")</f>
        <v>Performance Level: PL_Lo03_10</v>
      </c>
      <c r="G1408" s="39"/>
      <c r="H1408" s="35" t="str">
        <f ca="1">IFERROR(IF(INDEX(Tab_DaBa[],MATCH(CONCATENATE(Liste!$C$3,$B$1133,$B$1387),Data!$BO:$BO,0)-2,63)&lt;&gt;"","Performance Level: "&amp;INDEX(Tab_DaBa[],MATCH(CONCATENATE(Liste!$C$3,$B$1133,$B$1387),Data!$BO:$BO,0)-2,15),""),"")</f>
        <v>Performance Level: PL_Aus4_10</v>
      </c>
    </row>
    <row r="1409" spans="2:9" s="16" customFormat="1" ht="15.75">
      <c r="B1409" s="35" t="str">
        <f ca="1">IFERROR(IF(AND(INDEX(Tab_DaBa[],MATCH(CONCATENATE(Liste!$C$3,$B$1133,$B$1387),Data!$BO:$BO,0)-2,48)&lt;&gt;"",INDEX(Tab_DaBa[],MATCH(CONCATENATE(Liste!$C$3,$B$1133,$B$1387),Data!$BO:$BO,0)-2,53)=""),"PFH [1/h] = "&amp;10^9*INDEX(Tab_DaBa[],MATCH(CONCATENATE(Liste!$C$3,$B$1133,$B$1387),Data!$BO:$BO,0)-2,16)&amp;"E-9",IF(INDEX(Tab_DaBa[],MATCH(CONCATENATE(Liste!$C$3,$B$1133,$B$1387),Data!$BO:$BO,0)-2,48)&lt;&gt;"","PFH [1/h] = "&amp;10^9*INDEX(Tab_DaBa[],MATCH(CONCATENATE(Liste!$C$3,$B$1133,$B$1387),Data!$BO:$BO,0)-2,56)&amp;"E-9","")),"")</f>
        <v>PFH [1/h] = 4,19E-9</v>
      </c>
      <c r="C1409" s="39"/>
      <c r="D1409" s="35" t="str">
        <f ca="1">IFERROR(IF(AND(INDEX(Tab_DaBa[],MATCH(CONCATENATE(Liste!$C$3,$B$1133,$B$1387),Data!$BO:$BO,0)-2,53)&lt;&gt;"",INDEX(Tab_DaBa[],MATCH(CONCATENATE(Liste!$C$3,$B$1133,$B$1387),Data!$BO:$BO,0)-2,58)=""),"PFH [1/h] = "&amp;10^9*INDEX(Tab_DaBa[],MATCH(CONCATENATE(Liste!$C$3,$B$1133,$B$1387),Data!$BO:$BO,0)-2,16)&amp;"E-9",IF(INDEX(Tab_DaBa[],MATCH(CONCATENATE(Liste!$C$3,$B$1133,$B$1387),Data!$BO:$BO,0)-2,53)&lt;&gt;"","PFH [1/h] = "&amp;10^9*INDEX(Tab_DaBa[],MATCH(CONCATENATE(Liste!$C$3,$B$1133,$B$1387),Data!$BO:$BO,0)-2,61)&amp;"E-9","")),"")</f>
        <v>PFH [1/h] = 4,19E-9</v>
      </c>
      <c r="E1409" s="37"/>
      <c r="F1409" s="35" t="str">
        <f ca="1">IFERROR(IF(AND(INDEX(Tab_DaBa[],MATCH(CONCATENATE(Liste!$C$3,$B$1133,$B$1387),Data!$BO:$BO,0)-2,58)&lt;&gt;"",INDEX(Tab_DaBa[],MATCH(CONCATENATE(Liste!$C$3,$B$1133,$B$1387),Data!$BO:$BO,0)-2,63)=""),"PFH [1/h] = "&amp;10^9*INDEX(Tab_DaBa[],MATCH(CONCATENATE(Liste!$C$3,$B$1133,$B$1387),Data!$BO:$BO,0)-2,16)&amp;"E-9",IF(INDEX(Tab_DaBa[],MATCH(CONCATENATE(Liste!$C$3,$B$1133,$B$1387),Data!$BO:$BO,0)-2,58)&lt;&gt;"","PFH [1/h] = "&amp;10^9*INDEX(Tab_DaBa[],MATCH(CONCATENATE(Liste!$C$3,$B$1133,$B$1387),Data!$BO:$BO,0)-2,66)&amp;"E-9","")),"")</f>
        <v>PFH [1/h] = 4,19E-9</v>
      </c>
      <c r="G1409" s="39"/>
      <c r="H1409" s="35" t="str">
        <f ca="1">IFERROR(IF(INDEX(Tab_DaBa[],MATCH(CONCATENATE(Liste!$C$3,$B$1133,$B$1387),Data!$BO:$BO,0)-2,63)&lt;&gt;"","PFH [1/h] = "&amp;10^9*INDEX(Tab_DaBa[],MATCH(CONCATENATE(Liste!$C$3,$B$1133,$B$1387),Data!$BO:$BO,0)-2,16)&amp;"E-9",""),"")</f>
        <v>PFH [1/h] = 24,7E-9</v>
      </c>
    </row>
    <row r="1410" spans="2:9" s="16" customFormat="1"/>
    <row r="1411" spans="2:9" s="16" customFormat="1">
      <c r="B1411" s="43" t="str">
        <f ca="1">IF(D1411="","","Erforderlich")</f>
        <v>Erforderlich</v>
      </c>
      <c r="D1411" s="44" t="str">
        <f ca="1">IFERROR("Performance Level: "&amp;INDEX(Tab_DaBa[],MATCH(CONCATENATE(Liste!$C$3,$B$1133,$B$1387),Data!$BO:$BO,0)-2,4),"")</f>
        <v>Performance Level: PLr_ges4_10</v>
      </c>
    </row>
    <row r="1412" spans="2:9" s="16" customFormat="1">
      <c r="B1412" s="45"/>
    </row>
    <row r="1413" spans="2:9" s="16" customFormat="1">
      <c r="B1413" s="46" t="str">
        <f ca="1">IF(D1413="","","Erreicht")</f>
        <v>Erreicht</v>
      </c>
      <c r="D1413" s="47" t="str">
        <f ca="1">IFERROR("Performance Level: "&amp;INDEX(Tab_DaBa[],MATCH(CONCATENATE(Liste!$C$3,$B$1133,$B$1387),Data!$BO:$BO,0)-2,5)&amp;"          PFH [1/h] = "&amp;10^9*INDEX(Tab_DaBa[],MATCH(CONCATENATE(Liste!$C$3,$B$1133,$B$1387),Data!$BO:$BO,0)-2,6)&amp;"E-9","")</f>
        <v>Performance Level: Pl_ges4_10          PFH [1/h] = 71,7E-9</v>
      </c>
    </row>
    <row r="1414" spans="2:9" s="16" customFormat="1"/>
    <row r="1415" spans="2:9" s="16" customFormat="1">
      <c r="B1415" s="55" t="str">
        <f ca="1">Liste!$D$9</f>
        <v>6. Test4</v>
      </c>
    </row>
    <row r="1416" spans="2:9" s="16" customFormat="1"/>
    <row r="1417" spans="2:9" s="16" customFormat="1">
      <c r="B1417" s="42" t="str">
        <f ca="1">IFERROR(IF(1&gt;COUNTIF(Data!$BP:$BP,CONCATENATE(Liste!$C$3,$B$1415)),"",INDEX(Tab_DaBa[],MATCH(CONCATENATE(Liste!$C$3,$B$1415),Data!$BP:$BP,0)-2,3)),"")</f>
        <v>6.1 Test4 (E+1L+A)</v>
      </c>
    </row>
    <row r="1418" spans="2:9" s="16" customFormat="1"/>
    <row r="1419" spans="2:9" s="16" customFormat="1" ht="15.75">
      <c r="B1419" s="35" t="str">
        <f ca="1">IFERROR(INDEX(Tab_DaBa[],MATCH(CONCATENATE(Liste!$C$3,$B$1415,$B$1417),Data!$BO:$BO,0)-2,9),"")</f>
        <v>Eingang</v>
      </c>
      <c r="C1419" s="54"/>
      <c r="D1419" s="35" t="str">
        <f ca="1">IFERROR(IF(INDEX(Tab_DaBa[],MATCH(CONCATENATE(Liste!$C$3,$B$1415,$B$1417),Data!$BO:$BO,0)-2,18)=0,INDEX(Tab_DaBa[],MATCH(CONCATENATE(Liste!$C$3,$B$1415,$B$1417),Data!$BO:$BO,0)-2,14),INDEX(Tab_DaBa[],MATCH(CONCATENATE(Liste!$C$3,$B$1415,$B$1417),Data!$BO:$BO,0)-2,19)),"")</f>
        <v>Logik 01</v>
      </c>
      <c r="E1419" s="33"/>
      <c r="F1419" s="35" t="str">
        <f ca="1">IFERROR(IF(AND(INDEX(Tab_DaBa[],MATCH(CONCATENATE(Liste!$C$3,$B$1415,$B$1417),Data!$BO:$BO,0)-2,18)&lt;&gt;"",INDEX(Tab_DaBa[],MATCH(CONCATENATE(Liste!$C$3,$B$1415,$B$1417),Data!$BO:$BO,0)-2,23)=0),INDEX(Tab_DaBa[],MATCH(CONCATENATE(Liste!$C$3,$B$1415,$B$1417),Data!$BO:$BO,0)-2,14),IF(INDEX(Tab_DaBa[],MATCH(CONCATENATE(Liste!$C$3,$B$1415,$B$1417),Data!$BO:$BO,0)-2,23)&lt;&gt;"",INDEX(Tab_DaBa[],MATCH(CONCATENATE(Liste!$C$3,$B$1415,$B$1417),Data!$BO:$BO,0)-2,24),"")),"")</f>
        <v>Ausgang</v>
      </c>
      <c r="G1419" s="39"/>
      <c r="H1419" s="35" t="str">
        <f ca="1">IFERROR(IF(AND(INDEX(Tab_DaBa[],MATCH(CONCATENATE(Liste!$C$3,$B$1415,$B$1417),Data!$BO:$BO,0)-2,23)&lt;&gt;"",INDEX(Tab_DaBa[],MATCH(CONCATENATE(Liste!$C$3,$B$1415,$B$1417),Data!$BO:$BO,0)-2,28)=0),INDEX(Tab_DaBa[],MATCH(CONCATENATE(Liste!$C$3,$B$1415,$B$1417),Data!$BO:$BO,0)-2,14),IF(INDEX(Tab_DaBa[],MATCH(CONCATENATE(Liste!$C$3,$B$1415,$B$1417),Data!$BO:$BO,0)-2,23)&lt;&gt;"",INDEX(Tab_DaBa[],MATCH(CONCATENATE(Liste!$C$3,$B$1415,$B$1417),Data!$BO:$BO,0)-2,29),"")),"")</f>
        <v/>
      </c>
      <c r="I1419" s="39"/>
    </row>
    <row r="1420" spans="2:9" s="16" customFormat="1" ht="15.75">
      <c r="B1420" s="35" t="str">
        <f ca="1">IFERROR(INDEX(Tab_DaBa[],MATCH(CONCATENATE(Liste!$C$3,$B$1415,$B$1417),Data!$BO:$BO,0)-2,7),"")</f>
        <v>eeee-33_1</v>
      </c>
      <c r="C1420" s="54"/>
      <c r="D1420" s="35" t="str">
        <f ca="1">IFERROR(IF(INDEX(Tab_DaBa[],MATCH(CONCATENATE(Liste!$C$3,$B$1415,$B$1417),Data!$BO:$BO,0)-2,18)="",INDEX(Tab_DaBa[],MATCH(CONCATENATE(Liste!$C$3,$B$1415,$B$1417),Data!$BO:$BO,0)-2,12),INDEX(Tab_DaBa[],MATCH(CONCATENATE(Liste!$C$3,$B$1415,$B$1417),Data!$BO:$BO,0)-2,17)),"")</f>
        <v>Log01-04_01</v>
      </c>
      <c r="E1420" s="36"/>
      <c r="F1420" s="35" t="str">
        <f ca="1">IFERROR(IF(AND(INDEX(Tab_DaBa[],MATCH(CONCATENATE(Liste!$C$3,$B$1415,$B$1417),Data!$BO:$BO,0)-2,18)&lt;&gt;"",INDEX(Tab_DaBa[],MATCH(CONCATENATE(Liste!$C$3,$B$1415,$B$1417),Data!$BO:$BO,0)-2,23)=0),INDEX(Tab_DaBa[],MATCH(CONCATENATE(Liste!$C$3,$B$1415,$B$1417),Data!$BO:$BO,0)-2,12),IF(INDEX(Tab_DaBa[],MATCH(CONCATENATE(Liste!$C$3,$B$1415,$B$1417),Data!$BO:$BO,0)-2,23)&lt;&gt;"",INDEX(Tab_DaBa[],MATCH(CONCATENATE(Liste!$C$3,$B$1415,$B$1417),Data!$BO:$BO,0)-2,22),"")),"")</f>
        <v>aaaa-44_1</v>
      </c>
      <c r="G1420" s="39"/>
      <c r="H1420" s="35" t="str">
        <f ca="1">IFERROR(IF(AND(INDEX(Tab_DaBa[],MATCH(CONCATENATE(Liste!$C$3,$B$1415,$B$1417),Data!$BO:$BO,0)-2,23)&lt;&gt;"",INDEX(Tab_DaBa[],MATCH(CONCATENATE(Liste!$C$3,$B$1415,$B$1417),Data!$BO:$BO,0)-2,28)=0),INDEX(Tab_DaBa[],MATCH(CONCATENATE(Liste!$C$3,$B$1415,$B$1417),Data!$BO:$BO,0)-2,12),IF(INDEX(Tab_DaBa[],MATCH(CONCATENATE(Liste!$C$3,$B$1415,$B$1417),Data!$BO:$BO,0)-2,23)&lt;&gt;"",INDEX(Tab_DaBa[],MATCH(CONCATENATE(Liste!$C$3,$B$1415,$B$1417),Data!$BO:$BO,0)-2,27),"")),"")</f>
        <v/>
      </c>
      <c r="I1420" s="39"/>
    </row>
    <row r="1421" spans="2:9" s="16" customFormat="1" ht="15.75">
      <c r="B1421" s="35" t="str">
        <f ca="1">IFERROR(INDEX(Tab_DaBa[],MATCH(CONCATENATE(Liste!$C$3,$B$1415,$B$1417),Data!$BO:$BO,0)-2,8),"")</f>
        <v>Bez_Ein4_1</v>
      </c>
      <c r="C1421" s="40">
        <f ca="1">IF(D1419="","",4)</f>
        <v>4</v>
      </c>
      <c r="D1421" s="35" t="str">
        <f ca="1">IFERROR(IF(INDEX(Tab_DaBa[],MATCH(CONCATENATE(Liste!$C$3,$B$1415,$B$1417),Data!$BO:$BO,0)-2,18)="",INDEX(Tab_DaBa[],MATCH(CONCATENATE(Liste!$C$3,$B$1415,$B$1417),Data!$BO:$BO,0)-2,13),INDEX(Tab_DaBa[],MATCH(CONCATENATE(Liste!$C$3,$B$1415,$B$1417),Data!$BO:$BO,0)-2,18)),"")</f>
        <v>Bez_Log01_04_01</v>
      </c>
      <c r="E1421" s="40">
        <f ca="1">IF(F1419="","",4)</f>
        <v>4</v>
      </c>
      <c r="F1421" s="35" t="str">
        <f ca="1">IFERROR(IF(AND(INDEX(Tab_DaBa[],MATCH(CONCATENATE(Liste!$C$3,$B$1415,$B$1417),Data!$BO:$BO,0)-2,18)&lt;&gt;"",INDEX(Tab_DaBa[],MATCH(CONCATENATE(Liste!$C$3,$B$1415,$B$1417),Data!$BO:$BO,0)-2,23)=""),INDEX(Tab_DaBa[],MATCH(CONCATENATE(Liste!$C$3,$B$1415,$B$1417),Data!$BO:$BO,0)-2,13),IF(INDEX(Tab_DaBa[],MATCH(CONCATENATE(Liste!$C$3,$B$1415,$B$1417),Data!$BO:$BO,0)-2,23)&lt;&gt;"",INDEX(Tab_DaBa[],MATCH(CONCATENATE(Liste!$C$3,$B$1415,$B$1417),Data!$BO:$BO,0)-2,23),"")),"")</f>
        <v>Bez_Aus4_1</v>
      </c>
      <c r="G1421" s="38" t="str">
        <f ca="1">IF(H1419="","",4)</f>
        <v/>
      </c>
      <c r="H1421" s="35" t="str">
        <f ca="1">IFERROR(IF(AND(INDEX(Tab_DaBa[],MATCH(CONCATENATE(Liste!$C$3,$B$1415,$B$1417),Data!$BO:$BO,0)-2,23)&lt;&gt;"",INDEX(Tab_DaBa[],MATCH(CONCATENATE(Liste!$C$3,$B$1415,$B$1417),Data!$BO:$BO,0)-2,28)=""),INDEX(Tab_DaBa[],MATCH(CONCATENATE(Liste!$C$3,$B$1415,$B$1417),Data!$BO:$BO,0)-2,13),IF(INDEX(Tab_DaBa[],MATCH(CONCATENATE(Liste!$C$3,$B$1415,$B$1417),Data!$BO:$BO,0)-2,23)&lt;&gt;"",INDEX(Tab_DaBa[],MATCH(CONCATENATE(Liste!$C$3,$B$1415,$B$1417),Data!$BO:$BO,0)-2,28),"")),"")</f>
        <v/>
      </c>
      <c r="I1421" s="38" t="str">
        <f ca="1">IF(B1427="","",6)</f>
        <v/>
      </c>
    </row>
    <row r="1422" spans="2:9" s="16" customFormat="1" ht="15.75">
      <c r="B1422" s="35" t="str">
        <f ca="1">IFERROR("Performance Level: "&amp;INDEX(Tab_DaBa[],MATCH(CONCATENATE(Liste!$C$3,$B$1415,$B$1417),Data!$BO:$BO,0)-2,10),"")</f>
        <v>Performance Level: PL_Ein4_1</v>
      </c>
      <c r="C1422" s="54"/>
      <c r="D1422" s="35" t="str">
        <f ca="1">IFERROR(IF(INDEX(Tab_DaBa[],MATCH(CONCATENATE(Liste!$C$3,$B$1415,$B$1417),Data!$BO:$BO,0)-2,18)="","Performance Level: "&amp;INDEX(Tab_DaBa[],MATCH(CONCATENATE(Liste!$C$3,$B$1415,$B$1417),Data!$BO:$BO,0)-2,15),"Performance Level: "&amp;INDEX(Tab_DaBa[],MATCH(CONCATENATE(Liste!$C$3,$B$1415,$B$1417),Data!$BO:$BO,0)-2,20)),"")</f>
        <v>Performance Level: PL_Log01_04_01</v>
      </c>
      <c r="E1422" s="36"/>
      <c r="F1422" s="35" t="str">
        <f ca="1">IFERROR(IF(AND(INDEX(Tab_DaBa[],MATCH(CONCATENATE(Liste!$C$3,$B$1415,$B$1417),Data!$BO:$BO,0)-2,18)&lt;&gt;"",INDEX(Tab_DaBa[],MATCH(CONCATENATE(Liste!$C$3,$B$1415,$B$1417),Data!$BO:$BO,0)-2,23)=""),"Performance Level: "&amp;INDEX(Tab_DaBa[],MATCH(CONCATENATE(Liste!$C$3,$B$1415,$B$1417),Data!$BO:$BO,0)-2,15),IF(INDEX(Tab_DaBa[],MATCH(CONCATENATE(Liste!$C$3,$B$1415,$B$1417),Data!$BO:$BO,0)-2,23)&lt;&gt;"","Performance Level: "&amp;INDEX(Tab_DaBa[],MATCH(CONCATENATE(Liste!$C$3,$B$1415,$B$1417),Data!$BO:$BO,0)-2,25),"")),"")</f>
        <v>Performance Level: PL_Aus4_1</v>
      </c>
      <c r="G1422" s="39"/>
      <c r="H1422" s="35" t="str">
        <f ca="1">IFERROR(IF(AND(INDEX(Tab_DaBa[],MATCH(CONCATENATE(Liste!$C$3,$B$1415,$B$1417),Data!$BO:$BO,0)-2,23)&lt;&gt;"",INDEX(Tab_DaBa[],MATCH(CONCATENATE(Liste!$C$3,$B$1415,$B$1417),Data!$BO:$BO,0)-2,28)=""),"Performance Level: "&amp;INDEX(Tab_DaBa[],MATCH(CONCATENATE(Liste!$C$3,$B$1415,$B$1417),Data!$BO:$BO,0)-2,15),IF(INDEX(Tab_DaBa[],MATCH(CONCATENATE(Liste!$C$3,$B$1415,$B$1417),Data!$BO:$BO,0)-2,23)&lt;&gt;"","Performance Level: "&amp;INDEX(Tab_DaBa[],MATCH(CONCATENATE(Liste!$C$3,$B$1415,$B$1417),Data!$BO:$BO,0)-2,30),"")),"")</f>
        <v/>
      </c>
      <c r="I1422" s="38"/>
    </row>
    <row r="1423" spans="2:9" s="16" customFormat="1" ht="15.75">
      <c r="B1423" s="53" t="str">
        <f ca="1">IFERROR("PFH [1/h] = "&amp;10^9*INDEX(Tab_DaBa[],MATCH(CONCATENATE(Liste!$C$3,$B$1415,$B$1417),Data!$BO:$BO,0)-2,11)&amp;"E-9","")</f>
        <v>PFH [1/h] = 42,9E-9</v>
      </c>
      <c r="C1423" s="54"/>
      <c r="D1423" s="35" t="str">
        <f ca="1">IFERROR(IF(INDEX(Tab_DaBa[],MATCH(CONCATENATE(Liste!$C$3,$B$1415,$B$1417),Data!$BO:$BO,0)-2,18)="","PFH [1/h] = "&amp;10^9*INDEX(Tab_DaBa[],MATCH(CONCATENATE(Liste!$C$3,$B$1415,$B$1417),Data!$BO:$BO,0)-2,16)&amp;"E-9","PFH [1/h] = "&amp;10^9*INDEX(Tab_DaBa[],MATCH(CONCATENATE(Liste!$C$3,$B$1415,$B$1417),Data!$BO:$BO,0)-2,21)&amp;"E-9"),"")</f>
        <v>PFH [1/h] = 4,19E-9</v>
      </c>
      <c r="E1423" s="36"/>
      <c r="F1423" s="35" t="str">
        <f ca="1">IFERROR(IF(AND(INDEX(Tab_DaBa[],MATCH(CONCATENATE(Liste!$C$3,$B$1415,$B$1417),Data!$BO:$BO,0)-2,18)&lt;&gt;"",INDEX(Tab_DaBa[],MATCH(CONCATENATE(Liste!$C$3,$B$1415,$B$1417),Data!$BO:$BO,0)-2,23)=""),"PFH [1/h] = "&amp;10^9*INDEX(Tab_DaBa[],MATCH(CONCATENATE(Liste!$C$3,$B$1415,$B$1417),Data!$BO:$BO,0)-2,16)&amp;"E-9",IF(INDEX(Tab_DaBa[],MATCH(CONCATENATE(Liste!$C$3,$B$1415,$B$1417),Data!$BO:$BO,0)-2,23)&lt;&gt;"","PFH [1/h] = "&amp;10^9*INDEX(Tab_DaBa[],MATCH(CONCATENATE(Liste!$C$3,$B$1415,$B$1417),Data!$BO:$BO,0)-2,26)&amp;"E-9","")),"")</f>
        <v>PFH [1/h] = 24,7E-9</v>
      </c>
      <c r="G1423" s="39"/>
      <c r="H1423" s="35" t="str">
        <f ca="1">IFERROR(IF(AND(INDEX(Tab_DaBa[],MATCH(CONCATENATE(Liste!$C$3,$B$1415,$B$1417),Data!$BO:$BO,0)-2,23)&lt;&gt;"",INDEX(Tab_DaBa[],MATCH(CONCATENATE(Liste!$C$3,$B$1415,$B$1417),Data!$BO:$BO,0)-2,28)=""),"PFH [1/h] = "&amp;10^9*INDEX(Tab_DaBa[],MATCH(CONCATENATE(Liste!$C$3,$B$1415,$B$1417),Data!$BO:$BO,0)-2,16)&amp;"E-9",IF(INDEX(Tab_DaBa[],MATCH(CONCATENATE(Liste!$C$3,$B$1415,$B$1417),Data!$BO:$BO,0)-2,23)&lt;&gt;"","PFH [1/h] = "&amp;10^9*INDEX(Tab_DaBa[],MATCH(CONCATENATE(Liste!$C$3,$B$1415,$B$1417),Data!$BO:$BO,0)-2,31)&amp;"E-9","")),"")</f>
        <v/>
      </c>
      <c r="I1423" s="39"/>
    </row>
    <row r="1424" spans="2:9" s="16" customFormat="1">
      <c r="B1424" s="33"/>
      <c r="C1424" s="34"/>
      <c r="D1424" s="33"/>
      <c r="E1424" s="33"/>
      <c r="F1424" s="33"/>
      <c r="G1424" s="33"/>
      <c r="H1424" s="33"/>
      <c r="I1424" s="33"/>
    </row>
    <row r="1425" spans="2:9" s="16" customFormat="1" ht="15.75">
      <c r="B1425" s="38" t="str">
        <f ca="1">IF(B1427="","",6)</f>
        <v/>
      </c>
      <c r="C1425" s="34"/>
      <c r="D1425" s="38" t="str">
        <f ca="1">IF(B1427="","",3)</f>
        <v/>
      </c>
      <c r="E1425" s="33"/>
      <c r="F1425" s="38" t="str">
        <f ca="1">IF(B1427="","",3)</f>
        <v/>
      </c>
      <c r="G1425" s="33"/>
      <c r="H1425" s="38" t="str">
        <f ca="1">IF(B1427="","",3)</f>
        <v/>
      </c>
      <c r="I1425" s="33"/>
    </row>
    <row r="1426" spans="2:9" s="16" customFormat="1" ht="15.75">
      <c r="B1426" s="39"/>
      <c r="C1426" s="33"/>
      <c r="D1426" s="33"/>
      <c r="E1426" s="33"/>
      <c r="F1426" s="33"/>
      <c r="G1426" s="33"/>
      <c r="H1426" s="33"/>
      <c r="I1426" s="33"/>
    </row>
    <row r="1427" spans="2:9" s="16" customFormat="1" ht="15.75">
      <c r="B1427" s="35" t="str">
        <f ca="1">IFERROR(IF(AND(INDEX(Tab_DaBa[],MATCH(CONCATENATE(Liste!$C$3,$B$1415,$B$1417),Data!$BO:$BO,0)-2,28)&lt;&gt;"",INDEX(Tab_DaBa[],MATCH(CONCATENATE(Liste!$C$3,$B$1415,$B$1417),Data!$BO:$BO,0)-2,33)=0),INDEX(Tab_DaBa[],MATCH(CONCATENATE(Liste!$C$3,$B$1415,$B$1417),Data!$BO:$BO,0)-2,14),IF(INDEX(Tab_DaBa[],MATCH(CONCATENATE(Liste!$C$3,$B$1415,$B$1417),Data!$BO:$BO,0)-2,28)&lt;&gt;"",INDEX(Tab_DaBa[],MATCH(CONCATENATE(Liste!$C$3,$B$1415,$B$1417),Data!$BO:$BO,0)-2,34),"")),"")</f>
        <v/>
      </c>
      <c r="C1427" s="39"/>
      <c r="D1427" s="35" t="str">
        <f ca="1">IFERROR(IF(AND(INDEX(Tab_DaBa[],MATCH(CONCATENATE(Liste!$C$3,$B$1415,$B$1417),Data!$BO:$BO,0)-2,33)&lt;&gt;"",INDEX(Tab_DaBa[],MATCH(CONCATENATE(Liste!$C$3,$B$1415,$B$1417),Data!$BO:$BO,0)-2,38)=0),INDEX(Tab_DaBa[],MATCH(CONCATENATE(Liste!$C$3,$B$1415,$B$1417),Data!$BO:$BO,0)-2,14),IF(INDEX(Tab_DaBa[],MATCH(CONCATENATE(Liste!$C$3,$B$1415,$B$1417),Data!$BO:$BO,0)-2,33)&lt;&gt;"",INDEX(Tab_DaBa[],MATCH(CONCATENATE(Liste!$C$3,$B$1415,$B$1417),Data!$BO:$BO,0)-2,39),"")),"")</f>
        <v/>
      </c>
      <c r="E1427" s="33"/>
      <c r="F1427" s="35" t="str">
        <f ca="1">IFERROR(IF(AND(INDEX(Tab_DaBa[],MATCH(CONCATENATE(Liste!$C$3,$B$1415,$B$1417),Data!$BO:$BO,0)-2,38)&lt;&gt;"",INDEX(Tab_DaBa[],MATCH(CONCATENATE(Liste!$C$3,$B$1415,$B$1417),Data!$BO:$BO,0)-2,43)=0),INDEX(Tab_DaBa[],MATCH(CONCATENATE(Liste!$C$3,$B$1415,$B$1417),Data!$BO:$BO,0)-2,14),IF(INDEX(Tab_DaBa[],MATCH(CONCATENATE(Liste!$C$3,$B$1415,$B$1417),Data!$BO:$BO,0)-2,38)&lt;&gt;"",INDEX(Tab_DaBa[],MATCH(CONCATENATE(Liste!$C$3,$B$1415,$B$1417),Data!$BO:$BO,0)-2,44),"")),"")</f>
        <v/>
      </c>
      <c r="G1427" s="39"/>
      <c r="H1427" s="35" t="str">
        <f ca="1">IFERROR(IF(AND(INDEX(Tab_DaBa[],MATCH(CONCATENATE(Liste!$C$3,$B$1415,$B$1417),Data!$BO:$BO,0)-2,43)&lt;&gt;"",INDEX(Tab_DaBa[],MATCH(CONCATENATE(Liste!$C$3,$B$1415,$B$1417),Data!$BO:$BO,0)-2,48)=0),INDEX(Tab_DaBa[],MATCH(CONCATENATE(Liste!$C$3,$B$1415,$B$1417),Data!$BO:$BO,0)-2,14),IF(INDEX(Tab_DaBa[],MATCH(CONCATENATE(Liste!$C$3,$B$1415,$B$1417),Data!$BO:$BO,0)-2,43)&lt;&gt;"",INDEX(Tab_DaBa[],MATCH(CONCATENATE(Liste!$C$3,$B$1415,$B$1417),Data!$BO:$BO,0)-2,49),"")),"")</f>
        <v/>
      </c>
      <c r="I1427" s="39"/>
    </row>
    <row r="1428" spans="2:9" s="16" customFormat="1" ht="15.75">
      <c r="B1428" s="35" t="str">
        <f ca="1">IFERROR(IF(AND(INDEX(Tab_DaBa[],MATCH(CONCATENATE(Liste!$C$3,$B$1415,$B$1417),Data!$BO:$BO,0)-2,28)&lt;&gt;"",INDEX(Tab_DaBa[],MATCH(CONCATENATE(Liste!$C$3,$B$1415,$B$1417),Data!$BO:$BO,0)-2,33)=0),INDEX(Tab_DaBa[],MATCH(CONCATENATE(Liste!$C$3,$B$1415,$B$1417),Data!$BO:$BO,0)-2,12),IF(INDEX(Tab_DaBa[],MATCH(CONCATENATE(Liste!$C$3,$B$1415,$B$1417),Data!$BO:$BO,0)-2,28)&lt;&gt;"",INDEX(Tab_DaBa[],MATCH(CONCATENATE(Liste!$C$3,$B$1415,$B$1417),Data!$BO:$BO,0)-2,32),"")),"")</f>
        <v/>
      </c>
      <c r="C1428" s="39"/>
      <c r="D1428" s="35" t="str">
        <f ca="1">IFERROR(IF(AND(INDEX(Tab_DaBa[],MATCH(CONCATENATE(Liste!$C$3,$B$1415,$B$1417),Data!$BO:$BO,0)-2,33)&lt;&gt;"",INDEX(Tab_DaBa[],MATCH(CONCATENATE(Liste!$C$3,$B$1415,$B$1417),Data!$BO:$BO,0)-2,38)=0),INDEX(Tab_DaBa[],MATCH(CONCATENATE(Liste!$C$3,$B$1415,$B$1417),Data!$BO:$BO,0)-2,12),IF(INDEX(Tab_DaBa[],MATCH(CONCATENATE(Liste!$C$3,$B$1415,$B$1417),Data!$BO:$BO,0)-2,33)&lt;&gt;"",INDEX(Tab_DaBa[],MATCH(CONCATENATE(Liste!$C$3,$B$1415,$B$1417),Data!$BO:$BO,0)-2,37),"")),"")</f>
        <v/>
      </c>
      <c r="E1428" s="37"/>
      <c r="F1428" s="35" t="str">
        <f ca="1">IFERROR(IF(AND(INDEX(Tab_DaBa[],MATCH(CONCATENATE(Liste!$C$3,$B$1415,$B$1417),Data!$BO:$BO,0)-2,38)&lt;&gt;"",INDEX(Tab_DaBa[],MATCH(CONCATENATE(Liste!$C$3,$B$1415,$B$1417),Data!$BO:$BO,0)-2,43)=0),INDEX(Tab_DaBa[],MATCH(CONCATENATE(Liste!$C$3,$B$1415,$B$1417),Data!$BO:$BO,0)-2,12),IF(INDEX(Tab_DaBa[],MATCH(CONCATENATE(Liste!$C$3,$B$1415,$B$1417),Data!$BO:$BO,0)-2,38)&lt;&gt;"",INDEX(Tab_DaBa[],MATCH(CONCATENATE(Liste!$C$3,$B$1415,$B$1417),Data!$BO:$BO,0)-2,42),"")),"")</f>
        <v/>
      </c>
      <c r="G1428" s="39"/>
      <c r="H1428" s="35" t="str">
        <f ca="1">IFERROR(IF(AND(INDEX(Tab_DaBa[],MATCH(CONCATENATE(Liste!$C$3,$B$1415,$B$1417),Data!$BO:$BO,0)-2,43)&lt;&gt;"",INDEX(Tab_DaBa[],MATCH(CONCATENATE(Liste!$C$3,$B$1415,$B$1417),Data!$BO:$BO,0)-2,48)=0),INDEX(Tab_DaBa[],MATCH(CONCATENATE(Liste!$C$3,$B$1415,$B$1417),Data!$BO:$BO,0)-2,12),IF(INDEX(Tab_DaBa[],MATCH(CONCATENATE(Liste!$C$3,$B$1415,$B$1417),Data!$BO:$BO,0)-2,43)&lt;&gt;"",INDEX(Tab_DaBa[],MATCH(CONCATENATE(Liste!$C$3,$B$1415,$B$1417),Data!$BO:$BO,0)-2,47),"")),"")</f>
        <v/>
      </c>
      <c r="I1428" s="39"/>
    </row>
    <row r="1429" spans="2:9" s="16" customFormat="1" ht="15.75">
      <c r="B1429" s="35" t="str">
        <f ca="1">IFERROR(IF(AND(INDEX(Tab_DaBa[],MATCH(CONCATENATE(Liste!$C$3,$B$1415,$B$1417),Data!$BO:$BO,0)-2,28)&lt;&gt;"",INDEX(Tab_DaBa[],MATCH(CONCATENATE(Liste!$C$3,$B$1415,$B$1417),Data!$BO:$BO,0)-2,33)=""),INDEX(Tab_DaBa[],MATCH(CONCATENATE(Liste!$C$3,$B$1415,$B$1417),Data!$BO:$BO,0)-2,13),IF(INDEX(Tab_DaBa[],MATCH(CONCATENATE(Liste!$C$3,$B$1415,$B$1417),Data!$BO:$BO,0)-2,28)&lt;&gt;"",INDEX(Tab_DaBa[],MATCH(CONCATENATE(Liste!$C$3,$B$1415,$B$1417),Data!$BO:$BO,0)-2,33),"")),"")</f>
        <v/>
      </c>
      <c r="C1429" s="38" t="str">
        <f ca="1">IF(D1427="","",4)</f>
        <v/>
      </c>
      <c r="D1429" s="35" t="str">
        <f ca="1">IFERROR(IF(AND(INDEX(Tab_DaBa[],MATCH(CONCATENATE(Liste!$C$3,$B$1415,$B$1417),Data!$BO:$BO,0)-2,33)&lt;&gt;"",INDEX(Tab_DaBa[],MATCH(CONCATENATE(Liste!$C$3,$B$1415,$B$1417),Data!$BO:$BO,0)-2,38)=""),INDEX(Tab_DaBa[],MATCH(CONCATENATE(Liste!$C$3,$B$1415,$B$1417),Data!$BO:$BO,0)-2,13),IF(INDEX(Tab_DaBa[],MATCH(CONCATENATE(Liste!$C$3,$B$1415,$B$1417),Data!$BO:$BO,0)-2,33)&lt;&gt;"",INDEX(Tab_DaBa[],MATCH(CONCATENATE(Liste!$C$3,$B$1415,$B$1417),Data!$BO:$BO,0)-2,38),"")),"")</f>
        <v/>
      </c>
      <c r="E1429" s="38" t="str">
        <f ca="1">IF(F1427="","",4)</f>
        <v/>
      </c>
      <c r="F1429" s="35" t="str">
        <f ca="1">IFERROR(IF(AND(INDEX(Tab_DaBa[],MATCH(CONCATENATE(Liste!$C$3,$B$1415,$B$1417),Data!$BO:$BO,0)-2,38)&lt;&gt;"",INDEX(Tab_DaBa[],MATCH(CONCATENATE(Liste!$C$3,$B$1415,$B$1417),Data!$BO:$BO,0)-2,43)=""),INDEX(Tab_DaBa[],MATCH(CONCATENATE(Liste!$C$3,$B$1415,$B$1417),Data!$BO:$BO,0)-2,13),IF(INDEX(Tab_DaBa[],MATCH(CONCATENATE(Liste!$C$3,$B$1415,$B$1417),Data!$BO:$BO,0)-2,38)&lt;&gt;"",INDEX(Tab_DaBa[],MATCH(CONCATENATE(Liste!$C$3,$B$1415,$B$1417),Data!$BO:$BO,0)-2,43),"")),"")</f>
        <v/>
      </c>
      <c r="G1429" s="38" t="str">
        <f ca="1">IF(H1427="","",4)</f>
        <v/>
      </c>
      <c r="H1429" s="35" t="str">
        <f ca="1">IFERROR(IF(AND(INDEX(Tab_DaBa[],MATCH(CONCATENATE(Liste!$C$3,$B$1415,$B$1417),Data!$BO:$BO,0)-2,43)&lt;&gt;"",INDEX(Tab_DaBa[],MATCH(CONCATENATE(Liste!$C$3,$B$1415,$B$1417),Data!$BO:$BO,0)-2,48)=""),INDEX(Tab_DaBa[],MATCH(CONCATENATE(Liste!$C$3,$B$1415,$B$1417),Data!$BO:$BO,0)-2,13),IF(INDEX(Tab_DaBa[],MATCH(CONCATENATE(Liste!$C$3,$B$1415,$B$1417),Data!$BO:$BO,0)-2,43)&lt;&gt;"",INDEX(Tab_DaBa[],MATCH(CONCATENATE(Liste!$C$3,$B$1415,$B$1417),Data!$BO:$BO,0)-2,48),"")),"")</f>
        <v/>
      </c>
      <c r="I1429" s="38" t="str">
        <f ca="1">IF(B1435="","",6)</f>
        <v/>
      </c>
    </row>
    <row r="1430" spans="2:9" s="16" customFormat="1" ht="15.75">
      <c r="B1430" s="35" t="str">
        <f ca="1">IFERROR(IF(AND(INDEX(Tab_DaBa[],MATCH(CONCATENATE(Liste!$C$3,$B$1415,$B$1417),Data!$BO:$BO,0)-2,28)&lt;&gt;"",INDEX(Tab_DaBa[],MATCH(CONCATENATE(Liste!$C$3,$B$1415,$B$1417),Data!$BO:$BO,0)-2,33)=""),"Performance Level: "&amp;INDEX(Tab_DaBa[],MATCH(CONCATENATE(Liste!$C$3,$B$1415,$B$1417),Data!$BO:$BO,0)-2,15),IF(INDEX(Tab_DaBa[],MATCH(CONCATENATE(Liste!$C$3,$B$1415,$B$1417),Data!$BO:$BO,0)-2,28)&lt;&gt;"","Performance Level: "&amp;INDEX(Tab_DaBa[],MATCH(CONCATENATE(Liste!$C$3,$B$1415,$B$1417),Data!$BO:$BO,0)-2,35),"")),"")</f>
        <v/>
      </c>
      <c r="C1430" s="39"/>
      <c r="D1430" s="35" t="str">
        <f ca="1">IFERROR(IF(AND(INDEX(Tab_DaBa[],MATCH(CONCATENATE(Liste!$C$3,$B$1415,$B$1417),Data!$BO:$BO,0)-2,33)&lt;&gt;"",INDEX(Tab_DaBa[],MATCH(CONCATENATE(Liste!$C$3,$B$1415,$B$1417),Data!$BO:$BO,0)-2,38)=""),"Performance Level: "&amp;INDEX(Tab_DaBa[],MATCH(CONCATENATE(Liste!$C$3,$B$1415,$B$1417),Data!$BO:$BO,0)-2,15),IF(INDEX(Tab_DaBa[],MATCH(CONCATENATE(Liste!$C$3,$B$1415,$B$1417),Data!$BO:$BO,0)-2,33)&lt;&gt;"","Performance Level: "&amp;INDEX(Tab_DaBa[],MATCH(CONCATENATE(Liste!$C$3,$B$1415,$B$1417),Data!$BO:$BO,0)-2,40),"")),"")</f>
        <v/>
      </c>
      <c r="E1430" s="37"/>
      <c r="F1430" s="35" t="str">
        <f ca="1">IFERROR(IF(AND(INDEX(Tab_DaBa[],MATCH(CONCATENATE(Liste!$C$3,$B$1415,$B$1417),Data!$BO:$BO,0)-2,38)&lt;&gt;"",INDEX(Tab_DaBa[],MATCH(CONCATENATE(Liste!$C$3,$B$1415,$B$1417),Data!$BO:$BO,0)-2,43)=""),"Performance Level: "&amp;INDEX(Tab_DaBa[],MATCH(CONCATENATE(Liste!$C$3,$B$1415,$B$1417),Data!$BO:$BO,0)-2,15),IF(INDEX(Tab_DaBa[],MATCH(CONCATENATE(Liste!$C$3,$B$1415,$B$1417),Data!$BO:$BO,0)-2,38)&lt;&gt;"","Performance Level: "&amp;INDEX(Tab_DaBa[],MATCH(CONCATENATE(Liste!$C$3,$B$1415,$B$1417),Data!$BO:$BO,0)-2,45),"")),"")</f>
        <v/>
      </c>
      <c r="G1430" s="39"/>
      <c r="H1430" s="35" t="str">
        <f ca="1">IFERROR(IF(AND(INDEX(Tab_DaBa[],MATCH(CONCATENATE(Liste!$C$3,$B$1415,$B$1417),Data!$BO:$BO,0)-2,43)&lt;&gt;"",INDEX(Tab_DaBa[],MATCH(CONCATENATE(Liste!$C$3,$B$1415,$B$1417),Data!$BO:$BO,0)-2,48)=""),"Performance Level: "&amp;INDEX(Tab_DaBa[],MATCH(CONCATENATE(Liste!$C$3,$B$1415,$B$1417),Data!$BO:$BO,0)-2,15),IF(INDEX(Tab_DaBa[],MATCH(CONCATENATE(Liste!$C$3,$B$1415,$B$1417),Data!$BO:$BO,0)-2,43)&lt;&gt;"","Performance Level: "&amp;INDEX(Tab_DaBa[],MATCH(CONCATENATE(Liste!$C$3,$B$1415,$B$1417),Data!$BO:$BO,0)-2,50),"")),"")</f>
        <v/>
      </c>
      <c r="I1430" s="39"/>
    </row>
    <row r="1431" spans="2:9" s="16" customFormat="1" ht="15.75">
      <c r="B1431" s="35" t="str">
        <f ca="1">IFERROR(IF(AND(INDEX(Tab_DaBa[],MATCH(CONCATENATE(Liste!$C$3,$B$1415,$B$1417),Data!$BO:$BO,0)-2,28)&lt;&gt;"",INDEX(Tab_DaBa[],MATCH(CONCATENATE(Liste!$C$3,$B$1415,$B$1417),Data!$BO:$BO,0)-2,33)=""),"PFH [1/h] = "&amp;10^9*INDEX(Tab_DaBa[],MATCH(CONCATENATE(Liste!$C$3,$B$1415,$B$1417),Data!$BO:$BO,0)-2,16)&amp;"E-9",IF(INDEX(Tab_DaBa[],MATCH(CONCATENATE(Liste!$C$3,$B$1415,$B$1417),Data!$BO:$BO,0)-2,28)&lt;&gt;"","PFH [1/h] = "&amp;10^9*INDEX(Tab_DaBa[],MATCH(CONCATENATE(Liste!$C$3,$B$1415,$B$1417),Data!$BO:$BO,0)-2,36)&amp;"E-9","")),"")</f>
        <v/>
      </c>
      <c r="C1431" s="39"/>
      <c r="D1431" s="35" t="str">
        <f ca="1">IFERROR(IF(AND(INDEX(Tab_DaBa[],MATCH(CONCATENATE(Liste!$C$3,$B$1415,$B$1417),Data!$BO:$BO,0)-2,33)&lt;&gt;"",INDEX(Tab_DaBa[],MATCH(CONCATENATE(Liste!$C$3,$B$1415,$B$1417),Data!$BO:$BO,0)-2,38)=""),"PFH [1/h] = "&amp;10^9*INDEX(Tab_DaBa[],MATCH(CONCATENATE(Liste!$C$3,$B$1415,$B$1417),Data!$BO:$BO,0)-2,16)&amp;"E-9",IF(INDEX(Tab_DaBa[],MATCH(CONCATENATE(Liste!$C$3,$B$1415,$B$1417),Data!$BO:$BO,0)-2,33)&lt;&gt;"","PFH [1/h] = "&amp;10^9*INDEX(Tab_DaBa[],MATCH(CONCATENATE(Liste!$C$3,$B$1415,$B$1417),Data!$BO:$BO,0)-2,41)&amp;"E-9","")),"")</f>
        <v/>
      </c>
      <c r="E1431" s="37"/>
      <c r="F1431" s="35" t="str">
        <f ca="1">IFERROR(IF(AND(INDEX(Tab_DaBa[],MATCH(CONCATENATE(Liste!$C$3,$B$1415,$B$1417),Data!$BO:$BO,0)-2,38)&lt;&gt;"",INDEX(Tab_DaBa[],MATCH(CONCATENATE(Liste!$C$3,$B$1415,$B$1417),Data!$BO:$BO,0)-2,43)=""),"PFH [1/h] = "&amp;10^9*INDEX(Tab_DaBa[],MATCH(CONCATENATE(Liste!$C$3,$B$1415,$B$1417),Data!$BO:$BO,0)-2,16)&amp;"E-9",IF(INDEX(Tab_DaBa[],MATCH(CONCATENATE(Liste!$C$3,$B$1415,$B$1417),Data!$BO:$BO,0)-2,38)&lt;&gt;"","PFH [1/h] = "&amp;10^9*INDEX(Tab_DaBa[],MATCH(CONCATENATE(Liste!$C$3,$B$1415,$B$1417),Data!$BO:$BO,0)-2,46)&amp;"E-9","")),"")</f>
        <v/>
      </c>
      <c r="G1431" s="39"/>
      <c r="H1431" s="35" t="str">
        <f ca="1">IFERROR(IF(AND(INDEX(Tab_DaBa[],MATCH(CONCATENATE(Liste!$C$3,$B$1415,$B$1417),Data!$BO:$BO,0)-2,43)&lt;&gt;"",INDEX(Tab_DaBa[],MATCH(CONCATENATE(Liste!$C$3,$B$1415,$B$1417),Data!$BO:$BO,0)-2,48)=""),"PFH [1/h] = "&amp;10^9*INDEX(Tab_DaBa[],MATCH(CONCATENATE(Liste!$C$3,$B$1415,$B$1417),Data!$BO:$BO,0)-2,16)&amp;"E-9",IF(INDEX(Tab_DaBa[],MATCH(CONCATENATE(Liste!$C$3,$B$1415,$B$1417),Data!$BO:$BO,0)-2,43)&lt;&gt;"","PFH [1/h] = "&amp;10^9*INDEX(Tab_DaBa[],MATCH(CONCATENATE(Liste!$C$3,$B$1415,$B$1417),Data!$BO:$BO,0)-2,51)&amp;"E-9","")),"")</f>
        <v/>
      </c>
      <c r="I1431" s="39"/>
    </row>
    <row r="1432" spans="2:9" s="16" customFormat="1">
      <c r="B1432" s="33"/>
      <c r="C1432" s="33"/>
      <c r="D1432" s="33"/>
      <c r="E1432" s="33"/>
      <c r="F1432" s="33"/>
      <c r="G1432" s="33"/>
      <c r="H1432" s="33"/>
      <c r="I1432" s="33"/>
    </row>
    <row r="1433" spans="2:9" s="16" customFormat="1" ht="15.75">
      <c r="B1433" s="38" t="str">
        <f ca="1">IF(B1435="","",6)</f>
        <v/>
      </c>
      <c r="C1433" s="33"/>
      <c r="D1433" s="38" t="str">
        <f ca="1">IF(B1435="","",3)</f>
        <v/>
      </c>
      <c r="E1433" s="33"/>
      <c r="F1433" s="38" t="str">
        <f ca="1">IF(B1435="","",3)</f>
        <v/>
      </c>
      <c r="G1433" s="33"/>
      <c r="H1433" s="38" t="str">
        <f ca="1">IF(B1435="","",3)</f>
        <v/>
      </c>
      <c r="I1433" s="33"/>
    </row>
    <row r="1434" spans="2:9" s="16" customFormat="1" ht="15.75">
      <c r="B1434" s="39"/>
      <c r="C1434" s="33"/>
      <c r="D1434" s="33"/>
      <c r="E1434" s="33"/>
      <c r="F1434" s="33"/>
      <c r="G1434" s="33"/>
      <c r="H1434" s="33"/>
      <c r="I1434" s="33"/>
    </row>
    <row r="1435" spans="2:9" s="16" customFormat="1" ht="15.75">
      <c r="B1435" s="35" t="str">
        <f ca="1">IFERROR(IF(AND(INDEX(Tab_DaBa[],MATCH(CONCATENATE(Liste!$C$3,$B$1415,$B$1417),Data!$BO:$BO,0)-2,48)&lt;&gt;"",INDEX(Tab_DaBa[],MATCH(CONCATENATE(Liste!$C$3,$B$1415,$B$1417),Data!$BO:$BO,0)-2,53)=0),INDEX(Tab_DaBa[],MATCH(CONCATENATE(Liste!$C$3,$B$1415,$B$1417),Data!$BO:$BO,0)-2,14),IF(INDEX(Tab_DaBa[],MATCH(CONCATENATE(Liste!$C$3,$B$1415,$B$1417),Data!$BO:$BO,0)-2,48)&lt;&gt;"",INDEX(Tab_DaBa[],MATCH(CONCATENATE(Liste!$C$3,$B$1415,$B$1417),Data!$BO:$BO,0)-2,54),"")),"")</f>
        <v/>
      </c>
      <c r="C1435" s="39"/>
      <c r="D1435" s="35" t="str">
        <f ca="1">IFERROR(IF(AND(INDEX(Tab_DaBa[],MATCH(CONCATENATE(Liste!$C$3,$B$1415,$B$1417),Data!$BO:$BO,0)-2,53)&lt;&gt;"",INDEX(Tab_DaBa[],MATCH(CONCATENATE(Liste!$C$3,$B$1415,$B$1417),Data!$BO:$BO,0)-2,58)=0),INDEX(Tab_DaBa[],MATCH(CONCATENATE(Liste!$C$3,$B$1415,$B$1417),Data!$BO:$BO,0)-2,14),IF(INDEX(Tab_DaBa[],MATCH(CONCATENATE(Liste!$C$3,$B$1415,$B$1417),Data!$BO:$BO,0)-2,53)&lt;&gt;"",INDEX(Tab_DaBa[],MATCH(CONCATENATE(Liste!$C$3,$B$1415,$B$1417),Data!$BO:$BO,0)-2,59),"")),"")</f>
        <v/>
      </c>
      <c r="E1435" s="33"/>
      <c r="F1435" s="35" t="str">
        <f ca="1">IFERROR(IF(AND(INDEX(Tab_DaBa[],MATCH(CONCATENATE(Liste!$C$3,$B$1415,$B$1417),Data!$BO:$BO,0)-2,58)&lt;&gt;"",INDEX(Tab_DaBa[],MATCH(CONCATENATE(Liste!$C$3,$B$1415,$B$1417),Data!$BO:$BO,0)-2,63)=0),INDEX(Tab_DaBa[],MATCH(CONCATENATE(Liste!$C$3,$B$1415,$B$1417),Data!$BO:$BO,0)-2,14),IF(INDEX(Tab_DaBa[],MATCH(CONCATENATE(Liste!$C$3,$B$1415,$B$1417),Data!$BO:$BO,0)-2,58)&lt;&gt;"",INDEX(Tab_DaBa[],MATCH(CONCATENATE(Liste!$C$3,$B$1415,$B$1417),Data!$BO:$BO,0)-2,64),"")),"")</f>
        <v/>
      </c>
      <c r="G1435" s="39"/>
      <c r="H1435" s="35" t="str">
        <f ca="1">IFERROR(IF(INDEX(Tab_DaBa[],MATCH(CONCATENATE(Liste!$C$3,$B$1415,$B$1417),Data!$BO:$BO,0)-2,63)&lt;&gt;"",INDEX(Tab_DaBa[],MATCH(CONCATENATE(Liste!$C$3,$B$1415,$B$1417),Data!$BO:$BO,0)-2,14),""),"")</f>
        <v/>
      </c>
    </row>
    <row r="1436" spans="2:9" s="16" customFormat="1" ht="15.75">
      <c r="B1436" s="35" t="str">
        <f ca="1">IFERROR(IF(AND(INDEX(Tab_DaBa[],MATCH(CONCATENATE(Liste!$C$3,$B$1415,$B$1417),Data!$BO:$BO,0)-2,48)&lt;&gt;"",INDEX(Tab_DaBa[],MATCH(CONCATENATE(Liste!$C$3,$B$1415,$B$1417),Data!$BO:$BO,0)-2,53)=0),INDEX(Tab_DaBa[],MATCH(CONCATENATE(Liste!$C$3,$B$1415,$B$1417),Data!$BO:$BO,0)-2,12),IF(INDEX(Tab_DaBa[],MATCH(CONCATENATE(Liste!$C$3,$B$1415,$B$1417),Data!$BO:$BO,0)-2,48)&lt;&gt;"",INDEX(Tab_DaBa[],MATCH(CONCATENATE(Liste!$C$3,$B$1415,$B$1417),Data!$BO:$BO,0)-2,52),"")),"")</f>
        <v/>
      </c>
      <c r="C1436" s="39"/>
      <c r="D1436" s="35" t="str">
        <f ca="1">IFERROR(IF(AND(INDEX(Tab_DaBa[],MATCH(CONCATENATE(Liste!$C$3,$B$1415,$B$1417),Data!$BO:$BO,0)-2,53)&lt;&gt;"",INDEX(Tab_DaBa[],MATCH(CONCATENATE(Liste!$C$3,$B$1415,$B$1417),Data!$BO:$BO,0)-2,58)=0),INDEX(Tab_DaBa[],MATCH(CONCATENATE(Liste!$C$3,$B$1415,$B$1417),Data!$BO:$BO,0)-2,12),IF(INDEX(Tab_DaBa[],MATCH(CONCATENATE(Liste!$C$3,$B$1415,$B$1417),Data!$BO:$BO,0)-2,53)&lt;&gt;"",INDEX(Tab_DaBa[],MATCH(CONCATENATE(Liste!$C$3,$B$1415,$B$1417),Data!$BO:$BO,0)-2,57),"")),"")</f>
        <v/>
      </c>
      <c r="E1436" s="37"/>
      <c r="F1436" s="35" t="str">
        <f ca="1">IFERROR(IF(AND(INDEX(Tab_DaBa[],MATCH(CONCATENATE(Liste!$C$3,$B$1415,$B$1417),Data!$BO:$BO,0)-2,58)&lt;&gt;"",INDEX(Tab_DaBa[],MATCH(CONCATENATE(Liste!$C$3,$B$1415,$B$1417),Data!$BO:$BO,0)-2,63)=0),INDEX(Tab_DaBa[],MATCH(CONCATENATE(Liste!$C$3,$B$1415,$B$1417),Data!$BO:$BO,0)-2,12),IF(INDEX(Tab_DaBa[],MATCH(CONCATENATE(Liste!$C$3,$B$1415,$B$1417),Data!$BO:$BO,0)-2,58)&lt;&gt;"",INDEX(Tab_DaBa[],MATCH(CONCATENATE(Liste!$C$3,$B$1415,$B$1417),Data!$BO:$BO,0)-2,62),"")),"")</f>
        <v/>
      </c>
      <c r="G1436" s="39"/>
      <c r="H1436" s="35" t="str">
        <f ca="1">IFERROR(IF(INDEX(Tab_DaBa[],MATCH(CONCATENATE(Liste!$C$3,$B$1415,$B$1417),Data!$BO:$BO,0)-2,63)&lt;&gt;"",INDEX(Tab_DaBa[],MATCH(CONCATENATE(Liste!$C$3,$B$1415,$B$1417),Data!$BO:$BO,0)-2,12),""),"")</f>
        <v/>
      </c>
    </row>
    <row r="1437" spans="2:9" s="16" customFormat="1" ht="15.75">
      <c r="B1437" s="35" t="str">
        <f ca="1">IFERROR(IF(AND(INDEX(Tab_DaBa[],MATCH(CONCATENATE(Liste!$C$3,$B$1415,$B$1417),Data!$BO:$BO,0)-2,48)&lt;&gt;"",INDEX(Tab_DaBa[],MATCH(CONCATENATE(Liste!$C$3,$B$1415,$B$1417),Data!$BO:$BO,0)-2,53)=""),INDEX(Tab_DaBa[],MATCH(CONCATENATE(Liste!$C$3,$B$1415,$B$1417),Data!$BO:$BO,0)-2,13),IF(INDEX(Tab_DaBa[],MATCH(CONCATENATE(Liste!$C$3,$B$1415,$B$1417),Data!$BO:$BO,0)-2,48)&lt;&gt;"",INDEX(Tab_DaBa[],MATCH(CONCATENATE(Liste!$C$3,$B$1415,$B$1417),Data!$BO:$BO,0)-2,53),"")),"")</f>
        <v/>
      </c>
      <c r="C1437" s="38" t="str">
        <f ca="1">IF(D1435="","",4)</f>
        <v/>
      </c>
      <c r="D1437" s="35" t="str">
        <f ca="1">IFERROR(IF(AND(INDEX(Tab_DaBa[],MATCH(CONCATENATE(Liste!$C$3,$B$1415,$B$1417),Data!$BO:$BO,0)-2,53)&lt;&gt;"",INDEX(Tab_DaBa[],MATCH(CONCATENATE(Liste!$C$3,$B$1415,$B$1417),Data!$BO:$BO,0)-2,58)=""),INDEX(Tab_DaBa[],MATCH(CONCATENATE(Liste!$C$3,$B$1415,$B$1417),Data!$BO:$BO,0)-2,13),IF(INDEX(Tab_DaBa[],MATCH(CONCATENATE(Liste!$C$3,$B$1415,$B$1417),Data!$BO:$BO,0)-2,53)&lt;&gt;"",INDEX(Tab_DaBa[],MATCH(CONCATENATE(Liste!$C$3,$B$1415,$B$1417),Data!$BO:$BO,0)-2,58),"")),"")</f>
        <v/>
      </c>
      <c r="E1437" s="38" t="str">
        <f ca="1">IF(F1435="","",4)</f>
        <v/>
      </c>
      <c r="F1437" s="35" t="str">
        <f ca="1">IFERROR(IF(AND(INDEX(Tab_DaBa[],MATCH(CONCATENATE(Liste!$C$3,$B$1415,$B$1417),Data!$BO:$BO,0)-2,58)&lt;&gt;"",INDEX(Tab_DaBa[],MATCH(CONCATENATE(Liste!$C$3,$B$1415,$B$1417),Data!$BO:$BO,0)-2,63)=""),INDEX(Tab_DaBa[],MATCH(CONCATENATE(Liste!$C$3,$B$1415,$B$1417),Data!$BO:$BO,0)-2,13),IF(INDEX(Tab_DaBa[],MATCH(CONCATENATE(Liste!$C$3,$B$1415,$B$1417),Data!$BO:$BO,0)-2,58)&lt;&gt;"",INDEX(Tab_DaBa[],MATCH(CONCATENATE(Liste!$C$3,$B$1415,$B$1417),Data!$BO:$BO,0)-2,63),"")),"")</f>
        <v/>
      </c>
      <c r="G1437" s="38" t="str">
        <f ca="1">IF(H1435="","",4)</f>
        <v/>
      </c>
      <c r="H1437" s="35" t="str">
        <f ca="1">IFERROR(IF(INDEX(Tab_DaBa[],MATCH(CONCATENATE(Liste!$C$3,$B$1415,$B$1417),Data!$BO:$BO,0)-2,63)&lt;&gt;"",INDEX(Tab_DaBa[],MATCH(CONCATENATE(Liste!$C$3,$B$1415,$B$1417),Data!$BO:$BO,0)-2,13),""),"")</f>
        <v/>
      </c>
    </row>
    <row r="1438" spans="2:9" s="16" customFormat="1" ht="15.75">
      <c r="B1438" s="35" t="str">
        <f ca="1">IFERROR(IF(AND(INDEX(Tab_DaBa[],MATCH(CONCATENATE(Liste!$C$3,$B$1415,$B$1417),Data!$BO:$BO,0)-2,48)&lt;&gt;"",INDEX(Tab_DaBa[],MATCH(CONCATENATE(Liste!$C$3,$B$1415,$B$1417),Data!$BO:$BO,0)-2,53)=""),"Performance Level: "&amp;INDEX(Tab_DaBa[],MATCH(CONCATENATE(Liste!$C$3,$B$1415,$B$1417),Data!$BO:$BO,0)-2,15),IF(INDEX(Tab_DaBa[],MATCH(CONCATENATE(Liste!$C$3,$B$1415,$B$1417),Data!$BO:$BO,0)-2,48)&lt;&gt;"","Performance Level: "&amp;INDEX(Tab_DaBa[],MATCH(CONCATENATE(Liste!$C$3,$B$1415,$B$1417),Data!$BO:$BO,0)-2,55),"")),"")</f>
        <v/>
      </c>
      <c r="C1438" s="39"/>
      <c r="D1438" s="35" t="str">
        <f ca="1">IFERROR(IF(AND(INDEX(Tab_DaBa[],MATCH(CONCATENATE(Liste!$C$3,$B$1415,$B$1417),Data!$BO:$BO,0)-2,53)&lt;&gt;"",INDEX(Tab_DaBa[],MATCH(CONCATENATE(Liste!$C$3,$B$1415,$B$1417),Data!$BO:$BO,0)-2,58)=""),"Performance Level: "&amp;INDEX(Tab_DaBa[],MATCH(CONCATENATE(Liste!$C$3,$B$1415,$B$1417),Data!$BO:$BO,0)-2,15),IF(INDEX(Tab_DaBa[],MATCH(CONCATENATE(Liste!$C$3,$B$1415,$B$1417),Data!$BO:$BO,0)-2,53)&lt;&gt;"","Performance Level: "&amp;INDEX(Tab_DaBa[],MATCH(CONCATENATE(Liste!$C$3,$B$1415,$B$1417),Data!$BO:$BO,0)-2,60),"")),"")</f>
        <v/>
      </c>
      <c r="E1438" s="37"/>
      <c r="F1438" s="35" t="str">
        <f ca="1">IFERROR(IF(AND(INDEX(Tab_DaBa[],MATCH(CONCATENATE(Liste!$C$3,$B$1415,$B$1417),Data!$BO:$BO,0)-2,58)&lt;&gt;"",INDEX(Tab_DaBa[],MATCH(CONCATENATE(Liste!$C$3,$B$1415,$B$1417),Data!$BO:$BO,0)-2,63)=""),"Performance Level: "&amp;INDEX(Tab_DaBa[],MATCH(CONCATENATE(Liste!$C$3,$B$1415,$B$1417),Data!$BO:$BO,0)-2,15),IF(INDEX(Tab_DaBa[],MATCH(CONCATENATE(Liste!$C$3,$B$1415,$B$1417),Data!$BO:$BO,0)-2,58)&lt;&gt;"","Performance Level: "&amp;INDEX(Tab_DaBa[],MATCH(CONCATENATE(Liste!$C$3,$B$1415,$B$1417),Data!$BO:$BO,0)-2,65),"")),"")</f>
        <v/>
      </c>
      <c r="G1438" s="39"/>
      <c r="H1438" s="35" t="str">
        <f ca="1">IFERROR(IF(INDEX(Tab_DaBa[],MATCH(CONCATENATE(Liste!$C$3,$B$1415,$B$1417),Data!$BO:$BO,0)-2,63)&lt;&gt;"","Performance Level: "&amp;INDEX(Tab_DaBa[],MATCH(CONCATENATE(Liste!$C$3,$B$1415,$B$1417),Data!$BO:$BO,0)-2,15),""),"")</f>
        <v/>
      </c>
    </row>
    <row r="1439" spans="2:9" s="16" customFormat="1" ht="15.75">
      <c r="B1439" s="35" t="str">
        <f ca="1">IFERROR(IF(AND(INDEX(Tab_DaBa[],MATCH(CONCATENATE(Liste!$C$3,$B$1415,$B$1417),Data!$BO:$BO,0)-2,48)&lt;&gt;"",INDEX(Tab_DaBa[],MATCH(CONCATENATE(Liste!$C$3,$B$1415,$B$1417),Data!$BO:$BO,0)-2,53)=""),"PFH [1/h] = "&amp;10^9*INDEX(Tab_DaBa[],MATCH(CONCATENATE(Liste!$C$3,$B$1415,$B$1417),Data!$BO:$BO,0)-2,16)&amp;"E-9",IF(INDEX(Tab_DaBa[],MATCH(CONCATENATE(Liste!$C$3,$B$1415,$B$1417),Data!$BO:$BO,0)-2,48)&lt;&gt;"","PFH [1/h] = "&amp;10^9*INDEX(Tab_DaBa[],MATCH(CONCATENATE(Liste!$C$3,$B$1415,$B$1417),Data!$BO:$BO,0)-2,56)&amp;"E-9","")),"")</f>
        <v/>
      </c>
      <c r="C1439" s="39"/>
      <c r="D1439" s="35" t="str">
        <f ca="1">IFERROR(IF(AND(INDEX(Tab_DaBa[],MATCH(CONCATENATE(Liste!$C$3,$B$1415,$B$1417),Data!$BO:$BO,0)-2,53)&lt;&gt;"",INDEX(Tab_DaBa[],MATCH(CONCATENATE(Liste!$C$3,$B$1415,$B$1417),Data!$BO:$BO,0)-2,58)=""),"PFH [1/h] = "&amp;10^9*INDEX(Tab_DaBa[],MATCH(CONCATENATE(Liste!$C$3,$B$1415,$B$1417),Data!$BO:$BO,0)-2,16)&amp;"E-9",IF(INDEX(Tab_DaBa[],MATCH(CONCATENATE(Liste!$C$3,$B$1415,$B$1417),Data!$BO:$BO,0)-2,53)&lt;&gt;"","PFH [1/h] = "&amp;10^9*INDEX(Tab_DaBa[],MATCH(CONCATENATE(Liste!$C$3,$B$1415,$B$1417),Data!$BO:$BO,0)-2,61)&amp;"E-9","")),"")</f>
        <v/>
      </c>
      <c r="E1439" s="37"/>
      <c r="F1439" s="35" t="str">
        <f ca="1">IFERROR(IF(AND(INDEX(Tab_DaBa[],MATCH(CONCATENATE(Liste!$C$3,$B$1415,$B$1417),Data!$BO:$BO,0)-2,58)&lt;&gt;"",INDEX(Tab_DaBa[],MATCH(CONCATENATE(Liste!$C$3,$B$1415,$B$1417),Data!$BO:$BO,0)-2,63)=""),"PFH [1/h] = "&amp;10^9*INDEX(Tab_DaBa[],MATCH(CONCATENATE(Liste!$C$3,$B$1415,$B$1417),Data!$BO:$BO,0)-2,16)&amp;"E-9",IF(INDEX(Tab_DaBa[],MATCH(CONCATENATE(Liste!$C$3,$B$1415,$B$1417),Data!$BO:$BO,0)-2,58)&lt;&gt;"","PFH [1/h] = "&amp;10^9*INDEX(Tab_DaBa[],MATCH(CONCATENATE(Liste!$C$3,$B$1415,$B$1417),Data!$BO:$BO,0)-2,66)&amp;"E-9","")),"")</f>
        <v/>
      </c>
      <c r="G1439" s="39"/>
      <c r="H1439" s="35" t="str">
        <f ca="1">IFERROR(IF(INDEX(Tab_DaBa[],MATCH(CONCATENATE(Liste!$C$3,$B$1415,$B$1417),Data!$BO:$BO,0)-2,63)&lt;&gt;"","PFH [1/h] = "&amp;10^9*INDEX(Tab_DaBa[],MATCH(CONCATENATE(Liste!$C$3,$B$1415,$B$1417),Data!$BO:$BO,0)-2,16)&amp;"E-9",""),"")</f>
        <v/>
      </c>
    </row>
    <row r="1440" spans="2:9" s="16" customFormat="1"/>
    <row r="1441" spans="2:9" s="16" customFormat="1">
      <c r="B1441" s="43" t="str">
        <f ca="1">IF(D1441="","","Erforderlich")</f>
        <v>Erforderlich</v>
      </c>
      <c r="D1441" s="44" t="str">
        <f ca="1">IFERROR("Performance Level: "&amp;INDEX(Tab_DaBa[],MATCH(CONCATENATE(Liste!$C$3,$B$1415,$B$1417),Data!$BO:$BO,0)-2,4),"")</f>
        <v>Performance Level: PLr_ges4_1</v>
      </c>
    </row>
    <row r="1442" spans="2:9" s="16" customFormat="1">
      <c r="B1442" s="45"/>
    </row>
    <row r="1443" spans="2:9" s="16" customFormat="1">
      <c r="B1443" s="46" t="str">
        <f ca="1">IF(D1443="","","Erreicht")</f>
        <v>Erreicht</v>
      </c>
      <c r="D1443" s="47" t="str">
        <f ca="1">IFERROR("Performance Level: "&amp;INDEX(Tab_DaBa[],MATCH(CONCATENATE(Liste!$C$3,$B$1415,$B$1417),Data!$BO:$BO,0)-2,5)&amp;"          PFH [1/h] = "&amp;10^9*INDEX(Tab_DaBa[],MATCH(CONCATENATE(Liste!$C$3,$B$1415,$B$1417),Data!$BO:$BO,0)-2,6)&amp;"E-9","")</f>
        <v>Performance Level: Pl_ges4_1          PFH [1/h] = 71,7E-9</v>
      </c>
    </row>
    <row r="1444" spans="2:9" s="16" customFormat="1"/>
    <row r="1445" spans="2:9" s="16" customFormat="1">
      <c r="B1445" s="42" t="str">
        <f ca="1">IFERROR(IF(2&gt;COUNTIF(Data!$BP:$BP,CONCATENATE(Liste!$C$3,$B$1415)),"",INDEX(Tab_DaBa[],MATCH(CONCATENATE(Liste!$C$3,$B$1415),Data!$BP:$BP,0)-1,3)),"")</f>
        <v>6.2 Test4 (E+2L+A)</v>
      </c>
    </row>
    <row r="1446" spans="2:9" s="16" customFormat="1"/>
    <row r="1447" spans="2:9" s="16" customFormat="1" ht="15.75">
      <c r="B1447" s="35" t="str">
        <f ca="1">IFERROR(INDEX(Tab_DaBa[],MATCH(CONCATENATE(Liste!$C$3,$B$1415,$B$1445),Data!$BO:$BO,0)-2,9),"")</f>
        <v>Eingang</v>
      </c>
      <c r="C1447" s="54"/>
      <c r="D1447" s="35" t="str">
        <f ca="1">IFERROR(IF(INDEX(Tab_DaBa[],MATCH(CONCATENATE(Liste!$C$3,$B$1415,$B$1445),Data!$BO:$BO,0)-2,18)=0,INDEX(Tab_DaBa[],MATCH(CONCATENATE(Liste!$C$3,$B$1415,$B$1445),Data!$BO:$BO,0)-2,14),INDEX(Tab_DaBa[],MATCH(CONCATENATE(Liste!$C$3,$B$1415,$B$1445),Data!$BO:$BO,0)-2,19)),"")</f>
        <v>Logik 01</v>
      </c>
      <c r="E1447" s="33"/>
      <c r="F1447" s="35" t="str">
        <f ca="1">IFERROR(IF(AND(INDEX(Tab_DaBa[],MATCH(CONCATENATE(Liste!$C$3,$B$1415,$B$1445),Data!$BO:$BO,0)-2,18)&lt;&gt;"",INDEX(Tab_DaBa[],MATCH(CONCATENATE(Liste!$C$3,$B$1415,$B$1445),Data!$BO:$BO,0)-2,23)=0),INDEX(Tab_DaBa[],MATCH(CONCATENATE(Liste!$C$3,$B$1415,$B$1445),Data!$BO:$BO,0)-2,14),IF(INDEX(Tab_DaBa[],MATCH(CONCATENATE(Liste!$C$3,$B$1415,$B$1445),Data!$BO:$BO,0)-2,23)&lt;&gt;"",INDEX(Tab_DaBa[],MATCH(CONCATENATE(Liste!$C$3,$B$1415,$B$1445),Data!$BO:$BO,0)-2,24),"")),"")</f>
        <v>Logik 02</v>
      </c>
      <c r="G1447" s="39"/>
      <c r="H1447" s="35" t="str">
        <f ca="1">IFERROR(IF(AND(INDEX(Tab_DaBa[],MATCH(CONCATENATE(Liste!$C$3,$B$1415,$B$1445),Data!$BO:$BO,0)-2,23)&lt;&gt;"",INDEX(Tab_DaBa[],MATCH(CONCATENATE(Liste!$C$3,$B$1415,$B$1445),Data!$BO:$BO,0)-2,28)=0),INDEX(Tab_DaBa[],MATCH(CONCATENATE(Liste!$C$3,$B$1415,$B$1445),Data!$BO:$BO,0)-2,14),IF(INDEX(Tab_DaBa[],MATCH(CONCATENATE(Liste!$C$3,$B$1415,$B$1445),Data!$BO:$BO,0)-2,23)&lt;&gt;"",INDEX(Tab_DaBa[],MATCH(CONCATENATE(Liste!$C$3,$B$1415,$B$1445),Data!$BO:$BO,0)-2,29),"")),"")</f>
        <v>Ausgang</v>
      </c>
      <c r="I1447" s="39"/>
    </row>
    <row r="1448" spans="2:9" s="16" customFormat="1" ht="15.75">
      <c r="B1448" s="35" t="str">
        <f ca="1">IFERROR(INDEX(Tab_DaBa[],MATCH(CONCATENATE(Liste!$C$3,$B$1415,$B$1445),Data!$BO:$BO,0)-2,7),"")</f>
        <v>eeee-33_2</v>
      </c>
      <c r="C1448" s="54"/>
      <c r="D1448" s="35" t="str">
        <f ca="1">IFERROR(IF(INDEX(Tab_DaBa[],MATCH(CONCATENATE(Liste!$C$3,$B$1415,$B$1445),Data!$BO:$BO,0)-2,18)="",INDEX(Tab_DaBa[],MATCH(CONCATENATE(Liste!$C$3,$B$1415,$B$1445),Data!$BO:$BO,0)-2,12),INDEX(Tab_DaBa[],MATCH(CONCATENATE(Liste!$C$3,$B$1415,$B$1445),Data!$BO:$BO,0)-2,17)),"")</f>
        <v>Log01-04_02</v>
      </c>
      <c r="E1448" s="36"/>
      <c r="F1448" s="35" t="str">
        <f ca="1">IFERROR(IF(AND(INDEX(Tab_DaBa[],MATCH(CONCATENATE(Liste!$C$3,$B$1415,$B$1445),Data!$BO:$BO,0)-2,18)&lt;&gt;"",INDEX(Tab_DaBa[],MATCH(CONCATENATE(Liste!$C$3,$B$1415,$B$1445),Data!$BO:$BO,0)-2,23)=0),INDEX(Tab_DaBa[],MATCH(CONCATENATE(Liste!$C$3,$B$1415,$B$1445),Data!$BO:$BO,0)-2,12),IF(INDEX(Tab_DaBa[],MATCH(CONCATENATE(Liste!$C$3,$B$1415,$B$1445),Data!$BO:$BO,0)-2,23)&lt;&gt;"",INDEX(Tab_DaBa[],MATCH(CONCATENATE(Liste!$C$3,$B$1415,$B$1445),Data!$BO:$BO,0)-2,22),"")),"")</f>
        <v>Lo04-04_02</v>
      </c>
      <c r="G1448" s="39"/>
      <c r="H1448" s="35" t="str">
        <f ca="1">IFERROR(IF(AND(INDEX(Tab_DaBa[],MATCH(CONCATENATE(Liste!$C$3,$B$1415,$B$1445),Data!$BO:$BO,0)-2,23)&lt;&gt;"",INDEX(Tab_DaBa[],MATCH(CONCATENATE(Liste!$C$3,$B$1415,$B$1445),Data!$BO:$BO,0)-2,28)=0),INDEX(Tab_DaBa[],MATCH(CONCATENATE(Liste!$C$3,$B$1415,$B$1445),Data!$BO:$BO,0)-2,12),IF(INDEX(Tab_DaBa[],MATCH(CONCATENATE(Liste!$C$3,$B$1415,$B$1445),Data!$BO:$BO,0)-2,23)&lt;&gt;"",INDEX(Tab_DaBa[],MATCH(CONCATENATE(Liste!$C$3,$B$1415,$B$1445),Data!$BO:$BO,0)-2,27),"")),"")</f>
        <v>aaaa-44_2</v>
      </c>
      <c r="I1448" s="39"/>
    </row>
    <row r="1449" spans="2:9" s="16" customFormat="1" ht="15.75">
      <c r="B1449" s="35" t="str">
        <f ca="1">IFERROR(INDEX(Tab_DaBa[],MATCH(CONCATENATE(Liste!$C$3,$B$1415,$B$1445),Data!$BO:$BO,0)-2,8),"")</f>
        <v>Bez_Ein4_2</v>
      </c>
      <c r="C1449" s="40">
        <f ca="1">IF(D1447="","",4)</f>
        <v>4</v>
      </c>
      <c r="D1449" s="35" t="str">
        <f ca="1">IFERROR(IF(INDEX(Tab_DaBa[],MATCH(CONCATENATE(Liste!$C$3,$B$1415,$B$1445),Data!$BO:$BO,0)-2,18)="",INDEX(Tab_DaBa[],MATCH(CONCATENATE(Liste!$C$3,$B$1415,$B$1445),Data!$BO:$BO,0)-2,13),INDEX(Tab_DaBa[],MATCH(CONCATENATE(Liste!$C$3,$B$1415,$B$1445),Data!$BO:$BO,0)-2,18)),"")</f>
        <v>Bez_Log01_04_02</v>
      </c>
      <c r="E1449" s="40">
        <f ca="1">IF(F1447="","",4)</f>
        <v>4</v>
      </c>
      <c r="F1449" s="35" t="str">
        <f ca="1">IFERROR(IF(AND(INDEX(Tab_DaBa[],MATCH(CONCATENATE(Liste!$C$3,$B$1415,$B$1445),Data!$BO:$BO,0)-2,18)&lt;&gt;"",INDEX(Tab_DaBa[],MATCH(CONCATENATE(Liste!$C$3,$B$1415,$B$1445),Data!$BO:$BO,0)-2,23)=""),INDEX(Tab_DaBa[],MATCH(CONCATENATE(Liste!$C$3,$B$1415,$B$1445),Data!$BO:$BO,0)-2,13),IF(INDEX(Tab_DaBa[],MATCH(CONCATENATE(Liste!$C$3,$B$1415,$B$1445),Data!$BO:$BO,0)-2,23)&lt;&gt;"",INDEX(Tab_DaBa[],MATCH(CONCATENATE(Liste!$C$3,$B$1415,$B$1445),Data!$BO:$BO,0)-2,23),"")),"")</f>
        <v>Bez_Lo04_02</v>
      </c>
      <c r="G1449" s="38">
        <f ca="1">IF(H1447="","",4)</f>
        <v>4</v>
      </c>
      <c r="H1449" s="35" t="str">
        <f ca="1">IFERROR(IF(AND(INDEX(Tab_DaBa[],MATCH(CONCATENATE(Liste!$C$3,$B$1415,$B$1445),Data!$BO:$BO,0)-2,23)&lt;&gt;"",INDEX(Tab_DaBa[],MATCH(CONCATENATE(Liste!$C$3,$B$1415,$B$1445),Data!$BO:$BO,0)-2,28)=""),INDEX(Tab_DaBa[],MATCH(CONCATENATE(Liste!$C$3,$B$1415,$B$1445),Data!$BO:$BO,0)-2,13),IF(INDEX(Tab_DaBa[],MATCH(CONCATENATE(Liste!$C$3,$B$1415,$B$1445),Data!$BO:$BO,0)-2,23)&lt;&gt;"",INDEX(Tab_DaBa[],MATCH(CONCATENATE(Liste!$C$3,$B$1415,$B$1445),Data!$BO:$BO,0)-2,28),"")),"")</f>
        <v>Bez_Aus4_2</v>
      </c>
      <c r="I1449" s="38" t="str">
        <f ca="1">IF(B1455="","",6)</f>
        <v/>
      </c>
    </row>
    <row r="1450" spans="2:9" s="16" customFormat="1" ht="15.75">
      <c r="B1450" s="35" t="str">
        <f ca="1">IFERROR("Performance Level: "&amp;INDEX(Tab_DaBa[],MATCH(CONCATENATE(Liste!$C$3,$B$1415,$B$1445),Data!$BO:$BO,0)-2,10),"")</f>
        <v>Performance Level: PL_Ein4_2</v>
      </c>
      <c r="C1450" s="54"/>
      <c r="D1450" s="35" t="str">
        <f ca="1">IFERROR(IF(INDEX(Tab_DaBa[],MATCH(CONCATENATE(Liste!$C$3,$B$1415,$B$1445),Data!$BO:$BO,0)-2,18)="","Performance Level: "&amp;INDEX(Tab_DaBa[],MATCH(CONCATENATE(Liste!$C$3,$B$1415,$B$1445),Data!$BO:$BO,0)-2,15),"Performance Level: "&amp;INDEX(Tab_DaBa[],MATCH(CONCATENATE(Liste!$C$3,$B$1415,$B$1445),Data!$BO:$BO,0)-2,20)),"")</f>
        <v>Performance Level: PL_Log01_04_02</v>
      </c>
      <c r="E1450" s="36"/>
      <c r="F1450" s="35" t="str">
        <f ca="1">IFERROR(IF(AND(INDEX(Tab_DaBa[],MATCH(CONCATENATE(Liste!$C$3,$B$1415,$B$1445),Data!$BO:$BO,0)-2,18)&lt;&gt;"",INDEX(Tab_DaBa[],MATCH(CONCATENATE(Liste!$C$3,$B$1415,$B$1445),Data!$BO:$BO,0)-2,23)=""),"Performance Level: "&amp;INDEX(Tab_DaBa[],MATCH(CONCATENATE(Liste!$C$3,$B$1415,$B$1445),Data!$BO:$BO,0)-2,15),IF(INDEX(Tab_DaBa[],MATCH(CONCATENATE(Liste!$C$3,$B$1415,$B$1445),Data!$BO:$BO,0)-2,23)&lt;&gt;"","Performance Level: "&amp;INDEX(Tab_DaBa[],MATCH(CONCATENATE(Liste!$C$3,$B$1415,$B$1445),Data!$BO:$BO,0)-2,25),"")),"")</f>
        <v>Performance Level: PL_Lo04_02</v>
      </c>
      <c r="G1450" s="39"/>
      <c r="H1450" s="35" t="str">
        <f ca="1">IFERROR(IF(AND(INDEX(Tab_DaBa[],MATCH(CONCATENATE(Liste!$C$3,$B$1415,$B$1445),Data!$BO:$BO,0)-2,23)&lt;&gt;"",INDEX(Tab_DaBa[],MATCH(CONCATENATE(Liste!$C$3,$B$1415,$B$1445),Data!$BO:$BO,0)-2,28)=""),"Performance Level: "&amp;INDEX(Tab_DaBa[],MATCH(CONCATENATE(Liste!$C$3,$B$1415,$B$1445),Data!$BO:$BO,0)-2,15),IF(INDEX(Tab_DaBa[],MATCH(CONCATENATE(Liste!$C$3,$B$1415,$B$1445),Data!$BO:$BO,0)-2,23)&lt;&gt;"","Performance Level: "&amp;INDEX(Tab_DaBa[],MATCH(CONCATENATE(Liste!$C$3,$B$1415,$B$1445),Data!$BO:$BO,0)-2,30),"")),"")</f>
        <v>Performance Level: PL_Aus4_2</v>
      </c>
      <c r="I1450" s="38"/>
    </row>
    <row r="1451" spans="2:9" s="16" customFormat="1" ht="15.75">
      <c r="B1451" s="53" t="str">
        <f ca="1">IFERROR("PFH [1/h] = "&amp;10^9*INDEX(Tab_DaBa[],MATCH(CONCATENATE(Liste!$C$3,$B$1415,$B$1445),Data!$BO:$BO,0)-2,11)&amp;"E-9","")</f>
        <v>PFH [1/h] = 42,9E-9</v>
      </c>
      <c r="C1451" s="54"/>
      <c r="D1451" s="35" t="str">
        <f ca="1">IFERROR(IF(INDEX(Tab_DaBa[],MATCH(CONCATENATE(Liste!$C$3,$B$1415,$B$1445),Data!$BO:$BO,0)-2,18)="","PFH [1/h] = "&amp;10^9*INDEX(Tab_DaBa[],MATCH(CONCATENATE(Liste!$C$3,$B$1415,$B$1445),Data!$BO:$BO,0)-2,16)&amp;"E-9","PFH [1/h] = "&amp;10^9*INDEX(Tab_DaBa[],MATCH(CONCATENATE(Liste!$C$3,$B$1415,$B$1445),Data!$BO:$BO,0)-2,21)&amp;"E-9"),"")</f>
        <v>PFH [1/h] = 4,19E-9</v>
      </c>
      <c r="E1451" s="36"/>
      <c r="F1451" s="35" t="str">
        <f ca="1">IFERROR(IF(AND(INDEX(Tab_DaBa[],MATCH(CONCATENATE(Liste!$C$3,$B$1415,$B$1445),Data!$BO:$BO,0)-2,18)&lt;&gt;"",INDEX(Tab_DaBa[],MATCH(CONCATENATE(Liste!$C$3,$B$1415,$B$1445),Data!$BO:$BO,0)-2,23)=""),"PFH [1/h] = "&amp;10^9*INDEX(Tab_DaBa[],MATCH(CONCATENATE(Liste!$C$3,$B$1415,$B$1445),Data!$BO:$BO,0)-2,16)&amp;"E-9",IF(INDEX(Tab_DaBa[],MATCH(CONCATENATE(Liste!$C$3,$B$1415,$B$1445),Data!$BO:$BO,0)-2,23)&lt;&gt;"","PFH [1/h] = "&amp;10^9*INDEX(Tab_DaBa[],MATCH(CONCATENATE(Liste!$C$3,$B$1415,$B$1445),Data!$BO:$BO,0)-2,26)&amp;"E-9","")),"")</f>
        <v>PFH [1/h] = 4,19E-9</v>
      </c>
      <c r="G1451" s="39"/>
      <c r="H1451" s="35" t="str">
        <f ca="1">IFERROR(IF(AND(INDEX(Tab_DaBa[],MATCH(CONCATENATE(Liste!$C$3,$B$1415,$B$1445),Data!$BO:$BO,0)-2,23)&lt;&gt;"",INDEX(Tab_DaBa[],MATCH(CONCATENATE(Liste!$C$3,$B$1415,$B$1445),Data!$BO:$BO,0)-2,28)=""),"PFH [1/h] = "&amp;10^9*INDEX(Tab_DaBa[],MATCH(CONCATENATE(Liste!$C$3,$B$1415,$B$1445),Data!$BO:$BO,0)-2,16)&amp;"E-9",IF(INDEX(Tab_DaBa[],MATCH(CONCATENATE(Liste!$C$3,$B$1415,$B$1445),Data!$BO:$BO,0)-2,23)&lt;&gt;"","PFH [1/h] = "&amp;10^9*INDEX(Tab_DaBa[],MATCH(CONCATENATE(Liste!$C$3,$B$1415,$B$1445),Data!$BO:$BO,0)-2,31)&amp;"E-9","")),"")</f>
        <v>PFH [1/h] = 24,7E-9</v>
      </c>
      <c r="I1451" s="39"/>
    </row>
    <row r="1452" spans="2:9" s="16" customFormat="1">
      <c r="B1452" s="33"/>
      <c r="C1452" s="34"/>
      <c r="D1452" s="33"/>
      <c r="E1452" s="33"/>
      <c r="F1452" s="33"/>
      <c r="G1452" s="33"/>
      <c r="H1452" s="33"/>
      <c r="I1452" s="33"/>
    </row>
    <row r="1453" spans="2:9" s="16" customFormat="1" ht="15.75">
      <c r="B1453" s="38" t="str">
        <f ca="1">IF(B1455="","",6)</f>
        <v/>
      </c>
      <c r="C1453" s="34"/>
      <c r="D1453" s="38" t="str">
        <f ca="1">IF(B1455="","",3)</f>
        <v/>
      </c>
      <c r="E1453" s="33"/>
      <c r="F1453" s="38" t="str">
        <f ca="1">IF(B1455="","",3)</f>
        <v/>
      </c>
      <c r="G1453" s="33"/>
      <c r="H1453" s="38" t="str">
        <f ca="1">IF(B1455="","",3)</f>
        <v/>
      </c>
      <c r="I1453" s="33"/>
    </row>
    <row r="1454" spans="2:9" s="16" customFormat="1" ht="15.75">
      <c r="B1454" s="39"/>
      <c r="C1454" s="33"/>
      <c r="D1454" s="33"/>
      <c r="E1454" s="33"/>
      <c r="F1454" s="33"/>
      <c r="G1454" s="33"/>
      <c r="H1454" s="33"/>
      <c r="I1454" s="33"/>
    </row>
    <row r="1455" spans="2:9" s="16" customFormat="1" ht="15.75">
      <c r="B1455" s="35" t="str">
        <f ca="1">IFERROR(IF(AND(INDEX(Tab_DaBa[],MATCH(CONCATENATE(Liste!$C$3,$B$1415,$B$1445),Data!$BO:$BO,0)-2,28)&lt;&gt;"",INDEX(Tab_DaBa[],MATCH(CONCATENATE(Liste!$C$3,$B$1415,$B$1445),Data!$BO:$BO,0)-2,33)=0),INDEX(Tab_DaBa[],MATCH(CONCATENATE(Liste!$C$3,$B$1415,$B$1445),Data!$BO:$BO,0)-2,14),IF(INDEX(Tab_DaBa[],MATCH(CONCATENATE(Liste!$C$3,$B$1415,$B$1445),Data!$BO:$BO,0)-2,28)&lt;&gt;"",INDEX(Tab_DaBa[],MATCH(CONCATENATE(Liste!$C$3,$B$1415,$B$1445),Data!$BO:$BO,0)-2,34),"")),"")</f>
        <v/>
      </c>
      <c r="C1455" s="39"/>
      <c r="D1455" s="35" t="str">
        <f ca="1">IFERROR(IF(AND(INDEX(Tab_DaBa[],MATCH(CONCATENATE(Liste!$C$3,$B$1415,$B$1445),Data!$BO:$BO,0)-2,33)&lt;&gt;"",INDEX(Tab_DaBa[],MATCH(CONCATENATE(Liste!$C$3,$B$1415,$B$1445),Data!$BO:$BO,0)-2,38)=0),INDEX(Tab_DaBa[],MATCH(CONCATENATE(Liste!$C$3,$B$1415,$B$1445),Data!$BO:$BO,0)-2,14),IF(INDEX(Tab_DaBa[],MATCH(CONCATENATE(Liste!$C$3,$B$1415,$B$1445),Data!$BO:$BO,0)-2,33)&lt;&gt;"",INDEX(Tab_DaBa[],MATCH(CONCATENATE(Liste!$C$3,$B$1415,$B$1445),Data!$BO:$BO,0)-2,39),"")),"")</f>
        <v/>
      </c>
      <c r="E1455" s="33"/>
      <c r="F1455" s="35" t="str">
        <f ca="1">IFERROR(IF(AND(INDEX(Tab_DaBa[],MATCH(CONCATENATE(Liste!$C$3,$B$1415,$B$1445),Data!$BO:$BO,0)-2,38)&lt;&gt;"",INDEX(Tab_DaBa[],MATCH(CONCATENATE(Liste!$C$3,$B$1415,$B$1445),Data!$BO:$BO,0)-2,43)=0),INDEX(Tab_DaBa[],MATCH(CONCATENATE(Liste!$C$3,$B$1415,$B$1445),Data!$BO:$BO,0)-2,14),IF(INDEX(Tab_DaBa[],MATCH(CONCATENATE(Liste!$C$3,$B$1415,$B$1445),Data!$BO:$BO,0)-2,38)&lt;&gt;"",INDEX(Tab_DaBa[],MATCH(CONCATENATE(Liste!$C$3,$B$1415,$B$1445),Data!$BO:$BO,0)-2,44),"")),"")</f>
        <v/>
      </c>
      <c r="G1455" s="39"/>
      <c r="H1455" s="35" t="str">
        <f ca="1">IFERROR(IF(AND(INDEX(Tab_DaBa[],MATCH(CONCATENATE(Liste!$C$3,$B$1415,$B$1445),Data!$BO:$BO,0)-2,43)&lt;&gt;"",INDEX(Tab_DaBa[],MATCH(CONCATENATE(Liste!$C$3,$B$1415,$B$1445),Data!$BO:$BO,0)-2,48)=0),INDEX(Tab_DaBa[],MATCH(CONCATENATE(Liste!$C$3,$B$1415,$B$1445),Data!$BO:$BO,0)-2,14),IF(INDEX(Tab_DaBa[],MATCH(CONCATENATE(Liste!$C$3,$B$1415,$B$1445),Data!$BO:$BO,0)-2,43)&lt;&gt;"",INDEX(Tab_DaBa[],MATCH(CONCATENATE(Liste!$C$3,$B$1415,$B$1445),Data!$BO:$BO,0)-2,49),"")),"")</f>
        <v/>
      </c>
      <c r="I1455" s="39"/>
    </row>
    <row r="1456" spans="2:9" s="16" customFormat="1" ht="15.75">
      <c r="B1456" s="35" t="str">
        <f ca="1">IFERROR(IF(AND(INDEX(Tab_DaBa[],MATCH(CONCATENATE(Liste!$C$3,$B$1415,$B$1445),Data!$BO:$BO,0)-2,28)&lt;&gt;"",INDEX(Tab_DaBa[],MATCH(CONCATENATE(Liste!$C$3,$B$1415,$B$1445),Data!$BO:$BO,0)-2,33)=0),INDEX(Tab_DaBa[],MATCH(CONCATENATE(Liste!$C$3,$B$1415,$B$1445),Data!$BO:$BO,0)-2,12),IF(INDEX(Tab_DaBa[],MATCH(CONCATENATE(Liste!$C$3,$B$1415,$B$1445),Data!$BO:$BO,0)-2,28)&lt;&gt;"",INDEX(Tab_DaBa[],MATCH(CONCATENATE(Liste!$C$3,$B$1415,$B$1445),Data!$BO:$BO,0)-2,32),"")),"")</f>
        <v/>
      </c>
      <c r="C1456" s="39"/>
      <c r="D1456" s="35" t="str">
        <f ca="1">IFERROR(IF(AND(INDEX(Tab_DaBa[],MATCH(CONCATENATE(Liste!$C$3,$B$1415,$B$1445),Data!$BO:$BO,0)-2,33)&lt;&gt;"",INDEX(Tab_DaBa[],MATCH(CONCATENATE(Liste!$C$3,$B$1415,$B$1445),Data!$BO:$BO,0)-2,38)=0),INDEX(Tab_DaBa[],MATCH(CONCATENATE(Liste!$C$3,$B$1415,$B$1445),Data!$BO:$BO,0)-2,12),IF(INDEX(Tab_DaBa[],MATCH(CONCATENATE(Liste!$C$3,$B$1415,$B$1445),Data!$BO:$BO,0)-2,33)&lt;&gt;"",INDEX(Tab_DaBa[],MATCH(CONCATENATE(Liste!$C$3,$B$1415,$B$1445),Data!$BO:$BO,0)-2,37),"")),"")</f>
        <v/>
      </c>
      <c r="E1456" s="37"/>
      <c r="F1456" s="35" t="str">
        <f ca="1">IFERROR(IF(AND(INDEX(Tab_DaBa[],MATCH(CONCATENATE(Liste!$C$3,$B$1415,$B$1445),Data!$BO:$BO,0)-2,38)&lt;&gt;"",INDEX(Tab_DaBa[],MATCH(CONCATENATE(Liste!$C$3,$B$1415,$B$1445),Data!$BO:$BO,0)-2,43)=0),INDEX(Tab_DaBa[],MATCH(CONCATENATE(Liste!$C$3,$B$1415,$B$1445),Data!$BO:$BO,0)-2,12),IF(INDEX(Tab_DaBa[],MATCH(CONCATENATE(Liste!$C$3,$B$1415,$B$1445),Data!$BO:$BO,0)-2,38)&lt;&gt;"",INDEX(Tab_DaBa[],MATCH(CONCATENATE(Liste!$C$3,$B$1415,$B$1445),Data!$BO:$BO,0)-2,42),"")),"")</f>
        <v/>
      </c>
      <c r="G1456" s="39"/>
      <c r="H1456" s="35" t="str">
        <f ca="1">IFERROR(IF(AND(INDEX(Tab_DaBa[],MATCH(CONCATENATE(Liste!$C$3,$B$1415,$B$1445),Data!$BO:$BO,0)-2,43)&lt;&gt;"",INDEX(Tab_DaBa[],MATCH(CONCATENATE(Liste!$C$3,$B$1415,$B$1445),Data!$BO:$BO,0)-2,48)=0),INDEX(Tab_DaBa[],MATCH(CONCATENATE(Liste!$C$3,$B$1415,$B$1445),Data!$BO:$BO,0)-2,12),IF(INDEX(Tab_DaBa[],MATCH(CONCATENATE(Liste!$C$3,$B$1415,$B$1445),Data!$BO:$BO,0)-2,43)&lt;&gt;"",INDEX(Tab_DaBa[],MATCH(CONCATENATE(Liste!$C$3,$B$1415,$B$1445),Data!$BO:$BO,0)-2,47),"")),"")</f>
        <v/>
      </c>
      <c r="I1456" s="39"/>
    </row>
    <row r="1457" spans="2:9" s="16" customFormat="1" ht="15.75">
      <c r="B1457" s="35" t="str">
        <f ca="1">IFERROR(IF(AND(INDEX(Tab_DaBa[],MATCH(CONCATENATE(Liste!$C$3,$B$1415,$B$1445),Data!$BO:$BO,0)-2,28)&lt;&gt;"",INDEX(Tab_DaBa[],MATCH(CONCATENATE(Liste!$C$3,$B$1415,$B$1445),Data!$BO:$BO,0)-2,33)=""),INDEX(Tab_DaBa[],MATCH(CONCATENATE(Liste!$C$3,$B$1415,$B$1445),Data!$BO:$BO,0)-2,13),IF(INDEX(Tab_DaBa[],MATCH(CONCATENATE(Liste!$C$3,$B$1415,$B$1445),Data!$BO:$BO,0)-2,28)&lt;&gt;"",INDEX(Tab_DaBa[],MATCH(CONCATENATE(Liste!$C$3,$B$1415,$B$1445),Data!$BO:$BO,0)-2,33),"")),"")</f>
        <v/>
      </c>
      <c r="C1457" s="38" t="str">
        <f ca="1">IF(D1455="","",4)</f>
        <v/>
      </c>
      <c r="D1457" s="35" t="str">
        <f ca="1">IFERROR(IF(AND(INDEX(Tab_DaBa[],MATCH(CONCATENATE(Liste!$C$3,$B$1415,$B$1445),Data!$BO:$BO,0)-2,33)&lt;&gt;"",INDEX(Tab_DaBa[],MATCH(CONCATENATE(Liste!$C$3,$B$1415,$B$1445),Data!$BO:$BO,0)-2,38)=""),INDEX(Tab_DaBa[],MATCH(CONCATENATE(Liste!$C$3,$B$1415,$B$1445),Data!$BO:$BO,0)-2,13),IF(INDEX(Tab_DaBa[],MATCH(CONCATENATE(Liste!$C$3,$B$1415,$B$1445),Data!$BO:$BO,0)-2,33)&lt;&gt;"",INDEX(Tab_DaBa[],MATCH(CONCATENATE(Liste!$C$3,$B$1415,$B$1445),Data!$BO:$BO,0)-2,38),"")),"")</f>
        <v/>
      </c>
      <c r="E1457" s="38" t="str">
        <f ca="1">IF(F1455="","",4)</f>
        <v/>
      </c>
      <c r="F1457" s="35" t="str">
        <f ca="1">IFERROR(IF(AND(INDEX(Tab_DaBa[],MATCH(CONCATENATE(Liste!$C$3,$B$1415,$B$1445),Data!$BO:$BO,0)-2,38)&lt;&gt;"",INDEX(Tab_DaBa[],MATCH(CONCATENATE(Liste!$C$3,$B$1415,$B$1445),Data!$BO:$BO,0)-2,43)=""),INDEX(Tab_DaBa[],MATCH(CONCATENATE(Liste!$C$3,$B$1415,$B$1445),Data!$BO:$BO,0)-2,13),IF(INDEX(Tab_DaBa[],MATCH(CONCATENATE(Liste!$C$3,$B$1415,$B$1445),Data!$BO:$BO,0)-2,38)&lt;&gt;"",INDEX(Tab_DaBa[],MATCH(CONCATENATE(Liste!$C$3,$B$1415,$B$1445),Data!$BO:$BO,0)-2,43),"")),"")</f>
        <v/>
      </c>
      <c r="G1457" s="38" t="str">
        <f ca="1">IF(H1455="","",4)</f>
        <v/>
      </c>
      <c r="H1457" s="35" t="str">
        <f ca="1">IFERROR(IF(AND(INDEX(Tab_DaBa[],MATCH(CONCATENATE(Liste!$C$3,$B$1415,$B$1445),Data!$BO:$BO,0)-2,43)&lt;&gt;"",INDEX(Tab_DaBa[],MATCH(CONCATENATE(Liste!$C$3,$B$1415,$B$1445),Data!$BO:$BO,0)-2,48)=""),INDEX(Tab_DaBa[],MATCH(CONCATENATE(Liste!$C$3,$B$1415,$B$1445),Data!$BO:$BO,0)-2,13),IF(INDEX(Tab_DaBa[],MATCH(CONCATENATE(Liste!$C$3,$B$1415,$B$1445),Data!$BO:$BO,0)-2,43)&lt;&gt;"",INDEX(Tab_DaBa[],MATCH(CONCATENATE(Liste!$C$3,$B$1415,$B$1445),Data!$BO:$BO,0)-2,48),"")),"")</f>
        <v/>
      </c>
      <c r="I1457" s="38" t="str">
        <f ca="1">IF(B1463="","",6)</f>
        <v/>
      </c>
    </row>
    <row r="1458" spans="2:9" s="16" customFormat="1" ht="15.75">
      <c r="B1458" s="35" t="str">
        <f ca="1">IFERROR(IF(AND(INDEX(Tab_DaBa[],MATCH(CONCATENATE(Liste!$C$3,$B$1415,$B$1445),Data!$BO:$BO,0)-2,28)&lt;&gt;"",INDEX(Tab_DaBa[],MATCH(CONCATENATE(Liste!$C$3,$B$1415,$B$1445),Data!$BO:$BO,0)-2,33)=""),"Performance Level: "&amp;INDEX(Tab_DaBa[],MATCH(CONCATENATE(Liste!$C$3,$B$1415,$B$1445),Data!$BO:$BO,0)-2,15),IF(INDEX(Tab_DaBa[],MATCH(CONCATENATE(Liste!$C$3,$B$1415,$B$1445),Data!$BO:$BO,0)-2,28)&lt;&gt;"","Performance Level: "&amp;INDEX(Tab_DaBa[],MATCH(CONCATENATE(Liste!$C$3,$B$1415,$B$1445),Data!$BO:$BO,0)-2,35),"")),"")</f>
        <v/>
      </c>
      <c r="C1458" s="39"/>
      <c r="D1458" s="35" t="str">
        <f ca="1">IFERROR(IF(AND(INDEX(Tab_DaBa[],MATCH(CONCATENATE(Liste!$C$3,$B$1415,$B$1445),Data!$BO:$BO,0)-2,33)&lt;&gt;"",INDEX(Tab_DaBa[],MATCH(CONCATENATE(Liste!$C$3,$B$1415,$B$1445),Data!$BO:$BO,0)-2,38)=""),"Performance Level: "&amp;INDEX(Tab_DaBa[],MATCH(CONCATENATE(Liste!$C$3,$B$1415,$B$1445),Data!$BO:$BO,0)-2,15),IF(INDEX(Tab_DaBa[],MATCH(CONCATENATE(Liste!$C$3,$B$1415,$B$1445),Data!$BO:$BO,0)-2,33)&lt;&gt;"","Performance Level: "&amp;INDEX(Tab_DaBa[],MATCH(CONCATENATE(Liste!$C$3,$B$1415,$B$1445),Data!$BO:$BO,0)-2,40),"")),"")</f>
        <v/>
      </c>
      <c r="E1458" s="37"/>
      <c r="F1458" s="35" t="str">
        <f ca="1">IFERROR(IF(AND(INDEX(Tab_DaBa[],MATCH(CONCATENATE(Liste!$C$3,$B$1415,$B$1445),Data!$BO:$BO,0)-2,38)&lt;&gt;"",INDEX(Tab_DaBa[],MATCH(CONCATENATE(Liste!$C$3,$B$1415,$B$1445),Data!$BO:$BO,0)-2,43)=""),"Performance Level: "&amp;INDEX(Tab_DaBa[],MATCH(CONCATENATE(Liste!$C$3,$B$1415,$B$1445),Data!$BO:$BO,0)-2,15),IF(INDEX(Tab_DaBa[],MATCH(CONCATENATE(Liste!$C$3,$B$1415,$B$1445),Data!$BO:$BO,0)-2,38)&lt;&gt;"","Performance Level: "&amp;INDEX(Tab_DaBa[],MATCH(CONCATENATE(Liste!$C$3,$B$1415,$B$1445),Data!$BO:$BO,0)-2,45),"")),"")</f>
        <v/>
      </c>
      <c r="G1458" s="39"/>
      <c r="H1458" s="35" t="str">
        <f ca="1">IFERROR(IF(AND(INDEX(Tab_DaBa[],MATCH(CONCATENATE(Liste!$C$3,$B$1415,$B$1445),Data!$BO:$BO,0)-2,43)&lt;&gt;"",INDEX(Tab_DaBa[],MATCH(CONCATENATE(Liste!$C$3,$B$1415,$B$1445),Data!$BO:$BO,0)-2,48)=""),"Performance Level: "&amp;INDEX(Tab_DaBa[],MATCH(CONCATENATE(Liste!$C$3,$B$1415,$B$1445),Data!$BO:$BO,0)-2,15),IF(INDEX(Tab_DaBa[],MATCH(CONCATENATE(Liste!$C$3,$B$1415,$B$1445),Data!$BO:$BO,0)-2,43)&lt;&gt;"","Performance Level: "&amp;INDEX(Tab_DaBa[],MATCH(CONCATENATE(Liste!$C$3,$B$1415,$B$1445),Data!$BO:$BO,0)-2,50),"")),"")</f>
        <v/>
      </c>
      <c r="I1458" s="39"/>
    </row>
    <row r="1459" spans="2:9" s="16" customFormat="1" ht="15.75">
      <c r="B1459" s="35" t="str">
        <f ca="1">IFERROR(IF(AND(INDEX(Tab_DaBa[],MATCH(CONCATENATE(Liste!$C$3,$B$1415,$B$1445),Data!$BO:$BO,0)-2,28)&lt;&gt;"",INDEX(Tab_DaBa[],MATCH(CONCATENATE(Liste!$C$3,$B$1415,$B$1445),Data!$BO:$BO,0)-2,33)=""),"PFH [1/h] = "&amp;10^9*INDEX(Tab_DaBa[],MATCH(CONCATENATE(Liste!$C$3,$B$1415,$B$1445),Data!$BO:$BO,0)-2,16)&amp;"E-9",IF(INDEX(Tab_DaBa[],MATCH(CONCATENATE(Liste!$C$3,$B$1415,$B$1445),Data!$BO:$BO,0)-2,28)&lt;&gt;"","PFH [1/h] = "&amp;10^9*INDEX(Tab_DaBa[],MATCH(CONCATENATE(Liste!$C$3,$B$1415,$B$1445),Data!$BO:$BO,0)-2,36)&amp;"E-9","")),"")</f>
        <v/>
      </c>
      <c r="C1459" s="39"/>
      <c r="D1459" s="35" t="str">
        <f ca="1">IFERROR(IF(AND(INDEX(Tab_DaBa[],MATCH(CONCATENATE(Liste!$C$3,$B$1415,$B$1445),Data!$BO:$BO,0)-2,33)&lt;&gt;"",INDEX(Tab_DaBa[],MATCH(CONCATENATE(Liste!$C$3,$B$1415,$B$1445),Data!$BO:$BO,0)-2,38)=""),"PFH [1/h] = "&amp;10^9*INDEX(Tab_DaBa[],MATCH(CONCATENATE(Liste!$C$3,$B$1415,$B$1445),Data!$BO:$BO,0)-2,16)&amp;"E-9",IF(INDEX(Tab_DaBa[],MATCH(CONCATENATE(Liste!$C$3,$B$1415,$B$1445),Data!$BO:$BO,0)-2,33)&lt;&gt;"","PFH [1/h] = "&amp;10^9*INDEX(Tab_DaBa[],MATCH(CONCATENATE(Liste!$C$3,$B$1415,$B$1445),Data!$BO:$BO,0)-2,41)&amp;"E-9","")),"")</f>
        <v/>
      </c>
      <c r="E1459" s="37"/>
      <c r="F1459" s="35" t="str">
        <f ca="1">IFERROR(IF(AND(INDEX(Tab_DaBa[],MATCH(CONCATENATE(Liste!$C$3,$B$1415,$B$1445),Data!$BO:$BO,0)-2,38)&lt;&gt;"",INDEX(Tab_DaBa[],MATCH(CONCATENATE(Liste!$C$3,$B$1415,$B$1445),Data!$BO:$BO,0)-2,43)=""),"PFH [1/h] = "&amp;10^9*INDEX(Tab_DaBa[],MATCH(CONCATENATE(Liste!$C$3,$B$1415,$B$1445),Data!$BO:$BO,0)-2,16)&amp;"E-9",IF(INDEX(Tab_DaBa[],MATCH(CONCATENATE(Liste!$C$3,$B$1415,$B$1445),Data!$BO:$BO,0)-2,38)&lt;&gt;"","PFH [1/h] = "&amp;10^9*INDEX(Tab_DaBa[],MATCH(CONCATENATE(Liste!$C$3,$B$1415,$B$1445),Data!$BO:$BO,0)-2,46)&amp;"E-9","")),"")</f>
        <v/>
      </c>
      <c r="G1459" s="39"/>
      <c r="H1459" s="35" t="str">
        <f ca="1">IFERROR(IF(AND(INDEX(Tab_DaBa[],MATCH(CONCATENATE(Liste!$C$3,$B$1415,$B$1445),Data!$BO:$BO,0)-2,43)&lt;&gt;"",INDEX(Tab_DaBa[],MATCH(CONCATENATE(Liste!$C$3,$B$1415,$B$1445),Data!$BO:$BO,0)-2,48)=""),"PFH [1/h] = "&amp;10^9*INDEX(Tab_DaBa[],MATCH(CONCATENATE(Liste!$C$3,$B$1415,$B$1445),Data!$BO:$BO,0)-2,16)&amp;"E-9",IF(INDEX(Tab_DaBa[],MATCH(CONCATENATE(Liste!$C$3,$B$1415,$B$1445),Data!$BO:$BO,0)-2,43)&lt;&gt;"","PFH [1/h] = "&amp;10^9*INDEX(Tab_DaBa[],MATCH(CONCATENATE(Liste!$C$3,$B$1415,$B$1445),Data!$BO:$BO,0)-2,51)&amp;"E-9","")),"")</f>
        <v/>
      </c>
      <c r="I1459" s="39"/>
    </row>
    <row r="1460" spans="2:9" s="16" customFormat="1">
      <c r="B1460" s="33"/>
      <c r="C1460" s="33"/>
      <c r="D1460" s="33"/>
      <c r="E1460" s="33"/>
      <c r="F1460" s="33"/>
      <c r="G1460" s="33"/>
      <c r="H1460" s="33"/>
      <c r="I1460" s="33"/>
    </row>
    <row r="1461" spans="2:9" s="16" customFormat="1" ht="15.75">
      <c r="B1461" s="38" t="str">
        <f ca="1">IF(B1463="","",6)</f>
        <v/>
      </c>
      <c r="C1461" s="33"/>
      <c r="D1461" s="38" t="str">
        <f ca="1">IF(B1463="","",3)</f>
        <v/>
      </c>
      <c r="E1461" s="33"/>
      <c r="F1461" s="38" t="str">
        <f ca="1">IF(B1463="","",3)</f>
        <v/>
      </c>
      <c r="G1461" s="33"/>
      <c r="H1461" s="38" t="str">
        <f ca="1">IF(B1463="","",3)</f>
        <v/>
      </c>
      <c r="I1461" s="33"/>
    </row>
    <row r="1462" spans="2:9" s="16" customFormat="1" ht="15.75">
      <c r="B1462" s="39"/>
      <c r="C1462" s="33"/>
      <c r="D1462" s="33"/>
      <c r="E1462" s="33"/>
      <c r="F1462" s="33"/>
      <c r="G1462" s="33"/>
      <c r="H1462" s="33"/>
      <c r="I1462" s="33"/>
    </row>
    <row r="1463" spans="2:9" s="16" customFormat="1" ht="15.75">
      <c r="B1463" s="35" t="str">
        <f ca="1">IFERROR(IF(AND(INDEX(Tab_DaBa[],MATCH(CONCATENATE(Liste!$C$3,$B$1415,$B$1445),Data!$BO:$BO,0)-2,48)&lt;&gt;"",INDEX(Tab_DaBa[],MATCH(CONCATENATE(Liste!$C$3,$B$1415,$B$1445),Data!$BO:$BO,0)-2,53)=0),INDEX(Tab_DaBa[],MATCH(CONCATENATE(Liste!$C$3,$B$1415,$B$1445),Data!$BO:$BO,0)-2,14),IF(INDEX(Tab_DaBa[],MATCH(CONCATENATE(Liste!$C$3,$B$1415,$B$1445),Data!$BO:$BO,0)-2,48)&lt;&gt;"",INDEX(Tab_DaBa[],MATCH(CONCATENATE(Liste!$C$3,$B$1415,$B$1445),Data!$BO:$BO,0)-2,54),"")),"")</f>
        <v/>
      </c>
      <c r="C1463" s="39"/>
      <c r="D1463" s="35" t="str">
        <f ca="1">IFERROR(IF(AND(INDEX(Tab_DaBa[],MATCH(CONCATENATE(Liste!$C$3,$B$1415,$B$1445),Data!$BO:$BO,0)-2,53)&lt;&gt;"",INDEX(Tab_DaBa[],MATCH(CONCATENATE(Liste!$C$3,$B$1415,$B$1445),Data!$BO:$BO,0)-2,58)=0),INDEX(Tab_DaBa[],MATCH(CONCATENATE(Liste!$C$3,$B$1415,$B$1445),Data!$BO:$BO,0)-2,14),IF(INDEX(Tab_DaBa[],MATCH(CONCATENATE(Liste!$C$3,$B$1415,$B$1445),Data!$BO:$BO,0)-2,53)&lt;&gt;"",INDEX(Tab_DaBa[],MATCH(CONCATENATE(Liste!$C$3,$B$1415,$B$1445),Data!$BO:$BO,0)-2,59),"")),"")</f>
        <v/>
      </c>
      <c r="E1463" s="33"/>
      <c r="F1463" s="35" t="str">
        <f ca="1">IFERROR(IF(AND(INDEX(Tab_DaBa[],MATCH(CONCATENATE(Liste!$C$3,$B$1415,$B$1445),Data!$BO:$BO,0)-2,58)&lt;&gt;"",INDEX(Tab_DaBa[],MATCH(CONCATENATE(Liste!$C$3,$B$1415,$B$1445),Data!$BO:$BO,0)-2,63)=0),INDEX(Tab_DaBa[],MATCH(CONCATENATE(Liste!$C$3,$B$1415,$B$1445),Data!$BO:$BO,0)-2,14),IF(INDEX(Tab_DaBa[],MATCH(CONCATENATE(Liste!$C$3,$B$1415,$B$1445),Data!$BO:$BO,0)-2,58)&lt;&gt;"",INDEX(Tab_DaBa[],MATCH(CONCATENATE(Liste!$C$3,$B$1415,$B$1445),Data!$BO:$BO,0)-2,64),"")),"")</f>
        <v/>
      </c>
      <c r="G1463" s="39"/>
      <c r="H1463" s="35" t="str">
        <f ca="1">IFERROR(IF(INDEX(Tab_DaBa[],MATCH(CONCATENATE(Liste!$C$3,$B$1415,$B$1445),Data!$BO:$BO,0)-2,63)&lt;&gt;"",INDEX(Tab_DaBa[],MATCH(CONCATENATE(Liste!$C$3,$B$1415,$B$1445),Data!$BO:$BO,0)-2,14),""),"")</f>
        <v/>
      </c>
    </row>
    <row r="1464" spans="2:9" s="16" customFormat="1" ht="15.75">
      <c r="B1464" s="35" t="str">
        <f ca="1">IFERROR(IF(AND(INDEX(Tab_DaBa[],MATCH(CONCATENATE(Liste!$C$3,$B$1415,$B$1445),Data!$BO:$BO,0)-2,48)&lt;&gt;"",INDEX(Tab_DaBa[],MATCH(CONCATENATE(Liste!$C$3,$B$1415,$B$1445),Data!$BO:$BO,0)-2,53)=0),INDEX(Tab_DaBa[],MATCH(CONCATENATE(Liste!$C$3,$B$1415,$B$1445),Data!$BO:$BO,0)-2,12),IF(INDEX(Tab_DaBa[],MATCH(CONCATENATE(Liste!$C$3,$B$1415,$B$1445),Data!$BO:$BO,0)-2,48)&lt;&gt;"",INDEX(Tab_DaBa[],MATCH(CONCATENATE(Liste!$C$3,$B$1415,$B$1445),Data!$BO:$BO,0)-2,52),"")),"")</f>
        <v/>
      </c>
      <c r="C1464" s="39"/>
      <c r="D1464" s="35" t="str">
        <f ca="1">IFERROR(IF(AND(INDEX(Tab_DaBa[],MATCH(CONCATENATE(Liste!$C$3,$B$1415,$B$1445),Data!$BO:$BO,0)-2,53)&lt;&gt;"",INDEX(Tab_DaBa[],MATCH(CONCATENATE(Liste!$C$3,$B$1415,$B$1445),Data!$BO:$BO,0)-2,58)=0),INDEX(Tab_DaBa[],MATCH(CONCATENATE(Liste!$C$3,$B$1415,$B$1445),Data!$BO:$BO,0)-2,12),IF(INDEX(Tab_DaBa[],MATCH(CONCATENATE(Liste!$C$3,$B$1415,$B$1445),Data!$BO:$BO,0)-2,53)&lt;&gt;"",INDEX(Tab_DaBa[],MATCH(CONCATENATE(Liste!$C$3,$B$1415,$B$1445),Data!$BO:$BO,0)-2,57),"")),"")</f>
        <v/>
      </c>
      <c r="E1464" s="37"/>
      <c r="F1464" s="35" t="str">
        <f ca="1">IFERROR(IF(AND(INDEX(Tab_DaBa[],MATCH(CONCATENATE(Liste!$C$3,$B$1415,$B$1445),Data!$BO:$BO,0)-2,58)&lt;&gt;"",INDEX(Tab_DaBa[],MATCH(CONCATENATE(Liste!$C$3,$B$1415,$B$1445),Data!$BO:$BO,0)-2,63)=0),INDEX(Tab_DaBa[],MATCH(CONCATENATE(Liste!$C$3,$B$1415,$B$1445),Data!$BO:$BO,0)-2,12),IF(INDEX(Tab_DaBa[],MATCH(CONCATENATE(Liste!$C$3,$B$1415,$B$1445),Data!$BO:$BO,0)-2,58)&lt;&gt;"",INDEX(Tab_DaBa[],MATCH(CONCATENATE(Liste!$C$3,$B$1415,$B$1445),Data!$BO:$BO,0)-2,62),"")),"")</f>
        <v/>
      </c>
      <c r="G1464" s="39"/>
      <c r="H1464" s="35" t="str">
        <f ca="1">IFERROR(IF(INDEX(Tab_DaBa[],MATCH(CONCATENATE(Liste!$C$3,$B$1415,$B$1445),Data!$BO:$BO,0)-2,63)&lt;&gt;"",INDEX(Tab_DaBa[],MATCH(CONCATENATE(Liste!$C$3,$B$1415,$B$1445),Data!$BO:$BO,0)-2,12),""),"")</f>
        <v/>
      </c>
    </row>
    <row r="1465" spans="2:9" s="16" customFormat="1" ht="15.75">
      <c r="B1465" s="35" t="str">
        <f ca="1">IFERROR(IF(AND(INDEX(Tab_DaBa[],MATCH(CONCATENATE(Liste!$C$3,$B$1415,$B$1445),Data!$BO:$BO,0)-2,48)&lt;&gt;"",INDEX(Tab_DaBa[],MATCH(CONCATENATE(Liste!$C$3,$B$1415,$B$1445),Data!$BO:$BO,0)-2,53)=""),INDEX(Tab_DaBa[],MATCH(CONCATENATE(Liste!$C$3,$B$1415,$B$1445),Data!$BO:$BO,0)-2,13),IF(INDEX(Tab_DaBa[],MATCH(CONCATENATE(Liste!$C$3,$B$1415,$B$1445),Data!$BO:$BO,0)-2,48)&lt;&gt;"",INDEX(Tab_DaBa[],MATCH(CONCATENATE(Liste!$C$3,$B$1415,$B$1445),Data!$BO:$BO,0)-2,53),"")),"")</f>
        <v/>
      </c>
      <c r="C1465" s="38" t="str">
        <f ca="1">IF(D1463="","",4)</f>
        <v/>
      </c>
      <c r="D1465" s="35" t="str">
        <f ca="1">IFERROR(IF(AND(INDEX(Tab_DaBa[],MATCH(CONCATENATE(Liste!$C$3,$B$1415,$B$1445),Data!$BO:$BO,0)-2,53)&lt;&gt;"",INDEX(Tab_DaBa[],MATCH(CONCATENATE(Liste!$C$3,$B$1415,$B$1445),Data!$BO:$BO,0)-2,58)=""),INDEX(Tab_DaBa[],MATCH(CONCATENATE(Liste!$C$3,$B$1415,$B$1445),Data!$BO:$BO,0)-2,13),IF(INDEX(Tab_DaBa[],MATCH(CONCATENATE(Liste!$C$3,$B$1415,$B$1445),Data!$BO:$BO,0)-2,53)&lt;&gt;"",INDEX(Tab_DaBa[],MATCH(CONCATENATE(Liste!$C$3,$B$1415,$B$1445),Data!$BO:$BO,0)-2,58),"")),"")</f>
        <v/>
      </c>
      <c r="E1465" s="38" t="str">
        <f ca="1">IF(F1463="","",4)</f>
        <v/>
      </c>
      <c r="F1465" s="35" t="str">
        <f ca="1">IFERROR(IF(AND(INDEX(Tab_DaBa[],MATCH(CONCATENATE(Liste!$C$3,$B$1415,$B$1445),Data!$BO:$BO,0)-2,58)&lt;&gt;"",INDEX(Tab_DaBa[],MATCH(CONCATENATE(Liste!$C$3,$B$1415,$B$1445),Data!$BO:$BO,0)-2,63)=""),INDEX(Tab_DaBa[],MATCH(CONCATENATE(Liste!$C$3,$B$1415,$B$1445),Data!$BO:$BO,0)-2,13),IF(INDEX(Tab_DaBa[],MATCH(CONCATENATE(Liste!$C$3,$B$1415,$B$1445),Data!$BO:$BO,0)-2,58)&lt;&gt;"",INDEX(Tab_DaBa[],MATCH(CONCATENATE(Liste!$C$3,$B$1415,$B$1445),Data!$BO:$BO,0)-2,63),"")),"")</f>
        <v/>
      </c>
      <c r="G1465" s="38" t="str">
        <f ca="1">IF(H1463="","",4)</f>
        <v/>
      </c>
      <c r="H1465" s="35" t="str">
        <f ca="1">IFERROR(IF(INDEX(Tab_DaBa[],MATCH(CONCATENATE(Liste!$C$3,$B$1415,$B$1445),Data!$BO:$BO,0)-2,63)&lt;&gt;"",INDEX(Tab_DaBa[],MATCH(CONCATENATE(Liste!$C$3,$B$1415,$B$1445),Data!$BO:$BO,0)-2,13),""),"")</f>
        <v/>
      </c>
    </row>
    <row r="1466" spans="2:9" s="16" customFormat="1" ht="15.75">
      <c r="B1466" s="35" t="str">
        <f ca="1">IFERROR(IF(AND(INDEX(Tab_DaBa[],MATCH(CONCATENATE(Liste!$C$3,$B$1415,$B$1445),Data!$BO:$BO,0)-2,48)&lt;&gt;"",INDEX(Tab_DaBa[],MATCH(CONCATENATE(Liste!$C$3,$B$1415,$B$1445),Data!$BO:$BO,0)-2,53)=""),"Performance Level: "&amp;INDEX(Tab_DaBa[],MATCH(CONCATENATE(Liste!$C$3,$B$1415,$B$1445),Data!$BO:$BO,0)-2,15),IF(INDEX(Tab_DaBa[],MATCH(CONCATENATE(Liste!$C$3,$B$1415,$B$1445),Data!$BO:$BO,0)-2,48)&lt;&gt;"","Performance Level: "&amp;INDEX(Tab_DaBa[],MATCH(CONCATENATE(Liste!$C$3,$B$1415,$B$1445),Data!$BO:$BO,0)-2,55),"")),"")</f>
        <v/>
      </c>
      <c r="C1466" s="39"/>
      <c r="D1466" s="35" t="str">
        <f ca="1">IFERROR(IF(AND(INDEX(Tab_DaBa[],MATCH(CONCATENATE(Liste!$C$3,$B$1415,$B$1445),Data!$BO:$BO,0)-2,53)&lt;&gt;"",INDEX(Tab_DaBa[],MATCH(CONCATENATE(Liste!$C$3,$B$1415,$B$1445),Data!$BO:$BO,0)-2,58)=""),"Performance Level: "&amp;INDEX(Tab_DaBa[],MATCH(CONCATENATE(Liste!$C$3,$B$1415,$B$1445),Data!$BO:$BO,0)-2,15),IF(INDEX(Tab_DaBa[],MATCH(CONCATENATE(Liste!$C$3,$B$1415,$B$1445),Data!$BO:$BO,0)-2,53)&lt;&gt;"","Performance Level: "&amp;INDEX(Tab_DaBa[],MATCH(CONCATENATE(Liste!$C$3,$B$1415,$B$1445),Data!$BO:$BO,0)-2,60),"")),"")</f>
        <v/>
      </c>
      <c r="E1466" s="37"/>
      <c r="F1466" s="35" t="str">
        <f ca="1">IFERROR(IF(AND(INDEX(Tab_DaBa[],MATCH(CONCATENATE(Liste!$C$3,$B$1415,$B$1445),Data!$BO:$BO,0)-2,58)&lt;&gt;"",INDEX(Tab_DaBa[],MATCH(CONCATENATE(Liste!$C$3,$B$1415,$B$1445),Data!$BO:$BO,0)-2,63)=""),"Performance Level: "&amp;INDEX(Tab_DaBa[],MATCH(CONCATENATE(Liste!$C$3,$B$1415,$B$1445),Data!$BO:$BO,0)-2,15),IF(INDEX(Tab_DaBa[],MATCH(CONCATENATE(Liste!$C$3,$B$1415,$B$1445),Data!$BO:$BO,0)-2,58)&lt;&gt;"","Performance Level: "&amp;INDEX(Tab_DaBa[],MATCH(CONCATENATE(Liste!$C$3,$B$1415,$B$1445),Data!$BO:$BO,0)-2,65),"")),"")</f>
        <v/>
      </c>
      <c r="G1466" s="39"/>
      <c r="H1466" s="35" t="str">
        <f ca="1">IFERROR(IF(INDEX(Tab_DaBa[],MATCH(CONCATENATE(Liste!$C$3,$B$1415,$B$1445),Data!$BO:$BO,0)-2,63)&lt;&gt;"","Performance Level: "&amp;INDEX(Tab_DaBa[],MATCH(CONCATENATE(Liste!$C$3,$B$1415,$B$1445),Data!$BO:$BO,0)-2,15),""),"")</f>
        <v/>
      </c>
    </row>
    <row r="1467" spans="2:9" s="16" customFormat="1" ht="15.75">
      <c r="B1467" s="35" t="str">
        <f ca="1">IFERROR(IF(AND(INDEX(Tab_DaBa[],MATCH(CONCATENATE(Liste!$C$3,$B$1415,$B$1445),Data!$BO:$BO,0)-2,48)&lt;&gt;"",INDEX(Tab_DaBa[],MATCH(CONCATENATE(Liste!$C$3,$B$1415,$B$1445),Data!$BO:$BO,0)-2,53)=""),"PFH [1/h] = "&amp;10^9*INDEX(Tab_DaBa[],MATCH(CONCATENATE(Liste!$C$3,$B$1415,$B$1445),Data!$BO:$BO,0)-2,16)&amp;"E-9",IF(INDEX(Tab_DaBa[],MATCH(CONCATENATE(Liste!$C$3,$B$1415,$B$1445),Data!$BO:$BO,0)-2,48)&lt;&gt;"","PFH [1/h] = "&amp;10^9*INDEX(Tab_DaBa[],MATCH(CONCATENATE(Liste!$C$3,$B$1415,$B$1445),Data!$BO:$BO,0)-2,56)&amp;"E-9","")),"")</f>
        <v/>
      </c>
      <c r="C1467" s="39"/>
      <c r="D1467" s="35" t="str">
        <f ca="1">IFERROR(IF(AND(INDEX(Tab_DaBa[],MATCH(CONCATENATE(Liste!$C$3,$B$1415,$B$1445),Data!$BO:$BO,0)-2,53)&lt;&gt;"",INDEX(Tab_DaBa[],MATCH(CONCATENATE(Liste!$C$3,$B$1415,$B$1445),Data!$BO:$BO,0)-2,58)=""),"PFH [1/h] = "&amp;10^9*INDEX(Tab_DaBa[],MATCH(CONCATENATE(Liste!$C$3,$B$1415,$B$1445),Data!$BO:$BO,0)-2,16)&amp;"E-9",IF(INDEX(Tab_DaBa[],MATCH(CONCATENATE(Liste!$C$3,$B$1415,$B$1445),Data!$BO:$BO,0)-2,53)&lt;&gt;"","PFH [1/h] = "&amp;10^9*INDEX(Tab_DaBa[],MATCH(CONCATENATE(Liste!$C$3,$B$1415,$B$1445),Data!$BO:$BO,0)-2,61)&amp;"E-9","")),"")</f>
        <v/>
      </c>
      <c r="E1467" s="37"/>
      <c r="F1467" s="35" t="str">
        <f ca="1">IFERROR(IF(AND(INDEX(Tab_DaBa[],MATCH(CONCATENATE(Liste!$C$3,$B$1415,$B$1445),Data!$BO:$BO,0)-2,58)&lt;&gt;"",INDEX(Tab_DaBa[],MATCH(CONCATENATE(Liste!$C$3,$B$1415,$B$1445),Data!$BO:$BO,0)-2,63)=""),"PFH [1/h] = "&amp;10^9*INDEX(Tab_DaBa[],MATCH(CONCATENATE(Liste!$C$3,$B$1415,$B$1445),Data!$BO:$BO,0)-2,16)&amp;"E-9",IF(INDEX(Tab_DaBa[],MATCH(CONCATENATE(Liste!$C$3,$B$1415,$B$1445),Data!$BO:$BO,0)-2,58)&lt;&gt;"","PFH [1/h] = "&amp;10^9*INDEX(Tab_DaBa[],MATCH(CONCATENATE(Liste!$C$3,$B$1415,$B$1445),Data!$BO:$BO,0)-2,66)&amp;"E-9","")),"")</f>
        <v/>
      </c>
      <c r="G1467" s="39"/>
      <c r="H1467" s="35" t="str">
        <f ca="1">IFERROR(IF(INDEX(Tab_DaBa[],MATCH(CONCATENATE(Liste!$C$3,$B$1415,$B$1445),Data!$BO:$BO,0)-2,63)&lt;&gt;"","PFH [1/h] = "&amp;10^9*INDEX(Tab_DaBa[],MATCH(CONCATENATE(Liste!$C$3,$B$1415,$B$1445),Data!$BO:$BO,0)-2,16)&amp;"E-9",""),"")</f>
        <v/>
      </c>
    </row>
    <row r="1468" spans="2:9" s="16" customFormat="1"/>
    <row r="1469" spans="2:9" s="16" customFormat="1">
      <c r="B1469" s="43" t="str">
        <f ca="1">IF(D1469="","","Erforderlich")</f>
        <v>Erforderlich</v>
      </c>
      <c r="D1469" s="44" t="str">
        <f ca="1">IFERROR("Performance Level: "&amp;INDEX(Tab_DaBa[],MATCH(CONCATENATE(Liste!$C$3,$B$1415,$B$1445),Data!$BO:$BO,0)-2,4),"")</f>
        <v>Performance Level: PLr_ges4_2</v>
      </c>
    </row>
    <row r="1470" spans="2:9" s="16" customFormat="1">
      <c r="B1470" s="45"/>
    </row>
    <row r="1471" spans="2:9" s="16" customFormat="1">
      <c r="B1471" s="46" t="str">
        <f ca="1">IF(D1471="","","Erreicht")</f>
        <v>Erreicht</v>
      </c>
      <c r="D1471" s="47" t="str">
        <f ca="1">IFERROR("Performance Level: "&amp;INDEX(Tab_DaBa[],MATCH(CONCATENATE(Liste!$C$3,$B$1415,$B$1445),Data!$BO:$BO,0)-2,5)&amp;"          PFH [1/h] = "&amp;10^9*INDEX(Tab_DaBa[],MATCH(CONCATENATE(Liste!$C$3,$B$1415,$B$1445),Data!$BO:$BO,0)-2,6)&amp;"E-9","")</f>
        <v>Performance Level: Pl_ges4_2          PFH [1/h] = 71,7E-9</v>
      </c>
    </row>
    <row r="1472" spans="2:9" s="16" customFormat="1"/>
    <row r="1473" spans="2:9" s="16" customFormat="1">
      <c r="B1473" s="42" t="str">
        <f ca="1">IFERROR(IF(3&gt;COUNTIF(Data!$BP:$BP,CONCATENATE(Liste!$C$3,$B$1415)),"",INDEX(Tab_DaBa[],MATCH(CONCATENATE(Liste!$C$3,$B$1415),Data!$BP:$BP,0),3)),"")</f>
        <v>6.3 Test4 (E+3L+A)</v>
      </c>
    </row>
    <row r="1474" spans="2:9" s="16" customFormat="1"/>
    <row r="1475" spans="2:9" s="16" customFormat="1" ht="15.75">
      <c r="B1475" s="35" t="str">
        <f ca="1">IFERROR(INDEX(Tab_DaBa[],MATCH(CONCATENATE(Liste!$C$3,$B$1415,$B$1473),Data!$BO:$BO,0)-2,9),"")</f>
        <v>Eingang</v>
      </c>
      <c r="C1475" s="54"/>
      <c r="D1475" s="35" t="str">
        <f ca="1">IFERROR(IF(INDEX(Tab_DaBa[],MATCH(CONCATENATE(Liste!$C$3,$B$1415,$B$1473),Data!$BO:$BO,0)-2,18)=0,INDEX(Tab_DaBa[],MATCH(CONCATENATE(Liste!$C$3,$B$1415,$B$1473),Data!$BO:$BO,0)-2,14),INDEX(Tab_DaBa[],MATCH(CONCATENATE(Liste!$C$3,$B$1415,$B$1473),Data!$BO:$BO,0)-2,19)),"")</f>
        <v>Logik 01</v>
      </c>
      <c r="E1475" s="33"/>
      <c r="F1475" s="35" t="str">
        <f ca="1">IFERROR(IF(AND(INDEX(Tab_DaBa[],MATCH(CONCATENATE(Liste!$C$3,$B$1415,$B$1473),Data!$BO:$BO,0)-2,18)&lt;&gt;"",INDEX(Tab_DaBa[],MATCH(CONCATENATE(Liste!$C$3,$B$1415,$B$1473),Data!$BO:$BO,0)-2,23)=0),INDEX(Tab_DaBa[],MATCH(CONCATENATE(Liste!$C$3,$B$1415,$B$1473),Data!$BO:$BO,0)-2,14),IF(INDEX(Tab_DaBa[],MATCH(CONCATENATE(Liste!$C$3,$B$1415,$B$1473),Data!$BO:$BO,0)-2,23)&lt;&gt;"",INDEX(Tab_DaBa[],MATCH(CONCATENATE(Liste!$C$3,$B$1415,$B$1473),Data!$BO:$BO,0)-2,24),"")),"")</f>
        <v>Logik 02</v>
      </c>
      <c r="G1475" s="39"/>
      <c r="H1475" s="35" t="str">
        <f ca="1">IFERROR(IF(AND(INDEX(Tab_DaBa[],MATCH(CONCATENATE(Liste!$C$3,$B$1415,$B$1473),Data!$BO:$BO,0)-2,23)&lt;&gt;"",INDEX(Tab_DaBa[],MATCH(CONCATENATE(Liste!$C$3,$B$1415,$B$1473),Data!$BO:$BO,0)-2,28)=0),INDEX(Tab_DaBa[],MATCH(CONCATENATE(Liste!$C$3,$B$1415,$B$1473),Data!$BO:$BO,0)-2,14),IF(INDEX(Tab_DaBa[],MATCH(CONCATENATE(Liste!$C$3,$B$1415,$B$1473),Data!$BO:$BO,0)-2,23)&lt;&gt;"",INDEX(Tab_DaBa[],MATCH(CONCATENATE(Liste!$C$3,$B$1415,$B$1473),Data!$BO:$BO,0)-2,29),"")),"")</f>
        <v>Logik 03</v>
      </c>
      <c r="I1475" s="39"/>
    </row>
    <row r="1476" spans="2:9" s="16" customFormat="1" ht="15.75">
      <c r="B1476" s="35" t="str">
        <f ca="1">IFERROR(INDEX(Tab_DaBa[],MATCH(CONCATENATE(Liste!$C$3,$B$1415,$B$1473),Data!$BO:$BO,0)-2,7),"")</f>
        <v>eeee-33_3</v>
      </c>
      <c r="C1476" s="54"/>
      <c r="D1476" s="35" t="str">
        <f ca="1">IFERROR(IF(INDEX(Tab_DaBa[],MATCH(CONCATENATE(Liste!$C$3,$B$1415,$B$1473),Data!$BO:$BO,0)-2,18)="",INDEX(Tab_DaBa[],MATCH(CONCATENATE(Liste!$C$3,$B$1415,$B$1473),Data!$BO:$BO,0)-2,12),INDEX(Tab_DaBa[],MATCH(CONCATENATE(Liste!$C$3,$B$1415,$B$1473),Data!$BO:$BO,0)-2,17)),"")</f>
        <v>Log01-04_03</v>
      </c>
      <c r="E1476" s="36"/>
      <c r="F1476" s="35" t="str">
        <f ca="1">IFERROR(IF(AND(INDEX(Tab_DaBa[],MATCH(CONCATENATE(Liste!$C$3,$B$1415,$B$1473),Data!$BO:$BO,0)-2,18)&lt;&gt;"",INDEX(Tab_DaBa[],MATCH(CONCATENATE(Liste!$C$3,$B$1415,$B$1473),Data!$BO:$BO,0)-2,23)=0),INDEX(Tab_DaBa[],MATCH(CONCATENATE(Liste!$C$3,$B$1415,$B$1473),Data!$BO:$BO,0)-2,12),IF(INDEX(Tab_DaBa[],MATCH(CONCATENATE(Liste!$C$3,$B$1415,$B$1473),Data!$BO:$BO,0)-2,23)&lt;&gt;"",INDEX(Tab_DaBa[],MATCH(CONCATENATE(Liste!$C$3,$B$1415,$B$1473),Data!$BO:$BO,0)-2,22),"")),"")</f>
        <v>Lo04-04_03</v>
      </c>
      <c r="G1476" s="39"/>
      <c r="H1476" s="35" t="str">
        <f ca="1">IFERROR(IF(AND(INDEX(Tab_DaBa[],MATCH(CONCATENATE(Liste!$C$3,$B$1415,$B$1473),Data!$BO:$BO,0)-2,23)&lt;&gt;"",INDEX(Tab_DaBa[],MATCH(CONCATENATE(Liste!$C$3,$B$1415,$B$1473),Data!$BO:$BO,0)-2,28)=0),INDEX(Tab_DaBa[],MATCH(CONCATENATE(Liste!$C$3,$B$1415,$B$1473),Data!$BO:$BO,0)-2,12),IF(INDEX(Tab_DaBa[],MATCH(CONCATENATE(Liste!$C$3,$B$1415,$B$1473),Data!$BO:$BO,0)-2,23)&lt;&gt;"",INDEX(Tab_DaBa[],MATCH(CONCATENATE(Liste!$C$3,$B$1415,$B$1473),Data!$BO:$BO,0)-2,27),"")),"")</f>
        <v>Lo04-44_03</v>
      </c>
      <c r="I1476" s="39"/>
    </row>
    <row r="1477" spans="2:9" s="16" customFormat="1" ht="15.75">
      <c r="B1477" s="35" t="str">
        <f ca="1">IFERROR(INDEX(Tab_DaBa[],MATCH(CONCATENATE(Liste!$C$3,$B$1415,$B$1473),Data!$BO:$BO,0)-2,8),"")</f>
        <v>Bez_Ein4_3</v>
      </c>
      <c r="C1477" s="40">
        <f ca="1">IF(D1475="","",4)</f>
        <v>4</v>
      </c>
      <c r="D1477" s="35" t="str">
        <f ca="1">IFERROR(IF(INDEX(Tab_DaBa[],MATCH(CONCATENATE(Liste!$C$3,$B$1415,$B$1473),Data!$BO:$BO,0)-2,18)="",INDEX(Tab_DaBa[],MATCH(CONCATENATE(Liste!$C$3,$B$1415,$B$1473),Data!$BO:$BO,0)-2,13),INDEX(Tab_DaBa[],MATCH(CONCATENATE(Liste!$C$3,$B$1415,$B$1473),Data!$BO:$BO,0)-2,18)),"")</f>
        <v>Bez_Log01_04_03</v>
      </c>
      <c r="E1477" s="40">
        <f ca="1">IF(F1475="","",4)</f>
        <v>4</v>
      </c>
      <c r="F1477" s="35" t="str">
        <f ca="1">IFERROR(IF(AND(INDEX(Tab_DaBa[],MATCH(CONCATENATE(Liste!$C$3,$B$1415,$B$1473),Data!$BO:$BO,0)-2,18)&lt;&gt;"",INDEX(Tab_DaBa[],MATCH(CONCATENATE(Liste!$C$3,$B$1415,$B$1473),Data!$BO:$BO,0)-2,23)=""),INDEX(Tab_DaBa[],MATCH(CONCATENATE(Liste!$C$3,$B$1415,$B$1473),Data!$BO:$BO,0)-2,13),IF(INDEX(Tab_DaBa[],MATCH(CONCATENATE(Liste!$C$3,$B$1415,$B$1473),Data!$BO:$BO,0)-2,23)&lt;&gt;"",INDEX(Tab_DaBa[],MATCH(CONCATENATE(Liste!$C$3,$B$1415,$B$1473),Data!$BO:$BO,0)-2,23),"")),"")</f>
        <v>Bez_Lo04_03</v>
      </c>
      <c r="G1477" s="38">
        <f ca="1">IF(H1475="","",4)</f>
        <v>4</v>
      </c>
      <c r="H1477" s="35" t="str">
        <f ca="1">IFERROR(IF(AND(INDEX(Tab_DaBa[],MATCH(CONCATENATE(Liste!$C$3,$B$1415,$B$1473),Data!$BO:$BO,0)-2,23)&lt;&gt;"",INDEX(Tab_DaBa[],MATCH(CONCATENATE(Liste!$C$3,$B$1415,$B$1473),Data!$BO:$BO,0)-2,28)=""),INDEX(Tab_DaBa[],MATCH(CONCATENATE(Liste!$C$3,$B$1415,$B$1473),Data!$BO:$BO,0)-2,13),IF(INDEX(Tab_DaBa[],MATCH(CONCATENATE(Liste!$C$3,$B$1415,$B$1473),Data!$BO:$BO,0)-2,23)&lt;&gt;"",INDEX(Tab_DaBa[],MATCH(CONCATENATE(Liste!$C$3,$B$1415,$B$1473),Data!$BO:$BO,0)-2,28),"")),"")</f>
        <v>Bez_Lo04_03</v>
      </c>
      <c r="I1477" s="38">
        <f ca="1">IF(B1483="","",6)</f>
        <v>6</v>
      </c>
    </row>
    <row r="1478" spans="2:9" s="16" customFormat="1" ht="15.75">
      <c r="B1478" s="35" t="str">
        <f ca="1">IFERROR("Performance Level: "&amp;INDEX(Tab_DaBa[],MATCH(CONCATENATE(Liste!$C$3,$B$1415,$B$1473),Data!$BO:$BO,0)-2,10),"")</f>
        <v>Performance Level: PL_Ein4_3</v>
      </c>
      <c r="C1478" s="54"/>
      <c r="D1478" s="35" t="str">
        <f ca="1">IFERROR(IF(INDEX(Tab_DaBa[],MATCH(CONCATENATE(Liste!$C$3,$B$1415,$B$1473),Data!$BO:$BO,0)-2,18)="","Performance Level: "&amp;INDEX(Tab_DaBa[],MATCH(CONCATENATE(Liste!$C$3,$B$1415,$B$1473),Data!$BO:$BO,0)-2,15),"Performance Level: "&amp;INDEX(Tab_DaBa[],MATCH(CONCATENATE(Liste!$C$3,$B$1415,$B$1473),Data!$BO:$BO,0)-2,20)),"")</f>
        <v>Performance Level: PL_Log01_04_03</v>
      </c>
      <c r="E1478" s="36"/>
      <c r="F1478" s="35" t="str">
        <f ca="1">IFERROR(IF(AND(INDEX(Tab_DaBa[],MATCH(CONCATENATE(Liste!$C$3,$B$1415,$B$1473),Data!$BO:$BO,0)-2,18)&lt;&gt;"",INDEX(Tab_DaBa[],MATCH(CONCATENATE(Liste!$C$3,$B$1415,$B$1473),Data!$BO:$BO,0)-2,23)=""),"Performance Level: "&amp;INDEX(Tab_DaBa[],MATCH(CONCATENATE(Liste!$C$3,$B$1415,$B$1473),Data!$BO:$BO,0)-2,15),IF(INDEX(Tab_DaBa[],MATCH(CONCATENATE(Liste!$C$3,$B$1415,$B$1473),Data!$BO:$BO,0)-2,23)&lt;&gt;"","Performance Level: "&amp;INDEX(Tab_DaBa[],MATCH(CONCATENATE(Liste!$C$3,$B$1415,$B$1473),Data!$BO:$BO,0)-2,25),"")),"")</f>
        <v>Performance Level: PL_Lo04_03</v>
      </c>
      <c r="G1478" s="39"/>
      <c r="H1478" s="35" t="str">
        <f ca="1">IFERROR(IF(AND(INDEX(Tab_DaBa[],MATCH(CONCATENATE(Liste!$C$3,$B$1415,$B$1473),Data!$BO:$BO,0)-2,23)&lt;&gt;"",INDEX(Tab_DaBa[],MATCH(CONCATENATE(Liste!$C$3,$B$1415,$B$1473),Data!$BO:$BO,0)-2,28)=""),"Performance Level: "&amp;INDEX(Tab_DaBa[],MATCH(CONCATENATE(Liste!$C$3,$B$1415,$B$1473),Data!$BO:$BO,0)-2,15),IF(INDEX(Tab_DaBa[],MATCH(CONCATENATE(Liste!$C$3,$B$1415,$B$1473),Data!$BO:$BO,0)-2,23)&lt;&gt;"","Performance Level: "&amp;INDEX(Tab_DaBa[],MATCH(CONCATENATE(Liste!$C$3,$B$1415,$B$1473),Data!$BO:$BO,0)-2,30),"")),"")</f>
        <v>Performance Level: PL_Lo04_03</v>
      </c>
      <c r="I1478" s="38"/>
    </row>
    <row r="1479" spans="2:9" s="16" customFormat="1" ht="15.75">
      <c r="B1479" s="53" t="str">
        <f ca="1">IFERROR("PFH [1/h] = "&amp;10^9*INDEX(Tab_DaBa[],MATCH(CONCATENATE(Liste!$C$3,$B$1415,$B$1473),Data!$BO:$BO,0)-2,11)&amp;"E-9","")</f>
        <v>PFH [1/h] = 42,9E-9</v>
      </c>
      <c r="C1479" s="54"/>
      <c r="D1479" s="35" t="str">
        <f ca="1">IFERROR(IF(INDEX(Tab_DaBa[],MATCH(CONCATENATE(Liste!$C$3,$B$1415,$B$1473),Data!$BO:$BO,0)-2,18)="","PFH [1/h] = "&amp;10^9*INDEX(Tab_DaBa[],MATCH(CONCATENATE(Liste!$C$3,$B$1415,$B$1473),Data!$BO:$BO,0)-2,16)&amp;"E-9","PFH [1/h] = "&amp;10^9*INDEX(Tab_DaBa[],MATCH(CONCATENATE(Liste!$C$3,$B$1415,$B$1473),Data!$BO:$BO,0)-2,21)&amp;"E-9"),"")</f>
        <v>PFH [1/h] = 4,19E-9</v>
      </c>
      <c r="E1479" s="36"/>
      <c r="F1479" s="35" t="str">
        <f ca="1">IFERROR(IF(AND(INDEX(Tab_DaBa[],MATCH(CONCATENATE(Liste!$C$3,$B$1415,$B$1473),Data!$BO:$BO,0)-2,18)&lt;&gt;"",INDEX(Tab_DaBa[],MATCH(CONCATENATE(Liste!$C$3,$B$1415,$B$1473),Data!$BO:$BO,0)-2,23)=""),"PFH [1/h] = "&amp;10^9*INDEX(Tab_DaBa[],MATCH(CONCATENATE(Liste!$C$3,$B$1415,$B$1473),Data!$BO:$BO,0)-2,16)&amp;"E-9",IF(INDEX(Tab_DaBa[],MATCH(CONCATENATE(Liste!$C$3,$B$1415,$B$1473),Data!$BO:$BO,0)-2,23)&lt;&gt;"","PFH [1/h] = "&amp;10^9*INDEX(Tab_DaBa[],MATCH(CONCATENATE(Liste!$C$3,$B$1415,$B$1473),Data!$BO:$BO,0)-2,26)&amp;"E-9","")),"")</f>
        <v>PFH [1/h] = 4,19E-9</v>
      </c>
      <c r="G1479" s="39"/>
      <c r="H1479" s="35" t="str">
        <f ca="1">IFERROR(IF(AND(INDEX(Tab_DaBa[],MATCH(CONCATENATE(Liste!$C$3,$B$1415,$B$1473),Data!$BO:$BO,0)-2,23)&lt;&gt;"",INDEX(Tab_DaBa[],MATCH(CONCATENATE(Liste!$C$3,$B$1415,$B$1473),Data!$BO:$BO,0)-2,28)=""),"PFH [1/h] = "&amp;10^9*INDEX(Tab_DaBa[],MATCH(CONCATENATE(Liste!$C$3,$B$1415,$B$1473),Data!$BO:$BO,0)-2,16)&amp;"E-9",IF(INDEX(Tab_DaBa[],MATCH(CONCATENATE(Liste!$C$3,$B$1415,$B$1473),Data!$BO:$BO,0)-2,23)&lt;&gt;"","PFH [1/h] = "&amp;10^9*INDEX(Tab_DaBa[],MATCH(CONCATENATE(Liste!$C$3,$B$1415,$B$1473),Data!$BO:$BO,0)-2,31)&amp;"E-9","")),"")</f>
        <v>PFH [1/h] = 4,19E-9</v>
      </c>
      <c r="I1479" s="39"/>
    </row>
    <row r="1480" spans="2:9" s="16" customFormat="1">
      <c r="B1480" s="33"/>
      <c r="C1480" s="34"/>
      <c r="D1480" s="33"/>
      <c r="E1480" s="33"/>
      <c r="F1480" s="33"/>
      <c r="G1480" s="33"/>
      <c r="H1480" s="33"/>
      <c r="I1480" s="33"/>
    </row>
    <row r="1481" spans="2:9" s="16" customFormat="1" ht="15.75">
      <c r="B1481" s="38">
        <f ca="1">IF(B1483="","",6)</f>
        <v>6</v>
      </c>
      <c r="C1481" s="34"/>
      <c r="D1481" s="38">
        <f ca="1">IF(B1483="","",3)</f>
        <v>3</v>
      </c>
      <c r="E1481" s="33"/>
      <c r="F1481" s="38">
        <f ca="1">IF(B1483="","",3)</f>
        <v>3</v>
      </c>
      <c r="G1481" s="33"/>
      <c r="H1481" s="38">
        <f ca="1">IF(B1483="","",3)</f>
        <v>3</v>
      </c>
      <c r="I1481" s="33"/>
    </row>
    <row r="1482" spans="2:9" s="16" customFormat="1" ht="15.75">
      <c r="B1482" s="39"/>
      <c r="C1482" s="33"/>
      <c r="D1482" s="33"/>
      <c r="E1482" s="33"/>
      <c r="F1482" s="33"/>
      <c r="G1482" s="33"/>
      <c r="H1482" s="33"/>
      <c r="I1482" s="33"/>
    </row>
    <row r="1483" spans="2:9" s="16" customFormat="1" ht="15.75">
      <c r="B1483" s="35" t="str">
        <f ca="1">IFERROR(IF(AND(INDEX(Tab_DaBa[],MATCH(CONCATENATE(Liste!$C$3,$B$1415,$B$1473),Data!$BO:$BO,0)-2,28)&lt;&gt;"",INDEX(Tab_DaBa[],MATCH(CONCATENATE(Liste!$C$3,$B$1415,$B$1473),Data!$BO:$BO,0)-2,33)=0),INDEX(Tab_DaBa[],MATCH(CONCATENATE(Liste!$C$3,$B$1415,$B$1473),Data!$BO:$BO,0)-2,14),IF(INDEX(Tab_DaBa[],MATCH(CONCATENATE(Liste!$C$3,$B$1415,$B$1473),Data!$BO:$BO,0)-2,28)&lt;&gt;"",INDEX(Tab_DaBa[],MATCH(CONCATENATE(Liste!$C$3,$B$1415,$B$1473),Data!$BO:$BO,0)-2,34),"")),"")</f>
        <v>Ausgang</v>
      </c>
      <c r="C1483" s="39"/>
      <c r="D1483" s="35" t="str">
        <f ca="1">IFERROR(IF(AND(INDEX(Tab_DaBa[],MATCH(CONCATENATE(Liste!$C$3,$B$1415,$B$1473),Data!$BO:$BO,0)-2,33)&lt;&gt;"",INDEX(Tab_DaBa[],MATCH(CONCATENATE(Liste!$C$3,$B$1415,$B$1473),Data!$BO:$BO,0)-2,38)=0),INDEX(Tab_DaBa[],MATCH(CONCATENATE(Liste!$C$3,$B$1415,$B$1473),Data!$BO:$BO,0)-2,14),IF(INDEX(Tab_DaBa[],MATCH(CONCATENATE(Liste!$C$3,$B$1415,$B$1473),Data!$BO:$BO,0)-2,33)&lt;&gt;"",INDEX(Tab_DaBa[],MATCH(CONCATENATE(Liste!$C$3,$B$1415,$B$1473),Data!$BO:$BO,0)-2,39),"")),"")</f>
        <v/>
      </c>
      <c r="E1483" s="33"/>
      <c r="F1483" s="35" t="str">
        <f ca="1">IFERROR(IF(AND(INDEX(Tab_DaBa[],MATCH(CONCATENATE(Liste!$C$3,$B$1415,$B$1473),Data!$BO:$BO,0)-2,38)&lt;&gt;"",INDEX(Tab_DaBa[],MATCH(CONCATENATE(Liste!$C$3,$B$1415,$B$1473),Data!$BO:$BO,0)-2,43)=0),INDEX(Tab_DaBa[],MATCH(CONCATENATE(Liste!$C$3,$B$1415,$B$1473),Data!$BO:$BO,0)-2,14),IF(INDEX(Tab_DaBa[],MATCH(CONCATENATE(Liste!$C$3,$B$1415,$B$1473),Data!$BO:$BO,0)-2,38)&lt;&gt;"",INDEX(Tab_DaBa[],MATCH(CONCATENATE(Liste!$C$3,$B$1415,$B$1473),Data!$BO:$BO,0)-2,44),"")),"")</f>
        <v/>
      </c>
      <c r="G1483" s="39"/>
      <c r="H1483" s="35" t="str">
        <f ca="1">IFERROR(IF(AND(INDEX(Tab_DaBa[],MATCH(CONCATENATE(Liste!$C$3,$B$1415,$B$1473),Data!$BO:$BO,0)-2,43)&lt;&gt;"",INDEX(Tab_DaBa[],MATCH(CONCATENATE(Liste!$C$3,$B$1415,$B$1473),Data!$BO:$BO,0)-2,48)=0),INDEX(Tab_DaBa[],MATCH(CONCATENATE(Liste!$C$3,$B$1415,$B$1473),Data!$BO:$BO,0)-2,14),IF(INDEX(Tab_DaBa[],MATCH(CONCATENATE(Liste!$C$3,$B$1415,$B$1473),Data!$BO:$BO,0)-2,43)&lt;&gt;"",INDEX(Tab_DaBa[],MATCH(CONCATENATE(Liste!$C$3,$B$1415,$B$1473),Data!$BO:$BO,0)-2,49),"")),"")</f>
        <v/>
      </c>
      <c r="I1483" s="39"/>
    </row>
    <row r="1484" spans="2:9" s="16" customFormat="1" ht="15.75">
      <c r="B1484" s="35" t="str">
        <f ca="1">IFERROR(IF(AND(INDEX(Tab_DaBa[],MATCH(CONCATENATE(Liste!$C$3,$B$1415,$B$1473),Data!$BO:$BO,0)-2,28)&lt;&gt;"",INDEX(Tab_DaBa[],MATCH(CONCATENATE(Liste!$C$3,$B$1415,$B$1473),Data!$BO:$BO,0)-2,33)=0),INDEX(Tab_DaBa[],MATCH(CONCATENATE(Liste!$C$3,$B$1415,$B$1473),Data!$BO:$BO,0)-2,12),IF(INDEX(Tab_DaBa[],MATCH(CONCATENATE(Liste!$C$3,$B$1415,$B$1473),Data!$BO:$BO,0)-2,28)&lt;&gt;"",INDEX(Tab_DaBa[],MATCH(CONCATENATE(Liste!$C$3,$B$1415,$B$1473),Data!$BO:$BO,0)-2,32),"")),"")</f>
        <v>aaaa-44_3</v>
      </c>
      <c r="C1484" s="39"/>
      <c r="D1484" s="35" t="str">
        <f ca="1">IFERROR(IF(AND(INDEX(Tab_DaBa[],MATCH(CONCATENATE(Liste!$C$3,$B$1415,$B$1473),Data!$BO:$BO,0)-2,33)&lt;&gt;"",INDEX(Tab_DaBa[],MATCH(CONCATENATE(Liste!$C$3,$B$1415,$B$1473),Data!$BO:$BO,0)-2,38)=0),INDEX(Tab_DaBa[],MATCH(CONCATENATE(Liste!$C$3,$B$1415,$B$1473),Data!$BO:$BO,0)-2,12),IF(INDEX(Tab_DaBa[],MATCH(CONCATENATE(Liste!$C$3,$B$1415,$B$1473),Data!$BO:$BO,0)-2,33)&lt;&gt;"",INDEX(Tab_DaBa[],MATCH(CONCATENATE(Liste!$C$3,$B$1415,$B$1473),Data!$BO:$BO,0)-2,37),"")),"")</f>
        <v/>
      </c>
      <c r="E1484" s="37"/>
      <c r="F1484" s="35" t="str">
        <f ca="1">IFERROR(IF(AND(INDEX(Tab_DaBa[],MATCH(CONCATENATE(Liste!$C$3,$B$1415,$B$1473),Data!$BO:$BO,0)-2,38)&lt;&gt;"",INDEX(Tab_DaBa[],MATCH(CONCATENATE(Liste!$C$3,$B$1415,$B$1473),Data!$BO:$BO,0)-2,43)=0),INDEX(Tab_DaBa[],MATCH(CONCATENATE(Liste!$C$3,$B$1415,$B$1473),Data!$BO:$BO,0)-2,12),IF(INDEX(Tab_DaBa[],MATCH(CONCATENATE(Liste!$C$3,$B$1415,$B$1473),Data!$BO:$BO,0)-2,38)&lt;&gt;"",INDEX(Tab_DaBa[],MATCH(CONCATENATE(Liste!$C$3,$B$1415,$B$1473),Data!$BO:$BO,0)-2,42),"")),"")</f>
        <v/>
      </c>
      <c r="G1484" s="39"/>
      <c r="H1484" s="35" t="str">
        <f ca="1">IFERROR(IF(AND(INDEX(Tab_DaBa[],MATCH(CONCATENATE(Liste!$C$3,$B$1415,$B$1473),Data!$BO:$BO,0)-2,43)&lt;&gt;"",INDEX(Tab_DaBa[],MATCH(CONCATENATE(Liste!$C$3,$B$1415,$B$1473),Data!$BO:$BO,0)-2,48)=0),INDEX(Tab_DaBa[],MATCH(CONCATENATE(Liste!$C$3,$B$1415,$B$1473),Data!$BO:$BO,0)-2,12),IF(INDEX(Tab_DaBa[],MATCH(CONCATENATE(Liste!$C$3,$B$1415,$B$1473),Data!$BO:$BO,0)-2,43)&lt;&gt;"",INDEX(Tab_DaBa[],MATCH(CONCATENATE(Liste!$C$3,$B$1415,$B$1473),Data!$BO:$BO,0)-2,47),"")),"")</f>
        <v/>
      </c>
      <c r="I1484" s="39"/>
    </row>
    <row r="1485" spans="2:9" s="16" customFormat="1" ht="15.75">
      <c r="B1485" s="35" t="str">
        <f ca="1">IFERROR(IF(AND(INDEX(Tab_DaBa[],MATCH(CONCATENATE(Liste!$C$3,$B$1415,$B$1473),Data!$BO:$BO,0)-2,28)&lt;&gt;"",INDEX(Tab_DaBa[],MATCH(CONCATENATE(Liste!$C$3,$B$1415,$B$1473),Data!$BO:$BO,0)-2,33)=""),INDEX(Tab_DaBa[],MATCH(CONCATENATE(Liste!$C$3,$B$1415,$B$1473),Data!$BO:$BO,0)-2,13),IF(INDEX(Tab_DaBa[],MATCH(CONCATENATE(Liste!$C$3,$B$1415,$B$1473),Data!$BO:$BO,0)-2,28)&lt;&gt;"",INDEX(Tab_DaBa[],MATCH(CONCATENATE(Liste!$C$3,$B$1415,$B$1473),Data!$BO:$BO,0)-2,33),"")),"")</f>
        <v>Bez_Aus4_3</v>
      </c>
      <c r="C1485" s="38" t="str">
        <f ca="1">IF(D1483="","",4)</f>
        <v/>
      </c>
      <c r="D1485" s="35" t="str">
        <f ca="1">IFERROR(IF(AND(INDEX(Tab_DaBa[],MATCH(CONCATENATE(Liste!$C$3,$B$1415,$B$1473),Data!$BO:$BO,0)-2,33)&lt;&gt;"",INDEX(Tab_DaBa[],MATCH(CONCATENATE(Liste!$C$3,$B$1415,$B$1473),Data!$BO:$BO,0)-2,38)=""),INDEX(Tab_DaBa[],MATCH(CONCATENATE(Liste!$C$3,$B$1415,$B$1473),Data!$BO:$BO,0)-2,13),IF(INDEX(Tab_DaBa[],MATCH(CONCATENATE(Liste!$C$3,$B$1415,$B$1473),Data!$BO:$BO,0)-2,33)&lt;&gt;"",INDEX(Tab_DaBa[],MATCH(CONCATENATE(Liste!$C$3,$B$1415,$B$1473),Data!$BO:$BO,0)-2,38),"")),"")</f>
        <v/>
      </c>
      <c r="E1485" s="38" t="str">
        <f ca="1">IF(F1483="","",4)</f>
        <v/>
      </c>
      <c r="F1485" s="35" t="str">
        <f ca="1">IFERROR(IF(AND(INDEX(Tab_DaBa[],MATCH(CONCATENATE(Liste!$C$3,$B$1415,$B$1473),Data!$BO:$BO,0)-2,38)&lt;&gt;"",INDEX(Tab_DaBa[],MATCH(CONCATENATE(Liste!$C$3,$B$1415,$B$1473),Data!$BO:$BO,0)-2,43)=""),INDEX(Tab_DaBa[],MATCH(CONCATENATE(Liste!$C$3,$B$1415,$B$1473),Data!$BO:$BO,0)-2,13),IF(INDEX(Tab_DaBa[],MATCH(CONCATENATE(Liste!$C$3,$B$1415,$B$1473),Data!$BO:$BO,0)-2,38)&lt;&gt;"",INDEX(Tab_DaBa[],MATCH(CONCATENATE(Liste!$C$3,$B$1415,$B$1473),Data!$BO:$BO,0)-2,43),"")),"")</f>
        <v/>
      </c>
      <c r="G1485" s="38" t="str">
        <f ca="1">IF(H1483="","",4)</f>
        <v/>
      </c>
      <c r="H1485" s="35" t="str">
        <f ca="1">IFERROR(IF(AND(INDEX(Tab_DaBa[],MATCH(CONCATENATE(Liste!$C$3,$B$1415,$B$1473),Data!$BO:$BO,0)-2,43)&lt;&gt;"",INDEX(Tab_DaBa[],MATCH(CONCATENATE(Liste!$C$3,$B$1415,$B$1473),Data!$BO:$BO,0)-2,48)=""),INDEX(Tab_DaBa[],MATCH(CONCATENATE(Liste!$C$3,$B$1415,$B$1473),Data!$BO:$BO,0)-2,13),IF(INDEX(Tab_DaBa[],MATCH(CONCATENATE(Liste!$C$3,$B$1415,$B$1473),Data!$BO:$BO,0)-2,43)&lt;&gt;"",INDEX(Tab_DaBa[],MATCH(CONCATENATE(Liste!$C$3,$B$1415,$B$1473),Data!$BO:$BO,0)-2,48),"")),"")</f>
        <v/>
      </c>
      <c r="I1485" s="38" t="str">
        <f ca="1">IF(B1491="","",6)</f>
        <v/>
      </c>
    </row>
    <row r="1486" spans="2:9" s="16" customFormat="1" ht="15.75">
      <c r="B1486" s="35" t="str">
        <f ca="1">IFERROR(IF(AND(INDEX(Tab_DaBa[],MATCH(CONCATENATE(Liste!$C$3,$B$1415,$B$1473),Data!$BO:$BO,0)-2,28)&lt;&gt;"",INDEX(Tab_DaBa[],MATCH(CONCATENATE(Liste!$C$3,$B$1415,$B$1473),Data!$BO:$BO,0)-2,33)=""),"Performance Level: "&amp;INDEX(Tab_DaBa[],MATCH(CONCATENATE(Liste!$C$3,$B$1415,$B$1473),Data!$BO:$BO,0)-2,15),IF(INDEX(Tab_DaBa[],MATCH(CONCATENATE(Liste!$C$3,$B$1415,$B$1473),Data!$BO:$BO,0)-2,28)&lt;&gt;"","Performance Level: "&amp;INDEX(Tab_DaBa[],MATCH(CONCATENATE(Liste!$C$3,$B$1415,$B$1473),Data!$BO:$BO,0)-2,35),"")),"")</f>
        <v>Performance Level: PL_Aus4_3</v>
      </c>
      <c r="C1486" s="39"/>
      <c r="D1486" s="35" t="str">
        <f ca="1">IFERROR(IF(AND(INDEX(Tab_DaBa[],MATCH(CONCATENATE(Liste!$C$3,$B$1415,$B$1473),Data!$BO:$BO,0)-2,33)&lt;&gt;"",INDEX(Tab_DaBa[],MATCH(CONCATENATE(Liste!$C$3,$B$1415,$B$1473),Data!$BO:$BO,0)-2,38)=""),"Performance Level: "&amp;INDEX(Tab_DaBa[],MATCH(CONCATENATE(Liste!$C$3,$B$1415,$B$1473),Data!$BO:$BO,0)-2,15),IF(INDEX(Tab_DaBa[],MATCH(CONCATENATE(Liste!$C$3,$B$1415,$B$1473),Data!$BO:$BO,0)-2,33)&lt;&gt;"","Performance Level: "&amp;INDEX(Tab_DaBa[],MATCH(CONCATENATE(Liste!$C$3,$B$1415,$B$1473),Data!$BO:$BO,0)-2,40),"")),"")</f>
        <v/>
      </c>
      <c r="E1486" s="37"/>
      <c r="F1486" s="35" t="str">
        <f ca="1">IFERROR(IF(AND(INDEX(Tab_DaBa[],MATCH(CONCATENATE(Liste!$C$3,$B$1415,$B$1473),Data!$BO:$BO,0)-2,38)&lt;&gt;"",INDEX(Tab_DaBa[],MATCH(CONCATENATE(Liste!$C$3,$B$1415,$B$1473),Data!$BO:$BO,0)-2,43)=""),"Performance Level: "&amp;INDEX(Tab_DaBa[],MATCH(CONCATENATE(Liste!$C$3,$B$1415,$B$1473),Data!$BO:$BO,0)-2,15),IF(INDEX(Tab_DaBa[],MATCH(CONCATENATE(Liste!$C$3,$B$1415,$B$1473),Data!$BO:$BO,0)-2,38)&lt;&gt;"","Performance Level: "&amp;INDEX(Tab_DaBa[],MATCH(CONCATENATE(Liste!$C$3,$B$1415,$B$1473),Data!$BO:$BO,0)-2,45),"")),"")</f>
        <v/>
      </c>
      <c r="G1486" s="39"/>
      <c r="H1486" s="35" t="str">
        <f ca="1">IFERROR(IF(AND(INDEX(Tab_DaBa[],MATCH(CONCATENATE(Liste!$C$3,$B$1415,$B$1473),Data!$BO:$BO,0)-2,43)&lt;&gt;"",INDEX(Tab_DaBa[],MATCH(CONCATENATE(Liste!$C$3,$B$1415,$B$1473),Data!$BO:$BO,0)-2,48)=""),"Performance Level: "&amp;INDEX(Tab_DaBa[],MATCH(CONCATENATE(Liste!$C$3,$B$1415,$B$1473),Data!$BO:$BO,0)-2,15),IF(INDEX(Tab_DaBa[],MATCH(CONCATENATE(Liste!$C$3,$B$1415,$B$1473),Data!$BO:$BO,0)-2,43)&lt;&gt;"","Performance Level: "&amp;INDEX(Tab_DaBa[],MATCH(CONCATENATE(Liste!$C$3,$B$1415,$B$1473),Data!$BO:$BO,0)-2,50),"")),"")</f>
        <v/>
      </c>
      <c r="I1486" s="39"/>
    </row>
    <row r="1487" spans="2:9" s="16" customFormat="1" ht="15.75">
      <c r="B1487" s="35" t="str">
        <f ca="1">IFERROR(IF(AND(INDEX(Tab_DaBa[],MATCH(CONCATENATE(Liste!$C$3,$B$1415,$B$1473),Data!$BO:$BO,0)-2,28)&lt;&gt;"",INDEX(Tab_DaBa[],MATCH(CONCATENATE(Liste!$C$3,$B$1415,$B$1473),Data!$BO:$BO,0)-2,33)=""),"PFH [1/h] = "&amp;10^9*INDEX(Tab_DaBa[],MATCH(CONCATENATE(Liste!$C$3,$B$1415,$B$1473),Data!$BO:$BO,0)-2,16)&amp;"E-9",IF(INDEX(Tab_DaBa[],MATCH(CONCATENATE(Liste!$C$3,$B$1415,$B$1473),Data!$BO:$BO,0)-2,28)&lt;&gt;"","PFH [1/h] = "&amp;10^9*INDEX(Tab_DaBa[],MATCH(CONCATENATE(Liste!$C$3,$B$1415,$B$1473),Data!$BO:$BO,0)-2,36)&amp;"E-9","")),"")</f>
        <v>PFH [1/h] = 24,7E-9</v>
      </c>
      <c r="C1487" s="39"/>
      <c r="D1487" s="35" t="str">
        <f ca="1">IFERROR(IF(AND(INDEX(Tab_DaBa[],MATCH(CONCATENATE(Liste!$C$3,$B$1415,$B$1473),Data!$BO:$BO,0)-2,33)&lt;&gt;"",INDEX(Tab_DaBa[],MATCH(CONCATENATE(Liste!$C$3,$B$1415,$B$1473),Data!$BO:$BO,0)-2,38)=""),"PFH [1/h] = "&amp;10^9*INDEX(Tab_DaBa[],MATCH(CONCATENATE(Liste!$C$3,$B$1415,$B$1473),Data!$BO:$BO,0)-2,16)&amp;"E-9",IF(INDEX(Tab_DaBa[],MATCH(CONCATENATE(Liste!$C$3,$B$1415,$B$1473),Data!$BO:$BO,0)-2,33)&lt;&gt;"","PFH [1/h] = "&amp;10^9*INDEX(Tab_DaBa[],MATCH(CONCATENATE(Liste!$C$3,$B$1415,$B$1473),Data!$BO:$BO,0)-2,41)&amp;"E-9","")),"")</f>
        <v/>
      </c>
      <c r="E1487" s="37"/>
      <c r="F1487" s="35" t="str">
        <f ca="1">IFERROR(IF(AND(INDEX(Tab_DaBa[],MATCH(CONCATENATE(Liste!$C$3,$B$1415,$B$1473),Data!$BO:$BO,0)-2,38)&lt;&gt;"",INDEX(Tab_DaBa[],MATCH(CONCATENATE(Liste!$C$3,$B$1415,$B$1473),Data!$BO:$BO,0)-2,43)=""),"PFH [1/h] = "&amp;10^9*INDEX(Tab_DaBa[],MATCH(CONCATENATE(Liste!$C$3,$B$1415,$B$1473),Data!$BO:$BO,0)-2,16)&amp;"E-9",IF(INDEX(Tab_DaBa[],MATCH(CONCATENATE(Liste!$C$3,$B$1415,$B$1473),Data!$BO:$BO,0)-2,38)&lt;&gt;"","PFH [1/h] = "&amp;10^9*INDEX(Tab_DaBa[],MATCH(CONCATENATE(Liste!$C$3,$B$1415,$B$1473),Data!$BO:$BO,0)-2,46)&amp;"E-9","")),"")</f>
        <v/>
      </c>
      <c r="G1487" s="39"/>
      <c r="H1487" s="35" t="str">
        <f ca="1">IFERROR(IF(AND(INDEX(Tab_DaBa[],MATCH(CONCATENATE(Liste!$C$3,$B$1415,$B$1473),Data!$BO:$BO,0)-2,43)&lt;&gt;"",INDEX(Tab_DaBa[],MATCH(CONCATENATE(Liste!$C$3,$B$1415,$B$1473),Data!$BO:$BO,0)-2,48)=""),"PFH [1/h] = "&amp;10^9*INDEX(Tab_DaBa[],MATCH(CONCATENATE(Liste!$C$3,$B$1415,$B$1473),Data!$BO:$BO,0)-2,16)&amp;"E-9",IF(INDEX(Tab_DaBa[],MATCH(CONCATENATE(Liste!$C$3,$B$1415,$B$1473),Data!$BO:$BO,0)-2,43)&lt;&gt;"","PFH [1/h] = "&amp;10^9*INDEX(Tab_DaBa[],MATCH(CONCATENATE(Liste!$C$3,$B$1415,$B$1473),Data!$BO:$BO,0)-2,51)&amp;"E-9","")),"")</f>
        <v/>
      </c>
      <c r="I1487" s="39"/>
    </row>
    <row r="1488" spans="2:9" s="16" customFormat="1">
      <c r="B1488" s="33"/>
      <c r="C1488" s="33"/>
      <c r="D1488" s="33"/>
      <c r="E1488" s="33"/>
      <c r="F1488" s="33"/>
      <c r="G1488" s="33"/>
      <c r="H1488" s="33"/>
      <c r="I1488" s="33"/>
    </row>
    <row r="1489" spans="2:9" s="16" customFormat="1" ht="15.75">
      <c r="B1489" s="38" t="str">
        <f ca="1">IF(B1491="","",6)</f>
        <v/>
      </c>
      <c r="C1489" s="33"/>
      <c r="D1489" s="38" t="str">
        <f ca="1">IF(B1491="","",3)</f>
        <v/>
      </c>
      <c r="E1489" s="33"/>
      <c r="F1489" s="38" t="str">
        <f ca="1">IF(B1491="","",3)</f>
        <v/>
      </c>
      <c r="G1489" s="33"/>
      <c r="H1489" s="38" t="str">
        <f ca="1">IF(B1491="","",3)</f>
        <v/>
      </c>
      <c r="I1489" s="33"/>
    </row>
    <row r="1490" spans="2:9" s="16" customFormat="1" ht="15.75">
      <c r="B1490" s="39"/>
      <c r="C1490" s="33"/>
      <c r="D1490" s="33"/>
      <c r="E1490" s="33"/>
      <c r="F1490" s="33"/>
      <c r="G1490" s="33"/>
      <c r="H1490" s="33"/>
      <c r="I1490" s="33"/>
    </row>
    <row r="1491" spans="2:9" s="16" customFormat="1" ht="15.75">
      <c r="B1491" s="35" t="str">
        <f ca="1">IFERROR(IF(AND(INDEX(Tab_DaBa[],MATCH(CONCATENATE(Liste!$C$3,$B$1415,$B$1473),Data!$BO:$BO,0)-2,48)&lt;&gt;"",INDEX(Tab_DaBa[],MATCH(CONCATENATE(Liste!$C$3,$B$1415,$B$1473),Data!$BO:$BO,0)-2,53)=0),INDEX(Tab_DaBa[],MATCH(CONCATENATE(Liste!$C$3,$B$1415,$B$1473),Data!$BO:$BO,0)-2,14),IF(INDEX(Tab_DaBa[],MATCH(CONCATENATE(Liste!$C$3,$B$1415,$B$1473),Data!$BO:$BO,0)-2,48)&lt;&gt;"",INDEX(Tab_DaBa[],MATCH(CONCATENATE(Liste!$C$3,$B$1415,$B$1473),Data!$BO:$BO,0)-2,54),"")),"")</f>
        <v/>
      </c>
      <c r="C1491" s="39"/>
      <c r="D1491" s="35" t="str">
        <f ca="1">IFERROR(IF(AND(INDEX(Tab_DaBa[],MATCH(CONCATENATE(Liste!$C$3,$B$1415,$B$1473),Data!$BO:$BO,0)-2,53)&lt;&gt;"",INDEX(Tab_DaBa[],MATCH(CONCATENATE(Liste!$C$3,$B$1415,$B$1473),Data!$BO:$BO,0)-2,58)=0),INDEX(Tab_DaBa[],MATCH(CONCATENATE(Liste!$C$3,$B$1415,$B$1473),Data!$BO:$BO,0)-2,14),IF(INDEX(Tab_DaBa[],MATCH(CONCATENATE(Liste!$C$3,$B$1415,$B$1473),Data!$BO:$BO,0)-2,53)&lt;&gt;"",INDEX(Tab_DaBa[],MATCH(CONCATENATE(Liste!$C$3,$B$1415,$B$1473),Data!$BO:$BO,0)-2,59),"")),"")</f>
        <v/>
      </c>
      <c r="E1491" s="33"/>
      <c r="F1491" s="35" t="str">
        <f ca="1">IFERROR(IF(AND(INDEX(Tab_DaBa[],MATCH(CONCATENATE(Liste!$C$3,$B$1415,$B$1473),Data!$BO:$BO,0)-2,58)&lt;&gt;"",INDEX(Tab_DaBa[],MATCH(CONCATENATE(Liste!$C$3,$B$1415,$B$1473),Data!$BO:$BO,0)-2,63)=0),INDEX(Tab_DaBa[],MATCH(CONCATENATE(Liste!$C$3,$B$1415,$B$1473),Data!$BO:$BO,0)-2,14),IF(INDEX(Tab_DaBa[],MATCH(CONCATENATE(Liste!$C$3,$B$1415,$B$1473),Data!$BO:$BO,0)-2,58)&lt;&gt;"",INDEX(Tab_DaBa[],MATCH(CONCATENATE(Liste!$C$3,$B$1415,$B$1473),Data!$BO:$BO,0)-2,64),"")),"")</f>
        <v/>
      </c>
      <c r="G1491" s="39"/>
      <c r="H1491" s="35" t="str">
        <f ca="1">IFERROR(IF(INDEX(Tab_DaBa[],MATCH(CONCATENATE(Liste!$C$3,$B$1415,$B$1473),Data!$BO:$BO,0)-2,63)&lt;&gt;"",INDEX(Tab_DaBa[],MATCH(CONCATENATE(Liste!$C$3,$B$1415,$B$1473),Data!$BO:$BO,0)-2,14),""),"")</f>
        <v/>
      </c>
    </row>
    <row r="1492" spans="2:9" s="16" customFormat="1" ht="15.75">
      <c r="B1492" s="35" t="str">
        <f ca="1">IFERROR(IF(AND(INDEX(Tab_DaBa[],MATCH(CONCATENATE(Liste!$C$3,$B$1415,$B$1473),Data!$BO:$BO,0)-2,48)&lt;&gt;"",INDEX(Tab_DaBa[],MATCH(CONCATENATE(Liste!$C$3,$B$1415,$B$1473),Data!$BO:$BO,0)-2,53)=0),INDEX(Tab_DaBa[],MATCH(CONCATENATE(Liste!$C$3,$B$1415,$B$1473),Data!$BO:$BO,0)-2,12),IF(INDEX(Tab_DaBa[],MATCH(CONCATENATE(Liste!$C$3,$B$1415,$B$1473),Data!$BO:$BO,0)-2,48)&lt;&gt;"",INDEX(Tab_DaBa[],MATCH(CONCATENATE(Liste!$C$3,$B$1415,$B$1473),Data!$BO:$BO,0)-2,52),"")),"")</f>
        <v/>
      </c>
      <c r="C1492" s="39"/>
      <c r="D1492" s="35" t="str">
        <f ca="1">IFERROR(IF(AND(INDEX(Tab_DaBa[],MATCH(CONCATENATE(Liste!$C$3,$B$1415,$B$1473),Data!$BO:$BO,0)-2,53)&lt;&gt;"",INDEX(Tab_DaBa[],MATCH(CONCATENATE(Liste!$C$3,$B$1415,$B$1473),Data!$BO:$BO,0)-2,58)=0),INDEX(Tab_DaBa[],MATCH(CONCATENATE(Liste!$C$3,$B$1415,$B$1473),Data!$BO:$BO,0)-2,12),IF(INDEX(Tab_DaBa[],MATCH(CONCATENATE(Liste!$C$3,$B$1415,$B$1473),Data!$BO:$BO,0)-2,53)&lt;&gt;"",INDEX(Tab_DaBa[],MATCH(CONCATENATE(Liste!$C$3,$B$1415,$B$1473),Data!$BO:$BO,0)-2,57),"")),"")</f>
        <v/>
      </c>
      <c r="E1492" s="37"/>
      <c r="F1492" s="35" t="str">
        <f ca="1">IFERROR(IF(AND(INDEX(Tab_DaBa[],MATCH(CONCATENATE(Liste!$C$3,$B$1415,$B$1473),Data!$BO:$BO,0)-2,58)&lt;&gt;"",INDEX(Tab_DaBa[],MATCH(CONCATENATE(Liste!$C$3,$B$1415,$B$1473),Data!$BO:$BO,0)-2,63)=0),INDEX(Tab_DaBa[],MATCH(CONCATENATE(Liste!$C$3,$B$1415,$B$1473),Data!$BO:$BO,0)-2,12),IF(INDEX(Tab_DaBa[],MATCH(CONCATENATE(Liste!$C$3,$B$1415,$B$1473),Data!$BO:$BO,0)-2,58)&lt;&gt;"",INDEX(Tab_DaBa[],MATCH(CONCATENATE(Liste!$C$3,$B$1415,$B$1473),Data!$BO:$BO,0)-2,62),"")),"")</f>
        <v/>
      </c>
      <c r="G1492" s="39"/>
      <c r="H1492" s="35" t="str">
        <f ca="1">IFERROR(IF(INDEX(Tab_DaBa[],MATCH(CONCATENATE(Liste!$C$3,$B$1415,$B$1473),Data!$BO:$BO,0)-2,63)&lt;&gt;"",INDEX(Tab_DaBa[],MATCH(CONCATENATE(Liste!$C$3,$B$1415,$B$1473),Data!$BO:$BO,0)-2,12),""),"")</f>
        <v/>
      </c>
    </row>
    <row r="1493" spans="2:9" s="16" customFormat="1" ht="15.75">
      <c r="B1493" s="35" t="str">
        <f ca="1">IFERROR(IF(AND(INDEX(Tab_DaBa[],MATCH(CONCATENATE(Liste!$C$3,$B$1415,$B$1473),Data!$BO:$BO,0)-2,48)&lt;&gt;"",INDEX(Tab_DaBa[],MATCH(CONCATENATE(Liste!$C$3,$B$1415,$B$1473),Data!$BO:$BO,0)-2,53)=""),INDEX(Tab_DaBa[],MATCH(CONCATENATE(Liste!$C$3,$B$1415,$B$1473),Data!$BO:$BO,0)-2,13),IF(INDEX(Tab_DaBa[],MATCH(CONCATENATE(Liste!$C$3,$B$1415,$B$1473),Data!$BO:$BO,0)-2,48)&lt;&gt;"",INDEX(Tab_DaBa[],MATCH(CONCATENATE(Liste!$C$3,$B$1415,$B$1473),Data!$BO:$BO,0)-2,53),"")),"")</f>
        <v/>
      </c>
      <c r="C1493" s="38" t="str">
        <f ca="1">IF(D1491="","",4)</f>
        <v/>
      </c>
      <c r="D1493" s="35" t="str">
        <f ca="1">IFERROR(IF(AND(INDEX(Tab_DaBa[],MATCH(CONCATENATE(Liste!$C$3,$B$1415,$B$1473),Data!$BO:$BO,0)-2,53)&lt;&gt;"",INDEX(Tab_DaBa[],MATCH(CONCATENATE(Liste!$C$3,$B$1415,$B$1473),Data!$BO:$BO,0)-2,58)=""),INDEX(Tab_DaBa[],MATCH(CONCATENATE(Liste!$C$3,$B$1415,$B$1473),Data!$BO:$BO,0)-2,13),IF(INDEX(Tab_DaBa[],MATCH(CONCATENATE(Liste!$C$3,$B$1415,$B$1473),Data!$BO:$BO,0)-2,53)&lt;&gt;"",INDEX(Tab_DaBa[],MATCH(CONCATENATE(Liste!$C$3,$B$1415,$B$1473),Data!$BO:$BO,0)-2,58),"")),"")</f>
        <v/>
      </c>
      <c r="E1493" s="38" t="str">
        <f ca="1">IF(F1491="","",4)</f>
        <v/>
      </c>
      <c r="F1493" s="35" t="str">
        <f ca="1">IFERROR(IF(AND(INDEX(Tab_DaBa[],MATCH(CONCATENATE(Liste!$C$3,$B$1415,$B$1473),Data!$BO:$BO,0)-2,58)&lt;&gt;"",INDEX(Tab_DaBa[],MATCH(CONCATENATE(Liste!$C$3,$B$1415,$B$1473),Data!$BO:$BO,0)-2,63)=""),INDEX(Tab_DaBa[],MATCH(CONCATENATE(Liste!$C$3,$B$1415,$B$1473),Data!$BO:$BO,0)-2,13),IF(INDEX(Tab_DaBa[],MATCH(CONCATENATE(Liste!$C$3,$B$1415,$B$1473),Data!$BO:$BO,0)-2,58)&lt;&gt;"",INDEX(Tab_DaBa[],MATCH(CONCATENATE(Liste!$C$3,$B$1415,$B$1473),Data!$BO:$BO,0)-2,63),"")),"")</f>
        <v/>
      </c>
      <c r="G1493" s="38" t="str">
        <f ca="1">IF(H1491="","",4)</f>
        <v/>
      </c>
      <c r="H1493" s="35" t="str">
        <f ca="1">IFERROR(IF(INDEX(Tab_DaBa[],MATCH(CONCATENATE(Liste!$C$3,$B$1415,$B$1473),Data!$BO:$BO,0)-2,63)&lt;&gt;"",INDEX(Tab_DaBa[],MATCH(CONCATENATE(Liste!$C$3,$B$1415,$B$1473),Data!$BO:$BO,0)-2,13),""),"")</f>
        <v/>
      </c>
    </row>
    <row r="1494" spans="2:9" s="16" customFormat="1" ht="15.75">
      <c r="B1494" s="35" t="str">
        <f ca="1">IFERROR(IF(AND(INDEX(Tab_DaBa[],MATCH(CONCATENATE(Liste!$C$3,$B$1415,$B$1473),Data!$BO:$BO,0)-2,48)&lt;&gt;"",INDEX(Tab_DaBa[],MATCH(CONCATENATE(Liste!$C$3,$B$1415,$B$1473),Data!$BO:$BO,0)-2,53)=""),"Performance Level: "&amp;INDEX(Tab_DaBa[],MATCH(CONCATENATE(Liste!$C$3,$B$1415,$B$1473),Data!$BO:$BO,0)-2,15),IF(INDEX(Tab_DaBa[],MATCH(CONCATENATE(Liste!$C$3,$B$1415,$B$1473),Data!$BO:$BO,0)-2,48)&lt;&gt;"","Performance Level: "&amp;INDEX(Tab_DaBa[],MATCH(CONCATENATE(Liste!$C$3,$B$1415,$B$1473),Data!$BO:$BO,0)-2,55),"")),"")</f>
        <v/>
      </c>
      <c r="C1494" s="39"/>
      <c r="D1494" s="35" t="str">
        <f ca="1">IFERROR(IF(AND(INDEX(Tab_DaBa[],MATCH(CONCATENATE(Liste!$C$3,$B$1415,$B$1473),Data!$BO:$BO,0)-2,53)&lt;&gt;"",INDEX(Tab_DaBa[],MATCH(CONCATENATE(Liste!$C$3,$B$1415,$B$1473),Data!$BO:$BO,0)-2,58)=""),"Performance Level: "&amp;INDEX(Tab_DaBa[],MATCH(CONCATENATE(Liste!$C$3,$B$1415,$B$1473),Data!$BO:$BO,0)-2,15),IF(INDEX(Tab_DaBa[],MATCH(CONCATENATE(Liste!$C$3,$B$1415,$B$1473),Data!$BO:$BO,0)-2,53)&lt;&gt;"","Performance Level: "&amp;INDEX(Tab_DaBa[],MATCH(CONCATENATE(Liste!$C$3,$B$1415,$B$1473),Data!$BO:$BO,0)-2,60),"")),"")</f>
        <v/>
      </c>
      <c r="E1494" s="37"/>
      <c r="F1494" s="35" t="str">
        <f ca="1">IFERROR(IF(AND(INDEX(Tab_DaBa[],MATCH(CONCATENATE(Liste!$C$3,$B$1415,$B$1473),Data!$BO:$BO,0)-2,58)&lt;&gt;"",INDEX(Tab_DaBa[],MATCH(CONCATENATE(Liste!$C$3,$B$1415,$B$1473),Data!$BO:$BO,0)-2,63)=""),"Performance Level: "&amp;INDEX(Tab_DaBa[],MATCH(CONCATENATE(Liste!$C$3,$B$1415,$B$1473),Data!$BO:$BO,0)-2,15),IF(INDEX(Tab_DaBa[],MATCH(CONCATENATE(Liste!$C$3,$B$1415,$B$1473),Data!$BO:$BO,0)-2,58)&lt;&gt;"","Performance Level: "&amp;INDEX(Tab_DaBa[],MATCH(CONCATENATE(Liste!$C$3,$B$1415,$B$1473),Data!$BO:$BO,0)-2,65),"")),"")</f>
        <v/>
      </c>
      <c r="G1494" s="39"/>
      <c r="H1494" s="35" t="str">
        <f ca="1">IFERROR(IF(INDEX(Tab_DaBa[],MATCH(CONCATENATE(Liste!$C$3,$B$1415,$B$1473),Data!$BO:$BO,0)-2,63)&lt;&gt;"","Performance Level: "&amp;INDEX(Tab_DaBa[],MATCH(CONCATENATE(Liste!$C$3,$B$1415,$B$1473),Data!$BO:$BO,0)-2,15),""),"")</f>
        <v/>
      </c>
    </row>
    <row r="1495" spans="2:9" s="16" customFormat="1" ht="15.75">
      <c r="B1495" s="35" t="str">
        <f ca="1">IFERROR(IF(AND(INDEX(Tab_DaBa[],MATCH(CONCATENATE(Liste!$C$3,$B$1415,$B$1473),Data!$BO:$BO,0)-2,48)&lt;&gt;"",INDEX(Tab_DaBa[],MATCH(CONCATENATE(Liste!$C$3,$B$1415,$B$1473),Data!$BO:$BO,0)-2,53)=""),"PFH [1/h] = "&amp;10^9*INDEX(Tab_DaBa[],MATCH(CONCATENATE(Liste!$C$3,$B$1415,$B$1473),Data!$BO:$BO,0)-2,16)&amp;"E-9",IF(INDEX(Tab_DaBa[],MATCH(CONCATENATE(Liste!$C$3,$B$1415,$B$1473),Data!$BO:$BO,0)-2,48)&lt;&gt;"","PFH [1/h] = "&amp;10^9*INDEX(Tab_DaBa[],MATCH(CONCATENATE(Liste!$C$3,$B$1415,$B$1473),Data!$BO:$BO,0)-2,56)&amp;"E-9","")),"")</f>
        <v/>
      </c>
      <c r="C1495" s="39"/>
      <c r="D1495" s="35" t="str">
        <f ca="1">IFERROR(IF(AND(INDEX(Tab_DaBa[],MATCH(CONCATENATE(Liste!$C$3,$B$1415,$B$1473),Data!$BO:$BO,0)-2,53)&lt;&gt;"",INDEX(Tab_DaBa[],MATCH(CONCATENATE(Liste!$C$3,$B$1415,$B$1473),Data!$BO:$BO,0)-2,58)=""),"PFH [1/h] = "&amp;10^9*INDEX(Tab_DaBa[],MATCH(CONCATENATE(Liste!$C$3,$B$1415,$B$1473),Data!$BO:$BO,0)-2,16)&amp;"E-9",IF(INDEX(Tab_DaBa[],MATCH(CONCATENATE(Liste!$C$3,$B$1415,$B$1473),Data!$BO:$BO,0)-2,53)&lt;&gt;"","PFH [1/h] = "&amp;10^9*INDEX(Tab_DaBa[],MATCH(CONCATENATE(Liste!$C$3,$B$1415,$B$1473),Data!$BO:$BO,0)-2,61)&amp;"E-9","")),"")</f>
        <v/>
      </c>
      <c r="E1495" s="37"/>
      <c r="F1495" s="35" t="str">
        <f ca="1">IFERROR(IF(AND(INDEX(Tab_DaBa[],MATCH(CONCATENATE(Liste!$C$3,$B$1415,$B$1473),Data!$BO:$BO,0)-2,58)&lt;&gt;"",INDEX(Tab_DaBa[],MATCH(CONCATENATE(Liste!$C$3,$B$1415,$B$1473),Data!$BO:$BO,0)-2,63)=""),"PFH [1/h] = "&amp;10^9*INDEX(Tab_DaBa[],MATCH(CONCATENATE(Liste!$C$3,$B$1415,$B$1473),Data!$BO:$BO,0)-2,16)&amp;"E-9",IF(INDEX(Tab_DaBa[],MATCH(CONCATENATE(Liste!$C$3,$B$1415,$B$1473),Data!$BO:$BO,0)-2,58)&lt;&gt;"","PFH [1/h] = "&amp;10^9*INDEX(Tab_DaBa[],MATCH(CONCATENATE(Liste!$C$3,$B$1415,$B$1473),Data!$BO:$BO,0)-2,66)&amp;"E-9","")),"")</f>
        <v/>
      </c>
      <c r="G1495" s="39"/>
      <c r="H1495" s="35" t="str">
        <f ca="1">IFERROR(IF(INDEX(Tab_DaBa[],MATCH(CONCATENATE(Liste!$C$3,$B$1415,$B$1473),Data!$BO:$BO,0)-2,63)&lt;&gt;"","PFH [1/h] = "&amp;10^9*INDEX(Tab_DaBa[],MATCH(CONCATENATE(Liste!$C$3,$B$1415,$B$1473),Data!$BO:$BO,0)-2,16)&amp;"E-9",""),"")</f>
        <v/>
      </c>
    </row>
    <row r="1496" spans="2:9" s="16" customFormat="1"/>
    <row r="1497" spans="2:9" s="16" customFormat="1">
      <c r="B1497" s="43" t="str">
        <f ca="1">IF(D1497="","","Erforderlich")</f>
        <v>Erforderlich</v>
      </c>
      <c r="D1497" s="44" t="str">
        <f ca="1">IFERROR("Performance Level: "&amp;INDEX(Tab_DaBa[],MATCH(CONCATENATE(Liste!$C$3,$B$1415,$B$1473),Data!$BO:$BO,0)-2,4),"")</f>
        <v>Performance Level: PLr_ges4_3</v>
      </c>
    </row>
    <row r="1498" spans="2:9" s="16" customFormat="1">
      <c r="B1498" s="45"/>
    </row>
    <row r="1499" spans="2:9" s="16" customFormat="1">
      <c r="B1499" s="46" t="str">
        <f ca="1">IF(D1499="","","Erreicht")</f>
        <v>Erreicht</v>
      </c>
      <c r="D1499" s="47" t="str">
        <f ca="1">IFERROR("Performance Level: "&amp;INDEX(Tab_DaBa[],MATCH(CONCATENATE(Liste!$C$3,$B$1415,$B$1473),Data!$BO:$BO,0)-2,5)&amp;"          PFH [1/h] = "&amp;10^9*INDEX(Tab_DaBa[],MATCH(CONCATENATE(Liste!$C$3,$B$1415,$B$1473),Data!$BO:$BO,0)-2,6)&amp;"E-9","")</f>
        <v>Performance Level: Pl_ges4_3          PFH [1/h] = 71,7E-9</v>
      </c>
    </row>
    <row r="1500" spans="2:9" s="16" customFormat="1"/>
    <row r="1501" spans="2:9" s="16" customFormat="1">
      <c r="B1501" s="42" t="str">
        <f ca="1">IFERROR(IF(4&gt;COUNTIF(Data!$BP:$BP,CONCATENATE(Liste!$C$3,$B$1415)),"",INDEX(Tab_DaBa[],MATCH(CONCATENATE(Liste!$C$3,$B$1415),Data!$BP:$BP,0)+1,3)),"")</f>
        <v>6.4 Test4 (E+4L+A)</v>
      </c>
    </row>
    <row r="1502" spans="2:9" s="16" customFormat="1"/>
    <row r="1503" spans="2:9" s="16" customFormat="1" ht="15.75">
      <c r="B1503" s="35" t="str">
        <f ca="1">IFERROR(INDEX(Tab_DaBa[],MATCH(CONCATENATE(Liste!$C$3,$B$1415,$B$1501),Data!$BO:$BO,0)-2,9),"")</f>
        <v>Eingang</v>
      </c>
      <c r="C1503" s="54"/>
      <c r="D1503" s="35" t="str">
        <f ca="1">IFERROR(IF(INDEX(Tab_DaBa[],MATCH(CONCATENATE(Liste!$C$3,$B$1415,$B$1501),Data!$BO:$BO,0)-2,18)=0,INDEX(Tab_DaBa[],MATCH(CONCATENATE(Liste!$C$3,$B$1415,$B$1501),Data!$BO:$BO,0)-2,14),INDEX(Tab_DaBa[],MATCH(CONCATENATE(Liste!$C$3,$B$1415,$B$1501),Data!$BO:$BO,0)-2,19)),"")</f>
        <v>Logik 01</v>
      </c>
      <c r="E1503" s="33"/>
      <c r="F1503" s="35" t="str">
        <f ca="1">IFERROR(IF(AND(INDEX(Tab_DaBa[],MATCH(CONCATENATE(Liste!$C$3,$B$1415,$B$1501),Data!$BO:$BO,0)-2,18)&lt;&gt;"",INDEX(Tab_DaBa[],MATCH(CONCATENATE(Liste!$C$3,$B$1415,$B$1501),Data!$BO:$BO,0)-2,23)=0),INDEX(Tab_DaBa[],MATCH(CONCATENATE(Liste!$C$3,$B$1415,$B$1501),Data!$BO:$BO,0)-2,14),IF(INDEX(Tab_DaBa[],MATCH(CONCATENATE(Liste!$C$3,$B$1415,$B$1501),Data!$BO:$BO,0)-2,23)&lt;&gt;"",INDEX(Tab_DaBa[],MATCH(CONCATENATE(Liste!$C$3,$B$1415,$B$1501),Data!$BO:$BO,0)-2,24),"")),"")</f>
        <v>Logik 02</v>
      </c>
      <c r="G1503" s="39"/>
      <c r="H1503" s="35" t="str">
        <f ca="1">IFERROR(IF(AND(INDEX(Tab_DaBa[],MATCH(CONCATENATE(Liste!$C$3,$B$1415,$B$1501),Data!$BO:$BO,0)-2,23)&lt;&gt;"",INDEX(Tab_DaBa[],MATCH(CONCATENATE(Liste!$C$3,$B$1415,$B$1501),Data!$BO:$BO,0)-2,28)=0),INDEX(Tab_DaBa[],MATCH(CONCATENATE(Liste!$C$3,$B$1415,$B$1501),Data!$BO:$BO,0)-2,14),IF(INDEX(Tab_DaBa[],MATCH(CONCATENATE(Liste!$C$3,$B$1415,$B$1501),Data!$BO:$BO,0)-2,23)&lt;&gt;"",INDEX(Tab_DaBa[],MATCH(CONCATENATE(Liste!$C$3,$B$1415,$B$1501),Data!$BO:$BO,0)-2,29),"")),"")</f>
        <v>Logik 03</v>
      </c>
      <c r="I1503" s="39"/>
    </row>
    <row r="1504" spans="2:9" s="16" customFormat="1" ht="15.75">
      <c r="B1504" s="35" t="str">
        <f ca="1">IFERROR(INDEX(Tab_DaBa[],MATCH(CONCATENATE(Liste!$C$3,$B$1415,$B$1501),Data!$BO:$BO,0)-2,7),"")</f>
        <v>eeee-33_4</v>
      </c>
      <c r="C1504" s="54"/>
      <c r="D1504" s="35" t="str">
        <f ca="1">IFERROR(IF(INDEX(Tab_DaBa[],MATCH(CONCATENATE(Liste!$C$3,$B$1415,$B$1501),Data!$BO:$BO,0)-2,18)="",INDEX(Tab_DaBa[],MATCH(CONCATENATE(Liste!$C$3,$B$1415,$B$1501),Data!$BO:$BO,0)-2,12),INDEX(Tab_DaBa[],MATCH(CONCATENATE(Liste!$C$3,$B$1415,$B$1501),Data!$BO:$BO,0)-2,17)),"")</f>
        <v>Log01-04_04</v>
      </c>
      <c r="E1504" s="36"/>
      <c r="F1504" s="35" t="str">
        <f ca="1">IFERROR(IF(AND(INDEX(Tab_DaBa[],MATCH(CONCATENATE(Liste!$C$3,$B$1415,$B$1501),Data!$BO:$BO,0)-2,18)&lt;&gt;"",INDEX(Tab_DaBa[],MATCH(CONCATENATE(Liste!$C$3,$B$1415,$B$1501),Data!$BO:$BO,0)-2,23)=0),INDEX(Tab_DaBa[],MATCH(CONCATENATE(Liste!$C$3,$B$1415,$B$1501),Data!$BO:$BO,0)-2,12),IF(INDEX(Tab_DaBa[],MATCH(CONCATENATE(Liste!$C$3,$B$1415,$B$1501),Data!$BO:$BO,0)-2,23)&lt;&gt;"",INDEX(Tab_DaBa[],MATCH(CONCATENATE(Liste!$C$3,$B$1415,$B$1501),Data!$BO:$BO,0)-2,22),"")),"")</f>
        <v>Lo04-04_04</v>
      </c>
      <c r="G1504" s="39"/>
      <c r="H1504" s="35" t="str">
        <f ca="1">IFERROR(IF(AND(INDEX(Tab_DaBa[],MATCH(CONCATENATE(Liste!$C$3,$B$1415,$B$1501),Data!$BO:$BO,0)-2,23)&lt;&gt;"",INDEX(Tab_DaBa[],MATCH(CONCATENATE(Liste!$C$3,$B$1415,$B$1501),Data!$BO:$BO,0)-2,28)=0),INDEX(Tab_DaBa[],MATCH(CONCATENATE(Liste!$C$3,$B$1415,$B$1501),Data!$BO:$BO,0)-2,12),IF(INDEX(Tab_DaBa[],MATCH(CONCATENATE(Liste!$C$3,$B$1415,$B$1501),Data!$BO:$BO,0)-2,23)&lt;&gt;"",INDEX(Tab_DaBa[],MATCH(CONCATENATE(Liste!$C$3,$B$1415,$B$1501),Data!$BO:$BO,0)-2,27),"")),"")</f>
        <v>Lo04-44_04</v>
      </c>
      <c r="I1504" s="39"/>
    </row>
    <row r="1505" spans="2:9" s="16" customFormat="1" ht="15.75">
      <c r="B1505" s="35" t="str">
        <f ca="1">IFERROR(INDEX(Tab_DaBa[],MATCH(CONCATENATE(Liste!$C$3,$B$1415,$B$1501),Data!$BO:$BO,0)-2,8),"")</f>
        <v>Bez_Ein4_4</v>
      </c>
      <c r="C1505" s="40">
        <f ca="1">IF(D1503="","",4)</f>
        <v>4</v>
      </c>
      <c r="D1505" s="35" t="str">
        <f ca="1">IFERROR(IF(INDEX(Tab_DaBa[],MATCH(CONCATENATE(Liste!$C$3,$B$1415,$B$1501),Data!$BO:$BO,0)-2,18)="",INDEX(Tab_DaBa[],MATCH(CONCATENATE(Liste!$C$3,$B$1415,$B$1501),Data!$BO:$BO,0)-2,13),INDEX(Tab_DaBa[],MATCH(CONCATENATE(Liste!$C$3,$B$1415,$B$1501),Data!$BO:$BO,0)-2,18)),"")</f>
        <v>Bez_Log01_04_04</v>
      </c>
      <c r="E1505" s="40">
        <f ca="1">IF(F1503="","",4)</f>
        <v>4</v>
      </c>
      <c r="F1505" s="35" t="str">
        <f ca="1">IFERROR(IF(AND(INDEX(Tab_DaBa[],MATCH(CONCATENATE(Liste!$C$3,$B$1415,$B$1501),Data!$BO:$BO,0)-2,18)&lt;&gt;"",INDEX(Tab_DaBa[],MATCH(CONCATENATE(Liste!$C$3,$B$1415,$B$1501),Data!$BO:$BO,0)-2,23)=""),INDEX(Tab_DaBa[],MATCH(CONCATENATE(Liste!$C$3,$B$1415,$B$1501),Data!$BO:$BO,0)-2,13),IF(INDEX(Tab_DaBa[],MATCH(CONCATENATE(Liste!$C$3,$B$1415,$B$1501),Data!$BO:$BO,0)-2,23)&lt;&gt;"",INDEX(Tab_DaBa[],MATCH(CONCATENATE(Liste!$C$3,$B$1415,$B$1501),Data!$BO:$BO,0)-2,23),"")),"")</f>
        <v>Bez_Lo04_04</v>
      </c>
      <c r="G1505" s="38">
        <f ca="1">IF(H1503="","",4)</f>
        <v>4</v>
      </c>
      <c r="H1505" s="35" t="str">
        <f ca="1">IFERROR(IF(AND(INDEX(Tab_DaBa[],MATCH(CONCATENATE(Liste!$C$3,$B$1415,$B$1501),Data!$BO:$BO,0)-2,23)&lt;&gt;"",INDEX(Tab_DaBa[],MATCH(CONCATENATE(Liste!$C$3,$B$1415,$B$1501),Data!$BO:$BO,0)-2,28)=""),INDEX(Tab_DaBa[],MATCH(CONCATENATE(Liste!$C$3,$B$1415,$B$1501),Data!$BO:$BO,0)-2,13),IF(INDEX(Tab_DaBa[],MATCH(CONCATENATE(Liste!$C$3,$B$1415,$B$1501),Data!$BO:$BO,0)-2,23)&lt;&gt;"",INDEX(Tab_DaBa[],MATCH(CONCATENATE(Liste!$C$3,$B$1415,$B$1501),Data!$BO:$BO,0)-2,28),"")),"")</f>
        <v>Bez_Lo04_04</v>
      </c>
      <c r="I1505" s="38">
        <f ca="1">IF(B1511="","",6)</f>
        <v>6</v>
      </c>
    </row>
    <row r="1506" spans="2:9" s="16" customFormat="1" ht="15.75">
      <c r="B1506" s="35" t="str">
        <f ca="1">IFERROR("Performance Level: "&amp;INDEX(Tab_DaBa[],MATCH(CONCATENATE(Liste!$C$3,$B$1415,$B$1501),Data!$BO:$BO,0)-2,10),"")</f>
        <v>Performance Level: PL_Ein4_4</v>
      </c>
      <c r="C1506" s="54"/>
      <c r="D1506" s="35" t="str">
        <f ca="1">IFERROR(IF(INDEX(Tab_DaBa[],MATCH(CONCATENATE(Liste!$C$3,$B$1415,$B$1501),Data!$BO:$BO,0)-2,18)="","Performance Level: "&amp;INDEX(Tab_DaBa[],MATCH(CONCATENATE(Liste!$C$3,$B$1415,$B$1501),Data!$BO:$BO,0)-2,15),"Performance Level: "&amp;INDEX(Tab_DaBa[],MATCH(CONCATENATE(Liste!$C$3,$B$1415,$B$1501),Data!$BO:$BO,0)-2,20)),"")</f>
        <v>Performance Level: PL_Log01_04_04</v>
      </c>
      <c r="E1506" s="36"/>
      <c r="F1506" s="35" t="str">
        <f ca="1">IFERROR(IF(AND(INDEX(Tab_DaBa[],MATCH(CONCATENATE(Liste!$C$3,$B$1415,$B$1501),Data!$BO:$BO,0)-2,18)&lt;&gt;"",INDEX(Tab_DaBa[],MATCH(CONCATENATE(Liste!$C$3,$B$1415,$B$1501),Data!$BO:$BO,0)-2,23)=""),"Performance Level: "&amp;INDEX(Tab_DaBa[],MATCH(CONCATENATE(Liste!$C$3,$B$1415,$B$1501),Data!$BO:$BO,0)-2,15),IF(INDEX(Tab_DaBa[],MATCH(CONCATENATE(Liste!$C$3,$B$1415,$B$1501),Data!$BO:$BO,0)-2,23)&lt;&gt;"","Performance Level: "&amp;INDEX(Tab_DaBa[],MATCH(CONCATENATE(Liste!$C$3,$B$1415,$B$1501),Data!$BO:$BO,0)-2,25),"")),"")</f>
        <v>Performance Level: PL_Lo04_04</v>
      </c>
      <c r="G1506" s="39"/>
      <c r="H1506" s="35" t="str">
        <f ca="1">IFERROR(IF(AND(INDEX(Tab_DaBa[],MATCH(CONCATENATE(Liste!$C$3,$B$1415,$B$1501),Data!$BO:$BO,0)-2,23)&lt;&gt;"",INDEX(Tab_DaBa[],MATCH(CONCATENATE(Liste!$C$3,$B$1415,$B$1501),Data!$BO:$BO,0)-2,28)=""),"Performance Level: "&amp;INDEX(Tab_DaBa[],MATCH(CONCATENATE(Liste!$C$3,$B$1415,$B$1501),Data!$BO:$BO,0)-2,15),IF(INDEX(Tab_DaBa[],MATCH(CONCATENATE(Liste!$C$3,$B$1415,$B$1501),Data!$BO:$BO,0)-2,23)&lt;&gt;"","Performance Level: "&amp;INDEX(Tab_DaBa[],MATCH(CONCATENATE(Liste!$C$3,$B$1415,$B$1501),Data!$BO:$BO,0)-2,30),"")),"")</f>
        <v>Performance Level: PL_Lo04_04</v>
      </c>
      <c r="I1506" s="38"/>
    </row>
    <row r="1507" spans="2:9" s="16" customFormat="1" ht="15.75">
      <c r="B1507" s="53" t="str">
        <f ca="1">IFERROR("PFH [1/h] = "&amp;10^9*INDEX(Tab_DaBa[],MATCH(CONCATENATE(Liste!$C$3,$B$1415,$B$1501),Data!$BO:$BO,0)-2,11)&amp;"E-9","")</f>
        <v>PFH [1/h] = 42,9E-9</v>
      </c>
      <c r="C1507" s="54"/>
      <c r="D1507" s="35" t="str">
        <f ca="1">IFERROR(IF(INDEX(Tab_DaBa[],MATCH(CONCATENATE(Liste!$C$3,$B$1415,$B$1501),Data!$BO:$BO,0)-2,18)="","PFH [1/h] = "&amp;10^9*INDEX(Tab_DaBa[],MATCH(CONCATENATE(Liste!$C$3,$B$1415,$B$1501),Data!$BO:$BO,0)-2,16)&amp;"E-9","PFH [1/h] = "&amp;10^9*INDEX(Tab_DaBa[],MATCH(CONCATENATE(Liste!$C$3,$B$1415,$B$1501),Data!$BO:$BO,0)-2,21)&amp;"E-9"),"")</f>
        <v>PFH [1/h] = 4,19E-9</v>
      </c>
      <c r="E1507" s="36"/>
      <c r="F1507" s="35" t="str">
        <f ca="1">IFERROR(IF(AND(INDEX(Tab_DaBa[],MATCH(CONCATENATE(Liste!$C$3,$B$1415,$B$1501),Data!$BO:$BO,0)-2,18)&lt;&gt;"",INDEX(Tab_DaBa[],MATCH(CONCATENATE(Liste!$C$3,$B$1415,$B$1501),Data!$BO:$BO,0)-2,23)=""),"PFH [1/h] = "&amp;10^9*INDEX(Tab_DaBa[],MATCH(CONCATENATE(Liste!$C$3,$B$1415,$B$1501),Data!$BO:$BO,0)-2,16)&amp;"E-9",IF(INDEX(Tab_DaBa[],MATCH(CONCATENATE(Liste!$C$3,$B$1415,$B$1501),Data!$BO:$BO,0)-2,23)&lt;&gt;"","PFH [1/h] = "&amp;10^9*INDEX(Tab_DaBa[],MATCH(CONCATENATE(Liste!$C$3,$B$1415,$B$1501),Data!$BO:$BO,0)-2,26)&amp;"E-9","")),"")</f>
        <v>PFH [1/h] = 4,19E-9</v>
      </c>
      <c r="G1507" s="39"/>
      <c r="H1507" s="35" t="str">
        <f ca="1">IFERROR(IF(AND(INDEX(Tab_DaBa[],MATCH(CONCATENATE(Liste!$C$3,$B$1415,$B$1501),Data!$BO:$BO,0)-2,23)&lt;&gt;"",INDEX(Tab_DaBa[],MATCH(CONCATENATE(Liste!$C$3,$B$1415,$B$1501),Data!$BO:$BO,0)-2,28)=""),"PFH [1/h] = "&amp;10^9*INDEX(Tab_DaBa[],MATCH(CONCATENATE(Liste!$C$3,$B$1415,$B$1501),Data!$BO:$BO,0)-2,16)&amp;"E-9",IF(INDEX(Tab_DaBa[],MATCH(CONCATENATE(Liste!$C$3,$B$1415,$B$1501),Data!$BO:$BO,0)-2,23)&lt;&gt;"","PFH [1/h] = "&amp;10^9*INDEX(Tab_DaBa[],MATCH(CONCATENATE(Liste!$C$3,$B$1415,$B$1501),Data!$BO:$BO,0)-2,31)&amp;"E-9","")),"")</f>
        <v>PFH [1/h] = 4,19E-9</v>
      </c>
      <c r="I1507" s="39"/>
    </row>
    <row r="1508" spans="2:9" s="16" customFormat="1">
      <c r="B1508" s="33"/>
      <c r="C1508" s="34"/>
      <c r="D1508" s="33"/>
      <c r="E1508" s="33"/>
      <c r="F1508" s="33"/>
      <c r="G1508" s="33"/>
      <c r="H1508" s="33"/>
      <c r="I1508" s="33"/>
    </row>
    <row r="1509" spans="2:9" s="16" customFormat="1" ht="15.75">
      <c r="B1509" s="38">
        <f ca="1">IF(B1511="","",6)</f>
        <v>6</v>
      </c>
      <c r="C1509" s="34"/>
      <c r="D1509" s="38">
        <f ca="1">IF(B1511="","",3)</f>
        <v>3</v>
      </c>
      <c r="E1509" s="33"/>
      <c r="F1509" s="38">
        <f ca="1">IF(B1511="","",3)</f>
        <v>3</v>
      </c>
      <c r="G1509" s="33"/>
      <c r="H1509" s="38">
        <f ca="1">IF(B1511="","",3)</f>
        <v>3</v>
      </c>
      <c r="I1509" s="33"/>
    </row>
    <row r="1510" spans="2:9" s="16" customFormat="1" ht="15.75">
      <c r="B1510" s="39"/>
      <c r="C1510" s="33"/>
      <c r="D1510" s="33"/>
      <c r="E1510" s="33"/>
      <c r="F1510" s="33"/>
      <c r="G1510" s="33"/>
      <c r="H1510" s="33"/>
      <c r="I1510" s="33"/>
    </row>
    <row r="1511" spans="2:9" s="16" customFormat="1" ht="15.75">
      <c r="B1511" s="35" t="str">
        <f ca="1">IFERROR(IF(AND(INDEX(Tab_DaBa[],MATCH(CONCATENATE(Liste!$C$3,$B$1415,$B$1501),Data!$BO:$BO,0)-2,28)&lt;&gt;"",INDEX(Tab_DaBa[],MATCH(CONCATENATE(Liste!$C$3,$B$1415,$B$1501),Data!$BO:$BO,0)-2,33)=0),INDEX(Tab_DaBa[],MATCH(CONCATENATE(Liste!$C$3,$B$1415,$B$1501),Data!$BO:$BO,0)-2,14),IF(INDEX(Tab_DaBa[],MATCH(CONCATENATE(Liste!$C$3,$B$1415,$B$1501),Data!$BO:$BO,0)-2,28)&lt;&gt;"",INDEX(Tab_DaBa[],MATCH(CONCATENATE(Liste!$C$3,$B$1415,$B$1501),Data!$BO:$BO,0)-2,34),"")),"")</f>
        <v>Logik 04</v>
      </c>
      <c r="C1511" s="39"/>
      <c r="D1511" s="35" t="str">
        <f ca="1">IFERROR(IF(AND(INDEX(Tab_DaBa[],MATCH(CONCATENATE(Liste!$C$3,$B$1415,$B$1501),Data!$BO:$BO,0)-2,33)&lt;&gt;"",INDEX(Tab_DaBa[],MATCH(CONCATENATE(Liste!$C$3,$B$1415,$B$1501),Data!$BO:$BO,0)-2,38)=0),INDEX(Tab_DaBa[],MATCH(CONCATENATE(Liste!$C$3,$B$1415,$B$1501),Data!$BO:$BO,0)-2,14),IF(INDEX(Tab_DaBa[],MATCH(CONCATENATE(Liste!$C$3,$B$1415,$B$1501),Data!$BO:$BO,0)-2,33)&lt;&gt;"",INDEX(Tab_DaBa[],MATCH(CONCATENATE(Liste!$C$3,$B$1415,$B$1501),Data!$BO:$BO,0)-2,39),"")),"")</f>
        <v>Ausgang</v>
      </c>
      <c r="E1511" s="33"/>
      <c r="F1511" s="35" t="str">
        <f ca="1">IFERROR(IF(AND(INDEX(Tab_DaBa[],MATCH(CONCATENATE(Liste!$C$3,$B$1415,$B$1501),Data!$BO:$BO,0)-2,38)&lt;&gt;"",INDEX(Tab_DaBa[],MATCH(CONCATENATE(Liste!$C$3,$B$1415,$B$1501),Data!$BO:$BO,0)-2,43)=0),INDEX(Tab_DaBa[],MATCH(CONCATENATE(Liste!$C$3,$B$1415,$B$1501),Data!$BO:$BO,0)-2,14),IF(INDEX(Tab_DaBa[],MATCH(CONCATENATE(Liste!$C$3,$B$1415,$B$1501),Data!$BO:$BO,0)-2,38)&lt;&gt;"",INDEX(Tab_DaBa[],MATCH(CONCATENATE(Liste!$C$3,$B$1415,$B$1501),Data!$BO:$BO,0)-2,44),"")),"")</f>
        <v/>
      </c>
      <c r="G1511" s="39"/>
      <c r="H1511" s="35" t="str">
        <f ca="1">IFERROR(IF(AND(INDEX(Tab_DaBa[],MATCH(CONCATENATE(Liste!$C$3,$B$1415,$B$1501),Data!$BO:$BO,0)-2,43)&lt;&gt;"",INDEX(Tab_DaBa[],MATCH(CONCATENATE(Liste!$C$3,$B$1415,$B$1501),Data!$BO:$BO,0)-2,48)=0),INDEX(Tab_DaBa[],MATCH(CONCATENATE(Liste!$C$3,$B$1415,$B$1501),Data!$BO:$BO,0)-2,14),IF(INDEX(Tab_DaBa[],MATCH(CONCATENATE(Liste!$C$3,$B$1415,$B$1501),Data!$BO:$BO,0)-2,43)&lt;&gt;"",INDEX(Tab_DaBa[],MATCH(CONCATENATE(Liste!$C$3,$B$1415,$B$1501),Data!$BO:$BO,0)-2,49),"")),"")</f>
        <v/>
      </c>
      <c r="I1511" s="39"/>
    </row>
    <row r="1512" spans="2:9" s="16" customFormat="1" ht="15.75">
      <c r="B1512" s="35" t="str">
        <f ca="1">IFERROR(IF(AND(INDEX(Tab_DaBa[],MATCH(CONCATENATE(Liste!$C$3,$B$1415,$B$1501),Data!$BO:$BO,0)-2,28)&lt;&gt;"",INDEX(Tab_DaBa[],MATCH(CONCATENATE(Liste!$C$3,$B$1415,$B$1501),Data!$BO:$BO,0)-2,33)=0),INDEX(Tab_DaBa[],MATCH(CONCATENATE(Liste!$C$3,$B$1415,$B$1501),Data!$BO:$BO,0)-2,12),IF(INDEX(Tab_DaBa[],MATCH(CONCATENATE(Liste!$C$3,$B$1415,$B$1501),Data!$BO:$BO,0)-2,28)&lt;&gt;"",INDEX(Tab_DaBa[],MATCH(CONCATENATE(Liste!$C$3,$B$1415,$B$1501),Data!$BO:$BO,0)-2,32),"")),"")</f>
        <v>Lo04-44_04</v>
      </c>
      <c r="C1512" s="39"/>
      <c r="D1512" s="35" t="str">
        <f ca="1">IFERROR(IF(AND(INDEX(Tab_DaBa[],MATCH(CONCATENATE(Liste!$C$3,$B$1415,$B$1501),Data!$BO:$BO,0)-2,33)&lt;&gt;"",INDEX(Tab_DaBa[],MATCH(CONCATENATE(Liste!$C$3,$B$1415,$B$1501),Data!$BO:$BO,0)-2,38)=0),INDEX(Tab_DaBa[],MATCH(CONCATENATE(Liste!$C$3,$B$1415,$B$1501),Data!$BO:$BO,0)-2,12),IF(INDEX(Tab_DaBa[],MATCH(CONCATENATE(Liste!$C$3,$B$1415,$B$1501),Data!$BO:$BO,0)-2,33)&lt;&gt;"",INDEX(Tab_DaBa[],MATCH(CONCATENATE(Liste!$C$3,$B$1415,$B$1501),Data!$BO:$BO,0)-2,37),"")),"")</f>
        <v>aaaa-44_4</v>
      </c>
      <c r="E1512" s="37"/>
      <c r="F1512" s="35" t="str">
        <f ca="1">IFERROR(IF(AND(INDEX(Tab_DaBa[],MATCH(CONCATENATE(Liste!$C$3,$B$1415,$B$1501),Data!$BO:$BO,0)-2,38)&lt;&gt;"",INDEX(Tab_DaBa[],MATCH(CONCATENATE(Liste!$C$3,$B$1415,$B$1501),Data!$BO:$BO,0)-2,43)=0),INDEX(Tab_DaBa[],MATCH(CONCATENATE(Liste!$C$3,$B$1415,$B$1501),Data!$BO:$BO,0)-2,12),IF(INDEX(Tab_DaBa[],MATCH(CONCATENATE(Liste!$C$3,$B$1415,$B$1501),Data!$BO:$BO,0)-2,38)&lt;&gt;"",INDEX(Tab_DaBa[],MATCH(CONCATENATE(Liste!$C$3,$B$1415,$B$1501),Data!$BO:$BO,0)-2,42),"")),"")</f>
        <v/>
      </c>
      <c r="G1512" s="39"/>
      <c r="H1512" s="35" t="str">
        <f ca="1">IFERROR(IF(AND(INDEX(Tab_DaBa[],MATCH(CONCATENATE(Liste!$C$3,$B$1415,$B$1501),Data!$BO:$BO,0)-2,43)&lt;&gt;"",INDEX(Tab_DaBa[],MATCH(CONCATENATE(Liste!$C$3,$B$1415,$B$1501),Data!$BO:$BO,0)-2,48)=0),INDEX(Tab_DaBa[],MATCH(CONCATENATE(Liste!$C$3,$B$1415,$B$1501),Data!$BO:$BO,0)-2,12),IF(INDEX(Tab_DaBa[],MATCH(CONCATENATE(Liste!$C$3,$B$1415,$B$1501),Data!$BO:$BO,0)-2,43)&lt;&gt;"",INDEX(Tab_DaBa[],MATCH(CONCATENATE(Liste!$C$3,$B$1415,$B$1501),Data!$BO:$BO,0)-2,47),"")),"")</f>
        <v/>
      </c>
      <c r="I1512" s="39"/>
    </row>
    <row r="1513" spans="2:9" s="16" customFormat="1" ht="15.75">
      <c r="B1513" s="35" t="str">
        <f ca="1">IFERROR(IF(AND(INDEX(Tab_DaBa[],MATCH(CONCATENATE(Liste!$C$3,$B$1415,$B$1501),Data!$BO:$BO,0)-2,28)&lt;&gt;"",INDEX(Tab_DaBa[],MATCH(CONCATENATE(Liste!$C$3,$B$1415,$B$1501),Data!$BO:$BO,0)-2,33)=""),INDEX(Tab_DaBa[],MATCH(CONCATENATE(Liste!$C$3,$B$1415,$B$1501),Data!$BO:$BO,0)-2,13),IF(INDEX(Tab_DaBa[],MATCH(CONCATENATE(Liste!$C$3,$B$1415,$B$1501),Data!$BO:$BO,0)-2,28)&lt;&gt;"",INDEX(Tab_DaBa[],MATCH(CONCATENATE(Liste!$C$3,$B$1415,$B$1501),Data!$BO:$BO,0)-2,33),"")),"")</f>
        <v>Bez_Lo04_04</v>
      </c>
      <c r="C1513" s="38">
        <f ca="1">IF(D1511="","",4)</f>
        <v>4</v>
      </c>
      <c r="D1513" s="35" t="str">
        <f ca="1">IFERROR(IF(AND(INDEX(Tab_DaBa[],MATCH(CONCATENATE(Liste!$C$3,$B$1415,$B$1501),Data!$BO:$BO,0)-2,33)&lt;&gt;"",INDEX(Tab_DaBa[],MATCH(CONCATENATE(Liste!$C$3,$B$1415,$B$1501),Data!$BO:$BO,0)-2,38)=""),INDEX(Tab_DaBa[],MATCH(CONCATENATE(Liste!$C$3,$B$1415,$B$1501),Data!$BO:$BO,0)-2,13),IF(INDEX(Tab_DaBa[],MATCH(CONCATENATE(Liste!$C$3,$B$1415,$B$1501),Data!$BO:$BO,0)-2,33)&lt;&gt;"",INDEX(Tab_DaBa[],MATCH(CONCATENATE(Liste!$C$3,$B$1415,$B$1501),Data!$BO:$BO,0)-2,38),"")),"")</f>
        <v>Bez_Aus4_4</v>
      </c>
      <c r="E1513" s="38" t="str">
        <f ca="1">IF(F1511="","",4)</f>
        <v/>
      </c>
      <c r="F1513" s="35" t="str">
        <f ca="1">IFERROR(IF(AND(INDEX(Tab_DaBa[],MATCH(CONCATENATE(Liste!$C$3,$B$1415,$B$1501),Data!$BO:$BO,0)-2,38)&lt;&gt;"",INDEX(Tab_DaBa[],MATCH(CONCATENATE(Liste!$C$3,$B$1415,$B$1501),Data!$BO:$BO,0)-2,43)=""),INDEX(Tab_DaBa[],MATCH(CONCATENATE(Liste!$C$3,$B$1415,$B$1501),Data!$BO:$BO,0)-2,13),IF(INDEX(Tab_DaBa[],MATCH(CONCATENATE(Liste!$C$3,$B$1415,$B$1501),Data!$BO:$BO,0)-2,38)&lt;&gt;"",INDEX(Tab_DaBa[],MATCH(CONCATENATE(Liste!$C$3,$B$1415,$B$1501),Data!$BO:$BO,0)-2,43),"")),"")</f>
        <v/>
      </c>
      <c r="G1513" s="38" t="str">
        <f ca="1">IF(H1511="","",4)</f>
        <v/>
      </c>
      <c r="H1513" s="35" t="str">
        <f ca="1">IFERROR(IF(AND(INDEX(Tab_DaBa[],MATCH(CONCATENATE(Liste!$C$3,$B$1415,$B$1501),Data!$BO:$BO,0)-2,43)&lt;&gt;"",INDEX(Tab_DaBa[],MATCH(CONCATENATE(Liste!$C$3,$B$1415,$B$1501),Data!$BO:$BO,0)-2,48)=""),INDEX(Tab_DaBa[],MATCH(CONCATENATE(Liste!$C$3,$B$1415,$B$1501),Data!$BO:$BO,0)-2,13),IF(INDEX(Tab_DaBa[],MATCH(CONCATENATE(Liste!$C$3,$B$1415,$B$1501),Data!$BO:$BO,0)-2,43)&lt;&gt;"",INDEX(Tab_DaBa[],MATCH(CONCATENATE(Liste!$C$3,$B$1415,$B$1501),Data!$BO:$BO,0)-2,48),"")),"")</f>
        <v/>
      </c>
      <c r="I1513" s="38" t="str">
        <f ca="1">IF(B1519="","",6)</f>
        <v/>
      </c>
    </row>
    <row r="1514" spans="2:9" s="16" customFormat="1" ht="15.75">
      <c r="B1514" s="35" t="str">
        <f ca="1">IFERROR(IF(AND(INDEX(Tab_DaBa[],MATCH(CONCATENATE(Liste!$C$3,$B$1415,$B$1501),Data!$BO:$BO,0)-2,28)&lt;&gt;"",INDEX(Tab_DaBa[],MATCH(CONCATENATE(Liste!$C$3,$B$1415,$B$1501),Data!$BO:$BO,0)-2,33)=""),"Performance Level: "&amp;INDEX(Tab_DaBa[],MATCH(CONCATENATE(Liste!$C$3,$B$1415,$B$1501),Data!$BO:$BO,0)-2,15),IF(INDEX(Tab_DaBa[],MATCH(CONCATENATE(Liste!$C$3,$B$1415,$B$1501),Data!$BO:$BO,0)-2,28)&lt;&gt;"","Performance Level: "&amp;INDEX(Tab_DaBa[],MATCH(CONCATENATE(Liste!$C$3,$B$1415,$B$1501),Data!$BO:$BO,0)-2,35),"")),"")</f>
        <v>Performance Level: PL_Lo04_04</v>
      </c>
      <c r="C1514" s="39"/>
      <c r="D1514" s="35" t="str">
        <f ca="1">IFERROR(IF(AND(INDEX(Tab_DaBa[],MATCH(CONCATENATE(Liste!$C$3,$B$1415,$B$1501),Data!$BO:$BO,0)-2,33)&lt;&gt;"",INDEX(Tab_DaBa[],MATCH(CONCATENATE(Liste!$C$3,$B$1415,$B$1501),Data!$BO:$BO,0)-2,38)=""),"Performance Level: "&amp;INDEX(Tab_DaBa[],MATCH(CONCATENATE(Liste!$C$3,$B$1415,$B$1501),Data!$BO:$BO,0)-2,15),IF(INDEX(Tab_DaBa[],MATCH(CONCATENATE(Liste!$C$3,$B$1415,$B$1501),Data!$BO:$BO,0)-2,33)&lt;&gt;"","Performance Level: "&amp;INDEX(Tab_DaBa[],MATCH(CONCATENATE(Liste!$C$3,$B$1415,$B$1501),Data!$BO:$BO,0)-2,40),"")),"")</f>
        <v>Performance Level: PL_Aus4_4</v>
      </c>
      <c r="E1514" s="37"/>
      <c r="F1514" s="35" t="str">
        <f ca="1">IFERROR(IF(AND(INDEX(Tab_DaBa[],MATCH(CONCATENATE(Liste!$C$3,$B$1415,$B$1501),Data!$BO:$BO,0)-2,38)&lt;&gt;"",INDEX(Tab_DaBa[],MATCH(CONCATENATE(Liste!$C$3,$B$1415,$B$1501),Data!$BO:$BO,0)-2,43)=""),"Performance Level: "&amp;INDEX(Tab_DaBa[],MATCH(CONCATENATE(Liste!$C$3,$B$1415,$B$1501),Data!$BO:$BO,0)-2,15),IF(INDEX(Tab_DaBa[],MATCH(CONCATENATE(Liste!$C$3,$B$1415,$B$1501),Data!$BO:$BO,0)-2,38)&lt;&gt;"","Performance Level: "&amp;INDEX(Tab_DaBa[],MATCH(CONCATENATE(Liste!$C$3,$B$1415,$B$1501),Data!$BO:$BO,0)-2,45),"")),"")</f>
        <v/>
      </c>
      <c r="G1514" s="39"/>
      <c r="H1514" s="35" t="str">
        <f ca="1">IFERROR(IF(AND(INDEX(Tab_DaBa[],MATCH(CONCATENATE(Liste!$C$3,$B$1415,$B$1501),Data!$BO:$BO,0)-2,43)&lt;&gt;"",INDEX(Tab_DaBa[],MATCH(CONCATENATE(Liste!$C$3,$B$1415,$B$1501),Data!$BO:$BO,0)-2,48)=""),"Performance Level: "&amp;INDEX(Tab_DaBa[],MATCH(CONCATENATE(Liste!$C$3,$B$1415,$B$1501),Data!$BO:$BO,0)-2,15),IF(INDEX(Tab_DaBa[],MATCH(CONCATENATE(Liste!$C$3,$B$1415,$B$1501),Data!$BO:$BO,0)-2,43)&lt;&gt;"","Performance Level: "&amp;INDEX(Tab_DaBa[],MATCH(CONCATENATE(Liste!$C$3,$B$1415,$B$1501),Data!$BO:$BO,0)-2,50),"")),"")</f>
        <v/>
      </c>
      <c r="I1514" s="39"/>
    </row>
    <row r="1515" spans="2:9" s="16" customFormat="1" ht="15.75">
      <c r="B1515" s="35" t="str">
        <f ca="1">IFERROR(IF(AND(INDEX(Tab_DaBa[],MATCH(CONCATENATE(Liste!$C$3,$B$1415,$B$1501),Data!$BO:$BO,0)-2,28)&lt;&gt;"",INDEX(Tab_DaBa[],MATCH(CONCATENATE(Liste!$C$3,$B$1415,$B$1501),Data!$BO:$BO,0)-2,33)=""),"PFH [1/h] = "&amp;10^9*INDEX(Tab_DaBa[],MATCH(CONCATENATE(Liste!$C$3,$B$1415,$B$1501),Data!$BO:$BO,0)-2,16)&amp;"E-9",IF(INDEX(Tab_DaBa[],MATCH(CONCATENATE(Liste!$C$3,$B$1415,$B$1501),Data!$BO:$BO,0)-2,28)&lt;&gt;"","PFH [1/h] = "&amp;10^9*INDEX(Tab_DaBa[],MATCH(CONCATENATE(Liste!$C$3,$B$1415,$B$1501),Data!$BO:$BO,0)-2,36)&amp;"E-9","")),"")</f>
        <v>PFH [1/h] = 4,19E-9</v>
      </c>
      <c r="C1515" s="39"/>
      <c r="D1515" s="35" t="str">
        <f ca="1">IFERROR(IF(AND(INDEX(Tab_DaBa[],MATCH(CONCATENATE(Liste!$C$3,$B$1415,$B$1501),Data!$BO:$BO,0)-2,33)&lt;&gt;"",INDEX(Tab_DaBa[],MATCH(CONCATENATE(Liste!$C$3,$B$1415,$B$1501),Data!$BO:$BO,0)-2,38)=""),"PFH [1/h] = "&amp;10^9*INDEX(Tab_DaBa[],MATCH(CONCATENATE(Liste!$C$3,$B$1415,$B$1501),Data!$BO:$BO,0)-2,16)&amp;"E-9",IF(INDEX(Tab_DaBa[],MATCH(CONCATENATE(Liste!$C$3,$B$1415,$B$1501),Data!$BO:$BO,0)-2,33)&lt;&gt;"","PFH [1/h] = "&amp;10^9*INDEX(Tab_DaBa[],MATCH(CONCATENATE(Liste!$C$3,$B$1415,$B$1501),Data!$BO:$BO,0)-2,41)&amp;"E-9","")),"")</f>
        <v>PFH [1/h] = 24,7E-9</v>
      </c>
      <c r="E1515" s="37"/>
      <c r="F1515" s="35" t="str">
        <f ca="1">IFERROR(IF(AND(INDEX(Tab_DaBa[],MATCH(CONCATENATE(Liste!$C$3,$B$1415,$B$1501),Data!$BO:$BO,0)-2,38)&lt;&gt;"",INDEX(Tab_DaBa[],MATCH(CONCATENATE(Liste!$C$3,$B$1415,$B$1501),Data!$BO:$BO,0)-2,43)=""),"PFH [1/h] = "&amp;10^9*INDEX(Tab_DaBa[],MATCH(CONCATENATE(Liste!$C$3,$B$1415,$B$1501),Data!$BO:$BO,0)-2,16)&amp;"E-9",IF(INDEX(Tab_DaBa[],MATCH(CONCATENATE(Liste!$C$3,$B$1415,$B$1501),Data!$BO:$BO,0)-2,38)&lt;&gt;"","PFH [1/h] = "&amp;10^9*INDEX(Tab_DaBa[],MATCH(CONCATENATE(Liste!$C$3,$B$1415,$B$1501),Data!$BO:$BO,0)-2,46)&amp;"E-9","")),"")</f>
        <v/>
      </c>
      <c r="G1515" s="39"/>
      <c r="H1515" s="35" t="str">
        <f ca="1">IFERROR(IF(AND(INDEX(Tab_DaBa[],MATCH(CONCATENATE(Liste!$C$3,$B$1415,$B$1501),Data!$BO:$BO,0)-2,43)&lt;&gt;"",INDEX(Tab_DaBa[],MATCH(CONCATENATE(Liste!$C$3,$B$1415,$B$1501),Data!$BO:$BO,0)-2,48)=""),"PFH [1/h] = "&amp;10^9*INDEX(Tab_DaBa[],MATCH(CONCATENATE(Liste!$C$3,$B$1415,$B$1501),Data!$BO:$BO,0)-2,16)&amp;"E-9",IF(INDEX(Tab_DaBa[],MATCH(CONCATENATE(Liste!$C$3,$B$1415,$B$1501),Data!$BO:$BO,0)-2,43)&lt;&gt;"","PFH [1/h] = "&amp;10^9*INDEX(Tab_DaBa[],MATCH(CONCATENATE(Liste!$C$3,$B$1415,$B$1501),Data!$BO:$BO,0)-2,51)&amp;"E-9","")),"")</f>
        <v/>
      </c>
      <c r="I1515" s="39"/>
    </row>
    <row r="1516" spans="2:9" s="16" customFormat="1">
      <c r="B1516" s="33"/>
      <c r="C1516" s="33"/>
      <c r="D1516" s="33"/>
      <c r="E1516" s="33"/>
      <c r="F1516" s="33"/>
      <c r="G1516" s="33"/>
      <c r="H1516" s="33"/>
      <c r="I1516" s="33"/>
    </row>
    <row r="1517" spans="2:9" s="16" customFormat="1" ht="15.75">
      <c r="B1517" s="38" t="str">
        <f ca="1">IF(B1519="","",6)</f>
        <v/>
      </c>
      <c r="C1517" s="33"/>
      <c r="D1517" s="38" t="str">
        <f ca="1">IF(B1519="","",3)</f>
        <v/>
      </c>
      <c r="E1517" s="33"/>
      <c r="F1517" s="38" t="str">
        <f ca="1">IF(B1519="","",3)</f>
        <v/>
      </c>
      <c r="G1517" s="33"/>
      <c r="H1517" s="38" t="str">
        <f ca="1">IF(B1519="","",3)</f>
        <v/>
      </c>
      <c r="I1517" s="33"/>
    </row>
    <row r="1518" spans="2:9" s="16" customFormat="1" ht="15.75">
      <c r="B1518" s="39"/>
      <c r="C1518" s="33"/>
      <c r="D1518" s="33"/>
      <c r="E1518" s="33"/>
      <c r="F1518" s="33"/>
      <c r="G1518" s="33"/>
      <c r="H1518" s="33"/>
      <c r="I1518" s="33"/>
    </row>
    <row r="1519" spans="2:9" s="16" customFormat="1" ht="15.75">
      <c r="B1519" s="35" t="str">
        <f ca="1">IFERROR(IF(AND(INDEX(Tab_DaBa[],MATCH(CONCATENATE(Liste!$C$3,$B$1415,$B$1501),Data!$BO:$BO,0)-2,48)&lt;&gt;"",INDEX(Tab_DaBa[],MATCH(CONCATENATE(Liste!$C$3,$B$1415,$B$1501),Data!$BO:$BO,0)-2,53)=0),INDEX(Tab_DaBa[],MATCH(CONCATENATE(Liste!$C$3,$B$1415,$B$1501),Data!$BO:$BO,0)-2,14),IF(INDEX(Tab_DaBa[],MATCH(CONCATENATE(Liste!$C$3,$B$1415,$B$1501),Data!$BO:$BO,0)-2,48)&lt;&gt;"",INDEX(Tab_DaBa[],MATCH(CONCATENATE(Liste!$C$3,$B$1415,$B$1501),Data!$BO:$BO,0)-2,54),"")),"")</f>
        <v/>
      </c>
      <c r="C1519" s="39"/>
      <c r="D1519" s="35" t="str">
        <f ca="1">IFERROR(IF(AND(INDEX(Tab_DaBa[],MATCH(CONCATENATE(Liste!$C$3,$B$1415,$B$1501),Data!$BO:$BO,0)-2,53)&lt;&gt;"",INDEX(Tab_DaBa[],MATCH(CONCATENATE(Liste!$C$3,$B$1415,$B$1501),Data!$BO:$BO,0)-2,58)=0),INDEX(Tab_DaBa[],MATCH(CONCATENATE(Liste!$C$3,$B$1415,$B$1501),Data!$BO:$BO,0)-2,14),IF(INDEX(Tab_DaBa[],MATCH(CONCATENATE(Liste!$C$3,$B$1415,$B$1501),Data!$BO:$BO,0)-2,53)&lt;&gt;"",INDEX(Tab_DaBa[],MATCH(CONCATENATE(Liste!$C$3,$B$1415,$B$1501),Data!$BO:$BO,0)-2,59),"")),"")</f>
        <v/>
      </c>
      <c r="E1519" s="33"/>
      <c r="F1519" s="35" t="str">
        <f ca="1">IFERROR(IF(AND(INDEX(Tab_DaBa[],MATCH(CONCATENATE(Liste!$C$3,$B$1415,$B$1501),Data!$BO:$BO,0)-2,58)&lt;&gt;"",INDEX(Tab_DaBa[],MATCH(CONCATENATE(Liste!$C$3,$B$1415,$B$1501),Data!$BO:$BO,0)-2,63)=0),INDEX(Tab_DaBa[],MATCH(CONCATENATE(Liste!$C$3,$B$1415,$B$1501),Data!$BO:$BO,0)-2,14),IF(INDEX(Tab_DaBa[],MATCH(CONCATENATE(Liste!$C$3,$B$1415,$B$1501),Data!$BO:$BO,0)-2,58)&lt;&gt;"",INDEX(Tab_DaBa[],MATCH(CONCATENATE(Liste!$C$3,$B$1415,$B$1501),Data!$BO:$BO,0)-2,64),"")),"")</f>
        <v/>
      </c>
      <c r="G1519" s="39"/>
      <c r="H1519" s="35" t="str">
        <f ca="1">IFERROR(IF(INDEX(Tab_DaBa[],MATCH(CONCATENATE(Liste!$C$3,$B$1415,$B$1501),Data!$BO:$BO,0)-2,63)&lt;&gt;"",INDEX(Tab_DaBa[],MATCH(CONCATENATE(Liste!$C$3,$B$1415,$B$1501),Data!$BO:$BO,0)-2,14),""),"")</f>
        <v/>
      </c>
    </row>
    <row r="1520" spans="2:9" s="16" customFormat="1" ht="15.75">
      <c r="B1520" s="35" t="str">
        <f ca="1">IFERROR(IF(AND(INDEX(Tab_DaBa[],MATCH(CONCATENATE(Liste!$C$3,$B$1415,$B$1501),Data!$BO:$BO,0)-2,48)&lt;&gt;"",INDEX(Tab_DaBa[],MATCH(CONCATENATE(Liste!$C$3,$B$1415,$B$1501),Data!$BO:$BO,0)-2,53)=0),INDEX(Tab_DaBa[],MATCH(CONCATENATE(Liste!$C$3,$B$1415,$B$1501),Data!$BO:$BO,0)-2,12),IF(INDEX(Tab_DaBa[],MATCH(CONCATENATE(Liste!$C$3,$B$1415,$B$1501),Data!$BO:$BO,0)-2,48)&lt;&gt;"",INDEX(Tab_DaBa[],MATCH(CONCATENATE(Liste!$C$3,$B$1415,$B$1501),Data!$BO:$BO,0)-2,52),"")),"")</f>
        <v/>
      </c>
      <c r="C1520" s="39"/>
      <c r="D1520" s="35" t="str">
        <f ca="1">IFERROR(IF(AND(INDEX(Tab_DaBa[],MATCH(CONCATENATE(Liste!$C$3,$B$1415,$B$1501),Data!$BO:$BO,0)-2,53)&lt;&gt;"",INDEX(Tab_DaBa[],MATCH(CONCATENATE(Liste!$C$3,$B$1415,$B$1501),Data!$BO:$BO,0)-2,58)=0),INDEX(Tab_DaBa[],MATCH(CONCATENATE(Liste!$C$3,$B$1415,$B$1501),Data!$BO:$BO,0)-2,12),IF(INDEX(Tab_DaBa[],MATCH(CONCATENATE(Liste!$C$3,$B$1415,$B$1501),Data!$BO:$BO,0)-2,53)&lt;&gt;"",INDEX(Tab_DaBa[],MATCH(CONCATENATE(Liste!$C$3,$B$1415,$B$1501),Data!$BO:$BO,0)-2,57),"")),"")</f>
        <v/>
      </c>
      <c r="E1520" s="37"/>
      <c r="F1520" s="35" t="str">
        <f ca="1">IFERROR(IF(AND(INDEX(Tab_DaBa[],MATCH(CONCATENATE(Liste!$C$3,$B$1415,$B$1501),Data!$BO:$BO,0)-2,58)&lt;&gt;"",INDEX(Tab_DaBa[],MATCH(CONCATENATE(Liste!$C$3,$B$1415,$B$1501),Data!$BO:$BO,0)-2,63)=0),INDEX(Tab_DaBa[],MATCH(CONCATENATE(Liste!$C$3,$B$1415,$B$1501),Data!$BO:$BO,0)-2,12),IF(INDEX(Tab_DaBa[],MATCH(CONCATENATE(Liste!$C$3,$B$1415,$B$1501),Data!$BO:$BO,0)-2,58)&lt;&gt;"",INDEX(Tab_DaBa[],MATCH(CONCATENATE(Liste!$C$3,$B$1415,$B$1501),Data!$BO:$BO,0)-2,62),"")),"")</f>
        <v/>
      </c>
      <c r="G1520" s="39"/>
      <c r="H1520" s="35" t="str">
        <f ca="1">IFERROR(IF(INDEX(Tab_DaBa[],MATCH(CONCATENATE(Liste!$C$3,$B$1415,$B$1501),Data!$BO:$BO,0)-2,63)&lt;&gt;"",INDEX(Tab_DaBa[],MATCH(CONCATENATE(Liste!$C$3,$B$1415,$B$1501),Data!$BO:$BO,0)-2,12),""),"")</f>
        <v/>
      </c>
    </row>
    <row r="1521" spans="2:9" s="16" customFormat="1" ht="15.75">
      <c r="B1521" s="35" t="str">
        <f ca="1">IFERROR(IF(AND(INDEX(Tab_DaBa[],MATCH(CONCATENATE(Liste!$C$3,$B$1415,$B$1501),Data!$BO:$BO,0)-2,48)&lt;&gt;"",INDEX(Tab_DaBa[],MATCH(CONCATENATE(Liste!$C$3,$B$1415,$B$1501),Data!$BO:$BO,0)-2,53)=""),INDEX(Tab_DaBa[],MATCH(CONCATENATE(Liste!$C$3,$B$1415,$B$1501),Data!$BO:$BO,0)-2,13),IF(INDEX(Tab_DaBa[],MATCH(CONCATENATE(Liste!$C$3,$B$1415,$B$1501),Data!$BO:$BO,0)-2,48)&lt;&gt;"",INDEX(Tab_DaBa[],MATCH(CONCATENATE(Liste!$C$3,$B$1415,$B$1501),Data!$BO:$BO,0)-2,53),"")),"")</f>
        <v/>
      </c>
      <c r="C1521" s="38" t="str">
        <f ca="1">IF(D1519="","",4)</f>
        <v/>
      </c>
      <c r="D1521" s="35" t="str">
        <f ca="1">IFERROR(IF(AND(INDEX(Tab_DaBa[],MATCH(CONCATENATE(Liste!$C$3,$B$1415,$B$1501),Data!$BO:$BO,0)-2,53)&lt;&gt;"",INDEX(Tab_DaBa[],MATCH(CONCATENATE(Liste!$C$3,$B$1415,$B$1501),Data!$BO:$BO,0)-2,58)=""),INDEX(Tab_DaBa[],MATCH(CONCATENATE(Liste!$C$3,$B$1415,$B$1501),Data!$BO:$BO,0)-2,13),IF(INDEX(Tab_DaBa[],MATCH(CONCATENATE(Liste!$C$3,$B$1415,$B$1501),Data!$BO:$BO,0)-2,53)&lt;&gt;"",INDEX(Tab_DaBa[],MATCH(CONCATENATE(Liste!$C$3,$B$1415,$B$1501),Data!$BO:$BO,0)-2,58),"")),"")</f>
        <v/>
      </c>
      <c r="E1521" s="38" t="str">
        <f ca="1">IF(F1519="","",4)</f>
        <v/>
      </c>
      <c r="F1521" s="35" t="str">
        <f ca="1">IFERROR(IF(AND(INDEX(Tab_DaBa[],MATCH(CONCATENATE(Liste!$C$3,$B$1415,$B$1501),Data!$BO:$BO,0)-2,58)&lt;&gt;"",INDEX(Tab_DaBa[],MATCH(CONCATENATE(Liste!$C$3,$B$1415,$B$1501),Data!$BO:$BO,0)-2,63)=""),INDEX(Tab_DaBa[],MATCH(CONCATENATE(Liste!$C$3,$B$1415,$B$1501),Data!$BO:$BO,0)-2,13),IF(INDEX(Tab_DaBa[],MATCH(CONCATENATE(Liste!$C$3,$B$1415,$B$1501),Data!$BO:$BO,0)-2,58)&lt;&gt;"",INDEX(Tab_DaBa[],MATCH(CONCATENATE(Liste!$C$3,$B$1415,$B$1501),Data!$BO:$BO,0)-2,63),"")),"")</f>
        <v/>
      </c>
      <c r="G1521" s="38" t="str">
        <f ca="1">IF(H1519="","",4)</f>
        <v/>
      </c>
      <c r="H1521" s="35" t="str">
        <f ca="1">IFERROR(IF(INDEX(Tab_DaBa[],MATCH(CONCATENATE(Liste!$C$3,$B$1415,$B$1501),Data!$BO:$BO,0)-2,63)&lt;&gt;"",INDEX(Tab_DaBa[],MATCH(CONCATENATE(Liste!$C$3,$B$1415,$B$1501),Data!$BO:$BO,0)-2,13),""),"")</f>
        <v/>
      </c>
    </row>
    <row r="1522" spans="2:9" s="16" customFormat="1" ht="15.75">
      <c r="B1522" s="35" t="str">
        <f ca="1">IFERROR(IF(AND(INDEX(Tab_DaBa[],MATCH(CONCATENATE(Liste!$C$3,$B$1415,$B$1501),Data!$BO:$BO,0)-2,48)&lt;&gt;"",INDEX(Tab_DaBa[],MATCH(CONCATENATE(Liste!$C$3,$B$1415,$B$1501),Data!$BO:$BO,0)-2,53)=""),"Performance Level: "&amp;INDEX(Tab_DaBa[],MATCH(CONCATENATE(Liste!$C$3,$B$1415,$B$1501),Data!$BO:$BO,0)-2,15),IF(INDEX(Tab_DaBa[],MATCH(CONCATENATE(Liste!$C$3,$B$1415,$B$1501),Data!$BO:$BO,0)-2,48)&lt;&gt;"","Performance Level: "&amp;INDEX(Tab_DaBa[],MATCH(CONCATENATE(Liste!$C$3,$B$1415,$B$1501),Data!$BO:$BO,0)-2,55),"")),"")</f>
        <v/>
      </c>
      <c r="C1522" s="39"/>
      <c r="D1522" s="35" t="str">
        <f ca="1">IFERROR(IF(AND(INDEX(Tab_DaBa[],MATCH(CONCATENATE(Liste!$C$3,$B$1415,$B$1501),Data!$BO:$BO,0)-2,53)&lt;&gt;"",INDEX(Tab_DaBa[],MATCH(CONCATENATE(Liste!$C$3,$B$1415,$B$1501),Data!$BO:$BO,0)-2,58)=""),"Performance Level: "&amp;INDEX(Tab_DaBa[],MATCH(CONCATENATE(Liste!$C$3,$B$1415,$B$1501),Data!$BO:$BO,0)-2,15),IF(INDEX(Tab_DaBa[],MATCH(CONCATENATE(Liste!$C$3,$B$1415,$B$1501),Data!$BO:$BO,0)-2,53)&lt;&gt;"","Performance Level: "&amp;INDEX(Tab_DaBa[],MATCH(CONCATENATE(Liste!$C$3,$B$1415,$B$1501),Data!$BO:$BO,0)-2,60),"")),"")</f>
        <v/>
      </c>
      <c r="E1522" s="37"/>
      <c r="F1522" s="35" t="str">
        <f ca="1">IFERROR(IF(AND(INDEX(Tab_DaBa[],MATCH(CONCATENATE(Liste!$C$3,$B$1415,$B$1501),Data!$BO:$BO,0)-2,58)&lt;&gt;"",INDEX(Tab_DaBa[],MATCH(CONCATENATE(Liste!$C$3,$B$1415,$B$1501),Data!$BO:$BO,0)-2,63)=""),"Performance Level: "&amp;INDEX(Tab_DaBa[],MATCH(CONCATENATE(Liste!$C$3,$B$1415,$B$1501),Data!$BO:$BO,0)-2,15),IF(INDEX(Tab_DaBa[],MATCH(CONCATENATE(Liste!$C$3,$B$1415,$B$1501),Data!$BO:$BO,0)-2,58)&lt;&gt;"","Performance Level: "&amp;INDEX(Tab_DaBa[],MATCH(CONCATENATE(Liste!$C$3,$B$1415,$B$1501),Data!$BO:$BO,0)-2,65),"")),"")</f>
        <v/>
      </c>
      <c r="G1522" s="39"/>
      <c r="H1522" s="35" t="str">
        <f ca="1">IFERROR(IF(INDEX(Tab_DaBa[],MATCH(CONCATENATE(Liste!$C$3,$B$1415,$B$1501),Data!$BO:$BO,0)-2,63)&lt;&gt;"","Performance Level: "&amp;INDEX(Tab_DaBa[],MATCH(CONCATENATE(Liste!$C$3,$B$1415,$B$1501),Data!$BO:$BO,0)-2,15),""),"")</f>
        <v/>
      </c>
    </row>
    <row r="1523" spans="2:9" s="16" customFormat="1" ht="15.75">
      <c r="B1523" s="35" t="str">
        <f ca="1">IFERROR(IF(AND(INDEX(Tab_DaBa[],MATCH(CONCATENATE(Liste!$C$3,$B$1415,$B$1501),Data!$BO:$BO,0)-2,48)&lt;&gt;"",INDEX(Tab_DaBa[],MATCH(CONCATENATE(Liste!$C$3,$B$1415,$B$1501),Data!$BO:$BO,0)-2,53)=""),"PFH [1/h] = "&amp;10^9*INDEX(Tab_DaBa[],MATCH(CONCATENATE(Liste!$C$3,$B$1415,$B$1501),Data!$BO:$BO,0)-2,16)&amp;"E-9",IF(INDEX(Tab_DaBa[],MATCH(CONCATENATE(Liste!$C$3,$B$1415,$B$1501),Data!$BO:$BO,0)-2,48)&lt;&gt;"","PFH [1/h] = "&amp;10^9*INDEX(Tab_DaBa[],MATCH(CONCATENATE(Liste!$C$3,$B$1415,$B$1501),Data!$BO:$BO,0)-2,56)&amp;"E-9","")),"")</f>
        <v/>
      </c>
      <c r="C1523" s="39"/>
      <c r="D1523" s="35" t="str">
        <f ca="1">IFERROR(IF(AND(INDEX(Tab_DaBa[],MATCH(CONCATENATE(Liste!$C$3,$B$1415,$B$1501),Data!$BO:$BO,0)-2,53)&lt;&gt;"",INDEX(Tab_DaBa[],MATCH(CONCATENATE(Liste!$C$3,$B$1415,$B$1501),Data!$BO:$BO,0)-2,58)=""),"PFH [1/h] = "&amp;10^9*INDEX(Tab_DaBa[],MATCH(CONCATENATE(Liste!$C$3,$B$1415,$B$1501),Data!$BO:$BO,0)-2,16)&amp;"E-9",IF(INDEX(Tab_DaBa[],MATCH(CONCATENATE(Liste!$C$3,$B$1415,$B$1501),Data!$BO:$BO,0)-2,53)&lt;&gt;"","PFH [1/h] = "&amp;10^9*INDEX(Tab_DaBa[],MATCH(CONCATENATE(Liste!$C$3,$B$1415,$B$1501),Data!$BO:$BO,0)-2,61)&amp;"E-9","")),"")</f>
        <v/>
      </c>
      <c r="E1523" s="37"/>
      <c r="F1523" s="35" t="str">
        <f ca="1">IFERROR(IF(AND(INDEX(Tab_DaBa[],MATCH(CONCATENATE(Liste!$C$3,$B$1415,$B$1501),Data!$BO:$BO,0)-2,58)&lt;&gt;"",INDEX(Tab_DaBa[],MATCH(CONCATENATE(Liste!$C$3,$B$1415,$B$1501),Data!$BO:$BO,0)-2,63)=""),"PFH [1/h] = "&amp;10^9*INDEX(Tab_DaBa[],MATCH(CONCATENATE(Liste!$C$3,$B$1415,$B$1501),Data!$BO:$BO,0)-2,16)&amp;"E-9",IF(INDEX(Tab_DaBa[],MATCH(CONCATENATE(Liste!$C$3,$B$1415,$B$1501),Data!$BO:$BO,0)-2,58)&lt;&gt;"","PFH [1/h] = "&amp;10^9*INDEX(Tab_DaBa[],MATCH(CONCATENATE(Liste!$C$3,$B$1415,$B$1501),Data!$BO:$BO,0)-2,66)&amp;"E-9","")),"")</f>
        <v/>
      </c>
      <c r="G1523" s="39"/>
      <c r="H1523" s="35" t="str">
        <f ca="1">IFERROR(IF(INDEX(Tab_DaBa[],MATCH(CONCATENATE(Liste!$C$3,$B$1415,$B$1501),Data!$BO:$BO,0)-2,63)&lt;&gt;"","PFH [1/h] = "&amp;10^9*INDEX(Tab_DaBa[],MATCH(CONCATENATE(Liste!$C$3,$B$1415,$B$1501),Data!$BO:$BO,0)-2,16)&amp;"E-9",""),"")</f>
        <v/>
      </c>
    </row>
    <row r="1524" spans="2:9" s="16" customFormat="1"/>
    <row r="1525" spans="2:9" s="16" customFormat="1">
      <c r="B1525" s="43" t="str">
        <f ca="1">IF(D1525="","","Erforderlich")</f>
        <v>Erforderlich</v>
      </c>
      <c r="D1525" s="44" t="str">
        <f ca="1">IFERROR("Performance Level: "&amp;INDEX(Tab_DaBa[],MATCH(CONCATENATE(Liste!$C$3,$B$1415,$B$1501),Data!$BO:$BO,0)-2,4),"")</f>
        <v>Performance Level: PLr_ges4_4</v>
      </c>
    </row>
    <row r="1526" spans="2:9" s="16" customFormat="1">
      <c r="B1526" s="45"/>
    </row>
    <row r="1527" spans="2:9" s="16" customFormat="1">
      <c r="B1527" s="46" t="str">
        <f ca="1">IF(D1527="","","Erreicht")</f>
        <v>Erreicht</v>
      </c>
      <c r="D1527" s="47" t="str">
        <f ca="1">IFERROR("Performance Level: "&amp;INDEX(Tab_DaBa[],MATCH(CONCATENATE(Liste!$C$3,$B$1415,$B$1501),Data!$BO:$BO,0)-2,5)&amp;"          PFH [1/h] = "&amp;10^9*INDEX(Tab_DaBa[],MATCH(CONCATENATE(Liste!$C$3,$B$1415,$B$1501),Data!$BO:$BO,0)-2,6)&amp;"E-9","")</f>
        <v>Performance Level: Pl_ges4_4          PFH [1/h] = 71,7E-9</v>
      </c>
    </row>
    <row r="1528" spans="2:9" s="16" customFormat="1"/>
    <row r="1529" spans="2:9" s="16" customFormat="1">
      <c r="B1529" s="42" t="str">
        <f ca="1">IFERROR(IF(5&gt;COUNTIF(Data!$BP:$BP,CONCATENATE(Liste!$C$3,$B$1415)),"",INDEX(Tab_DaBa[],MATCH(CONCATENATE(Liste!$C$3,$B$1415),Data!$BP:$BP,0)+2,3)),"")</f>
        <v>6.5 Test4 (E+5L+A)</v>
      </c>
    </row>
    <row r="1530" spans="2:9" s="16" customFormat="1"/>
    <row r="1531" spans="2:9" s="16" customFormat="1" ht="15.75">
      <c r="B1531" s="35" t="str">
        <f ca="1">IFERROR(INDEX(Tab_DaBa[],MATCH(CONCATENATE(Liste!$C$3,$B$1415,$B$1529),Data!$BO:$BO,0)-2,9),"")</f>
        <v>Eingang</v>
      </c>
      <c r="C1531" s="54"/>
      <c r="D1531" s="35" t="str">
        <f ca="1">IFERROR(IF(INDEX(Tab_DaBa[],MATCH(CONCATENATE(Liste!$C$3,$B$1415,$B$1529),Data!$BO:$BO,0)-2,18)=0,INDEX(Tab_DaBa[],MATCH(CONCATENATE(Liste!$C$3,$B$1415,$B$1529),Data!$BO:$BO,0)-2,14),INDEX(Tab_DaBa[],MATCH(CONCATENATE(Liste!$C$3,$B$1415,$B$1529),Data!$BO:$BO,0)-2,19)),"")</f>
        <v>Logik 01</v>
      </c>
      <c r="E1531" s="33"/>
      <c r="F1531" s="35" t="str">
        <f ca="1">IFERROR(IF(AND(INDEX(Tab_DaBa[],MATCH(CONCATENATE(Liste!$C$3,$B$1415,$B$1529),Data!$BO:$BO,0)-2,18)&lt;&gt;"",INDEX(Tab_DaBa[],MATCH(CONCATENATE(Liste!$C$3,$B$1415,$B$1529),Data!$BO:$BO,0)-2,23)=0),INDEX(Tab_DaBa[],MATCH(CONCATENATE(Liste!$C$3,$B$1415,$B$1529),Data!$BO:$BO,0)-2,14),IF(INDEX(Tab_DaBa[],MATCH(CONCATENATE(Liste!$C$3,$B$1415,$B$1529),Data!$BO:$BO,0)-2,23)&lt;&gt;"",INDEX(Tab_DaBa[],MATCH(CONCATENATE(Liste!$C$3,$B$1415,$B$1529),Data!$BO:$BO,0)-2,24),"")),"")</f>
        <v>Logik 02</v>
      </c>
      <c r="G1531" s="39"/>
      <c r="H1531" s="35" t="str">
        <f ca="1">IFERROR(IF(AND(INDEX(Tab_DaBa[],MATCH(CONCATENATE(Liste!$C$3,$B$1415,$B$1529),Data!$BO:$BO,0)-2,23)&lt;&gt;"",INDEX(Tab_DaBa[],MATCH(CONCATENATE(Liste!$C$3,$B$1415,$B$1529),Data!$BO:$BO,0)-2,28)=0),INDEX(Tab_DaBa[],MATCH(CONCATENATE(Liste!$C$3,$B$1415,$B$1529),Data!$BO:$BO,0)-2,14),IF(INDEX(Tab_DaBa[],MATCH(CONCATENATE(Liste!$C$3,$B$1415,$B$1529),Data!$BO:$BO,0)-2,23)&lt;&gt;"",INDEX(Tab_DaBa[],MATCH(CONCATENATE(Liste!$C$3,$B$1415,$B$1529),Data!$BO:$BO,0)-2,29),"")),"")</f>
        <v>Logik 03</v>
      </c>
      <c r="I1531" s="39"/>
    </row>
    <row r="1532" spans="2:9" s="16" customFormat="1" ht="15.75">
      <c r="B1532" s="35" t="str">
        <f ca="1">IFERROR(INDEX(Tab_DaBa[],MATCH(CONCATENATE(Liste!$C$3,$B$1415,$B$1529),Data!$BO:$BO,0)-2,7),"")</f>
        <v>eeee-33_5</v>
      </c>
      <c r="C1532" s="54"/>
      <c r="D1532" s="35" t="str">
        <f ca="1">IFERROR(IF(INDEX(Tab_DaBa[],MATCH(CONCATENATE(Liste!$C$3,$B$1415,$B$1529),Data!$BO:$BO,0)-2,18)="",INDEX(Tab_DaBa[],MATCH(CONCATENATE(Liste!$C$3,$B$1415,$B$1529),Data!$BO:$BO,0)-2,12),INDEX(Tab_DaBa[],MATCH(CONCATENATE(Liste!$C$3,$B$1415,$B$1529),Data!$BO:$BO,0)-2,17)),"")</f>
        <v>Log01-04_05</v>
      </c>
      <c r="E1532" s="36"/>
      <c r="F1532" s="35" t="str">
        <f ca="1">IFERROR(IF(AND(INDEX(Tab_DaBa[],MATCH(CONCATENATE(Liste!$C$3,$B$1415,$B$1529),Data!$BO:$BO,0)-2,18)&lt;&gt;"",INDEX(Tab_DaBa[],MATCH(CONCATENATE(Liste!$C$3,$B$1415,$B$1529),Data!$BO:$BO,0)-2,23)=0),INDEX(Tab_DaBa[],MATCH(CONCATENATE(Liste!$C$3,$B$1415,$B$1529),Data!$BO:$BO,0)-2,12),IF(INDEX(Tab_DaBa[],MATCH(CONCATENATE(Liste!$C$3,$B$1415,$B$1529),Data!$BO:$BO,0)-2,23)&lt;&gt;"",INDEX(Tab_DaBa[],MATCH(CONCATENATE(Liste!$C$3,$B$1415,$B$1529),Data!$BO:$BO,0)-2,22),"")),"")</f>
        <v>Lo04-04_05</v>
      </c>
      <c r="G1532" s="39"/>
      <c r="H1532" s="35" t="str">
        <f ca="1">IFERROR(IF(AND(INDEX(Tab_DaBa[],MATCH(CONCATENATE(Liste!$C$3,$B$1415,$B$1529),Data!$BO:$BO,0)-2,23)&lt;&gt;"",INDEX(Tab_DaBa[],MATCH(CONCATENATE(Liste!$C$3,$B$1415,$B$1529),Data!$BO:$BO,0)-2,28)=0),INDEX(Tab_DaBa[],MATCH(CONCATENATE(Liste!$C$3,$B$1415,$B$1529),Data!$BO:$BO,0)-2,12),IF(INDEX(Tab_DaBa[],MATCH(CONCATENATE(Liste!$C$3,$B$1415,$B$1529),Data!$BO:$BO,0)-2,23)&lt;&gt;"",INDEX(Tab_DaBa[],MATCH(CONCATENATE(Liste!$C$3,$B$1415,$B$1529),Data!$BO:$BO,0)-2,27),"")),"")</f>
        <v>Lo04-44_05</v>
      </c>
      <c r="I1532" s="39"/>
    </row>
    <row r="1533" spans="2:9" s="16" customFormat="1" ht="15.75">
      <c r="B1533" s="35" t="str">
        <f ca="1">IFERROR(INDEX(Tab_DaBa[],MATCH(CONCATENATE(Liste!$C$3,$B$1415,$B$1529),Data!$BO:$BO,0)-2,8),"")</f>
        <v>Bez_Ein4_5</v>
      </c>
      <c r="C1533" s="40">
        <f ca="1">IF(D1531="","",4)</f>
        <v>4</v>
      </c>
      <c r="D1533" s="35" t="str">
        <f ca="1">IFERROR(IF(INDEX(Tab_DaBa[],MATCH(CONCATENATE(Liste!$C$3,$B$1415,$B$1529),Data!$BO:$BO,0)-2,18)="",INDEX(Tab_DaBa[],MATCH(CONCATENATE(Liste!$C$3,$B$1415,$B$1529),Data!$BO:$BO,0)-2,13),INDEX(Tab_DaBa[],MATCH(CONCATENATE(Liste!$C$3,$B$1415,$B$1529),Data!$BO:$BO,0)-2,18)),"")</f>
        <v>Bez_Log01_04_05</v>
      </c>
      <c r="E1533" s="40">
        <f ca="1">IF(F1531="","",4)</f>
        <v>4</v>
      </c>
      <c r="F1533" s="35" t="str">
        <f ca="1">IFERROR(IF(AND(INDEX(Tab_DaBa[],MATCH(CONCATENATE(Liste!$C$3,$B$1415,$B$1529),Data!$BO:$BO,0)-2,18)&lt;&gt;"",INDEX(Tab_DaBa[],MATCH(CONCATENATE(Liste!$C$3,$B$1415,$B$1529),Data!$BO:$BO,0)-2,23)=""),INDEX(Tab_DaBa[],MATCH(CONCATENATE(Liste!$C$3,$B$1415,$B$1529),Data!$BO:$BO,0)-2,13),IF(INDEX(Tab_DaBa[],MATCH(CONCATENATE(Liste!$C$3,$B$1415,$B$1529),Data!$BO:$BO,0)-2,23)&lt;&gt;"",INDEX(Tab_DaBa[],MATCH(CONCATENATE(Liste!$C$3,$B$1415,$B$1529),Data!$BO:$BO,0)-2,23),"")),"")</f>
        <v>Bez_Lo04_05</v>
      </c>
      <c r="G1533" s="38">
        <f ca="1">IF(H1531="","",4)</f>
        <v>4</v>
      </c>
      <c r="H1533" s="35" t="str">
        <f ca="1">IFERROR(IF(AND(INDEX(Tab_DaBa[],MATCH(CONCATENATE(Liste!$C$3,$B$1415,$B$1529),Data!$BO:$BO,0)-2,23)&lt;&gt;"",INDEX(Tab_DaBa[],MATCH(CONCATENATE(Liste!$C$3,$B$1415,$B$1529),Data!$BO:$BO,0)-2,28)=""),INDEX(Tab_DaBa[],MATCH(CONCATENATE(Liste!$C$3,$B$1415,$B$1529),Data!$BO:$BO,0)-2,13),IF(INDEX(Tab_DaBa[],MATCH(CONCATENATE(Liste!$C$3,$B$1415,$B$1529),Data!$BO:$BO,0)-2,23)&lt;&gt;"",INDEX(Tab_DaBa[],MATCH(CONCATENATE(Liste!$C$3,$B$1415,$B$1529),Data!$BO:$BO,0)-2,28),"")),"")</f>
        <v>Bez_Lo04_05</v>
      </c>
      <c r="I1533" s="38">
        <f ca="1">IF(B1539="","",6)</f>
        <v>6</v>
      </c>
    </row>
    <row r="1534" spans="2:9" s="16" customFormat="1" ht="15.75">
      <c r="B1534" s="35" t="str">
        <f ca="1">IFERROR("Performance Level: "&amp;INDEX(Tab_DaBa[],MATCH(CONCATENATE(Liste!$C$3,$B$1415,$B$1529),Data!$BO:$BO,0)-2,10),"")</f>
        <v>Performance Level: PL_Ein4_5</v>
      </c>
      <c r="C1534" s="54"/>
      <c r="D1534" s="35" t="str">
        <f ca="1">IFERROR(IF(INDEX(Tab_DaBa[],MATCH(CONCATENATE(Liste!$C$3,$B$1415,$B$1529),Data!$BO:$BO,0)-2,18)="","Performance Level: "&amp;INDEX(Tab_DaBa[],MATCH(CONCATENATE(Liste!$C$3,$B$1415,$B$1529),Data!$BO:$BO,0)-2,15),"Performance Level: "&amp;INDEX(Tab_DaBa[],MATCH(CONCATENATE(Liste!$C$3,$B$1415,$B$1529),Data!$BO:$BO,0)-2,20)),"")</f>
        <v>Performance Level: PL_Log01_04_05</v>
      </c>
      <c r="E1534" s="36"/>
      <c r="F1534" s="35" t="str">
        <f ca="1">IFERROR(IF(AND(INDEX(Tab_DaBa[],MATCH(CONCATENATE(Liste!$C$3,$B$1415,$B$1529),Data!$BO:$BO,0)-2,18)&lt;&gt;"",INDEX(Tab_DaBa[],MATCH(CONCATENATE(Liste!$C$3,$B$1415,$B$1529),Data!$BO:$BO,0)-2,23)=""),"Performance Level: "&amp;INDEX(Tab_DaBa[],MATCH(CONCATENATE(Liste!$C$3,$B$1415,$B$1529),Data!$BO:$BO,0)-2,15),IF(INDEX(Tab_DaBa[],MATCH(CONCATENATE(Liste!$C$3,$B$1415,$B$1529),Data!$BO:$BO,0)-2,23)&lt;&gt;"","Performance Level: "&amp;INDEX(Tab_DaBa[],MATCH(CONCATENATE(Liste!$C$3,$B$1415,$B$1529),Data!$BO:$BO,0)-2,25),"")),"")</f>
        <v>Performance Level: PL_Lo04_05</v>
      </c>
      <c r="G1534" s="39"/>
      <c r="H1534" s="35" t="str">
        <f ca="1">IFERROR(IF(AND(INDEX(Tab_DaBa[],MATCH(CONCATENATE(Liste!$C$3,$B$1415,$B$1529),Data!$BO:$BO,0)-2,23)&lt;&gt;"",INDEX(Tab_DaBa[],MATCH(CONCATENATE(Liste!$C$3,$B$1415,$B$1529),Data!$BO:$BO,0)-2,28)=""),"Performance Level: "&amp;INDEX(Tab_DaBa[],MATCH(CONCATENATE(Liste!$C$3,$B$1415,$B$1529),Data!$BO:$BO,0)-2,15),IF(INDEX(Tab_DaBa[],MATCH(CONCATENATE(Liste!$C$3,$B$1415,$B$1529),Data!$BO:$BO,0)-2,23)&lt;&gt;"","Performance Level: "&amp;INDEX(Tab_DaBa[],MATCH(CONCATENATE(Liste!$C$3,$B$1415,$B$1529),Data!$BO:$BO,0)-2,30),"")),"")</f>
        <v>Performance Level: PL_Lo04_05</v>
      </c>
      <c r="I1534" s="38"/>
    </row>
    <row r="1535" spans="2:9" s="16" customFormat="1" ht="15.75">
      <c r="B1535" s="53" t="str">
        <f ca="1">IFERROR("PFH [1/h] = "&amp;10^9*INDEX(Tab_DaBa[],MATCH(CONCATENATE(Liste!$C$3,$B$1415,$B$1529),Data!$BO:$BO,0)-2,11)&amp;"E-9","")</f>
        <v>PFH [1/h] = 42,9E-9</v>
      </c>
      <c r="C1535" s="54"/>
      <c r="D1535" s="35" t="str">
        <f ca="1">IFERROR(IF(INDEX(Tab_DaBa[],MATCH(CONCATENATE(Liste!$C$3,$B$1415,$B$1529),Data!$BO:$BO,0)-2,18)="","PFH [1/h] = "&amp;10^9*INDEX(Tab_DaBa[],MATCH(CONCATENATE(Liste!$C$3,$B$1415,$B$1529),Data!$BO:$BO,0)-2,16)&amp;"E-9","PFH [1/h] = "&amp;10^9*INDEX(Tab_DaBa[],MATCH(CONCATENATE(Liste!$C$3,$B$1415,$B$1529),Data!$BO:$BO,0)-2,21)&amp;"E-9"),"")</f>
        <v>PFH [1/h] = 4,19E-9</v>
      </c>
      <c r="E1535" s="36"/>
      <c r="F1535" s="35" t="str">
        <f ca="1">IFERROR(IF(AND(INDEX(Tab_DaBa[],MATCH(CONCATENATE(Liste!$C$3,$B$1415,$B$1529),Data!$BO:$BO,0)-2,18)&lt;&gt;"",INDEX(Tab_DaBa[],MATCH(CONCATENATE(Liste!$C$3,$B$1415,$B$1529),Data!$BO:$BO,0)-2,23)=""),"PFH [1/h] = "&amp;10^9*INDEX(Tab_DaBa[],MATCH(CONCATENATE(Liste!$C$3,$B$1415,$B$1529),Data!$BO:$BO,0)-2,16)&amp;"E-9",IF(INDEX(Tab_DaBa[],MATCH(CONCATENATE(Liste!$C$3,$B$1415,$B$1529),Data!$BO:$BO,0)-2,23)&lt;&gt;"","PFH [1/h] = "&amp;10^9*INDEX(Tab_DaBa[],MATCH(CONCATENATE(Liste!$C$3,$B$1415,$B$1529),Data!$BO:$BO,0)-2,26)&amp;"E-9","")),"")</f>
        <v>PFH [1/h] = 4,19E-9</v>
      </c>
      <c r="G1535" s="39"/>
      <c r="H1535" s="35" t="str">
        <f ca="1">IFERROR(IF(AND(INDEX(Tab_DaBa[],MATCH(CONCATENATE(Liste!$C$3,$B$1415,$B$1529),Data!$BO:$BO,0)-2,23)&lt;&gt;"",INDEX(Tab_DaBa[],MATCH(CONCATENATE(Liste!$C$3,$B$1415,$B$1529),Data!$BO:$BO,0)-2,28)=""),"PFH [1/h] = "&amp;10^9*INDEX(Tab_DaBa[],MATCH(CONCATENATE(Liste!$C$3,$B$1415,$B$1529),Data!$BO:$BO,0)-2,16)&amp;"E-9",IF(INDEX(Tab_DaBa[],MATCH(CONCATENATE(Liste!$C$3,$B$1415,$B$1529),Data!$BO:$BO,0)-2,23)&lt;&gt;"","PFH [1/h] = "&amp;10^9*INDEX(Tab_DaBa[],MATCH(CONCATENATE(Liste!$C$3,$B$1415,$B$1529),Data!$BO:$BO,0)-2,31)&amp;"E-9","")),"")</f>
        <v>PFH [1/h] = 4,19E-9</v>
      </c>
      <c r="I1535" s="39"/>
    </row>
    <row r="1536" spans="2:9" s="16" customFormat="1">
      <c r="B1536" s="33"/>
      <c r="C1536" s="34"/>
      <c r="D1536" s="33"/>
      <c r="E1536" s="33"/>
      <c r="F1536" s="33"/>
      <c r="G1536" s="33"/>
      <c r="H1536" s="33"/>
      <c r="I1536" s="33"/>
    </row>
    <row r="1537" spans="2:9" s="16" customFormat="1" ht="15.75">
      <c r="B1537" s="38">
        <f ca="1">IF(B1539="","",6)</f>
        <v>6</v>
      </c>
      <c r="C1537" s="34"/>
      <c r="D1537" s="38">
        <f ca="1">IF(B1539="","",3)</f>
        <v>3</v>
      </c>
      <c r="E1537" s="33"/>
      <c r="F1537" s="38">
        <f ca="1">IF(B1539="","",3)</f>
        <v>3</v>
      </c>
      <c r="G1537" s="33"/>
      <c r="H1537" s="38">
        <f ca="1">IF(B1539="","",3)</f>
        <v>3</v>
      </c>
      <c r="I1537" s="33"/>
    </row>
    <row r="1538" spans="2:9" s="16" customFormat="1" ht="15.75">
      <c r="B1538" s="39"/>
      <c r="C1538" s="33"/>
      <c r="D1538" s="33"/>
      <c r="E1538" s="33"/>
      <c r="F1538" s="33"/>
      <c r="G1538" s="33"/>
      <c r="H1538" s="33"/>
      <c r="I1538" s="33"/>
    </row>
    <row r="1539" spans="2:9" s="16" customFormat="1" ht="15.75">
      <c r="B1539" s="35" t="str">
        <f ca="1">IFERROR(IF(AND(INDEX(Tab_DaBa[],MATCH(CONCATENATE(Liste!$C$3,$B$1415,$B$1529),Data!$BO:$BO,0)-2,28)&lt;&gt;"",INDEX(Tab_DaBa[],MATCH(CONCATENATE(Liste!$C$3,$B$1415,$B$1529),Data!$BO:$BO,0)-2,33)=0),INDEX(Tab_DaBa[],MATCH(CONCATENATE(Liste!$C$3,$B$1415,$B$1529),Data!$BO:$BO,0)-2,14),IF(INDEX(Tab_DaBa[],MATCH(CONCATENATE(Liste!$C$3,$B$1415,$B$1529),Data!$BO:$BO,0)-2,28)&lt;&gt;"",INDEX(Tab_DaBa[],MATCH(CONCATENATE(Liste!$C$3,$B$1415,$B$1529),Data!$BO:$BO,0)-2,34),"")),"")</f>
        <v>Logik 04</v>
      </c>
      <c r="C1539" s="39"/>
      <c r="D1539" s="35" t="str">
        <f ca="1">IFERROR(IF(AND(INDEX(Tab_DaBa[],MATCH(CONCATENATE(Liste!$C$3,$B$1415,$B$1529),Data!$BO:$BO,0)-2,33)&lt;&gt;"",INDEX(Tab_DaBa[],MATCH(CONCATENATE(Liste!$C$3,$B$1415,$B$1529),Data!$BO:$BO,0)-2,38)=0),INDEX(Tab_DaBa[],MATCH(CONCATENATE(Liste!$C$3,$B$1415,$B$1529),Data!$BO:$BO,0)-2,14),IF(INDEX(Tab_DaBa[],MATCH(CONCATENATE(Liste!$C$3,$B$1415,$B$1529),Data!$BO:$BO,0)-2,33)&lt;&gt;"",INDEX(Tab_DaBa[],MATCH(CONCATENATE(Liste!$C$3,$B$1415,$B$1529),Data!$BO:$BO,0)-2,39),"")),"")</f>
        <v>Logik 05</v>
      </c>
      <c r="E1539" s="33"/>
      <c r="F1539" s="35" t="str">
        <f ca="1">IFERROR(IF(AND(INDEX(Tab_DaBa[],MATCH(CONCATENATE(Liste!$C$3,$B$1415,$B$1529),Data!$BO:$BO,0)-2,38)&lt;&gt;"",INDEX(Tab_DaBa[],MATCH(CONCATENATE(Liste!$C$3,$B$1415,$B$1529),Data!$BO:$BO,0)-2,43)=0),INDEX(Tab_DaBa[],MATCH(CONCATENATE(Liste!$C$3,$B$1415,$B$1529),Data!$BO:$BO,0)-2,14),IF(INDEX(Tab_DaBa[],MATCH(CONCATENATE(Liste!$C$3,$B$1415,$B$1529),Data!$BO:$BO,0)-2,38)&lt;&gt;"",INDEX(Tab_DaBa[],MATCH(CONCATENATE(Liste!$C$3,$B$1415,$B$1529),Data!$BO:$BO,0)-2,44),"")),"")</f>
        <v>Ausgang</v>
      </c>
      <c r="G1539" s="39"/>
      <c r="H1539" s="35" t="str">
        <f ca="1">IFERROR(IF(AND(INDEX(Tab_DaBa[],MATCH(CONCATENATE(Liste!$C$3,$B$1415,$B$1529),Data!$BO:$BO,0)-2,43)&lt;&gt;"",INDEX(Tab_DaBa[],MATCH(CONCATENATE(Liste!$C$3,$B$1415,$B$1529),Data!$BO:$BO,0)-2,48)=0),INDEX(Tab_DaBa[],MATCH(CONCATENATE(Liste!$C$3,$B$1415,$B$1529),Data!$BO:$BO,0)-2,14),IF(INDEX(Tab_DaBa[],MATCH(CONCATENATE(Liste!$C$3,$B$1415,$B$1529),Data!$BO:$BO,0)-2,43)&lt;&gt;"",INDEX(Tab_DaBa[],MATCH(CONCATENATE(Liste!$C$3,$B$1415,$B$1529),Data!$BO:$BO,0)-2,49),"")),"")</f>
        <v/>
      </c>
      <c r="I1539" s="39"/>
    </row>
    <row r="1540" spans="2:9" s="16" customFormat="1" ht="15.75">
      <c r="B1540" s="35" t="str">
        <f ca="1">IFERROR(IF(AND(INDEX(Tab_DaBa[],MATCH(CONCATENATE(Liste!$C$3,$B$1415,$B$1529),Data!$BO:$BO,0)-2,28)&lt;&gt;"",INDEX(Tab_DaBa[],MATCH(CONCATENATE(Liste!$C$3,$B$1415,$B$1529),Data!$BO:$BO,0)-2,33)=0),INDEX(Tab_DaBa[],MATCH(CONCATENATE(Liste!$C$3,$B$1415,$B$1529),Data!$BO:$BO,0)-2,12),IF(INDEX(Tab_DaBa[],MATCH(CONCATENATE(Liste!$C$3,$B$1415,$B$1529),Data!$BO:$BO,0)-2,28)&lt;&gt;"",INDEX(Tab_DaBa[],MATCH(CONCATENATE(Liste!$C$3,$B$1415,$B$1529),Data!$BO:$BO,0)-2,32),"")),"")</f>
        <v>Lo04-44_05</v>
      </c>
      <c r="C1540" s="39"/>
      <c r="D1540" s="35" t="str">
        <f ca="1">IFERROR(IF(AND(INDEX(Tab_DaBa[],MATCH(CONCATENATE(Liste!$C$3,$B$1415,$B$1529),Data!$BO:$BO,0)-2,33)&lt;&gt;"",INDEX(Tab_DaBa[],MATCH(CONCATENATE(Liste!$C$3,$B$1415,$B$1529),Data!$BO:$BO,0)-2,38)=0),INDEX(Tab_DaBa[],MATCH(CONCATENATE(Liste!$C$3,$B$1415,$B$1529),Data!$BO:$BO,0)-2,12),IF(INDEX(Tab_DaBa[],MATCH(CONCATENATE(Liste!$C$3,$B$1415,$B$1529),Data!$BO:$BO,0)-2,33)&lt;&gt;"",INDEX(Tab_DaBa[],MATCH(CONCATENATE(Liste!$C$3,$B$1415,$B$1529),Data!$BO:$BO,0)-2,37),"")),"")</f>
        <v>Lo04-44_05</v>
      </c>
      <c r="E1540" s="37"/>
      <c r="F1540" s="35" t="str">
        <f ca="1">IFERROR(IF(AND(INDEX(Tab_DaBa[],MATCH(CONCATENATE(Liste!$C$3,$B$1415,$B$1529),Data!$BO:$BO,0)-2,38)&lt;&gt;"",INDEX(Tab_DaBa[],MATCH(CONCATENATE(Liste!$C$3,$B$1415,$B$1529),Data!$BO:$BO,0)-2,43)=0),INDEX(Tab_DaBa[],MATCH(CONCATENATE(Liste!$C$3,$B$1415,$B$1529),Data!$BO:$BO,0)-2,12),IF(INDEX(Tab_DaBa[],MATCH(CONCATENATE(Liste!$C$3,$B$1415,$B$1529),Data!$BO:$BO,0)-2,38)&lt;&gt;"",INDEX(Tab_DaBa[],MATCH(CONCATENATE(Liste!$C$3,$B$1415,$B$1529),Data!$BO:$BO,0)-2,42),"")),"")</f>
        <v>aaaa-44_5</v>
      </c>
      <c r="G1540" s="39"/>
      <c r="H1540" s="35" t="str">
        <f ca="1">IFERROR(IF(AND(INDEX(Tab_DaBa[],MATCH(CONCATENATE(Liste!$C$3,$B$1415,$B$1529),Data!$BO:$BO,0)-2,43)&lt;&gt;"",INDEX(Tab_DaBa[],MATCH(CONCATENATE(Liste!$C$3,$B$1415,$B$1529),Data!$BO:$BO,0)-2,48)=0),INDEX(Tab_DaBa[],MATCH(CONCATENATE(Liste!$C$3,$B$1415,$B$1529),Data!$BO:$BO,0)-2,12),IF(INDEX(Tab_DaBa[],MATCH(CONCATENATE(Liste!$C$3,$B$1415,$B$1529),Data!$BO:$BO,0)-2,43)&lt;&gt;"",INDEX(Tab_DaBa[],MATCH(CONCATENATE(Liste!$C$3,$B$1415,$B$1529),Data!$BO:$BO,0)-2,47),"")),"")</f>
        <v/>
      </c>
      <c r="I1540" s="39"/>
    </row>
    <row r="1541" spans="2:9" s="16" customFormat="1" ht="15.75">
      <c r="B1541" s="35" t="str">
        <f ca="1">IFERROR(IF(AND(INDEX(Tab_DaBa[],MATCH(CONCATENATE(Liste!$C$3,$B$1415,$B$1529),Data!$BO:$BO,0)-2,28)&lt;&gt;"",INDEX(Tab_DaBa[],MATCH(CONCATENATE(Liste!$C$3,$B$1415,$B$1529),Data!$BO:$BO,0)-2,33)=""),INDEX(Tab_DaBa[],MATCH(CONCATENATE(Liste!$C$3,$B$1415,$B$1529),Data!$BO:$BO,0)-2,13),IF(INDEX(Tab_DaBa[],MATCH(CONCATENATE(Liste!$C$3,$B$1415,$B$1529),Data!$BO:$BO,0)-2,28)&lt;&gt;"",INDEX(Tab_DaBa[],MATCH(CONCATENATE(Liste!$C$3,$B$1415,$B$1529),Data!$BO:$BO,0)-2,33),"")),"")</f>
        <v>Bez_Lo04_05</v>
      </c>
      <c r="C1541" s="38">
        <f ca="1">IF(D1539="","",4)</f>
        <v>4</v>
      </c>
      <c r="D1541" s="35" t="str">
        <f ca="1">IFERROR(IF(AND(INDEX(Tab_DaBa[],MATCH(CONCATENATE(Liste!$C$3,$B$1415,$B$1529),Data!$BO:$BO,0)-2,33)&lt;&gt;"",INDEX(Tab_DaBa[],MATCH(CONCATENATE(Liste!$C$3,$B$1415,$B$1529),Data!$BO:$BO,0)-2,38)=""),INDEX(Tab_DaBa[],MATCH(CONCATENATE(Liste!$C$3,$B$1415,$B$1529),Data!$BO:$BO,0)-2,13),IF(INDEX(Tab_DaBa[],MATCH(CONCATENATE(Liste!$C$3,$B$1415,$B$1529),Data!$BO:$BO,0)-2,33)&lt;&gt;"",INDEX(Tab_DaBa[],MATCH(CONCATENATE(Liste!$C$3,$B$1415,$B$1529),Data!$BO:$BO,0)-2,38),"")),"")</f>
        <v>Bez_Lo05_05</v>
      </c>
      <c r="E1541" s="38">
        <f ca="1">IF(F1539="","",4)</f>
        <v>4</v>
      </c>
      <c r="F1541" s="35" t="str">
        <f ca="1">IFERROR(IF(AND(INDEX(Tab_DaBa[],MATCH(CONCATENATE(Liste!$C$3,$B$1415,$B$1529),Data!$BO:$BO,0)-2,38)&lt;&gt;"",INDEX(Tab_DaBa[],MATCH(CONCATENATE(Liste!$C$3,$B$1415,$B$1529),Data!$BO:$BO,0)-2,43)=""),INDEX(Tab_DaBa[],MATCH(CONCATENATE(Liste!$C$3,$B$1415,$B$1529),Data!$BO:$BO,0)-2,13),IF(INDEX(Tab_DaBa[],MATCH(CONCATENATE(Liste!$C$3,$B$1415,$B$1529),Data!$BO:$BO,0)-2,38)&lt;&gt;"",INDEX(Tab_DaBa[],MATCH(CONCATENATE(Liste!$C$3,$B$1415,$B$1529),Data!$BO:$BO,0)-2,43),"")),"")</f>
        <v>Bez_Aus4_5</v>
      </c>
      <c r="G1541" s="38" t="str">
        <f ca="1">IF(H1539="","",4)</f>
        <v/>
      </c>
      <c r="H1541" s="35" t="str">
        <f ca="1">IFERROR(IF(AND(INDEX(Tab_DaBa[],MATCH(CONCATENATE(Liste!$C$3,$B$1415,$B$1529),Data!$BO:$BO,0)-2,43)&lt;&gt;"",INDEX(Tab_DaBa[],MATCH(CONCATENATE(Liste!$C$3,$B$1415,$B$1529),Data!$BO:$BO,0)-2,48)=""),INDEX(Tab_DaBa[],MATCH(CONCATENATE(Liste!$C$3,$B$1415,$B$1529),Data!$BO:$BO,0)-2,13),IF(INDEX(Tab_DaBa[],MATCH(CONCATENATE(Liste!$C$3,$B$1415,$B$1529),Data!$BO:$BO,0)-2,43)&lt;&gt;"",INDEX(Tab_DaBa[],MATCH(CONCATENATE(Liste!$C$3,$B$1415,$B$1529),Data!$BO:$BO,0)-2,48),"")),"")</f>
        <v/>
      </c>
      <c r="I1541" s="38" t="str">
        <f ca="1">IF(B1547="","",6)</f>
        <v/>
      </c>
    </row>
    <row r="1542" spans="2:9" s="16" customFormat="1" ht="15.75">
      <c r="B1542" s="35" t="str">
        <f ca="1">IFERROR(IF(AND(INDEX(Tab_DaBa[],MATCH(CONCATENATE(Liste!$C$3,$B$1415,$B$1529),Data!$BO:$BO,0)-2,28)&lt;&gt;"",INDEX(Tab_DaBa[],MATCH(CONCATENATE(Liste!$C$3,$B$1415,$B$1529),Data!$BO:$BO,0)-2,33)=""),"Performance Level: "&amp;INDEX(Tab_DaBa[],MATCH(CONCATENATE(Liste!$C$3,$B$1415,$B$1529),Data!$BO:$BO,0)-2,15),IF(INDEX(Tab_DaBa[],MATCH(CONCATENATE(Liste!$C$3,$B$1415,$B$1529),Data!$BO:$BO,0)-2,28)&lt;&gt;"","Performance Level: "&amp;INDEX(Tab_DaBa[],MATCH(CONCATENATE(Liste!$C$3,$B$1415,$B$1529),Data!$BO:$BO,0)-2,35),"")),"")</f>
        <v>Performance Level: PL_Lo04_05</v>
      </c>
      <c r="C1542" s="39"/>
      <c r="D1542" s="35" t="str">
        <f ca="1">IFERROR(IF(AND(INDEX(Tab_DaBa[],MATCH(CONCATENATE(Liste!$C$3,$B$1415,$B$1529),Data!$BO:$BO,0)-2,33)&lt;&gt;"",INDEX(Tab_DaBa[],MATCH(CONCATENATE(Liste!$C$3,$B$1415,$B$1529),Data!$BO:$BO,0)-2,38)=""),"Performance Level: "&amp;INDEX(Tab_DaBa[],MATCH(CONCATENATE(Liste!$C$3,$B$1415,$B$1529),Data!$BO:$BO,0)-2,15),IF(INDEX(Tab_DaBa[],MATCH(CONCATENATE(Liste!$C$3,$B$1415,$B$1529),Data!$BO:$BO,0)-2,33)&lt;&gt;"","Performance Level: "&amp;INDEX(Tab_DaBa[],MATCH(CONCATENATE(Liste!$C$3,$B$1415,$B$1529),Data!$BO:$BO,0)-2,40),"")),"")</f>
        <v>Performance Level: PL_Lo03_5</v>
      </c>
      <c r="E1542" s="37"/>
      <c r="F1542" s="35" t="str">
        <f ca="1">IFERROR(IF(AND(INDEX(Tab_DaBa[],MATCH(CONCATENATE(Liste!$C$3,$B$1415,$B$1529),Data!$BO:$BO,0)-2,38)&lt;&gt;"",INDEX(Tab_DaBa[],MATCH(CONCATENATE(Liste!$C$3,$B$1415,$B$1529),Data!$BO:$BO,0)-2,43)=""),"Performance Level: "&amp;INDEX(Tab_DaBa[],MATCH(CONCATENATE(Liste!$C$3,$B$1415,$B$1529),Data!$BO:$BO,0)-2,15),IF(INDEX(Tab_DaBa[],MATCH(CONCATENATE(Liste!$C$3,$B$1415,$B$1529),Data!$BO:$BO,0)-2,38)&lt;&gt;"","Performance Level: "&amp;INDEX(Tab_DaBa[],MATCH(CONCATENATE(Liste!$C$3,$B$1415,$B$1529),Data!$BO:$BO,0)-2,45),"")),"")</f>
        <v>Performance Level: PL_Aus4_5</v>
      </c>
      <c r="G1542" s="39"/>
      <c r="H1542" s="35" t="str">
        <f ca="1">IFERROR(IF(AND(INDEX(Tab_DaBa[],MATCH(CONCATENATE(Liste!$C$3,$B$1415,$B$1529),Data!$BO:$BO,0)-2,43)&lt;&gt;"",INDEX(Tab_DaBa[],MATCH(CONCATENATE(Liste!$C$3,$B$1415,$B$1529),Data!$BO:$BO,0)-2,48)=""),"Performance Level: "&amp;INDEX(Tab_DaBa[],MATCH(CONCATENATE(Liste!$C$3,$B$1415,$B$1529),Data!$BO:$BO,0)-2,15),IF(INDEX(Tab_DaBa[],MATCH(CONCATENATE(Liste!$C$3,$B$1415,$B$1529),Data!$BO:$BO,0)-2,43)&lt;&gt;"","Performance Level: "&amp;INDEX(Tab_DaBa[],MATCH(CONCATENATE(Liste!$C$3,$B$1415,$B$1529),Data!$BO:$BO,0)-2,50),"")),"")</f>
        <v/>
      </c>
      <c r="I1542" s="39"/>
    </row>
    <row r="1543" spans="2:9" s="16" customFormat="1" ht="15.75">
      <c r="B1543" s="35" t="str">
        <f ca="1">IFERROR(IF(AND(INDEX(Tab_DaBa[],MATCH(CONCATENATE(Liste!$C$3,$B$1415,$B$1529),Data!$BO:$BO,0)-2,28)&lt;&gt;"",INDEX(Tab_DaBa[],MATCH(CONCATENATE(Liste!$C$3,$B$1415,$B$1529),Data!$BO:$BO,0)-2,33)=""),"PFH [1/h] = "&amp;10^9*INDEX(Tab_DaBa[],MATCH(CONCATENATE(Liste!$C$3,$B$1415,$B$1529),Data!$BO:$BO,0)-2,16)&amp;"E-9",IF(INDEX(Tab_DaBa[],MATCH(CONCATENATE(Liste!$C$3,$B$1415,$B$1529),Data!$BO:$BO,0)-2,28)&lt;&gt;"","PFH [1/h] = "&amp;10^9*INDEX(Tab_DaBa[],MATCH(CONCATENATE(Liste!$C$3,$B$1415,$B$1529),Data!$BO:$BO,0)-2,36)&amp;"E-9","")),"")</f>
        <v>PFH [1/h] = 4,19E-9</v>
      </c>
      <c r="C1543" s="39"/>
      <c r="D1543" s="35" t="str">
        <f ca="1">IFERROR(IF(AND(INDEX(Tab_DaBa[],MATCH(CONCATENATE(Liste!$C$3,$B$1415,$B$1529),Data!$BO:$BO,0)-2,33)&lt;&gt;"",INDEX(Tab_DaBa[],MATCH(CONCATENATE(Liste!$C$3,$B$1415,$B$1529),Data!$BO:$BO,0)-2,38)=""),"PFH [1/h] = "&amp;10^9*INDEX(Tab_DaBa[],MATCH(CONCATENATE(Liste!$C$3,$B$1415,$B$1529),Data!$BO:$BO,0)-2,16)&amp;"E-9",IF(INDEX(Tab_DaBa[],MATCH(CONCATENATE(Liste!$C$3,$B$1415,$B$1529),Data!$BO:$BO,0)-2,33)&lt;&gt;"","PFH [1/h] = "&amp;10^9*INDEX(Tab_DaBa[],MATCH(CONCATENATE(Liste!$C$3,$B$1415,$B$1529),Data!$BO:$BO,0)-2,41)&amp;"E-9","")),"")</f>
        <v>PFH [1/h] = 4,19E-9</v>
      </c>
      <c r="E1543" s="37"/>
      <c r="F1543" s="35" t="str">
        <f ca="1">IFERROR(IF(AND(INDEX(Tab_DaBa[],MATCH(CONCATENATE(Liste!$C$3,$B$1415,$B$1529),Data!$BO:$BO,0)-2,38)&lt;&gt;"",INDEX(Tab_DaBa[],MATCH(CONCATENATE(Liste!$C$3,$B$1415,$B$1529),Data!$BO:$BO,0)-2,43)=""),"PFH [1/h] = "&amp;10^9*INDEX(Tab_DaBa[],MATCH(CONCATENATE(Liste!$C$3,$B$1415,$B$1529),Data!$BO:$BO,0)-2,16)&amp;"E-9",IF(INDEX(Tab_DaBa[],MATCH(CONCATENATE(Liste!$C$3,$B$1415,$B$1529),Data!$BO:$BO,0)-2,38)&lt;&gt;"","PFH [1/h] = "&amp;10^9*INDEX(Tab_DaBa[],MATCH(CONCATENATE(Liste!$C$3,$B$1415,$B$1529),Data!$BO:$BO,0)-2,46)&amp;"E-9","")),"")</f>
        <v>PFH [1/h] = 24,7E-9</v>
      </c>
      <c r="G1543" s="39"/>
      <c r="H1543" s="35" t="str">
        <f ca="1">IFERROR(IF(AND(INDEX(Tab_DaBa[],MATCH(CONCATENATE(Liste!$C$3,$B$1415,$B$1529),Data!$BO:$BO,0)-2,43)&lt;&gt;"",INDEX(Tab_DaBa[],MATCH(CONCATENATE(Liste!$C$3,$B$1415,$B$1529),Data!$BO:$BO,0)-2,48)=""),"PFH [1/h] = "&amp;10^9*INDEX(Tab_DaBa[],MATCH(CONCATENATE(Liste!$C$3,$B$1415,$B$1529),Data!$BO:$BO,0)-2,16)&amp;"E-9",IF(INDEX(Tab_DaBa[],MATCH(CONCATENATE(Liste!$C$3,$B$1415,$B$1529),Data!$BO:$BO,0)-2,43)&lt;&gt;"","PFH [1/h] = "&amp;10^9*INDEX(Tab_DaBa[],MATCH(CONCATENATE(Liste!$C$3,$B$1415,$B$1529),Data!$BO:$BO,0)-2,51)&amp;"E-9","")),"")</f>
        <v/>
      </c>
      <c r="I1543" s="39"/>
    </row>
    <row r="1544" spans="2:9" s="16" customFormat="1">
      <c r="B1544" s="33"/>
      <c r="C1544" s="33"/>
      <c r="D1544" s="33"/>
      <c r="E1544" s="33"/>
      <c r="F1544" s="33"/>
      <c r="G1544" s="33"/>
      <c r="H1544" s="33"/>
      <c r="I1544" s="33"/>
    </row>
    <row r="1545" spans="2:9" s="16" customFormat="1" ht="15.75">
      <c r="B1545" s="38" t="str">
        <f ca="1">IF(B1547="","",6)</f>
        <v/>
      </c>
      <c r="C1545" s="33"/>
      <c r="D1545" s="38" t="str">
        <f ca="1">IF(B1547="","",3)</f>
        <v/>
      </c>
      <c r="E1545" s="33"/>
      <c r="F1545" s="38" t="str">
        <f ca="1">IF(B1547="","",3)</f>
        <v/>
      </c>
      <c r="G1545" s="33"/>
      <c r="H1545" s="38" t="str">
        <f ca="1">IF(B1547="","",3)</f>
        <v/>
      </c>
      <c r="I1545" s="33"/>
    </row>
    <row r="1546" spans="2:9" s="16" customFormat="1" ht="15.75">
      <c r="B1546" s="39"/>
      <c r="C1546" s="33"/>
      <c r="D1546" s="33"/>
      <c r="E1546" s="33"/>
      <c r="F1546" s="33"/>
      <c r="G1546" s="33"/>
      <c r="H1546" s="33"/>
      <c r="I1546" s="33"/>
    </row>
    <row r="1547" spans="2:9" s="16" customFormat="1" ht="15.75">
      <c r="B1547" s="35" t="str">
        <f ca="1">IFERROR(IF(AND(INDEX(Tab_DaBa[],MATCH(CONCATENATE(Liste!$C$3,$B$1415,$B$1529),Data!$BO:$BO,0)-2,48)&lt;&gt;"",INDEX(Tab_DaBa[],MATCH(CONCATENATE(Liste!$C$3,$B$1415,$B$1529),Data!$BO:$BO,0)-2,53)=0),INDEX(Tab_DaBa[],MATCH(CONCATENATE(Liste!$C$3,$B$1415,$B$1529),Data!$BO:$BO,0)-2,14),IF(INDEX(Tab_DaBa[],MATCH(CONCATENATE(Liste!$C$3,$B$1415,$B$1529),Data!$BO:$BO,0)-2,48)&lt;&gt;"",INDEX(Tab_DaBa[],MATCH(CONCATENATE(Liste!$C$3,$B$1415,$B$1529),Data!$BO:$BO,0)-2,54),"")),"")</f>
        <v/>
      </c>
      <c r="C1547" s="39"/>
      <c r="D1547" s="35" t="str">
        <f ca="1">IFERROR(IF(AND(INDEX(Tab_DaBa[],MATCH(CONCATENATE(Liste!$C$3,$B$1415,$B$1529),Data!$BO:$BO,0)-2,53)&lt;&gt;"",INDEX(Tab_DaBa[],MATCH(CONCATENATE(Liste!$C$3,$B$1415,$B$1529),Data!$BO:$BO,0)-2,58)=0),INDEX(Tab_DaBa[],MATCH(CONCATENATE(Liste!$C$3,$B$1415,$B$1529),Data!$BO:$BO,0)-2,14),IF(INDEX(Tab_DaBa[],MATCH(CONCATENATE(Liste!$C$3,$B$1415,$B$1529),Data!$BO:$BO,0)-2,53)&lt;&gt;"",INDEX(Tab_DaBa[],MATCH(CONCATENATE(Liste!$C$3,$B$1415,$B$1529),Data!$BO:$BO,0)-2,59),"")),"")</f>
        <v/>
      </c>
      <c r="E1547" s="33"/>
      <c r="F1547" s="35" t="str">
        <f ca="1">IFERROR(IF(AND(INDEX(Tab_DaBa[],MATCH(CONCATENATE(Liste!$C$3,$B$1415,$B$1529),Data!$BO:$BO,0)-2,58)&lt;&gt;"",INDEX(Tab_DaBa[],MATCH(CONCATENATE(Liste!$C$3,$B$1415,$B$1529),Data!$BO:$BO,0)-2,63)=0),INDEX(Tab_DaBa[],MATCH(CONCATENATE(Liste!$C$3,$B$1415,$B$1529),Data!$BO:$BO,0)-2,14),IF(INDEX(Tab_DaBa[],MATCH(CONCATENATE(Liste!$C$3,$B$1415,$B$1529),Data!$BO:$BO,0)-2,58)&lt;&gt;"",INDEX(Tab_DaBa[],MATCH(CONCATENATE(Liste!$C$3,$B$1415,$B$1529),Data!$BO:$BO,0)-2,64),"")),"")</f>
        <v/>
      </c>
      <c r="G1547" s="39"/>
      <c r="H1547" s="35" t="str">
        <f ca="1">IFERROR(IF(INDEX(Tab_DaBa[],MATCH(CONCATENATE(Liste!$C$3,$B$1415,$B$1529),Data!$BO:$BO,0)-2,63)&lt;&gt;"",INDEX(Tab_DaBa[],MATCH(CONCATENATE(Liste!$C$3,$B$1415,$B$1529),Data!$BO:$BO,0)-2,14),""),"")</f>
        <v/>
      </c>
    </row>
    <row r="1548" spans="2:9" s="16" customFormat="1" ht="15.75">
      <c r="B1548" s="35" t="str">
        <f ca="1">IFERROR(IF(AND(INDEX(Tab_DaBa[],MATCH(CONCATENATE(Liste!$C$3,$B$1415,$B$1529),Data!$BO:$BO,0)-2,48)&lt;&gt;"",INDEX(Tab_DaBa[],MATCH(CONCATENATE(Liste!$C$3,$B$1415,$B$1529),Data!$BO:$BO,0)-2,53)=0),INDEX(Tab_DaBa[],MATCH(CONCATENATE(Liste!$C$3,$B$1415,$B$1529),Data!$BO:$BO,0)-2,12),IF(INDEX(Tab_DaBa[],MATCH(CONCATENATE(Liste!$C$3,$B$1415,$B$1529),Data!$BO:$BO,0)-2,48)&lt;&gt;"",INDEX(Tab_DaBa[],MATCH(CONCATENATE(Liste!$C$3,$B$1415,$B$1529),Data!$BO:$BO,0)-2,52),"")),"")</f>
        <v/>
      </c>
      <c r="C1548" s="39"/>
      <c r="D1548" s="35" t="str">
        <f ca="1">IFERROR(IF(AND(INDEX(Tab_DaBa[],MATCH(CONCATENATE(Liste!$C$3,$B$1415,$B$1529),Data!$BO:$BO,0)-2,53)&lt;&gt;"",INDEX(Tab_DaBa[],MATCH(CONCATENATE(Liste!$C$3,$B$1415,$B$1529),Data!$BO:$BO,0)-2,58)=0),INDEX(Tab_DaBa[],MATCH(CONCATENATE(Liste!$C$3,$B$1415,$B$1529),Data!$BO:$BO,0)-2,12),IF(INDEX(Tab_DaBa[],MATCH(CONCATENATE(Liste!$C$3,$B$1415,$B$1529),Data!$BO:$BO,0)-2,53)&lt;&gt;"",INDEX(Tab_DaBa[],MATCH(CONCATENATE(Liste!$C$3,$B$1415,$B$1529),Data!$BO:$BO,0)-2,57),"")),"")</f>
        <v/>
      </c>
      <c r="E1548" s="37"/>
      <c r="F1548" s="35" t="str">
        <f ca="1">IFERROR(IF(AND(INDEX(Tab_DaBa[],MATCH(CONCATENATE(Liste!$C$3,$B$1415,$B$1529),Data!$BO:$BO,0)-2,58)&lt;&gt;"",INDEX(Tab_DaBa[],MATCH(CONCATENATE(Liste!$C$3,$B$1415,$B$1529),Data!$BO:$BO,0)-2,63)=0),INDEX(Tab_DaBa[],MATCH(CONCATENATE(Liste!$C$3,$B$1415,$B$1529),Data!$BO:$BO,0)-2,12),IF(INDEX(Tab_DaBa[],MATCH(CONCATENATE(Liste!$C$3,$B$1415,$B$1529),Data!$BO:$BO,0)-2,58)&lt;&gt;"",INDEX(Tab_DaBa[],MATCH(CONCATENATE(Liste!$C$3,$B$1415,$B$1529),Data!$BO:$BO,0)-2,62),"")),"")</f>
        <v/>
      </c>
      <c r="G1548" s="39"/>
      <c r="H1548" s="35" t="str">
        <f ca="1">IFERROR(IF(INDEX(Tab_DaBa[],MATCH(CONCATENATE(Liste!$C$3,$B$1415,$B$1529),Data!$BO:$BO,0)-2,63)&lt;&gt;"",INDEX(Tab_DaBa[],MATCH(CONCATENATE(Liste!$C$3,$B$1415,$B$1529),Data!$BO:$BO,0)-2,12),""),"")</f>
        <v/>
      </c>
    </row>
    <row r="1549" spans="2:9" s="16" customFormat="1" ht="15.75">
      <c r="B1549" s="35" t="str">
        <f ca="1">IFERROR(IF(AND(INDEX(Tab_DaBa[],MATCH(CONCATENATE(Liste!$C$3,$B$1415,$B$1529),Data!$BO:$BO,0)-2,48)&lt;&gt;"",INDEX(Tab_DaBa[],MATCH(CONCATENATE(Liste!$C$3,$B$1415,$B$1529),Data!$BO:$BO,0)-2,53)=""),INDEX(Tab_DaBa[],MATCH(CONCATENATE(Liste!$C$3,$B$1415,$B$1529),Data!$BO:$BO,0)-2,13),IF(INDEX(Tab_DaBa[],MATCH(CONCATENATE(Liste!$C$3,$B$1415,$B$1529),Data!$BO:$BO,0)-2,48)&lt;&gt;"",INDEX(Tab_DaBa[],MATCH(CONCATENATE(Liste!$C$3,$B$1415,$B$1529),Data!$BO:$BO,0)-2,53),"")),"")</f>
        <v/>
      </c>
      <c r="C1549" s="38" t="str">
        <f ca="1">IF(D1547="","",4)</f>
        <v/>
      </c>
      <c r="D1549" s="35" t="str">
        <f ca="1">IFERROR(IF(AND(INDEX(Tab_DaBa[],MATCH(CONCATENATE(Liste!$C$3,$B$1415,$B$1529),Data!$BO:$BO,0)-2,53)&lt;&gt;"",INDEX(Tab_DaBa[],MATCH(CONCATENATE(Liste!$C$3,$B$1415,$B$1529),Data!$BO:$BO,0)-2,58)=""),INDEX(Tab_DaBa[],MATCH(CONCATENATE(Liste!$C$3,$B$1415,$B$1529),Data!$BO:$BO,0)-2,13),IF(INDEX(Tab_DaBa[],MATCH(CONCATENATE(Liste!$C$3,$B$1415,$B$1529),Data!$BO:$BO,0)-2,53)&lt;&gt;"",INDEX(Tab_DaBa[],MATCH(CONCATENATE(Liste!$C$3,$B$1415,$B$1529),Data!$BO:$BO,0)-2,58),"")),"")</f>
        <v/>
      </c>
      <c r="E1549" s="38" t="str">
        <f ca="1">IF(F1547="","",4)</f>
        <v/>
      </c>
      <c r="F1549" s="35" t="str">
        <f ca="1">IFERROR(IF(AND(INDEX(Tab_DaBa[],MATCH(CONCATENATE(Liste!$C$3,$B$1415,$B$1529),Data!$BO:$BO,0)-2,58)&lt;&gt;"",INDEX(Tab_DaBa[],MATCH(CONCATENATE(Liste!$C$3,$B$1415,$B$1529),Data!$BO:$BO,0)-2,63)=""),INDEX(Tab_DaBa[],MATCH(CONCATENATE(Liste!$C$3,$B$1415,$B$1529),Data!$BO:$BO,0)-2,13),IF(INDEX(Tab_DaBa[],MATCH(CONCATENATE(Liste!$C$3,$B$1415,$B$1529),Data!$BO:$BO,0)-2,58)&lt;&gt;"",INDEX(Tab_DaBa[],MATCH(CONCATENATE(Liste!$C$3,$B$1415,$B$1529),Data!$BO:$BO,0)-2,63),"")),"")</f>
        <v/>
      </c>
      <c r="G1549" s="38" t="str">
        <f ca="1">IF(H1547="","",4)</f>
        <v/>
      </c>
      <c r="H1549" s="35" t="str">
        <f ca="1">IFERROR(IF(INDEX(Tab_DaBa[],MATCH(CONCATENATE(Liste!$C$3,$B$1415,$B$1529),Data!$BO:$BO,0)-2,63)&lt;&gt;"",INDEX(Tab_DaBa[],MATCH(CONCATENATE(Liste!$C$3,$B$1415,$B$1529),Data!$BO:$BO,0)-2,13),""),"")</f>
        <v/>
      </c>
    </row>
    <row r="1550" spans="2:9" s="16" customFormat="1" ht="15.75">
      <c r="B1550" s="35" t="str">
        <f ca="1">IFERROR(IF(AND(INDEX(Tab_DaBa[],MATCH(CONCATENATE(Liste!$C$3,$B$1415,$B$1529),Data!$BO:$BO,0)-2,48)&lt;&gt;"",INDEX(Tab_DaBa[],MATCH(CONCATENATE(Liste!$C$3,$B$1415,$B$1529),Data!$BO:$BO,0)-2,53)=""),"Performance Level: "&amp;INDEX(Tab_DaBa[],MATCH(CONCATENATE(Liste!$C$3,$B$1415,$B$1529),Data!$BO:$BO,0)-2,15),IF(INDEX(Tab_DaBa[],MATCH(CONCATENATE(Liste!$C$3,$B$1415,$B$1529),Data!$BO:$BO,0)-2,48)&lt;&gt;"","Performance Level: "&amp;INDEX(Tab_DaBa[],MATCH(CONCATENATE(Liste!$C$3,$B$1415,$B$1529),Data!$BO:$BO,0)-2,55),"")),"")</f>
        <v/>
      </c>
      <c r="C1550" s="39"/>
      <c r="D1550" s="35" t="str">
        <f ca="1">IFERROR(IF(AND(INDEX(Tab_DaBa[],MATCH(CONCATENATE(Liste!$C$3,$B$1415,$B$1529),Data!$BO:$BO,0)-2,53)&lt;&gt;"",INDEX(Tab_DaBa[],MATCH(CONCATENATE(Liste!$C$3,$B$1415,$B$1529),Data!$BO:$BO,0)-2,58)=""),"Performance Level: "&amp;INDEX(Tab_DaBa[],MATCH(CONCATENATE(Liste!$C$3,$B$1415,$B$1529),Data!$BO:$BO,0)-2,15),IF(INDEX(Tab_DaBa[],MATCH(CONCATENATE(Liste!$C$3,$B$1415,$B$1529),Data!$BO:$BO,0)-2,53)&lt;&gt;"","Performance Level: "&amp;INDEX(Tab_DaBa[],MATCH(CONCATENATE(Liste!$C$3,$B$1415,$B$1529),Data!$BO:$BO,0)-2,60),"")),"")</f>
        <v/>
      </c>
      <c r="E1550" s="37"/>
      <c r="F1550" s="35" t="str">
        <f ca="1">IFERROR(IF(AND(INDEX(Tab_DaBa[],MATCH(CONCATENATE(Liste!$C$3,$B$1415,$B$1529),Data!$BO:$BO,0)-2,58)&lt;&gt;"",INDEX(Tab_DaBa[],MATCH(CONCATENATE(Liste!$C$3,$B$1415,$B$1529),Data!$BO:$BO,0)-2,63)=""),"Performance Level: "&amp;INDEX(Tab_DaBa[],MATCH(CONCATENATE(Liste!$C$3,$B$1415,$B$1529),Data!$BO:$BO,0)-2,15),IF(INDEX(Tab_DaBa[],MATCH(CONCATENATE(Liste!$C$3,$B$1415,$B$1529),Data!$BO:$BO,0)-2,58)&lt;&gt;"","Performance Level: "&amp;INDEX(Tab_DaBa[],MATCH(CONCATENATE(Liste!$C$3,$B$1415,$B$1529),Data!$BO:$BO,0)-2,65),"")),"")</f>
        <v/>
      </c>
      <c r="G1550" s="39"/>
      <c r="H1550" s="35" t="str">
        <f ca="1">IFERROR(IF(INDEX(Tab_DaBa[],MATCH(CONCATENATE(Liste!$C$3,$B$1415,$B$1529),Data!$BO:$BO,0)-2,63)&lt;&gt;"","Performance Level: "&amp;INDEX(Tab_DaBa[],MATCH(CONCATENATE(Liste!$C$3,$B$1415,$B$1529),Data!$BO:$BO,0)-2,15),""),"")</f>
        <v/>
      </c>
    </row>
    <row r="1551" spans="2:9" s="16" customFormat="1" ht="15.75">
      <c r="B1551" s="35" t="str">
        <f ca="1">IFERROR(IF(AND(INDEX(Tab_DaBa[],MATCH(CONCATENATE(Liste!$C$3,$B$1415,$B$1529),Data!$BO:$BO,0)-2,48)&lt;&gt;"",INDEX(Tab_DaBa[],MATCH(CONCATENATE(Liste!$C$3,$B$1415,$B$1529),Data!$BO:$BO,0)-2,53)=""),"PFH [1/h] = "&amp;10^9*INDEX(Tab_DaBa[],MATCH(CONCATENATE(Liste!$C$3,$B$1415,$B$1529),Data!$BO:$BO,0)-2,16)&amp;"E-9",IF(INDEX(Tab_DaBa[],MATCH(CONCATENATE(Liste!$C$3,$B$1415,$B$1529),Data!$BO:$BO,0)-2,48)&lt;&gt;"","PFH [1/h] = "&amp;10^9*INDEX(Tab_DaBa[],MATCH(CONCATENATE(Liste!$C$3,$B$1415,$B$1529),Data!$BO:$BO,0)-2,56)&amp;"E-9","")),"")</f>
        <v/>
      </c>
      <c r="C1551" s="39"/>
      <c r="D1551" s="35" t="str">
        <f ca="1">IFERROR(IF(AND(INDEX(Tab_DaBa[],MATCH(CONCATENATE(Liste!$C$3,$B$1415,$B$1529),Data!$BO:$BO,0)-2,53)&lt;&gt;"",INDEX(Tab_DaBa[],MATCH(CONCATENATE(Liste!$C$3,$B$1415,$B$1529),Data!$BO:$BO,0)-2,58)=""),"PFH [1/h] = "&amp;10^9*INDEX(Tab_DaBa[],MATCH(CONCATENATE(Liste!$C$3,$B$1415,$B$1529),Data!$BO:$BO,0)-2,16)&amp;"E-9",IF(INDEX(Tab_DaBa[],MATCH(CONCATENATE(Liste!$C$3,$B$1415,$B$1529),Data!$BO:$BO,0)-2,53)&lt;&gt;"","PFH [1/h] = "&amp;10^9*INDEX(Tab_DaBa[],MATCH(CONCATENATE(Liste!$C$3,$B$1415,$B$1529),Data!$BO:$BO,0)-2,61)&amp;"E-9","")),"")</f>
        <v/>
      </c>
      <c r="E1551" s="37"/>
      <c r="F1551" s="35" t="str">
        <f ca="1">IFERROR(IF(AND(INDEX(Tab_DaBa[],MATCH(CONCATENATE(Liste!$C$3,$B$1415,$B$1529),Data!$BO:$BO,0)-2,58)&lt;&gt;"",INDEX(Tab_DaBa[],MATCH(CONCATENATE(Liste!$C$3,$B$1415,$B$1529),Data!$BO:$BO,0)-2,63)=""),"PFH [1/h] = "&amp;10^9*INDEX(Tab_DaBa[],MATCH(CONCATENATE(Liste!$C$3,$B$1415,$B$1529),Data!$BO:$BO,0)-2,16)&amp;"E-9",IF(INDEX(Tab_DaBa[],MATCH(CONCATENATE(Liste!$C$3,$B$1415,$B$1529),Data!$BO:$BO,0)-2,58)&lt;&gt;"","PFH [1/h] = "&amp;10^9*INDEX(Tab_DaBa[],MATCH(CONCATENATE(Liste!$C$3,$B$1415,$B$1529),Data!$BO:$BO,0)-2,66)&amp;"E-9","")),"")</f>
        <v/>
      </c>
      <c r="G1551" s="39"/>
      <c r="H1551" s="35" t="str">
        <f ca="1">IFERROR(IF(INDEX(Tab_DaBa[],MATCH(CONCATENATE(Liste!$C$3,$B$1415,$B$1529),Data!$BO:$BO,0)-2,63)&lt;&gt;"","PFH [1/h] = "&amp;10^9*INDEX(Tab_DaBa[],MATCH(CONCATENATE(Liste!$C$3,$B$1415,$B$1529),Data!$BO:$BO,0)-2,16)&amp;"E-9",""),"")</f>
        <v/>
      </c>
    </row>
    <row r="1552" spans="2:9" s="16" customFormat="1"/>
    <row r="1553" spans="2:9" s="16" customFormat="1">
      <c r="B1553" s="43" t="str">
        <f ca="1">IF(D1553="","","Erforderlich")</f>
        <v>Erforderlich</v>
      </c>
      <c r="D1553" s="44" t="str">
        <f ca="1">IFERROR("Performance Level: "&amp;INDEX(Tab_DaBa[],MATCH(CONCATENATE(Liste!$C$3,$B$1415,$B$1529),Data!$BO:$BO,0)-2,4),"")</f>
        <v>Performance Level: PLr_ges4_5</v>
      </c>
    </row>
    <row r="1554" spans="2:9" s="16" customFormat="1">
      <c r="B1554" s="45"/>
    </row>
    <row r="1555" spans="2:9" s="16" customFormat="1">
      <c r="B1555" s="46" t="str">
        <f ca="1">IF(D1555="","","Erreicht")</f>
        <v>Erreicht</v>
      </c>
      <c r="D1555" s="47" t="str">
        <f ca="1">IFERROR("Performance Level: "&amp;INDEX(Tab_DaBa[],MATCH(CONCATENATE(Liste!$C$3,$B$1415,$B$1529),Data!$BO:$BO,0)-2,5)&amp;"          PFH [1/h] = "&amp;10^9*INDEX(Tab_DaBa[],MATCH(CONCATENATE(Liste!$C$3,$B$1415,$B$1529),Data!$BO:$BO,0)-2,6)&amp;"E-9","")</f>
        <v>Performance Level: Pl_ges4_5          PFH [1/h] = 71,7E-9</v>
      </c>
    </row>
    <row r="1556" spans="2:9" s="16" customFormat="1"/>
    <row r="1557" spans="2:9" s="16" customFormat="1">
      <c r="B1557" s="42" t="str">
        <f ca="1">IFERROR(IF(6&gt;COUNTIF(Data!$BP:$BP,CONCATENATE(Liste!$C$3,$B$1415)),"",INDEX(Tab_DaBa[],MATCH(CONCATENATE(Liste!$C$3,$B$1415),Data!$BP:$BP,0)+3,3)),"")</f>
        <v>6.6 Test4 (E+6L+A)</v>
      </c>
    </row>
    <row r="1558" spans="2:9" s="16" customFormat="1"/>
    <row r="1559" spans="2:9" s="16" customFormat="1" ht="15.75">
      <c r="B1559" s="35" t="str">
        <f ca="1">IFERROR(INDEX(Tab_DaBa[],MATCH(CONCATENATE(Liste!$C$3,$B$1415,$B$1557),Data!$BO:$BO,0)-2,9),"")</f>
        <v>Eingang</v>
      </c>
      <c r="C1559" s="54"/>
      <c r="D1559" s="35" t="str">
        <f ca="1">IFERROR(IF(INDEX(Tab_DaBa[],MATCH(CONCATENATE(Liste!$C$3,$B$1415,$B$1557),Data!$BO:$BO,0)-2,18)=0,INDEX(Tab_DaBa[],MATCH(CONCATENATE(Liste!$C$3,$B$1415,$B$1557),Data!$BO:$BO,0)-2,14),INDEX(Tab_DaBa[],MATCH(CONCATENATE(Liste!$C$3,$B$1415,$B$1557),Data!$BO:$BO,0)-2,19)),"")</f>
        <v>Logik 01</v>
      </c>
      <c r="E1559" s="33"/>
      <c r="F1559" s="35" t="str">
        <f ca="1">IFERROR(IF(AND(INDEX(Tab_DaBa[],MATCH(CONCATENATE(Liste!$C$3,$B$1415,$B$1557),Data!$BO:$BO,0)-2,18)&lt;&gt;"",INDEX(Tab_DaBa[],MATCH(CONCATENATE(Liste!$C$3,$B$1415,$B$1557),Data!$BO:$BO,0)-2,23)=0),INDEX(Tab_DaBa[],MATCH(CONCATENATE(Liste!$C$3,$B$1415,$B$1557),Data!$BO:$BO,0)-2,14),IF(INDEX(Tab_DaBa[],MATCH(CONCATENATE(Liste!$C$3,$B$1415,$B$1557),Data!$BO:$BO,0)-2,23)&lt;&gt;"",INDEX(Tab_DaBa[],MATCH(CONCATENATE(Liste!$C$3,$B$1415,$B$1557),Data!$BO:$BO,0)-2,24),"")),"")</f>
        <v>Logik 02</v>
      </c>
      <c r="G1559" s="39"/>
      <c r="H1559" s="35" t="str">
        <f ca="1">IFERROR(IF(AND(INDEX(Tab_DaBa[],MATCH(CONCATENATE(Liste!$C$3,$B$1415,$B$1557),Data!$BO:$BO,0)-2,23)&lt;&gt;"",INDEX(Tab_DaBa[],MATCH(CONCATENATE(Liste!$C$3,$B$1415,$B$1557),Data!$BO:$BO,0)-2,28)=0),INDEX(Tab_DaBa[],MATCH(CONCATENATE(Liste!$C$3,$B$1415,$B$1557),Data!$BO:$BO,0)-2,14),IF(INDEX(Tab_DaBa[],MATCH(CONCATENATE(Liste!$C$3,$B$1415,$B$1557),Data!$BO:$BO,0)-2,23)&lt;&gt;"",INDEX(Tab_DaBa[],MATCH(CONCATENATE(Liste!$C$3,$B$1415,$B$1557),Data!$BO:$BO,0)-2,29),"")),"")</f>
        <v>Logik 03</v>
      </c>
      <c r="I1559" s="39"/>
    </row>
    <row r="1560" spans="2:9" s="16" customFormat="1" ht="15.75">
      <c r="B1560" s="35" t="str">
        <f ca="1">IFERROR(INDEX(Tab_DaBa[],MATCH(CONCATENATE(Liste!$C$3,$B$1415,$B$1557),Data!$BO:$BO,0)-2,7),"")</f>
        <v>eeee-33_6</v>
      </c>
      <c r="C1560" s="54"/>
      <c r="D1560" s="35" t="str">
        <f ca="1">IFERROR(IF(INDEX(Tab_DaBa[],MATCH(CONCATENATE(Liste!$C$3,$B$1415,$B$1557),Data!$BO:$BO,0)-2,18)="",INDEX(Tab_DaBa[],MATCH(CONCATENATE(Liste!$C$3,$B$1415,$B$1557),Data!$BO:$BO,0)-2,12),INDEX(Tab_DaBa[],MATCH(CONCATENATE(Liste!$C$3,$B$1415,$B$1557),Data!$BO:$BO,0)-2,17)),"")</f>
        <v>Log01-04_06</v>
      </c>
      <c r="E1560" s="36"/>
      <c r="F1560" s="35" t="str">
        <f ca="1">IFERROR(IF(AND(INDEX(Tab_DaBa[],MATCH(CONCATENATE(Liste!$C$3,$B$1415,$B$1557),Data!$BO:$BO,0)-2,18)&lt;&gt;"",INDEX(Tab_DaBa[],MATCH(CONCATENATE(Liste!$C$3,$B$1415,$B$1557),Data!$BO:$BO,0)-2,23)=0),INDEX(Tab_DaBa[],MATCH(CONCATENATE(Liste!$C$3,$B$1415,$B$1557),Data!$BO:$BO,0)-2,12),IF(INDEX(Tab_DaBa[],MATCH(CONCATENATE(Liste!$C$3,$B$1415,$B$1557),Data!$BO:$BO,0)-2,23)&lt;&gt;"",INDEX(Tab_DaBa[],MATCH(CONCATENATE(Liste!$C$3,$B$1415,$B$1557),Data!$BO:$BO,0)-2,22),"")),"")</f>
        <v>Lo04-04_06</v>
      </c>
      <c r="G1560" s="39"/>
      <c r="H1560" s="35" t="str">
        <f ca="1">IFERROR(IF(AND(INDEX(Tab_DaBa[],MATCH(CONCATENATE(Liste!$C$3,$B$1415,$B$1557),Data!$BO:$BO,0)-2,23)&lt;&gt;"",INDEX(Tab_DaBa[],MATCH(CONCATENATE(Liste!$C$3,$B$1415,$B$1557),Data!$BO:$BO,0)-2,28)=0),INDEX(Tab_DaBa[],MATCH(CONCATENATE(Liste!$C$3,$B$1415,$B$1557),Data!$BO:$BO,0)-2,12),IF(INDEX(Tab_DaBa[],MATCH(CONCATENATE(Liste!$C$3,$B$1415,$B$1557),Data!$BO:$BO,0)-2,23)&lt;&gt;"",INDEX(Tab_DaBa[],MATCH(CONCATENATE(Liste!$C$3,$B$1415,$B$1557),Data!$BO:$BO,0)-2,27),"")),"")</f>
        <v>Lo04-44_06</v>
      </c>
      <c r="I1560" s="39"/>
    </row>
    <row r="1561" spans="2:9" s="16" customFormat="1" ht="15.75">
      <c r="B1561" s="35" t="str">
        <f ca="1">IFERROR(INDEX(Tab_DaBa[],MATCH(CONCATENATE(Liste!$C$3,$B$1415,$B$1557),Data!$BO:$BO,0)-2,8),"")</f>
        <v>Bez_Ein4_6</v>
      </c>
      <c r="C1561" s="40">
        <f ca="1">IF(D1559="","",4)</f>
        <v>4</v>
      </c>
      <c r="D1561" s="35" t="str">
        <f ca="1">IFERROR(IF(INDEX(Tab_DaBa[],MATCH(CONCATENATE(Liste!$C$3,$B$1415,$B$1557),Data!$BO:$BO,0)-2,18)="",INDEX(Tab_DaBa[],MATCH(CONCATENATE(Liste!$C$3,$B$1415,$B$1557),Data!$BO:$BO,0)-2,13),INDEX(Tab_DaBa[],MATCH(CONCATENATE(Liste!$C$3,$B$1415,$B$1557),Data!$BO:$BO,0)-2,18)),"")</f>
        <v>Bez_Log01_04_06</v>
      </c>
      <c r="E1561" s="40">
        <f ca="1">IF(F1559="","",4)</f>
        <v>4</v>
      </c>
      <c r="F1561" s="35" t="str">
        <f ca="1">IFERROR(IF(AND(INDEX(Tab_DaBa[],MATCH(CONCATENATE(Liste!$C$3,$B$1415,$B$1557),Data!$BO:$BO,0)-2,18)&lt;&gt;"",INDEX(Tab_DaBa[],MATCH(CONCATENATE(Liste!$C$3,$B$1415,$B$1557),Data!$BO:$BO,0)-2,23)=""),INDEX(Tab_DaBa[],MATCH(CONCATENATE(Liste!$C$3,$B$1415,$B$1557),Data!$BO:$BO,0)-2,13),IF(INDEX(Tab_DaBa[],MATCH(CONCATENATE(Liste!$C$3,$B$1415,$B$1557),Data!$BO:$BO,0)-2,23)&lt;&gt;"",INDEX(Tab_DaBa[],MATCH(CONCATENATE(Liste!$C$3,$B$1415,$B$1557),Data!$BO:$BO,0)-2,23),"")),"")</f>
        <v>Bez_Lo04_06</v>
      </c>
      <c r="G1561" s="38">
        <f ca="1">IF(H1559="","",4)</f>
        <v>4</v>
      </c>
      <c r="H1561" s="35" t="str">
        <f ca="1">IFERROR(IF(AND(INDEX(Tab_DaBa[],MATCH(CONCATENATE(Liste!$C$3,$B$1415,$B$1557),Data!$BO:$BO,0)-2,23)&lt;&gt;"",INDEX(Tab_DaBa[],MATCH(CONCATENATE(Liste!$C$3,$B$1415,$B$1557),Data!$BO:$BO,0)-2,28)=""),INDEX(Tab_DaBa[],MATCH(CONCATENATE(Liste!$C$3,$B$1415,$B$1557),Data!$BO:$BO,0)-2,13),IF(INDEX(Tab_DaBa[],MATCH(CONCATENATE(Liste!$C$3,$B$1415,$B$1557),Data!$BO:$BO,0)-2,23)&lt;&gt;"",INDEX(Tab_DaBa[],MATCH(CONCATENATE(Liste!$C$3,$B$1415,$B$1557),Data!$BO:$BO,0)-2,28),"")),"")</f>
        <v>Bez_Lo04_06</v>
      </c>
      <c r="I1561" s="38">
        <f ca="1">IF(B1567="","",6)</f>
        <v>6</v>
      </c>
    </row>
    <row r="1562" spans="2:9" s="16" customFormat="1" ht="15.75">
      <c r="B1562" s="35" t="str">
        <f ca="1">IFERROR("Performance Level: "&amp;INDEX(Tab_DaBa[],MATCH(CONCATENATE(Liste!$C$3,$B$1415,$B$1557),Data!$BO:$BO,0)-2,10),"")</f>
        <v>Performance Level: PL_Ein4_6</v>
      </c>
      <c r="C1562" s="54"/>
      <c r="D1562" s="35" t="str">
        <f ca="1">IFERROR(IF(INDEX(Tab_DaBa[],MATCH(CONCATENATE(Liste!$C$3,$B$1415,$B$1557),Data!$BO:$BO,0)-2,18)="","Performance Level: "&amp;INDEX(Tab_DaBa[],MATCH(CONCATENATE(Liste!$C$3,$B$1415,$B$1557),Data!$BO:$BO,0)-2,15),"Performance Level: "&amp;INDEX(Tab_DaBa[],MATCH(CONCATENATE(Liste!$C$3,$B$1415,$B$1557),Data!$BO:$BO,0)-2,20)),"")</f>
        <v>Performance Level: PL_Log01_04_06</v>
      </c>
      <c r="E1562" s="36"/>
      <c r="F1562" s="35" t="str">
        <f ca="1">IFERROR(IF(AND(INDEX(Tab_DaBa[],MATCH(CONCATENATE(Liste!$C$3,$B$1415,$B$1557),Data!$BO:$BO,0)-2,18)&lt;&gt;"",INDEX(Tab_DaBa[],MATCH(CONCATENATE(Liste!$C$3,$B$1415,$B$1557),Data!$BO:$BO,0)-2,23)=""),"Performance Level: "&amp;INDEX(Tab_DaBa[],MATCH(CONCATENATE(Liste!$C$3,$B$1415,$B$1557),Data!$BO:$BO,0)-2,15),IF(INDEX(Tab_DaBa[],MATCH(CONCATENATE(Liste!$C$3,$B$1415,$B$1557),Data!$BO:$BO,0)-2,23)&lt;&gt;"","Performance Level: "&amp;INDEX(Tab_DaBa[],MATCH(CONCATENATE(Liste!$C$3,$B$1415,$B$1557),Data!$BO:$BO,0)-2,25),"")),"")</f>
        <v>Performance Level: PL_Lo04_06</v>
      </c>
      <c r="G1562" s="39"/>
      <c r="H1562" s="35" t="str">
        <f ca="1">IFERROR(IF(AND(INDEX(Tab_DaBa[],MATCH(CONCATENATE(Liste!$C$3,$B$1415,$B$1557),Data!$BO:$BO,0)-2,23)&lt;&gt;"",INDEX(Tab_DaBa[],MATCH(CONCATENATE(Liste!$C$3,$B$1415,$B$1557),Data!$BO:$BO,0)-2,28)=""),"Performance Level: "&amp;INDEX(Tab_DaBa[],MATCH(CONCATENATE(Liste!$C$3,$B$1415,$B$1557),Data!$BO:$BO,0)-2,15),IF(INDEX(Tab_DaBa[],MATCH(CONCATENATE(Liste!$C$3,$B$1415,$B$1557),Data!$BO:$BO,0)-2,23)&lt;&gt;"","Performance Level: "&amp;INDEX(Tab_DaBa[],MATCH(CONCATENATE(Liste!$C$3,$B$1415,$B$1557),Data!$BO:$BO,0)-2,30),"")),"")</f>
        <v>Performance Level: PL_Lo04_06</v>
      </c>
      <c r="I1562" s="38"/>
    </row>
    <row r="1563" spans="2:9" s="16" customFormat="1" ht="15.75">
      <c r="B1563" s="53" t="str">
        <f ca="1">IFERROR("PFH [1/h] = "&amp;10^9*INDEX(Tab_DaBa[],MATCH(CONCATENATE(Liste!$C$3,$B$1415,$B$1557),Data!$BO:$BO,0)-2,11)&amp;"E-9","")</f>
        <v>PFH [1/h] = 42,9E-9</v>
      </c>
      <c r="C1563" s="54"/>
      <c r="D1563" s="35" t="str">
        <f ca="1">IFERROR(IF(INDEX(Tab_DaBa[],MATCH(CONCATENATE(Liste!$C$3,$B$1415,$B$1557),Data!$BO:$BO,0)-2,18)="","PFH [1/h] = "&amp;10^9*INDEX(Tab_DaBa[],MATCH(CONCATENATE(Liste!$C$3,$B$1415,$B$1557),Data!$BO:$BO,0)-2,16)&amp;"E-9","PFH [1/h] = "&amp;10^9*INDEX(Tab_DaBa[],MATCH(CONCATENATE(Liste!$C$3,$B$1415,$B$1557),Data!$BO:$BO,0)-2,21)&amp;"E-9"),"")</f>
        <v>PFH [1/h] = 4,19E-9</v>
      </c>
      <c r="E1563" s="36"/>
      <c r="F1563" s="35" t="str">
        <f ca="1">IFERROR(IF(AND(INDEX(Tab_DaBa[],MATCH(CONCATENATE(Liste!$C$3,$B$1415,$B$1557),Data!$BO:$BO,0)-2,18)&lt;&gt;"",INDEX(Tab_DaBa[],MATCH(CONCATENATE(Liste!$C$3,$B$1415,$B$1557),Data!$BO:$BO,0)-2,23)=""),"PFH [1/h] = "&amp;10^9*INDEX(Tab_DaBa[],MATCH(CONCATENATE(Liste!$C$3,$B$1415,$B$1557),Data!$BO:$BO,0)-2,16)&amp;"E-9",IF(INDEX(Tab_DaBa[],MATCH(CONCATENATE(Liste!$C$3,$B$1415,$B$1557),Data!$BO:$BO,0)-2,23)&lt;&gt;"","PFH [1/h] = "&amp;10^9*INDEX(Tab_DaBa[],MATCH(CONCATENATE(Liste!$C$3,$B$1415,$B$1557),Data!$BO:$BO,0)-2,26)&amp;"E-9","")),"")</f>
        <v>PFH [1/h] = 4,19E-9</v>
      </c>
      <c r="G1563" s="39"/>
      <c r="H1563" s="35" t="str">
        <f ca="1">IFERROR(IF(AND(INDEX(Tab_DaBa[],MATCH(CONCATENATE(Liste!$C$3,$B$1415,$B$1557),Data!$BO:$BO,0)-2,23)&lt;&gt;"",INDEX(Tab_DaBa[],MATCH(CONCATENATE(Liste!$C$3,$B$1415,$B$1557),Data!$BO:$BO,0)-2,28)=""),"PFH [1/h] = "&amp;10^9*INDEX(Tab_DaBa[],MATCH(CONCATENATE(Liste!$C$3,$B$1415,$B$1557),Data!$BO:$BO,0)-2,16)&amp;"E-9",IF(INDEX(Tab_DaBa[],MATCH(CONCATENATE(Liste!$C$3,$B$1415,$B$1557),Data!$BO:$BO,0)-2,23)&lt;&gt;"","PFH [1/h] = "&amp;10^9*INDEX(Tab_DaBa[],MATCH(CONCATENATE(Liste!$C$3,$B$1415,$B$1557),Data!$BO:$BO,0)-2,31)&amp;"E-9","")),"")</f>
        <v>PFH [1/h] = 4,19E-9</v>
      </c>
      <c r="I1563" s="39"/>
    </row>
    <row r="1564" spans="2:9" s="16" customFormat="1">
      <c r="B1564" s="33"/>
      <c r="C1564" s="34"/>
      <c r="D1564" s="33"/>
      <c r="E1564" s="33"/>
      <c r="F1564" s="33"/>
      <c r="G1564" s="33"/>
      <c r="H1564" s="33"/>
      <c r="I1564" s="33"/>
    </row>
    <row r="1565" spans="2:9" s="16" customFormat="1" ht="15.75">
      <c r="B1565" s="38">
        <f ca="1">IF(B1567="","",6)</f>
        <v>6</v>
      </c>
      <c r="C1565" s="34"/>
      <c r="D1565" s="38">
        <f ca="1">IF(B1567="","",3)</f>
        <v>3</v>
      </c>
      <c r="E1565" s="33"/>
      <c r="F1565" s="38">
        <f ca="1">IF(B1567="","",3)</f>
        <v>3</v>
      </c>
      <c r="G1565" s="33"/>
      <c r="H1565" s="38">
        <f ca="1">IF(B1567="","",3)</f>
        <v>3</v>
      </c>
      <c r="I1565" s="33"/>
    </row>
    <row r="1566" spans="2:9" s="16" customFormat="1" ht="15.75">
      <c r="B1566" s="39"/>
      <c r="C1566" s="33"/>
      <c r="D1566" s="33"/>
      <c r="E1566" s="33"/>
      <c r="F1566" s="33"/>
      <c r="G1566" s="33"/>
      <c r="H1566" s="33"/>
      <c r="I1566" s="33"/>
    </row>
    <row r="1567" spans="2:9" s="16" customFormat="1" ht="15.75">
      <c r="B1567" s="35" t="str">
        <f ca="1">IFERROR(IF(AND(INDEX(Tab_DaBa[],MATCH(CONCATENATE(Liste!$C$3,$B$1415,$B$1557),Data!$BO:$BO,0)-2,28)&lt;&gt;"",INDEX(Tab_DaBa[],MATCH(CONCATENATE(Liste!$C$3,$B$1415,$B$1557),Data!$BO:$BO,0)-2,33)=0),INDEX(Tab_DaBa[],MATCH(CONCATENATE(Liste!$C$3,$B$1415,$B$1557),Data!$BO:$BO,0)-2,14),IF(INDEX(Tab_DaBa[],MATCH(CONCATENATE(Liste!$C$3,$B$1415,$B$1557),Data!$BO:$BO,0)-2,28)&lt;&gt;"",INDEX(Tab_DaBa[],MATCH(CONCATENATE(Liste!$C$3,$B$1415,$B$1557),Data!$BO:$BO,0)-2,34),"")),"")</f>
        <v>Logik 04</v>
      </c>
      <c r="C1567" s="39"/>
      <c r="D1567" s="35" t="str">
        <f ca="1">IFERROR(IF(AND(INDEX(Tab_DaBa[],MATCH(CONCATENATE(Liste!$C$3,$B$1415,$B$1557),Data!$BO:$BO,0)-2,33)&lt;&gt;"",INDEX(Tab_DaBa[],MATCH(CONCATENATE(Liste!$C$3,$B$1415,$B$1557),Data!$BO:$BO,0)-2,38)=0),INDEX(Tab_DaBa[],MATCH(CONCATENATE(Liste!$C$3,$B$1415,$B$1557),Data!$BO:$BO,0)-2,14),IF(INDEX(Tab_DaBa[],MATCH(CONCATENATE(Liste!$C$3,$B$1415,$B$1557),Data!$BO:$BO,0)-2,33)&lt;&gt;"",INDEX(Tab_DaBa[],MATCH(CONCATENATE(Liste!$C$3,$B$1415,$B$1557),Data!$BO:$BO,0)-2,39),"")),"")</f>
        <v>Logik 05</v>
      </c>
      <c r="E1567" s="33"/>
      <c r="F1567" s="35" t="str">
        <f ca="1">IFERROR(IF(AND(INDEX(Tab_DaBa[],MATCH(CONCATENATE(Liste!$C$3,$B$1415,$B$1557),Data!$BO:$BO,0)-2,38)&lt;&gt;"",INDEX(Tab_DaBa[],MATCH(CONCATENATE(Liste!$C$3,$B$1415,$B$1557),Data!$BO:$BO,0)-2,43)=0),INDEX(Tab_DaBa[],MATCH(CONCATENATE(Liste!$C$3,$B$1415,$B$1557),Data!$BO:$BO,0)-2,14),IF(INDEX(Tab_DaBa[],MATCH(CONCATENATE(Liste!$C$3,$B$1415,$B$1557),Data!$BO:$BO,0)-2,38)&lt;&gt;"",INDEX(Tab_DaBa[],MATCH(CONCATENATE(Liste!$C$3,$B$1415,$B$1557),Data!$BO:$BO,0)-2,44),"")),"")</f>
        <v>Logik 06</v>
      </c>
      <c r="G1567" s="39"/>
      <c r="H1567" s="35" t="str">
        <f ca="1">IFERROR(IF(AND(INDEX(Tab_DaBa[],MATCH(CONCATENATE(Liste!$C$3,$B$1415,$B$1557),Data!$BO:$BO,0)-2,43)&lt;&gt;"",INDEX(Tab_DaBa[],MATCH(CONCATENATE(Liste!$C$3,$B$1415,$B$1557),Data!$BO:$BO,0)-2,48)=0),INDEX(Tab_DaBa[],MATCH(CONCATENATE(Liste!$C$3,$B$1415,$B$1557),Data!$BO:$BO,0)-2,14),IF(INDEX(Tab_DaBa[],MATCH(CONCATENATE(Liste!$C$3,$B$1415,$B$1557),Data!$BO:$BO,0)-2,43)&lt;&gt;"",INDEX(Tab_DaBa[],MATCH(CONCATENATE(Liste!$C$3,$B$1415,$B$1557),Data!$BO:$BO,0)-2,49),"")),"")</f>
        <v>Ausgang</v>
      </c>
      <c r="I1567" s="39"/>
    </row>
    <row r="1568" spans="2:9" s="16" customFormat="1" ht="15.75">
      <c r="B1568" s="35" t="str">
        <f ca="1">IFERROR(IF(AND(INDEX(Tab_DaBa[],MATCH(CONCATENATE(Liste!$C$3,$B$1415,$B$1557),Data!$BO:$BO,0)-2,28)&lt;&gt;"",INDEX(Tab_DaBa[],MATCH(CONCATENATE(Liste!$C$3,$B$1415,$B$1557),Data!$BO:$BO,0)-2,33)=0),INDEX(Tab_DaBa[],MATCH(CONCATENATE(Liste!$C$3,$B$1415,$B$1557),Data!$BO:$BO,0)-2,12),IF(INDEX(Tab_DaBa[],MATCH(CONCATENATE(Liste!$C$3,$B$1415,$B$1557),Data!$BO:$BO,0)-2,28)&lt;&gt;"",INDEX(Tab_DaBa[],MATCH(CONCATENATE(Liste!$C$3,$B$1415,$B$1557),Data!$BO:$BO,0)-2,32),"")),"")</f>
        <v>Lo04-44_06</v>
      </c>
      <c r="C1568" s="39"/>
      <c r="D1568" s="35" t="str">
        <f ca="1">IFERROR(IF(AND(INDEX(Tab_DaBa[],MATCH(CONCATENATE(Liste!$C$3,$B$1415,$B$1557),Data!$BO:$BO,0)-2,33)&lt;&gt;"",INDEX(Tab_DaBa[],MATCH(CONCATENATE(Liste!$C$3,$B$1415,$B$1557),Data!$BO:$BO,0)-2,38)=0),INDEX(Tab_DaBa[],MATCH(CONCATENATE(Liste!$C$3,$B$1415,$B$1557),Data!$BO:$BO,0)-2,12),IF(INDEX(Tab_DaBa[],MATCH(CONCATENATE(Liste!$C$3,$B$1415,$B$1557),Data!$BO:$BO,0)-2,33)&lt;&gt;"",INDEX(Tab_DaBa[],MATCH(CONCATENATE(Liste!$C$3,$B$1415,$B$1557),Data!$BO:$BO,0)-2,37),"")),"")</f>
        <v>Lo04-44_06</v>
      </c>
      <c r="E1568" s="37"/>
      <c r="F1568" s="35" t="str">
        <f ca="1">IFERROR(IF(AND(INDEX(Tab_DaBa[],MATCH(CONCATENATE(Liste!$C$3,$B$1415,$B$1557),Data!$BO:$BO,0)-2,38)&lt;&gt;"",INDEX(Tab_DaBa[],MATCH(CONCATENATE(Liste!$C$3,$B$1415,$B$1557),Data!$BO:$BO,0)-2,43)=0),INDEX(Tab_DaBa[],MATCH(CONCATENATE(Liste!$C$3,$B$1415,$B$1557),Data!$BO:$BO,0)-2,12),IF(INDEX(Tab_DaBa[],MATCH(CONCATENATE(Liste!$C$3,$B$1415,$B$1557),Data!$BO:$BO,0)-2,38)&lt;&gt;"",INDEX(Tab_DaBa[],MATCH(CONCATENATE(Liste!$C$3,$B$1415,$B$1557),Data!$BO:$BO,0)-2,42),"")),"")</f>
        <v>Lo03-33_06</v>
      </c>
      <c r="G1568" s="39"/>
      <c r="H1568" s="35" t="str">
        <f ca="1">IFERROR(IF(AND(INDEX(Tab_DaBa[],MATCH(CONCATENATE(Liste!$C$3,$B$1415,$B$1557),Data!$BO:$BO,0)-2,43)&lt;&gt;"",INDEX(Tab_DaBa[],MATCH(CONCATENATE(Liste!$C$3,$B$1415,$B$1557),Data!$BO:$BO,0)-2,48)=0),INDEX(Tab_DaBa[],MATCH(CONCATENATE(Liste!$C$3,$B$1415,$B$1557),Data!$BO:$BO,0)-2,12),IF(INDEX(Tab_DaBa[],MATCH(CONCATENATE(Liste!$C$3,$B$1415,$B$1557),Data!$BO:$BO,0)-2,43)&lt;&gt;"",INDEX(Tab_DaBa[],MATCH(CONCATENATE(Liste!$C$3,$B$1415,$B$1557),Data!$BO:$BO,0)-2,47),"")),"")</f>
        <v>aaaa-44_6</v>
      </c>
      <c r="I1568" s="39"/>
    </row>
    <row r="1569" spans="2:9" s="16" customFormat="1" ht="15.75">
      <c r="B1569" s="35" t="str">
        <f ca="1">IFERROR(IF(AND(INDEX(Tab_DaBa[],MATCH(CONCATENATE(Liste!$C$3,$B$1415,$B$1557),Data!$BO:$BO,0)-2,28)&lt;&gt;"",INDEX(Tab_DaBa[],MATCH(CONCATENATE(Liste!$C$3,$B$1415,$B$1557),Data!$BO:$BO,0)-2,33)=""),INDEX(Tab_DaBa[],MATCH(CONCATENATE(Liste!$C$3,$B$1415,$B$1557),Data!$BO:$BO,0)-2,13),IF(INDEX(Tab_DaBa[],MATCH(CONCATENATE(Liste!$C$3,$B$1415,$B$1557),Data!$BO:$BO,0)-2,28)&lt;&gt;"",INDEX(Tab_DaBa[],MATCH(CONCATENATE(Liste!$C$3,$B$1415,$B$1557),Data!$BO:$BO,0)-2,33),"")),"")</f>
        <v>Bez_Lo04_06</v>
      </c>
      <c r="C1569" s="38">
        <f ca="1">IF(D1567="","",4)</f>
        <v>4</v>
      </c>
      <c r="D1569" s="35" t="str">
        <f ca="1">IFERROR(IF(AND(INDEX(Tab_DaBa[],MATCH(CONCATENATE(Liste!$C$3,$B$1415,$B$1557),Data!$BO:$BO,0)-2,33)&lt;&gt;"",INDEX(Tab_DaBa[],MATCH(CONCATENATE(Liste!$C$3,$B$1415,$B$1557),Data!$BO:$BO,0)-2,38)=""),INDEX(Tab_DaBa[],MATCH(CONCATENATE(Liste!$C$3,$B$1415,$B$1557),Data!$BO:$BO,0)-2,13),IF(INDEX(Tab_DaBa[],MATCH(CONCATENATE(Liste!$C$3,$B$1415,$B$1557),Data!$BO:$BO,0)-2,33)&lt;&gt;"",INDEX(Tab_DaBa[],MATCH(CONCATENATE(Liste!$C$3,$B$1415,$B$1557),Data!$BO:$BO,0)-2,38),"")),"")</f>
        <v>Bez_Lo03_06</v>
      </c>
      <c r="E1569" s="38">
        <f ca="1">IF(F1567="","",4)</f>
        <v>4</v>
      </c>
      <c r="F1569" s="35" t="str">
        <f ca="1">IFERROR(IF(AND(INDEX(Tab_DaBa[],MATCH(CONCATENATE(Liste!$C$3,$B$1415,$B$1557),Data!$BO:$BO,0)-2,38)&lt;&gt;"",INDEX(Tab_DaBa[],MATCH(CONCATENATE(Liste!$C$3,$B$1415,$B$1557),Data!$BO:$BO,0)-2,43)=""),INDEX(Tab_DaBa[],MATCH(CONCATENATE(Liste!$C$3,$B$1415,$B$1557),Data!$BO:$BO,0)-2,13),IF(INDEX(Tab_DaBa[],MATCH(CONCATENATE(Liste!$C$3,$B$1415,$B$1557),Data!$BO:$BO,0)-2,38)&lt;&gt;"",INDEX(Tab_DaBa[],MATCH(CONCATENATE(Liste!$C$3,$B$1415,$B$1557),Data!$BO:$BO,0)-2,43),"")),"")</f>
        <v>Bez_Lo03_06</v>
      </c>
      <c r="G1569" s="38">
        <f ca="1">IF(H1567="","",4)</f>
        <v>4</v>
      </c>
      <c r="H1569" s="35" t="str">
        <f ca="1">IFERROR(IF(AND(INDEX(Tab_DaBa[],MATCH(CONCATENATE(Liste!$C$3,$B$1415,$B$1557),Data!$BO:$BO,0)-2,43)&lt;&gt;"",INDEX(Tab_DaBa[],MATCH(CONCATENATE(Liste!$C$3,$B$1415,$B$1557),Data!$BO:$BO,0)-2,48)=""),INDEX(Tab_DaBa[],MATCH(CONCATENATE(Liste!$C$3,$B$1415,$B$1557),Data!$BO:$BO,0)-2,13),IF(INDEX(Tab_DaBa[],MATCH(CONCATENATE(Liste!$C$3,$B$1415,$B$1557),Data!$BO:$BO,0)-2,43)&lt;&gt;"",INDEX(Tab_DaBa[],MATCH(CONCATENATE(Liste!$C$3,$B$1415,$B$1557),Data!$BO:$BO,0)-2,48),"")),"")</f>
        <v>Bez_Aus4_6</v>
      </c>
      <c r="I1569" s="38" t="str">
        <f ca="1">IF(B1575="","",6)</f>
        <v/>
      </c>
    </row>
    <row r="1570" spans="2:9" s="16" customFormat="1" ht="15.75">
      <c r="B1570" s="35" t="str">
        <f ca="1">IFERROR(IF(AND(INDEX(Tab_DaBa[],MATCH(CONCATENATE(Liste!$C$3,$B$1415,$B$1557),Data!$BO:$BO,0)-2,28)&lt;&gt;"",INDEX(Tab_DaBa[],MATCH(CONCATENATE(Liste!$C$3,$B$1415,$B$1557),Data!$BO:$BO,0)-2,33)=""),"Performance Level: "&amp;INDEX(Tab_DaBa[],MATCH(CONCATENATE(Liste!$C$3,$B$1415,$B$1557),Data!$BO:$BO,0)-2,15),IF(INDEX(Tab_DaBa[],MATCH(CONCATENATE(Liste!$C$3,$B$1415,$B$1557),Data!$BO:$BO,0)-2,28)&lt;&gt;"","Performance Level: "&amp;INDEX(Tab_DaBa[],MATCH(CONCATENATE(Liste!$C$3,$B$1415,$B$1557),Data!$BO:$BO,0)-2,35),"")),"")</f>
        <v>Performance Level: PL_Lo04_06</v>
      </c>
      <c r="C1570" s="39"/>
      <c r="D1570" s="35" t="str">
        <f ca="1">IFERROR(IF(AND(INDEX(Tab_DaBa[],MATCH(CONCATENATE(Liste!$C$3,$B$1415,$B$1557),Data!$BO:$BO,0)-2,33)&lt;&gt;"",INDEX(Tab_DaBa[],MATCH(CONCATENATE(Liste!$C$3,$B$1415,$B$1557),Data!$BO:$BO,0)-2,38)=""),"Performance Level: "&amp;INDEX(Tab_DaBa[],MATCH(CONCATENATE(Liste!$C$3,$B$1415,$B$1557),Data!$BO:$BO,0)-2,15),IF(INDEX(Tab_DaBa[],MATCH(CONCATENATE(Liste!$C$3,$B$1415,$B$1557),Data!$BO:$BO,0)-2,33)&lt;&gt;"","Performance Level: "&amp;INDEX(Tab_DaBa[],MATCH(CONCATENATE(Liste!$C$3,$B$1415,$B$1557),Data!$BO:$BO,0)-2,40),"")),"")</f>
        <v>Performance Level: PL_Lo03_6</v>
      </c>
      <c r="E1570" s="37"/>
      <c r="F1570" s="35" t="str">
        <f ca="1">IFERROR(IF(AND(INDEX(Tab_DaBa[],MATCH(CONCATENATE(Liste!$C$3,$B$1415,$B$1557),Data!$BO:$BO,0)-2,38)&lt;&gt;"",INDEX(Tab_DaBa[],MATCH(CONCATENATE(Liste!$C$3,$B$1415,$B$1557),Data!$BO:$BO,0)-2,43)=""),"Performance Level: "&amp;INDEX(Tab_DaBa[],MATCH(CONCATENATE(Liste!$C$3,$B$1415,$B$1557),Data!$BO:$BO,0)-2,15),IF(INDEX(Tab_DaBa[],MATCH(CONCATENATE(Liste!$C$3,$B$1415,$B$1557),Data!$BO:$BO,0)-2,38)&lt;&gt;"","Performance Level: "&amp;INDEX(Tab_DaBa[],MATCH(CONCATENATE(Liste!$C$3,$B$1415,$B$1557),Data!$BO:$BO,0)-2,45),"")),"")</f>
        <v>Performance Level: PL_Lo03_06</v>
      </c>
      <c r="G1570" s="39"/>
      <c r="H1570" s="35" t="str">
        <f ca="1">IFERROR(IF(AND(INDEX(Tab_DaBa[],MATCH(CONCATENATE(Liste!$C$3,$B$1415,$B$1557),Data!$BO:$BO,0)-2,43)&lt;&gt;"",INDEX(Tab_DaBa[],MATCH(CONCATENATE(Liste!$C$3,$B$1415,$B$1557),Data!$BO:$BO,0)-2,48)=""),"Performance Level: "&amp;INDEX(Tab_DaBa[],MATCH(CONCATENATE(Liste!$C$3,$B$1415,$B$1557),Data!$BO:$BO,0)-2,15),IF(INDEX(Tab_DaBa[],MATCH(CONCATENATE(Liste!$C$3,$B$1415,$B$1557),Data!$BO:$BO,0)-2,43)&lt;&gt;"","Performance Level: "&amp;INDEX(Tab_DaBa[],MATCH(CONCATENATE(Liste!$C$3,$B$1415,$B$1557),Data!$BO:$BO,0)-2,50),"")),"")</f>
        <v>Performance Level: PL_Aus4_6</v>
      </c>
      <c r="I1570" s="39"/>
    </row>
    <row r="1571" spans="2:9" s="16" customFormat="1" ht="15.75">
      <c r="B1571" s="35" t="str">
        <f ca="1">IFERROR(IF(AND(INDEX(Tab_DaBa[],MATCH(CONCATENATE(Liste!$C$3,$B$1415,$B$1557),Data!$BO:$BO,0)-2,28)&lt;&gt;"",INDEX(Tab_DaBa[],MATCH(CONCATENATE(Liste!$C$3,$B$1415,$B$1557),Data!$BO:$BO,0)-2,33)=""),"PFH [1/h] = "&amp;10^9*INDEX(Tab_DaBa[],MATCH(CONCATENATE(Liste!$C$3,$B$1415,$B$1557),Data!$BO:$BO,0)-2,16)&amp;"E-9",IF(INDEX(Tab_DaBa[],MATCH(CONCATENATE(Liste!$C$3,$B$1415,$B$1557),Data!$BO:$BO,0)-2,28)&lt;&gt;"","PFH [1/h] = "&amp;10^9*INDEX(Tab_DaBa[],MATCH(CONCATENATE(Liste!$C$3,$B$1415,$B$1557),Data!$BO:$BO,0)-2,36)&amp;"E-9","")),"")</f>
        <v>PFH [1/h] = 4,19E-9</v>
      </c>
      <c r="C1571" s="39"/>
      <c r="D1571" s="35" t="str">
        <f ca="1">IFERROR(IF(AND(INDEX(Tab_DaBa[],MATCH(CONCATENATE(Liste!$C$3,$B$1415,$B$1557),Data!$BO:$BO,0)-2,33)&lt;&gt;"",INDEX(Tab_DaBa[],MATCH(CONCATENATE(Liste!$C$3,$B$1415,$B$1557),Data!$BO:$BO,0)-2,38)=""),"PFH [1/h] = "&amp;10^9*INDEX(Tab_DaBa[],MATCH(CONCATENATE(Liste!$C$3,$B$1415,$B$1557),Data!$BO:$BO,0)-2,16)&amp;"E-9",IF(INDEX(Tab_DaBa[],MATCH(CONCATENATE(Liste!$C$3,$B$1415,$B$1557),Data!$BO:$BO,0)-2,33)&lt;&gt;"","PFH [1/h] = "&amp;10^9*INDEX(Tab_DaBa[],MATCH(CONCATENATE(Liste!$C$3,$B$1415,$B$1557),Data!$BO:$BO,0)-2,41)&amp;"E-9","")),"")</f>
        <v>PFH [1/h] = 4,19E-9</v>
      </c>
      <c r="E1571" s="37"/>
      <c r="F1571" s="35" t="str">
        <f ca="1">IFERROR(IF(AND(INDEX(Tab_DaBa[],MATCH(CONCATENATE(Liste!$C$3,$B$1415,$B$1557),Data!$BO:$BO,0)-2,38)&lt;&gt;"",INDEX(Tab_DaBa[],MATCH(CONCATENATE(Liste!$C$3,$B$1415,$B$1557),Data!$BO:$BO,0)-2,43)=""),"PFH [1/h] = "&amp;10^9*INDEX(Tab_DaBa[],MATCH(CONCATENATE(Liste!$C$3,$B$1415,$B$1557),Data!$BO:$BO,0)-2,16)&amp;"E-9",IF(INDEX(Tab_DaBa[],MATCH(CONCATENATE(Liste!$C$3,$B$1415,$B$1557),Data!$BO:$BO,0)-2,38)&lt;&gt;"","PFH [1/h] = "&amp;10^9*INDEX(Tab_DaBa[],MATCH(CONCATENATE(Liste!$C$3,$B$1415,$B$1557),Data!$BO:$BO,0)-2,46)&amp;"E-9","")),"")</f>
        <v>PFH [1/h] = 4,19E-9</v>
      </c>
      <c r="G1571" s="39"/>
      <c r="H1571" s="35" t="str">
        <f ca="1">IFERROR(IF(AND(INDEX(Tab_DaBa[],MATCH(CONCATENATE(Liste!$C$3,$B$1415,$B$1557),Data!$BO:$BO,0)-2,43)&lt;&gt;"",INDEX(Tab_DaBa[],MATCH(CONCATENATE(Liste!$C$3,$B$1415,$B$1557),Data!$BO:$BO,0)-2,48)=""),"PFH [1/h] = "&amp;10^9*INDEX(Tab_DaBa[],MATCH(CONCATENATE(Liste!$C$3,$B$1415,$B$1557),Data!$BO:$BO,0)-2,16)&amp;"E-9",IF(INDEX(Tab_DaBa[],MATCH(CONCATENATE(Liste!$C$3,$B$1415,$B$1557),Data!$BO:$BO,0)-2,43)&lt;&gt;"","PFH [1/h] = "&amp;10^9*INDEX(Tab_DaBa[],MATCH(CONCATENATE(Liste!$C$3,$B$1415,$B$1557),Data!$BO:$BO,0)-2,51)&amp;"E-9","")),"")</f>
        <v>PFH [1/h] = 24,7E-9</v>
      </c>
      <c r="I1571" s="39"/>
    </row>
    <row r="1572" spans="2:9" s="16" customFormat="1">
      <c r="B1572" s="33"/>
      <c r="C1572" s="33"/>
      <c r="D1572" s="33"/>
      <c r="E1572" s="33"/>
      <c r="F1572" s="33"/>
      <c r="G1572" s="33"/>
      <c r="H1572" s="33"/>
      <c r="I1572" s="33"/>
    </row>
    <row r="1573" spans="2:9" s="16" customFormat="1" ht="15.75">
      <c r="B1573" s="38" t="str">
        <f ca="1">IF(B1575="","",6)</f>
        <v/>
      </c>
      <c r="C1573" s="33"/>
      <c r="D1573" s="38" t="str">
        <f ca="1">IF(B1575="","",3)</f>
        <v/>
      </c>
      <c r="E1573" s="33"/>
      <c r="F1573" s="38" t="str">
        <f ca="1">IF(B1575="","",3)</f>
        <v/>
      </c>
      <c r="G1573" s="33"/>
      <c r="H1573" s="38" t="str">
        <f ca="1">IF(B1575="","",3)</f>
        <v/>
      </c>
      <c r="I1573" s="33"/>
    </row>
    <row r="1574" spans="2:9" s="16" customFormat="1" ht="15.75">
      <c r="B1574" s="39"/>
      <c r="C1574" s="33"/>
      <c r="D1574" s="33"/>
      <c r="E1574" s="33"/>
      <c r="F1574" s="33"/>
      <c r="G1574" s="33"/>
      <c r="H1574" s="33"/>
      <c r="I1574" s="33"/>
    </row>
    <row r="1575" spans="2:9" s="16" customFormat="1" ht="15.75">
      <c r="B1575" s="35" t="str">
        <f ca="1">IFERROR(IF(AND(INDEX(Tab_DaBa[],MATCH(CONCATENATE(Liste!$C$3,$B$1415,$B$1557),Data!$BO:$BO,0)-2,48)&lt;&gt;"",INDEX(Tab_DaBa[],MATCH(CONCATENATE(Liste!$C$3,$B$1415,$B$1557),Data!$BO:$BO,0)-2,53)=0),INDEX(Tab_DaBa[],MATCH(CONCATENATE(Liste!$C$3,$B$1415,$B$1557),Data!$BO:$BO,0)-2,14),IF(INDEX(Tab_DaBa[],MATCH(CONCATENATE(Liste!$C$3,$B$1415,$B$1557),Data!$BO:$BO,0)-2,48)&lt;&gt;"",INDEX(Tab_DaBa[],MATCH(CONCATENATE(Liste!$C$3,$B$1415,$B$1557),Data!$BO:$BO,0)-2,54),"")),"")</f>
        <v/>
      </c>
      <c r="C1575" s="39"/>
      <c r="D1575" s="35" t="str">
        <f ca="1">IFERROR(IF(AND(INDEX(Tab_DaBa[],MATCH(CONCATENATE(Liste!$C$3,$B$1415,$B$1557),Data!$BO:$BO,0)-2,53)&lt;&gt;"",INDEX(Tab_DaBa[],MATCH(CONCATENATE(Liste!$C$3,$B$1415,$B$1557),Data!$BO:$BO,0)-2,58)=0),INDEX(Tab_DaBa[],MATCH(CONCATENATE(Liste!$C$3,$B$1415,$B$1557),Data!$BO:$BO,0)-2,14),IF(INDEX(Tab_DaBa[],MATCH(CONCATENATE(Liste!$C$3,$B$1415,$B$1557),Data!$BO:$BO,0)-2,53)&lt;&gt;"",INDEX(Tab_DaBa[],MATCH(CONCATENATE(Liste!$C$3,$B$1415,$B$1557),Data!$BO:$BO,0)-2,59),"")),"")</f>
        <v/>
      </c>
      <c r="E1575" s="33"/>
      <c r="F1575" s="35" t="str">
        <f ca="1">IFERROR(IF(AND(INDEX(Tab_DaBa[],MATCH(CONCATENATE(Liste!$C$3,$B$1415,$B$1557),Data!$BO:$BO,0)-2,58)&lt;&gt;"",INDEX(Tab_DaBa[],MATCH(CONCATENATE(Liste!$C$3,$B$1415,$B$1557),Data!$BO:$BO,0)-2,63)=0),INDEX(Tab_DaBa[],MATCH(CONCATENATE(Liste!$C$3,$B$1415,$B$1557),Data!$BO:$BO,0)-2,14),IF(INDEX(Tab_DaBa[],MATCH(CONCATENATE(Liste!$C$3,$B$1415,$B$1557),Data!$BO:$BO,0)-2,58)&lt;&gt;"",INDEX(Tab_DaBa[],MATCH(CONCATENATE(Liste!$C$3,$B$1415,$B$1557),Data!$BO:$BO,0)-2,64),"")),"")</f>
        <v/>
      </c>
      <c r="G1575" s="39"/>
      <c r="H1575" s="35" t="str">
        <f ca="1">IFERROR(IF(INDEX(Tab_DaBa[],MATCH(CONCATENATE(Liste!$C$3,$B$1415,$B$1557),Data!$BO:$BO,0)-2,63)&lt;&gt;"",INDEX(Tab_DaBa[],MATCH(CONCATENATE(Liste!$C$3,$B$1415,$B$1557),Data!$BO:$BO,0)-2,14),""),"")</f>
        <v/>
      </c>
    </row>
    <row r="1576" spans="2:9" s="16" customFormat="1" ht="15.75">
      <c r="B1576" s="35" t="str">
        <f ca="1">IFERROR(IF(AND(INDEX(Tab_DaBa[],MATCH(CONCATENATE(Liste!$C$3,$B$1415,$B$1557),Data!$BO:$BO,0)-2,48)&lt;&gt;"",INDEX(Tab_DaBa[],MATCH(CONCATENATE(Liste!$C$3,$B$1415,$B$1557),Data!$BO:$BO,0)-2,53)=0),INDEX(Tab_DaBa[],MATCH(CONCATENATE(Liste!$C$3,$B$1415,$B$1557),Data!$BO:$BO,0)-2,12),IF(INDEX(Tab_DaBa[],MATCH(CONCATENATE(Liste!$C$3,$B$1415,$B$1557),Data!$BO:$BO,0)-2,48)&lt;&gt;"",INDEX(Tab_DaBa[],MATCH(CONCATENATE(Liste!$C$3,$B$1415,$B$1557),Data!$BO:$BO,0)-2,52),"")),"")</f>
        <v/>
      </c>
      <c r="C1576" s="39"/>
      <c r="D1576" s="35" t="str">
        <f ca="1">IFERROR(IF(AND(INDEX(Tab_DaBa[],MATCH(CONCATENATE(Liste!$C$3,$B$1415,$B$1557),Data!$BO:$BO,0)-2,53)&lt;&gt;"",INDEX(Tab_DaBa[],MATCH(CONCATENATE(Liste!$C$3,$B$1415,$B$1557),Data!$BO:$BO,0)-2,58)=0),INDEX(Tab_DaBa[],MATCH(CONCATENATE(Liste!$C$3,$B$1415,$B$1557),Data!$BO:$BO,0)-2,12),IF(INDEX(Tab_DaBa[],MATCH(CONCATENATE(Liste!$C$3,$B$1415,$B$1557),Data!$BO:$BO,0)-2,53)&lt;&gt;"",INDEX(Tab_DaBa[],MATCH(CONCATENATE(Liste!$C$3,$B$1415,$B$1557),Data!$BO:$BO,0)-2,57),"")),"")</f>
        <v/>
      </c>
      <c r="E1576" s="37"/>
      <c r="F1576" s="35" t="str">
        <f ca="1">IFERROR(IF(AND(INDEX(Tab_DaBa[],MATCH(CONCATENATE(Liste!$C$3,$B$1415,$B$1557),Data!$BO:$BO,0)-2,58)&lt;&gt;"",INDEX(Tab_DaBa[],MATCH(CONCATENATE(Liste!$C$3,$B$1415,$B$1557),Data!$BO:$BO,0)-2,63)=0),INDEX(Tab_DaBa[],MATCH(CONCATENATE(Liste!$C$3,$B$1415,$B$1557),Data!$BO:$BO,0)-2,12),IF(INDEX(Tab_DaBa[],MATCH(CONCATENATE(Liste!$C$3,$B$1415,$B$1557),Data!$BO:$BO,0)-2,58)&lt;&gt;"",INDEX(Tab_DaBa[],MATCH(CONCATENATE(Liste!$C$3,$B$1415,$B$1557),Data!$BO:$BO,0)-2,62),"")),"")</f>
        <v/>
      </c>
      <c r="G1576" s="39"/>
      <c r="H1576" s="35" t="str">
        <f ca="1">IFERROR(IF(INDEX(Tab_DaBa[],MATCH(CONCATENATE(Liste!$C$3,$B$1415,$B$1557),Data!$BO:$BO,0)-2,63)&lt;&gt;"",INDEX(Tab_DaBa[],MATCH(CONCATENATE(Liste!$C$3,$B$1415,$B$1557),Data!$BO:$BO,0)-2,12),""),"")</f>
        <v/>
      </c>
    </row>
    <row r="1577" spans="2:9" s="16" customFormat="1" ht="15.75">
      <c r="B1577" s="35" t="str">
        <f ca="1">IFERROR(IF(AND(INDEX(Tab_DaBa[],MATCH(CONCATENATE(Liste!$C$3,$B$1415,$B$1557),Data!$BO:$BO,0)-2,48)&lt;&gt;"",INDEX(Tab_DaBa[],MATCH(CONCATENATE(Liste!$C$3,$B$1415,$B$1557),Data!$BO:$BO,0)-2,53)=""),INDEX(Tab_DaBa[],MATCH(CONCATENATE(Liste!$C$3,$B$1415,$B$1557),Data!$BO:$BO,0)-2,13),IF(INDEX(Tab_DaBa[],MATCH(CONCATENATE(Liste!$C$3,$B$1415,$B$1557),Data!$BO:$BO,0)-2,48)&lt;&gt;"",INDEX(Tab_DaBa[],MATCH(CONCATENATE(Liste!$C$3,$B$1415,$B$1557),Data!$BO:$BO,0)-2,53),"")),"")</f>
        <v/>
      </c>
      <c r="C1577" s="38" t="str">
        <f ca="1">IF(D1575="","",4)</f>
        <v/>
      </c>
      <c r="D1577" s="35" t="str">
        <f ca="1">IFERROR(IF(AND(INDEX(Tab_DaBa[],MATCH(CONCATENATE(Liste!$C$3,$B$1415,$B$1557),Data!$BO:$BO,0)-2,53)&lt;&gt;"",INDEX(Tab_DaBa[],MATCH(CONCATENATE(Liste!$C$3,$B$1415,$B$1557),Data!$BO:$BO,0)-2,58)=""),INDEX(Tab_DaBa[],MATCH(CONCATENATE(Liste!$C$3,$B$1415,$B$1557),Data!$BO:$BO,0)-2,13),IF(INDEX(Tab_DaBa[],MATCH(CONCATENATE(Liste!$C$3,$B$1415,$B$1557),Data!$BO:$BO,0)-2,53)&lt;&gt;"",INDEX(Tab_DaBa[],MATCH(CONCATENATE(Liste!$C$3,$B$1415,$B$1557),Data!$BO:$BO,0)-2,58),"")),"")</f>
        <v/>
      </c>
      <c r="E1577" s="38" t="str">
        <f ca="1">IF(F1575="","",4)</f>
        <v/>
      </c>
      <c r="F1577" s="35" t="str">
        <f ca="1">IFERROR(IF(AND(INDEX(Tab_DaBa[],MATCH(CONCATENATE(Liste!$C$3,$B$1415,$B$1557),Data!$BO:$BO,0)-2,58)&lt;&gt;"",INDEX(Tab_DaBa[],MATCH(CONCATENATE(Liste!$C$3,$B$1415,$B$1557),Data!$BO:$BO,0)-2,63)=""),INDEX(Tab_DaBa[],MATCH(CONCATENATE(Liste!$C$3,$B$1415,$B$1557),Data!$BO:$BO,0)-2,13),IF(INDEX(Tab_DaBa[],MATCH(CONCATENATE(Liste!$C$3,$B$1415,$B$1557),Data!$BO:$BO,0)-2,58)&lt;&gt;"",INDEX(Tab_DaBa[],MATCH(CONCATENATE(Liste!$C$3,$B$1415,$B$1557),Data!$BO:$BO,0)-2,63),"")),"")</f>
        <v/>
      </c>
      <c r="G1577" s="38" t="str">
        <f ca="1">IF(H1575="","",4)</f>
        <v/>
      </c>
      <c r="H1577" s="35" t="str">
        <f ca="1">IFERROR(IF(INDEX(Tab_DaBa[],MATCH(CONCATENATE(Liste!$C$3,$B$1415,$B$1557),Data!$BO:$BO,0)-2,63)&lt;&gt;"",INDEX(Tab_DaBa[],MATCH(CONCATENATE(Liste!$C$3,$B$1415,$B$1557),Data!$BO:$BO,0)-2,13),""),"")</f>
        <v/>
      </c>
    </row>
    <row r="1578" spans="2:9" s="16" customFormat="1" ht="15.75">
      <c r="B1578" s="35" t="str">
        <f ca="1">IFERROR(IF(AND(INDEX(Tab_DaBa[],MATCH(CONCATENATE(Liste!$C$3,$B$1415,$B$1557),Data!$BO:$BO,0)-2,48)&lt;&gt;"",INDEX(Tab_DaBa[],MATCH(CONCATENATE(Liste!$C$3,$B$1415,$B$1557),Data!$BO:$BO,0)-2,53)=""),"Performance Level: "&amp;INDEX(Tab_DaBa[],MATCH(CONCATENATE(Liste!$C$3,$B$1415,$B$1557),Data!$BO:$BO,0)-2,15),IF(INDEX(Tab_DaBa[],MATCH(CONCATENATE(Liste!$C$3,$B$1415,$B$1557),Data!$BO:$BO,0)-2,48)&lt;&gt;"","Performance Level: "&amp;INDEX(Tab_DaBa[],MATCH(CONCATENATE(Liste!$C$3,$B$1415,$B$1557),Data!$BO:$BO,0)-2,55),"")),"")</f>
        <v/>
      </c>
      <c r="C1578" s="39"/>
      <c r="D1578" s="35" t="str">
        <f ca="1">IFERROR(IF(AND(INDEX(Tab_DaBa[],MATCH(CONCATENATE(Liste!$C$3,$B$1415,$B$1557),Data!$BO:$BO,0)-2,53)&lt;&gt;"",INDEX(Tab_DaBa[],MATCH(CONCATENATE(Liste!$C$3,$B$1415,$B$1557),Data!$BO:$BO,0)-2,58)=""),"Performance Level: "&amp;INDEX(Tab_DaBa[],MATCH(CONCATENATE(Liste!$C$3,$B$1415,$B$1557),Data!$BO:$BO,0)-2,15),IF(INDEX(Tab_DaBa[],MATCH(CONCATENATE(Liste!$C$3,$B$1415,$B$1557),Data!$BO:$BO,0)-2,53)&lt;&gt;"","Performance Level: "&amp;INDEX(Tab_DaBa[],MATCH(CONCATENATE(Liste!$C$3,$B$1415,$B$1557),Data!$BO:$BO,0)-2,60),"")),"")</f>
        <v/>
      </c>
      <c r="E1578" s="37"/>
      <c r="F1578" s="35" t="str">
        <f ca="1">IFERROR(IF(AND(INDEX(Tab_DaBa[],MATCH(CONCATENATE(Liste!$C$3,$B$1415,$B$1557),Data!$BO:$BO,0)-2,58)&lt;&gt;"",INDEX(Tab_DaBa[],MATCH(CONCATENATE(Liste!$C$3,$B$1415,$B$1557),Data!$BO:$BO,0)-2,63)=""),"Performance Level: "&amp;INDEX(Tab_DaBa[],MATCH(CONCATENATE(Liste!$C$3,$B$1415,$B$1557),Data!$BO:$BO,0)-2,15),IF(INDEX(Tab_DaBa[],MATCH(CONCATENATE(Liste!$C$3,$B$1415,$B$1557),Data!$BO:$BO,0)-2,58)&lt;&gt;"","Performance Level: "&amp;INDEX(Tab_DaBa[],MATCH(CONCATENATE(Liste!$C$3,$B$1415,$B$1557),Data!$BO:$BO,0)-2,65),"")),"")</f>
        <v/>
      </c>
      <c r="G1578" s="39"/>
      <c r="H1578" s="35" t="str">
        <f ca="1">IFERROR(IF(INDEX(Tab_DaBa[],MATCH(CONCATENATE(Liste!$C$3,$B$1415,$B$1557),Data!$BO:$BO,0)-2,63)&lt;&gt;"","Performance Level: "&amp;INDEX(Tab_DaBa[],MATCH(CONCATENATE(Liste!$C$3,$B$1415,$B$1557),Data!$BO:$BO,0)-2,15),""),"")</f>
        <v/>
      </c>
    </row>
    <row r="1579" spans="2:9" s="16" customFormat="1" ht="15.75">
      <c r="B1579" s="35" t="str">
        <f ca="1">IFERROR(IF(AND(INDEX(Tab_DaBa[],MATCH(CONCATENATE(Liste!$C$3,$B$1415,$B$1557),Data!$BO:$BO,0)-2,48)&lt;&gt;"",INDEX(Tab_DaBa[],MATCH(CONCATENATE(Liste!$C$3,$B$1415,$B$1557),Data!$BO:$BO,0)-2,53)=""),"PFH [1/h] = "&amp;10^9*INDEX(Tab_DaBa[],MATCH(CONCATENATE(Liste!$C$3,$B$1415,$B$1557),Data!$BO:$BO,0)-2,16)&amp;"E-9",IF(INDEX(Tab_DaBa[],MATCH(CONCATENATE(Liste!$C$3,$B$1415,$B$1557),Data!$BO:$BO,0)-2,48)&lt;&gt;"","PFH [1/h] = "&amp;10^9*INDEX(Tab_DaBa[],MATCH(CONCATENATE(Liste!$C$3,$B$1415,$B$1557),Data!$BO:$BO,0)-2,56)&amp;"E-9","")),"")</f>
        <v/>
      </c>
      <c r="C1579" s="39"/>
      <c r="D1579" s="35" t="str">
        <f ca="1">IFERROR(IF(AND(INDEX(Tab_DaBa[],MATCH(CONCATENATE(Liste!$C$3,$B$1415,$B$1557),Data!$BO:$BO,0)-2,53)&lt;&gt;"",INDEX(Tab_DaBa[],MATCH(CONCATENATE(Liste!$C$3,$B$1415,$B$1557),Data!$BO:$BO,0)-2,58)=""),"PFH [1/h] = "&amp;10^9*INDEX(Tab_DaBa[],MATCH(CONCATENATE(Liste!$C$3,$B$1415,$B$1557),Data!$BO:$BO,0)-2,16)&amp;"E-9",IF(INDEX(Tab_DaBa[],MATCH(CONCATENATE(Liste!$C$3,$B$1415,$B$1557),Data!$BO:$BO,0)-2,53)&lt;&gt;"","PFH [1/h] = "&amp;10^9*INDEX(Tab_DaBa[],MATCH(CONCATENATE(Liste!$C$3,$B$1415,$B$1557),Data!$BO:$BO,0)-2,61)&amp;"E-9","")),"")</f>
        <v/>
      </c>
      <c r="E1579" s="37"/>
      <c r="F1579" s="35" t="str">
        <f ca="1">IFERROR(IF(AND(INDEX(Tab_DaBa[],MATCH(CONCATENATE(Liste!$C$3,$B$1415,$B$1557),Data!$BO:$BO,0)-2,58)&lt;&gt;"",INDEX(Tab_DaBa[],MATCH(CONCATENATE(Liste!$C$3,$B$1415,$B$1557),Data!$BO:$BO,0)-2,63)=""),"PFH [1/h] = "&amp;10^9*INDEX(Tab_DaBa[],MATCH(CONCATENATE(Liste!$C$3,$B$1415,$B$1557),Data!$BO:$BO,0)-2,16)&amp;"E-9",IF(INDEX(Tab_DaBa[],MATCH(CONCATENATE(Liste!$C$3,$B$1415,$B$1557),Data!$BO:$BO,0)-2,58)&lt;&gt;"","PFH [1/h] = "&amp;10^9*INDEX(Tab_DaBa[],MATCH(CONCATENATE(Liste!$C$3,$B$1415,$B$1557),Data!$BO:$BO,0)-2,66)&amp;"E-9","")),"")</f>
        <v/>
      </c>
      <c r="G1579" s="39"/>
      <c r="H1579" s="35" t="str">
        <f ca="1">IFERROR(IF(INDEX(Tab_DaBa[],MATCH(CONCATENATE(Liste!$C$3,$B$1415,$B$1557),Data!$BO:$BO,0)-2,63)&lt;&gt;"","PFH [1/h] = "&amp;10^9*INDEX(Tab_DaBa[],MATCH(CONCATENATE(Liste!$C$3,$B$1415,$B$1557),Data!$BO:$BO,0)-2,16)&amp;"E-9",""),"")</f>
        <v/>
      </c>
    </row>
    <row r="1580" spans="2:9" s="16" customFormat="1"/>
    <row r="1581" spans="2:9" s="16" customFormat="1">
      <c r="B1581" s="43" t="str">
        <f ca="1">IF(D1581="","","Erforderlich")</f>
        <v>Erforderlich</v>
      </c>
      <c r="D1581" s="44" t="str">
        <f ca="1">IFERROR("Performance Level: "&amp;INDEX(Tab_DaBa[],MATCH(CONCATENATE(Liste!$C$3,$B$1415,$B$1557),Data!$BO:$BO,0)-2,4),"")</f>
        <v>Performance Level: PLr_ges4_6</v>
      </c>
    </row>
    <row r="1582" spans="2:9" s="16" customFormat="1">
      <c r="B1582" s="45"/>
    </row>
    <row r="1583" spans="2:9" s="16" customFormat="1">
      <c r="B1583" s="46" t="str">
        <f ca="1">IF(D1583="","","Erreicht")</f>
        <v>Erreicht</v>
      </c>
      <c r="D1583" s="47" t="str">
        <f ca="1">IFERROR("Performance Level: "&amp;INDEX(Tab_DaBa[],MATCH(CONCATENATE(Liste!$C$3,$B$1415,$B$1557),Data!$BO:$BO,0)-2,5)&amp;"          PFH [1/h] = "&amp;10^9*INDEX(Tab_DaBa[],MATCH(CONCATENATE(Liste!$C$3,$B$1415,$B$1557),Data!$BO:$BO,0)-2,6)&amp;"E-9","")</f>
        <v>Performance Level: Pl_ges4_6          PFH [1/h] = 71,7E-9</v>
      </c>
    </row>
    <row r="1584" spans="2:9" s="16" customFormat="1"/>
    <row r="1585" spans="2:9" s="16" customFormat="1">
      <c r="B1585" s="42" t="str">
        <f ca="1">IFERROR(IF(7&gt;COUNTIF(Data!$BP:$BP,CONCATENATE(Liste!$C$3,$B$1415)),"",INDEX(Tab_DaBa[],MATCH(CONCATENATE(Liste!$C$3,$B$1415),Data!$BP:$BP,0)+4,3)),"")</f>
        <v>6.7 Test4 (E+7L+A)</v>
      </c>
    </row>
    <row r="1586" spans="2:9" s="16" customFormat="1"/>
    <row r="1587" spans="2:9" s="16" customFormat="1" ht="15.75">
      <c r="B1587" s="35" t="str">
        <f ca="1">IFERROR(INDEX(Tab_DaBa[],MATCH(CONCATENATE(Liste!$C$3,$B$1415,$B$1585),Data!$BO:$BO,0)-2,9),"")</f>
        <v>Eingang</v>
      </c>
      <c r="C1587" s="54"/>
      <c r="D1587" s="35" t="str">
        <f ca="1">IFERROR(IF(INDEX(Tab_DaBa[],MATCH(CONCATENATE(Liste!$C$3,$B$1415,$B$1585),Data!$BO:$BO,0)-2,18)=0,INDEX(Tab_DaBa[],MATCH(CONCATENATE(Liste!$C$3,$B$1415,$B$1585),Data!$BO:$BO,0)-2,14),INDEX(Tab_DaBa[],MATCH(CONCATENATE(Liste!$C$3,$B$1415,$B$1585),Data!$BO:$BO,0)-2,19)),"")</f>
        <v>Logik 01</v>
      </c>
      <c r="E1587" s="33"/>
      <c r="F1587" s="35" t="str">
        <f ca="1">IFERROR(IF(AND(INDEX(Tab_DaBa[],MATCH(CONCATENATE(Liste!$C$3,$B$1415,$B$1585),Data!$BO:$BO,0)-2,18)&lt;&gt;"",INDEX(Tab_DaBa[],MATCH(CONCATENATE(Liste!$C$3,$B$1415,$B$1585),Data!$BO:$BO,0)-2,23)=0),INDEX(Tab_DaBa[],MATCH(CONCATENATE(Liste!$C$3,$B$1415,$B$1585),Data!$BO:$BO,0)-2,14),IF(INDEX(Tab_DaBa[],MATCH(CONCATENATE(Liste!$C$3,$B$1415,$B$1585),Data!$BO:$BO,0)-2,23)&lt;&gt;"",INDEX(Tab_DaBa[],MATCH(CONCATENATE(Liste!$C$3,$B$1415,$B$1585),Data!$BO:$BO,0)-2,24),"")),"")</f>
        <v>Logik 02</v>
      </c>
      <c r="G1587" s="39"/>
      <c r="H1587" s="35" t="str">
        <f ca="1">IFERROR(IF(AND(INDEX(Tab_DaBa[],MATCH(CONCATENATE(Liste!$C$3,$B$1415,$B$1585),Data!$BO:$BO,0)-2,23)&lt;&gt;"",INDEX(Tab_DaBa[],MATCH(CONCATENATE(Liste!$C$3,$B$1415,$B$1585),Data!$BO:$BO,0)-2,28)=0),INDEX(Tab_DaBa[],MATCH(CONCATENATE(Liste!$C$3,$B$1415,$B$1585),Data!$BO:$BO,0)-2,14),IF(INDEX(Tab_DaBa[],MATCH(CONCATENATE(Liste!$C$3,$B$1415,$B$1585),Data!$BO:$BO,0)-2,23)&lt;&gt;"",INDEX(Tab_DaBa[],MATCH(CONCATENATE(Liste!$C$3,$B$1415,$B$1585),Data!$BO:$BO,0)-2,29),"")),"")</f>
        <v>Logik 03</v>
      </c>
      <c r="I1587" s="39"/>
    </row>
    <row r="1588" spans="2:9" s="16" customFormat="1" ht="15.75">
      <c r="B1588" s="35" t="str">
        <f ca="1">IFERROR(INDEX(Tab_DaBa[],MATCH(CONCATENATE(Liste!$C$3,$B$1415,$B$1585),Data!$BO:$BO,0)-2,7),"")</f>
        <v>eeee-33_7</v>
      </c>
      <c r="C1588" s="54"/>
      <c r="D1588" s="35" t="str">
        <f ca="1">IFERROR(IF(INDEX(Tab_DaBa[],MATCH(CONCATENATE(Liste!$C$3,$B$1415,$B$1585),Data!$BO:$BO,0)-2,18)="",INDEX(Tab_DaBa[],MATCH(CONCATENATE(Liste!$C$3,$B$1415,$B$1585),Data!$BO:$BO,0)-2,12),INDEX(Tab_DaBa[],MATCH(CONCATENATE(Liste!$C$3,$B$1415,$B$1585),Data!$BO:$BO,0)-2,17)),"")</f>
        <v>Log01-04_07</v>
      </c>
      <c r="E1588" s="36"/>
      <c r="F1588" s="35" t="str">
        <f ca="1">IFERROR(IF(AND(INDEX(Tab_DaBa[],MATCH(CONCATENATE(Liste!$C$3,$B$1415,$B$1585),Data!$BO:$BO,0)-2,18)&lt;&gt;"",INDEX(Tab_DaBa[],MATCH(CONCATENATE(Liste!$C$3,$B$1415,$B$1585),Data!$BO:$BO,0)-2,23)=0),INDEX(Tab_DaBa[],MATCH(CONCATENATE(Liste!$C$3,$B$1415,$B$1585),Data!$BO:$BO,0)-2,12),IF(INDEX(Tab_DaBa[],MATCH(CONCATENATE(Liste!$C$3,$B$1415,$B$1585),Data!$BO:$BO,0)-2,23)&lt;&gt;"",INDEX(Tab_DaBa[],MATCH(CONCATENATE(Liste!$C$3,$B$1415,$B$1585),Data!$BO:$BO,0)-2,22),"")),"")</f>
        <v>Lo04-04_07</v>
      </c>
      <c r="G1588" s="39"/>
      <c r="H1588" s="35" t="str">
        <f ca="1">IFERROR(IF(AND(INDEX(Tab_DaBa[],MATCH(CONCATENATE(Liste!$C$3,$B$1415,$B$1585),Data!$BO:$BO,0)-2,23)&lt;&gt;"",INDEX(Tab_DaBa[],MATCH(CONCATENATE(Liste!$C$3,$B$1415,$B$1585),Data!$BO:$BO,0)-2,28)=0),INDEX(Tab_DaBa[],MATCH(CONCATENATE(Liste!$C$3,$B$1415,$B$1585),Data!$BO:$BO,0)-2,12),IF(INDEX(Tab_DaBa[],MATCH(CONCATENATE(Liste!$C$3,$B$1415,$B$1585),Data!$BO:$BO,0)-2,23)&lt;&gt;"",INDEX(Tab_DaBa[],MATCH(CONCATENATE(Liste!$C$3,$B$1415,$B$1585),Data!$BO:$BO,0)-2,27),"")),"")</f>
        <v>Lo04-44_07</v>
      </c>
      <c r="I1588" s="39"/>
    </row>
    <row r="1589" spans="2:9" s="16" customFormat="1" ht="15.75">
      <c r="B1589" s="35" t="str">
        <f ca="1">IFERROR(INDEX(Tab_DaBa[],MATCH(CONCATENATE(Liste!$C$3,$B$1415,$B$1585),Data!$BO:$BO,0)-2,8),"")</f>
        <v>Bez_Ein4_7</v>
      </c>
      <c r="C1589" s="40">
        <f ca="1">IF(D1587="","",4)</f>
        <v>4</v>
      </c>
      <c r="D1589" s="35" t="str">
        <f ca="1">IFERROR(IF(INDEX(Tab_DaBa[],MATCH(CONCATENATE(Liste!$C$3,$B$1415,$B$1585),Data!$BO:$BO,0)-2,18)="",INDEX(Tab_DaBa[],MATCH(CONCATENATE(Liste!$C$3,$B$1415,$B$1585),Data!$BO:$BO,0)-2,13),INDEX(Tab_DaBa[],MATCH(CONCATENATE(Liste!$C$3,$B$1415,$B$1585),Data!$BO:$BO,0)-2,18)),"")</f>
        <v>Bez_Log01_04_07</v>
      </c>
      <c r="E1589" s="40">
        <f ca="1">IF(F1587="","",4)</f>
        <v>4</v>
      </c>
      <c r="F1589" s="35" t="str">
        <f ca="1">IFERROR(IF(AND(INDEX(Tab_DaBa[],MATCH(CONCATENATE(Liste!$C$3,$B$1415,$B$1585),Data!$BO:$BO,0)-2,18)&lt;&gt;"",INDEX(Tab_DaBa[],MATCH(CONCATENATE(Liste!$C$3,$B$1415,$B$1585),Data!$BO:$BO,0)-2,23)=""),INDEX(Tab_DaBa[],MATCH(CONCATENATE(Liste!$C$3,$B$1415,$B$1585),Data!$BO:$BO,0)-2,13),IF(INDEX(Tab_DaBa[],MATCH(CONCATENATE(Liste!$C$3,$B$1415,$B$1585),Data!$BO:$BO,0)-2,23)&lt;&gt;"",INDEX(Tab_DaBa[],MATCH(CONCATENATE(Liste!$C$3,$B$1415,$B$1585),Data!$BO:$BO,0)-2,23),"")),"")</f>
        <v>Bez_Lo04_07</v>
      </c>
      <c r="G1589" s="38">
        <f ca="1">IF(H1587="","",4)</f>
        <v>4</v>
      </c>
      <c r="H1589" s="35" t="str">
        <f ca="1">IFERROR(IF(AND(INDEX(Tab_DaBa[],MATCH(CONCATENATE(Liste!$C$3,$B$1415,$B$1585),Data!$BO:$BO,0)-2,23)&lt;&gt;"",INDEX(Tab_DaBa[],MATCH(CONCATENATE(Liste!$C$3,$B$1415,$B$1585),Data!$BO:$BO,0)-2,28)=""),INDEX(Tab_DaBa[],MATCH(CONCATENATE(Liste!$C$3,$B$1415,$B$1585),Data!$BO:$BO,0)-2,13),IF(INDEX(Tab_DaBa[],MATCH(CONCATENATE(Liste!$C$3,$B$1415,$B$1585),Data!$BO:$BO,0)-2,23)&lt;&gt;"",INDEX(Tab_DaBa[],MATCH(CONCATENATE(Liste!$C$3,$B$1415,$B$1585),Data!$BO:$BO,0)-2,28),"")),"")</f>
        <v>Bez_Lo04_07</v>
      </c>
      <c r="I1589" s="38">
        <f ca="1">IF(B1595="","",6)</f>
        <v>6</v>
      </c>
    </row>
    <row r="1590" spans="2:9" s="16" customFormat="1" ht="15.75">
      <c r="B1590" s="35" t="str">
        <f ca="1">IFERROR("Performance Level: "&amp;INDEX(Tab_DaBa[],MATCH(CONCATENATE(Liste!$C$3,$B$1415,$B$1585),Data!$BO:$BO,0)-2,10),"")</f>
        <v>Performance Level: PL_Ein4_7</v>
      </c>
      <c r="C1590" s="54"/>
      <c r="D1590" s="35" t="str">
        <f ca="1">IFERROR(IF(INDEX(Tab_DaBa[],MATCH(CONCATENATE(Liste!$C$3,$B$1415,$B$1585),Data!$BO:$BO,0)-2,18)="","Performance Level: "&amp;INDEX(Tab_DaBa[],MATCH(CONCATENATE(Liste!$C$3,$B$1415,$B$1585),Data!$BO:$BO,0)-2,15),"Performance Level: "&amp;INDEX(Tab_DaBa[],MATCH(CONCATENATE(Liste!$C$3,$B$1415,$B$1585),Data!$BO:$BO,0)-2,20)),"")</f>
        <v>Performance Level: PL_Log01_04_07</v>
      </c>
      <c r="E1590" s="36"/>
      <c r="F1590" s="35" t="str">
        <f ca="1">IFERROR(IF(AND(INDEX(Tab_DaBa[],MATCH(CONCATENATE(Liste!$C$3,$B$1415,$B$1585),Data!$BO:$BO,0)-2,18)&lt;&gt;"",INDEX(Tab_DaBa[],MATCH(CONCATENATE(Liste!$C$3,$B$1415,$B$1585),Data!$BO:$BO,0)-2,23)=""),"Performance Level: "&amp;INDEX(Tab_DaBa[],MATCH(CONCATENATE(Liste!$C$3,$B$1415,$B$1585),Data!$BO:$BO,0)-2,15),IF(INDEX(Tab_DaBa[],MATCH(CONCATENATE(Liste!$C$3,$B$1415,$B$1585),Data!$BO:$BO,0)-2,23)&lt;&gt;"","Performance Level: "&amp;INDEX(Tab_DaBa[],MATCH(CONCATENATE(Liste!$C$3,$B$1415,$B$1585),Data!$BO:$BO,0)-2,25),"")),"")</f>
        <v>Performance Level: PL_Lo04_07</v>
      </c>
      <c r="G1590" s="39"/>
      <c r="H1590" s="35" t="str">
        <f ca="1">IFERROR(IF(AND(INDEX(Tab_DaBa[],MATCH(CONCATENATE(Liste!$C$3,$B$1415,$B$1585),Data!$BO:$BO,0)-2,23)&lt;&gt;"",INDEX(Tab_DaBa[],MATCH(CONCATENATE(Liste!$C$3,$B$1415,$B$1585),Data!$BO:$BO,0)-2,28)=""),"Performance Level: "&amp;INDEX(Tab_DaBa[],MATCH(CONCATENATE(Liste!$C$3,$B$1415,$B$1585),Data!$BO:$BO,0)-2,15),IF(INDEX(Tab_DaBa[],MATCH(CONCATENATE(Liste!$C$3,$B$1415,$B$1585),Data!$BO:$BO,0)-2,23)&lt;&gt;"","Performance Level: "&amp;INDEX(Tab_DaBa[],MATCH(CONCATENATE(Liste!$C$3,$B$1415,$B$1585),Data!$BO:$BO,0)-2,30),"")),"")</f>
        <v>Performance Level: PL_Lo04_07</v>
      </c>
      <c r="I1590" s="38"/>
    </row>
    <row r="1591" spans="2:9" s="16" customFormat="1" ht="15.75">
      <c r="B1591" s="53" t="str">
        <f ca="1">IFERROR("PFH [1/h] = "&amp;10^9*INDEX(Tab_DaBa[],MATCH(CONCATENATE(Liste!$C$3,$B$1415,$B$1585),Data!$BO:$BO,0)-2,11)&amp;"E-9","")</f>
        <v>PFH [1/h] = 42,9E-9</v>
      </c>
      <c r="C1591" s="54"/>
      <c r="D1591" s="35" t="str">
        <f ca="1">IFERROR(IF(INDEX(Tab_DaBa[],MATCH(CONCATENATE(Liste!$C$3,$B$1415,$B$1585),Data!$BO:$BO,0)-2,18)="","PFH [1/h] = "&amp;10^9*INDEX(Tab_DaBa[],MATCH(CONCATENATE(Liste!$C$3,$B$1415,$B$1585),Data!$BO:$BO,0)-2,16)&amp;"E-9","PFH [1/h] = "&amp;10^9*INDEX(Tab_DaBa[],MATCH(CONCATENATE(Liste!$C$3,$B$1415,$B$1585),Data!$BO:$BO,0)-2,21)&amp;"E-9"),"")</f>
        <v>PFH [1/h] = 4,19E-9</v>
      </c>
      <c r="E1591" s="36"/>
      <c r="F1591" s="35" t="str">
        <f ca="1">IFERROR(IF(AND(INDEX(Tab_DaBa[],MATCH(CONCATENATE(Liste!$C$3,$B$1415,$B$1585),Data!$BO:$BO,0)-2,18)&lt;&gt;"",INDEX(Tab_DaBa[],MATCH(CONCATENATE(Liste!$C$3,$B$1415,$B$1585),Data!$BO:$BO,0)-2,23)=""),"PFH [1/h] = "&amp;10^9*INDEX(Tab_DaBa[],MATCH(CONCATENATE(Liste!$C$3,$B$1415,$B$1585),Data!$BO:$BO,0)-2,16)&amp;"E-9",IF(INDEX(Tab_DaBa[],MATCH(CONCATENATE(Liste!$C$3,$B$1415,$B$1585),Data!$BO:$BO,0)-2,23)&lt;&gt;"","PFH [1/h] = "&amp;10^9*INDEX(Tab_DaBa[],MATCH(CONCATENATE(Liste!$C$3,$B$1415,$B$1585),Data!$BO:$BO,0)-2,26)&amp;"E-9","")),"")</f>
        <v>PFH [1/h] = 4,19E-9</v>
      </c>
      <c r="G1591" s="39"/>
      <c r="H1591" s="35" t="str">
        <f ca="1">IFERROR(IF(AND(INDEX(Tab_DaBa[],MATCH(CONCATENATE(Liste!$C$3,$B$1415,$B$1585),Data!$BO:$BO,0)-2,23)&lt;&gt;"",INDEX(Tab_DaBa[],MATCH(CONCATENATE(Liste!$C$3,$B$1415,$B$1585),Data!$BO:$BO,0)-2,28)=""),"PFH [1/h] = "&amp;10^9*INDEX(Tab_DaBa[],MATCH(CONCATENATE(Liste!$C$3,$B$1415,$B$1585),Data!$BO:$BO,0)-2,16)&amp;"E-9",IF(INDEX(Tab_DaBa[],MATCH(CONCATENATE(Liste!$C$3,$B$1415,$B$1585),Data!$BO:$BO,0)-2,23)&lt;&gt;"","PFH [1/h] = "&amp;10^9*INDEX(Tab_DaBa[],MATCH(CONCATENATE(Liste!$C$3,$B$1415,$B$1585),Data!$BO:$BO,0)-2,31)&amp;"E-9","")),"")</f>
        <v>PFH [1/h] = 4,19E-9</v>
      </c>
      <c r="I1591" s="39"/>
    </row>
    <row r="1592" spans="2:9" s="16" customFormat="1">
      <c r="B1592" s="33"/>
      <c r="C1592" s="34"/>
      <c r="D1592" s="33"/>
      <c r="E1592" s="33"/>
      <c r="F1592" s="33"/>
      <c r="G1592" s="33"/>
      <c r="H1592" s="33"/>
      <c r="I1592" s="33"/>
    </row>
    <row r="1593" spans="2:9" s="16" customFormat="1" ht="15.75">
      <c r="B1593" s="38">
        <f ca="1">IF(B1595="","",6)</f>
        <v>6</v>
      </c>
      <c r="C1593" s="34"/>
      <c r="D1593" s="38">
        <f ca="1">IF(B1595="","",3)</f>
        <v>3</v>
      </c>
      <c r="E1593" s="33"/>
      <c r="F1593" s="38">
        <f ca="1">IF(B1595="","",3)</f>
        <v>3</v>
      </c>
      <c r="G1593" s="33"/>
      <c r="H1593" s="38">
        <f ca="1">IF(B1595="","",3)</f>
        <v>3</v>
      </c>
      <c r="I1593" s="33"/>
    </row>
    <row r="1594" spans="2:9" s="16" customFormat="1" ht="15.75">
      <c r="B1594" s="39"/>
      <c r="C1594" s="33"/>
      <c r="D1594" s="33"/>
      <c r="E1594" s="33"/>
      <c r="F1594" s="33"/>
      <c r="G1594" s="33"/>
      <c r="H1594" s="33"/>
      <c r="I1594" s="33"/>
    </row>
    <row r="1595" spans="2:9" s="16" customFormat="1" ht="15.75">
      <c r="B1595" s="35" t="str">
        <f ca="1">IFERROR(IF(AND(INDEX(Tab_DaBa[],MATCH(CONCATENATE(Liste!$C$3,$B$1415,$B$1585),Data!$BO:$BO,0)-2,28)&lt;&gt;"",INDEX(Tab_DaBa[],MATCH(CONCATENATE(Liste!$C$3,$B$1415,$B$1585),Data!$BO:$BO,0)-2,33)=0),INDEX(Tab_DaBa[],MATCH(CONCATENATE(Liste!$C$3,$B$1415,$B$1585),Data!$BO:$BO,0)-2,14),IF(INDEX(Tab_DaBa[],MATCH(CONCATENATE(Liste!$C$3,$B$1415,$B$1585),Data!$BO:$BO,0)-2,28)&lt;&gt;"",INDEX(Tab_DaBa[],MATCH(CONCATENATE(Liste!$C$3,$B$1415,$B$1585),Data!$BO:$BO,0)-2,34),"")),"")</f>
        <v>Logik 04</v>
      </c>
      <c r="C1595" s="39"/>
      <c r="D1595" s="35" t="str">
        <f ca="1">IFERROR(IF(AND(INDEX(Tab_DaBa[],MATCH(CONCATENATE(Liste!$C$3,$B$1415,$B$1585),Data!$BO:$BO,0)-2,33)&lt;&gt;"",INDEX(Tab_DaBa[],MATCH(CONCATENATE(Liste!$C$3,$B$1415,$B$1585),Data!$BO:$BO,0)-2,38)=0),INDEX(Tab_DaBa[],MATCH(CONCATENATE(Liste!$C$3,$B$1415,$B$1585),Data!$BO:$BO,0)-2,14),IF(INDEX(Tab_DaBa[],MATCH(CONCATENATE(Liste!$C$3,$B$1415,$B$1585),Data!$BO:$BO,0)-2,33)&lt;&gt;"",INDEX(Tab_DaBa[],MATCH(CONCATENATE(Liste!$C$3,$B$1415,$B$1585),Data!$BO:$BO,0)-2,39),"")),"")</f>
        <v>Logik 05</v>
      </c>
      <c r="E1595" s="33"/>
      <c r="F1595" s="35" t="str">
        <f ca="1">IFERROR(IF(AND(INDEX(Tab_DaBa[],MATCH(CONCATENATE(Liste!$C$3,$B$1415,$B$1585),Data!$BO:$BO,0)-2,38)&lt;&gt;"",INDEX(Tab_DaBa[],MATCH(CONCATENATE(Liste!$C$3,$B$1415,$B$1585),Data!$BO:$BO,0)-2,43)=0),INDEX(Tab_DaBa[],MATCH(CONCATENATE(Liste!$C$3,$B$1415,$B$1585),Data!$BO:$BO,0)-2,14),IF(INDEX(Tab_DaBa[],MATCH(CONCATENATE(Liste!$C$3,$B$1415,$B$1585),Data!$BO:$BO,0)-2,38)&lt;&gt;"",INDEX(Tab_DaBa[],MATCH(CONCATENATE(Liste!$C$3,$B$1415,$B$1585),Data!$BO:$BO,0)-2,44),"")),"")</f>
        <v>Logik 06</v>
      </c>
      <c r="G1595" s="39"/>
      <c r="H1595" s="35" t="str">
        <f ca="1">IFERROR(IF(AND(INDEX(Tab_DaBa[],MATCH(CONCATENATE(Liste!$C$3,$B$1415,$B$1585),Data!$BO:$BO,0)-2,43)&lt;&gt;"",INDEX(Tab_DaBa[],MATCH(CONCATENATE(Liste!$C$3,$B$1415,$B$1585),Data!$BO:$BO,0)-2,48)=0),INDEX(Tab_DaBa[],MATCH(CONCATENATE(Liste!$C$3,$B$1415,$B$1585),Data!$BO:$BO,0)-2,14),IF(INDEX(Tab_DaBa[],MATCH(CONCATENATE(Liste!$C$3,$B$1415,$B$1585),Data!$BO:$BO,0)-2,43)&lt;&gt;"",INDEX(Tab_DaBa[],MATCH(CONCATENATE(Liste!$C$3,$B$1415,$B$1585),Data!$BO:$BO,0)-2,49),"")),"")</f>
        <v>Logik 07</v>
      </c>
      <c r="I1595" s="39"/>
    </row>
    <row r="1596" spans="2:9" s="16" customFormat="1" ht="15.75">
      <c r="B1596" s="35" t="str">
        <f ca="1">IFERROR(IF(AND(INDEX(Tab_DaBa[],MATCH(CONCATENATE(Liste!$C$3,$B$1415,$B$1585),Data!$BO:$BO,0)-2,28)&lt;&gt;"",INDEX(Tab_DaBa[],MATCH(CONCATENATE(Liste!$C$3,$B$1415,$B$1585),Data!$BO:$BO,0)-2,33)=0),INDEX(Tab_DaBa[],MATCH(CONCATENATE(Liste!$C$3,$B$1415,$B$1585),Data!$BO:$BO,0)-2,12),IF(INDEX(Tab_DaBa[],MATCH(CONCATENATE(Liste!$C$3,$B$1415,$B$1585),Data!$BO:$BO,0)-2,28)&lt;&gt;"",INDEX(Tab_DaBa[],MATCH(CONCATENATE(Liste!$C$3,$B$1415,$B$1585),Data!$BO:$BO,0)-2,32),"")),"")</f>
        <v>Lo04-44_07</v>
      </c>
      <c r="C1596" s="39"/>
      <c r="D1596" s="35" t="str">
        <f ca="1">IFERROR(IF(AND(INDEX(Tab_DaBa[],MATCH(CONCATENATE(Liste!$C$3,$B$1415,$B$1585),Data!$BO:$BO,0)-2,33)&lt;&gt;"",INDEX(Tab_DaBa[],MATCH(CONCATENATE(Liste!$C$3,$B$1415,$B$1585),Data!$BO:$BO,0)-2,38)=0),INDEX(Tab_DaBa[],MATCH(CONCATENATE(Liste!$C$3,$B$1415,$B$1585),Data!$BO:$BO,0)-2,12),IF(INDEX(Tab_DaBa[],MATCH(CONCATENATE(Liste!$C$3,$B$1415,$B$1585),Data!$BO:$BO,0)-2,33)&lt;&gt;"",INDEX(Tab_DaBa[],MATCH(CONCATENATE(Liste!$C$3,$B$1415,$B$1585),Data!$BO:$BO,0)-2,37),"")),"")</f>
        <v>Lo04-44_07</v>
      </c>
      <c r="E1596" s="37"/>
      <c r="F1596" s="35" t="str">
        <f ca="1">IFERROR(IF(AND(INDEX(Tab_DaBa[],MATCH(CONCATENATE(Liste!$C$3,$B$1415,$B$1585),Data!$BO:$BO,0)-2,38)&lt;&gt;"",INDEX(Tab_DaBa[],MATCH(CONCATENATE(Liste!$C$3,$B$1415,$B$1585),Data!$BO:$BO,0)-2,43)=0),INDEX(Tab_DaBa[],MATCH(CONCATENATE(Liste!$C$3,$B$1415,$B$1585),Data!$BO:$BO,0)-2,12),IF(INDEX(Tab_DaBa[],MATCH(CONCATENATE(Liste!$C$3,$B$1415,$B$1585),Data!$BO:$BO,0)-2,38)&lt;&gt;"",INDEX(Tab_DaBa[],MATCH(CONCATENATE(Liste!$C$3,$B$1415,$B$1585),Data!$BO:$BO,0)-2,42),"")),"")</f>
        <v>Lo03-33_07</v>
      </c>
      <c r="G1596" s="39"/>
      <c r="H1596" s="35" t="str">
        <f ca="1">IFERROR(IF(AND(INDEX(Tab_DaBa[],MATCH(CONCATENATE(Liste!$C$3,$B$1415,$B$1585),Data!$BO:$BO,0)-2,43)&lt;&gt;"",INDEX(Tab_DaBa[],MATCH(CONCATENATE(Liste!$C$3,$B$1415,$B$1585),Data!$BO:$BO,0)-2,48)=0),INDEX(Tab_DaBa[],MATCH(CONCATENATE(Liste!$C$3,$B$1415,$B$1585),Data!$BO:$BO,0)-2,12),IF(INDEX(Tab_DaBa[],MATCH(CONCATENATE(Liste!$C$3,$B$1415,$B$1585),Data!$BO:$BO,0)-2,43)&lt;&gt;"",INDEX(Tab_DaBa[],MATCH(CONCATENATE(Liste!$C$3,$B$1415,$B$1585),Data!$BO:$BO,0)-2,47),"")),"")</f>
        <v>Lo03-33_07</v>
      </c>
      <c r="I1596" s="39"/>
    </row>
    <row r="1597" spans="2:9" s="16" customFormat="1" ht="15.75">
      <c r="B1597" s="35" t="str">
        <f ca="1">IFERROR(IF(AND(INDEX(Tab_DaBa[],MATCH(CONCATENATE(Liste!$C$3,$B$1415,$B$1585),Data!$BO:$BO,0)-2,28)&lt;&gt;"",INDEX(Tab_DaBa[],MATCH(CONCATENATE(Liste!$C$3,$B$1415,$B$1585),Data!$BO:$BO,0)-2,33)=""),INDEX(Tab_DaBa[],MATCH(CONCATENATE(Liste!$C$3,$B$1415,$B$1585),Data!$BO:$BO,0)-2,13),IF(INDEX(Tab_DaBa[],MATCH(CONCATENATE(Liste!$C$3,$B$1415,$B$1585),Data!$BO:$BO,0)-2,28)&lt;&gt;"",INDEX(Tab_DaBa[],MATCH(CONCATENATE(Liste!$C$3,$B$1415,$B$1585),Data!$BO:$BO,0)-2,33),"")),"")</f>
        <v>Bez_Lo04_07</v>
      </c>
      <c r="C1597" s="38">
        <f ca="1">IF(D1595="","",4)</f>
        <v>4</v>
      </c>
      <c r="D1597" s="35" t="str">
        <f ca="1">IFERROR(IF(AND(INDEX(Tab_DaBa[],MATCH(CONCATENATE(Liste!$C$3,$B$1415,$B$1585),Data!$BO:$BO,0)-2,33)&lt;&gt;"",INDEX(Tab_DaBa[],MATCH(CONCATENATE(Liste!$C$3,$B$1415,$B$1585),Data!$BO:$BO,0)-2,38)=""),INDEX(Tab_DaBa[],MATCH(CONCATENATE(Liste!$C$3,$B$1415,$B$1585),Data!$BO:$BO,0)-2,13),IF(INDEX(Tab_DaBa[],MATCH(CONCATENATE(Liste!$C$3,$B$1415,$B$1585),Data!$BO:$BO,0)-2,33)&lt;&gt;"",INDEX(Tab_DaBa[],MATCH(CONCATENATE(Liste!$C$3,$B$1415,$B$1585),Data!$BO:$BO,0)-2,38),"")),"")</f>
        <v>Bez_Lo03_07</v>
      </c>
      <c r="E1597" s="38">
        <f ca="1">IF(F1595="","",4)</f>
        <v>4</v>
      </c>
      <c r="F1597" s="35" t="str">
        <f ca="1">IFERROR(IF(AND(INDEX(Tab_DaBa[],MATCH(CONCATENATE(Liste!$C$3,$B$1415,$B$1585),Data!$BO:$BO,0)-2,38)&lt;&gt;"",INDEX(Tab_DaBa[],MATCH(CONCATENATE(Liste!$C$3,$B$1415,$B$1585),Data!$BO:$BO,0)-2,43)=""),INDEX(Tab_DaBa[],MATCH(CONCATENATE(Liste!$C$3,$B$1415,$B$1585),Data!$BO:$BO,0)-2,13),IF(INDEX(Tab_DaBa[],MATCH(CONCATENATE(Liste!$C$3,$B$1415,$B$1585),Data!$BO:$BO,0)-2,38)&lt;&gt;"",INDEX(Tab_DaBa[],MATCH(CONCATENATE(Liste!$C$3,$B$1415,$B$1585),Data!$BO:$BO,0)-2,43),"")),"")</f>
        <v>Bez_Lo03_07</v>
      </c>
      <c r="G1597" s="38">
        <f ca="1">IF(H1595="","",4)</f>
        <v>4</v>
      </c>
      <c r="H1597" s="35" t="str">
        <f ca="1">IFERROR(IF(AND(INDEX(Tab_DaBa[],MATCH(CONCATENATE(Liste!$C$3,$B$1415,$B$1585),Data!$BO:$BO,0)-2,43)&lt;&gt;"",INDEX(Tab_DaBa[],MATCH(CONCATENATE(Liste!$C$3,$B$1415,$B$1585),Data!$BO:$BO,0)-2,48)=""),INDEX(Tab_DaBa[],MATCH(CONCATENATE(Liste!$C$3,$B$1415,$B$1585),Data!$BO:$BO,0)-2,13),IF(INDEX(Tab_DaBa[],MATCH(CONCATENATE(Liste!$C$3,$B$1415,$B$1585),Data!$BO:$BO,0)-2,43)&lt;&gt;"",INDEX(Tab_DaBa[],MATCH(CONCATENATE(Liste!$C$3,$B$1415,$B$1585),Data!$BO:$BO,0)-2,48),"")),"")</f>
        <v>Bez_Lo03_07</v>
      </c>
      <c r="I1597" s="38">
        <f ca="1">IF(B1603="","",6)</f>
        <v>6</v>
      </c>
    </row>
    <row r="1598" spans="2:9" s="16" customFormat="1" ht="15.75">
      <c r="B1598" s="35" t="str">
        <f ca="1">IFERROR(IF(AND(INDEX(Tab_DaBa[],MATCH(CONCATENATE(Liste!$C$3,$B$1415,$B$1585),Data!$BO:$BO,0)-2,28)&lt;&gt;"",INDEX(Tab_DaBa[],MATCH(CONCATENATE(Liste!$C$3,$B$1415,$B$1585),Data!$BO:$BO,0)-2,33)=""),"Performance Level: "&amp;INDEX(Tab_DaBa[],MATCH(CONCATENATE(Liste!$C$3,$B$1415,$B$1585),Data!$BO:$BO,0)-2,15),IF(INDEX(Tab_DaBa[],MATCH(CONCATENATE(Liste!$C$3,$B$1415,$B$1585),Data!$BO:$BO,0)-2,28)&lt;&gt;"","Performance Level: "&amp;INDEX(Tab_DaBa[],MATCH(CONCATENATE(Liste!$C$3,$B$1415,$B$1585),Data!$BO:$BO,0)-2,35),"")),"")</f>
        <v>Performance Level: PL_Lo04_07</v>
      </c>
      <c r="C1598" s="39"/>
      <c r="D1598" s="35" t="str">
        <f ca="1">IFERROR(IF(AND(INDEX(Tab_DaBa[],MATCH(CONCATENATE(Liste!$C$3,$B$1415,$B$1585),Data!$BO:$BO,0)-2,33)&lt;&gt;"",INDEX(Tab_DaBa[],MATCH(CONCATENATE(Liste!$C$3,$B$1415,$B$1585),Data!$BO:$BO,0)-2,38)=""),"Performance Level: "&amp;INDEX(Tab_DaBa[],MATCH(CONCATENATE(Liste!$C$3,$B$1415,$B$1585),Data!$BO:$BO,0)-2,15),IF(INDEX(Tab_DaBa[],MATCH(CONCATENATE(Liste!$C$3,$B$1415,$B$1585),Data!$BO:$BO,0)-2,33)&lt;&gt;"","Performance Level: "&amp;INDEX(Tab_DaBa[],MATCH(CONCATENATE(Liste!$C$3,$B$1415,$B$1585),Data!$BO:$BO,0)-2,40),"")),"")</f>
        <v>Performance Level: PL_Lo03_7</v>
      </c>
      <c r="E1598" s="37"/>
      <c r="F1598" s="35" t="str">
        <f ca="1">IFERROR(IF(AND(INDEX(Tab_DaBa[],MATCH(CONCATENATE(Liste!$C$3,$B$1415,$B$1585),Data!$BO:$BO,0)-2,38)&lt;&gt;"",INDEX(Tab_DaBa[],MATCH(CONCATENATE(Liste!$C$3,$B$1415,$B$1585),Data!$BO:$BO,0)-2,43)=""),"Performance Level: "&amp;INDEX(Tab_DaBa[],MATCH(CONCATENATE(Liste!$C$3,$B$1415,$B$1585),Data!$BO:$BO,0)-2,15),IF(INDEX(Tab_DaBa[],MATCH(CONCATENATE(Liste!$C$3,$B$1415,$B$1585),Data!$BO:$BO,0)-2,38)&lt;&gt;"","Performance Level: "&amp;INDEX(Tab_DaBa[],MATCH(CONCATENATE(Liste!$C$3,$B$1415,$B$1585),Data!$BO:$BO,0)-2,45),"")),"")</f>
        <v>Performance Level: PL_Lo03_07</v>
      </c>
      <c r="G1598" s="39"/>
      <c r="H1598" s="35" t="str">
        <f ca="1">IFERROR(IF(AND(INDEX(Tab_DaBa[],MATCH(CONCATENATE(Liste!$C$3,$B$1415,$B$1585),Data!$BO:$BO,0)-2,43)&lt;&gt;"",INDEX(Tab_DaBa[],MATCH(CONCATENATE(Liste!$C$3,$B$1415,$B$1585),Data!$BO:$BO,0)-2,48)=""),"Performance Level: "&amp;INDEX(Tab_DaBa[],MATCH(CONCATENATE(Liste!$C$3,$B$1415,$B$1585),Data!$BO:$BO,0)-2,15),IF(INDEX(Tab_DaBa[],MATCH(CONCATENATE(Liste!$C$3,$B$1415,$B$1585),Data!$BO:$BO,0)-2,43)&lt;&gt;"","Performance Level: "&amp;INDEX(Tab_DaBa[],MATCH(CONCATENATE(Liste!$C$3,$B$1415,$B$1585),Data!$BO:$BO,0)-2,50),"")),"")</f>
        <v>Performance Level: PL_Lo03_07</v>
      </c>
      <c r="I1598" s="39"/>
    </row>
    <row r="1599" spans="2:9" s="16" customFormat="1" ht="15.75">
      <c r="B1599" s="35" t="str">
        <f ca="1">IFERROR(IF(AND(INDEX(Tab_DaBa[],MATCH(CONCATENATE(Liste!$C$3,$B$1415,$B$1585),Data!$BO:$BO,0)-2,28)&lt;&gt;"",INDEX(Tab_DaBa[],MATCH(CONCATENATE(Liste!$C$3,$B$1415,$B$1585),Data!$BO:$BO,0)-2,33)=""),"PFH [1/h] = "&amp;10^9*INDEX(Tab_DaBa[],MATCH(CONCATENATE(Liste!$C$3,$B$1415,$B$1585),Data!$BO:$BO,0)-2,16)&amp;"E-9",IF(INDEX(Tab_DaBa[],MATCH(CONCATENATE(Liste!$C$3,$B$1415,$B$1585),Data!$BO:$BO,0)-2,28)&lt;&gt;"","PFH [1/h] = "&amp;10^9*INDEX(Tab_DaBa[],MATCH(CONCATENATE(Liste!$C$3,$B$1415,$B$1585),Data!$BO:$BO,0)-2,36)&amp;"E-9","")),"")</f>
        <v>PFH [1/h] = 4,19E-9</v>
      </c>
      <c r="C1599" s="39"/>
      <c r="D1599" s="35" t="str">
        <f ca="1">IFERROR(IF(AND(INDEX(Tab_DaBa[],MATCH(CONCATENATE(Liste!$C$3,$B$1415,$B$1585),Data!$BO:$BO,0)-2,33)&lt;&gt;"",INDEX(Tab_DaBa[],MATCH(CONCATENATE(Liste!$C$3,$B$1415,$B$1585),Data!$BO:$BO,0)-2,38)=""),"PFH [1/h] = "&amp;10^9*INDEX(Tab_DaBa[],MATCH(CONCATENATE(Liste!$C$3,$B$1415,$B$1585),Data!$BO:$BO,0)-2,16)&amp;"E-9",IF(INDEX(Tab_DaBa[],MATCH(CONCATENATE(Liste!$C$3,$B$1415,$B$1585),Data!$BO:$BO,0)-2,33)&lt;&gt;"","PFH [1/h] = "&amp;10^9*INDEX(Tab_DaBa[],MATCH(CONCATENATE(Liste!$C$3,$B$1415,$B$1585),Data!$BO:$BO,0)-2,41)&amp;"E-9","")),"")</f>
        <v>PFH [1/h] = 4,19E-9</v>
      </c>
      <c r="E1599" s="37"/>
      <c r="F1599" s="35" t="str">
        <f ca="1">IFERROR(IF(AND(INDEX(Tab_DaBa[],MATCH(CONCATENATE(Liste!$C$3,$B$1415,$B$1585),Data!$BO:$BO,0)-2,38)&lt;&gt;"",INDEX(Tab_DaBa[],MATCH(CONCATENATE(Liste!$C$3,$B$1415,$B$1585),Data!$BO:$BO,0)-2,43)=""),"PFH [1/h] = "&amp;10^9*INDEX(Tab_DaBa[],MATCH(CONCATENATE(Liste!$C$3,$B$1415,$B$1585),Data!$BO:$BO,0)-2,16)&amp;"E-9",IF(INDEX(Tab_DaBa[],MATCH(CONCATENATE(Liste!$C$3,$B$1415,$B$1585),Data!$BO:$BO,0)-2,38)&lt;&gt;"","PFH [1/h] = "&amp;10^9*INDEX(Tab_DaBa[],MATCH(CONCATENATE(Liste!$C$3,$B$1415,$B$1585),Data!$BO:$BO,0)-2,46)&amp;"E-9","")),"")</f>
        <v>PFH [1/h] = 4,19E-9</v>
      </c>
      <c r="G1599" s="39"/>
      <c r="H1599" s="35" t="str">
        <f ca="1">IFERROR(IF(AND(INDEX(Tab_DaBa[],MATCH(CONCATENATE(Liste!$C$3,$B$1415,$B$1585),Data!$BO:$BO,0)-2,43)&lt;&gt;"",INDEX(Tab_DaBa[],MATCH(CONCATENATE(Liste!$C$3,$B$1415,$B$1585),Data!$BO:$BO,0)-2,48)=""),"PFH [1/h] = "&amp;10^9*INDEX(Tab_DaBa[],MATCH(CONCATENATE(Liste!$C$3,$B$1415,$B$1585),Data!$BO:$BO,0)-2,16)&amp;"E-9",IF(INDEX(Tab_DaBa[],MATCH(CONCATENATE(Liste!$C$3,$B$1415,$B$1585),Data!$BO:$BO,0)-2,43)&lt;&gt;"","PFH [1/h] = "&amp;10^9*INDEX(Tab_DaBa[],MATCH(CONCATENATE(Liste!$C$3,$B$1415,$B$1585),Data!$BO:$BO,0)-2,51)&amp;"E-9","")),"")</f>
        <v>PFH [1/h] = 4,19E-9</v>
      </c>
      <c r="I1599" s="39"/>
    </row>
    <row r="1600" spans="2:9" s="16" customFormat="1">
      <c r="B1600" s="33"/>
      <c r="C1600" s="33"/>
      <c r="D1600" s="33"/>
      <c r="E1600" s="33"/>
      <c r="F1600" s="33"/>
      <c r="G1600" s="33"/>
      <c r="H1600" s="33"/>
      <c r="I1600" s="33"/>
    </row>
    <row r="1601" spans="2:9" s="16" customFormat="1" ht="15.75">
      <c r="B1601" s="38">
        <f ca="1">IF(B1603="","",6)</f>
        <v>6</v>
      </c>
      <c r="C1601" s="33"/>
      <c r="D1601" s="38">
        <f ca="1">IF(B1603="","",3)</f>
        <v>3</v>
      </c>
      <c r="E1601" s="33"/>
      <c r="F1601" s="38">
        <f ca="1">IF(B1603="","",3)</f>
        <v>3</v>
      </c>
      <c r="G1601" s="33"/>
      <c r="H1601" s="38">
        <f ca="1">IF(B1603="","",3)</f>
        <v>3</v>
      </c>
      <c r="I1601" s="33"/>
    </row>
    <row r="1602" spans="2:9" s="16" customFormat="1" ht="15.75">
      <c r="B1602" s="39"/>
      <c r="C1602" s="33"/>
      <c r="D1602" s="33"/>
      <c r="E1602" s="33"/>
      <c r="F1602" s="33"/>
      <c r="G1602" s="33"/>
      <c r="H1602" s="33"/>
      <c r="I1602" s="33"/>
    </row>
    <row r="1603" spans="2:9" s="16" customFormat="1" ht="15.75">
      <c r="B1603" s="35" t="str">
        <f ca="1">IFERROR(IF(AND(INDEX(Tab_DaBa[],MATCH(CONCATENATE(Liste!$C$3,$B$1415,$B$1585),Data!$BO:$BO,0)-2,48)&lt;&gt;"",INDEX(Tab_DaBa[],MATCH(CONCATENATE(Liste!$C$3,$B$1415,$B$1585),Data!$BO:$BO,0)-2,53)=0),INDEX(Tab_DaBa[],MATCH(CONCATENATE(Liste!$C$3,$B$1415,$B$1585),Data!$BO:$BO,0)-2,14),IF(INDEX(Tab_DaBa[],MATCH(CONCATENATE(Liste!$C$3,$B$1415,$B$1585),Data!$BO:$BO,0)-2,48)&lt;&gt;"",INDEX(Tab_DaBa[],MATCH(CONCATENATE(Liste!$C$3,$B$1415,$B$1585),Data!$BO:$BO,0)-2,54),"")),"")</f>
        <v>Ausgang</v>
      </c>
      <c r="C1603" s="39"/>
      <c r="D1603" s="35" t="str">
        <f ca="1">IFERROR(IF(AND(INDEX(Tab_DaBa[],MATCH(CONCATENATE(Liste!$C$3,$B$1415,$B$1585),Data!$BO:$BO,0)-2,53)&lt;&gt;"",INDEX(Tab_DaBa[],MATCH(CONCATENATE(Liste!$C$3,$B$1415,$B$1585),Data!$BO:$BO,0)-2,58)=0),INDEX(Tab_DaBa[],MATCH(CONCATENATE(Liste!$C$3,$B$1415,$B$1585),Data!$BO:$BO,0)-2,14),IF(INDEX(Tab_DaBa[],MATCH(CONCATENATE(Liste!$C$3,$B$1415,$B$1585),Data!$BO:$BO,0)-2,53)&lt;&gt;"",INDEX(Tab_DaBa[],MATCH(CONCATENATE(Liste!$C$3,$B$1415,$B$1585),Data!$BO:$BO,0)-2,59),"")),"")</f>
        <v/>
      </c>
      <c r="E1603" s="33"/>
      <c r="F1603" s="35" t="str">
        <f ca="1">IFERROR(IF(AND(INDEX(Tab_DaBa[],MATCH(CONCATENATE(Liste!$C$3,$B$1415,$B$1585),Data!$BO:$BO,0)-2,58)&lt;&gt;"",INDEX(Tab_DaBa[],MATCH(CONCATENATE(Liste!$C$3,$B$1415,$B$1585),Data!$BO:$BO,0)-2,63)=0),INDEX(Tab_DaBa[],MATCH(CONCATENATE(Liste!$C$3,$B$1415,$B$1585),Data!$BO:$BO,0)-2,14),IF(INDEX(Tab_DaBa[],MATCH(CONCATENATE(Liste!$C$3,$B$1415,$B$1585),Data!$BO:$BO,0)-2,58)&lt;&gt;"",INDEX(Tab_DaBa[],MATCH(CONCATENATE(Liste!$C$3,$B$1415,$B$1585),Data!$BO:$BO,0)-2,64),"")),"")</f>
        <v/>
      </c>
      <c r="G1603" s="39"/>
      <c r="H1603" s="35" t="str">
        <f ca="1">IFERROR(IF(INDEX(Tab_DaBa[],MATCH(CONCATENATE(Liste!$C$3,$B$1415,$B$1585),Data!$BO:$BO,0)-2,63)&lt;&gt;"",INDEX(Tab_DaBa[],MATCH(CONCATENATE(Liste!$C$3,$B$1415,$B$1585),Data!$BO:$BO,0)-2,14),""),"")</f>
        <v/>
      </c>
    </row>
    <row r="1604" spans="2:9" s="16" customFormat="1" ht="15.75">
      <c r="B1604" s="35" t="str">
        <f ca="1">IFERROR(IF(AND(INDEX(Tab_DaBa[],MATCH(CONCATENATE(Liste!$C$3,$B$1415,$B$1585),Data!$BO:$BO,0)-2,48)&lt;&gt;"",INDEX(Tab_DaBa[],MATCH(CONCATENATE(Liste!$C$3,$B$1415,$B$1585),Data!$BO:$BO,0)-2,53)=0),INDEX(Tab_DaBa[],MATCH(CONCATENATE(Liste!$C$3,$B$1415,$B$1585),Data!$BO:$BO,0)-2,12),IF(INDEX(Tab_DaBa[],MATCH(CONCATENATE(Liste!$C$3,$B$1415,$B$1585),Data!$BO:$BO,0)-2,48)&lt;&gt;"",INDEX(Tab_DaBa[],MATCH(CONCATENATE(Liste!$C$3,$B$1415,$B$1585),Data!$BO:$BO,0)-2,52),"")),"")</f>
        <v>aaaa-44_7</v>
      </c>
      <c r="C1604" s="39"/>
      <c r="D1604" s="35" t="str">
        <f ca="1">IFERROR(IF(AND(INDEX(Tab_DaBa[],MATCH(CONCATENATE(Liste!$C$3,$B$1415,$B$1585),Data!$BO:$BO,0)-2,53)&lt;&gt;"",INDEX(Tab_DaBa[],MATCH(CONCATENATE(Liste!$C$3,$B$1415,$B$1585),Data!$BO:$BO,0)-2,58)=0),INDEX(Tab_DaBa[],MATCH(CONCATENATE(Liste!$C$3,$B$1415,$B$1585),Data!$BO:$BO,0)-2,12),IF(INDEX(Tab_DaBa[],MATCH(CONCATENATE(Liste!$C$3,$B$1415,$B$1585),Data!$BO:$BO,0)-2,53)&lt;&gt;"",INDEX(Tab_DaBa[],MATCH(CONCATENATE(Liste!$C$3,$B$1415,$B$1585),Data!$BO:$BO,0)-2,57),"")),"")</f>
        <v/>
      </c>
      <c r="E1604" s="37"/>
      <c r="F1604" s="35" t="str">
        <f ca="1">IFERROR(IF(AND(INDEX(Tab_DaBa[],MATCH(CONCATENATE(Liste!$C$3,$B$1415,$B$1585),Data!$BO:$BO,0)-2,58)&lt;&gt;"",INDEX(Tab_DaBa[],MATCH(CONCATENATE(Liste!$C$3,$B$1415,$B$1585),Data!$BO:$BO,0)-2,63)=0),INDEX(Tab_DaBa[],MATCH(CONCATENATE(Liste!$C$3,$B$1415,$B$1585),Data!$BO:$BO,0)-2,12),IF(INDEX(Tab_DaBa[],MATCH(CONCATENATE(Liste!$C$3,$B$1415,$B$1585),Data!$BO:$BO,0)-2,58)&lt;&gt;"",INDEX(Tab_DaBa[],MATCH(CONCATENATE(Liste!$C$3,$B$1415,$B$1585),Data!$BO:$BO,0)-2,62),"")),"")</f>
        <v/>
      </c>
      <c r="G1604" s="39"/>
      <c r="H1604" s="35" t="str">
        <f ca="1">IFERROR(IF(INDEX(Tab_DaBa[],MATCH(CONCATENATE(Liste!$C$3,$B$1415,$B$1585),Data!$BO:$BO,0)-2,63)&lt;&gt;"",INDEX(Tab_DaBa[],MATCH(CONCATENATE(Liste!$C$3,$B$1415,$B$1585),Data!$BO:$BO,0)-2,12),""),"")</f>
        <v/>
      </c>
    </row>
    <row r="1605" spans="2:9" s="16" customFormat="1" ht="15.75">
      <c r="B1605" s="35" t="str">
        <f ca="1">IFERROR(IF(AND(INDEX(Tab_DaBa[],MATCH(CONCATENATE(Liste!$C$3,$B$1415,$B$1585),Data!$BO:$BO,0)-2,48)&lt;&gt;"",INDEX(Tab_DaBa[],MATCH(CONCATENATE(Liste!$C$3,$B$1415,$B$1585),Data!$BO:$BO,0)-2,53)=""),INDEX(Tab_DaBa[],MATCH(CONCATENATE(Liste!$C$3,$B$1415,$B$1585),Data!$BO:$BO,0)-2,13),IF(INDEX(Tab_DaBa[],MATCH(CONCATENATE(Liste!$C$3,$B$1415,$B$1585),Data!$BO:$BO,0)-2,48)&lt;&gt;"",INDEX(Tab_DaBa[],MATCH(CONCATENATE(Liste!$C$3,$B$1415,$B$1585),Data!$BO:$BO,0)-2,53),"")),"")</f>
        <v>Bez_Aus4_7</v>
      </c>
      <c r="C1605" s="38" t="str">
        <f ca="1">IF(D1603="","",4)</f>
        <v/>
      </c>
      <c r="D1605" s="35" t="str">
        <f ca="1">IFERROR(IF(AND(INDEX(Tab_DaBa[],MATCH(CONCATENATE(Liste!$C$3,$B$1415,$B$1585),Data!$BO:$BO,0)-2,53)&lt;&gt;"",INDEX(Tab_DaBa[],MATCH(CONCATENATE(Liste!$C$3,$B$1415,$B$1585),Data!$BO:$BO,0)-2,58)=""),INDEX(Tab_DaBa[],MATCH(CONCATENATE(Liste!$C$3,$B$1415,$B$1585),Data!$BO:$BO,0)-2,13),IF(INDEX(Tab_DaBa[],MATCH(CONCATENATE(Liste!$C$3,$B$1415,$B$1585),Data!$BO:$BO,0)-2,53)&lt;&gt;"",INDEX(Tab_DaBa[],MATCH(CONCATENATE(Liste!$C$3,$B$1415,$B$1585),Data!$BO:$BO,0)-2,58),"")),"")</f>
        <v/>
      </c>
      <c r="E1605" s="38" t="str">
        <f ca="1">IF(F1603="","",4)</f>
        <v/>
      </c>
      <c r="F1605" s="35" t="str">
        <f ca="1">IFERROR(IF(AND(INDEX(Tab_DaBa[],MATCH(CONCATENATE(Liste!$C$3,$B$1415,$B$1585),Data!$BO:$BO,0)-2,58)&lt;&gt;"",INDEX(Tab_DaBa[],MATCH(CONCATENATE(Liste!$C$3,$B$1415,$B$1585),Data!$BO:$BO,0)-2,63)=""),INDEX(Tab_DaBa[],MATCH(CONCATENATE(Liste!$C$3,$B$1415,$B$1585),Data!$BO:$BO,0)-2,13),IF(INDEX(Tab_DaBa[],MATCH(CONCATENATE(Liste!$C$3,$B$1415,$B$1585),Data!$BO:$BO,0)-2,58)&lt;&gt;"",INDEX(Tab_DaBa[],MATCH(CONCATENATE(Liste!$C$3,$B$1415,$B$1585),Data!$BO:$BO,0)-2,63),"")),"")</f>
        <v/>
      </c>
      <c r="G1605" s="38" t="str">
        <f ca="1">IF(H1603="","",4)</f>
        <v/>
      </c>
      <c r="H1605" s="35" t="str">
        <f ca="1">IFERROR(IF(INDEX(Tab_DaBa[],MATCH(CONCATENATE(Liste!$C$3,$B$1415,$B$1585),Data!$BO:$BO,0)-2,63)&lt;&gt;"",INDEX(Tab_DaBa[],MATCH(CONCATENATE(Liste!$C$3,$B$1415,$B$1585),Data!$BO:$BO,0)-2,13),""),"")</f>
        <v/>
      </c>
    </row>
    <row r="1606" spans="2:9" s="16" customFormat="1" ht="15.75">
      <c r="B1606" s="35" t="str">
        <f ca="1">IFERROR(IF(AND(INDEX(Tab_DaBa[],MATCH(CONCATENATE(Liste!$C$3,$B$1415,$B$1585),Data!$BO:$BO,0)-2,48)&lt;&gt;"",INDEX(Tab_DaBa[],MATCH(CONCATENATE(Liste!$C$3,$B$1415,$B$1585),Data!$BO:$BO,0)-2,53)=""),"Performance Level: "&amp;INDEX(Tab_DaBa[],MATCH(CONCATENATE(Liste!$C$3,$B$1415,$B$1585),Data!$BO:$BO,0)-2,15),IF(INDEX(Tab_DaBa[],MATCH(CONCATENATE(Liste!$C$3,$B$1415,$B$1585),Data!$BO:$BO,0)-2,48)&lt;&gt;"","Performance Level: "&amp;INDEX(Tab_DaBa[],MATCH(CONCATENATE(Liste!$C$3,$B$1415,$B$1585),Data!$BO:$BO,0)-2,55),"")),"")</f>
        <v>Performance Level: PL_Aus4_7</v>
      </c>
      <c r="C1606" s="39"/>
      <c r="D1606" s="35" t="str">
        <f ca="1">IFERROR(IF(AND(INDEX(Tab_DaBa[],MATCH(CONCATENATE(Liste!$C$3,$B$1415,$B$1585),Data!$BO:$BO,0)-2,53)&lt;&gt;"",INDEX(Tab_DaBa[],MATCH(CONCATENATE(Liste!$C$3,$B$1415,$B$1585),Data!$BO:$BO,0)-2,58)=""),"Performance Level: "&amp;INDEX(Tab_DaBa[],MATCH(CONCATENATE(Liste!$C$3,$B$1415,$B$1585),Data!$BO:$BO,0)-2,15),IF(INDEX(Tab_DaBa[],MATCH(CONCATENATE(Liste!$C$3,$B$1415,$B$1585),Data!$BO:$BO,0)-2,53)&lt;&gt;"","Performance Level: "&amp;INDEX(Tab_DaBa[],MATCH(CONCATENATE(Liste!$C$3,$B$1415,$B$1585),Data!$BO:$BO,0)-2,60),"")),"")</f>
        <v/>
      </c>
      <c r="E1606" s="37"/>
      <c r="F1606" s="35" t="str">
        <f ca="1">IFERROR(IF(AND(INDEX(Tab_DaBa[],MATCH(CONCATENATE(Liste!$C$3,$B$1415,$B$1585),Data!$BO:$BO,0)-2,58)&lt;&gt;"",INDEX(Tab_DaBa[],MATCH(CONCATENATE(Liste!$C$3,$B$1415,$B$1585),Data!$BO:$BO,0)-2,63)=""),"Performance Level: "&amp;INDEX(Tab_DaBa[],MATCH(CONCATENATE(Liste!$C$3,$B$1415,$B$1585),Data!$BO:$BO,0)-2,15),IF(INDEX(Tab_DaBa[],MATCH(CONCATENATE(Liste!$C$3,$B$1415,$B$1585),Data!$BO:$BO,0)-2,58)&lt;&gt;"","Performance Level: "&amp;INDEX(Tab_DaBa[],MATCH(CONCATENATE(Liste!$C$3,$B$1415,$B$1585),Data!$BO:$BO,0)-2,65),"")),"")</f>
        <v/>
      </c>
      <c r="G1606" s="39"/>
      <c r="H1606" s="35" t="str">
        <f ca="1">IFERROR(IF(INDEX(Tab_DaBa[],MATCH(CONCATENATE(Liste!$C$3,$B$1415,$B$1585),Data!$BO:$BO,0)-2,63)&lt;&gt;"","Performance Level: "&amp;INDEX(Tab_DaBa[],MATCH(CONCATENATE(Liste!$C$3,$B$1415,$B$1585),Data!$BO:$BO,0)-2,15),""),"")</f>
        <v/>
      </c>
    </row>
    <row r="1607" spans="2:9" s="16" customFormat="1" ht="15.75">
      <c r="B1607" s="35" t="str">
        <f ca="1">IFERROR(IF(AND(INDEX(Tab_DaBa[],MATCH(CONCATENATE(Liste!$C$3,$B$1415,$B$1585),Data!$BO:$BO,0)-2,48)&lt;&gt;"",INDEX(Tab_DaBa[],MATCH(CONCATENATE(Liste!$C$3,$B$1415,$B$1585),Data!$BO:$BO,0)-2,53)=""),"PFH [1/h] = "&amp;10^9*INDEX(Tab_DaBa[],MATCH(CONCATENATE(Liste!$C$3,$B$1415,$B$1585),Data!$BO:$BO,0)-2,16)&amp;"E-9",IF(INDEX(Tab_DaBa[],MATCH(CONCATENATE(Liste!$C$3,$B$1415,$B$1585),Data!$BO:$BO,0)-2,48)&lt;&gt;"","PFH [1/h] = "&amp;10^9*INDEX(Tab_DaBa[],MATCH(CONCATENATE(Liste!$C$3,$B$1415,$B$1585),Data!$BO:$BO,0)-2,56)&amp;"E-9","")),"")</f>
        <v>PFH [1/h] = 24,7E-9</v>
      </c>
      <c r="C1607" s="39"/>
      <c r="D1607" s="35" t="str">
        <f ca="1">IFERROR(IF(AND(INDEX(Tab_DaBa[],MATCH(CONCATENATE(Liste!$C$3,$B$1415,$B$1585),Data!$BO:$BO,0)-2,53)&lt;&gt;"",INDEX(Tab_DaBa[],MATCH(CONCATENATE(Liste!$C$3,$B$1415,$B$1585),Data!$BO:$BO,0)-2,58)=""),"PFH [1/h] = "&amp;10^9*INDEX(Tab_DaBa[],MATCH(CONCATENATE(Liste!$C$3,$B$1415,$B$1585),Data!$BO:$BO,0)-2,16)&amp;"E-9",IF(INDEX(Tab_DaBa[],MATCH(CONCATENATE(Liste!$C$3,$B$1415,$B$1585),Data!$BO:$BO,0)-2,53)&lt;&gt;"","PFH [1/h] = "&amp;10^9*INDEX(Tab_DaBa[],MATCH(CONCATENATE(Liste!$C$3,$B$1415,$B$1585),Data!$BO:$BO,0)-2,61)&amp;"E-9","")),"")</f>
        <v/>
      </c>
      <c r="E1607" s="37"/>
      <c r="F1607" s="35" t="str">
        <f ca="1">IFERROR(IF(AND(INDEX(Tab_DaBa[],MATCH(CONCATENATE(Liste!$C$3,$B$1415,$B$1585),Data!$BO:$BO,0)-2,58)&lt;&gt;"",INDEX(Tab_DaBa[],MATCH(CONCATENATE(Liste!$C$3,$B$1415,$B$1585),Data!$BO:$BO,0)-2,63)=""),"PFH [1/h] = "&amp;10^9*INDEX(Tab_DaBa[],MATCH(CONCATENATE(Liste!$C$3,$B$1415,$B$1585),Data!$BO:$BO,0)-2,16)&amp;"E-9",IF(INDEX(Tab_DaBa[],MATCH(CONCATENATE(Liste!$C$3,$B$1415,$B$1585),Data!$BO:$BO,0)-2,58)&lt;&gt;"","PFH [1/h] = "&amp;10^9*INDEX(Tab_DaBa[],MATCH(CONCATENATE(Liste!$C$3,$B$1415,$B$1585),Data!$BO:$BO,0)-2,66)&amp;"E-9","")),"")</f>
        <v/>
      </c>
      <c r="G1607" s="39"/>
      <c r="H1607" s="35" t="str">
        <f ca="1">IFERROR(IF(INDEX(Tab_DaBa[],MATCH(CONCATENATE(Liste!$C$3,$B$1415,$B$1585),Data!$BO:$BO,0)-2,63)&lt;&gt;"","PFH [1/h] = "&amp;10^9*INDEX(Tab_DaBa[],MATCH(CONCATENATE(Liste!$C$3,$B$1415,$B$1585),Data!$BO:$BO,0)-2,16)&amp;"E-9",""),"")</f>
        <v/>
      </c>
    </row>
    <row r="1608" spans="2:9" s="16" customFormat="1"/>
    <row r="1609" spans="2:9" s="16" customFormat="1">
      <c r="B1609" s="43" t="str">
        <f ca="1">IF(D1609="","","Erforderlich")</f>
        <v>Erforderlich</v>
      </c>
      <c r="D1609" s="44" t="str">
        <f ca="1">IFERROR("Performance Level: "&amp;INDEX(Tab_DaBa[],MATCH(CONCATENATE(Liste!$C$3,$B$1415,$B$1585),Data!$BO:$BO,0)-2,4),"")</f>
        <v>Performance Level: PLr_ges4_7</v>
      </c>
    </row>
    <row r="1610" spans="2:9" s="16" customFormat="1">
      <c r="B1610" s="45"/>
    </row>
    <row r="1611" spans="2:9" s="16" customFormat="1">
      <c r="B1611" s="46" t="str">
        <f ca="1">IF(D1611="","","Erreicht")</f>
        <v>Erreicht</v>
      </c>
      <c r="D1611" s="47" t="str">
        <f ca="1">IFERROR("Performance Level: "&amp;INDEX(Tab_DaBa[],MATCH(CONCATENATE(Liste!$C$3,$B$1415,$B$1585),Data!$BO:$BO,0)-2,5)&amp;"          PFH [1/h] = "&amp;10^9*INDEX(Tab_DaBa[],MATCH(CONCATENATE(Liste!$C$3,$B$1415,$B$1585),Data!$BO:$BO,0)-2,6)&amp;"E-9","")</f>
        <v>Performance Level: Pl_ges4_7          PFH [1/h] = 71,7E-9</v>
      </c>
    </row>
    <row r="1612" spans="2:9" s="16" customFormat="1"/>
    <row r="1613" spans="2:9" s="16" customFormat="1">
      <c r="B1613" s="42" t="str">
        <f ca="1">IFERROR(IF(8&gt;COUNTIF(Data!$BP:$BP,CONCATENATE(Liste!$C$3,$B$1415)),"",INDEX(Tab_DaBa[],MATCH(CONCATENATE(Liste!$C$3,$B$1415),Data!$BP:$BP,0)+5,3)),"")</f>
        <v>6.8 Test4 (E+8L+A)</v>
      </c>
    </row>
    <row r="1614" spans="2:9" s="16" customFormat="1"/>
    <row r="1615" spans="2:9" s="16" customFormat="1" ht="15.75">
      <c r="B1615" s="35" t="str">
        <f ca="1">IFERROR(INDEX(Tab_DaBa[],MATCH(CONCATENATE(Liste!$C$3,$B$1415,$B$1613),Data!$BO:$BO,0)-2,9),"")</f>
        <v>Eingang</v>
      </c>
      <c r="C1615" s="54"/>
      <c r="D1615" s="35" t="str">
        <f ca="1">IFERROR(IF(INDEX(Tab_DaBa[],MATCH(CONCATENATE(Liste!$C$3,$B$1415,$B$1613),Data!$BO:$BO,0)-2,18)=0,INDEX(Tab_DaBa[],MATCH(CONCATENATE(Liste!$C$3,$B$1415,$B$1613),Data!$BO:$BO,0)-2,14),INDEX(Tab_DaBa[],MATCH(CONCATENATE(Liste!$C$3,$B$1415,$B$1613),Data!$BO:$BO,0)-2,19)),"")</f>
        <v>Logik 01</v>
      </c>
      <c r="E1615" s="33"/>
      <c r="F1615" s="35" t="str">
        <f ca="1">IFERROR(IF(AND(INDEX(Tab_DaBa[],MATCH(CONCATENATE(Liste!$C$3,$B$1415,$B$1613),Data!$BO:$BO,0)-2,18)&lt;&gt;"",INDEX(Tab_DaBa[],MATCH(CONCATENATE(Liste!$C$3,$B$1415,$B$1613),Data!$BO:$BO,0)-2,23)=0),INDEX(Tab_DaBa[],MATCH(CONCATENATE(Liste!$C$3,$B$1415,$B$1613),Data!$BO:$BO,0)-2,14),IF(INDEX(Tab_DaBa[],MATCH(CONCATENATE(Liste!$C$3,$B$1415,$B$1613),Data!$BO:$BO,0)-2,23)&lt;&gt;"",INDEX(Tab_DaBa[],MATCH(CONCATENATE(Liste!$C$3,$B$1415,$B$1613),Data!$BO:$BO,0)-2,24),"")),"")</f>
        <v>Logik 02</v>
      </c>
      <c r="G1615" s="39"/>
      <c r="H1615" s="35" t="str">
        <f ca="1">IFERROR(IF(AND(INDEX(Tab_DaBa[],MATCH(CONCATENATE(Liste!$C$3,$B$1415,$B$1613),Data!$BO:$BO,0)-2,23)&lt;&gt;"",INDEX(Tab_DaBa[],MATCH(CONCATENATE(Liste!$C$3,$B$1415,$B$1613),Data!$BO:$BO,0)-2,28)=0),INDEX(Tab_DaBa[],MATCH(CONCATENATE(Liste!$C$3,$B$1415,$B$1613),Data!$BO:$BO,0)-2,14),IF(INDEX(Tab_DaBa[],MATCH(CONCATENATE(Liste!$C$3,$B$1415,$B$1613),Data!$BO:$BO,0)-2,23)&lt;&gt;"",INDEX(Tab_DaBa[],MATCH(CONCATENATE(Liste!$C$3,$B$1415,$B$1613),Data!$BO:$BO,0)-2,29),"")),"")</f>
        <v>Logik 03</v>
      </c>
      <c r="I1615" s="39"/>
    </row>
    <row r="1616" spans="2:9" s="16" customFormat="1" ht="15.75">
      <c r="B1616" s="35" t="str">
        <f ca="1">IFERROR(INDEX(Tab_DaBa[],MATCH(CONCATENATE(Liste!$C$3,$B$1415,$B$1613),Data!$BO:$BO,0)-2,7),"")</f>
        <v>eeee-33_8</v>
      </c>
      <c r="C1616" s="54"/>
      <c r="D1616" s="35" t="str">
        <f ca="1">IFERROR(IF(INDEX(Tab_DaBa[],MATCH(CONCATENATE(Liste!$C$3,$B$1415,$B$1613),Data!$BO:$BO,0)-2,18)="",INDEX(Tab_DaBa[],MATCH(CONCATENATE(Liste!$C$3,$B$1415,$B$1613),Data!$BO:$BO,0)-2,12),INDEX(Tab_DaBa[],MATCH(CONCATENATE(Liste!$C$3,$B$1415,$B$1613),Data!$BO:$BO,0)-2,17)),"")</f>
        <v>Log01-04_08</v>
      </c>
      <c r="E1616" s="36"/>
      <c r="F1616" s="35" t="str">
        <f ca="1">IFERROR(IF(AND(INDEX(Tab_DaBa[],MATCH(CONCATENATE(Liste!$C$3,$B$1415,$B$1613),Data!$BO:$BO,0)-2,18)&lt;&gt;"",INDEX(Tab_DaBa[],MATCH(CONCATENATE(Liste!$C$3,$B$1415,$B$1613),Data!$BO:$BO,0)-2,23)=0),INDEX(Tab_DaBa[],MATCH(CONCATENATE(Liste!$C$3,$B$1415,$B$1613),Data!$BO:$BO,0)-2,12),IF(INDEX(Tab_DaBa[],MATCH(CONCATENATE(Liste!$C$3,$B$1415,$B$1613),Data!$BO:$BO,0)-2,23)&lt;&gt;"",INDEX(Tab_DaBa[],MATCH(CONCATENATE(Liste!$C$3,$B$1415,$B$1613),Data!$BO:$BO,0)-2,22),"")),"")</f>
        <v>Lo04-04_08</v>
      </c>
      <c r="G1616" s="39"/>
      <c r="H1616" s="35" t="str">
        <f ca="1">IFERROR(IF(AND(INDEX(Tab_DaBa[],MATCH(CONCATENATE(Liste!$C$3,$B$1415,$B$1613),Data!$BO:$BO,0)-2,23)&lt;&gt;"",INDEX(Tab_DaBa[],MATCH(CONCATENATE(Liste!$C$3,$B$1415,$B$1613),Data!$BO:$BO,0)-2,28)=0),INDEX(Tab_DaBa[],MATCH(CONCATENATE(Liste!$C$3,$B$1415,$B$1613),Data!$BO:$BO,0)-2,12),IF(INDEX(Tab_DaBa[],MATCH(CONCATENATE(Liste!$C$3,$B$1415,$B$1613),Data!$BO:$BO,0)-2,23)&lt;&gt;"",INDEX(Tab_DaBa[],MATCH(CONCATENATE(Liste!$C$3,$B$1415,$B$1613),Data!$BO:$BO,0)-2,27),"")),"")</f>
        <v>Lo04-44_08</v>
      </c>
      <c r="I1616" s="39"/>
    </row>
    <row r="1617" spans="2:9" s="16" customFormat="1" ht="15.75">
      <c r="B1617" s="35" t="str">
        <f ca="1">IFERROR(INDEX(Tab_DaBa[],MATCH(CONCATENATE(Liste!$C$3,$B$1415,$B$1613),Data!$BO:$BO,0)-2,8),"")</f>
        <v>Bez_Ein4_8</v>
      </c>
      <c r="C1617" s="40">
        <f ca="1">IF(D1615="","",4)</f>
        <v>4</v>
      </c>
      <c r="D1617" s="35" t="str">
        <f ca="1">IFERROR(IF(INDEX(Tab_DaBa[],MATCH(CONCATENATE(Liste!$C$3,$B$1415,$B$1613),Data!$BO:$BO,0)-2,18)="",INDEX(Tab_DaBa[],MATCH(CONCATENATE(Liste!$C$3,$B$1415,$B$1613),Data!$BO:$BO,0)-2,13),INDEX(Tab_DaBa[],MATCH(CONCATENATE(Liste!$C$3,$B$1415,$B$1613),Data!$BO:$BO,0)-2,18)),"")</f>
        <v>Bez_Log01_04_08</v>
      </c>
      <c r="E1617" s="40">
        <f ca="1">IF(F1615="","",4)</f>
        <v>4</v>
      </c>
      <c r="F1617" s="35" t="str">
        <f ca="1">IFERROR(IF(AND(INDEX(Tab_DaBa[],MATCH(CONCATENATE(Liste!$C$3,$B$1415,$B$1613),Data!$BO:$BO,0)-2,18)&lt;&gt;"",INDEX(Tab_DaBa[],MATCH(CONCATENATE(Liste!$C$3,$B$1415,$B$1613),Data!$BO:$BO,0)-2,23)=""),INDEX(Tab_DaBa[],MATCH(CONCATENATE(Liste!$C$3,$B$1415,$B$1613),Data!$BO:$BO,0)-2,13),IF(INDEX(Tab_DaBa[],MATCH(CONCATENATE(Liste!$C$3,$B$1415,$B$1613),Data!$BO:$BO,0)-2,23)&lt;&gt;"",INDEX(Tab_DaBa[],MATCH(CONCATENATE(Liste!$C$3,$B$1415,$B$1613),Data!$BO:$BO,0)-2,23),"")),"")</f>
        <v>Bez_Lo04_08</v>
      </c>
      <c r="G1617" s="38">
        <f ca="1">IF(H1615="","",4)</f>
        <v>4</v>
      </c>
      <c r="H1617" s="35" t="str">
        <f ca="1">IFERROR(IF(AND(INDEX(Tab_DaBa[],MATCH(CONCATENATE(Liste!$C$3,$B$1415,$B$1613),Data!$BO:$BO,0)-2,23)&lt;&gt;"",INDEX(Tab_DaBa[],MATCH(CONCATENATE(Liste!$C$3,$B$1415,$B$1613),Data!$BO:$BO,0)-2,28)=""),INDEX(Tab_DaBa[],MATCH(CONCATENATE(Liste!$C$3,$B$1415,$B$1613),Data!$BO:$BO,0)-2,13),IF(INDEX(Tab_DaBa[],MATCH(CONCATENATE(Liste!$C$3,$B$1415,$B$1613),Data!$BO:$BO,0)-2,23)&lt;&gt;"",INDEX(Tab_DaBa[],MATCH(CONCATENATE(Liste!$C$3,$B$1415,$B$1613),Data!$BO:$BO,0)-2,28),"")),"")</f>
        <v>Bez_Lo04_08</v>
      </c>
      <c r="I1617" s="38">
        <f ca="1">IF(B1623="","",6)</f>
        <v>6</v>
      </c>
    </row>
    <row r="1618" spans="2:9" s="16" customFormat="1" ht="15.75">
      <c r="B1618" s="35" t="str">
        <f ca="1">IFERROR("Performance Level: "&amp;INDEX(Tab_DaBa[],MATCH(CONCATENATE(Liste!$C$3,$B$1415,$B$1613),Data!$BO:$BO,0)-2,10),"")</f>
        <v>Performance Level: PL_Ein4_8</v>
      </c>
      <c r="C1618" s="54"/>
      <c r="D1618" s="35" t="str">
        <f ca="1">IFERROR(IF(INDEX(Tab_DaBa[],MATCH(CONCATENATE(Liste!$C$3,$B$1415,$B$1613),Data!$BO:$BO,0)-2,18)="","Performance Level: "&amp;INDEX(Tab_DaBa[],MATCH(CONCATENATE(Liste!$C$3,$B$1415,$B$1613),Data!$BO:$BO,0)-2,15),"Performance Level: "&amp;INDEX(Tab_DaBa[],MATCH(CONCATENATE(Liste!$C$3,$B$1415,$B$1613),Data!$BO:$BO,0)-2,20)),"")</f>
        <v>Performance Level: PL_Log01_04_08</v>
      </c>
      <c r="E1618" s="36"/>
      <c r="F1618" s="35" t="str">
        <f ca="1">IFERROR(IF(AND(INDEX(Tab_DaBa[],MATCH(CONCATENATE(Liste!$C$3,$B$1415,$B$1613),Data!$BO:$BO,0)-2,18)&lt;&gt;"",INDEX(Tab_DaBa[],MATCH(CONCATENATE(Liste!$C$3,$B$1415,$B$1613),Data!$BO:$BO,0)-2,23)=""),"Performance Level: "&amp;INDEX(Tab_DaBa[],MATCH(CONCATENATE(Liste!$C$3,$B$1415,$B$1613),Data!$BO:$BO,0)-2,15),IF(INDEX(Tab_DaBa[],MATCH(CONCATENATE(Liste!$C$3,$B$1415,$B$1613),Data!$BO:$BO,0)-2,23)&lt;&gt;"","Performance Level: "&amp;INDEX(Tab_DaBa[],MATCH(CONCATENATE(Liste!$C$3,$B$1415,$B$1613),Data!$BO:$BO,0)-2,25),"")),"")</f>
        <v>Performance Level: PL_Lo04_08</v>
      </c>
      <c r="G1618" s="39"/>
      <c r="H1618" s="35" t="str">
        <f ca="1">IFERROR(IF(AND(INDEX(Tab_DaBa[],MATCH(CONCATENATE(Liste!$C$3,$B$1415,$B$1613),Data!$BO:$BO,0)-2,23)&lt;&gt;"",INDEX(Tab_DaBa[],MATCH(CONCATENATE(Liste!$C$3,$B$1415,$B$1613),Data!$BO:$BO,0)-2,28)=""),"Performance Level: "&amp;INDEX(Tab_DaBa[],MATCH(CONCATENATE(Liste!$C$3,$B$1415,$B$1613),Data!$BO:$BO,0)-2,15),IF(INDEX(Tab_DaBa[],MATCH(CONCATENATE(Liste!$C$3,$B$1415,$B$1613),Data!$BO:$BO,0)-2,23)&lt;&gt;"","Performance Level: "&amp;INDEX(Tab_DaBa[],MATCH(CONCATENATE(Liste!$C$3,$B$1415,$B$1613),Data!$BO:$BO,0)-2,30),"")),"")</f>
        <v>Performance Level: PL_Lo04_08</v>
      </c>
      <c r="I1618" s="38"/>
    </row>
    <row r="1619" spans="2:9" s="16" customFormat="1" ht="15.75">
      <c r="B1619" s="53" t="str">
        <f ca="1">IFERROR("PFH [1/h] = "&amp;10^9*INDEX(Tab_DaBa[],MATCH(CONCATENATE(Liste!$C$3,$B$1415,$B$1613),Data!$BO:$BO,0)-2,11)&amp;"E-9","")</f>
        <v>PFH [1/h] = 42,9E-9</v>
      </c>
      <c r="C1619" s="54"/>
      <c r="D1619" s="35" t="str">
        <f ca="1">IFERROR(IF(INDEX(Tab_DaBa[],MATCH(CONCATENATE(Liste!$C$3,$B$1415,$B$1613),Data!$BO:$BO,0)-2,18)="","PFH [1/h] = "&amp;10^9*INDEX(Tab_DaBa[],MATCH(CONCATENATE(Liste!$C$3,$B$1415,$B$1613),Data!$BO:$BO,0)-2,16)&amp;"E-9","PFH [1/h] = "&amp;10^9*INDEX(Tab_DaBa[],MATCH(CONCATENATE(Liste!$C$3,$B$1415,$B$1613),Data!$BO:$BO,0)-2,21)&amp;"E-9"),"")</f>
        <v>PFH [1/h] = 4,19E-9</v>
      </c>
      <c r="E1619" s="36"/>
      <c r="F1619" s="35" t="str">
        <f ca="1">IFERROR(IF(AND(INDEX(Tab_DaBa[],MATCH(CONCATENATE(Liste!$C$3,$B$1415,$B$1613),Data!$BO:$BO,0)-2,18)&lt;&gt;"",INDEX(Tab_DaBa[],MATCH(CONCATENATE(Liste!$C$3,$B$1415,$B$1613),Data!$BO:$BO,0)-2,23)=""),"PFH [1/h] = "&amp;10^9*INDEX(Tab_DaBa[],MATCH(CONCATENATE(Liste!$C$3,$B$1415,$B$1613),Data!$BO:$BO,0)-2,16)&amp;"E-9",IF(INDEX(Tab_DaBa[],MATCH(CONCATENATE(Liste!$C$3,$B$1415,$B$1613),Data!$BO:$BO,0)-2,23)&lt;&gt;"","PFH [1/h] = "&amp;10^9*INDEX(Tab_DaBa[],MATCH(CONCATENATE(Liste!$C$3,$B$1415,$B$1613),Data!$BO:$BO,0)-2,26)&amp;"E-9","")),"")</f>
        <v>PFH [1/h] = 4,19E-9</v>
      </c>
      <c r="G1619" s="39"/>
      <c r="H1619" s="35" t="str">
        <f ca="1">IFERROR(IF(AND(INDEX(Tab_DaBa[],MATCH(CONCATENATE(Liste!$C$3,$B$1415,$B$1613),Data!$BO:$BO,0)-2,23)&lt;&gt;"",INDEX(Tab_DaBa[],MATCH(CONCATENATE(Liste!$C$3,$B$1415,$B$1613),Data!$BO:$BO,0)-2,28)=""),"PFH [1/h] = "&amp;10^9*INDEX(Tab_DaBa[],MATCH(CONCATENATE(Liste!$C$3,$B$1415,$B$1613),Data!$BO:$BO,0)-2,16)&amp;"E-9",IF(INDEX(Tab_DaBa[],MATCH(CONCATENATE(Liste!$C$3,$B$1415,$B$1613),Data!$BO:$BO,0)-2,23)&lt;&gt;"","PFH [1/h] = "&amp;10^9*INDEX(Tab_DaBa[],MATCH(CONCATENATE(Liste!$C$3,$B$1415,$B$1613),Data!$BO:$BO,0)-2,31)&amp;"E-9","")),"")</f>
        <v>PFH [1/h] = 4,19E-9</v>
      </c>
      <c r="I1619" s="39"/>
    </row>
    <row r="1620" spans="2:9" s="16" customFormat="1">
      <c r="B1620" s="33"/>
      <c r="C1620" s="34"/>
      <c r="D1620" s="33"/>
      <c r="E1620" s="33"/>
      <c r="F1620" s="33"/>
      <c r="G1620" s="33"/>
      <c r="H1620" s="33"/>
      <c r="I1620" s="33"/>
    </row>
    <row r="1621" spans="2:9" s="16" customFormat="1" ht="15.75">
      <c r="B1621" s="38">
        <f ca="1">IF(B1623="","",6)</f>
        <v>6</v>
      </c>
      <c r="C1621" s="34"/>
      <c r="D1621" s="38">
        <f ca="1">IF(B1623="","",3)</f>
        <v>3</v>
      </c>
      <c r="E1621" s="33"/>
      <c r="F1621" s="38">
        <f ca="1">IF(B1623="","",3)</f>
        <v>3</v>
      </c>
      <c r="G1621" s="33"/>
      <c r="H1621" s="38">
        <f ca="1">IF(B1623="","",3)</f>
        <v>3</v>
      </c>
      <c r="I1621" s="33"/>
    </row>
    <row r="1622" spans="2:9" s="16" customFormat="1" ht="15.75">
      <c r="B1622" s="39"/>
      <c r="C1622" s="33"/>
      <c r="D1622" s="33"/>
      <c r="E1622" s="33"/>
      <c r="F1622" s="33"/>
      <c r="G1622" s="33"/>
      <c r="H1622" s="33"/>
      <c r="I1622" s="33"/>
    </row>
    <row r="1623" spans="2:9" s="16" customFormat="1" ht="15.75">
      <c r="B1623" s="35" t="str">
        <f ca="1">IFERROR(IF(AND(INDEX(Tab_DaBa[],MATCH(CONCATENATE(Liste!$C$3,$B$1415,$B$1613),Data!$BO:$BO,0)-2,28)&lt;&gt;"",INDEX(Tab_DaBa[],MATCH(CONCATENATE(Liste!$C$3,$B$1415,$B$1613),Data!$BO:$BO,0)-2,33)=0),INDEX(Tab_DaBa[],MATCH(CONCATENATE(Liste!$C$3,$B$1415,$B$1613),Data!$BO:$BO,0)-2,14),IF(INDEX(Tab_DaBa[],MATCH(CONCATENATE(Liste!$C$3,$B$1415,$B$1613),Data!$BO:$BO,0)-2,28)&lt;&gt;"",INDEX(Tab_DaBa[],MATCH(CONCATENATE(Liste!$C$3,$B$1415,$B$1613),Data!$BO:$BO,0)-2,34),"")),"")</f>
        <v>Logik 04</v>
      </c>
      <c r="C1623" s="39"/>
      <c r="D1623" s="35" t="str">
        <f ca="1">IFERROR(IF(AND(INDEX(Tab_DaBa[],MATCH(CONCATENATE(Liste!$C$3,$B$1415,$B$1613),Data!$BO:$BO,0)-2,33)&lt;&gt;"",INDEX(Tab_DaBa[],MATCH(CONCATENATE(Liste!$C$3,$B$1415,$B$1613),Data!$BO:$BO,0)-2,38)=0),INDEX(Tab_DaBa[],MATCH(CONCATENATE(Liste!$C$3,$B$1415,$B$1613),Data!$BO:$BO,0)-2,14),IF(INDEX(Tab_DaBa[],MATCH(CONCATENATE(Liste!$C$3,$B$1415,$B$1613),Data!$BO:$BO,0)-2,33)&lt;&gt;"",INDEX(Tab_DaBa[],MATCH(CONCATENATE(Liste!$C$3,$B$1415,$B$1613),Data!$BO:$BO,0)-2,39),"")),"")</f>
        <v>Logik 06</v>
      </c>
      <c r="E1623" s="33"/>
      <c r="F1623" s="35" t="str">
        <f ca="1">IFERROR(IF(AND(INDEX(Tab_DaBa[],MATCH(CONCATENATE(Liste!$C$3,$B$1415,$B$1613),Data!$BO:$BO,0)-2,38)&lt;&gt;"",INDEX(Tab_DaBa[],MATCH(CONCATENATE(Liste!$C$3,$B$1415,$B$1613),Data!$BO:$BO,0)-2,43)=0),INDEX(Tab_DaBa[],MATCH(CONCATENATE(Liste!$C$3,$B$1415,$B$1613),Data!$BO:$BO,0)-2,14),IF(INDEX(Tab_DaBa[],MATCH(CONCATENATE(Liste!$C$3,$B$1415,$B$1613),Data!$BO:$BO,0)-2,38)&lt;&gt;"",INDEX(Tab_DaBa[],MATCH(CONCATENATE(Liste!$C$3,$B$1415,$B$1613),Data!$BO:$BO,0)-2,44),"")),"")</f>
        <v>Logik 06</v>
      </c>
      <c r="G1623" s="39"/>
      <c r="H1623" s="35" t="str">
        <f ca="1">IFERROR(IF(AND(INDEX(Tab_DaBa[],MATCH(CONCATENATE(Liste!$C$3,$B$1415,$B$1613),Data!$BO:$BO,0)-2,43)&lt;&gt;"",INDEX(Tab_DaBa[],MATCH(CONCATENATE(Liste!$C$3,$B$1415,$B$1613),Data!$BO:$BO,0)-2,48)=0),INDEX(Tab_DaBa[],MATCH(CONCATENATE(Liste!$C$3,$B$1415,$B$1613),Data!$BO:$BO,0)-2,14),IF(INDEX(Tab_DaBa[],MATCH(CONCATENATE(Liste!$C$3,$B$1415,$B$1613),Data!$BO:$BO,0)-2,43)&lt;&gt;"",INDEX(Tab_DaBa[],MATCH(CONCATENATE(Liste!$C$3,$B$1415,$B$1613),Data!$BO:$BO,0)-2,49),"")),"")</f>
        <v>Logik 07</v>
      </c>
      <c r="I1623" s="39"/>
    </row>
    <row r="1624" spans="2:9" s="16" customFormat="1" ht="15.75">
      <c r="B1624" s="35" t="str">
        <f ca="1">IFERROR(IF(AND(INDEX(Tab_DaBa[],MATCH(CONCATENATE(Liste!$C$3,$B$1415,$B$1613),Data!$BO:$BO,0)-2,28)&lt;&gt;"",INDEX(Tab_DaBa[],MATCH(CONCATENATE(Liste!$C$3,$B$1415,$B$1613),Data!$BO:$BO,0)-2,33)=0),INDEX(Tab_DaBa[],MATCH(CONCATENATE(Liste!$C$3,$B$1415,$B$1613),Data!$BO:$BO,0)-2,12),IF(INDEX(Tab_DaBa[],MATCH(CONCATENATE(Liste!$C$3,$B$1415,$B$1613),Data!$BO:$BO,0)-2,28)&lt;&gt;"",INDEX(Tab_DaBa[],MATCH(CONCATENATE(Liste!$C$3,$B$1415,$B$1613),Data!$BO:$BO,0)-2,32),"")),"")</f>
        <v>Lo04-44_08</v>
      </c>
      <c r="C1624" s="39"/>
      <c r="D1624" s="35" t="str">
        <f ca="1">IFERROR(IF(AND(INDEX(Tab_DaBa[],MATCH(CONCATENATE(Liste!$C$3,$B$1415,$B$1613),Data!$BO:$BO,0)-2,33)&lt;&gt;"",INDEX(Tab_DaBa[],MATCH(CONCATENATE(Liste!$C$3,$B$1415,$B$1613),Data!$BO:$BO,0)-2,38)=0),INDEX(Tab_DaBa[],MATCH(CONCATENATE(Liste!$C$3,$B$1415,$B$1613),Data!$BO:$BO,0)-2,12),IF(INDEX(Tab_DaBa[],MATCH(CONCATENATE(Liste!$C$3,$B$1415,$B$1613),Data!$BO:$BO,0)-2,33)&lt;&gt;"",INDEX(Tab_DaBa[],MATCH(CONCATENATE(Liste!$C$3,$B$1415,$B$1613),Data!$BO:$BO,0)-2,37),"")),"")</f>
        <v>Lo04-44_08</v>
      </c>
      <c r="E1624" s="37"/>
      <c r="F1624" s="35" t="str">
        <f ca="1">IFERROR(IF(AND(INDEX(Tab_DaBa[],MATCH(CONCATENATE(Liste!$C$3,$B$1415,$B$1613),Data!$BO:$BO,0)-2,38)&lt;&gt;"",INDEX(Tab_DaBa[],MATCH(CONCATENATE(Liste!$C$3,$B$1415,$B$1613),Data!$BO:$BO,0)-2,43)=0),INDEX(Tab_DaBa[],MATCH(CONCATENATE(Liste!$C$3,$B$1415,$B$1613),Data!$BO:$BO,0)-2,12),IF(INDEX(Tab_DaBa[],MATCH(CONCATENATE(Liste!$C$3,$B$1415,$B$1613),Data!$BO:$BO,0)-2,38)&lt;&gt;"",INDEX(Tab_DaBa[],MATCH(CONCATENATE(Liste!$C$3,$B$1415,$B$1613),Data!$BO:$BO,0)-2,42),"")),"")</f>
        <v>Lo03-33_08</v>
      </c>
      <c r="G1624" s="39"/>
      <c r="H1624" s="35" t="str">
        <f ca="1">IFERROR(IF(AND(INDEX(Tab_DaBa[],MATCH(CONCATENATE(Liste!$C$3,$B$1415,$B$1613),Data!$BO:$BO,0)-2,43)&lt;&gt;"",INDEX(Tab_DaBa[],MATCH(CONCATENATE(Liste!$C$3,$B$1415,$B$1613),Data!$BO:$BO,0)-2,48)=0),INDEX(Tab_DaBa[],MATCH(CONCATENATE(Liste!$C$3,$B$1415,$B$1613),Data!$BO:$BO,0)-2,12),IF(INDEX(Tab_DaBa[],MATCH(CONCATENATE(Liste!$C$3,$B$1415,$B$1613),Data!$BO:$BO,0)-2,43)&lt;&gt;"",INDEX(Tab_DaBa[],MATCH(CONCATENATE(Liste!$C$3,$B$1415,$B$1613),Data!$BO:$BO,0)-2,47),"")),"")</f>
        <v>Lo03-33_08</v>
      </c>
      <c r="I1624" s="39"/>
    </row>
    <row r="1625" spans="2:9" s="16" customFormat="1" ht="15.75">
      <c r="B1625" s="35" t="str">
        <f ca="1">IFERROR(IF(AND(INDEX(Tab_DaBa[],MATCH(CONCATENATE(Liste!$C$3,$B$1415,$B$1613),Data!$BO:$BO,0)-2,28)&lt;&gt;"",INDEX(Tab_DaBa[],MATCH(CONCATENATE(Liste!$C$3,$B$1415,$B$1613),Data!$BO:$BO,0)-2,33)=""),INDEX(Tab_DaBa[],MATCH(CONCATENATE(Liste!$C$3,$B$1415,$B$1613),Data!$BO:$BO,0)-2,13),IF(INDEX(Tab_DaBa[],MATCH(CONCATENATE(Liste!$C$3,$B$1415,$B$1613),Data!$BO:$BO,0)-2,28)&lt;&gt;"",INDEX(Tab_DaBa[],MATCH(CONCATENATE(Liste!$C$3,$B$1415,$B$1613),Data!$BO:$BO,0)-2,33),"")),"")</f>
        <v>Bez_Lo04_08</v>
      </c>
      <c r="C1625" s="38">
        <f ca="1">IF(D1623="","",4)</f>
        <v>4</v>
      </c>
      <c r="D1625" s="35" t="str">
        <f ca="1">IFERROR(IF(AND(INDEX(Tab_DaBa[],MATCH(CONCATENATE(Liste!$C$3,$B$1415,$B$1613),Data!$BO:$BO,0)-2,33)&lt;&gt;"",INDEX(Tab_DaBa[],MATCH(CONCATENATE(Liste!$C$3,$B$1415,$B$1613),Data!$BO:$BO,0)-2,38)=""),INDEX(Tab_DaBa[],MATCH(CONCATENATE(Liste!$C$3,$B$1415,$B$1613),Data!$BO:$BO,0)-2,13),IF(INDEX(Tab_DaBa[],MATCH(CONCATENATE(Liste!$C$3,$B$1415,$B$1613),Data!$BO:$BO,0)-2,33)&lt;&gt;"",INDEX(Tab_DaBa[],MATCH(CONCATENATE(Liste!$C$3,$B$1415,$B$1613),Data!$BO:$BO,0)-2,38),"")),"")</f>
        <v>Bez_Lo03_08</v>
      </c>
      <c r="E1625" s="38">
        <f ca="1">IF(F1623="","",4)</f>
        <v>4</v>
      </c>
      <c r="F1625" s="35" t="str">
        <f ca="1">IFERROR(IF(AND(INDEX(Tab_DaBa[],MATCH(CONCATENATE(Liste!$C$3,$B$1415,$B$1613),Data!$BO:$BO,0)-2,38)&lt;&gt;"",INDEX(Tab_DaBa[],MATCH(CONCATENATE(Liste!$C$3,$B$1415,$B$1613),Data!$BO:$BO,0)-2,43)=""),INDEX(Tab_DaBa[],MATCH(CONCATENATE(Liste!$C$3,$B$1415,$B$1613),Data!$BO:$BO,0)-2,13),IF(INDEX(Tab_DaBa[],MATCH(CONCATENATE(Liste!$C$3,$B$1415,$B$1613),Data!$BO:$BO,0)-2,38)&lt;&gt;"",INDEX(Tab_DaBa[],MATCH(CONCATENATE(Liste!$C$3,$B$1415,$B$1613),Data!$BO:$BO,0)-2,43),"")),"")</f>
        <v>Bez_Lo03_08</v>
      </c>
      <c r="G1625" s="38">
        <f ca="1">IF(H1623="","",4)</f>
        <v>4</v>
      </c>
      <c r="H1625" s="35" t="str">
        <f ca="1">IFERROR(IF(AND(INDEX(Tab_DaBa[],MATCH(CONCATENATE(Liste!$C$3,$B$1415,$B$1613),Data!$BO:$BO,0)-2,43)&lt;&gt;"",INDEX(Tab_DaBa[],MATCH(CONCATENATE(Liste!$C$3,$B$1415,$B$1613),Data!$BO:$BO,0)-2,48)=""),INDEX(Tab_DaBa[],MATCH(CONCATENATE(Liste!$C$3,$B$1415,$B$1613),Data!$BO:$BO,0)-2,13),IF(INDEX(Tab_DaBa[],MATCH(CONCATENATE(Liste!$C$3,$B$1415,$B$1613),Data!$BO:$BO,0)-2,43)&lt;&gt;"",INDEX(Tab_DaBa[],MATCH(CONCATENATE(Liste!$C$3,$B$1415,$B$1613),Data!$BO:$BO,0)-2,48),"")),"")</f>
        <v>Bez_Lo03_08</v>
      </c>
      <c r="I1625" s="38">
        <f ca="1">IF(B1631="","",6)</f>
        <v>6</v>
      </c>
    </row>
    <row r="1626" spans="2:9" s="16" customFormat="1" ht="15.75">
      <c r="B1626" s="35" t="str">
        <f ca="1">IFERROR(IF(AND(INDEX(Tab_DaBa[],MATCH(CONCATENATE(Liste!$C$3,$B$1415,$B$1613),Data!$BO:$BO,0)-2,28)&lt;&gt;"",INDEX(Tab_DaBa[],MATCH(CONCATENATE(Liste!$C$3,$B$1415,$B$1613),Data!$BO:$BO,0)-2,33)=""),"Performance Level: "&amp;INDEX(Tab_DaBa[],MATCH(CONCATENATE(Liste!$C$3,$B$1415,$B$1613),Data!$BO:$BO,0)-2,15),IF(INDEX(Tab_DaBa[],MATCH(CONCATENATE(Liste!$C$3,$B$1415,$B$1613),Data!$BO:$BO,0)-2,28)&lt;&gt;"","Performance Level: "&amp;INDEX(Tab_DaBa[],MATCH(CONCATENATE(Liste!$C$3,$B$1415,$B$1613),Data!$BO:$BO,0)-2,35),"")),"")</f>
        <v>Performance Level: PL_Lo04_08</v>
      </c>
      <c r="C1626" s="39"/>
      <c r="D1626" s="35" t="str">
        <f ca="1">IFERROR(IF(AND(INDEX(Tab_DaBa[],MATCH(CONCATENATE(Liste!$C$3,$B$1415,$B$1613),Data!$BO:$BO,0)-2,33)&lt;&gt;"",INDEX(Tab_DaBa[],MATCH(CONCATENATE(Liste!$C$3,$B$1415,$B$1613),Data!$BO:$BO,0)-2,38)=""),"Performance Level: "&amp;INDEX(Tab_DaBa[],MATCH(CONCATENATE(Liste!$C$3,$B$1415,$B$1613),Data!$BO:$BO,0)-2,15),IF(INDEX(Tab_DaBa[],MATCH(CONCATENATE(Liste!$C$3,$B$1415,$B$1613),Data!$BO:$BO,0)-2,33)&lt;&gt;"","Performance Level: "&amp;INDEX(Tab_DaBa[],MATCH(CONCATENATE(Liste!$C$3,$B$1415,$B$1613),Data!$BO:$BO,0)-2,40),"")),"")</f>
        <v>Performance Level: PL_Lo03_8</v>
      </c>
      <c r="E1626" s="37"/>
      <c r="F1626" s="35" t="str">
        <f ca="1">IFERROR(IF(AND(INDEX(Tab_DaBa[],MATCH(CONCATENATE(Liste!$C$3,$B$1415,$B$1613),Data!$BO:$BO,0)-2,38)&lt;&gt;"",INDEX(Tab_DaBa[],MATCH(CONCATENATE(Liste!$C$3,$B$1415,$B$1613),Data!$BO:$BO,0)-2,43)=""),"Performance Level: "&amp;INDEX(Tab_DaBa[],MATCH(CONCATENATE(Liste!$C$3,$B$1415,$B$1613),Data!$BO:$BO,0)-2,15),IF(INDEX(Tab_DaBa[],MATCH(CONCATENATE(Liste!$C$3,$B$1415,$B$1613),Data!$BO:$BO,0)-2,38)&lt;&gt;"","Performance Level: "&amp;INDEX(Tab_DaBa[],MATCH(CONCATENATE(Liste!$C$3,$B$1415,$B$1613),Data!$BO:$BO,0)-2,45),"")),"")</f>
        <v>Performance Level: PL_Lo03_08</v>
      </c>
      <c r="G1626" s="39"/>
      <c r="H1626" s="35" t="str">
        <f ca="1">IFERROR(IF(AND(INDEX(Tab_DaBa[],MATCH(CONCATENATE(Liste!$C$3,$B$1415,$B$1613),Data!$BO:$BO,0)-2,43)&lt;&gt;"",INDEX(Tab_DaBa[],MATCH(CONCATENATE(Liste!$C$3,$B$1415,$B$1613),Data!$BO:$BO,0)-2,48)=""),"Performance Level: "&amp;INDEX(Tab_DaBa[],MATCH(CONCATENATE(Liste!$C$3,$B$1415,$B$1613),Data!$BO:$BO,0)-2,15),IF(INDEX(Tab_DaBa[],MATCH(CONCATENATE(Liste!$C$3,$B$1415,$B$1613),Data!$BO:$BO,0)-2,43)&lt;&gt;"","Performance Level: "&amp;INDEX(Tab_DaBa[],MATCH(CONCATENATE(Liste!$C$3,$B$1415,$B$1613),Data!$BO:$BO,0)-2,50),"")),"")</f>
        <v>Performance Level: PL_Lo03_08</v>
      </c>
      <c r="I1626" s="39"/>
    </row>
    <row r="1627" spans="2:9" s="16" customFormat="1" ht="15.75">
      <c r="B1627" s="35" t="str">
        <f ca="1">IFERROR(IF(AND(INDEX(Tab_DaBa[],MATCH(CONCATENATE(Liste!$C$3,$B$1415,$B$1613),Data!$BO:$BO,0)-2,28)&lt;&gt;"",INDEX(Tab_DaBa[],MATCH(CONCATENATE(Liste!$C$3,$B$1415,$B$1613),Data!$BO:$BO,0)-2,33)=""),"PFH [1/h] = "&amp;10^9*INDEX(Tab_DaBa[],MATCH(CONCATENATE(Liste!$C$3,$B$1415,$B$1613),Data!$BO:$BO,0)-2,16)&amp;"E-9",IF(INDEX(Tab_DaBa[],MATCH(CONCATENATE(Liste!$C$3,$B$1415,$B$1613),Data!$BO:$BO,0)-2,28)&lt;&gt;"","PFH [1/h] = "&amp;10^9*INDEX(Tab_DaBa[],MATCH(CONCATENATE(Liste!$C$3,$B$1415,$B$1613),Data!$BO:$BO,0)-2,36)&amp;"E-9","")),"")</f>
        <v>PFH [1/h] = 4,19E-9</v>
      </c>
      <c r="C1627" s="39"/>
      <c r="D1627" s="35" t="str">
        <f ca="1">IFERROR(IF(AND(INDEX(Tab_DaBa[],MATCH(CONCATENATE(Liste!$C$3,$B$1415,$B$1613),Data!$BO:$BO,0)-2,33)&lt;&gt;"",INDEX(Tab_DaBa[],MATCH(CONCATENATE(Liste!$C$3,$B$1415,$B$1613),Data!$BO:$BO,0)-2,38)=""),"PFH [1/h] = "&amp;10^9*INDEX(Tab_DaBa[],MATCH(CONCATENATE(Liste!$C$3,$B$1415,$B$1613),Data!$BO:$BO,0)-2,16)&amp;"E-9",IF(INDEX(Tab_DaBa[],MATCH(CONCATENATE(Liste!$C$3,$B$1415,$B$1613),Data!$BO:$BO,0)-2,33)&lt;&gt;"","PFH [1/h] = "&amp;10^9*INDEX(Tab_DaBa[],MATCH(CONCATENATE(Liste!$C$3,$B$1415,$B$1613),Data!$BO:$BO,0)-2,41)&amp;"E-9","")),"")</f>
        <v>PFH [1/h] = 4,19E-9</v>
      </c>
      <c r="E1627" s="37"/>
      <c r="F1627" s="35" t="str">
        <f ca="1">IFERROR(IF(AND(INDEX(Tab_DaBa[],MATCH(CONCATENATE(Liste!$C$3,$B$1415,$B$1613),Data!$BO:$BO,0)-2,38)&lt;&gt;"",INDEX(Tab_DaBa[],MATCH(CONCATENATE(Liste!$C$3,$B$1415,$B$1613),Data!$BO:$BO,0)-2,43)=""),"PFH [1/h] = "&amp;10^9*INDEX(Tab_DaBa[],MATCH(CONCATENATE(Liste!$C$3,$B$1415,$B$1613),Data!$BO:$BO,0)-2,16)&amp;"E-9",IF(INDEX(Tab_DaBa[],MATCH(CONCATENATE(Liste!$C$3,$B$1415,$B$1613),Data!$BO:$BO,0)-2,38)&lt;&gt;"","PFH [1/h] = "&amp;10^9*INDEX(Tab_DaBa[],MATCH(CONCATENATE(Liste!$C$3,$B$1415,$B$1613),Data!$BO:$BO,0)-2,46)&amp;"E-9","")),"")</f>
        <v>PFH [1/h] = 4,19E-9</v>
      </c>
      <c r="G1627" s="39"/>
      <c r="H1627" s="35" t="str">
        <f ca="1">IFERROR(IF(AND(INDEX(Tab_DaBa[],MATCH(CONCATENATE(Liste!$C$3,$B$1415,$B$1613),Data!$BO:$BO,0)-2,43)&lt;&gt;"",INDEX(Tab_DaBa[],MATCH(CONCATENATE(Liste!$C$3,$B$1415,$B$1613),Data!$BO:$BO,0)-2,48)=""),"PFH [1/h] = "&amp;10^9*INDEX(Tab_DaBa[],MATCH(CONCATENATE(Liste!$C$3,$B$1415,$B$1613),Data!$BO:$BO,0)-2,16)&amp;"E-9",IF(INDEX(Tab_DaBa[],MATCH(CONCATENATE(Liste!$C$3,$B$1415,$B$1613),Data!$BO:$BO,0)-2,43)&lt;&gt;"","PFH [1/h] = "&amp;10^9*INDEX(Tab_DaBa[],MATCH(CONCATENATE(Liste!$C$3,$B$1415,$B$1613),Data!$BO:$BO,0)-2,51)&amp;"E-9","")),"")</f>
        <v>PFH [1/h] = 4,19E-9</v>
      </c>
      <c r="I1627" s="39"/>
    </row>
    <row r="1628" spans="2:9" s="16" customFormat="1">
      <c r="B1628" s="33"/>
      <c r="C1628" s="33"/>
      <c r="D1628" s="33"/>
      <c r="E1628" s="33"/>
      <c r="F1628" s="33"/>
      <c r="G1628" s="33"/>
      <c r="H1628" s="33"/>
      <c r="I1628" s="33"/>
    </row>
    <row r="1629" spans="2:9" s="16" customFormat="1" ht="15.75">
      <c r="B1629" s="38">
        <f ca="1">IF(B1631="","",6)</f>
        <v>6</v>
      </c>
      <c r="C1629" s="33"/>
      <c r="D1629" s="38">
        <f ca="1">IF(B1631="","",3)</f>
        <v>3</v>
      </c>
      <c r="E1629" s="33"/>
      <c r="F1629" s="38">
        <f ca="1">IF(B1631="","",3)</f>
        <v>3</v>
      </c>
      <c r="G1629" s="33"/>
      <c r="H1629" s="38">
        <f ca="1">IF(B1631="","",3)</f>
        <v>3</v>
      </c>
      <c r="I1629" s="33"/>
    </row>
    <row r="1630" spans="2:9" s="16" customFormat="1" ht="15.75">
      <c r="B1630" s="39"/>
      <c r="C1630" s="33"/>
      <c r="D1630" s="33"/>
      <c r="E1630" s="33"/>
      <c r="F1630" s="33"/>
      <c r="G1630" s="33"/>
      <c r="H1630" s="33"/>
      <c r="I1630" s="33"/>
    </row>
    <row r="1631" spans="2:9" s="16" customFormat="1" ht="15.75">
      <c r="B1631" s="35" t="str">
        <f ca="1">IFERROR(IF(AND(INDEX(Tab_DaBa[],MATCH(CONCATENATE(Liste!$C$3,$B$1415,$B$1613),Data!$BO:$BO,0)-2,48)&lt;&gt;"",INDEX(Tab_DaBa[],MATCH(CONCATENATE(Liste!$C$3,$B$1415,$B$1613),Data!$BO:$BO,0)-2,53)=0),INDEX(Tab_DaBa[],MATCH(CONCATENATE(Liste!$C$3,$B$1415,$B$1613),Data!$BO:$BO,0)-2,14),IF(INDEX(Tab_DaBa[],MATCH(CONCATENATE(Liste!$C$3,$B$1415,$B$1613),Data!$BO:$BO,0)-2,48)&lt;&gt;"",INDEX(Tab_DaBa[],MATCH(CONCATENATE(Liste!$C$3,$B$1415,$B$1613),Data!$BO:$BO,0)-2,54),"")),"")</f>
        <v>Logik 08</v>
      </c>
      <c r="C1631" s="39"/>
      <c r="D1631" s="35" t="str">
        <f ca="1">IFERROR(IF(AND(INDEX(Tab_DaBa[],MATCH(CONCATENATE(Liste!$C$3,$B$1415,$B$1613),Data!$BO:$BO,0)-2,53)&lt;&gt;"",INDEX(Tab_DaBa[],MATCH(CONCATENATE(Liste!$C$3,$B$1415,$B$1613),Data!$BO:$BO,0)-2,58)=0),INDEX(Tab_DaBa[],MATCH(CONCATENATE(Liste!$C$3,$B$1415,$B$1613),Data!$BO:$BO,0)-2,14),IF(INDEX(Tab_DaBa[],MATCH(CONCATENATE(Liste!$C$3,$B$1415,$B$1613),Data!$BO:$BO,0)-2,53)&lt;&gt;"",INDEX(Tab_DaBa[],MATCH(CONCATENATE(Liste!$C$3,$B$1415,$B$1613),Data!$BO:$BO,0)-2,59),"")),"")</f>
        <v>Ausgang</v>
      </c>
      <c r="E1631" s="33"/>
      <c r="F1631" s="35" t="str">
        <f ca="1">IFERROR(IF(AND(INDEX(Tab_DaBa[],MATCH(CONCATENATE(Liste!$C$3,$B$1415,$B$1613),Data!$BO:$BO,0)-2,58)&lt;&gt;"",INDEX(Tab_DaBa[],MATCH(CONCATENATE(Liste!$C$3,$B$1415,$B$1613),Data!$BO:$BO,0)-2,63)=0),INDEX(Tab_DaBa[],MATCH(CONCATENATE(Liste!$C$3,$B$1415,$B$1613),Data!$BO:$BO,0)-2,14),IF(INDEX(Tab_DaBa[],MATCH(CONCATENATE(Liste!$C$3,$B$1415,$B$1613),Data!$BO:$BO,0)-2,58)&lt;&gt;"",INDEX(Tab_DaBa[],MATCH(CONCATENATE(Liste!$C$3,$B$1415,$B$1613),Data!$BO:$BO,0)-2,64),"")),"")</f>
        <v/>
      </c>
      <c r="G1631" s="39"/>
      <c r="H1631" s="35" t="str">
        <f ca="1">IFERROR(IF(INDEX(Tab_DaBa[],MATCH(CONCATENATE(Liste!$C$3,$B$1415,$B$1613),Data!$BO:$BO,0)-2,63)&lt;&gt;"",INDEX(Tab_DaBa[],MATCH(CONCATENATE(Liste!$C$3,$B$1415,$B$1613),Data!$BO:$BO,0)-2,14),""),"")</f>
        <v/>
      </c>
    </row>
    <row r="1632" spans="2:9" s="16" customFormat="1" ht="15.75">
      <c r="B1632" s="35" t="str">
        <f ca="1">IFERROR(IF(AND(INDEX(Tab_DaBa[],MATCH(CONCATENATE(Liste!$C$3,$B$1415,$B$1613),Data!$BO:$BO,0)-2,48)&lt;&gt;"",INDEX(Tab_DaBa[],MATCH(CONCATENATE(Liste!$C$3,$B$1415,$B$1613),Data!$BO:$BO,0)-2,53)=0),INDEX(Tab_DaBa[],MATCH(CONCATENATE(Liste!$C$3,$B$1415,$B$1613),Data!$BO:$BO,0)-2,12),IF(INDEX(Tab_DaBa[],MATCH(CONCATENATE(Liste!$C$3,$B$1415,$B$1613),Data!$BO:$BO,0)-2,48)&lt;&gt;"",INDEX(Tab_DaBa[],MATCH(CONCATENATE(Liste!$C$3,$B$1415,$B$1613),Data!$BO:$BO,0)-2,52),"")),"")</f>
        <v>Lo03-88_08</v>
      </c>
      <c r="C1632" s="39"/>
      <c r="D1632" s="35" t="str">
        <f ca="1">IFERROR(IF(AND(INDEX(Tab_DaBa[],MATCH(CONCATENATE(Liste!$C$3,$B$1415,$B$1613),Data!$BO:$BO,0)-2,53)&lt;&gt;"",INDEX(Tab_DaBa[],MATCH(CONCATENATE(Liste!$C$3,$B$1415,$B$1613),Data!$BO:$BO,0)-2,58)=0),INDEX(Tab_DaBa[],MATCH(CONCATENATE(Liste!$C$3,$B$1415,$B$1613),Data!$BO:$BO,0)-2,12),IF(INDEX(Tab_DaBa[],MATCH(CONCATENATE(Liste!$C$3,$B$1415,$B$1613),Data!$BO:$BO,0)-2,53)&lt;&gt;"",INDEX(Tab_DaBa[],MATCH(CONCATENATE(Liste!$C$3,$B$1415,$B$1613),Data!$BO:$BO,0)-2,57),"")),"")</f>
        <v>aaaa-44_8</v>
      </c>
      <c r="E1632" s="37"/>
      <c r="F1632" s="35" t="str">
        <f ca="1">IFERROR(IF(AND(INDEX(Tab_DaBa[],MATCH(CONCATENATE(Liste!$C$3,$B$1415,$B$1613),Data!$BO:$BO,0)-2,58)&lt;&gt;"",INDEX(Tab_DaBa[],MATCH(CONCATENATE(Liste!$C$3,$B$1415,$B$1613),Data!$BO:$BO,0)-2,63)=0),INDEX(Tab_DaBa[],MATCH(CONCATENATE(Liste!$C$3,$B$1415,$B$1613),Data!$BO:$BO,0)-2,12),IF(INDEX(Tab_DaBa[],MATCH(CONCATENATE(Liste!$C$3,$B$1415,$B$1613),Data!$BO:$BO,0)-2,58)&lt;&gt;"",INDEX(Tab_DaBa[],MATCH(CONCATENATE(Liste!$C$3,$B$1415,$B$1613),Data!$BO:$BO,0)-2,62),"")),"")</f>
        <v/>
      </c>
      <c r="G1632" s="39"/>
      <c r="H1632" s="35" t="str">
        <f ca="1">IFERROR(IF(INDEX(Tab_DaBa[],MATCH(CONCATENATE(Liste!$C$3,$B$1415,$B$1613),Data!$BO:$BO,0)-2,63)&lt;&gt;"",INDEX(Tab_DaBa[],MATCH(CONCATENATE(Liste!$C$3,$B$1415,$B$1613),Data!$BO:$BO,0)-2,12),""),"")</f>
        <v/>
      </c>
    </row>
    <row r="1633" spans="2:9" s="16" customFormat="1" ht="15.75">
      <c r="B1633" s="35" t="str">
        <f ca="1">IFERROR(IF(AND(INDEX(Tab_DaBa[],MATCH(CONCATENATE(Liste!$C$3,$B$1415,$B$1613),Data!$BO:$BO,0)-2,48)&lt;&gt;"",INDEX(Tab_DaBa[],MATCH(CONCATENATE(Liste!$C$3,$B$1415,$B$1613),Data!$BO:$BO,0)-2,53)=""),INDEX(Tab_DaBa[],MATCH(CONCATENATE(Liste!$C$3,$B$1415,$B$1613),Data!$BO:$BO,0)-2,13),IF(INDEX(Tab_DaBa[],MATCH(CONCATENATE(Liste!$C$3,$B$1415,$B$1613),Data!$BO:$BO,0)-2,48)&lt;&gt;"",INDEX(Tab_DaBa[],MATCH(CONCATENATE(Liste!$C$3,$B$1415,$B$1613),Data!$BO:$BO,0)-2,53),"")),"")</f>
        <v>Bez_Lo03_08</v>
      </c>
      <c r="C1633" s="38">
        <f ca="1">IF(D1631="","",4)</f>
        <v>4</v>
      </c>
      <c r="D1633" s="35" t="str">
        <f ca="1">IFERROR(IF(AND(INDEX(Tab_DaBa[],MATCH(CONCATENATE(Liste!$C$3,$B$1415,$B$1613),Data!$BO:$BO,0)-2,53)&lt;&gt;"",INDEX(Tab_DaBa[],MATCH(CONCATENATE(Liste!$C$3,$B$1415,$B$1613),Data!$BO:$BO,0)-2,58)=""),INDEX(Tab_DaBa[],MATCH(CONCATENATE(Liste!$C$3,$B$1415,$B$1613),Data!$BO:$BO,0)-2,13),IF(INDEX(Tab_DaBa[],MATCH(CONCATENATE(Liste!$C$3,$B$1415,$B$1613),Data!$BO:$BO,0)-2,53)&lt;&gt;"",INDEX(Tab_DaBa[],MATCH(CONCATENATE(Liste!$C$3,$B$1415,$B$1613),Data!$BO:$BO,0)-2,58),"")),"")</f>
        <v>Bez_Aus4_8</v>
      </c>
      <c r="E1633" s="38" t="str">
        <f ca="1">IF(F1631="","",4)</f>
        <v/>
      </c>
      <c r="F1633" s="35" t="str">
        <f ca="1">IFERROR(IF(AND(INDEX(Tab_DaBa[],MATCH(CONCATENATE(Liste!$C$3,$B$1415,$B$1613),Data!$BO:$BO,0)-2,58)&lt;&gt;"",INDEX(Tab_DaBa[],MATCH(CONCATENATE(Liste!$C$3,$B$1415,$B$1613),Data!$BO:$BO,0)-2,63)=""),INDEX(Tab_DaBa[],MATCH(CONCATENATE(Liste!$C$3,$B$1415,$B$1613),Data!$BO:$BO,0)-2,13),IF(INDEX(Tab_DaBa[],MATCH(CONCATENATE(Liste!$C$3,$B$1415,$B$1613),Data!$BO:$BO,0)-2,58)&lt;&gt;"",INDEX(Tab_DaBa[],MATCH(CONCATENATE(Liste!$C$3,$B$1415,$B$1613),Data!$BO:$BO,0)-2,63),"")),"")</f>
        <v/>
      </c>
      <c r="G1633" s="38" t="str">
        <f ca="1">IF(H1631="","",4)</f>
        <v/>
      </c>
      <c r="H1633" s="35" t="str">
        <f ca="1">IFERROR(IF(INDEX(Tab_DaBa[],MATCH(CONCATENATE(Liste!$C$3,$B$1415,$B$1613),Data!$BO:$BO,0)-2,63)&lt;&gt;"",INDEX(Tab_DaBa[],MATCH(CONCATENATE(Liste!$C$3,$B$1415,$B$1613),Data!$BO:$BO,0)-2,13),""),"")</f>
        <v/>
      </c>
    </row>
    <row r="1634" spans="2:9" s="16" customFormat="1" ht="15.75">
      <c r="B1634" s="35" t="str">
        <f ca="1">IFERROR(IF(AND(INDEX(Tab_DaBa[],MATCH(CONCATENATE(Liste!$C$3,$B$1415,$B$1613),Data!$BO:$BO,0)-2,48)&lt;&gt;"",INDEX(Tab_DaBa[],MATCH(CONCATENATE(Liste!$C$3,$B$1415,$B$1613),Data!$BO:$BO,0)-2,53)=""),"Performance Level: "&amp;INDEX(Tab_DaBa[],MATCH(CONCATENATE(Liste!$C$3,$B$1415,$B$1613),Data!$BO:$BO,0)-2,15),IF(INDEX(Tab_DaBa[],MATCH(CONCATENATE(Liste!$C$3,$B$1415,$B$1613),Data!$BO:$BO,0)-2,48)&lt;&gt;"","Performance Level: "&amp;INDEX(Tab_DaBa[],MATCH(CONCATENATE(Liste!$C$3,$B$1415,$B$1613),Data!$BO:$BO,0)-2,55),"")),"")</f>
        <v>Performance Level: PL_Lo03_08</v>
      </c>
      <c r="C1634" s="39"/>
      <c r="D1634" s="35" t="str">
        <f ca="1">IFERROR(IF(AND(INDEX(Tab_DaBa[],MATCH(CONCATENATE(Liste!$C$3,$B$1415,$B$1613),Data!$BO:$BO,0)-2,53)&lt;&gt;"",INDEX(Tab_DaBa[],MATCH(CONCATENATE(Liste!$C$3,$B$1415,$B$1613),Data!$BO:$BO,0)-2,58)=""),"Performance Level: "&amp;INDEX(Tab_DaBa[],MATCH(CONCATENATE(Liste!$C$3,$B$1415,$B$1613),Data!$BO:$BO,0)-2,15),IF(INDEX(Tab_DaBa[],MATCH(CONCATENATE(Liste!$C$3,$B$1415,$B$1613),Data!$BO:$BO,0)-2,53)&lt;&gt;"","Performance Level: "&amp;INDEX(Tab_DaBa[],MATCH(CONCATENATE(Liste!$C$3,$B$1415,$B$1613),Data!$BO:$BO,0)-2,60),"")),"")</f>
        <v>Performance Level: PL_Aus4_8</v>
      </c>
      <c r="E1634" s="37"/>
      <c r="F1634" s="35" t="str">
        <f ca="1">IFERROR(IF(AND(INDEX(Tab_DaBa[],MATCH(CONCATENATE(Liste!$C$3,$B$1415,$B$1613),Data!$BO:$BO,0)-2,58)&lt;&gt;"",INDEX(Tab_DaBa[],MATCH(CONCATENATE(Liste!$C$3,$B$1415,$B$1613),Data!$BO:$BO,0)-2,63)=""),"Performance Level: "&amp;INDEX(Tab_DaBa[],MATCH(CONCATENATE(Liste!$C$3,$B$1415,$B$1613),Data!$BO:$BO,0)-2,15),IF(INDEX(Tab_DaBa[],MATCH(CONCATENATE(Liste!$C$3,$B$1415,$B$1613),Data!$BO:$BO,0)-2,58)&lt;&gt;"","Performance Level: "&amp;INDEX(Tab_DaBa[],MATCH(CONCATENATE(Liste!$C$3,$B$1415,$B$1613),Data!$BO:$BO,0)-2,65),"")),"")</f>
        <v/>
      </c>
      <c r="G1634" s="39"/>
      <c r="H1634" s="35" t="str">
        <f ca="1">IFERROR(IF(INDEX(Tab_DaBa[],MATCH(CONCATENATE(Liste!$C$3,$B$1415,$B$1613),Data!$BO:$BO,0)-2,63)&lt;&gt;"","Performance Level: "&amp;INDEX(Tab_DaBa[],MATCH(CONCATENATE(Liste!$C$3,$B$1415,$B$1613),Data!$BO:$BO,0)-2,15),""),"")</f>
        <v/>
      </c>
    </row>
    <row r="1635" spans="2:9" s="16" customFormat="1" ht="15.75">
      <c r="B1635" s="35" t="str">
        <f ca="1">IFERROR(IF(AND(INDEX(Tab_DaBa[],MATCH(CONCATENATE(Liste!$C$3,$B$1415,$B$1613),Data!$BO:$BO,0)-2,48)&lt;&gt;"",INDEX(Tab_DaBa[],MATCH(CONCATENATE(Liste!$C$3,$B$1415,$B$1613),Data!$BO:$BO,0)-2,53)=""),"PFH [1/h] = "&amp;10^9*INDEX(Tab_DaBa[],MATCH(CONCATENATE(Liste!$C$3,$B$1415,$B$1613),Data!$BO:$BO,0)-2,16)&amp;"E-9",IF(INDEX(Tab_DaBa[],MATCH(CONCATENATE(Liste!$C$3,$B$1415,$B$1613),Data!$BO:$BO,0)-2,48)&lt;&gt;"","PFH [1/h] = "&amp;10^9*INDEX(Tab_DaBa[],MATCH(CONCATENATE(Liste!$C$3,$B$1415,$B$1613),Data!$BO:$BO,0)-2,56)&amp;"E-9","")),"")</f>
        <v>PFH [1/h] = 4,19E-9</v>
      </c>
      <c r="C1635" s="39"/>
      <c r="D1635" s="35" t="str">
        <f ca="1">IFERROR(IF(AND(INDEX(Tab_DaBa[],MATCH(CONCATENATE(Liste!$C$3,$B$1415,$B$1613),Data!$BO:$BO,0)-2,53)&lt;&gt;"",INDEX(Tab_DaBa[],MATCH(CONCATENATE(Liste!$C$3,$B$1415,$B$1613),Data!$BO:$BO,0)-2,58)=""),"PFH [1/h] = "&amp;10^9*INDEX(Tab_DaBa[],MATCH(CONCATENATE(Liste!$C$3,$B$1415,$B$1613),Data!$BO:$BO,0)-2,16)&amp;"E-9",IF(INDEX(Tab_DaBa[],MATCH(CONCATENATE(Liste!$C$3,$B$1415,$B$1613),Data!$BO:$BO,0)-2,53)&lt;&gt;"","PFH [1/h] = "&amp;10^9*INDEX(Tab_DaBa[],MATCH(CONCATENATE(Liste!$C$3,$B$1415,$B$1613),Data!$BO:$BO,0)-2,61)&amp;"E-9","")),"")</f>
        <v>PFH [1/h] = 24,7E-9</v>
      </c>
      <c r="E1635" s="37"/>
      <c r="F1635" s="35" t="str">
        <f ca="1">IFERROR(IF(AND(INDEX(Tab_DaBa[],MATCH(CONCATENATE(Liste!$C$3,$B$1415,$B$1613),Data!$BO:$BO,0)-2,58)&lt;&gt;"",INDEX(Tab_DaBa[],MATCH(CONCATENATE(Liste!$C$3,$B$1415,$B$1613),Data!$BO:$BO,0)-2,63)=""),"PFH [1/h] = "&amp;10^9*INDEX(Tab_DaBa[],MATCH(CONCATENATE(Liste!$C$3,$B$1415,$B$1613),Data!$BO:$BO,0)-2,16)&amp;"E-9",IF(INDEX(Tab_DaBa[],MATCH(CONCATENATE(Liste!$C$3,$B$1415,$B$1613),Data!$BO:$BO,0)-2,58)&lt;&gt;"","PFH [1/h] = "&amp;10^9*INDEX(Tab_DaBa[],MATCH(CONCATENATE(Liste!$C$3,$B$1415,$B$1613),Data!$BO:$BO,0)-2,66)&amp;"E-9","")),"")</f>
        <v/>
      </c>
      <c r="G1635" s="39"/>
      <c r="H1635" s="35" t="str">
        <f ca="1">IFERROR(IF(INDEX(Tab_DaBa[],MATCH(CONCATENATE(Liste!$C$3,$B$1415,$B$1613),Data!$BO:$BO,0)-2,63)&lt;&gt;"","PFH [1/h] = "&amp;10^9*INDEX(Tab_DaBa[],MATCH(CONCATENATE(Liste!$C$3,$B$1415,$B$1613),Data!$BO:$BO,0)-2,16)&amp;"E-9",""),"")</f>
        <v/>
      </c>
    </row>
    <row r="1636" spans="2:9" s="16" customFormat="1"/>
    <row r="1637" spans="2:9" s="16" customFormat="1">
      <c r="B1637" s="43" t="str">
        <f ca="1">IF(D1637="","","Erforderlich")</f>
        <v>Erforderlich</v>
      </c>
      <c r="D1637" s="44" t="str">
        <f ca="1">IFERROR("Performance Level: "&amp;INDEX(Tab_DaBa[],MATCH(CONCATENATE(Liste!$C$3,$B$1415,$B$1613),Data!$BO:$BO,0)-2,4),"")</f>
        <v>Performance Level: PLr_ges4_8</v>
      </c>
    </row>
    <row r="1638" spans="2:9" s="16" customFormat="1">
      <c r="B1638" s="45"/>
    </row>
    <row r="1639" spans="2:9" s="16" customFormat="1">
      <c r="B1639" s="46" t="str">
        <f ca="1">IF(D1639="","","Erreicht")</f>
        <v>Erreicht</v>
      </c>
      <c r="D1639" s="47" t="str">
        <f ca="1">IFERROR("Performance Level: "&amp;INDEX(Tab_DaBa[],MATCH(CONCATENATE(Liste!$C$3,$B$1415,$B$1613),Data!$BO:$BO,0)-2,5)&amp;"          PFH [1/h] = "&amp;10^9*INDEX(Tab_DaBa[],MATCH(CONCATENATE(Liste!$C$3,$B$1415,$B$1613),Data!$BO:$BO,0)-2,6)&amp;"E-9","")</f>
        <v>Performance Level: Pl_ges4_8          PFH [1/h] = 71,7E-9</v>
      </c>
    </row>
    <row r="1640" spans="2:9" s="16" customFormat="1">
      <c r="B1640" s="50"/>
      <c r="C1640" s="49"/>
      <c r="D1640" s="49"/>
    </row>
    <row r="1641" spans="2:9" s="16" customFormat="1">
      <c r="B1641" s="42" t="str">
        <f ca="1">IFERROR(IF(9&gt;COUNTIF(Data!$BP:$BP,CONCATENATE(Liste!$C$3,$B$1415)),"",INDEX(Tab_DaBa[],MATCH(CONCATENATE(Liste!$C$3,$B$1415),Data!$BP:$BP,0)+6,3)),"")</f>
        <v>6.9 Test4 (E+9L+A)</v>
      </c>
    </row>
    <row r="1642" spans="2:9" s="16" customFormat="1"/>
    <row r="1643" spans="2:9" s="16" customFormat="1" ht="15.75">
      <c r="B1643" s="35" t="str">
        <f ca="1">IFERROR(INDEX(Tab_DaBa[],MATCH(CONCATENATE(Liste!$C$3,$B$1415,$B$1641),Data!$BO:$BO,0)-2,9),"")</f>
        <v>Eingang</v>
      </c>
      <c r="C1643" s="54"/>
      <c r="D1643" s="35" t="str">
        <f ca="1">IFERROR(IF(INDEX(Tab_DaBa[],MATCH(CONCATENATE(Liste!$C$3,$B$1415,$B$1641),Data!$BO:$BO,0)-2,18)=0,INDEX(Tab_DaBa[],MATCH(CONCATENATE(Liste!$C$3,$B$1415,$B$1641),Data!$BO:$BO,0)-2,14),INDEX(Tab_DaBa[],MATCH(CONCATENATE(Liste!$C$3,$B$1415,$B$1641),Data!$BO:$BO,0)-2,19)),"")</f>
        <v>Logik 01</v>
      </c>
      <c r="E1643" s="33"/>
      <c r="F1643" s="35" t="str">
        <f ca="1">IFERROR(IF(AND(INDEX(Tab_DaBa[],MATCH(CONCATENATE(Liste!$C$3,$B$1415,$B$1641),Data!$BO:$BO,0)-2,18)&lt;&gt;"",INDEX(Tab_DaBa[],MATCH(CONCATENATE(Liste!$C$3,$B$1415,$B$1641),Data!$BO:$BO,0)-2,23)=0),INDEX(Tab_DaBa[],MATCH(CONCATENATE(Liste!$C$3,$B$1415,$B$1641),Data!$BO:$BO,0)-2,14),IF(INDEX(Tab_DaBa[],MATCH(CONCATENATE(Liste!$C$3,$B$1415,$B$1641),Data!$BO:$BO,0)-2,23)&lt;&gt;"",INDEX(Tab_DaBa[],MATCH(CONCATENATE(Liste!$C$3,$B$1415,$B$1641),Data!$BO:$BO,0)-2,24),"")),"")</f>
        <v>Logik 02</v>
      </c>
      <c r="G1643" s="39"/>
      <c r="H1643" s="35" t="str">
        <f ca="1">IFERROR(IF(AND(INDEX(Tab_DaBa[],MATCH(CONCATENATE(Liste!$C$3,$B$1415,$B$1641),Data!$BO:$BO,0)-2,23)&lt;&gt;"",INDEX(Tab_DaBa[],MATCH(CONCATENATE(Liste!$C$3,$B$1415,$B$1641),Data!$BO:$BO,0)-2,28)=0),INDEX(Tab_DaBa[],MATCH(CONCATENATE(Liste!$C$3,$B$1415,$B$1641),Data!$BO:$BO,0)-2,14),IF(INDEX(Tab_DaBa[],MATCH(CONCATENATE(Liste!$C$3,$B$1415,$B$1641),Data!$BO:$BO,0)-2,23)&lt;&gt;"",INDEX(Tab_DaBa[],MATCH(CONCATENATE(Liste!$C$3,$B$1415,$B$1641),Data!$BO:$BO,0)-2,29),"")),"")</f>
        <v>Logik 03</v>
      </c>
      <c r="I1643" s="39"/>
    </row>
    <row r="1644" spans="2:9" s="16" customFormat="1" ht="15.75">
      <c r="B1644" s="35" t="str">
        <f ca="1">IFERROR(INDEX(Tab_DaBa[],MATCH(CONCATENATE(Liste!$C$3,$B$1415,$B$1641),Data!$BO:$BO,0)-2,7),"")</f>
        <v>eeee-33_9</v>
      </c>
      <c r="C1644" s="54"/>
      <c r="D1644" s="35" t="str">
        <f ca="1">IFERROR(IF(INDEX(Tab_DaBa[],MATCH(CONCATENATE(Liste!$C$3,$B$1415,$B$1641),Data!$BO:$BO,0)-2,18)="",INDEX(Tab_DaBa[],MATCH(CONCATENATE(Liste!$C$3,$B$1415,$B$1641),Data!$BO:$BO,0)-2,12),INDEX(Tab_DaBa[],MATCH(CONCATENATE(Liste!$C$3,$B$1415,$B$1641),Data!$BO:$BO,0)-2,17)),"")</f>
        <v>Log01-04_09</v>
      </c>
      <c r="E1644" s="36"/>
      <c r="F1644" s="35" t="str">
        <f ca="1">IFERROR(IF(AND(INDEX(Tab_DaBa[],MATCH(CONCATENATE(Liste!$C$3,$B$1415,$B$1641),Data!$BO:$BO,0)-2,18)&lt;&gt;"",INDEX(Tab_DaBa[],MATCH(CONCATENATE(Liste!$C$3,$B$1415,$B$1641),Data!$BO:$BO,0)-2,23)=0),INDEX(Tab_DaBa[],MATCH(CONCATENATE(Liste!$C$3,$B$1415,$B$1641),Data!$BO:$BO,0)-2,12),IF(INDEX(Tab_DaBa[],MATCH(CONCATENATE(Liste!$C$3,$B$1415,$B$1641),Data!$BO:$BO,0)-2,23)&lt;&gt;"",INDEX(Tab_DaBa[],MATCH(CONCATENATE(Liste!$C$3,$B$1415,$B$1641),Data!$BO:$BO,0)-2,22),"")),"")</f>
        <v>Lo04-04_09</v>
      </c>
      <c r="G1644" s="39"/>
      <c r="H1644" s="35" t="str">
        <f ca="1">IFERROR(IF(AND(INDEX(Tab_DaBa[],MATCH(CONCATENATE(Liste!$C$3,$B$1415,$B$1641),Data!$BO:$BO,0)-2,23)&lt;&gt;"",INDEX(Tab_DaBa[],MATCH(CONCATENATE(Liste!$C$3,$B$1415,$B$1641),Data!$BO:$BO,0)-2,28)=0),INDEX(Tab_DaBa[],MATCH(CONCATENATE(Liste!$C$3,$B$1415,$B$1641),Data!$BO:$BO,0)-2,12),IF(INDEX(Tab_DaBa[],MATCH(CONCATENATE(Liste!$C$3,$B$1415,$B$1641),Data!$BO:$BO,0)-2,23)&lt;&gt;"",INDEX(Tab_DaBa[],MATCH(CONCATENATE(Liste!$C$3,$B$1415,$B$1641),Data!$BO:$BO,0)-2,27),"")),"")</f>
        <v>Lo04-44_09</v>
      </c>
      <c r="I1644" s="39"/>
    </row>
    <row r="1645" spans="2:9" s="16" customFormat="1" ht="15.75">
      <c r="B1645" s="35" t="str">
        <f ca="1">IFERROR(INDEX(Tab_DaBa[],MATCH(CONCATENATE(Liste!$C$3,$B$1415,$B$1641),Data!$BO:$BO,0)-2,8),"")</f>
        <v>Bez_Ein4_9</v>
      </c>
      <c r="C1645" s="40">
        <f ca="1">IF(D1643="","",4)</f>
        <v>4</v>
      </c>
      <c r="D1645" s="35" t="str">
        <f ca="1">IFERROR(IF(INDEX(Tab_DaBa[],MATCH(CONCATENATE(Liste!$C$3,$B$1415,$B$1641),Data!$BO:$BO,0)-2,18)="",INDEX(Tab_DaBa[],MATCH(CONCATENATE(Liste!$C$3,$B$1415,$B$1641),Data!$BO:$BO,0)-2,13),INDEX(Tab_DaBa[],MATCH(CONCATENATE(Liste!$C$3,$B$1415,$B$1641),Data!$BO:$BO,0)-2,18)),"")</f>
        <v>Bez_Log01_04_09</v>
      </c>
      <c r="E1645" s="40">
        <f ca="1">IF(F1643="","",4)</f>
        <v>4</v>
      </c>
      <c r="F1645" s="35" t="str">
        <f ca="1">IFERROR(IF(AND(INDEX(Tab_DaBa[],MATCH(CONCATENATE(Liste!$C$3,$B$1415,$B$1641),Data!$BO:$BO,0)-2,18)&lt;&gt;"",INDEX(Tab_DaBa[],MATCH(CONCATENATE(Liste!$C$3,$B$1415,$B$1641),Data!$BO:$BO,0)-2,23)=""),INDEX(Tab_DaBa[],MATCH(CONCATENATE(Liste!$C$3,$B$1415,$B$1641),Data!$BO:$BO,0)-2,13),IF(INDEX(Tab_DaBa[],MATCH(CONCATENATE(Liste!$C$3,$B$1415,$B$1641),Data!$BO:$BO,0)-2,23)&lt;&gt;"",INDEX(Tab_DaBa[],MATCH(CONCATENATE(Liste!$C$3,$B$1415,$B$1641),Data!$BO:$BO,0)-2,23),"")),"")</f>
        <v>Bez_Lo04_09</v>
      </c>
      <c r="G1645" s="38">
        <f ca="1">IF(H1643="","",4)</f>
        <v>4</v>
      </c>
      <c r="H1645" s="35" t="str">
        <f ca="1">IFERROR(IF(AND(INDEX(Tab_DaBa[],MATCH(CONCATENATE(Liste!$C$3,$B$1415,$B$1641),Data!$BO:$BO,0)-2,23)&lt;&gt;"",INDEX(Tab_DaBa[],MATCH(CONCATENATE(Liste!$C$3,$B$1415,$B$1641),Data!$BO:$BO,0)-2,28)=""),INDEX(Tab_DaBa[],MATCH(CONCATENATE(Liste!$C$3,$B$1415,$B$1641),Data!$BO:$BO,0)-2,13),IF(INDEX(Tab_DaBa[],MATCH(CONCATENATE(Liste!$C$3,$B$1415,$B$1641),Data!$BO:$BO,0)-2,23)&lt;&gt;"",INDEX(Tab_DaBa[],MATCH(CONCATENATE(Liste!$C$3,$B$1415,$B$1641),Data!$BO:$BO,0)-2,28),"")),"")</f>
        <v>Bez_Lo04_09</v>
      </c>
      <c r="I1645" s="38">
        <f ca="1">IF(B1651="","",6)</f>
        <v>6</v>
      </c>
    </row>
    <row r="1646" spans="2:9" s="16" customFormat="1" ht="15.75">
      <c r="B1646" s="35" t="str">
        <f ca="1">IFERROR("Performance Level: "&amp;INDEX(Tab_DaBa[],MATCH(CONCATENATE(Liste!$C$3,$B$1415,$B$1641),Data!$BO:$BO,0)-2,10),"")</f>
        <v>Performance Level: PL_Ein4_9</v>
      </c>
      <c r="C1646" s="54"/>
      <c r="D1646" s="35" t="str">
        <f ca="1">IFERROR(IF(INDEX(Tab_DaBa[],MATCH(CONCATENATE(Liste!$C$3,$B$1415,$B$1641),Data!$BO:$BO,0)-2,18)="","Performance Level: "&amp;INDEX(Tab_DaBa[],MATCH(CONCATENATE(Liste!$C$3,$B$1415,$B$1641),Data!$BO:$BO,0)-2,15),"Performance Level: "&amp;INDEX(Tab_DaBa[],MATCH(CONCATENATE(Liste!$C$3,$B$1415,$B$1641),Data!$BO:$BO,0)-2,20)),"")</f>
        <v>Performance Level: PL_Log01_04_09</v>
      </c>
      <c r="E1646" s="36"/>
      <c r="F1646" s="35" t="str">
        <f ca="1">IFERROR(IF(AND(INDEX(Tab_DaBa[],MATCH(CONCATENATE(Liste!$C$3,$B$1415,$B$1641),Data!$BO:$BO,0)-2,18)&lt;&gt;"",INDEX(Tab_DaBa[],MATCH(CONCATENATE(Liste!$C$3,$B$1415,$B$1641),Data!$BO:$BO,0)-2,23)=""),"Performance Level: "&amp;INDEX(Tab_DaBa[],MATCH(CONCATENATE(Liste!$C$3,$B$1415,$B$1641),Data!$BO:$BO,0)-2,15),IF(INDEX(Tab_DaBa[],MATCH(CONCATENATE(Liste!$C$3,$B$1415,$B$1641),Data!$BO:$BO,0)-2,23)&lt;&gt;"","Performance Level: "&amp;INDEX(Tab_DaBa[],MATCH(CONCATENATE(Liste!$C$3,$B$1415,$B$1641),Data!$BO:$BO,0)-2,25),"")),"")</f>
        <v>Performance Level: PL_Lo04_09</v>
      </c>
      <c r="G1646" s="39"/>
      <c r="H1646" s="35" t="str">
        <f ca="1">IFERROR(IF(AND(INDEX(Tab_DaBa[],MATCH(CONCATENATE(Liste!$C$3,$B$1415,$B$1641),Data!$BO:$BO,0)-2,23)&lt;&gt;"",INDEX(Tab_DaBa[],MATCH(CONCATENATE(Liste!$C$3,$B$1415,$B$1641),Data!$BO:$BO,0)-2,28)=""),"Performance Level: "&amp;INDEX(Tab_DaBa[],MATCH(CONCATENATE(Liste!$C$3,$B$1415,$B$1641),Data!$BO:$BO,0)-2,15),IF(INDEX(Tab_DaBa[],MATCH(CONCATENATE(Liste!$C$3,$B$1415,$B$1641),Data!$BO:$BO,0)-2,23)&lt;&gt;"","Performance Level: "&amp;INDEX(Tab_DaBa[],MATCH(CONCATENATE(Liste!$C$3,$B$1415,$B$1641),Data!$BO:$BO,0)-2,30),"")),"")</f>
        <v>Performance Level: PL_Lo04_09</v>
      </c>
      <c r="I1646" s="38"/>
    </row>
    <row r="1647" spans="2:9" s="16" customFormat="1" ht="15.75">
      <c r="B1647" s="53" t="str">
        <f ca="1">IFERROR("PFH [1/h] = "&amp;10^9*INDEX(Tab_DaBa[],MATCH(CONCATENATE(Liste!$C$3,$B$1415,$B$1641),Data!$BO:$BO,0)-2,11)&amp;"E-9","")</f>
        <v>PFH [1/h] = 42,9E-9</v>
      </c>
      <c r="C1647" s="54"/>
      <c r="D1647" s="35" t="str">
        <f ca="1">IFERROR(IF(INDEX(Tab_DaBa[],MATCH(CONCATENATE(Liste!$C$3,$B$1415,$B$1641),Data!$BO:$BO,0)-2,18)="","PFH [1/h] = "&amp;10^9*INDEX(Tab_DaBa[],MATCH(CONCATENATE(Liste!$C$3,$B$1415,$B$1641),Data!$BO:$BO,0)-2,16)&amp;"E-9","PFH [1/h] = "&amp;10^9*INDEX(Tab_DaBa[],MATCH(CONCATENATE(Liste!$C$3,$B$1415,$B$1641),Data!$BO:$BO,0)-2,21)&amp;"E-9"),"")</f>
        <v>PFH [1/h] = 4,19E-9</v>
      </c>
      <c r="E1647" s="36"/>
      <c r="F1647" s="35" t="str">
        <f ca="1">IFERROR(IF(AND(INDEX(Tab_DaBa[],MATCH(CONCATENATE(Liste!$C$3,$B$1415,$B$1641),Data!$BO:$BO,0)-2,18)&lt;&gt;"",INDEX(Tab_DaBa[],MATCH(CONCATENATE(Liste!$C$3,$B$1415,$B$1641),Data!$BO:$BO,0)-2,23)=""),"PFH [1/h] = "&amp;10^9*INDEX(Tab_DaBa[],MATCH(CONCATENATE(Liste!$C$3,$B$1415,$B$1641),Data!$BO:$BO,0)-2,16)&amp;"E-9",IF(INDEX(Tab_DaBa[],MATCH(CONCATENATE(Liste!$C$3,$B$1415,$B$1641),Data!$BO:$BO,0)-2,23)&lt;&gt;"","PFH [1/h] = "&amp;10^9*INDEX(Tab_DaBa[],MATCH(CONCATENATE(Liste!$C$3,$B$1415,$B$1641),Data!$BO:$BO,0)-2,26)&amp;"E-9","")),"")</f>
        <v>PFH [1/h] = 4,19E-9</v>
      </c>
      <c r="G1647" s="39"/>
      <c r="H1647" s="35" t="str">
        <f ca="1">IFERROR(IF(AND(INDEX(Tab_DaBa[],MATCH(CONCATENATE(Liste!$C$3,$B$1415,$B$1641),Data!$BO:$BO,0)-2,23)&lt;&gt;"",INDEX(Tab_DaBa[],MATCH(CONCATENATE(Liste!$C$3,$B$1415,$B$1641),Data!$BO:$BO,0)-2,28)=""),"PFH [1/h] = "&amp;10^9*INDEX(Tab_DaBa[],MATCH(CONCATENATE(Liste!$C$3,$B$1415,$B$1641),Data!$BO:$BO,0)-2,16)&amp;"E-9",IF(INDEX(Tab_DaBa[],MATCH(CONCATENATE(Liste!$C$3,$B$1415,$B$1641),Data!$BO:$BO,0)-2,23)&lt;&gt;"","PFH [1/h] = "&amp;10^9*INDEX(Tab_DaBa[],MATCH(CONCATENATE(Liste!$C$3,$B$1415,$B$1641),Data!$BO:$BO,0)-2,31)&amp;"E-9","")),"")</f>
        <v>PFH [1/h] = 4,19E-9</v>
      </c>
      <c r="I1647" s="39"/>
    </row>
    <row r="1648" spans="2:9" s="16" customFormat="1">
      <c r="B1648" s="33"/>
      <c r="C1648" s="34"/>
      <c r="D1648" s="33"/>
      <c r="E1648" s="33"/>
      <c r="F1648" s="33"/>
      <c r="G1648" s="33"/>
      <c r="H1648" s="33"/>
      <c r="I1648" s="33"/>
    </row>
    <row r="1649" spans="2:9" s="16" customFormat="1" ht="15.75">
      <c r="B1649" s="38">
        <f ca="1">IF(B1651="","",6)</f>
        <v>6</v>
      </c>
      <c r="C1649" s="34"/>
      <c r="D1649" s="38">
        <f ca="1">IF(B1651="","",3)</f>
        <v>3</v>
      </c>
      <c r="E1649" s="33"/>
      <c r="F1649" s="38">
        <f ca="1">IF(B1651="","",3)</f>
        <v>3</v>
      </c>
      <c r="G1649" s="33"/>
      <c r="H1649" s="38">
        <f ca="1">IF(B1651="","",3)</f>
        <v>3</v>
      </c>
      <c r="I1649" s="33"/>
    </row>
    <row r="1650" spans="2:9" s="16" customFormat="1" ht="15.75">
      <c r="B1650" s="39"/>
      <c r="C1650" s="33"/>
      <c r="D1650" s="33"/>
      <c r="E1650" s="33"/>
      <c r="F1650" s="33"/>
      <c r="G1650" s="33"/>
      <c r="H1650" s="33"/>
      <c r="I1650" s="33"/>
    </row>
    <row r="1651" spans="2:9" s="16" customFormat="1" ht="15.75">
      <c r="B1651" s="35" t="str">
        <f ca="1">IFERROR(IF(AND(INDEX(Tab_DaBa[],MATCH(CONCATENATE(Liste!$C$3,$B$1415,$B$1641),Data!$BO:$BO,0)-2,28)&lt;&gt;"",INDEX(Tab_DaBa[],MATCH(CONCATENATE(Liste!$C$3,$B$1415,$B$1641),Data!$BO:$BO,0)-2,33)=0),INDEX(Tab_DaBa[],MATCH(CONCATENATE(Liste!$C$3,$B$1415,$B$1641),Data!$BO:$BO,0)-2,14),IF(INDEX(Tab_DaBa[],MATCH(CONCATENATE(Liste!$C$3,$B$1415,$B$1641),Data!$BO:$BO,0)-2,28)&lt;&gt;"",INDEX(Tab_DaBa[],MATCH(CONCATENATE(Liste!$C$3,$B$1415,$B$1641),Data!$BO:$BO,0)-2,34),"")),"")</f>
        <v>Logik 04</v>
      </c>
      <c r="C1651" s="39"/>
      <c r="D1651" s="35" t="str">
        <f ca="1">IFERROR(IF(AND(INDEX(Tab_DaBa[],MATCH(CONCATENATE(Liste!$C$3,$B$1415,$B$1641),Data!$BO:$BO,0)-2,33)&lt;&gt;"",INDEX(Tab_DaBa[],MATCH(CONCATENATE(Liste!$C$3,$B$1415,$B$1641),Data!$BO:$BO,0)-2,38)=0),INDEX(Tab_DaBa[],MATCH(CONCATENATE(Liste!$C$3,$B$1415,$B$1641),Data!$BO:$BO,0)-2,14),IF(INDEX(Tab_DaBa[],MATCH(CONCATENATE(Liste!$C$3,$B$1415,$B$1641),Data!$BO:$BO,0)-2,33)&lt;&gt;"",INDEX(Tab_DaBa[],MATCH(CONCATENATE(Liste!$C$3,$B$1415,$B$1641),Data!$BO:$BO,0)-2,39),"")),"")</f>
        <v>Logik 07</v>
      </c>
      <c r="E1651" s="33"/>
      <c r="F1651" s="35" t="str">
        <f ca="1">IFERROR(IF(AND(INDEX(Tab_DaBa[],MATCH(CONCATENATE(Liste!$C$3,$B$1415,$B$1641),Data!$BO:$BO,0)-2,38)&lt;&gt;"",INDEX(Tab_DaBa[],MATCH(CONCATENATE(Liste!$C$3,$B$1415,$B$1641),Data!$BO:$BO,0)-2,43)=0),INDEX(Tab_DaBa[],MATCH(CONCATENATE(Liste!$C$3,$B$1415,$B$1641),Data!$BO:$BO,0)-2,14),IF(INDEX(Tab_DaBa[],MATCH(CONCATENATE(Liste!$C$3,$B$1415,$B$1641),Data!$BO:$BO,0)-2,38)&lt;&gt;"",INDEX(Tab_DaBa[],MATCH(CONCATENATE(Liste!$C$3,$B$1415,$B$1641),Data!$BO:$BO,0)-2,44),"")),"")</f>
        <v>Logik 06</v>
      </c>
      <c r="G1651" s="39"/>
      <c r="H1651" s="35" t="str">
        <f ca="1">IFERROR(IF(AND(INDEX(Tab_DaBa[],MATCH(CONCATENATE(Liste!$C$3,$B$1415,$B$1641),Data!$BO:$BO,0)-2,43)&lt;&gt;"",INDEX(Tab_DaBa[],MATCH(CONCATENATE(Liste!$C$3,$B$1415,$B$1641),Data!$BO:$BO,0)-2,48)=0),INDEX(Tab_DaBa[],MATCH(CONCATENATE(Liste!$C$3,$B$1415,$B$1641),Data!$BO:$BO,0)-2,14),IF(INDEX(Tab_DaBa[],MATCH(CONCATENATE(Liste!$C$3,$B$1415,$B$1641),Data!$BO:$BO,0)-2,43)&lt;&gt;"",INDEX(Tab_DaBa[],MATCH(CONCATENATE(Liste!$C$3,$B$1415,$B$1641),Data!$BO:$BO,0)-2,49),"")),"")</f>
        <v>Logik 07</v>
      </c>
      <c r="I1651" s="39"/>
    </row>
    <row r="1652" spans="2:9" s="16" customFormat="1" ht="15.75">
      <c r="B1652" s="35" t="str">
        <f ca="1">IFERROR(IF(AND(INDEX(Tab_DaBa[],MATCH(CONCATENATE(Liste!$C$3,$B$1415,$B$1641),Data!$BO:$BO,0)-2,28)&lt;&gt;"",INDEX(Tab_DaBa[],MATCH(CONCATENATE(Liste!$C$3,$B$1415,$B$1641),Data!$BO:$BO,0)-2,33)=0),INDEX(Tab_DaBa[],MATCH(CONCATENATE(Liste!$C$3,$B$1415,$B$1641),Data!$BO:$BO,0)-2,12),IF(INDEX(Tab_DaBa[],MATCH(CONCATENATE(Liste!$C$3,$B$1415,$B$1641),Data!$BO:$BO,0)-2,28)&lt;&gt;"",INDEX(Tab_DaBa[],MATCH(CONCATENATE(Liste!$C$3,$B$1415,$B$1641),Data!$BO:$BO,0)-2,32),"")),"")</f>
        <v>Lo04-44_09</v>
      </c>
      <c r="C1652" s="39"/>
      <c r="D1652" s="35" t="str">
        <f ca="1">IFERROR(IF(AND(INDEX(Tab_DaBa[],MATCH(CONCATENATE(Liste!$C$3,$B$1415,$B$1641),Data!$BO:$BO,0)-2,33)&lt;&gt;"",INDEX(Tab_DaBa[],MATCH(CONCATENATE(Liste!$C$3,$B$1415,$B$1641),Data!$BO:$BO,0)-2,38)=0),INDEX(Tab_DaBa[],MATCH(CONCATENATE(Liste!$C$3,$B$1415,$B$1641),Data!$BO:$BO,0)-2,12),IF(INDEX(Tab_DaBa[],MATCH(CONCATENATE(Liste!$C$3,$B$1415,$B$1641),Data!$BO:$BO,0)-2,33)&lt;&gt;"",INDEX(Tab_DaBa[],MATCH(CONCATENATE(Liste!$C$3,$B$1415,$B$1641),Data!$BO:$BO,0)-2,37),"")),"")</f>
        <v>Lo04-44_09</v>
      </c>
      <c r="E1652" s="37"/>
      <c r="F1652" s="35" t="str">
        <f ca="1">IFERROR(IF(AND(INDEX(Tab_DaBa[],MATCH(CONCATENATE(Liste!$C$3,$B$1415,$B$1641),Data!$BO:$BO,0)-2,38)&lt;&gt;"",INDEX(Tab_DaBa[],MATCH(CONCATENATE(Liste!$C$3,$B$1415,$B$1641),Data!$BO:$BO,0)-2,43)=0),INDEX(Tab_DaBa[],MATCH(CONCATENATE(Liste!$C$3,$B$1415,$B$1641),Data!$BO:$BO,0)-2,12),IF(INDEX(Tab_DaBa[],MATCH(CONCATENATE(Liste!$C$3,$B$1415,$B$1641),Data!$BO:$BO,0)-2,38)&lt;&gt;"",INDEX(Tab_DaBa[],MATCH(CONCATENATE(Liste!$C$3,$B$1415,$B$1641),Data!$BO:$BO,0)-2,42),"")),"")</f>
        <v>Lo03-33_09</v>
      </c>
      <c r="G1652" s="39"/>
      <c r="H1652" s="35" t="str">
        <f ca="1">IFERROR(IF(AND(INDEX(Tab_DaBa[],MATCH(CONCATENATE(Liste!$C$3,$B$1415,$B$1641),Data!$BO:$BO,0)-2,43)&lt;&gt;"",INDEX(Tab_DaBa[],MATCH(CONCATENATE(Liste!$C$3,$B$1415,$B$1641),Data!$BO:$BO,0)-2,48)=0),INDEX(Tab_DaBa[],MATCH(CONCATENATE(Liste!$C$3,$B$1415,$B$1641),Data!$BO:$BO,0)-2,12),IF(INDEX(Tab_DaBa[],MATCH(CONCATENATE(Liste!$C$3,$B$1415,$B$1641),Data!$BO:$BO,0)-2,43)&lt;&gt;"",INDEX(Tab_DaBa[],MATCH(CONCATENATE(Liste!$C$3,$B$1415,$B$1641),Data!$BO:$BO,0)-2,47),"")),"")</f>
        <v>Lo03-33_09</v>
      </c>
      <c r="I1652" s="39"/>
    </row>
    <row r="1653" spans="2:9" s="16" customFormat="1" ht="15.75">
      <c r="B1653" s="35" t="str">
        <f ca="1">IFERROR(IF(AND(INDEX(Tab_DaBa[],MATCH(CONCATENATE(Liste!$C$3,$B$1415,$B$1641),Data!$BO:$BO,0)-2,28)&lt;&gt;"",INDEX(Tab_DaBa[],MATCH(CONCATENATE(Liste!$C$3,$B$1415,$B$1641),Data!$BO:$BO,0)-2,33)=""),INDEX(Tab_DaBa[],MATCH(CONCATENATE(Liste!$C$3,$B$1415,$B$1641),Data!$BO:$BO,0)-2,13),IF(INDEX(Tab_DaBa[],MATCH(CONCATENATE(Liste!$C$3,$B$1415,$B$1641),Data!$BO:$BO,0)-2,28)&lt;&gt;"",INDEX(Tab_DaBa[],MATCH(CONCATENATE(Liste!$C$3,$B$1415,$B$1641),Data!$BO:$BO,0)-2,33),"")),"")</f>
        <v>Bez_Lo04_09</v>
      </c>
      <c r="C1653" s="38">
        <f ca="1">IF(D1651="","",4)</f>
        <v>4</v>
      </c>
      <c r="D1653" s="35" t="str">
        <f ca="1">IFERROR(IF(AND(INDEX(Tab_DaBa[],MATCH(CONCATENATE(Liste!$C$3,$B$1415,$B$1641),Data!$BO:$BO,0)-2,33)&lt;&gt;"",INDEX(Tab_DaBa[],MATCH(CONCATENATE(Liste!$C$3,$B$1415,$B$1641),Data!$BO:$BO,0)-2,38)=""),INDEX(Tab_DaBa[],MATCH(CONCATENATE(Liste!$C$3,$B$1415,$B$1641),Data!$BO:$BO,0)-2,13),IF(INDEX(Tab_DaBa[],MATCH(CONCATENATE(Liste!$C$3,$B$1415,$B$1641),Data!$BO:$BO,0)-2,33)&lt;&gt;"",INDEX(Tab_DaBa[],MATCH(CONCATENATE(Liste!$C$3,$B$1415,$B$1641),Data!$BO:$BO,0)-2,38),"")),"")</f>
        <v>Bez_Lo03_09</v>
      </c>
      <c r="E1653" s="38">
        <f ca="1">IF(F1651="","",4)</f>
        <v>4</v>
      </c>
      <c r="F1653" s="35" t="str">
        <f ca="1">IFERROR(IF(AND(INDEX(Tab_DaBa[],MATCH(CONCATENATE(Liste!$C$3,$B$1415,$B$1641),Data!$BO:$BO,0)-2,38)&lt;&gt;"",INDEX(Tab_DaBa[],MATCH(CONCATENATE(Liste!$C$3,$B$1415,$B$1641),Data!$BO:$BO,0)-2,43)=""),INDEX(Tab_DaBa[],MATCH(CONCATENATE(Liste!$C$3,$B$1415,$B$1641),Data!$BO:$BO,0)-2,13),IF(INDEX(Tab_DaBa[],MATCH(CONCATENATE(Liste!$C$3,$B$1415,$B$1641),Data!$BO:$BO,0)-2,38)&lt;&gt;"",INDEX(Tab_DaBa[],MATCH(CONCATENATE(Liste!$C$3,$B$1415,$B$1641),Data!$BO:$BO,0)-2,43),"")),"")</f>
        <v>Bez_Lo03_09</v>
      </c>
      <c r="G1653" s="38">
        <f ca="1">IF(H1651="","",4)</f>
        <v>4</v>
      </c>
      <c r="H1653" s="35" t="str">
        <f ca="1">IFERROR(IF(AND(INDEX(Tab_DaBa[],MATCH(CONCATENATE(Liste!$C$3,$B$1415,$B$1641),Data!$BO:$BO,0)-2,43)&lt;&gt;"",INDEX(Tab_DaBa[],MATCH(CONCATENATE(Liste!$C$3,$B$1415,$B$1641),Data!$BO:$BO,0)-2,48)=""),INDEX(Tab_DaBa[],MATCH(CONCATENATE(Liste!$C$3,$B$1415,$B$1641),Data!$BO:$BO,0)-2,13),IF(INDEX(Tab_DaBa[],MATCH(CONCATENATE(Liste!$C$3,$B$1415,$B$1641),Data!$BO:$BO,0)-2,43)&lt;&gt;"",INDEX(Tab_DaBa[],MATCH(CONCATENATE(Liste!$C$3,$B$1415,$B$1641),Data!$BO:$BO,0)-2,48),"")),"")</f>
        <v>Bez_Lo03_09</v>
      </c>
      <c r="I1653" s="38">
        <f ca="1">IF(B1659="","",6)</f>
        <v>6</v>
      </c>
    </row>
    <row r="1654" spans="2:9" s="16" customFormat="1" ht="15.75">
      <c r="B1654" s="35" t="str">
        <f ca="1">IFERROR(IF(AND(INDEX(Tab_DaBa[],MATCH(CONCATENATE(Liste!$C$3,$B$1415,$B$1641),Data!$BO:$BO,0)-2,28)&lt;&gt;"",INDEX(Tab_DaBa[],MATCH(CONCATENATE(Liste!$C$3,$B$1415,$B$1641),Data!$BO:$BO,0)-2,33)=""),"Performance Level: "&amp;INDEX(Tab_DaBa[],MATCH(CONCATENATE(Liste!$C$3,$B$1415,$B$1641),Data!$BO:$BO,0)-2,15),IF(INDEX(Tab_DaBa[],MATCH(CONCATENATE(Liste!$C$3,$B$1415,$B$1641),Data!$BO:$BO,0)-2,28)&lt;&gt;"","Performance Level: "&amp;INDEX(Tab_DaBa[],MATCH(CONCATENATE(Liste!$C$3,$B$1415,$B$1641),Data!$BO:$BO,0)-2,35),"")),"")</f>
        <v>Performance Level: PL_Lo04_09</v>
      </c>
      <c r="C1654" s="39"/>
      <c r="D1654" s="35" t="str">
        <f ca="1">IFERROR(IF(AND(INDEX(Tab_DaBa[],MATCH(CONCATENATE(Liste!$C$3,$B$1415,$B$1641),Data!$BO:$BO,0)-2,33)&lt;&gt;"",INDEX(Tab_DaBa[],MATCH(CONCATENATE(Liste!$C$3,$B$1415,$B$1641),Data!$BO:$BO,0)-2,38)=""),"Performance Level: "&amp;INDEX(Tab_DaBa[],MATCH(CONCATENATE(Liste!$C$3,$B$1415,$B$1641),Data!$BO:$BO,0)-2,15),IF(INDEX(Tab_DaBa[],MATCH(CONCATENATE(Liste!$C$3,$B$1415,$B$1641),Data!$BO:$BO,0)-2,33)&lt;&gt;"","Performance Level: "&amp;INDEX(Tab_DaBa[],MATCH(CONCATENATE(Liste!$C$3,$B$1415,$B$1641),Data!$BO:$BO,0)-2,40),"")),"")</f>
        <v>Performance Level: PL_Lo03_9</v>
      </c>
      <c r="E1654" s="37"/>
      <c r="F1654" s="35" t="str">
        <f ca="1">IFERROR(IF(AND(INDEX(Tab_DaBa[],MATCH(CONCATENATE(Liste!$C$3,$B$1415,$B$1641),Data!$BO:$BO,0)-2,38)&lt;&gt;"",INDEX(Tab_DaBa[],MATCH(CONCATENATE(Liste!$C$3,$B$1415,$B$1641),Data!$BO:$BO,0)-2,43)=""),"Performance Level: "&amp;INDEX(Tab_DaBa[],MATCH(CONCATENATE(Liste!$C$3,$B$1415,$B$1641),Data!$BO:$BO,0)-2,15),IF(INDEX(Tab_DaBa[],MATCH(CONCATENATE(Liste!$C$3,$B$1415,$B$1641),Data!$BO:$BO,0)-2,38)&lt;&gt;"","Performance Level: "&amp;INDEX(Tab_DaBa[],MATCH(CONCATENATE(Liste!$C$3,$B$1415,$B$1641),Data!$BO:$BO,0)-2,45),"")),"")</f>
        <v>Performance Level: PL_Lo03_09</v>
      </c>
      <c r="G1654" s="39"/>
      <c r="H1654" s="35" t="str">
        <f ca="1">IFERROR(IF(AND(INDEX(Tab_DaBa[],MATCH(CONCATENATE(Liste!$C$3,$B$1415,$B$1641),Data!$BO:$BO,0)-2,43)&lt;&gt;"",INDEX(Tab_DaBa[],MATCH(CONCATENATE(Liste!$C$3,$B$1415,$B$1641),Data!$BO:$BO,0)-2,48)=""),"Performance Level: "&amp;INDEX(Tab_DaBa[],MATCH(CONCATENATE(Liste!$C$3,$B$1415,$B$1641),Data!$BO:$BO,0)-2,15),IF(INDEX(Tab_DaBa[],MATCH(CONCATENATE(Liste!$C$3,$B$1415,$B$1641),Data!$BO:$BO,0)-2,43)&lt;&gt;"","Performance Level: "&amp;INDEX(Tab_DaBa[],MATCH(CONCATENATE(Liste!$C$3,$B$1415,$B$1641),Data!$BO:$BO,0)-2,50),"")),"")</f>
        <v>Performance Level: PL_Lo03_09</v>
      </c>
      <c r="I1654" s="39"/>
    </row>
    <row r="1655" spans="2:9" s="16" customFormat="1" ht="15.75">
      <c r="B1655" s="35" t="str">
        <f ca="1">IFERROR(IF(AND(INDEX(Tab_DaBa[],MATCH(CONCATENATE(Liste!$C$3,$B$1415,$B$1641),Data!$BO:$BO,0)-2,28)&lt;&gt;"",INDEX(Tab_DaBa[],MATCH(CONCATENATE(Liste!$C$3,$B$1415,$B$1641),Data!$BO:$BO,0)-2,33)=""),"PFH [1/h] = "&amp;10^9*INDEX(Tab_DaBa[],MATCH(CONCATENATE(Liste!$C$3,$B$1415,$B$1641),Data!$BO:$BO,0)-2,16)&amp;"E-9",IF(INDEX(Tab_DaBa[],MATCH(CONCATENATE(Liste!$C$3,$B$1415,$B$1641),Data!$BO:$BO,0)-2,28)&lt;&gt;"","PFH [1/h] = "&amp;10^9*INDEX(Tab_DaBa[],MATCH(CONCATENATE(Liste!$C$3,$B$1415,$B$1641),Data!$BO:$BO,0)-2,36)&amp;"E-9","")),"")</f>
        <v>PFH [1/h] = 4,19E-9</v>
      </c>
      <c r="C1655" s="39"/>
      <c r="D1655" s="35" t="str">
        <f ca="1">IFERROR(IF(AND(INDEX(Tab_DaBa[],MATCH(CONCATENATE(Liste!$C$3,$B$1415,$B$1641),Data!$BO:$BO,0)-2,33)&lt;&gt;"",INDEX(Tab_DaBa[],MATCH(CONCATENATE(Liste!$C$3,$B$1415,$B$1641),Data!$BO:$BO,0)-2,38)=""),"PFH [1/h] = "&amp;10^9*INDEX(Tab_DaBa[],MATCH(CONCATENATE(Liste!$C$3,$B$1415,$B$1641),Data!$BO:$BO,0)-2,16)&amp;"E-9",IF(INDEX(Tab_DaBa[],MATCH(CONCATENATE(Liste!$C$3,$B$1415,$B$1641),Data!$BO:$BO,0)-2,33)&lt;&gt;"","PFH [1/h] = "&amp;10^9*INDEX(Tab_DaBa[],MATCH(CONCATENATE(Liste!$C$3,$B$1415,$B$1641),Data!$BO:$BO,0)-2,41)&amp;"E-9","")),"")</f>
        <v>PFH [1/h] = 4,19E-9</v>
      </c>
      <c r="E1655" s="37"/>
      <c r="F1655" s="35" t="str">
        <f ca="1">IFERROR(IF(AND(INDEX(Tab_DaBa[],MATCH(CONCATENATE(Liste!$C$3,$B$1415,$B$1641),Data!$BO:$BO,0)-2,38)&lt;&gt;"",INDEX(Tab_DaBa[],MATCH(CONCATENATE(Liste!$C$3,$B$1415,$B$1641),Data!$BO:$BO,0)-2,43)=""),"PFH [1/h] = "&amp;10^9*INDEX(Tab_DaBa[],MATCH(CONCATENATE(Liste!$C$3,$B$1415,$B$1641),Data!$BO:$BO,0)-2,16)&amp;"E-9",IF(INDEX(Tab_DaBa[],MATCH(CONCATENATE(Liste!$C$3,$B$1415,$B$1641),Data!$BO:$BO,0)-2,38)&lt;&gt;"","PFH [1/h] = "&amp;10^9*INDEX(Tab_DaBa[],MATCH(CONCATENATE(Liste!$C$3,$B$1415,$B$1641),Data!$BO:$BO,0)-2,46)&amp;"E-9","")),"")</f>
        <v>PFH [1/h] = 4,19E-9</v>
      </c>
      <c r="G1655" s="39"/>
      <c r="H1655" s="35" t="str">
        <f ca="1">IFERROR(IF(AND(INDEX(Tab_DaBa[],MATCH(CONCATENATE(Liste!$C$3,$B$1415,$B$1641),Data!$BO:$BO,0)-2,43)&lt;&gt;"",INDEX(Tab_DaBa[],MATCH(CONCATENATE(Liste!$C$3,$B$1415,$B$1641),Data!$BO:$BO,0)-2,48)=""),"PFH [1/h] = "&amp;10^9*INDEX(Tab_DaBa[],MATCH(CONCATENATE(Liste!$C$3,$B$1415,$B$1641),Data!$BO:$BO,0)-2,16)&amp;"E-9",IF(INDEX(Tab_DaBa[],MATCH(CONCATENATE(Liste!$C$3,$B$1415,$B$1641),Data!$BO:$BO,0)-2,43)&lt;&gt;"","PFH [1/h] = "&amp;10^9*INDEX(Tab_DaBa[],MATCH(CONCATENATE(Liste!$C$3,$B$1415,$B$1641),Data!$BO:$BO,0)-2,51)&amp;"E-9","")),"")</f>
        <v>PFH [1/h] = 4,19E-9</v>
      </c>
      <c r="I1655" s="39"/>
    </row>
    <row r="1656" spans="2:9" s="16" customFormat="1">
      <c r="B1656" s="33"/>
      <c r="C1656" s="33"/>
      <c r="D1656" s="33"/>
      <c r="E1656" s="33"/>
      <c r="F1656" s="33"/>
      <c r="G1656" s="33"/>
      <c r="H1656" s="33"/>
      <c r="I1656" s="33"/>
    </row>
    <row r="1657" spans="2:9" s="16" customFormat="1" ht="15.75">
      <c r="B1657" s="38">
        <f ca="1">IF(B1659="","",6)</f>
        <v>6</v>
      </c>
      <c r="C1657" s="33"/>
      <c r="D1657" s="38">
        <f ca="1">IF(B1659="","",3)</f>
        <v>3</v>
      </c>
      <c r="E1657" s="33"/>
      <c r="F1657" s="38">
        <f ca="1">IF(B1659="","",3)</f>
        <v>3</v>
      </c>
      <c r="G1657" s="33"/>
      <c r="H1657" s="38">
        <f ca="1">IF(B1659="","",3)</f>
        <v>3</v>
      </c>
      <c r="I1657" s="33"/>
    </row>
    <row r="1658" spans="2:9" s="16" customFormat="1" ht="15.75">
      <c r="B1658" s="39"/>
      <c r="C1658" s="33"/>
      <c r="D1658" s="33"/>
      <c r="E1658" s="33"/>
      <c r="F1658" s="33"/>
      <c r="G1658" s="33"/>
      <c r="H1658" s="33"/>
      <c r="I1658" s="33"/>
    </row>
    <row r="1659" spans="2:9" s="16" customFormat="1" ht="15.75">
      <c r="B1659" s="35" t="str">
        <f ca="1">IFERROR(IF(AND(INDEX(Tab_DaBa[],MATCH(CONCATENATE(Liste!$C$3,$B$1415,$B$1641),Data!$BO:$BO,0)-2,48)&lt;&gt;"",INDEX(Tab_DaBa[],MATCH(CONCATENATE(Liste!$C$3,$B$1415,$B$1641),Data!$BO:$BO,0)-2,53)=0),INDEX(Tab_DaBa[],MATCH(CONCATENATE(Liste!$C$3,$B$1415,$B$1641),Data!$BO:$BO,0)-2,14),IF(INDEX(Tab_DaBa[],MATCH(CONCATENATE(Liste!$C$3,$B$1415,$B$1641),Data!$BO:$BO,0)-2,48)&lt;&gt;"",INDEX(Tab_DaBa[],MATCH(CONCATENATE(Liste!$C$3,$B$1415,$B$1641),Data!$BO:$BO,0)-2,54),"")),"")</f>
        <v>Logik 08</v>
      </c>
      <c r="C1659" s="39"/>
      <c r="D1659" s="35" t="str">
        <f ca="1">IFERROR(IF(AND(INDEX(Tab_DaBa[],MATCH(CONCATENATE(Liste!$C$3,$B$1415,$B$1641),Data!$BO:$BO,0)-2,53)&lt;&gt;"",INDEX(Tab_DaBa[],MATCH(CONCATENATE(Liste!$C$3,$B$1415,$B$1641),Data!$BO:$BO,0)-2,58)=0),INDEX(Tab_DaBa[],MATCH(CONCATENATE(Liste!$C$3,$B$1415,$B$1641),Data!$BO:$BO,0)-2,14),IF(INDEX(Tab_DaBa[],MATCH(CONCATENATE(Liste!$C$3,$B$1415,$B$1641),Data!$BO:$BO,0)-2,53)&lt;&gt;"",INDEX(Tab_DaBa[],MATCH(CONCATENATE(Liste!$C$3,$B$1415,$B$1641),Data!$BO:$BO,0)-2,59),"")),"")</f>
        <v>Logik 09</v>
      </c>
      <c r="E1659" s="33"/>
      <c r="F1659" s="35" t="str">
        <f ca="1">IFERROR(IF(AND(INDEX(Tab_DaBa[],MATCH(CONCATENATE(Liste!$C$3,$B$1415,$B$1641),Data!$BO:$BO,0)-2,58)&lt;&gt;"",INDEX(Tab_DaBa[],MATCH(CONCATENATE(Liste!$C$3,$B$1415,$B$1641),Data!$BO:$BO,0)-2,63)=0),INDEX(Tab_DaBa[],MATCH(CONCATENATE(Liste!$C$3,$B$1415,$B$1641),Data!$BO:$BO,0)-2,14),IF(INDEX(Tab_DaBa[],MATCH(CONCATENATE(Liste!$C$3,$B$1415,$B$1641),Data!$BO:$BO,0)-2,58)&lt;&gt;"",INDEX(Tab_DaBa[],MATCH(CONCATENATE(Liste!$C$3,$B$1415,$B$1641),Data!$BO:$BO,0)-2,64),"")),"")</f>
        <v>Ausgang</v>
      </c>
      <c r="G1659" s="39"/>
      <c r="H1659" s="35" t="str">
        <f ca="1">IFERROR(IF(INDEX(Tab_DaBa[],MATCH(CONCATENATE(Liste!$C$3,$B$1415,$B$1641),Data!$BO:$BO,0)-2,63)&lt;&gt;"",INDEX(Tab_DaBa[],MATCH(CONCATENATE(Liste!$C$3,$B$1415,$B$1641),Data!$BO:$BO,0)-2,14),""),"")</f>
        <v/>
      </c>
    </row>
    <row r="1660" spans="2:9" s="16" customFormat="1" ht="15.75">
      <c r="B1660" s="35" t="str">
        <f ca="1">IFERROR(IF(AND(INDEX(Tab_DaBa[],MATCH(CONCATENATE(Liste!$C$3,$B$1415,$B$1641),Data!$BO:$BO,0)-2,48)&lt;&gt;"",INDEX(Tab_DaBa[],MATCH(CONCATENATE(Liste!$C$3,$B$1415,$B$1641),Data!$BO:$BO,0)-2,53)=0),INDEX(Tab_DaBa[],MATCH(CONCATENATE(Liste!$C$3,$B$1415,$B$1641),Data!$BO:$BO,0)-2,12),IF(INDEX(Tab_DaBa[],MATCH(CONCATENATE(Liste!$C$3,$B$1415,$B$1641),Data!$BO:$BO,0)-2,48)&lt;&gt;"",INDEX(Tab_DaBa[],MATCH(CONCATENATE(Liste!$C$3,$B$1415,$B$1641),Data!$BO:$BO,0)-2,52),"")),"")</f>
        <v>Lo03-88_09</v>
      </c>
      <c r="C1660" s="39"/>
      <c r="D1660" s="35" t="str">
        <f ca="1">IFERROR(IF(AND(INDEX(Tab_DaBa[],MATCH(CONCATENATE(Liste!$C$3,$B$1415,$B$1641),Data!$BO:$BO,0)-2,53)&lt;&gt;"",INDEX(Tab_DaBa[],MATCH(CONCATENATE(Liste!$C$3,$B$1415,$B$1641),Data!$BO:$BO,0)-2,58)=0),INDEX(Tab_DaBa[],MATCH(CONCATENATE(Liste!$C$3,$B$1415,$B$1641),Data!$BO:$BO,0)-2,12),IF(INDEX(Tab_DaBa[],MATCH(CONCATENATE(Liste!$C$3,$B$1415,$B$1641),Data!$BO:$BO,0)-2,53)&lt;&gt;"",INDEX(Tab_DaBa[],MATCH(CONCATENATE(Liste!$C$3,$B$1415,$B$1641),Data!$BO:$BO,0)-2,57),"")),"")</f>
        <v>Lo03-33_09</v>
      </c>
      <c r="E1660" s="37"/>
      <c r="F1660" s="35" t="str">
        <f ca="1">IFERROR(IF(AND(INDEX(Tab_DaBa[],MATCH(CONCATENATE(Liste!$C$3,$B$1415,$B$1641),Data!$BO:$BO,0)-2,58)&lt;&gt;"",INDEX(Tab_DaBa[],MATCH(CONCATENATE(Liste!$C$3,$B$1415,$B$1641),Data!$BO:$BO,0)-2,63)=0),INDEX(Tab_DaBa[],MATCH(CONCATENATE(Liste!$C$3,$B$1415,$B$1641),Data!$BO:$BO,0)-2,12),IF(INDEX(Tab_DaBa[],MATCH(CONCATENATE(Liste!$C$3,$B$1415,$B$1641),Data!$BO:$BO,0)-2,58)&lt;&gt;"",INDEX(Tab_DaBa[],MATCH(CONCATENATE(Liste!$C$3,$B$1415,$B$1641),Data!$BO:$BO,0)-2,62),"")),"")</f>
        <v>aaaa-44_9</v>
      </c>
      <c r="G1660" s="39"/>
      <c r="H1660" s="35" t="str">
        <f ca="1">IFERROR(IF(INDEX(Tab_DaBa[],MATCH(CONCATENATE(Liste!$C$3,$B$1415,$B$1641),Data!$BO:$BO,0)-2,63)&lt;&gt;"",INDEX(Tab_DaBa[],MATCH(CONCATENATE(Liste!$C$3,$B$1415,$B$1641),Data!$BO:$BO,0)-2,12),""),"")</f>
        <v/>
      </c>
    </row>
    <row r="1661" spans="2:9" s="16" customFormat="1" ht="15.75">
      <c r="B1661" s="35" t="str">
        <f ca="1">IFERROR(IF(AND(INDEX(Tab_DaBa[],MATCH(CONCATENATE(Liste!$C$3,$B$1415,$B$1641),Data!$BO:$BO,0)-2,48)&lt;&gt;"",INDEX(Tab_DaBa[],MATCH(CONCATENATE(Liste!$C$3,$B$1415,$B$1641),Data!$BO:$BO,0)-2,53)=""),INDEX(Tab_DaBa[],MATCH(CONCATENATE(Liste!$C$3,$B$1415,$B$1641),Data!$BO:$BO,0)-2,13),IF(INDEX(Tab_DaBa[],MATCH(CONCATENATE(Liste!$C$3,$B$1415,$B$1641),Data!$BO:$BO,0)-2,48)&lt;&gt;"",INDEX(Tab_DaBa[],MATCH(CONCATENATE(Liste!$C$3,$B$1415,$B$1641),Data!$BO:$BO,0)-2,53),"")),"")</f>
        <v>Bez_Lo03_09</v>
      </c>
      <c r="C1661" s="38">
        <f ca="1">IF(D1659="","",4)</f>
        <v>4</v>
      </c>
      <c r="D1661" s="35" t="str">
        <f ca="1">IFERROR(IF(AND(INDEX(Tab_DaBa[],MATCH(CONCATENATE(Liste!$C$3,$B$1415,$B$1641),Data!$BO:$BO,0)-2,53)&lt;&gt;"",INDEX(Tab_DaBa[],MATCH(CONCATENATE(Liste!$C$3,$B$1415,$B$1641),Data!$BO:$BO,0)-2,58)=""),INDEX(Tab_DaBa[],MATCH(CONCATENATE(Liste!$C$3,$B$1415,$B$1641),Data!$BO:$BO,0)-2,13),IF(INDEX(Tab_DaBa[],MATCH(CONCATENATE(Liste!$C$3,$B$1415,$B$1641),Data!$BO:$BO,0)-2,53)&lt;&gt;"",INDEX(Tab_DaBa[],MATCH(CONCATENATE(Liste!$C$3,$B$1415,$B$1641),Data!$BO:$BO,0)-2,58),"")),"")</f>
        <v>Bez_Lo03_09</v>
      </c>
      <c r="E1661" s="38">
        <f ca="1">IF(F1659="","",4)</f>
        <v>4</v>
      </c>
      <c r="F1661" s="35" t="str">
        <f ca="1">IFERROR(IF(AND(INDEX(Tab_DaBa[],MATCH(CONCATENATE(Liste!$C$3,$B$1415,$B$1641),Data!$BO:$BO,0)-2,58)&lt;&gt;"",INDEX(Tab_DaBa[],MATCH(CONCATENATE(Liste!$C$3,$B$1415,$B$1641),Data!$BO:$BO,0)-2,63)=""),INDEX(Tab_DaBa[],MATCH(CONCATENATE(Liste!$C$3,$B$1415,$B$1641),Data!$BO:$BO,0)-2,13),IF(INDEX(Tab_DaBa[],MATCH(CONCATENATE(Liste!$C$3,$B$1415,$B$1641),Data!$BO:$BO,0)-2,58)&lt;&gt;"",INDEX(Tab_DaBa[],MATCH(CONCATENATE(Liste!$C$3,$B$1415,$B$1641),Data!$BO:$BO,0)-2,63),"")),"")</f>
        <v>Bez_Aus4_9</v>
      </c>
      <c r="G1661" s="38" t="str">
        <f ca="1">IF(H1659="","",4)</f>
        <v/>
      </c>
      <c r="H1661" s="35" t="str">
        <f ca="1">IFERROR(IF(INDEX(Tab_DaBa[],MATCH(CONCATENATE(Liste!$C$3,$B$1415,$B$1641),Data!$BO:$BO,0)-2,63)&lt;&gt;"",INDEX(Tab_DaBa[],MATCH(CONCATENATE(Liste!$C$3,$B$1415,$B$1641),Data!$BO:$BO,0)-2,13),""),"")</f>
        <v/>
      </c>
    </row>
    <row r="1662" spans="2:9" s="16" customFormat="1" ht="15.75">
      <c r="B1662" s="35" t="str">
        <f ca="1">IFERROR(IF(AND(INDEX(Tab_DaBa[],MATCH(CONCATENATE(Liste!$C$3,$B$1415,$B$1641),Data!$BO:$BO,0)-2,48)&lt;&gt;"",INDEX(Tab_DaBa[],MATCH(CONCATENATE(Liste!$C$3,$B$1415,$B$1641),Data!$BO:$BO,0)-2,53)=""),"Performance Level: "&amp;INDEX(Tab_DaBa[],MATCH(CONCATENATE(Liste!$C$3,$B$1415,$B$1641),Data!$BO:$BO,0)-2,15),IF(INDEX(Tab_DaBa[],MATCH(CONCATENATE(Liste!$C$3,$B$1415,$B$1641),Data!$BO:$BO,0)-2,48)&lt;&gt;"","Performance Level: "&amp;INDEX(Tab_DaBa[],MATCH(CONCATENATE(Liste!$C$3,$B$1415,$B$1641),Data!$BO:$BO,0)-2,55),"")),"")</f>
        <v>Performance Level: PL_Lo03_09</v>
      </c>
      <c r="C1662" s="39"/>
      <c r="D1662" s="35" t="str">
        <f ca="1">IFERROR(IF(AND(INDEX(Tab_DaBa[],MATCH(CONCATENATE(Liste!$C$3,$B$1415,$B$1641),Data!$BO:$BO,0)-2,53)&lt;&gt;"",INDEX(Tab_DaBa[],MATCH(CONCATENATE(Liste!$C$3,$B$1415,$B$1641),Data!$BO:$BO,0)-2,58)=""),"Performance Level: "&amp;INDEX(Tab_DaBa[],MATCH(CONCATENATE(Liste!$C$3,$B$1415,$B$1641),Data!$BO:$BO,0)-2,15),IF(INDEX(Tab_DaBa[],MATCH(CONCATENATE(Liste!$C$3,$B$1415,$B$1641),Data!$BO:$BO,0)-2,53)&lt;&gt;"","Performance Level: "&amp;INDEX(Tab_DaBa[],MATCH(CONCATENATE(Liste!$C$3,$B$1415,$B$1641),Data!$BO:$BO,0)-2,60),"")),"")</f>
        <v>Performance Level: PL_Lo03_09</v>
      </c>
      <c r="E1662" s="37"/>
      <c r="F1662" s="35" t="str">
        <f ca="1">IFERROR(IF(AND(INDEX(Tab_DaBa[],MATCH(CONCATENATE(Liste!$C$3,$B$1415,$B$1641),Data!$BO:$BO,0)-2,58)&lt;&gt;"",INDEX(Tab_DaBa[],MATCH(CONCATENATE(Liste!$C$3,$B$1415,$B$1641),Data!$BO:$BO,0)-2,63)=""),"Performance Level: "&amp;INDEX(Tab_DaBa[],MATCH(CONCATENATE(Liste!$C$3,$B$1415,$B$1641),Data!$BO:$BO,0)-2,15),IF(INDEX(Tab_DaBa[],MATCH(CONCATENATE(Liste!$C$3,$B$1415,$B$1641),Data!$BO:$BO,0)-2,58)&lt;&gt;"","Performance Level: "&amp;INDEX(Tab_DaBa[],MATCH(CONCATENATE(Liste!$C$3,$B$1415,$B$1641),Data!$BO:$BO,0)-2,65),"")),"")</f>
        <v>Performance Level: PL_Aus4_9</v>
      </c>
      <c r="G1662" s="39"/>
      <c r="H1662" s="35" t="str">
        <f ca="1">IFERROR(IF(INDEX(Tab_DaBa[],MATCH(CONCATENATE(Liste!$C$3,$B$1415,$B$1641),Data!$BO:$BO,0)-2,63)&lt;&gt;"","Performance Level: "&amp;INDEX(Tab_DaBa[],MATCH(CONCATENATE(Liste!$C$3,$B$1415,$B$1641),Data!$BO:$BO,0)-2,15),""),"")</f>
        <v/>
      </c>
    </row>
    <row r="1663" spans="2:9" s="16" customFormat="1" ht="15.75">
      <c r="B1663" s="35" t="str">
        <f ca="1">IFERROR(IF(AND(INDEX(Tab_DaBa[],MATCH(CONCATENATE(Liste!$C$3,$B$1415,$B$1641),Data!$BO:$BO,0)-2,48)&lt;&gt;"",INDEX(Tab_DaBa[],MATCH(CONCATENATE(Liste!$C$3,$B$1415,$B$1641),Data!$BO:$BO,0)-2,53)=""),"PFH [1/h] = "&amp;10^9*INDEX(Tab_DaBa[],MATCH(CONCATENATE(Liste!$C$3,$B$1415,$B$1641),Data!$BO:$BO,0)-2,16)&amp;"E-9",IF(INDEX(Tab_DaBa[],MATCH(CONCATENATE(Liste!$C$3,$B$1415,$B$1641),Data!$BO:$BO,0)-2,48)&lt;&gt;"","PFH [1/h] = "&amp;10^9*INDEX(Tab_DaBa[],MATCH(CONCATENATE(Liste!$C$3,$B$1415,$B$1641),Data!$BO:$BO,0)-2,56)&amp;"E-9","")),"")</f>
        <v>PFH [1/h] = 4,19E-9</v>
      </c>
      <c r="C1663" s="39"/>
      <c r="D1663" s="35" t="str">
        <f ca="1">IFERROR(IF(AND(INDEX(Tab_DaBa[],MATCH(CONCATENATE(Liste!$C$3,$B$1415,$B$1641),Data!$BO:$BO,0)-2,53)&lt;&gt;"",INDEX(Tab_DaBa[],MATCH(CONCATENATE(Liste!$C$3,$B$1415,$B$1641),Data!$BO:$BO,0)-2,58)=""),"PFH [1/h] = "&amp;10^9*INDEX(Tab_DaBa[],MATCH(CONCATENATE(Liste!$C$3,$B$1415,$B$1641),Data!$BO:$BO,0)-2,16)&amp;"E-9",IF(INDEX(Tab_DaBa[],MATCH(CONCATENATE(Liste!$C$3,$B$1415,$B$1641),Data!$BO:$BO,0)-2,53)&lt;&gt;"","PFH [1/h] = "&amp;10^9*INDEX(Tab_DaBa[],MATCH(CONCATENATE(Liste!$C$3,$B$1415,$B$1641),Data!$BO:$BO,0)-2,61)&amp;"E-9","")),"")</f>
        <v>PFH [1/h] = 4,19E-9</v>
      </c>
      <c r="E1663" s="37"/>
      <c r="F1663" s="35" t="str">
        <f ca="1">IFERROR(IF(AND(INDEX(Tab_DaBa[],MATCH(CONCATENATE(Liste!$C$3,$B$1415,$B$1641),Data!$BO:$BO,0)-2,58)&lt;&gt;"",INDEX(Tab_DaBa[],MATCH(CONCATENATE(Liste!$C$3,$B$1415,$B$1641),Data!$BO:$BO,0)-2,63)=""),"PFH [1/h] = "&amp;10^9*INDEX(Tab_DaBa[],MATCH(CONCATENATE(Liste!$C$3,$B$1415,$B$1641),Data!$BO:$BO,0)-2,16)&amp;"E-9",IF(INDEX(Tab_DaBa[],MATCH(CONCATENATE(Liste!$C$3,$B$1415,$B$1641),Data!$BO:$BO,0)-2,58)&lt;&gt;"","PFH [1/h] = "&amp;10^9*INDEX(Tab_DaBa[],MATCH(CONCATENATE(Liste!$C$3,$B$1415,$B$1641),Data!$BO:$BO,0)-2,66)&amp;"E-9","")),"")</f>
        <v>PFH [1/h] = 24,7E-9</v>
      </c>
      <c r="G1663" s="39"/>
      <c r="H1663" s="35" t="str">
        <f ca="1">IFERROR(IF(INDEX(Tab_DaBa[],MATCH(CONCATENATE(Liste!$C$3,$B$1415,$B$1641),Data!$BO:$BO,0)-2,63)&lt;&gt;"","PFH [1/h] = "&amp;10^9*INDEX(Tab_DaBa[],MATCH(CONCATENATE(Liste!$C$3,$B$1415,$B$1641),Data!$BO:$BO,0)-2,16)&amp;"E-9",""),"")</f>
        <v/>
      </c>
    </row>
    <row r="1664" spans="2:9" s="16" customFormat="1"/>
    <row r="1665" spans="2:9" s="16" customFormat="1">
      <c r="B1665" s="43" t="str">
        <f ca="1">IF(D1665="","","Erforderlich")</f>
        <v>Erforderlich</v>
      </c>
      <c r="D1665" s="44" t="str">
        <f ca="1">IFERROR("Performance Level: "&amp;INDEX(Tab_DaBa[],MATCH(CONCATENATE(Liste!$C$3,$B$1415,$B$1641),Data!$BO:$BO,0)-2,4),"")</f>
        <v>Performance Level: PLr_ges4_9</v>
      </c>
    </row>
    <row r="1666" spans="2:9" s="16" customFormat="1">
      <c r="B1666" s="45"/>
    </row>
    <row r="1667" spans="2:9" s="16" customFormat="1">
      <c r="B1667" s="46" t="str">
        <f ca="1">IF(D1667="","","Erreicht")</f>
        <v>Erreicht</v>
      </c>
      <c r="D1667" s="47" t="str">
        <f ca="1">IFERROR("Performance Level: "&amp;INDEX(Tab_DaBa[],MATCH(CONCATENATE(Liste!$C$3,$B$1415,$B$1641),Data!$BO:$BO,0)-2,5)&amp;"          PFH [1/h] = "&amp;10^9*INDEX(Tab_DaBa[],MATCH(CONCATENATE(Liste!$C$3,$B$1415,$B$1641),Data!$BO:$BO,0)-2,6)&amp;"E-9","")</f>
        <v>Performance Level: Pl_ges4_9          PFH [1/h] = 71,7E-9</v>
      </c>
    </row>
    <row r="1668" spans="2:9" s="16" customFormat="1">
      <c r="B1668" s="50"/>
      <c r="C1668" s="49"/>
      <c r="D1668" s="49"/>
    </row>
    <row r="1669" spans="2:9" s="16" customFormat="1">
      <c r="B1669" s="42" t="str">
        <f ca="1">IFERROR(IF(10&gt;COUNTIF(Data!$BP:$BP,CONCATENATE(Liste!$C$3,$B$1415)),"",INDEX(Tab_DaBa[],MATCH(CONCATENATE(Liste!$C$3,$B$1415),Data!$BP:$BP,0)+7,3)),"")</f>
        <v>6.10 Test4 (E+10L+A)</v>
      </c>
    </row>
    <row r="1670" spans="2:9" s="16" customFormat="1"/>
    <row r="1671" spans="2:9" s="16" customFormat="1" ht="15.75">
      <c r="B1671" s="35" t="str">
        <f ca="1">IFERROR(INDEX(Tab_DaBa[],MATCH(CONCATENATE(Liste!$C$3,$B$1415,$B$1669),Data!$BO:$BO,0)-2,9),"")</f>
        <v>Eingang</v>
      </c>
      <c r="C1671" s="54"/>
      <c r="D1671" s="35" t="str">
        <f ca="1">IFERROR(IF(INDEX(Tab_DaBa[],MATCH(CONCATENATE(Liste!$C$3,$B$1415,$B$1669),Data!$BO:$BO,0)-2,18)=0,INDEX(Tab_DaBa[],MATCH(CONCATENATE(Liste!$C$3,$B$1415,$B$1669),Data!$BO:$BO,0)-2,14),INDEX(Tab_DaBa[],MATCH(CONCATENATE(Liste!$C$3,$B$1415,$B$1669),Data!$BO:$BO,0)-2,19)),"")</f>
        <v>Logik 01</v>
      </c>
      <c r="E1671" s="33"/>
      <c r="F1671" s="35" t="str">
        <f ca="1">IFERROR(IF(AND(INDEX(Tab_DaBa[],MATCH(CONCATENATE(Liste!$C$3,$B$1415,$B$1669),Data!$BO:$BO,0)-2,18)&lt;&gt;"",INDEX(Tab_DaBa[],MATCH(CONCATENATE(Liste!$C$3,$B$1415,$B$1669),Data!$BO:$BO,0)-2,23)=0),INDEX(Tab_DaBa[],MATCH(CONCATENATE(Liste!$C$3,$B$1415,$B$1669),Data!$BO:$BO,0)-2,14),IF(INDEX(Tab_DaBa[],MATCH(CONCATENATE(Liste!$C$3,$B$1415,$B$1669),Data!$BO:$BO,0)-2,23)&lt;&gt;"",INDEX(Tab_DaBa[],MATCH(CONCATENATE(Liste!$C$3,$B$1415,$B$1669),Data!$BO:$BO,0)-2,24),"")),"")</f>
        <v>Logik 02</v>
      </c>
      <c r="G1671" s="39"/>
      <c r="H1671" s="35" t="str">
        <f ca="1">IFERROR(IF(AND(INDEX(Tab_DaBa[],MATCH(CONCATENATE(Liste!$C$3,$B$1415,$B$1669),Data!$BO:$BO,0)-2,23)&lt;&gt;"",INDEX(Tab_DaBa[],MATCH(CONCATENATE(Liste!$C$3,$B$1415,$B$1669),Data!$BO:$BO,0)-2,28)=0),INDEX(Tab_DaBa[],MATCH(CONCATENATE(Liste!$C$3,$B$1415,$B$1669),Data!$BO:$BO,0)-2,14),IF(INDEX(Tab_DaBa[],MATCH(CONCATENATE(Liste!$C$3,$B$1415,$B$1669),Data!$BO:$BO,0)-2,23)&lt;&gt;"",INDEX(Tab_DaBa[],MATCH(CONCATENATE(Liste!$C$3,$B$1415,$B$1669),Data!$BO:$BO,0)-2,29),"")),"")</f>
        <v>Logik 03</v>
      </c>
      <c r="I1671" s="39"/>
    </row>
    <row r="1672" spans="2:9" s="16" customFormat="1" ht="15.75">
      <c r="B1672" s="35" t="str">
        <f ca="1">IFERROR(INDEX(Tab_DaBa[],MATCH(CONCATENATE(Liste!$C$3,$B$1415,$B$1669),Data!$BO:$BO,0)-2,7),"")</f>
        <v>eeee-33_10</v>
      </c>
      <c r="C1672" s="54"/>
      <c r="D1672" s="35" t="str">
        <f ca="1">IFERROR(IF(INDEX(Tab_DaBa[],MATCH(CONCATENATE(Liste!$C$3,$B$1415,$B$1669),Data!$BO:$BO,0)-2,18)="",INDEX(Tab_DaBa[],MATCH(CONCATENATE(Liste!$C$3,$B$1415,$B$1669),Data!$BO:$BO,0)-2,12),INDEX(Tab_DaBa[],MATCH(CONCATENATE(Liste!$C$3,$B$1415,$B$1669),Data!$BO:$BO,0)-2,17)),"")</f>
        <v>Log01-04_10</v>
      </c>
      <c r="E1672" s="36"/>
      <c r="F1672" s="35" t="str">
        <f ca="1">IFERROR(IF(AND(INDEX(Tab_DaBa[],MATCH(CONCATENATE(Liste!$C$3,$B$1415,$B$1669),Data!$BO:$BO,0)-2,18)&lt;&gt;"",INDEX(Tab_DaBa[],MATCH(CONCATENATE(Liste!$C$3,$B$1415,$B$1669),Data!$BO:$BO,0)-2,23)=0),INDEX(Tab_DaBa[],MATCH(CONCATENATE(Liste!$C$3,$B$1415,$B$1669),Data!$BO:$BO,0)-2,12),IF(INDEX(Tab_DaBa[],MATCH(CONCATENATE(Liste!$C$3,$B$1415,$B$1669),Data!$BO:$BO,0)-2,23)&lt;&gt;"",INDEX(Tab_DaBa[],MATCH(CONCATENATE(Liste!$C$3,$B$1415,$B$1669),Data!$BO:$BO,0)-2,22),"")),"")</f>
        <v>Lo04-04_10</v>
      </c>
      <c r="G1672" s="39"/>
      <c r="H1672" s="35" t="str">
        <f ca="1">IFERROR(IF(AND(INDEX(Tab_DaBa[],MATCH(CONCATENATE(Liste!$C$3,$B$1415,$B$1669),Data!$BO:$BO,0)-2,23)&lt;&gt;"",INDEX(Tab_DaBa[],MATCH(CONCATENATE(Liste!$C$3,$B$1415,$B$1669),Data!$BO:$BO,0)-2,28)=0),INDEX(Tab_DaBa[],MATCH(CONCATENATE(Liste!$C$3,$B$1415,$B$1669),Data!$BO:$BO,0)-2,12),IF(INDEX(Tab_DaBa[],MATCH(CONCATENATE(Liste!$C$3,$B$1415,$B$1669),Data!$BO:$BO,0)-2,23)&lt;&gt;"",INDEX(Tab_DaBa[],MATCH(CONCATENATE(Liste!$C$3,$B$1415,$B$1669),Data!$BO:$BO,0)-2,27),"")),"")</f>
        <v>Lo04-44_10</v>
      </c>
      <c r="I1672" s="39"/>
    </row>
    <row r="1673" spans="2:9" s="16" customFormat="1" ht="15.75">
      <c r="B1673" s="35" t="str">
        <f ca="1">IFERROR(INDEX(Tab_DaBa[],MATCH(CONCATENATE(Liste!$C$3,$B$1415,$B$1669),Data!$BO:$BO,0)-2,8),"")</f>
        <v>Bez_Ein4_10</v>
      </c>
      <c r="C1673" s="40">
        <f ca="1">IF(D1671="","",4)</f>
        <v>4</v>
      </c>
      <c r="D1673" s="35" t="str">
        <f ca="1">IFERROR(IF(INDEX(Tab_DaBa[],MATCH(CONCATENATE(Liste!$C$3,$B$1415,$B$1669),Data!$BO:$BO,0)-2,18)="",INDEX(Tab_DaBa[],MATCH(CONCATENATE(Liste!$C$3,$B$1415,$B$1669),Data!$BO:$BO,0)-2,13),INDEX(Tab_DaBa[],MATCH(CONCATENATE(Liste!$C$3,$B$1415,$B$1669),Data!$BO:$BO,0)-2,18)),"")</f>
        <v>Bez_Log01_04_10</v>
      </c>
      <c r="E1673" s="40">
        <f ca="1">IF(F1671="","",4)</f>
        <v>4</v>
      </c>
      <c r="F1673" s="35" t="str">
        <f ca="1">IFERROR(IF(AND(INDEX(Tab_DaBa[],MATCH(CONCATENATE(Liste!$C$3,$B$1415,$B$1669),Data!$BO:$BO,0)-2,18)&lt;&gt;"",INDEX(Tab_DaBa[],MATCH(CONCATENATE(Liste!$C$3,$B$1415,$B$1669),Data!$BO:$BO,0)-2,23)=""),INDEX(Tab_DaBa[],MATCH(CONCATENATE(Liste!$C$3,$B$1415,$B$1669),Data!$BO:$BO,0)-2,13),IF(INDEX(Tab_DaBa[],MATCH(CONCATENATE(Liste!$C$3,$B$1415,$B$1669),Data!$BO:$BO,0)-2,23)&lt;&gt;"",INDEX(Tab_DaBa[],MATCH(CONCATENATE(Liste!$C$3,$B$1415,$B$1669),Data!$BO:$BO,0)-2,23),"")),"")</f>
        <v>Bez_Lo04_10</v>
      </c>
      <c r="G1673" s="38">
        <f ca="1">IF(H1671="","",4)</f>
        <v>4</v>
      </c>
      <c r="H1673" s="35" t="str">
        <f ca="1">IFERROR(IF(AND(INDEX(Tab_DaBa[],MATCH(CONCATENATE(Liste!$C$3,$B$1415,$B$1669),Data!$BO:$BO,0)-2,23)&lt;&gt;"",INDEX(Tab_DaBa[],MATCH(CONCATENATE(Liste!$C$3,$B$1415,$B$1669),Data!$BO:$BO,0)-2,28)=""),INDEX(Tab_DaBa[],MATCH(CONCATENATE(Liste!$C$3,$B$1415,$B$1669),Data!$BO:$BO,0)-2,13),IF(INDEX(Tab_DaBa[],MATCH(CONCATENATE(Liste!$C$3,$B$1415,$B$1669),Data!$BO:$BO,0)-2,23)&lt;&gt;"",INDEX(Tab_DaBa[],MATCH(CONCATENATE(Liste!$C$3,$B$1415,$B$1669),Data!$BO:$BO,0)-2,28),"")),"")</f>
        <v>Bez_Lo04_10</v>
      </c>
      <c r="I1673" s="38">
        <f ca="1">IF(B1679="","",6)</f>
        <v>6</v>
      </c>
    </row>
    <row r="1674" spans="2:9" s="16" customFormat="1" ht="15.75">
      <c r="B1674" s="35" t="str">
        <f ca="1">IFERROR("Performance Level: "&amp;INDEX(Tab_DaBa[],MATCH(CONCATENATE(Liste!$C$3,$B$1415,$B$1669),Data!$BO:$BO,0)-2,10),"")</f>
        <v>Performance Level: PL_Ein4_10</v>
      </c>
      <c r="C1674" s="54"/>
      <c r="D1674" s="35" t="str">
        <f ca="1">IFERROR(IF(INDEX(Tab_DaBa[],MATCH(CONCATENATE(Liste!$C$3,$B$1415,$B$1669),Data!$BO:$BO,0)-2,18)="","Performance Level: "&amp;INDEX(Tab_DaBa[],MATCH(CONCATENATE(Liste!$C$3,$B$1415,$B$1669),Data!$BO:$BO,0)-2,15),"Performance Level: "&amp;INDEX(Tab_DaBa[],MATCH(CONCATENATE(Liste!$C$3,$B$1415,$B$1669),Data!$BO:$BO,0)-2,20)),"")</f>
        <v>Performance Level: PL_Log01_04_10</v>
      </c>
      <c r="E1674" s="36"/>
      <c r="F1674" s="35" t="str">
        <f ca="1">IFERROR(IF(AND(INDEX(Tab_DaBa[],MATCH(CONCATENATE(Liste!$C$3,$B$1415,$B$1669),Data!$BO:$BO,0)-2,18)&lt;&gt;"",INDEX(Tab_DaBa[],MATCH(CONCATENATE(Liste!$C$3,$B$1415,$B$1669),Data!$BO:$BO,0)-2,23)=""),"Performance Level: "&amp;INDEX(Tab_DaBa[],MATCH(CONCATENATE(Liste!$C$3,$B$1415,$B$1669),Data!$BO:$BO,0)-2,15),IF(INDEX(Tab_DaBa[],MATCH(CONCATENATE(Liste!$C$3,$B$1415,$B$1669),Data!$BO:$BO,0)-2,23)&lt;&gt;"","Performance Level: "&amp;INDEX(Tab_DaBa[],MATCH(CONCATENATE(Liste!$C$3,$B$1415,$B$1669),Data!$BO:$BO,0)-2,25),"")),"")</f>
        <v>Performance Level: PL_Lo04_10</v>
      </c>
      <c r="G1674" s="39"/>
      <c r="H1674" s="35" t="str">
        <f ca="1">IFERROR(IF(AND(INDEX(Tab_DaBa[],MATCH(CONCATENATE(Liste!$C$3,$B$1415,$B$1669),Data!$BO:$BO,0)-2,23)&lt;&gt;"",INDEX(Tab_DaBa[],MATCH(CONCATENATE(Liste!$C$3,$B$1415,$B$1669),Data!$BO:$BO,0)-2,28)=""),"Performance Level: "&amp;INDEX(Tab_DaBa[],MATCH(CONCATENATE(Liste!$C$3,$B$1415,$B$1669),Data!$BO:$BO,0)-2,15),IF(INDEX(Tab_DaBa[],MATCH(CONCATENATE(Liste!$C$3,$B$1415,$B$1669),Data!$BO:$BO,0)-2,23)&lt;&gt;"","Performance Level: "&amp;INDEX(Tab_DaBa[],MATCH(CONCATENATE(Liste!$C$3,$B$1415,$B$1669),Data!$BO:$BO,0)-2,30),"")),"")</f>
        <v>Performance Level: PL_Lo04_10</v>
      </c>
      <c r="I1674" s="38"/>
    </row>
    <row r="1675" spans="2:9" s="16" customFormat="1" ht="15.75">
      <c r="B1675" s="53" t="str">
        <f ca="1">IFERROR("PFH [1/h] = "&amp;10^9*INDEX(Tab_DaBa[],MATCH(CONCATENATE(Liste!$C$3,$B$1415,$B$1669),Data!$BO:$BO,0)-2,11)&amp;"E-9","")</f>
        <v>PFH [1/h] = 42,9E-9</v>
      </c>
      <c r="C1675" s="54"/>
      <c r="D1675" s="35" t="str">
        <f ca="1">IFERROR(IF(INDEX(Tab_DaBa[],MATCH(CONCATENATE(Liste!$C$3,$B$1415,$B$1669),Data!$BO:$BO,0)-2,18)="","PFH [1/h] = "&amp;10^9*INDEX(Tab_DaBa[],MATCH(CONCATENATE(Liste!$C$3,$B$1415,$B$1669),Data!$BO:$BO,0)-2,16)&amp;"E-9","PFH [1/h] = "&amp;10^9*INDEX(Tab_DaBa[],MATCH(CONCATENATE(Liste!$C$3,$B$1415,$B$1669),Data!$BO:$BO,0)-2,21)&amp;"E-9"),"")</f>
        <v>PFH [1/h] = 4,19E-9</v>
      </c>
      <c r="E1675" s="36"/>
      <c r="F1675" s="35" t="str">
        <f ca="1">IFERROR(IF(AND(INDEX(Tab_DaBa[],MATCH(CONCATENATE(Liste!$C$3,$B$1415,$B$1669),Data!$BO:$BO,0)-2,18)&lt;&gt;"",INDEX(Tab_DaBa[],MATCH(CONCATENATE(Liste!$C$3,$B$1415,$B$1669),Data!$BO:$BO,0)-2,23)=""),"PFH [1/h] = "&amp;10^9*INDEX(Tab_DaBa[],MATCH(CONCATENATE(Liste!$C$3,$B$1415,$B$1669),Data!$BO:$BO,0)-2,16)&amp;"E-9",IF(INDEX(Tab_DaBa[],MATCH(CONCATENATE(Liste!$C$3,$B$1415,$B$1669),Data!$BO:$BO,0)-2,23)&lt;&gt;"","PFH [1/h] = "&amp;10^9*INDEX(Tab_DaBa[],MATCH(CONCATENATE(Liste!$C$3,$B$1415,$B$1669),Data!$BO:$BO,0)-2,26)&amp;"E-9","")),"")</f>
        <v>PFH [1/h] = 4,19E-9</v>
      </c>
      <c r="G1675" s="39"/>
      <c r="H1675" s="35" t="str">
        <f ca="1">IFERROR(IF(AND(INDEX(Tab_DaBa[],MATCH(CONCATENATE(Liste!$C$3,$B$1415,$B$1669),Data!$BO:$BO,0)-2,23)&lt;&gt;"",INDEX(Tab_DaBa[],MATCH(CONCATENATE(Liste!$C$3,$B$1415,$B$1669),Data!$BO:$BO,0)-2,28)=""),"PFH [1/h] = "&amp;10^9*INDEX(Tab_DaBa[],MATCH(CONCATENATE(Liste!$C$3,$B$1415,$B$1669),Data!$BO:$BO,0)-2,16)&amp;"E-9",IF(INDEX(Tab_DaBa[],MATCH(CONCATENATE(Liste!$C$3,$B$1415,$B$1669),Data!$BO:$BO,0)-2,23)&lt;&gt;"","PFH [1/h] = "&amp;10^9*INDEX(Tab_DaBa[],MATCH(CONCATENATE(Liste!$C$3,$B$1415,$B$1669),Data!$BO:$BO,0)-2,31)&amp;"E-9","")),"")</f>
        <v>PFH [1/h] = 4,19E-9</v>
      </c>
      <c r="I1675" s="39"/>
    </row>
    <row r="1676" spans="2:9" s="16" customFormat="1">
      <c r="B1676" s="33"/>
      <c r="C1676" s="34"/>
      <c r="D1676" s="33"/>
      <c r="E1676" s="33"/>
      <c r="F1676" s="33"/>
      <c r="G1676" s="33"/>
      <c r="H1676" s="33"/>
      <c r="I1676" s="33"/>
    </row>
    <row r="1677" spans="2:9" s="16" customFormat="1" ht="15.75">
      <c r="B1677" s="38">
        <f ca="1">IF(B1679="","",6)</f>
        <v>6</v>
      </c>
      <c r="C1677" s="34"/>
      <c r="D1677" s="38">
        <f ca="1">IF(B1679="","",3)</f>
        <v>3</v>
      </c>
      <c r="E1677" s="33"/>
      <c r="F1677" s="38">
        <f ca="1">IF(B1679="","",3)</f>
        <v>3</v>
      </c>
      <c r="G1677" s="33"/>
      <c r="H1677" s="38">
        <f ca="1">IF(B1679="","",3)</f>
        <v>3</v>
      </c>
      <c r="I1677" s="33"/>
    </row>
    <row r="1678" spans="2:9" s="16" customFormat="1" ht="15.75">
      <c r="B1678" s="39"/>
      <c r="C1678" s="33"/>
      <c r="D1678" s="33"/>
      <c r="E1678" s="33"/>
      <c r="F1678" s="33"/>
      <c r="G1678" s="33"/>
      <c r="H1678" s="33"/>
      <c r="I1678" s="33"/>
    </row>
    <row r="1679" spans="2:9" s="16" customFormat="1" ht="15.75">
      <c r="B1679" s="35" t="str">
        <f ca="1">IFERROR(IF(AND(INDEX(Tab_DaBa[],MATCH(CONCATENATE(Liste!$C$3,$B$1415,$B$1669),Data!$BO:$BO,0)-2,28)&lt;&gt;"",INDEX(Tab_DaBa[],MATCH(CONCATENATE(Liste!$C$3,$B$1415,$B$1669),Data!$BO:$BO,0)-2,33)=0),INDEX(Tab_DaBa[],MATCH(CONCATENATE(Liste!$C$3,$B$1415,$B$1669),Data!$BO:$BO,0)-2,14),IF(INDEX(Tab_DaBa[],MATCH(CONCATENATE(Liste!$C$3,$B$1415,$B$1669),Data!$BO:$BO,0)-2,28)&lt;&gt;"",INDEX(Tab_DaBa[],MATCH(CONCATENATE(Liste!$C$3,$B$1415,$B$1669),Data!$BO:$BO,0)-2,34),"")),"")</f>
        <v>Logik 04</v>
      </c>
      <c r="C1679" s="39"/>
      <c r="D1679" s="35" t="str">
        <f ca="1">IFERROR(IF(AND(INDEX(Tab_DaBa[],MATCH(CONCATENATE(Liste!$C$3,$B$1415,$B$1669),Data!$BO:$BO,0)-2,33)&lt;&gt;"",INDEX(Tab_DaBa[],MATCH(CONCATENATE(Liste!$C$3,$B$1415,$B$1669),Data!$BO:$BO,0)-2,38)=0),INDEX(Tab_DaBa[],MATCH(CONCATENATE(Liste!$C$3,$B$1415,$B$1669),Data!$BO:$BO,0)-2,14),IF(INDEX(Tab_DaBa[],MATCH(CONCATENATE(Liste!$C$3,$B$1415,$B$1669),Data!$BO:$BO,0)-2,33)&lt;&gt;"",INDEX(Tab_DaBa[],MATCH(CONCATENATE(Liste!$C$3,$B$1415,$B$1669),Data!$BO:$BO,0)-2,39),"")),"")</f>
        <v>Logik 08</v>
      </c>
      <c r="E1679" s="33"/>
      <c r="F1679" s="35" t="str">
        <f ca="1">IFERROR(IF(AND(INDEX(Tab_DaBa[],MATCH(CONCATENATE(Liste!$C$3,$B$1415,$B$1669),Data!$BO:$BO,0)-2,38)&lt;&gt;"",INDEX(Tab_DaBa[],MATCH(CONCATENATE(Liste!$C$3,$B$1415,$B$1669),Data!$BO:$BO,0)-2,43)=0),INDEX(Tab_DaBa[],MATCH(CONCATENATE(Liste!$C$3,$B$1415,$B$1669),Data!$BO:$BO,0)-2,14),IF(INDEX(Tab_DaBa[],MATCH(CONCATENATE(Liste!$C$3,$B$1415,$B$1669),Data!$BO:$BO,0)-2,38)&lt;&gt;"",INDEX(Tab_DaBa[],MATCH(CONCATENATE(Liste!$C$3,$B$1415,$B$1669),Data!$BO:$BO,0)-2,44),"")),"")</f>
        <v>Logik 06</v>
      </c>
      <c r="G1679" s="39"/>
      <c r="H1679" s="35" t="str">
        <f ca="1">IFERROR(IF(AND(INDEX(Tab_DaBa[],MATCH(CONCATENATE(Liste!$C$3,$B$1415,$B$1669),Data!$BO:$BO,0)-2,43)&lt;&gt;"",INDEX(Tab_DaBa[],MATCH(CONCATENATE(Liste!$C$3,$B$1415,$B$1669),Data!$BO:$BO,0)-2,48)=0),INDEX(Tab_DaBa[],MATCH(CONCATENATE(Liste!$C$3,$B$1415,$B$1669),Data!$BO:$BO,0)-2,14),IF(INDEX(Tab_DaBa[],MATCH(CONCATENATE(Liste!$C$3,$B$1415,$B$1669),Data!$BO:$BO,0)-2,43)&lt;&gt;"",INDEX(Tab_DaBa[],MATCH(CONCATENATE(Liste!$C$3,$B$1415,$B$1669),Data!$BO:$BO,0)-2,49),"")),"")</f>
        <v>Logik 07</v>
      </c>
      <c r="I1679" s="39"/>
    </row>
    <row r="1680" spans="2:9" s="16" customFormat="1" ht="15.75">
      <c r="B1680" s="35" t="str">
        <f ca="1">IFERROR(IF(AND(INDEX(Tab_DaBa[],MATCH(CONCATENATE(Liste!$C$3,$B$1415,$B$1669),Data!$BO:$BO,0)-2,28)&lt;&gt;"",INDEX(Tab_DaBa[],MATCH(CONCATENATE(Liste!$C$3,$B$1415,$B$1669),Data!$BO:$BO,0)-2,33)=0),INDEX(Tab_DaBa[],MATCH(CONCATENATE(Liste!$C$3,$B$1415,$B$1669),Data!$BO:$BO,0)-2,12),IF(INDEX(Tab_DaBa[],MATCH(CONCATENATE(Liste!$C$3,$B$1415,$B$1669),Data!$BO:$BO,0)-2,28)&lt;&gt;"",INDEX(Tab_DaBa[],MATCH(CONCATENATE(Liste!$C$3,$B$1415,$B$1669),Data!$BO:$BO,0)-2,32),"")),"")</f>
        <v>Lo04-44_10</v>
      </c>
      <c r="C1680" s="39"/>
      <c r="D1680" s="35" t="str">
        <f ca="1">IFERROR(IF(AND(INDEX(Tab_DaBa[],MATCH(CONCATENATE(Liste!$C$3,$B$1415,$B$1669),Data!$BO:$BO,0)-2,33)&lt;&gt;"",INDEX(Tab_DaBa[],MATCH(CONCATENATE(Liste!$C$3,$B$1415,$B$1669),Data!$BO:$BO,0)-2,38)=0),INDEX(Tab_DaBa[],MATCH(CONCATENATE(Liste!$C$3,$B$1415,$B$1669),Data!$BO:$BO,0)-2,12),IF(INDEX(Tab_DaBa[],MATCH(CONCATENATE(Liste!$C$3,$B$1415,$B$1669),Data!$BO:$BO,0)-2,33)&lt;&gt;"",INDEX(Tab_DaBa[],MATCH(CONCATENATE(Liste!$C$3,$B$1415,$B$1669),Data!$BO:$BO,0)-2,37),"")),"")</f>
        <v>Lo04-44_10</v>
      </c>
      <c r="E1680" s="37"/>
      <c r="F1680" s="35" t="str">
        <f ca="1">IFERROR(IF(AND(INDEX(Tab_DaBa[],MATCH(CONCATENATE(Liste!$C$3,$B$1415,$B$1669),Data!$BO:$BO,0)-2,38)&lt;&gt;"",INDEX(Tab_DaBa[],MATCH(CONCATENATE(Liste!$C$3,$B$1415,$B$1669),Data!$BO:$BO,0)-2,43)=0),INDEX(Tab_DaBa[],MATCH(CONCATENATE(Liste!$C$3,$B$1415,$B$1669),Data!$BO:$BO,0)-2,12),IF(INDEX(Tab_DaBa[],MATCH(CONCATENATE(Liste!$C$3,$B$1415,$B$1669),Data!$BO:$BO,0)-2,38)&lt;&gt;"",INDEX(Tab_DaBa[],MATCH(CONCATENATE(Liste!$C$3,$B$1415,$B$1669),Data!$BO:$BO,0)-2,42),"")),"")</f>
        <v>Lo03-33_10</v>
      </c>
      <c r="G1680" s="39"/>
      <c r="H1680" s="35" t="str">
        <f ca="1">IFERROR(IF(AND(INDEX(Tab_DaBa[],MATCH(CONCATENATE(Liste!$C$3,$B$1415,$B$1669),Data!$BO:$BO,0)-2,43)&lt;&gt;"",INDEX(Tab_DaBa[],MATCH(CONCATENATE(Liste!$C$3,$B$1415,$B$1669),Data!$BO:$BO,0)-2,48)=0),INDEX(Tab_DaBa[],MATCH(CONCATENATE(Liste!$C$3,$B$1415,$B$1669),Data!$BO:$BO,0)-2,12),IF(INDEX(Tab_DaBa[],MATCH(CONCATENATE(Liste!$C$3,$B$1415,$B$1669),Data!$BO:$BO,0)-2,43)&lt;&gt;"",INDEX(Tab_DaBa[],MATCH(CONCATENATE(Liste!$C$3,$B$1415,$B$1669),Data!$BO:$BO,0)-2,47),"")),"")</f>
        <v>Lo03-33_10</v>
      </c>
      <c r="I1680" s="39"/>
    </row>
    <row r="1681" spans="2:9" s="16" customFormat="1" ht="15.75">
      <c r="B1681" s="35" t="str">
        <f ca="1">IFERROR(IF(AND(INDEX(Tab_DaBa[],MATCH(CONCATENATE(Liste!$C$3,$B$1415,$B$1669),Data!$BO:$BO,0)-2,28)&lt;&gt;"",INDEX(Tab_DaBa[],MATCH(CONCATENATE(Liste!$C$3,$B$1415,$B$1669),Data!$BO:$BO,0)-2,33)=""),INDEX(Tab_DaBa[],MATCH(CONCATENATE(Liste!$C$3,$B$1415,$B$1669),Data!$BO:$BO,0)-2,13),IF(INDEX(Tab_DaBa[],MATCH(CONCATENATE(Liste!$C$3,$B$1415,$B$1669),Data!$BO:$BO,0)-2,28)&lt;&gt;"",INDEX(Tab_DaBa[],MATCH(CONCATENATE(Liste!$C$3,$B$1415,$B$1669),Data!$BO:$BO,0)-2,33),"")),"")</f>
        <v>Bez_Lo04_10</v>
      </c>
      <c r="C1681" s="38">
        <f ca="1">IF(D1679="","",4)</f>
        <v>4</v>
      </c>
      <c r="D1681" s="35" t="str">
        <f ca="1">IFERROR(IF(AND(INDEX(Tab_DaBa[],MATCH(CONCATENATE(Liste!$C$3,$B$1415,$B$1669),Data!$BO:$BO,0)-2,33)&lt;&gt;"",INDEX(Tab_DaBa[],MATCH(CONCATENATE(Liste!$C$3,$B$1415,$B$1669),Data!$BO:$BO,0)-2,38)=""),INDEX(Tab_DaBa[],MATCH(CONCATENATE(Liste!$C$3,$B$1415,$B$1669),Data!$BO:$BO,0)-2,13),IF(INDEX(Tab_DaBa[],MATCH(CONCATENATE(Liste!$C$3,$B$1415,$B$1669),Data!$BO:$BO,0)-2,33)&lt;&gt;"",INDEX(Tab_DaBa[],MATCH(CONCATENATE(Liste!$C$3,$B$1415,$B$1669),Data!$BO:$BO,0)-2,38),"")),"")</f>
        <v>Bez_Lo03_10</v>
      </c>
      <c r="E1681" s="38">
        <f ca="1">IF(F1679="","",4)</f>
        <v>4</v>
      </c>
      <c r="F1681" s="35" t="str">
        <f ca="1">IFERROR(IF(AND(INDEX(Tab_DaBa[],MATCH(CONCATENATE(Liste!$C$3,$B$1415,$B$1669),Data!$BO:$BO,0)-2,38)&lt;&gt;"",INDEX(Tab_DaBa[],MATCH(CONCATENATE(Liste!$C$3,$B$1415,$B$1669),Data!$BO:$BO,0)-2,43)=""),INDEX(Tab_DaBa[],MATCH(CONCATENATE(Liste!$C$3,$B$1415,$B$1669),Data!$BO:$BO,0)-2,13),IF(INDEX(Tab_DaBa[],MATCH(CONCATENATE(Liste!$C$3,$B$1415,$B$1669),Data!$BO:$BO,0)-2,38)&lt;&gt;"",INDEX(Tab_DaBa[],MATCH(CONCATENATE(Liste!$C$3,$B$1415,$B$1669),Data!$BO:$BO,0)-2,43),"")),"")</f>
        <v>Bez_Lo03_10</v>
      </c>
      <c r="G1681" s="38">
        <f ca="1">IF(H1679="","",4)</f>
        <v>4</v>
      </c>
      <c r="H1681" s="35" t="str">
        <f ca="1">IFERROR(IF(AND(INDEX(Tab_DaBa[],MATCH(CONCATENATE(Liste!$C$3,$B$1415,$B$1669),Data!$BO:$BO,0)-2,43)&lt;&gt;"",INDEX(Tab_DaBa[],MATCH(CONCATENATE(Liste!$C$3,$B$1415,$B$1669),Data!$BO:$BO,0)-2,48)=""),INDEX(Tab_DaBa[],MATCH(CONCATENATE(Liste!$C$3,$B$1415,$B$1669),Data!$BO:$BO,0)-2,13),IF(INDEX(Tab_DaBa[],MATCH(CONCATENATE(Liste!$C$3,$B$1415,$B$1669),Data!$BO:$BO,0)-2,43)&lt;&gt;"",INDEX(Tab_DaBa[],MATCH(CONCATENATE(Liste!$C$3,$B$1415,$B$1669),Data!$BO:$BO,0)-2,48),"")),"")</f>
        <v>Bez_Lo03_10</v>
      </c>
      <c r="I1681" s="38">
        <f ca="1">IF(B1687="","",6)</f>
        <v>6</v>
      </c>
    </row>
    <row r="1682" spans="2:9" s="16" customFormat="1" ht="15.75">
      <c r="B1682" s="35" t="str">
        <f ca="1">IFERROR(IF(AND(INDEX(Tab_DaBa[],MATCH(CONCATENATE(Liste!$C$3,$B$1415,$B$1669),Data!$BO:$BO,0)-2,28)&lt;&gt;"",INDEX(Tab_DaBa[],MATCH(CONCATENATE(Liste!$C$3,$B$1415,$B$1669),Data!$BO:$BO,0)-2,33)=""),"Performance Level: "&amp;INDEX(Tab_DaBa[],MATCH(CONCATENATE(Liste!$C$3,$B$1415,$B$1669),Data!$BO:$BO,0)-2,15),IF(INDEX(Tab_DaBa[],MATCH(CONCATENATE(Liste!$C$3,$B$1415,$B$1669),Data!$BO:$BO,0)-2,28)&lt;&gt;"","Performance Level: "&amp;INDEX(Tab_DaBa[],MATCH(CONCATENATE(Liste!$C$3,$B$1415,$B$1669),Data!$BO:$BO,0)-2,35),"")),"")</f>
        <v>Performance Level: PL_Lo04_10</v>
      </c>
      <c r="C1682" s="39"/>
      <c r="D1682" s="35" t="str">
        <f ca="1">IFERROR(IF(AND(INDEX(Tab_DaBa[],MATCH(CONCATENATE(Liste!$C$3,$B$1415,$B$1669),Data!$BO:$BO,0)-2,33)&lt;&gt;"",INDEX(Tab_DaBa[],MATCH(CONCATENATE(Liste!$C$3,$B$1415,$B$1669),Data!$BO:$BO,0)-2,38)=""),"Performance Level: "&amp;INDEX(Tab_DaBa[],MATCH(CONCATENATE(Liste!$C$3,$B$1415,$B$1669),Data!$BO:$BO,0)-2,15),IF(INDEX(Tab_DaBa[],MATCH(CONCATENATE(Liste!$C$3,$B$1415,$B$1669),Data!$BO:$BO,0)-2,33)&lt;&gt;"","Performance Level: "&amp;INDEX(Tab_DaBa[],MATCH(CONCATENATE(Liste!$C$3,$B$1415,$B$1669),Data!$BO:$BO,0)-2,40),"")),"")</f>
        <v>Performance Level: PL_Lo03_10</v>
      </c>
      <c r="E1682" s="37"/>
      <c r="F1682" s="35" t="str">
        <f ca="1">IFERROR(IF(AND(INDEX(Tab_DaBa[],MATCH(CONCATENATE(Liste!$C$3,$B$1415,$B$1669),Data!$BO:$BO,0)-2,38)&lt;&gt;"",INDEX(Tab_DaBa[],MATCH(CONCATENATE(Liste!$C$3,$B$1415,$B$1669),Data!$BO:$BO,0)-2,43)=""),"Performance Level: "&amp;INDEX(Tab_DaBa[],MATCH(CONCATENATE(Liste!$C$3,$B$1415,$B$1669),Data!$BO:$BO,0)-2,15),IF(INDEX(Tab_DaBa[],MATCH(CONCATENATE(Liste!$C$3,$B$1415,$B$1669),Data!$BO:$BO,0)-2,38)&lt;&gt;"","Performance Level: "&amp;INDEX(Tab_DaBa[],MATCH(CONCATENATE(Liste!$C$3,$B$1415,$B$1669),Data!$BO:$BO,0)-2,45),"")),"")</f>
        <v>Performance Level: PL_Lo03_10</v>
      </c>
      <c r="G1682" s="39"/>
      <c r="H1682" s="35" t="str">
        <f ca="1">IFERROR(IF(AND(INDEX(Tab_DaBa[],MATCH(CONCATENATE(Liste!$C$3,$B$1415,$B$1669),Data!$BO:$BO,0)-2,43)&lt;&gt;"",INDEX(Tab_DaBa[],MATCH(CONCATENATE(Liste!$C$3,$B$1415,$B$1669),Data!$BO:$BO,0)-2,48)=""),"Performance Level: "&amp;INDEX(Tab_DaBa[],MATCH(CONCATENATE(Liste!$C$3,$B$1415,$B$1669),Data!$BO:$BO,0)-2,15),IF(INDEX(Tab_DaBa[],MATCH(CONCATENATE(Liste!$C$3,$B$1415,$B$1669),Data!$BO:$BO,0)-2,43)&lt;&gt;"","Performance Level: "&amp;INDEX(Tab_DaBa[],MATCH(CONCATENATE(Liste!$C$3,$B$1415,$B$1669),Data!$BO:$BO,0)-2,50),"")),"")</f>
        <v>Performance Level: PL_Lo03_10</v>
      </c>
      <c r="I1682" s="39"/>
    </row>
    <row r="1683" spans="2:9" s="16" customFormat="1" ht="15.75">
      <c r="B1683" s="35" t="str">
        <f ca="1">IFERROR(IF(AND(INDEX(Tab_DaBa[],MATCH(CONCATENATE(Liste!$C$3,$B$1415,$B$1669),Data!$BO:$BO,0)-2,28)&lt;&gt;"",INDEX(Tab_DaBa[],MATCH(CONCATENATE(Liste!$C$3,$B$1415,$B$1669),Data!$BO:$BO,0)-2,33)=""),"PFH [1/h] = "&amp;10^9*INDEX(Tab_DaBa[],MATCH(CONCATENATE(Liste!$C$3,$B$1415,$B$1669),Data!$BO:$BO,0)-2,16)&amp;"E-9",IF(INDEX(Tab_DaBa[],MATCH(CONCATENATE(Liste!$C$3,$B$1415,$B$1669),Data!$BO:$BO,0)-2,28)&lt;&gt;"","PFH [1/h] = "&amp;10^9*INDEX(Tab_DaBa[],MATCH(CONCATENATE(Liste!$C$3,$B$1415,$B$1669),Data!$BO:$BO,0)-2,36)&amp;"E-9","")),"")</f>
        <v>PFH [1/h] = 4,19E-9</v>
      </c>
      <c r="C1683" s="39"/>
      <c r="D1683" s="35" t="str">
        <f ca="1">IFERROR(IF(AND(INDEX(Tab_DaBa[],MATCH(CONCATENATE(Liste!$C$3,$B$1415,$B$1669),Data!$BO:$BO,0)-2,33)&lt;&gt;"",INDEX(Tab_DaBa[],MATCH(CONCATENATE(Liste!$C$3,$B$1415,$B$1669),Data!$BO:$BO,0)-2,38)=""),"PFH [1/h] = "&amp;10^9*INDEX(Tab_DaBa[],MATCH(CONCATENATE(Liste!$C$3,$B$1415,$B$1669),Data!$BO:$BO,0)-2,16)&amp;"E-9",IF(INDEX(Tab_DaBa[],MATCH(CONCATENATE(Liste!$C$3,$B$1415,$B$1669),Data!$BO:$BO,0)-2,33)&lt;&gt;"","PFH [1/h] = "&amp;10^9*INDEX(Tab_DaBa[],MATCH(CONCATENATE(Liste!$C$3,$B$1415,$B$1669),Data!$BO:$BO,0)-2,41)&amp;"E-9","")),"")</f>
        <v>PFH [1/h] = 4,19E-9</v>
      </c>
      <c r="E1683" s="37"/>
      <c r="F1683" s="35" t="str">
        <f ca="1">IFERROR(IF(AND(INDEX(Tab_DaBa[],MATCH(CONCATENATE(Liste!$C$3,$B$1415,$B$1669),Data!$BO:$BO,0)-2,38)&lt;&gt;"",INDEX(Tab_DaBa[],MATCH(CONCATENATE(Liste!$C$3,$B$1415,$B$1669),Data!$BO:$BO,0)-2,43)=""),"PFH [1/h] = "&amp;10^9*INDEX(Tab_DaBa[],MATCH(CONCATENATE(Liste!$C$3,$B$1415,$B$1669),Data!$BO:$BO,0)-2,16)&amp;"E-9",IF(INDEX(Tab_DaBa[],MATCH(CONCATENATE(Liste!$C$3,$B$1415,$B$1669),Data!$BO:$BO,0)-2,38)&lt;&gt;"","PFH [1/h] = "&amp;10^9*INDEX(Tab_DaBa[],MATCH(CONCATENATE(Liste!$C$3,$B$1415,$B$1669),Data!$BO:$BO,0)-2,46)&amp;"E-9","")),"")</f>
        <v>PFH [1/h] = 4,19E-9</v>
      </c>
      <c r="G1683" s="39"/>
      <c r="H1683" s="35" t="str">
        <f ca="1">IFERROR(IF(AND(INDEX(Tab_DaBa[],MATCH(CONCATENATE(Liste!$C$3,$B$1415,$B$1669),Data!$BO:$BO,0)-2,43)&lt;&gt;"",INDEX(Tab_DaBa[],MATCH(CONCATENATE(Liste!$C$3,$B$1415,$B$1669),Data!$BO:$BO,0)-2,48)=""),"PFH [1/h] = "&amp;10^9*INDEX(Tab_DaBa[],MATCH(CONCATENATE(Liste!$C$3,$B$1415,$B$1669),Data!$BO:$BO,0)-2,16)&amp;"E-9",IF(INDEX(Tab_DaBa[],MATCH(CONCATENATE(Liste!$C$3,$B$1415,$B$1669),Data!$BO:$BO,0)-2,43)&lt;&gt;"","PFH [1/h] = "&amp;10^9*INDEX(Tab_DaBa[],MATCH(CONCATENATE(Liste!$C$3,$B$1415,$B$1669),Data!$BO:$BO,0)-2,51)&amp;"E-9","")),"")</f>
        <v>PFH [1/h] = 4,19E-9</v>
      </c>
      <c r="I1683" s="39"/>
    </row>
    <row r="1684" spans="2:9" s="16" customFormat="1">
      <c r="B1684" s="33"/>
      <c r="C1684" s="33"/>
      <c r="D1684" s="33"/>
      <c r="E1684" s="33"/>
      <c r="F1684" s="33"/>
      <c r="G1684" s="33"/>
      <c r="H1684" s="33"/>
      <c r="I1684" s="33"/>
    </row>
    <row r="1685" spans="2:9" s="16" customFormat="1" ht="15.75">
      <c r="B1685" s="38">
        <f ca="1">IF(B1687="","",6)</f>
        <v>6</v>
      </c>
      <c r="C1685" s="33"/>
      <c r="D1685" s="38">
        <f ca="1">IF(B1687="","",3)</f>
        <v>3</v>
      </c>
      <c r="E1685" s="33"/>
      <c r="F1685" s="38">
        <f ca="1">IF(B1687="","",3)</f>
        <v>3</v>
      </c>
      <c r="G1685" s="33"/>
      <c r="H1685" s="38">
        <f ca="1">IF(B1687="","",3)</f>
        <v>3</v>
      </c>
      <c r="I1685" s="33"/>
    </row>
    <row r="1686" spans="2:9" s="16" customFormat="1" ht="15.75">
      <c r="B1686" s="39"/>
      <c r="C1686" s="33"/>
      <c r="D1686" s="33"/>
      <c r="E1686" s="33"/>
      <c r="F1686" s="33"/>
      <c r="G1686" s="33"/>
      <c r="H1686" s="33"/>
      <c r="I1686" s="33"/>
    </row>
    <row r="1687" spans="2:9" s="16" customFormat="1" ht="15.75">
      <c r="B1687" s="35" t="str">
        <f ca="1">IFERROR(IF(AND(INDEX(Tab_DaBa[],MATCH(CONCATENATE(Liste!$C$3,$B$1415,$B$1669),Data!$BO:$BO,0)-2,48)&lt;&gt;"",INDEX(Tab_DaBa[],MATCH(CONCATENATE(Liste!$C$3,$B$1415,$B$1669),Data!$BO:$BO,0)-2,53)=0),INDEX(Tab_DaBa[],MATCH(CONCATENATE(Liste!$C$3,$B$1415,$B$1669),Data!$BO:$BO,0)-2,14),IF(INDEX(Tab_DaBa[],MATCH(CONCATENATE(Liste!$C$3,$B$1415,$B$1669),Data!$BO:$BO,0)-2,48)&lt;&gt;"",INDEX(Tab_DaBa[],MATCH(CONCATENATE(Liste!$C$3,$B$1415,$B$1669),Data!$BO:$BO,0)-2,54),"")),"")</f>
        <v>Logik 08</v>
      </c>
      <c r="C1687" s="39"/>
      <c r="D1687" s="35" t="str">
        <f ca="1">IFERROR(IF(AND(INDEX(Tab_DaBa[],MATCH(CONCATENATE(Liste!$C$3,$B$1415,$B$1669),Data!$BO:$BO,0)-2,53)&lt;&gt;"",INDEX(Tab_DaBa[],MATCH(CONCATENATE(Liste!$C$3,$B$1415,$B$1669),Data!$BO:$BO,0)-2,58)=0),INDEX(Tab_DaBa[],MATCH(CONCATENATE(Liste!$C$3,$B$1415,$B$1669),Data!$BO:$BO,0)-2,14),IF(INDEX(Tab_DaBa[],MATCH(CONCATENATE(Liste!$C$3,$B$1415,$B$1669),Data!$BO:$BO,0)-2,53)&lt;&gt;"",INDEX(Tab_DaBa[],MATCH(CONCATENATE(Liste!$C$3,$B$1415,$B$1669),Data!$BO:$BO,0)-2,59),"")),"")</f>
        <v>Logik 09</v>
      </c>
      <c r="E1687" s="33"/>
      <c r="F1687" s="35" t="str">
        <f ca="1">IFERROR(IF(AND(INDEX(Tab_DaBa[],MATCH(CONCATENATE(Liste!$C$3,$B$1415,$B$1669),Data!$BO:$BO,0)-2,58)&lt;&gt;"",INDEX(Tab_DaBa[],MATCH(CONCATENATE(Liste!$C$3,$B$1415,$B$1669),Data!$BO:$BO,0)-2,63)=0),INDEX(Tab_DaBa[],MATCH(CONCATENATE(Liste!$C$3,$B$1415,$B$1669),Data!$BO:$BO,0)-2,14),IF(INDEX(Tab_DaBa[],MATCH(CONCATENATE(Liste!$C$3,$B$1415,$B$1669),Data!$BO:$BO,0)-2,58)&lt;&gt;"",INDEX(Tab_DaBa[],MATCH(CONCATENATE(Liste!$C$3,$B$1415,$B$1669),Data!$BO:$BO,0)-2,64),"")),"")</f>
        <v>Logik 10</v>
      </c>
      <c r="G1687" s="39"/>
      <c r="H1687" s="35" t="str">
        <f ca="1">IFERROR(IF(INDEX(Tab_DaBa[],MATCH(CONCATENATE(Liste!$C$3,$B$1415,$B$1669),Data!$BO:$BO,0)-2,63)&lt;&gt;"",INDEX(Tab_DaBa[],MATCH(CONCATENATE(Liste!$C$3,$B$1415,$B$1669),Data!$BO:$BO,0)-2,14),""),"")</f>
        <v>Ausgang</v>
      </c>
    </row>
    <row r="1688" spans="2:9" s="16" customFormat="1" ht="15.75">
      <c r="B1688" s="35" t="str">
        <f ca="1">IFERROR(IF(AND(INDEX(Tab_DaBa[],MATCH(CONCATENATE(Liste!$C$3,$B$1415,$B$1669),Data!$BO:$BO,0)-2,48)&lt;&gt;"",INDEX(Tab_DaBa[],MATCH(CONCATENATE(Liste!$C$3,$B$1415,$B$1669),Data!$BO:$BO,0)-2,53)=0),INDEX(Tab_DaBa[],MATCH(CONCATENATE(Liste!$C$3,$B$1415,$B$1669),Data!$BO:$BO,0)-2,12),IF(INDEX(Tab_DaBa[],MATCH(CONCATENATE(Liste!$C$3,$B$1415,$B$1669),Data!$BO:$BO,0)-2,48)&lt;&gt;"",INDEX(Tab_DaBa[],MATCH(CONCATENATE(Liste!$C$3,$B$1415,$B$1669),Data!$BO:$BO,0)-2,52),"")),"")</f>
        <v>Lo03-88_10</v>
      </c>
      <c r="C1688" s="39"/>
      <c r="D1688" s="35" t="str">
        <f ca="1">IFERROR(IF(AND(INDEX(Tab_DaBa[],MATCH(CONCATENATE(Liste!$C$3,$B$1415,$B$1669),Data!$BO:$BO,0)-2,53)&lt;&gt;"",INDEX(Tab_DaBa[],MATCH(CONCATENATE(Liste!$C$3,$B$1415,$B$1669),Data!$BO:$BO,0)-2,58)=0),INDEX(Tab_DaBa[],MATCH(CONCATENATE(Liste!$C$3,$B$1415,$B$1669),Data!$BO:$BO,0)-2,12),IF(INDEX(Tab_DaBa[],MATCH(CONCATENATE(Liste!$C$3,$B$1415,$B$1669),Data!$BO:$BO,0)-2,53)&lt;&gt;"",INDEX(Tab_DaBa[],MATCH(CONCATENATE(Liste!$C$3,$B$1415,$B$1669),Data!$BO:$BO,0)-2,57),"")),"")</f>
        <v>Lo03-33_10</v>
      </c>
      <c r="E1688" s="37"/>
      <c r="F1688" s="35" t="str">
        <f ca="1">IFERROR(IF(AND(INDEX(Tab_DaBa[],MATCH(CONCATENATE(Liste!$C$3,$B$1415,$B$1669),Data!$BO:$BO,0)-2,58)&lt;&gt;"",INDEX(Tab_DaBa[],MATCH(CONCATENATE(Liste!$C$3,$B$1415,$B$1669),Data!$BO:$BO,0)-2,63)=0),INDEX(Tab_DaBa[],MATCH(CONCATENATE(Liste!$C$3,$B$1415,$B$1669),Data!$BO:$BO,0)-2,12),IF(INDEX(Tab_DaBa[],MATCH(CONCATENATE(Liste!$C$3,$B$1415,$B$1669),Data!$BO:$BO,0)-2,58)&lt;&gt;"",INDEX(Tab_DaBa[],MATCH(CONCATENATE(Liste!$C$3,$B$1415,$B$1669),Data!$BO:$BO,0)-2,62),"")),"")</f>
        <v>Lo03-10_10</v>
      </c>
      <c r="G1688" s="39"/>
      <c r="H1688" s="35" t="str">
        <f ca="1">IFERROR(IF(INDEX(Tab_DaBa[],MATCH(CONCATENATE(Liste!$C$3,$B$1415,$B$1669),Data!$BO:$BO,0)-2,63)&lt;&gt;"",INDEX(Tab_DaBa[],MATCH(CONCATENATE(Liste!$C$3,$B$1415,$B$1669),Data!$BO:$BO,0)-2,12),""),"")</f>
        <v>aaaa-44_10</v>
      </c>
    </row>
    <row r="1689" spans="2:9" s="16" customFormat="1" ht="15.75">
      <c r="B1689" s="35" t="str">
        <f ca="1">IFERROR(IF(AND(INDEX(Tab_DaBa[],MATCH(CONCATENATE(Liste!$C$3,$B$1415,$B$1669),Data!$BO:$BO,0)-2,48)&lt;&gt;"",INDEX(Tab_DaBa[],MATCH(CONCATENATE(Liste!$C$3,$B$1415,$B$1669),Data!$BO:$BO,0)-2,53)=""),INDEX(Tab_DaBa[],MATCH(CONCATENATE(Liste!$C$3,$B$1415,$B$1669),Data!$BO:$BO,0)-2,13),IF(INDEX(Tab_DaBa[],MATCH(CONCATENATE(Liste!$C$3,$B$1415,$B$1669),Data!$BO:$BO,0)-2,48)&lt;&gt;"",INDEX(Tab_DaBa[],MATCH(CONCATENATE(Liste!$C$3,$B$1415,$B$1669),Data!$BO:$BO,0)-2,53),"")),"")</f>
        <v>Bez_Lo03_10</v>
      </c>
      <c r="C1689" s="38">
        <f ca="1">IF(D1687="","",4)</f>
        <v>4</v>
      </c>
      <c r="D1689" s="35" t="str">
        <f ca="1">IFERROR(IF(AND(INDEX(Tab_DaBa[],MATCH(CONCATENATE(Liste!$C$3,$B$1415,$B$1669),Data!$BO:$BO,0)-2,53)&lt;&gt;"",INDEX(Tab_DaBa[],MATCH(CONCATENATE(Liste!$C$3,$B$1415,$B$1669),Data!$BO:$BO,0)-2,58)=""),INDEX(Tab_DaBa[],MATCH(CONCATENATE(Liste!$C$3,$B$1415,$B$1669),Data!$BO:$BO,0)-2,13),IF(INDEX(Tab_DaBa[],MATCH(CONCATENATE(Liste!$C$3,$B$1415,$B$1669),Data!$BO:$BO,0)-2,53)&lt;&gt;"",INDEX(Tab_DaBa[],MATCH(CONCATENATE(Liste!$C$3,$B$1415,$B$1669),Data!$BO:$BO,0)-2,58),"")),"")</f>
        <v>Bez_Lo03_10</v>
      </c>
      <c r="E1689" s="38">
        <f ca="1">IF(F1687="","",4)</f>
        <v>4</v>
      </c>
      <c r="F1689" s="35" t="str">
        <f ca="1">IFERROR(IF(AND(INDEX(Tab_DaBa[],MATCH(CONCATENATE(Liste!$C$3,$B$1415,$B$1669),Data!$BO:$BO,0)-2,58)&lt;&gt;"",INDEX(Tab_DaBa[],MATCH(CONCATENATE(Liste!$C$3,$B$1415,$B$1669),Data!$BO:$BO,0)-2,63)=""),INDEX(Tab_DaBa[],MATCH(CONCATENATE(Liste!$C$3,$B$1415,$B$1669),Data!$BO:$BO,0)-2,13),IF(INDEX(Tab_DaBa[],MATCH(CONCATENATE(Liste!$C$3,$B$1415,$B$1669),Data!$BO:$BO,0)-2,58)&lt;&gt;"",INDEX(Tab_DaBa[],MATCH(CONCATENATE(Liste!$C$3,$B$1415,$B$1669),Data!$BO:$BO,0)-2,63),"")),"")</f>
        <v>Bez_Lo03_10</v>
      </c>
      <c r="G1689" s="38">
        <f ca="1">IF(H1687="","",4)</f>
        <v>4</v>
      </c>
      <c r="H1689" s="35" t="str">
        <f ca="1">IFERROR(IF(INDEX(Tab_DaBa[],MATCH(CONCATENATE(Liste!$C$3,$B$1415,$B$1669),Data!$BO:$BO,0)-2,63)&lt;&gt;"",INDEX(Tab_DaBa[],MATCH(CONCATENATE(Liste!$C$3,$B$1415,$B$1669),Data!$BO:$BO,0)-2,13),""),"")</f>
        <v>Bez_Aus4_10</v>
      </c>
    </row>
    <row r="1690" spans="2:9" s="16" customFormat="1" ht="15.75">
      <c r="B1690" s="35" t="str">
        <f ca="1">IFERROR(IF(AND(INDEX(Tab_DaBa[],MATCH(CONCATENATE(Liste!$C$3,$B$1415,$B$1669),Data!$BO:$BO,0)-2,48)&lt;&gt;"",INDEX(Tab_DaBa[],MATCH(CONCATENATE(Liste!$C$3,$B$1415,$B$1669),Data!$BO:$BO,0)-2,53)=""),"Performance Level: "&amp;INDEX(Tab_DaBa[],MATCH(CONCATENATE(Liste!$C$3,$B$1415,$B$1669),Data!$BO:$BO,0)-2,15),IF(INDEX(Tab_DaBa[],MATCH(CONCATENATE(Liste!$C$3,$B$1415,$B$1669),Data!$BO:$BO,0)-2,48)&lt;&gt;"","Performance Level: "&amp;INDEX(Tab_DaBa[],MATCH(CONCATENATE(Liste!$C$3,$B$1415,$B$1669),Data!$BO:$BO,0)-2,55),"")),"")</f>
        <v>Performance Level: PL_Lo03_10</v>
      </c>
      <c r="C1690" s="39"/>
      <c r="D1690" s="35" t="str">
        <f ca="1">IFERROR(IF(AND(INDEX(Tab_DaBa[],MATCH(CONCATENATE(Liste!$C$3,$B$1415,$B$1669),Data!$BO:$BO,0)-2,53)&lt;&gt;"",INDEX(Tab_DaBa[],MATCH(CONCATENATE(Liste!$C$3,$B$1415,$B$1669),Data!$BO:$BO,0)-2,58)=""),"Performance Level: "&amp;INDEX(Tab_DaBa[],MATCH(CONCATENATE(Liste!$C$3,$B$1415,$B$1669),Data!$BO:$BO,0)-2,15),IF(INDEX(Tab_DaBa[],MATCH(CONCATENATE(Liste!$C$3,$B$1415,$B$1669),Data!$BO:$BO,0)-2,53)&lt;&gt;"","Performance Level: "&amp;INDEX(Tab_DaBa[],MATCH(CONCATENATE(Liste!$C$3,$B$1415,$B$1669),Data!$BO:$BO,0)-2,60),"")),"")</f>
        <v>Performance Level: PL_Lo03_10</v>
      </c>
      <c r="E1690" s="37"/>
      <c r="F1690" s="35" t="str">
        <f ca="1">IFERROR(IF(AND(INDEX(Tab_DaBa[],MATCH(CONCATENATE(Liste!$C$3,$B$1415,$B$1669),Data!$BO:$BO,0)-2,58)&lt;&gt;"",INDEX(Tab_DaBa[],MATCH(CONCATENATE(Liste!$C$3,$B$1415,$B$1669),Data!$BO:$BO,0)-2,63)=""),"Performance Level: "&amp;INDEX(Tab_DaBa[],MATCH(CONCATENATE(Liste!$C$3,$B$1415,$B$1669),Data!$BO:$BO,0)-2,15),IF(INDEX(Tab_DaBa[],MATCH(CONCATENATE(Liste!$C$3,$B$1415,$B$1669),Data!$BO:$BO,0)-2,58)&lt;&gt;"","Performance Level: "&amp;INDEX(Tab_DaBa[],MATCH(CONCATENATE(Liste!$C$3,$B$1415,$B$1669),Data!$BO:$BO,0)-2,65),"")),"")</f>
        <v>Performance Level: PL_Lo03_10</v>
      </c>
      <c r="G1690" s="39"/>
      <c r="H1690" s="35" t="str">
        <f ca="1">IFERROR(IF(INDEX(Tab_DaBa[],MATCH(CONCATENATE(Liste!$C$3,$B$1415,$B$1669),Data!$BO:$BO,0)-2,63)&lt;&gt;"","Performance Level: "&amp;INDEX(Tab_DaBa[],MATCH(CONCATENATE(Liste!$C$3,$B$1415,$B$1669),Data!$BO:$BO,0)-2,15),""),"")</f>
        <v>Performance Level: PL_Aus4_10</v>
      </c>
    </row>
    <row r="1691" spans="2:9" s="16" customFormat="1" ht="15.75">
      <c r="B1691" s="35" t="str">
        <f ca="1">IFERROR(IF(AND(INDEX(Tab_DaBa[],MATCH(CONCATENATE(Liste!$C$3,$B$1415,$B$1669),Data!$BO:$BO,0)-2,48)&lt;&gt;"",INDEX(Tab_DaBa[],MATCH(CONCATENATE(Liste!$C$3,$B$1415,$B$1669),Data!$BO:$BO,0)-2,53)=""),"PFH [1/h] = "&amp;10^9*INDEX(Tab_DaBa[],MATCH(CONCATENATE(Liste!$C$3,$B$1415,$B$1669),Data!$BO:$BO,0)-2,16)&amp;"E-9",IF(INDEX(Tab_DaBa[],MATCH(CONCATENATE(Liste!$C$3,$B$1415,$B$1669),Data!$BO:$BO,0)-2,48)&lt;&gt;"","PFH [1/h] = "&amp;10^9*INDEX(Tab_DaBa[],MATCH(CONCATENATE(Liste!$C$3,$B$1415,$B$1669),Data!$BO:$BO,0)-2,56)&amp;"E-9","")),"")</f>
        <v>PFH [1/h] = 4,19E-9</v>
      </c>
      <c r="C1691" s="39"/>
      <c r="D1691" s="35" t="str">
        <f ca="1">IFERROR(IF(AND(INDEX(Tab_DaBa[],MATCH(CONCATENATE(Liste!$C$3,$B$1415,$B$1669),Data!$BO:$BO,0)-2,53)&lt;&gt;"",INDEX(Tab_DaBa[],MATCH(CONCATENATE(Liste!$C$3,$B$1415,$B$1669),Data!$BO:$BO,0)-2,58)=""),"PFH [1/h] = "&amp;10^9*INDEX(Tab_DaBa[],MATCH(CONCATENATE(Liste!$C$3,$B$1415,$B$1669),Data!$BO:$BO,0)-2,16)&amp;"E-9",IF(INDEX(Tab_DaBa[],MATCH(CONCATENATE(Liste!$C$3,$B$1415,$B$1669),Data!$BO:$BO,0)-2,53)&lt;&gt;"","PFH [1/h] = "&amp;10^9*INDEX(Tab_DaBa[],MATCH(CONCATENATE(Liste!$C$3,$B$1415,$B$1669),Data!$BO:$BO,0)-2,61)&amp;"E-9","")),"")</f>
        <v>PFH [1/h] = 4,19E-9</v>
      </c>
      <c r="E1691" s="37"/>
      <c r="F1691" s="35" t="str">
        <f ca="1">IFERROR(IF(AND(INDEX(Tab_DaBa[],MATCH(CONCATENATE(Liste!$C$3,$B$1415,$B$1669),Data!$BO:$BO,0)-2,58)&lt;&gt;"",INDEX(Tab_DaBa[],MATCH(CONCATENATE(Liste!$C$3,$B$1415,$B$1669),Data!$BO:$BO,0)-2,63)=""),"PFH [1/h] = "&amp;10^9*INDEX(Tab_DaBa[],MATCH(CONCATENATE(Liste!$C$3,$B$1415,$B$1669),Data!$BO:$BO,0)-2,16)&amp;"E-9",IF(INDEX(Tab_DaBa[],MATCH(CONCATENATE(Liste!$C$3,$B$1415,$B$1669),Data!$BO:$BO,0)-2,58)&lt;&gt;"","PFH [1/h] = "&amp;10^9*INDEX(Tab_DaBa[],MATCH(CONCATENATE(Liste!$C$3,$B$1415,$B$1669),Data!$BO:$BO,0)-2,66)&amp;"E-9","")),"")</f>
        <v>PFH [1/h] = 4,19E-9</v>
      </c>
      <c r="G1691" s="39"/>
      <c r="H1691" s="35" t="str">
        <f ca="1">IFERROR(IF(INDEX(Tab_DaBa[],MATCH(CONCATENATE(Liste!$C$3,$B$1415,$B$1669),Data!$BO:$BO,0)-2,63)&lt;&gt;"","PFH [1/h] = "&amp;10^9*INDEX(Tab_DaBa[],MATCH(CONCATENATE(Liste!$C$3,$B$1415,$B$1669),Data!$BO:$BO,0)-2,16)&amp;"E-9",""),"")</f>
        <v>PFH [1/h] = 24,7E-9</v>
      </c>
    </row>
    <row r="1692" spans="2:9" s="16" customFormat="1"/>
    <row r="1693" spans="2:9" s="16" customFormat="1">
      <c r="B1693" s="43" t="str">
        <f ca="1">IF(D1693="","","Erforderlich")</f>
        <v>Erforderlich</v>
      </c>
      <c r="D1693" s="44" t="str">
        <f ca="1">IFERROR("Performance Level: "&amp;INDEX(Tab_DaBa[],MATCH(CONCATENATE(Liste!$C$3,$B$1415,$B$1669),Data!$BO:$BO,0)-2,4),"")</f>
        <v>Performance Level: PLr_ges4_10</v>
      </c>
    </row>
    <row r="1694" spans="2:9" s="16" customFormat="1">
      <c r="B1694" s="45"/>
    </row>
    <row r="1695" spans="2:9" s="16" customFormat="1">
      <c r="B1695" s="46" t="str">
        <f ca="1">IF(D1695="","","Erreicht")</f>
        <v>Erreicht</v>
      </c>
      <c r="D1695" s="47" t="str">
        <f ca="1">IFERROR("Performance Level: "&amp;INDEX(Tab_DaBa[],MATCH(CONCATENATE(Liste!$C$3,$B$1415,$B$1669),Data!$BO:$BO,0)-2,5)&amp;"          PFH [1/h] = "&amp;10^9*INDEX(Tab_DaBa[],MATCH(CONCATENATE(Liste!$C$3,$B$1415,$B$1669),Data!$BO:$BO,0)-2,6)&amp;"E-9","")</f>
        <v>Performance Level: Pl_ges4_10          PFH [1/h] = 71,7E-9</v>
      </c>
    </row>
    <row r="1696" spans="2:9" s="16" customFormat="1"/>
    <row r="1697" spans="2:9" s="16" customFormat="1">
      <c r="B1697" s="55" t="str">
        <f ca="1">Liste!$D$10</f>
        <v>7. Test4</v>
      </c>
    </row>
    <row r="1698" spans="2:9" s="16" customFormat="1"/>
    <row r="1699" spans="2:9" s="16" customFormat="1">
      <c r="B1699" s="42" t="str">
        <f ca="1">IFERROR(IF(1&gt;COUNTIF(Data!$BP:$BP,CONCATENATE(Liste!$C$3,$B$1697)),"",INDEX(Tab_DaBa[],MATCH(CONCATENATE(Liste!$C$3,$B$1697),Data!$BP:$BP,0)-2,3)),"")</f>
        <v>7.1 Test4 (E+1L+A)</v>
      </c>
    </row>
    <row r="1700" spans="2:9" s="16" customFormat="1"/>
    <row r="1701" spans="2:9" s="16" customFormat="1" ht="15.75">
      <c r="B1701" s="35" t="str">
        <f ca="1">IFERROR(INDEX(Tab_DaBa[],MATCH(CONCATENATE(Liste!$C$3,$B$1697,$B$1699),Data!$BO:$BO,0)-2,9),"")</f>
        <v>Eingang</v>
      </c>
      <c r="C1701" s="54"/>
      <c r="D1701" s="35" t="str">
        <f ca="1">IFERROR(IF(INDEX(Tab_DaBa[],MATCH(CONCATENATE(Liste!$C$3,$B$1697,$B$1699),Data!$BO:$BO,0)-2,18)=0,INDEX(Tab_DaBa[],MATCH(CONCATENATE(Liste!$C$3,$B$1697,$B$1699),Data!$BO:$BO,0)-2,14),INDEX(Tab_DaBa[],MATCH(CONCATENATE(Liste!$C$3,$B$1697,$B$1699),Data!$BO:$BO,0)-2,19)),"")</f>
        <v>Logik 01</v>
      </c>
      <c r="E1701" s="33"/>
      <c r="F1701" s="35" t="str">
        <f ca="1">IFERROR(IF(AND(INDEX(Tab_DaBa[],MATCH(CONCATENATE(Liste!$C$3,$B$1697,$B$1699),Data!$BO:$BO,0)-2,18)&lt;&gt;"",INDEX(Tab_DaBa[],MATCH(CONCATENATE(Liste!$C$3,$B$1697,$B$1699),Data!$BO:$BO,0)-2,23)=0),INDEX(Tab_DaBa[],MATCH(CONCATENATE(Liste!$C$3,$B$1697,$B$1699),Data!$BO:$BO,0)-2,14),IF(INDEX(Tab_DaBa[],MATCH(CONCATENATE(Liste!$C$3,$B$1697,$B$1699),Data!$BO:$BO,0)-2,23)&lt;&gt;"",INDEX(Tab_DaBa[],MATCH(CONCATENATE(Liste!$C$3,$B$1697,$B$1699),Data!$BO:$BO,0)-2,24),"")),"")</f>
        <v>Ausgang</v>
      </c>
      <c r="G1701" s="39"/>
      <c r="H1701" s="35" t="str">
        <f ca="1">IFERROR(IF(AND(INDEX(Tab_DaBa[],MATCH(CONCATENATE(Liste!$C$3,$B$1697,$B$1699),Data!$BO:$BO,0)-2,23)&lt;&gt;"",INDEX(Tab_DaBa[],MATCH(CONCATENATE(Liste!$C$3,$B$1697,$B$1699),Data!$BO:$BO,0)-2,28)=0),INDEX(Tab_DaBa[],MATCH(CONCATENATE(Liste!$C$3,$B$1697,$B$1699),Data!$BO:$BO,0)-2,14),IF(INDEX(Tab_DaBa[],MATCH(CONCATENATE(Liste!$C$3,$B$1697,$B$1699),Data!$BO:$BO,0)-2,23)&lt;&gt;"",INDEX(Tab_DaBa[],MATCH(CONCATENATE(Liste!$C$3,$B$1697,$B$1699),Data!$BO:$BO,0)-2,29),"")),"")</f>
        <v/>
      </c>
      <c r="I1701" s="39"/>
    </row>
    <row r="1702" spans="2:9" s="16" customFormat="1" ht="15.75">
      <c r="B1702" s="35" t="str">
        <f ca="1">IFERROR(INDEX(Tab_DaBa[],MATCH(CONCATENATE(Liste!$C$3,$B$1697,$B$1699),Data!$BO:$BO,0)-2,7),"")</f>
        <v>eeee-33_1</v>
      </c>
      <c r="C1702" s="54"/>
      <c r="D1702" s="35" t="str">
        <f ca="1">IFERROR(IF(INDEX(Tab_DaBa[],MATCH(CONCATENATE(Liste!$C$3,$B$1697,$B$1699),Data!$BO:$BO,0)-2,18)="",INDEX(Tab_DaBa[],MATCH(CONCATENATE(Liste!$C$3,$B$1697,$B$1699),Data!$BO:$BO,0)-2,12),INDEX(Tab_DaBa[],MATCH(CONCATENATE(Liste!$C$3,$B$1697,$B$1699),Data!$BO:$BO,0)-2,17)),"")</f>
        <v>Log01-04_01</v>
      </c>
      <c r="E1702" s="36"/>
      <c r="F1702" s="35" t="str">
        <f ca="1">IFERROR(IF(AND(INDEX(Tab_DaBa[],MATCH(CONCATENATE(Liste!$C$3,$B$1697,$B$1699),Data!$BO:$BO,0)-2,18)&lt;&gt;"",INDEX(Tab_DaBa[],MATCH(CONCATENATE(Liste!$C$3,$B$1697,$B$1699),Data!$BO:$BO,0)-2,23)=0),INDEX(Tab_DaBa[],MATCH(CONCATENATE(Liste!$C$3,$B$1697,$B$1699),Data!$BO:$BO,0)-2,12),IF(INDEX(Tab_DaBa[],MATCH(CONCATENATE(Liste!$C$3,$B$1697,$B$1699),Data!$BO:$BO,0)-2,23)&lt;&gt;"",INDEX(Tab_DaBa[],MATCH(CONCATENATE(Liste!$C$3,$B$1697,$B$1699),Data!$BO:$BO,0)-2,22),"")),"")</f>
        <v>aaaa-44_1</v>
      </c>
      <c r="G1702" s="39"/>
      <c r="H1702" s="35" t="str">
        <f ca="1">IFERROR(IF(AND(INDEX(Tab_DaBa[],MATCH(CONCATENATE(Liste!$C$3,$B$1697,$B$1699),Data!$BO:$BO,0)-2,23)&lt;&gt;"",INDEX(Tab_DaBa[],MATCH(CONCATENATE(Liste!$C$3,$B$1697,$B$1699),Data!$BO:$BO,0)-2,28)=0),INDEX(Tab_DaBa[],MATCH(CONCATENATE(Liste!$C$3,$B$1697,$B$1699),Data!$BO:$BO,0)-2,12),IF(INDEX(Tab_DaBa[],MATCH(CONCATENATE(Liste!$C$3,$B$1697,$B$1699),Data!$BO:$BO,0)-2,23)&lt;&gt;"",INDEX(Tab_DaBa[],MATCH(CONCATENATE(Liste!$C$3,$B$1697,$B$1699),Data!$BO:$BO,0)-2,27),"")),"")</f>
        <v/>
      </c>
      <c r="I1702" s="39"/>
    </row>
    <row r="1703" spans="2:9" s="16" customFormat="1" ht="15.75">
      <c r="B1703" s="35" t="str">
        <f ca="1">IFERROR(INDEX(Tab_DaBa[],MATCH(CONCATENATE(Liste!$C$3,$B$1697,$B$1699),Data!$BO:$BO,0)-2,8),"")</f>
        <v>Bez_Ein4_1</v>
      </c>
      <c r="C1703" s="40">
        <f ca="1">IF(D1701="","",4)</f>
        <v>4</v>
      </c>
      <c r="D1703" s="35" t="str">
        <f ca="1">IFERROR(IF(INDEX(Tab_DaBa[],MATCH(CONCATENATE(Liste!$C$3,$B$1697,$B$1699),Data!$BO:$BO,0)-2,18)="",INDEX(Tab_DaBa[],MATCH(CONCATENATE(Liste!$C$3,$B$1697,$B$1699),Data!$BO:$BO,0)-2,13),INDEX(Tab_DaBa[],MATCH(CONCATENATE(Liste!$C$3,$B$1697,$B$1699),Data!$BO:$BO,0)-2,18)),"")</f>
        <v>Bez_Log01_04_01</v>
      </c>
      <c r="E1703" s="40">
        <f ca="1">IF(F1701="","",4)</f>
        <v>4</v>
      </c>
      <c r="F1703" s="35" t="str">
        <f ca="1">IFERROR(IF(AND(INDEX(Tab_DaBa[],MATCH(CONCATENATE(Liste!$C$3,$B$1697,$B$1699),Data!$BO:$BO,0)-2,18)&lt;&gt;"",INDEX(Tab_DaBa[],MATCH(CONCATENATE(Liste!$C$3,$B$1697,$B$1699),Data!$BO:$BO,0)-2,23)=""),INDEX(Tab_DaBa[],MATCH(CONCATENATE(Liste!$C$3,$B$1697,$B$1699),Data!$BO:$BO,0)-2,13),IF(INDEX(Tab_DaBa[],MATCH(CONCATENATE(Liste!$C$3,$B$1697,$B$1699),Data!$BO:$BO,0)-2,23)&lt;&gt;"",INDEX(Tab_DaBa[],MATCH(CONCATENATE(Liste!$C$3,$B$1697,$B$1699),Data!$BO:$BO,0)-2,23),"")),"")</f>
        <v>Bez_Aus4_1</v>
      </c>
      <c r="G1703" s="38" t="str">
        <f ca="1">IF(H1701="","",4)</f>
        <v/>
      </c>
      <c r="H1703" s="35" t="str">
        <f ca="1">IFERROR(IF(AND(INDEX(Tab_DaBa[],MATCH(CONCATENATE(Liste!$C$3,$B$1697,$B$1699),Data!$BO:$BO,0)-2,23)&lt;&gt;"",INDEX(Tab_DaBa[],MATCH(CONCATENATE(Liste!$C$3,$B$1697,$B$1699),Data!$BO:$BO,0)-2,28)=""),INDEX(Tab_DaBa[],MATCH(CONCATENATE(Liste!$C$3,$B$1697,$B$1699),Data!$BO:$BO,0)-2,13),IF(INDEX(Tab_DaBa[],MATCH(CONCATENATE(Liste!$C$3,$B$1697,$B$1699),Data!$BO:$BO,0)-2,23)&lt;&gt;"",INDEX(Tab_DaBa[],MATCH(CONCATENATE(Liste!$C$3,$B$1697,$B$1699),Data!$BO:$BO,0)-2,28),"")),"")</f>
        <v/>
      </c>
      <c r="I1703" s="38" t="str">
        <f ca="1">IF(B1709="","",6)</f>
        <v/>
      </c>
    </row>
    <row r="1704" spans="2:9" s="16" customFormat="1" ht="15.75">
      <c r="B1704" s="35" t="str">
        <f ca="1">IFERROR("Performance Level: "&amp;INDEX(Tab_DaBa[],MATCH(CONCATENATE(Liste!$C$3,$B$1697,$B$1699),Data!$BO:$BO,0)-2,10),"")</f>
        <v>Performance Level: PL_Ein4_1</v>
      </c>
      <c r="C1704" s="54"/>
      <c r="D1704" s="35" t="str">
        <f ca="1">IFERROR(IF(INDEX(Tab_DaBa[],MATCH(CONCATENATE(Liste!$C$3,$B$1697,$B$1699),Data!$BO:$BO,0)-2,18)="","Performance Level: "&amp;INDEX(Tab_DaBa[],MATCH(CONCATENATE(Liste!$C$3,$B$1697,$B$1699),Data!$BO:$BO,0)-2,15),"Performance Level: "&amp;INDEX(Tab_DaBa[],MATCH(CONCATENATE(Liste!$C$3,$B$1697,$B$1699),Data!$BO:$BO,0)-2,20)),"")</f>
        <v>Performance Level: PL_Log01_04_01</v>
      </c>
      <c r="E1704" s="36"/>
      <c r="F1704" s="35" t="str">
        <f ca="1">IFERROR(IF(AND(INDEX(Tab_DaBa[],MATCH(CONCATENATE(Liste!$C$3,$B$1697,$B$1699),Data!$BO:$BO,0)-2,18)&lt;&gt;"",INDEX(Tab_DaBa[],MATCH(CONCATENATE(Liste!$C$3,$B$1697,$B$1699),Data!$BO:$BO,0)-2,23)=""),"Performance Level: "&amp;INDEX(Tab_DaBa[],MATCH(CONCATENATE(Liste!$C$3,$B$1697,$B$1699),Data!$BO:$BO,0)-2,15),IF(INDEX(Tab_DaBa[],MATCH(CONCATENATE(Liste!$C$3,$B$1697,$B$1699),Data!$BO:$BO,0)-2,23)&lt;&gt;"","Performance Level: "&amp;INDEX(Tab_DaBa[],MATCH(CONCATENATE(Liste!$C$3,$B$1697,$B$1699),Data!$BO:$BO,0)-2,25),"")),"")</f>
        <v>Performance Level: PL_Aus4_1</v>
      </c>
      <c r="G1704" s="39"/>
      <c r="H1704" s="35" t="str">
        <f ca="1">IFERROR(IF(AND(INDEX(Tab_DaBa[],MATCH(CONCATENATE(Liste!$C$3,$B$1697,$B$1699),Data!$BO:$BO,0)-2,23)&lt;&gt;"",INDEX(Tab_DaBa[],MATCH(CONCATENATE(Liste!$C$3,$B$1697,$B$1699),Data!$BO:$BO,0)-2,28)=""),"Performance Level: "&amp;INDEX(Tab_DaBa[],MATCH(CONCATENATE(Liste!$C$3,$B$1697,$B$1699),Data!$BO:$BO,0)-2,15),IF(INDEX(Tab_DaBa[],MATCH(CONCATENATE(Liste!$C$3,$B$1697,$B$1699),Data!$BO:$BO,0)-2,23)&lt;&gt;"","Performance Level: "&amp;INDEX(Tab_DaBa[],MATCH(CONCATENATE(Liste!$C$3,$B$1697,$B$1699),Data!$BO:$BO,0)-2,30),"")),"")</f>
        <v/>
      </c>
      <c r="I1704" s="38"/>
    </row>
    <row r="1705" spans="2:9" s="16" customFormat="1" ht="15.75">
      <c r="B1705" s="53" t="str">
        <f ca="1">IFERROR("PFH [1/h] = "&amp;10^9*INDEX(Tab_DaBa[],MATCH(CONCATENATE(Liste!$C$3,$B$1697,$B$1699),Data!$BO:$BO,0)-2,11)&amp;"E-9","")</f>
        <v>PFH [1/h] = 42,9E-9</v>
      </c>
      <c r="C1705" s="54"/>
      <c r="D1705" s="35" t="str">
        <f ca="1">IFERROR(IF(INDEX(Tab_DaBa[],MATCH(CONCATENATE(Liste!$C$3,$B$1697,$B$1699),Data!$BO:$BO,0)-2,18)="","PFH [1/h] = "&amp;10^9*INDEX(Tab_DaBa[],MATCH(CONCATENATE(Liste!$C$3,$B$1697,$B$1699),Data!$BO:$BO,0)-2,16)&amp;"E-9","PFH [1/h] = "&amp;10^9*INDEX(Tab_DaBa[],MATCH(CONCATENATE(Liste!$C$3,$B$1697,$B$1699),Data!$BO:$BO,0)-2,21)&amp;"E-9"),"")</f>
        <v>PFH [1/h] = 4,19E-9</v>
      </c>
      <c r="E1705" s="36"/>
      <c r="F1705" s="35" t="str">
        <f ca="1">IFERROR(IF(AND(INDEX(Tab_DaBa[],MATCH(CONCATENATE(Liste!$C$3,$B$1697,$B$1699),Data!$BO:$BO,0)-2,18)&lt;&gt;"",INDEX(Tab_DaBa[],MATCH(CONCATENATE(Liste!$C$3,$B$1697,$B$1699),Data!$BO:$BO,0)-2,23)=""),"PFH [1/h] = "&amp;10^9*INDEX(Tab_DaBa[],MATCH(CONCATENATE(Liste!$C$3,$B$1697,$B$1699),Data!$BO:$BO,0)-2,16)&amp;"E-9",IF(INDEX(Tab_DaBa[],MATCH(CONCATENATE(Liste!$C$3,$B$1697,$B$1699),Data!$BO:$BO,0)-2,23)&lt;&gt;"","PFH [1/h] = "&amp;10^9*INDEX(Tab_DaBa[],MATCH(CONCATENATE(Liste!$C$3,$B$1697,$B$1699),Data!$BO:$BO,0)-2,26)&amp;"E-9","")),"")</f>
        <v>PFH [1/h] = 24,7E-9</v>
      </c>
      <c r="G1705" s="39"/>
      <c r="H1705" s="35" t="str">
        <f ca="1">IFERROR(IF(AND(INDEX(Tab_DaBa[],MATCH(CONCATENATE(Liste!$C$3,$B$1697,$B$1699),Data!$BO:$BO,0)-2,23)&lt;&gt;"",INDEX(Tab_DaBa[],MATCH(CONCATENATE(Liste!$C$3,$B$1697,$B$1699),Data!$BO:$BO,0)-2,28)=""),"PFH [1/h] = "&amp;10^9*INDEX(Tab_DaBa[],MATCH(CONCATENATE(Liste!$C$3,$B$1697,$B$1699),Data!$BO:$BO,0)-2,16)&amp;"E-9",IF(INDEX(Tab_DaBa[],MATCH(CONCATENATE(Liste!$C$3,$B$1697,$B$1699),Data!$BO:$BO,0)-2,23)&lt;&gt;"","PFH [1/h] = "&amp;10^9*INDEX(Tab_DaBa[],MATCH(CONCATENATE(Liste!$C$3,$B$1697,$B$1699),Data!$BO:$BO,0)-2,31)&amp;"E-9","")),"")</f>
        <v/>
      </c>
      <c r="I1705" s="39"/>
    </row>
    <row r="1706" spans="2:9" s="16" customFormat="1">
      <c r="B1706" s="33"/>
      <c r="C1706" s="34"/>
      <c r="D1706" s="33"/>
      <c r="E1706" s="33"/>
      <c r="F1706" s="33"/>
      <c r="G1706" s="33"/>
      <c r="H1706" s="33"/>
      <c r="I1706" s="33"/>
    </row>
    <row r="1707" spans="2:9" s="16" customFormat="1" ht="15.75">
      <c r="B1707" s="38" t="str">
        <f ca="1">IF(B1709="","",6)</f>
        <v/>
      </c>
      <c r="C1707" s="34"/>
      <c r="D1707" s="38" t="str">
        <f ca="1">IF(B1709="","",3)</f>
        <v/>
      </c>
      <c r="E1707" s="33"/>
      <c r="F1707" s="38" t="str">
        <f ca="1">IF(B1709="","",3)</f>
        <v/>
      </c>
      <c r="G1707" s="33"/>
      <c r="H1707" s="38" t="str">
        <f ca="1">IF(B1709="","",3)</f>
        <v/>
      </c>
      <c r="I1707" s="33"/>
    </row>
    <row r="1708" spans="2:9" s="16" customFormat="1" ht="15.75">
      <c r="B1708" s="39"/>
      <c r="C1708" s="33"/>
      <c r="D1708" s="33"/>
      <c r="E1708" s="33"/>
      <c r="F1708" s="33"/>
      <c r="G1708" s="33"/>
      <c r="H1708" s="33"/>
      <c r="I1708" s="33"/>
    </row>
    <row r="1709" spans="2:9" s="16" customFormat="1" ht="15.75">
      <c r="B1709" s="35" t="str">
        <f ca="1">IFERROR(IF(AND(INDEX(Tab_DaBa[],MATCH(CONCATENATE(Liste!$C$3,$B$1697,$B$1699),Data!$BO:$BO,0)-2,28)&lt;&gt;"",INDEX(Tab_DaBa[],MATCH(CONCATENATE(Liste!$C$3,$B$1697,$B$1699),Data!$BO:$BO,0)-2,33)=0),INDEX(Tab_DaBa[],MATCH(CONCATENATE(Liste!$C$3,$B$1697,$B$1699),Data!$BO:$BO,0)-2,14),IF(INDEX(Tab_DaBa[],MATCH(CONCATENATE(Liste!$C$3,$B$1697,$B$1699),Data!$BO:$BO,0)-2,28)&lt;&gt;"",INDEX(Tab_DaBa[],MATCH(CONCATENATE(Liste!$C$3,$B$1697,$B$1699),Data!$BO:$BO,0)-2,34),"")),"")</f>
        <v/>
      </c>
      <c r="C1709" s="39"/>
      <c r="D1709" s="35" t="str">
        <f ca="1">IFERROR(IF(AND(INDEX(Tab_DaBa[],MATCH(CONCATENATE(Liste!$C$3,$B$1697,$B$1699),Data!$BO:$BO,0)-2,33)&lt;&gt;"",INDEX(Tab_DaBa[],MATCH(CONCATENATE(Liste!$C$3,$B$1697,$B$1699),Data!$BO:$BO,0)-2,38)=0),INDEX(Tab_DaBa[],MATCH(CONCATENATE(Liste!$C$3,$B$1697,$B$1699),Data!$BO:$BO,0)-2,14),IF(INDEX(Tab_DaBa[],MATCH(CONCATENATE(Liste!$C$3,$B$1697,$B$1699),Data!$BO:$BO,0)-2,33)&lt;&gt;"",INDEX(Tab_DaBa[],MATCH(CONCATENATE(Liste!$C$3,$B$1697,$B$1699),Data!$BO:$BO,0)-2,39),"")),"")</f>
        <v/>
      </c>
      <c r="E1709" s="33"/>
      <c r="F1709" s="35" t="str">
        <f ca="1">IFERROR(IF(AND(INDEX(Tab_DaBa[],MATCH(CONCATENATE(Liste!$C$3,$B$1697,$B$1699),Data!$BO:$BO,0)-2,38)&lt;&gt;"",INDEX(Tab_DaBa[],MATCH(CONCATENATE(Liste!$C$3,$B$1697,$B$1699),Data!$BO:$BO,0)-2,43)=0),INDEX(Tab_DaBa[],MATCH(CONCATENATE(Liste!$C$3,$B$1697,$B$1699),Data!$BO:$BO,0)-2,14),IF(INDEX(Tab_DaBa[],MATCH(CONCATENATE(Liste!$C$3,$B$1697,$B$1699),Data!$BO:$BO,0)-2,38)&lt;&gt;"",INDEX(Tab_DaBa[],MATCH(CONCATENATE(Liste!$C$3,$B$1697,$B$1699),Data!$BO:$BO,0)-2,44),"")),"")</f>
        <v/>
      </c>
      <c r="G1709" s="39"/>
      <c r="H1709" s="35" t="str">
        <f ca="1">IFERROR(IF(AND(INDEX(Tab_DaBa[],MATCH(CONCATENATE(Liste!$C$3,$B$1697,$B$1699),Data!$BO:$BO,0)-2,43)&lt;&gt;"",INDEX(Tab_DaBa[],MATCH(CONCATENATE(Liste!$C$3,$B$1697,$B$1699),Data!$BO:$BO,0)-2,48)=0),INDEX(Tab_DaBa[],MATCH(CONCATENATE(Liste!$C$3,$B$1697,$B$1699),Data!$BO:$BO,0)-2,14),IF(INDEX(Tab_DaBa[],MATCH(CONCATENATE(Liste!$C$3,$B$1697,$B$1699),Data!$BO:$BO,0)-2,43)&lt;&gt;"",INDEX(Tab_DaBa[],MATCH(CONCATENATE(Liste!$C$3,$B$1697,$B$1699),Data!$BO:$BO,0)-2,49),"")),"")</f>
        <v/>
      </c>
      <c r="I1709" s="39"/>
    </row>
    <row r="1710" spans="2:9" s="16" customFormat="1" ht="15.75">
      <c r="B1710" s="35" t="str">
        <f ca="1">IFERROR(IF(AND(INDEX(Tab_DaBa[],MATCH(CONCATENATE(Liste!$C$3,$B$1697,$B$1699),Data!$BO:$BO,0)-2,28)&lt;&gt;"",INDEX(Tab_DaBa[],MATCH(CONCATENATE(Liste!$C$3,$B$1697,$B$1699),Data!$BO:$BO,0)-2,33)=0),INDEX(Tab_DaBa[],MATCH(CONCATENATE(Liste!$C$3,$B$1697,$B$1699),Data!$BO:$BO,0)-2,12),IF(INDEX(Tab_DaBa[],MATCH(CONCATENATE(Liste!$C$3,$B$1697,$B$1699),Data!$BO:$BO,0)-2,28)&lt;&gt;"",INDEX(Tab_DaBa[],MATCH(CONCATENATE(Liste!$C$3,$B$1697,$B$1699),Data!$BO:$BO,0)-2,32),"")),"")</f>
        <v/>
      </c>
      <c r="C1710" s="39"/>
      <c r="D1710" s="35" t="str">
        <f ca="1">IFERROR(IF(AND(INDEX(Tab_DaBa[],MATCH(CONCATENATE(Liste!$C$3,$B$1697,$B$1699),Data!$BO:$BO,0)-2,33)&lt;&gt;"",INDEX(Tab_DaBa[],MATCH(CONCATENATE(Liste!$C$3,$B$1697,$B$1699),Data!$BO:$BO,0)-2,38)=0),INDEX(Tab_DaBa[],MATCH(CONCATENATE(Liste!$C$3,$B$1697,$B$1699),Data!$BO:$BO,0)-2,12),IF(INDEX(Tab_DaBa[],MATCH(CONCATENATE(Liste!$C$3,$B$1697,$B$1699),Data!$BO:$BO,0)-2,33)&lt;&gt;"",INDEX(Tab_DaBa[],MATCH(CONCATENATE(Liste!$C$3,$B$1697,$B$1699),Data!$BO:$BO,0)-2,37),"")),"")</f>
        <v/>
      </c>
      <c r="E1710" s="37"/>
      <c r="F1710" s="35" t="str">
        <f ca="1">IFERROR(IF(AND(INDEX(Tab_DaBa[],MATCH(CONCATENATE(Liste!$C$3,$B$1697,$B$1699),Data!$BO:$BO,0)-2,38)&lt;&gt;"",INDEX(Tab_DaBa[],MATCH(CONCATENATE(Liste!$C$3,$B$1697,$B$1699),Data!$BO:$BO,0)-2,43)=0),INDEX(Tab_DaBa[],MATCH(CONCATENATE(Liste!$C$3,$B$1697,$B$1699),Data!$BO:$BO,0)-2,12),IF(INDEX(Tab_DaBa[],MATCH(CONCATENATE(Liste!$C$3,$B$1697,$B$1699),Data!$BO:$BO,0)-2,38)&lt;&gt;"",INDEX(Tab_DaBa[],MATCH(CONCATENATE(Liste!$C$3,$B$1697,$B$1699),Data!$BO:$BO,0)-2,42),"")),"")</f>
        <v/>
      </c>
      <c r="G1710" s="39"/>
      <c r="H1710" s="35" t="str">
        <f ca="1">IFERROR(IF(AND(INDEX(Tab_DaBa[],MATCH(CONCATENATE(Liste!$C$3,$B$1697,$B$1699),Data!$BO:$BO,0)-2,43)&lt;&gt;"",INDEX(Tab_DaBa[],MATCH(CONCATENATE(Liste!$C$3,$B$1697,$B$1699),Data!$BO:$BO,0)-2,48)=0),INDEX(Tab_DaBa[],MATCH(CONCATENATE(Liste!$C$3,$B$1697,$B$1699),Data!$BO:$BO,0)-2,12),IF(INDEX(Tab_DaBa[],MATCH(CONCATENATE(Liste!$C$3,$B$1697,$B$1699),Data!$BO:$BO,0)-2,43)&lt;&gt;"",INDEX(Tab_DaBa[],MATCH(CONCATENATE(Liste!$C$3,$B$1697,$B$1699),Data!$BO:$BO,0)-2,47),"")),"")</f>
        <v/>
      </c>
      <c r="I1710" s="39"/>
    </row>
    <row r="1711" spans="2:9" s="16" customFormat="1" ht="15.75">
      <c r="B1711" s="35" t="str">
        <f ca="1">IFERROR(IF(AND(INDEX(Tab_DaBa[],MATCH(CONCATENATE(Liste!$C$3,$B$1697,$B$1699),Data!$BO:$BO,0)-2,28)&lt;&gt;"",INDEX(Tab_DaBa[],MATCH(CONCATENATE(Liste!$C$3,$B$1697,$B$1699),Data!$BO:$BO,0)-2,33)=""),INDEX(Tab_DaBa[],MATCH(CONCATENATE(Liste!$C$3,$B$1697,$B$1699),Data!$BO:$BO,0)-2,13),IF(INDEX(Tab_DaBa[],MATCH(CONCATENATE(Liste!$C$3,$B$1697,$B$1699),Data!$BO:$BO,0)-2,28)&lt;&gt;"",INDEX(Tab_DaBa[],MATCH(CONCATENATE(Liste!$C$3,$B$1697,$B$1699),Data!$BO:$BO,0)-2,33),"")),"")</f>
        <v/>
      </c>
      <c r="C1711" s="38" t="str">
        <f ca="1">IF(D1709="","",4)</f>
        <v/>
      </c>
      <c r="D1711" s="35" t="str">
        <f ca="1">IFERROR(IF(AND(INDEX(Tab_DaBa[],MATCH(CONCATENATE(Liste!$C$3,$B$1697,$B$1699),Data!$BO:$BO,0)-2,33)&lt;&gt;"",INDEX(Tab_DaBa[],MATCH(CONCATENATE(Liste!$C$3,$B$1697,$B$1699),Data!$BO:$BO,0)-2,38)=""),INDEX(Tab_DaBa[],MATCH(CONCATENATE(Liste!$C$3,$B$1697,$B$1699),Data!$BO:$BO,0)-2,13),IF(INDEX(Tab_DaBa[],MATCH(CONCATENATE(Liste!$C$3,$B$1697,$B$1699),Data!$BO:$BO,0)-2,33)&lt;&gt;"",INDEX(Tab_DaBa[],MATCH(CONCATENATE(Liste!$C$3,$B$1697,$B$1699),Data!$BO:$BO,0)-2,38),"")),"")</f>
        <v/>
      </c>
      <c r="E1711" s="38" t="str">
        <f ca="1">IF(F1709="","",4)</f>
        <v/>
      </c>
      <c r="F1711" s="35" t="str">
        <f ca="1">IFERROR(IF(AND(INDEX(Tab_DaBa[],MATCH(CONCATENATE(Liste!$C$3,$B$1697,$B$1699),Data!$BO:$BO,0)-2,38)&lt;&gt;"",INDEX(Tab_DaBa[],MATCH(CONCATENATE(Liste!$C$3,$B$1697,$B$1699),Data!$BO:$BO,0)-2,43)=""),INDEX(Tab_DaBa[],MATCH(CONCATENATE(Liste!$C$3,$B$1697,$B$1699),Data!$BO:$BO,0)-2,13),IF(INDEX(Tab_DaBa[],MATCH(CONCATENATE(Liste!$C$3,$B$1697,$B$1699),Data!$BO:$BO,0)-2,38)&lt;&gt;"",INDEX(Tab_DaBa[],MATCH(CONCATENATE(Liste!$C$3,$B$1697,$B$1699),Data!$BO:$BO,0)-2,43),"")),"")</f>
        <v/>
      </c>
      <c r="G1711" s="38" t="str">
        <f ca="1">IF(H1709="","",4)</f>
        <v/>
      </c>
      <c r="H1711" s="35" t="str">
        <f ca="1">IFERROR(IF(AND(INDEX(Tab_DaBa[],MATCH(CONCATENATE(Liste!$C$3,$B$1697,$B$1699),Data!$BO:$BO,0)-2,43)&lt;&gt;"",INDEX(Tab_DaBa[],MATCH(CONCATENATE(Liste!$C$3,$B$1697,$B$1699),Data!$BO:$BO,0)-2,48)=""),INDEX(Tab_DaBa[],MATCH(CONCATENATE(Liste!$C$3,$B$1697,$B$1699),Data!$BO:$BO,0)-2,13),IF(INDEX(Tab_DaBa[],MATCH(CONCATENATE(Liste!$C$3,$B$1697,$B$1699),Data!$BO:$BO,0)-2,43)&lt;&gt;"",INDEX(Tab_DaBa[],MATCH(CONCATENATE(Liste!$C$3,$B$1697,$B$1699),Data!$BO:$BO,0)-2,48),"")),"")</f>
        <v/>
      </c>
      <c r="I1711" s="38" t="str">
        <f ca="1">IF(B1717="","",6)</f>
        <v/>
      </c>
    </row>
    <row r="1712" spans="2:9" s="16" customFormat="1" ht="15.75">
      <c r="B1712" s="35" t="str">
        <f ca="1">IFERROR(IF(AND(INDEX(Tab_DaBa[],MATCH(CONCATENATE(Liste!$C$3,$B$1697,$B$1699),Data!$BO:$BO,0)-2,28)&lt;&gt;"",INDEX(Tab_DaBa[],MATCH(CONCATENATE(Liste!$C$3,$B$1697,$B$1699),Data!$BO:$BO,0)-2,33)=""),"Performance Level: "&amp;INDEX(Tab_DaBa[],MATCH(CONCATENATE(Liste!$C$3,$B$1697,$B$1699),Data!$BO:$BO,0)-2,15),IF(INDEX(Tab_DaBa[],MATCH(CONCATENATE(Liste!$C$3,$B$1697,$B$1699),Data!$BO:$BO,0)-2,28)&lt;&gt;"","Performance Level: "&amp;INDEX(Tab_DaBa[],MATCH(CONCATENATE(Liste!$C$3,$B$1697,$B$1699),Data!$BO:$BO,0)-2,35),"")),"")</f>
        <v/>
      </c>
      <c r="C1712" s="39"/>
      <c r="D1712" s="35" t="str">
        <f ca="1">IFERROR(IF(AND(INDEX(Tab_DaBa[],MATCH(CONCATENATE(Liste!$C$3,$B$1697,$B$1699),Data!$BO:$BO,0)-2,33)&lt;&gt;"",INDEX(Tab_DaBa[],MATCH(CONCATENATE(Liste!$C$3,$B$1697,$B$1699),Data!$BO:$BO,0)-2,38)=""),"Performance Level: "&amp;INDEX(Tab_DaBa[],MATCH(CONCATENATE(Liste!$C$3,$B$1697,$B$1699),Data!$BO:$BO,0)-2,15),IF(INDEX(Tab_DaBa[],MATCH(CONCATENATE(Liste!$C$3,$B$1697,$B$1699),Data!$BO:$BO,0)-2,33)&lt;&gt;"","Performance Level: "&amp;INDEX(Tab_DaBa[],MATCH(CONCATENATE(Liste!$C$3,$B$1697,$B$1699),Data!$BO:$BO,0)-2,40),"")),"")</f>
        <v/>
      </c>
      <c r="E1712" s="37"/>
      <c r="F1712" s="35" t="str">
        <f ca="1">IFERROR(IF(AND(INDEX(Tab_DaBa[],MATCH(CONCATENATE(Liste!$C$3,$B$1697,$B$1699),Data!$BO:$BO,0)-2,38)&lt;&gt;"",INDEX(Tab_DaBa[],MATCH(CONCATENATE(Liste!$C$3,$B$1697,$B$1699),Data!$BO:$BO,0)-2,43)=""),"Performance Level: "&amp;INDEX(Tab_DaBa[],MATCH(CONCATENATE(Liste!$C$3,$B$1697,$B$1699),Data!$BO:$BO,0)-2,15),IF(INDEX(Tab_DaBa[],MATCH(CONCATENATE(Liste!$C$3,$B$1697,$B$1699),Data!$BO:$BO,0)-2,38)&lt;&gt;"","Performance Level: "&amp;INDEX(Tab_DaBa[],MATCH(CONCATENATE(Liste!$C$3,$B$1697,$B$1699),Data!$BO:$BO,0)-2,45),"")),"")</f>
        <v/>
      </c>
      <c r="G1712" s="39"/>
      <c r="H1712" s="35" t="str">
        <f ca="1">IFERROR(IF(AND(INDEX(Tab_DaBa[],MATCH(CONCATENATE(Liste!$C$3,$B$1697,$B$1699),Data!$BO:$BO,0)-2,43)&lt;&gt;"",INDEX(Tab_DaBa[],MATCH(CONCATENATE(Liste!$C$3,$B$1697,$B$1699),Data!$BO:$BO,0)-2,48)=""),"Performance Level: "&amp;INDEX(Tab_DaBa[],MATCH(CONCATENATE(Liste!$C$3,$B$1697,$B$1699),Data!$BO:$BO,0)-2,15),IF(INDEX(Tab_DaBa[],MATCH(CONCATENATE(Liste!$C$3,$B$1697,$B$1699),Data!$BO:$BO,0)-2,43)&lt;&gt;"","Performance Level: "&amp;INDEX(Tab_DaBa[],MATCH(CONCATENATE(Liste!$C$3,$B$1697,$B$1699),Data!$BO:$BO,0)-2,50),"")),"")</f>
        <v/>
      </c>
      <c r="I1712" s="39"/>
    </row>
    <row r="1713" spans="2:9" s="16" customFormat="1" ht="15.75">
      <c r="B1713" s="35" t="str">
        <f ca="1">IFERROR(IF(AND(INDEX(Tab_DaBa[],MATCH(CONCATENATE(Liste!$C$3,$B$1697,$B$1699),Data!$BO:$BO,0)-2,28)&lt;&gt;"",INDEX(Tab_DaBa[],MATCH(CONCATENATE(Liste!$C$3,$B$1697,$B$1699),Data!$BO:$BO,0)-2,33)=""),"PFH [1/h] = "&amp;10^9*INDEX(Tab_DaBa[],MATCH(CONCATENATE(Liste!$C$3,$B$1697,$B$1699),Data!$BO:$BO,0)-2,16)&amp;"E-9",IF(INDEX(Tab_DaBa[],MATCH(CONCATENATE(Liste!$C$3,$B$1697,$B$1699),Data!$BO:$BO,0)-2,28)&lt;&gt;"","PFH [1/h] = "&amp;10^9*INDEX(Tab_DaBa[],MATCH(CONCATENATE(Liste!$C$3,$B$1697,$B$1699),Data!$BO:$BO,0)-2,36)&amp;"E-9","")),"")</f>
        <v/>
      </c>
      <c r="C1713" s="39"/>
      <c r="D1713" s="35" t="str">
        <f ca="1">IFERROR(IF(AND(INDEX(Tab_DaBa[],MATCH(CONCATENATE(Liste!$C$3,$B$1697,$B$1699),Data!$BO:$BO,0)-2,33)&lt;&gt;"",INDEX(Tab_DaBa[],MATCH(CONCATENATE(Liste!$C$3,$B$1697,$B$1699),Data!$BO:$BO,0)-2,38)=""),"PFH [1/h] = "&amp;10^9*INDEX(Tab_DaBa[],MATCH(CONCATENATE(Liste!$C$3,$B$1697,$B$1699),Data!$BO:$BO,0)-2,16)&amp;"E-9",IF(INDEX(Tab_DaBa[],MATCH(CONCATENATE(Liste!$C$3,$B$1697,$B$1699),Data!$BO:$BO,0)-2,33)&lt;&gt;"","PFH [1/h] = "&amp;10^9*INDEX(Tab_DaBa[],MATCH(CONCATENATE(Liste!$C$3,$B$1697,$B$1699),Data!$BO:$BO,0)-2,41)&amp;"E-9","")),"")</f>
        <v/>
      </c>
      <c r="E1713" s="37"/>
      <c r="F1713" s="35" t="str">
        <f ca="1">IFERROR(IF(AND(INDEX(Tab_DaBa[],MATCH(CONCATENATE(Liste!$C$3,$B$1697,$B$1699),Data!$BO:$BO,0)-2,38)&lt;&gt;"",INDEX(Tab_DaBa[],MATCH(CONCATENATE(Liste!$C$3,$B$1697,$B$1699),Data!$BO:$BO,0)-2,43)=""),"PFH [1/h] = "&amp;10^9*INDEX(Tab_DaBa[],MATCH(CONCATENATE(Liste!$C$3,$B$1697,$B$1699),Data!$BO:$BO,0)-2,16)&amp;"E-9",IF(INDEX(Tab_DaBa[],MATCH(CONCATENATE(Liste!$C$3,$B$1697,$B$1699),Data!$BO:$BO,0)-2,38)&lt;&gt;"","PFH [1/h] = "&amp;10^9*INDEX(Tab_DaBa[],MATCH(CONCATENATE(Liste!$C$3,$B$1697,$B$1699),Data!$BO:$BO,0)-2,46)&amp;"E-9","")),"")</f>
        <v/>
      </c>
      <c r="G1713" s="39"/>
      <c r="H1713" s="35" t="str">
        <f ca="1">IFERROR(IF(AND(INDEX(Tab_DaBa[],MATCH(CONCATENATE(Liste!$C$3,$B$1697,$B$1699),Data!$BO:$BO,0)-2,43)&lt;&gt;"",INDEX(Tab_DaBa[],MATCH(CONCATENATE(Liste!$C$3,$B$1697,$B$1699),Data!$BO:$BO,0)-2,48)=""),"PFH [1/h] = "&amp;10^9*INDEX(Tab_DaBa[],MATCH(CONCATENATE(Liste!$C$3,$B$1697,$B$1699),Data!$BO:$BO,0)-2,16)&amp;"E-9",IF(INDEX(Tab_DaBa[],MATCH(CONCATENATE(Liste!$C$3,$B$1697,$B$1699),Data!$BO:$BO,0)-2,43)&lt;&gt;"","PFH [1/h] = "&amp;10^9*INDEX(Tab_DaBa[],MATCH(CONCATENATE(Liste!$C$3,$B$1697,$B$1699),Data!$BO:$BO,0)-2,51)&amp;"E-9","")),"")</f>
        <v/>
      </c>
      <c r="I1713" s="39"/>
    </row>
    <row r="1714" spans="2:9" s="16" customFormat="1">
      <c r="B1714" s="33"/>
      <c r="C1714" s="33"/>
      <c r="D1714" s="33"/>
      <c r="E1714" s="33"/>
      <c r="F1714" s="33"/>
      <c r="G1714" s="33"/>
      <c r="H1714" s="33"/>
      <c r="I1714" s="33"/>
    </row>
    <row r="1715" spans="2:9" s="16" customFormat="1" ht="15.75">
      <c r="B1715" s="38" t="str">
        <f ca="1">IF(B1717="","",6)</f>
        <v/>
      </c>
      <c r="C1715" s="33"/>
      <c r="D1715" s="38" t="str">
        <f ca="1">IF(B1717="","",3)</f>
        <v/>
      </c>
      <c r="E1715" s="33"/>
      <c r="F1715" s="38" t="str">
        <f ca="1">IF(B1717="","",3)</f>
        <v/>
      </c>
      <c r="G1715" s="33"/>
      <c r="H1715" s="38" t="str">
        <f ca="1">IF(B1717="","",3)</f>
        <v/>
      </c>
      <c r="I1715" s="33"/>
    </row>
    <row r="1716" spans="2:9" s="16" customFormat="1" ht="15.75">
      <c r="B1716" s="39"/>
      <c r="C1716" s="33"/>
      <c r="D1716" s="33"/>
      <c r="E1716" s="33"/>
      <c r="F1716" s="33"/>
      <c r="G1716" s="33"/>
      <c r="H1716" s="33"/>
      <c r="I1716" s="33"/>
    </row>
    <row r="1717" spans="2:9" s="16" customFormat="1" ht="15.75">
      <c r="B1717" s="35" t="str">
        <f ca="1">IFERROR(IF(AND(INDEX(Tab_DaBa[],MATCH(CONCATENATE(Liste!$C$3,$B$1697,$B$1699),Data!$BO:$BO,0)-2,48)&lt;&gt;"",INDEX(Tab_DaBa[],MATCH(CONCATENATE(Liste!$C$3,$B$1697,$B$1699),Data!$BO:$BO,0)-2,53)=0),INDEX(Tab_DaBa[],MATCH(CONCATENATE(Liste!$C$3,$B$1697,$B$1699),Data!$BO:$BO,0)-2,14),IF(INDEX(Tab_DaBa[],MATCH(CONCATENATE(Liste!$C$3,$B$1697,$B$1699),Data!$BO:$BO,0)-2,48)&lt;&gt;"",INDEX(Tab_DaBa[],MATCH(CONCATENATE(Liste!$C$3,$B$1697,$B$1699),Data!$BO:$BO,0)-2,54),"")),"")</f>
        <v/>
      </c>
      <c r="C1717" s="39"/>
      <c r="D1717" s="35" t="str">
        <f ca="1">IFERROR(IF(AND(INDEX(Tab_DaBa[],MATCH(CONCATENATE(Liste!$C$3,$B$1697,$B$1699),Data!$BO:$BO,0)-2,53)&lt;&gt;"",INDEX(Tab_DaBa[],MATCH(CONCATENATE(Liste!$C$3,$B$1697,$B$1699),Data!$BO:$BO,0)-2,58)=0),INDEX(Tab_DaBa[],MATCH(CONCATENATE(Liste!$C$3,$B$1697,$B$1699),Data!$BO:$BO,0)-2,14),IF(INDEX(Tab_DaBa[],MATCH(CONCATENATE(Liste!$C$3,$B$1697,$B$1699),Data!$BO:$BO,0)-2,53)&lt;&gt;"",INDEX(Tab_DaBa[],MATCH(CONCATENATE(Liste!$C$3,$B$1697,$B$1699),Data!$BO:$BO,0)-2,59),"")),"")</f>
        <v/>
      </c>
      <c r="E1717" s="33"/>
      <c r="F1717" s="35" t="str">
        <f ca="1">IFERROR(IF(AND(INDEX(Tab_DaBa[],MATCH(CONCATENATE(Liste!$C$3,$B$1697,$B$1699),Data!$BO:$BO,0)-2,58)&lt;&gt;"",INDEX(Tab_DaBa[],MATCH(CONCATENATE(Liste!$C$3,$B$1697,$B$1699),Data!$BO:$BO,0)-2,63)=0),INDEX(Tab_DaBa[],MATCH(CONCATENATE(Liste!$C$3,$B$1697,$B$1699),Data!$BO:$BO,0)-2,14),IF(INDEX(Tab_DaBa[],MATCH(CONCATENATE(Liste!$C$3,$B$1697,$B$1699),Data!$BO:$BO,0)-2,58)&lt;&gt;"",INDEX(Tab_DaBa[],MATCH(CONCATENATE(Liste!$C$3,$B$1697,$B$1699),Data!$BO:$BO,0)-2,64),"")),"")</f>
        <v/>
      </c>
      <c r="G1717" s="39"/>
      <c r="H1717" s="35" t="str">
        <f ca="1">IFERROR(IF(INDEX(Tab_DaBa[],MATCH(CONCATENATE(Liste!$C$3,$B$1697,$B$1699),Data!$BO:$BO,0)-2,63)&lt;&gt;"",INDEX(Tab_DaBa[],MATCH(CONCATENATE(Liste!$C$3,$B$1697,$B$1699),Data!$BO:$BO,0)-2,14),""),"")</f>
        <v/>
      </c>
    </row>
    <row r="1718" spans="2:9" s="16" customFormat="1" ht="15.75">
      <c r="B1718" s="35" t="str">
        <f ca="1">IFERROR(IF(AND(INDEX(Tab_DaBa[],MATCH(CONCATENATE(Liste!$C$3,$B$1697,$B$1699),Data!$BO:$BO,0)-2,48)&lt;&gt;"",INDEX(Tab_DaBa[],MATCH(CONCATENATE(Liste!$C$3,$B$1697,$B$1699),Data!$BO:$BO,0)-2,53)=0),INDEX(Tab_DaBa[],MATCH(CONCATENATE(Liste!$C$3,$B$1697,$B$1699),Data!$BO:$BO,0)-2,12),IF(INDEX(Tab_DaBa[],MATCH(CONCATENATE(Liste!$C$3,$B$1697,$B$1699),Data!$BO:$BO,0)-2,48)&lt;&gt;"",INDEX(Tab_DaBa[],MATCH(CONCATENATE(Liste!$C$3,$B$1697,$B$1699),Data!$BO:$BO,0)-2,52),"")),"")</f>
        <v/>
      </c>
      <c r="C1718" s="39"/>
      <c r="D1718" s="35" t="str">
        <f ca="1">IFERROR(IF(AND(INDEX(Tab_DaBa[],MATCH(CONCATENATE(Liste!$C$3,$B$1697,$B$1699),Data!$BO:$BO,0)-2,53)&lt;&gt;"",INDEX(Tab_DaBa[],MATCH(CONCATENATE(Liste!$C$3,$B$1697,$B$1699),Data!$BO:$BO,0)-2,58)=0),INDEX(Tab_DaBa[],MATCH(CONCATENATE(Liste!$C$3,$B$1697,$B$1699),Data!$BO:$BO,0)-2,12),IF(INDEX(Tab_DaBa[],MATCH(CONCATENATE(Liste!$C$3,$B$1697,$B$1699),Data!$BO:$BO,0)-2,53)&lt;&gt;"",INDEX(Tab_DaBa[],MATCH(CONCATENATE(Liste!$C$3,$B$1697,$B$1699),Data!$BO:$BO,0)-2,57),"")),"")</f>
        <v/>
      </c>
      <c r="E1718" s="37"/>
      <c r="F1718" s="35" t="str">
        <f ca="1">IFERROR(IF(AND(INDEX(Tab_DaBa[],MATCH(CONCATENATE(Liste!$C$3,$B$1697,$B$1699),Data!$BO:$BO,0)-2,58)&lt;&gt;"",INDEX(Tab_DaBa[],MATCH(CONCATENATE(Liste!$C$3,$B$1697,$B$1699),Data!$BO:$BO,0)-2,63)=0),INDEX(Tab_DaBa[],MATCH(CONCATENATE(Liste!$C$3,$B$1697,$B$1699),Data!$BO:$BO,0)-2,12),IF(INDEX(Tab_DaBa[],MATCH(CONCATENATE(Liste!$C$3,$B$1697,$B$1699),Data!$BO:$BO,0)-2,58)&lt;&gt;"",INDEX(Tab_DaBa[],MATCH(CONCATENATE(Liste!$C$3,$B$1697,$B$1699),Data!$BO:$BO,0)-2,62),"")),"")</f>
        <v/>
      </c>
      <c r="G1718" s="39"/>
      <c r="H1718" s="35" t="str">
        <f ca="1">IFERROR(IF(INDEX(Tab_DaBa[],MATCH(CONCATENATE(Liste!$C$3,$B$1697,$B$1699),Data!$BO:$BO,0)-2,63)&lt;&gt;"",INDEX(Tab_DaBa[],MATCH(CONCATENATE(Liste!$C$3,$B$1697,$B$1699),Data!$BO:$BO,0)-2,12),""),"")</f>
        <v/>
      </c>
    </row>
    <row r="1719" spans="2:9" s="16" customFormat="1" ht="15.75">
      <c r="B1719" s="35" t="str">
        <f ca="1">IFERROR(IF(AND(INDEX(Tab_DaBa[],MATCH(CONCATENATE(Liste!$C$3,$B$1697,$B$1699),Data!$BO:$BO,0)-2,48)&lt;&gt;"",INDEX(Tab_DaBa[],MATCH(CONCATENATE(Liste!$C$3,$B$1697,$B$1699),Data!$BO:$BO,0)-2,53)=""),INDEX(Tab_DaBa[],MATCH(CONCATENATE(Liste!$C$3,$B$1697,$B$1699),Data!$BO:$BO,0)-2,13),IF(INDEX(Tab_DaBa[],MATCH(CONCATENATE(Liste!$C$3,$B$1697,$B$1699),Data!$BO:$BO,0)-2,48)&lt;&gt;"",INDEX(Tab_DaBa[],MATCH(CONCATENATE(Liste!$C$3,$B$1697,$B$1699),Data!$BO:$BO,0)-2,53),"")),"")</f>
        <v/>
      </c>
      <c r="C1719" s="38" t="str">
        <f ca="1">IF(D1717="","",4)</f>
        <v/>
      </c>
      <c r="D1719" s="35" t="str">
        <f ca="1">IFERROR(IF(AND(INDEX(Tab_DaBa[],MATCH(CONCATENATE(Liste!$C$3,$B$1697,$B$1699),Data!$BO:$BO,0)-2,53)&lt;&gt;"",INDEX(Tab_DaBa[],MATCH(CONCATENATE(Liste!$C$3,$B$1697,$B$1699),Data!$BO:$BO,0)-2,58)=""),INDEX(Tab_DaBa[],MATCH(CONCATENATE(Liste!$C$3,$B$1697,$B$1699),Data!$BO:$BO,0)-2,13),IF(INDEX(Tab_DaBa[],MATCH(CONCATENATE(Liste!$C$3,$B$1697,$B$1699),Data!$BO:$BO,0)-2,53)&lt;&gt;"",INDEX(Tab_DaBa[],MATCH(CONCATENATE(Liste!$C$3,$B$1697,$B$1699),Data!$BO:$BO,0)-2,58),"")),"")</f>
        <v/>
      </c>
      <c r="E1719" s="38" t="str">
        <f ca="1">IF(F1717="","",4)</f>
        <v/>
      </c>
      <c r="F1719" s="35" t="str">
        <f ca="1">IFERROR(IF(AND(INDEX(Tab_DaBa[],MATCH(CONCATENATE(Liste!$C$3,$B$1697,$B$1699),Data!$BO:$BO,0)-2,58)&lt;&gt;"",INDEX(Tab_DaBa[],MATCH(CONCATENATE(Liste!$C$3,$B$1697,$B$1699),Data!$BO:$BO,0)-2,63)=""),INDEX(Tab_DaBa[],MATCH(CONCATENATE(Liste!$C$3,$B$1697,$B$1699),Data!$BO:$BO,0)-2,13),IF(INDEX(Tab_DaBa[],MATCH(CONCATENATE(Liste!$C$3,$B$1697,$B$1699),Data!$BO:$BO,0)-2,58)&lt;&gt;"",INDEX(Tab_DaBa[],MATCH(CONCATENATE(Liste!$C$3,$B$1697,$B$1699),Data!$BO:$BO,0)-2,63),"")),"")</f>
        <v/>
      </c>
      <c r="G1719" s="38" t="str">
        <f ca="1">IF(H1717="","",4)</f>
        <v/>
      </c>
      <c r="H1719" s="35" t="str">
        <f ca="1">IFERROR(IF(INDEX(Tab_DaBa[],MATCH(CONCATENATE(Liste!$C$3,$B$1697,$B$1699),Data!$BO:$BO,0)-2,63)&lt;&gt;"",INDEX(Tab_DaBa[],MATCH(CONCATENATE(Liste!$C$3,$B$1697,$B$1699),Data!$BO:$BO,0)-2,13),""),"")</f>
        <v/>
      </c>
    </row>
    <row r="1720" spans="2:9" s="16" customFormat="1" ht="15.75">
      <c r="B1720" s="35" t="str">
        <f ca="1">IFERROR(IF(AND(INDEX(Tab_DaBa[],MATCH(CONCATENATE(Liste!$C$3,$B$1697,$B$1699),Data!$BO:$BO,0)-2,48)&lt;&gt;"",INDEX(Tab_DaBa[],MATCH(CONCATENATE(Liste!$C$3,$B$1697,$B$1699),Data!$BO:$BO,0)-2,53)=""),"Performance Level: "&amp;INDEX(Tab_DaBa[],MATCH(CONCATENATE(Liste!$C$3,$B$1697,$B$1699),Data!$BO:$BO,0)-2,15),IF(INDEX(Tab_DaBa[],MATCH(CONCATENATE(Liste!$C$3,$B$1697,$B$1699),Data!$BO:$BO,0)-2,48)&lt;&gt;"","Performance Level: "&amp;INDEX(Tab_DaBa[],MATCH(CONCATENATE(Liste!$C$3,$B$1697,$B$1699),Data!$BO:$BO,0)-2,55),"")),"")</f>
        <v/>
      </c>
      <c r="C1720" s="39"/>
      <c r="D1720" s="35" t="str">
        <f ca="1">IFERROR(IF(AND(INDEX(Tab_DaBa[],MATCH(CONCATENATE(Liste!$C$3,$B$1697,$B$1699),Data!$BO:$BO,0)-2,53)&lt;&gt;"",INDEX(Tab_DaBa[],MATCH(CONCATENATE(Liste!$C$3,$B$1697,$B$1699),Data!$BO:$BO,0)-2,58)=""),"Performance Level: "&amp;INDEX(Tab_DaBa[],MATCH(CONCATENATE(Liste!$C$3,$B$1697,$B$1699),Data!$BO:$BO,0)-2,15),IF(INDEX(Tab_DaBa[],MATCH(CONCATENATE(Liste!$C$3,$B$1697,$B$1699),Data!$BO:$BO,0)-2,53)&lt;&gt;"","Performance Level: "&amp;INDEX(Tab_DaBa[],MATCH(CONCATENATE(Liste!$C$3,$B$1697,$B$1699),Data!$BO:$BO,0)-2,60),"")),"")</f>
        <v/>
      </c>
      <c r="E1720" s="37"/>
      <c r="F1720" s="35" t="str">
        <f ca="1">IFERROR(IF(AND(INDEX(Tab_DaBa[],MATCH(CONCATENATE(Liste!$C$3,$B$1697,$B$1699),Data!$BO:$BO,0)-2,58)&lt;&gt;"",INDEX(Tab_DaBa[],MATCH(CONCATENATE(Liste!$C$3,$B$1697,$B$1699),Data!$BO:$BO,0)-2,63)=""),"Performance Level: "&amp;INDEX(Tab_DaBa[],MATCH(CONCATENATE(Liste!$C$3,$B$1697,$B$1699),Data!$BO:$BO,0)-2,15),IF(INDEX(Tab_DaBa[],MATCH(CONCATENATE(Liste!$C$3,$B$1697,$B$1699),Data!$BO:$BO,0)-2,58)&lt;&gt;"","Performance Level: "&amp;INDEX(Tab_DaBa[],MATCH(CONCATENATE(Liste!$C$3,$B$1697,$B$1699),Data!$BO:$BO,0)-2,65),"")),"")</f>
        <v/>
      </c>
      <c r="G1720" s="39"/>
      <c r="H1720" s="35" t="str">
        <f ca="1">IFERROR(IF(INDEX(Tab_DaBa[],MATCH(CONCATENATE(Liste!$C$3,$B$1697,$B$1699),Data!$BO:$BO,0)-2,63)&lt;&gt;"","Performance Level: "&amp;INDEX(Tab_DaBa[],MATCH(CONCATENATE(Liste!$C$3,$B$1697,$B$1699),Data!$BO:$BO,0)-2,15),""),"")</f>
        <v/>
      </c>
    </row>
    <row r="1721" spans="2:9" s="16" customFormat="1" ht="15.75">
      <c r="B1721" s="35" t="str">
        <f ca="1">IFERROR(IF(AND(INDEX(Tab_DaBa[],MATCH(CONCATENATE(Liste!$C$3,$B$1697,$B$1699),Data!$BO:$BO,0)-2,48)&lt;&gt;"",INDEX(Tab_DaBa[],MATCH(CONCATENATE(Liste!$C$3,$B$1697,$B$1699),Data!$BO:$BO,0)-2,53)=""),"PFH [1/h] = "&amp;10^9*INDEX(Tab_DaBa[],MATCH(CONCATENATE(Liste!$C$3,$B$1697,$B$1699),Data!$BO:$BO,0)-2,16)&amp;"E-9",IF(INDEX(Tab_DaBa[],MATCH(CONCATENATE(Liste!$C$3,$B$1697,$B$1699),Data!$BO:$BO,0)-2,48)&lt;&gt;"","PFH [1/h] = "&amp;10^9*INDEX(Tab_DaBa[],MATCH(CONCATENATE(Liste!$C$3,$B$1697,$B$1699),Data!$BO:$BO,0)-2,56)&amp;"E-9","")),"")</f>
        <v/>
      </c>
      <c r="C1721" s="39"/>
      <c r="D1721" s="35" t="str">
        <f ca="1">IFERROR(IF(AND(INDEX(Tab_DaBa[],MATCH(CONCATENATE(Liste!$C$3,$B$1697,$B$1699),Data!$BO:$BO,0)-2,53)&lt;&gt;"",INDEX(Tab_DaBa[],MATCH(CONCATENATE(Liste!$C$3,$B$1697,$B$1699),Data!$BO:$BO,0)-2,58)=""),"PFH [1/h] = "&amp;10^9*INDEX(Tab_DaBa[],MATCH(CONCATENATE(Liste!$C$3,$B$1697,$B$1699),Data!$BO:$BO,0)-2,16)&amp;"E-9",IF(INDEX(Tab_DaBa[],MATCH(CONCATENATE(Liste!$C$3,$B$1697,$B$1699),Data!$BO:$BO,0)-2,53)&lt;&gt;"","PFH [1/h] = "&amp;10^9*INDEX(Tab_DaBa[],MATCH(CONCATENATE(Liste!$C$3,$B$1697,$B$1699),Data!$BO:$BO,0)-2,61)&amp;"E-9","")),"")</f>
        <v/>
      </c>
      <c r="E1721" s="37"/>
      <c r="F1721" s="35" t="str">
        <f ca="1">IFERROR(IF(AND(INDEX(Tab_DaBa[],MATCH(CONCATENATE(Liste!$C$3,$B$1697,$B$1699),Data!$BO:$BO,0)-2,58)&lt;&gt;"",INDEX(Tab_DaBa[],MATCH(CONCATENATE(Liste!$C$3,$B$1697,$B$1699),Data!$BO:$BO,0)-2,63)=""),"PFH [1/h] = "&amp;10^9*INDEX(Tab_DaBa[],MATCH(CONCATENATE(Liste!$C$3,$B$1697,$B$1699),Data!$BO:$BO,0)-2,16)&amp;"E-9",IF(INDEX(Tab_DaBa[],MATCH(CONCATENATE(Liste!$C$3,$B$1697,$B$1699),Data!$BO:$BO,0)-2,58)&lt;&gt;"","PFH [1/h] = "&amp;10^9*INDEX(Tab_DaBa[],MATCH(CONCATENATE(Liste!$C$3,$B$1697,$B$1699),Data!$BO:$BO,0)-2,66)&amp;"E-9","")),"")</f>
        <v/>
      </c>
      <c r="G1721" s="39"/>
      <c r="H1721" s="35" t="str">
        <f ca="1">IFERROR(IF(INDEX(Tab_DaBa[],MATCH(CONCATENATE(Liste!$C$3,$B$1697,$B$1699),Data!$BO:$BO,0)-2,63)&lt;&gt;"","PFH [1/h] = "&amp;10^9*INDEX(Tab_DaBa[],MATCH(CONCATENATE(Liste!$C$3,$B$1697,$B$1699),Data!$BO:$BO,0)-2,16)&amp;"E-9",""),"")</f>
        <v/>
      </c>
    </row>
    <row r="1722" spans="2:9" s="16" customFormat="1"/>
    <row r="1723" spans="2:9" s="16" customFormat="1">
      <c r="B1723" s="43" t="str">
        <f ca="1">IF(D1723="","","Erforderlich")</f>
        <v>Erforderlich</v>
      </c>
      <c r="D1723" s="44" t="str">
        <f ca="1">IFERROR("Performance Level: "&amp;INDEX(Tab_DaBa[],MATCH(CONCATENATE(Liste!$C$3,$B$1697,$B$1699),Data!$BO:$BO,0)-2,4),"")</f>
        <v>Performance Level: PLr_ges4_1</v>
      </c>
    </row>
    <row r="1724" spans="2:9" s="16" customFormat="1">
      <c r="B1724" s="45"/>
    </row>
    <row r="1725" spans="2:9" s="16" customFormat="1">
      <c r="B1725" s="46" t="str">
        <f ca="1">IF(D1725="","","Erreicht")</f>
        <v>Erreicht</v>
      </c>
      <c r="D1725" s="47" t="str">
        <f ca="1">IFERROR("Performance Level: "&amp;INDEX(Tab_DaBa[],MATCH(CONCATENATE(Liste!$C$3,$B$1697,$B$1699),Data!$BO:$BO,0)-2,5)&amp;"          PFH [1/h] = "&amp;10^9*INDEX(Tab_DaBa[],MATCH(CONCATENATE(Liste!$C$3,$B$1697,$B$1699),Data!$BO:$BO,0)-2,6)&amp;"E-9","")</f>
        <v>Performance Level: Pl_ges4_1          PFH [1/h] = 71,7E-9</v>
      </c>
    </row>
    <row r="1726" spans="2:9" s="16" customFormat="1"/>
    <row r="1727" spans="2:9" s="16" customFormat="1">
      <c r="B1727" s="42" t="str">
        <f ca="1">IFERROR(IF(2&gt;COUNTIF(Data!$BP:$BP,CONCATENATE(Liste!$C$3,$B$1697)),"",INDEX(Tab_DaBa[],MATCH(CONCATENATE(Liste!$C$3,$B$1697),Data!$BP:$BP,0)-1,3)),"")</f>
        <v>7.2 Test4 (E+2L+A)</v>
      </c>
    </row>
    <row r="1728" spans="2:9" s="16" customFormat="1"/>
    <row r="1729" spans="2:9" s="16" customFormat="1" ht="15.75">
      <c r="B1729" s="35" t="str">
        <f ca="1">IFERROR(INDEX(Tab_DaBa[],MATCH(CONCATENATE(Liste!$C$3,$B$1697,$B$1727),Data!$BO:$BO,0)-2,9),"")</f>
        <v>Eingang</v>
      </c>
      <c r="C1729" s="54"/>
      <c r="D1729" s="35" t="str">
        <f ca="1">IFERROR(IF(INDEX(Tab_DaBa[],MATCH(CONCATENATE(Liste!$C$3,$B$1697,$B$1727),Data!$BO:$BO,0)-2,18)=0,INDEX(Tab_DaBa[],MATCH(CONCATENATE(Liste!$C$3,$B$1697,$B$1727),Data!$BO:$BO,0)-2,14),INDEX(Tab_DaBa[],MATCH(CONCATENATE(Liste!$C$3,$B$1697,$B$1727),Data!$BO:$BO,0)-2,19)),"")</f>
        <v>Logik 01</v>
      </c>
      <c r="E1729" s="33"/>
      <c r="F1729" s="35" t="str">
        <f ca="1">IFERROR(IF(AND(INDEX(Tab_DaBa[],MATCH(CONCATENATE(Liste!$C$3,$B$1697,$B$1727),Data!$BO:$BO,0)-2,18)&lt;&gt;"",INDEX(Tab_DaBa[],MATCH(CONCATENATE(Liste!$C$3,$B$1697,$B$1727),Data!$BO:$BO,0)-2,23)=0),INDEX(Tab_DaBa[],MATCH(CONCATENATE(Liste!$C$3,$B$1697,$B$1727),Data!$BO:$BO,0)-2,14),IF(INDEX(Tab_DaBa[],MATCH(CONCATENATE(Liste!$C$3,$B$1697,$B$1727),Data!$BO:$BO,0)-2,23)&lt;&gt;"",INDEX(Tab_DaBa[],MATCH(CONCATENATE(Liste!$C$3,$B$1697,$B$1727),Data!$BO:$BO,0)-2,24),"")),"")</f>
        <v>Logik 02</v>
      </c>
      <c r="G1729" s="39"/>
      <c r="H1729" s="35" t="str">
        <f ca="1">IFERROR(IF(AND(INDEX(Tab_DaBa[],MATCH(CONCATENATE(Liste!$C$3,$B$1697,$B$1727),Data!$BO:$BO,0)-2,23)&lt;&gt;"",INDEX(Tab_DaBa[],MATCH(CONCATENATE(Liste!$C$3,$B$1697,$B$1727),Data!$BO:$BO,0)-2,28)=0),INDEX(Tab_DaBa[],MATCH(CONCATENATE(Liste!$C$3,$B$1697,$B$1727),Data!$BO:$BO,0)-2,14),IF(INDEX(Tab_DaBa[],MATCH(CONCATENATE(Liste!$C$3,$B$1697,$B$1727),Data!$BO:$BO,0)-2,23)&lt;&gt;"",INDEX(Tab_DaBa[],MATCH(CONCATENATE(Liste!$C$3,$B$1697,$B$1727),Data!$BO:$BO,0)-2,29),"")),"")</f>
        <v>Ausgang</v>
      </c>
      <c r="I1729" s="39"/>
    </row>
    <row r="1730" spans="2:9" s="16" customFormat="1" ht="15.75">
      <c r="B1730" s="35" t="str">
        <f ca="1">IFERROR(INDEX(Tab_DaBa[],MATCH(CONCATENATE(Liste!$C$3,$B$1697,$B$1727),Data!$BO:$BO,0)-2,7),"")</f>
        <v>eeee-33_2</v>
      </c>
      <c r="C1730" s="54"/>
      <c r="D1730" s="35" t="str">
        <f ca="1">IFERROR(IF(INDEX(Tab_DaBa[],MATCH(CONCATENATE(Liste!$C$3,$B$1697,$B$1727),Data!$BO:$BO,0)-2,18)="",INDEX(Tab_DaBa[],MATCH(CONCATENATE(Liste!$C$3,$B$1697,$B$1727),Data!$BO:$BO,0)-2,12),INDEX(Tab_DaBa[],MATCH(CONCATENATE(Liste!$C$3,$B$1697,$B$1727),Data!$BO:$BO,0)-2,17)),"")</f>
        <v>Log01-04_02</v>
      </c>
      <c r="E1730" s="36"/>
      <c r="F1730" s="35" t="str">
        <f ca="1">IFERROR(IF(AND(INDEX(Tab_DaBa[],MATCH(CONCATENATE(Liste!$C$3,$B$1697,$B$1727),Data!$BO:$BO,0)-2,18)&lt;&gt;"",INDEX(Tab_DaBa[],MATCH(CONCATENATE(Liste!$C$3,$B$1697,$B$1727),Data!$BO:$BO,0)-2,23)=0),INDEX(Tab_DaBa[],MATCH(CONCATENATE(Liste!$C$3,$B$1697,$B$1727),Data!$BO:$BO,0)-2,12),IF(INDEX(Tab_DaBa[],MATCH(CONCATENATE(Liste!$C$3,$B$1697,$B$1727),Data!$BO:$BO,0)-2,23)&lt;&gt;"",INDEX(Tab_DaBa[],MATCH(CONCATENATE(Liste!$C$3,$B$1697,$B$1727),Data!$BO:$BO,0)-2,22),"")),"")</f>
        <v>Lo04-04_02</v>
      </c>
      <c r="G1730" s="39"/>
      <c r="H1730" s="35" t="str">
        <f ca="1">IFERROR(IF(AND(INDEX(Tab_DaBa[],MATCH(CONCATENATE(Liste!$C$3,$B$1697,$B$1727),Data!$BO:$BO,0)-2,23)&lt;&gt;"",INDEX(Tab_DaBa[],MATCH(CONCATENATE(Liste!$C$3,$B$1697,$B$1727),Data!$BO:$BO,0)-2,28)=0),INDEX(Tab_DaBa[],MATCH(CONCATENATE(Liste!$C$3,$B$1697,$B$1727),Data!$BO:$BO,0)-2,12),IF(INDEX(Tab_DaBa[],MATCH(CONCATENATE(Liste!$C$3,$B$1697,$B$1727),Data!$BO:$BO,0)-2,23)&lt;&gt;"",INDEX(Tab_DaBa[],MATCH(CONCATENATE(Liste!$C$3,$B$1697,$B$1727),Data!$BO:$BO,0)-2,27),"")),"")</f>
        <v>aaaa-44_2</v>
      </c>
      <c r="I1730" s="39"/>
    </row>
    <row r="1731" spans="2:9" s="16" customFormat="1" ht="15.75">
      <c r="B1731" s="35" t="str">
        <f ca="1">IFERROR(INDEX(Tab_DaBa[],MATCH(CONCATENATE(Liste!$C$3,$B$1697,$B$1727),Data!$BO:$BO,0)-2,8),"")</f>
        <v>Bez_Ein4_2</v>
      </c>
      <c r="C1731" s="40">
        <f ca="1">IF(D1729="","",4)</f>
        <v>4</v>
      </c>
      <c r="D1731" s="35" t="str">
        <f ca="1">IFERROR(IF(INDEX(Tab_DaBa[],MATCH(CONCATENATE(Liste!$C$3,$B$1697,$B$1727),Data!$BO:$BO,0)-2,18)="",INDEX(Tab_DaBa[],MATCH(CONCATENATE(Liste!$C$3,$B$1697,$B$1727),Data!$BO:$BO,0)-2,13),INDEX(Tab_DaBa[],MATCH(CONCATENATE(Liste!$C$3,$B$1697,$B$1727),Data!$BO:$BO,0)-2,18)),"")</f>
        <v>Bez_Log01_04_02</v>
      </c>
      <c r="E1731" s="40">
        <f ca="1">IF(F1729="","",4)</f>
        <v>4</v>
      </c>
      <c r="F1731" s="35" t="str">
        <f ca="1">IFERROR(IF(AND(INDEX(Tab_DaBa[],MATCH(CONCATENATE(Liste!$C$3,$B$1697,$B$1727),Data!$BO:$BO,0)-2,18)&lt;&gt;"",INDEX(Tab_DaBa[],MATCH(CONCATENATE(Liste!$C$3,$B$1697,$B$1727),Data!$BO:$BO,0)-2,23)=""),INDEX(Tab_DaBa[],MATCH(CONCATENATE(Liste!$C$3,$B$1697,$B$1727),Data!$BO:$BO,0)-2,13),IF(INDEX(Tab_DaBa[],MATCH(CONCATENATE(Liste!$C$3,$B$1697,$B$1727),Data!$BO:$BO,0)-2,23)&lt;&gt;"",INDEX(Tab_DaBa[],MATCH(CONCATENATE(Liste!$C$3,$B$1697,$B$1727),Data!$BO:$BO,0)-2,23),"")),"")</f>
        <v>Bez_Lo04_02</v>
      </c>
      <c r="G1731" s="38">
        <f ca="1">IF(H1729="","",4)</f>
        <v>4</v>
      </c>
      <c r="H1731" s="35" t="str">
        <f ca="1">IFERROR(IF(AND(INDEX(Tab_DaBa[],MATCH(CONCATENATE(Liste!$C$3,$B$1697,$B$1727),Data!$BO:$BO,0)-2,23)&lt;&gt;"",INDEX(Tab_DaBa[],MATCH(CONCATENATE(Liste!$C$3,$B$1697,$B$1727),Data!$BO:$BO,0)-2,28)=""),INDEX(Tab_DaBa[],MATCH(CONCATENATE(Liste!$C$3,$B$1697,$B$1727),Data!$BO:$BO,0)-2,13),IF(INDEX(Tab_DaBa[],MATCH(CONCATENATE(Liste!$C$3,$B$1697,$B$1727),Data!$BO:$BO,0)-2,23)&lt;&gt;"",INDEX(Tab_DaBa[],MATCH(CONCATENATE(Liste!$C$3,$B$1697,$B$1727),Data!$BO:$BO,0)-2,28),"")),"")</f>
        <v>Bez_Aus4_2</v>
      </c>
      <c r="I1731" s="38" t="str">
        <f ca="1">IF(B1737="","",6)</f>
        <v/>
      </c>
    </row>
    <row r="1732" spans="2:9" s="16" customFormat="1" ht="15.75">
      <c r="B1732" s="35" t="str">
        <f ca="1">IFERROR("Performance Level: "&amp;INDEX(Tab_DaBa[],MATCH(CONCATENATE(Liste!$C$3,$B$1697,$B$1727),Data!$BO:$BO,0)-2,10),"")</f>
        <v>Performance Level: PL_Ein4_2</v>
      </c>
      <c r="C1732" s="54"/>
      <c r="D1732" s="35" t="str">
        <f ca="1">IFERROR(IF(INDEX(Tab_DaBa[],MATCH(CONCATENATE(Liste!$C$3,$B$1697,$B$1727),Data!$BO:$BO,0)-2,18)="","Performance Level: "&amp;INDEX(Tab_DaBa[],MATCH(CONCATENATE(Liste!$C$3,$B$1697,$B$1727),Data!$BO:$BO,0)-2,15),"Performance Level: "&amp;INDEX(Tab_DaBa[],MATCH(CONCATENATE(Liste!$C$3,$B$1697,$B$1727),Data!$BO:$BO,0)-2,20)),"")</f>
        <v>Performance Level: PL_Log01_04_02</v>
      </c>
      <c r="E1732" s="36"/>
      <c r="F1732" s="35" t="str">
        <f ca="1">IFERROR(IF(AND(INDEX(Tab_DaBa[],MATCH(CONCATENATE(Liste!$C$3,$B$1697,$B$1727),Data!$BO:$BO,0)-2,18)&lt;&gt;"",INDEX(Tab_DaBa[],MATCH(CONCATENATE(Liste!$C$3,$B$1697,$B$1727),Data!$BO:$BO,0)-2,23)=""),"Performance Level: "&amp;INDEX(Tab_DaBa[],MATCH(CONCATENATE(Liste!$C$3,$B$1697,$B$1727),Data!$BO:$BO,0)-2,15),IF(INDEX(Tab_DaBa[],MATCH(CONCATENATE(Liste!$C$3,$B$1697,$B$1727),Data!$BO:$BO,0)-2,23)&lt;&gt;"","Performance Level: "&amp;INDEX(Tab_DaBa[],MATCH(CONCATENATE(Liste!$C$3,$B$1697,$B$1727),Data!$BO:$BO,0)-2,25),"")),"")</f>
        <v>Performance Level: PL_Lo04_02</v>
      </c>
      <c r="G1732" s="39"/>
      <c r="H1732" s="35" t="str">
        <f ca="1">IFERROR(IF(AND(INDEX(Tab_DaBa[],MATCH(CONCATENATE(Liste!$C$3,$B$1697,$B$1727),Data!$BO:$BO,0)-2,23)&lt;&gt;"",INDEX(Tab_DaBa[],MATCH(CONCATENATE(Liste!$C$3,$B$1697,$B$1727),Data!$BO:$BO,0)-2,28)=""),"Performance Level: "&amp;INDEX(Tab_DaBa[],MATCH(CONCATENATE(Liste!$C$3,$B$1697,$B$1727),Data!$BO:$BO,0)-2,15),IF(INDEX(Tab_DaBa[],MATCH(CONCATENATE(Liste!$C$3,$B$1697,$B$1727),Data!$BO:$BO,0)-2,23)&lt;&gt;"","Performance Level: "&amp;INDEX(Tab_DaBa[],MATCH(CONCATENATE(Liste!$C$3,$B$1697,$B$1727),Data!$BO:$BO,0)-2,30),"")),"")</f>
        <v>Performance Level: PL_Aus4_2</v>
      </c>
      <c r="I1732" s="38"/>
    </row>
    <row r="1733" spans="2:9" s="16" customFormat="1" ht="15.75">
      <c r="B1733" s="53" t="str">
        <f ca="1">IFERROR("PFH [1/h] = "&amp;10^9*INDEX(Tab_DaBa[],MATCH(CONCATENATE(Liste!$C$3,$B$1697,$B$1727),Data!$BO:$BO,0)-2,11)&amp;"E-9","")</f>
        <v>PFH [1/h] = 42,9E-9</v>
      </c>
      <c r="C1733" s="54"/>
      <c r="D1733" s="35" t="str">
        <f ca="1">IFERROR(IF(INDEX(Tab_DaBa[],MATCH(CONCATENATE(Liste!$C$3,$B$1697,$B$1727),Data!$BO:$BO,0)-2,18)="","PFH [1/h] = "&amp;10^9*INDEX(Tab_DaBa[],MATCH(CONCATENATE(Liste!$C$3,$B$1697,$B$1727),Data!$BO:$BO,0)-2,16)&amp;"E-9","PFH [1/h] = "&amp;10^9*INDEX(Tab_DaBa[],MATCH(CONCATENATE(Liste!$C$3,$B$1697,$B$1727),Data!$BO:$BO,0)-2,21)&amp;"E-9"),"")</f>
        <v>PFH [1/h] = 4,19E-9</v>
      </c>
      <c r="E1733" s="36"/>
      <c r="F1733" s="35" t="str">
        <f ca="1">IFERROR(IF(AND(INDEX(Tab_DaBa[],MATCH(CONCATENATE(Liste!$C$3,$B$1697,$B$1727),Data!$BO:$BO,0)-2,18)&lt;&gt;"",INDEX(Tab_DaBa[],MATCH(CONCATENATE(Liste!$C$3,$B$1697,$B$1727),Data!$BO:$BO,0)-2,23)=""),"PFH [1/h] = "&amp;10^9*INDEX(Tab_DaBa[],MATCH(CONCATENATE(Liste!$C$3,$B$1697,$B$1727),Data!$BO:$BO,0)-2,16)&amp;"E-9",IF(INDEX(Tab_DaBa[],MATCH(CONCATENATE(Liste!$C$3,$B$1697,$B$1727),Data!$BO:$BO,0)-2,23)&lt;&gt;"","PFH [1/h] = "&amp;10^9*INDEX(Tab_DaBa[],MATCH(CONCATENATE(Liste!$C$3,$B$1697,$B$1727),Data!$BO:$BO,0)-2,26)&amp;"E-9","")),"")</f>
        <v>PFH [1/h] = 4,19E-9</v>
      </c>
      <c r="G1733" s="39"/>
      <c r="H1733" s="35" t="str">
        <f ca="1">IFERROR(IF(AND(INDEX(Tab_DaBa[],MATCH(CONCATENATE(Liste!$C$3,$B$1697,$B$1727),Data!$BO:$BO,0)-2,23)&lt;&gt;"",INDEX(Tab_DaBa[],MATCH(CONCATENATE(Liste!$C$3,$B$1697,$B$1727),Data!$BO:$BO,0)-2,28)=""),"PFH [1/h] = "&amp;10^9*INDEX(Tab_DaBa[],MATCH(CONCATENATE(Liste!$C$3,$B$1697,$B$1727),Data!$BO:$BO,0)-2,16)&amp;"E-9",IF(INDEX(Tab_DaBa[],MATCH(CONCATENATE(Liste!$C$3,$B$1697,$B$1727),Data!$BO:$BO,0)-2,23)&lt;&gt;"","PFH [1/h] = "&amp;10^9*INDEX(Tab_DaBa[],MATCH(CONCATENATE(Liste!$C$3,$B$1697,$B$1727),Data!$BO:$BO,0)-2,31)&amp;"E-9","")),"")</f>
        <v>PFH [1/h] = 24,7E-9</v>
      </c>
      <c r="I1733" s="39"/>
    </row>
    <row r="1734" spans="2:9" s="16" customFormat="1">
      <c r="B1734" s="33"/>
      <c r="C1734" s="34"/>
      <c r="D1734" s="33"/>
      <c r="E1734" s="33"/>
      <c r="F1734" s="33"/>
      <c r="G1734" s="33"/>
      <c r="H1734" s="33"/>
      <c r="I1734" s="33"/>
    </row>
    <row r="1735" spans="2:9" s="16" customFormat="1" ht="15.75">
      <c r="B1735" s="38" t="str">
        <f ca="1">IF(B1737="","",6)</f>
        <v/>
      </c>
      <c r="C1735" s="34"/>
      <c r="D1735" s="38" t="str">
        <f ca="1">IF(B1737="","",3)</f>
        <v/>
      </c>
      <c r="E1735" s="33"/>
      <c r="F1735" s="38" t="str">
        <f ca="1">IF(B1737="","",3)</f>
        <v/>
      </c>
      <c r="G1735" s="33"/>
      <c r="H1735" s="38" t="str">
        <f ca="1">IF(B1737="","",3)</f>
        <v/>
      </c>
      <c r="I1735" s="33"/>
    </row>
    <row r="1736" spans="2:9" s="16" customFormat="1" ht="15.75">
      <c r="B1736" s="39"/>
      <c r="C1736" s="33"/>
      <c r="D1736" s="33"/>
      <c r="E1736" s="33"/>
      <c r="F1736" s="33"/>
      <c r="G1736" s="33"/>
      <c r="H1736" s="33"/>
      <c r="I1736" s="33"/>
    </row>
    <row r="1737" spans="2:9" s="16" customFormat="1" ht="15.75">
      <c r="B1737" s="35" t="str">
        <f ca="1">IFERROR(IF(AND(INDEX(Tab_DaBa[],MATCH(CONCATENATE(Liste!$C$3,$B$1697,$B$1727),Data!$BO:$BO,0)-2,28)&lt;&gt;"",INDEX(Tab_DaBa[],MATCH(CONCATENATE(Liste!$C$3,$B$1697,$B$1727),Data!$BO:$BO,0)-2,33)=0),INDEX(Tab_DaBa[],MATCH(CONCATENATE(Liste!$C$3,$B$1697,$B$1727),Data!$BO:$BO,0)-2,14),IF(INDEX(Tab_DaBa[],MATCH(CONCATENATE(Liste!$C$3,$B$1697,$B$1727),Data!$BO:$BO,0)-2,28)&lt;&gt;"",INDEX(Tab_DaBa[],MATCH(CONCATENATE(Liste!$C$3,$B$1697,$B$1727),Data!$BO:$BO,0)-2,34),"")),"")</f>
        <v/>
      </c>
      <c r="C1737" s="39"/>
      <c r="D1737" s="35" t="str">
        <f ca="1">IFERROR(IF(AND(INDEX(Tab_DaBa[],MATCH(CONCATENATE(Liste!$C$3,$B$1697,$B$1727),Data!$BO:$BO,0)-2,33)&lt;&gt;"",INDEX(Tab_DaBa[],MATCH(CONCATENATE(Liste!$C$3,$B$1697,$B$1727),Data!$BO:$BO,0)-2,38)=0),INDEX(Tab_DaBa[],MATCH(CONCATENATE(Liste!$C$3,$B$1697,$B$1727),Data!$BO:$BO,0)-2,14),IF(INDEX(Tab_DaBa[],MATCH(CONCATENATE(Liste!$C$3,$B$1697,$B$1727),Data!$BO:$BO,0)-2,33)&lt;&gt;"",INDEX(Tab_DaBa[],MATCH(CONCATENATE(Liste!$C$3,$B$1697,$B$1727),Data!$BO:$BO,0)-2,39),"")),"")</f>
        <v/>
      </c>
      <c r="E1737" s="33"/>
      <c r="F1737" s="35" t="str">
        <f ca="1">IFERROR(IF(AND(INDEX(Tab_DaBa[],MATCH(CONCATENATE(Liste!$C$3,$B$1697,$B$1727),Data!$BO:$BO,0)-2,38)&lt;&gt;"",INDEX(Tab_DaBa[],MATCH(CONCATENATE(Liste!$C$3,$B$1697,$B$1727),Data!$BO:$BO,0)-2,43)=0),INDEX(Tab_DaBa[],MATCH(CONCATENATE(Liste!$C$3,$B$1697,$B$1727),Data!$BO:$BO,0)-2,14),IF(INDEX(Tab_DaBa[],MATCH(CONCATENATE(Liste!$C$3,$B$1697,$B$1727),Data!$BO:$BO,0)-2,38)&lt;&gt;"",INDEX(Tab_DaBa[],MATCH(CONCATENATE(Liste!$C$3,$B$1697,$B$1727),Data!$BO:$BO,0)-2,44),"")),"")</f>
        <v/>
      </c>
      <c r="G1737" s="39"/>
      <c r="H1737" s="35" t="str">
        <f ca="1">IFERROR(IF(AND(INDEX(Tab_DaBa[],MATCH(CONCATENATE(Liste!$C$3,$B$1697,$B$1727),Data!$BO:$BO,0)-2,43)&lt;&gt;"",INDEX(Tab_DaBa[],MATCH(CONCATENATE(Liste!$C$3,$B$1697,$B$1727),Data!$BO:$BO,0)-2,48)=0),INDEX(Tab_DaBa[],MATCH(CONCATENATE(Liste!$C$3,$B$1697,$B$1727),Data!$BO:$BO,0)-2,14),IF(INDEX(Tab_DaBa[],MATCH(CONCATENATE(Liste!$C$3,$B$1697,$B$1727),Data!$BO:$BO,0)-2,43)&lt;&gt;"",INDEX(Tab_DaBa[],MATCH(CONCATENATE(Liste!$C$3,$B$1697,$B$1727),Data!$BO:$BO,0)-2,49),"")),"")</f>
        <v/>
      </c>
      <c r="I1737" s="39"/>
    </row>
    <row r="1738" spans="2:9" s="16" customFormat="1" ht="15.75">
      <c r="B1738" s="35" t="str">
        <f ca="1">IFERROR(IF(AND(INDEX(Tab_DaBa[],MATCH(CONCATENATE(Liste!$C$3,$B$1697,$B$1727),Data!$BO:$BO,0)-2,28)&lt;&gt;"",INDEX(Tab_DaBa[],MATCH(CONCATENATE(Liste!$C$3,$B$1697,$B$1727),Data!$BO:$BO,0)-2,33)=0),INDEX(Tab_DaBa[],MATCH(CONCATENATE(Liste!$C$3,$B$1697,$B$1727),Data!$BO:$BO,0)-2,12),IF(INDEX(Tab_DaBa[],MATCH(CONCATENATE(Liste!$C$3,$B$1697,$B$1727),Data!$BO:$BO,0)-2,28)&lt;&gt;"",INDEX(Tab_DaBa[],MATCH(CONCATENATE(Liste!$C$3,$B$1697,$B$1727),Data!$BO:$BO,0)-2,32),"")),"")</f>
        <v/>
      </c>
      <c r="C1738" s="39"/>
      <c r="D1738" s="35" t="str">
        <f ca="1">IFERROR(IF(AND(INDEX(Tab_DaBa[],MATCH(CONCATENATE(Liste!$C$3,$B$1697,$B$1727),Data!$BO:$BO,0)-2,33)&lt;&gt;"",INDEX(Tab_DaBa[],MATCH(CONCATENATE(Liste!$C$3,$B$1697,$B$1727),Data!$BO:$BO,0)-2,38)=0),INDEX(Tab_DaBa[],MATCH(CONCATENATE(Liste!$C$3,$B$1697,$B$1727),Data!$BO:$BO,0)-2,12),IF(INDEX(Tab_DaBa[],MATCH(CONCATENATE(Liste!$C$3,$B$1697,$B$1727),Data!$BO:$BO,0)-2,33)&lt;&gt;"",INDEX(Tab_DaBa[],MATCH(CONCATENATE(Liste!$C$3,$B$1697,$B$1727),Data!$BO:$BO,0)-2,37),"")),"")</f>
        <v/>
      </c>
      <c r="E1738" s="37"/>
      <c r="F1738" s="35" t="str">
        <f ca="1">IFERROR(IF(AND(INDEX(Tab_DaBa[],MATCH(CONCATENATE(Liste!$C$3,$B$1697,$B$1727),Data!$BO:$BO,0)-2,38)&lt;&gt;"",INDEX(Tab_DaBa[],MATCH(CONCATENATE(Liste!$C$3,$B$1697,$B$1727),Data!$BO:$BO,0)-2,43)=0),INDEX(Tab_DaBa[],MATCH(CONCATENATE(Liste!$C$3,$B$1697,$B$1727),Data!$BO:$BO,0)-2,12),IF(INDEX(Tab_DaBa[],MATCH(CONCATENATE(Liste!$C$3,$B$1697,$B$1727),Data!$BO:$BO,0)-2,38)&lt;&gt;"",INDEX(Tab_DaBa[],MATCH(CONCATENATE(Liste!$C$3,$B$1697,$B$1727),Data!$BO:$BO,0)-2,42),"")),"")</f>
        <v/>
      </c>
      <c r="G1738" s="39"/>
      <c r="H1738" s="35" t="str">
        <f ca="1">IFERROR(IF(AND(INDEX(Tab_DaBa[],MATCH(CONCATENATE(Liste!$C$3,$B$1697,$B$1727),Data!$BO:$BO,0)-2,43)&lt;&gt;"",INDEX(Tab_DaBa[],MATCH(CONCATENATE(Liste!$C$3,$B$1697,$B$1727),Data!$BO:$BO,0)-2,48)=0),INDEX(Tab_DaBa[],MATCH(CONCATENATE(Liste!$C$3,$B$1697,$B$1727),Data!$BO:$BO,0)-2,12),IF(INDEX(Tab_DaBa[],MATCH(CONCATENATE(Liste!$C$3,$B$1697,$B$1727),Data!$BO:$BO,0)-2,43)&lt;&gt;"",INDEX(Tab_DaBa[],MATCH(CONCATENATE(Liste!$C$3,$B$1697,$B$1727),Data!$BO:$BO,0)-2,47),"")),"")</f>
        <v/>
      </c>
      <c r="I1738" s="39"/>
    </row>
    <row r="1739" spans="2:9" s="16" customFormat="1" ht="15.75">
      <c r="B1739" s="35" t="str">
        <f ca="1">IFERROR(IF(AND(INDEX(Tab_DaBa[],MATCH(CONCATENATE(Liste!$C$3,$B$1697,$B$1727),Data!$BO:$BO,0)-2,28)&lt;&gt;"",INDEX(Tab_DaBa[],MATCH(CONCATENATE(Liste!$C$3,$B$1697,$B$1727),Data!$BO:$BO,0)-2,33)=""),INDEX(Tab_DaBa[],MATCH(CONCATENATE(Liste!$C$3,$B$1697,$B$1727),Data!$BO:$BO,0)-2,13),IF(INDEX(Tab_DaBa[],MATCH(CONCATENATE(Liste!$C$3,$B$1697,$B$1727),Data!$BO:$BO,0)-2,28)&lt;&gt;"",INDEX(Tab_DaBa[],MATCH(CONCATENATE(Liste!$C$3,$B$1697,$B$1727),Data!$BO:$BO,0)-2,33),"")),"")</f>
        <v/>
      </c>
      <c r="C1739" s="38" t="str">
        <f ca="1">IF(D1737="","",4)</f>
        <v/>
      </c>
      <c r="D1739" s="35" t="str">
        <f ca="1">IFERROR(IF(AND(INDEX(Tab_DaBa[],MATCH(CONCATENATE(Liste!$C$3,$B$1697,$B$1727),Data!$BO:$BO,0)-2,33)&lt;&gt;"",INDEX(Tab_DaBa[],MATCH(CONCATENATE(Liste!$C$3,$B$1697,$B$1727),Data!$BO:$BO,0)-2,38)=""),INDEX(Tab_DaBa[],MATCH(CONCATENATE(Liste!$C$3,$B$1697,$B$1727),Data!$BO:$BO,0)-2,13),IF(INDEX(Tab_DaBa[],MATCH(CONCATENATE(Liste!$C$3,$B$1697,$B$1727),Data!$BO:$BO,0)-2,33)&lt;&gt;"",INDEX(Tab_DaBa[],MATCH(CONCATENATE(Liste!$C$3,$B$1697,$B$1727),Data!$BO:$BO,0)-2,38),"")),"")</f>
        <v/>
      </c>
      <c r="E1739" s="38" t="str">
        <f ca="1">IF(F1737="","",4)</f>
        <v/>
      </c>
      <c r="F1739" s="35" t="str">
        <f ca="1">IFERROR(IF(AND(INDEX(Tab_DaBa[],MATCH(CONCATENATE(Liste!$C$3,$B$1697,$B$1727),Data!$BO:$BO,0)-2,38)&lt;&gt;"",INDEX(Tab_DaBa[],MATCH(CONCATENATE(Liste!$C$3,$B$1697,$B$1727),Data!$BO:$BO,0)-2,43)=""),INDEX(Tab_DaBa[],MATCH(CONCATENATE(Liste!$C$3,$B$1697,$B$1727),Data!$BO:$BO,0)-2,13),IF(INDEX(Tab_DaBa[],MATCH(CONCATENATE(Liste!$C$3,$B$1697,$B$1727),Data!$BO:$BO,0)-2,38)&lt;&gt;"",INDEX(Tab_DaBa[],MATCH(CONCATENATE(Liste!$C$3,$B$1697,$B$1727),Data!$BO:$BO,0)-2,43),"")),"")</f>
        <v/>
      </c>
      <c r="G1739" s="38" t="str">
        <f ca="1">IF(H1737="","",4)</f>
        <v/>
      </c>
      <c r="H1739" s="35" t="str">
        <f ca="1">IFERROR(IF(AND(INDEX(Tab_DaBa[],MATCH(CONCATENATE(Liste!$C$3,$B$1697,$B$1727),Data!$BO:$BO,0)-2,43)&lt;&gt;"",INDEX(Tab_DaBa[],MATCH(CONCATENATE(Liste!$C$3,$B$1697,$B$1727),Data!$BO:$BO,0)-2,48)=""),INDEX(Tab_DaBa[],MATCH(CONCATENATE(Liste!$C$3,$B$1697,$B$1727),Data!$BO:$BO,0)-2,13),IF(INDEX(Tab_DaBa[],MATCH(CONCATENATE(Liste!$C$3,$B$1697,$B$1727),Data!$BO:$BO,0)-2,43)&lt;&gt;"",INDEX(Tab_DaBa[],MATCH(CONCATENATE(Liste!$C$3,$B$1697,$B$1727),Data!$BO:$BO,0)-2,48),"")),"")</f>
        <v/>
      </c>
      <c r="I1739" s="38" t="str">
        <f ca="1">IF(B1745="","",6)</f>
        <v/>
      </c>
    </row>
    <row r="1740" spans="2:9" s="16" customFormat="1" ht="15.75">
      <c r="B1740" s="35" t="str">
        <f ca="1">IFERROR(IF(AND(INDEX(Tab_DaBa[],MATCH(CONCATENATE(Liste!$C$3,$B$1697,$B$1727),Data!$BO:$BO,0)-2,28)&lt;&gt;"",INDEX(Tab_DaBa[],MATCH(CONCATENATE(Liste!$C$3,$B$1697,$B$1727),Data!$BO:$BO,0)-2,33)=""),"Performance Level: "&amp;INDEX(Tab_DaBa[],MATCH(CONCATENATE(Liste!$C$3,$B$1697,$B$1727),Data!$BO:$BO,0)-2,15),IF(INDEX(Tab_DaBa[],MATCH(CONCATENATE(Liste!$C$3,$B$1697,$B$1727),Data!$BO:$BO,0)-2,28)&lt;&gt;"","Performance Level: "&amp;INDEX(Tab_DaBa[],MATCH(CONCATENATE(Liste!$C$3,$B$1697,$B$1727),Data!$BO:$BO,0)-2,35),"")),"")</f>
        <v/>
      </c>
      <c r="C1740" s="39"/>
      <c r="D1740" s="35" t="str">
        <f ca="1">IFERROR(IF(AND(INDEX(Tab_DaBa[],MATCH(CONCATENATE(Liste!$C$3,$B$1697,$B$1727),Data!$BO:$BO,0)-2,33)&lt;&gt;"",INDEX(Tab_DaBa[],MATCH(CONCATENATE(Liste!$C$3,$B$1697,$B$1727),Data!$BO:$BO,0)-2,38)=""),"Performance Level: "&amp;INDEX(Tab_DaBa[],MATCH(CONCATENATE(Liste!$C$3,$B$1697,$B$1727),Data!$BO:$BO,0)-2,15),IF(INDEX(Tab_DaBa[],MATCH(CONCATENATE(Liste!$C$3,$B$1697,$B$1727),Data!$BO:$BO,0)-2,33)&lt;&gt;"","Performance Level: "&amp;INDEX(Tab_DaBa[],MATCH(CONCATENATE(Liste!$C$3,$B$1697,$B$1727),Data!$BO:$BO,0)-2,40),"")),"")</f>
        <v/>
      </c>
      <c r="E1740" s="37"/>
      <c r="F1740" s="35" t="str">
        <f ca="1">IFERROR(IF(AND(INDEX(Tab_DaBa[],MATCH(CONCATENATE(Liste!$C$3,$B$1697,$B$1727),Data!$BO:$BO,0)-2,38)&lt;&gt;"",INDEX(Tab_DaBa[],MATCH(CONCATENATE(Liste!$C$3,$B$1697,$B$1727),Data!$BO:$BO,0)-2,43)=""),"Performance Level: "&amp;INDEX(Tab_DaBa[],MATCH(CONCATENATE(Liste!$C$3,$B$1697,$B$1727),Data!$BO:$BO,0)-2,15),IF(INDEX(Tab_DaBa[],MATCH(CONCATENATE(Liste!$C$3,$B$1697,$B$1727),Data!$BO:$BO,0)-2,38)&lt;&gt;"","Performance Level: "&amp;INDEX(Tab_DaBa[],MATCH(CONCATENATE(Liste!$C$3,$B$1697,$B$1727),Data!$BO:$BO,0)-2,45),"")),"")</f>
        <v/>
      </c>
      <c r="G1740" s="39"/>
      <c r="H1740" s="35" t="str">
        <f ca="1">IFERROR(IF(AND(INDEX(Tab_DaBa[],MATCH(CONCATENATE(Liste!$C$3,$B$1697,$B$1727),Data!$BO:$BO,0)-2,43)&lt;&gt;"",INDEX(Tab_DaBa[],MATCH(CONCATENATE(Liste!$C$3,$B$1697,$B$1727),Data!$BO:$BO,0)-2,48)=""),"Performance Level: "&amp;INDEX(Tab_DaBa[],MATCH(CONCATENATE(Liste!$C$3,$B$1697,$B$1727),Data!$BO:$BO,0)-2,15),IF(INDEX(Tab_DaBa[],MATCH(CONCATENATE(Liste!$C$3,$B$1697,$B$1727),Data!$BO:$BO,0)-2,43)&lt;&gt;"","Performance Level: "&amp;INDEX(Tab_DaBa[],MATCH(CONCATENATE(Liste!$C$3,$B$1697,$B$1727),Data!$BO:$BO,0)-2,50),"")),"")</f>
        <v/>
      </c>
      <c r="I1740" s="39"/>
    </row>
    <row r="1741" spans="2:9" s="16" customFormat="1" ht="15.75">
      <c r="B1741" s="35" t="str">
        <f ca="1">IFERROR(IF(AND(INDEX(Tab_DaBa[],MATCH(CONCATENATE(Liste!$C$3,$B$1697,$B$1727),Data!$BO:$BO,0)-2,28)&lt;&gt;"",INDEX(Tab_DaBa[],MATCH(CONCATENATE(Liste!$C$3,$B$1697,$B$1727),Data!$BO:$BO,0)-2,33)=""),"PFH [1/h] = "&amp;10^9*INDEX(Tab_DaBa[],MATCH(CONCATENATE(Liste!$C$3,$B$1697,$B$1727),Data!$BO:$BO,0)-2,16)&amp;"E-9",IF(INDEX(Tab_DaBa[],MATCH(CONCATENATE(Liste!$C$3,$B$1697,$B$1727),Data!$BO:$BO,0)-2,28)&lt;&gt;"","PFH [1/h] = "&amp;10^9*INDEX(Tab_DaBa[],MATCH(CONCATENATE(Liste!$C$3,$B$1697,$B$1727),Data!$BO:$BO,0)-2,36)&amp;"E-9","")),"")</f>
        <v/>
      </c>
      <c r="C1741" s="39"/>
      <c r="D1741" s="35" t="str">
        <f ca="1">IFERROR(IF(AND(INDEX(Tab_DaBa[],MATCH(CONCATENATE(Liste!$C$3,$B$1697,$B$1727),Data!$BO:$BO,0)-2,33)&lt;&gt;"",INDEX(Tab_DaBa[],MATCH(CONCATENATE(Liste!$C$3,$B$1697,$B$1727),Data!$BO:$BO,0)-2,38)=""),"PFH [1/h] = "&amp;10^9*INDEX(Tab_DaBa[],MATCH(CONCATENATE(Liste!$C$3,$B$1697,$B$1727),Data!$BO:$BO,0)-2,16)&amp;"E-9",IF(INDEX(Tab_DaBa[],MATCH(CONCATENATE(Liste!$C$3,$B$1697,$B$1727),Data!$BO:$BO,0)-2,33)&lt;&gt;"","PFH [1/h] = "&amp;10^9*INDEX(Tab_DaBa[],MATCH(CONCATENATE(Liste!$C$3,$B$1697,$B$1727),Data!$BO:$BO,0)-2,41)&amp;"E-9","")),"")</f>
        <v/>
      </c>
      <c r="E1741" s="37"/>
      <c r="F1741" s="35" t="str">
        <f ca="1">IFERROR(IF(AND(INDEX(Tab_DaBa[],MATCH(CONCATENATE(Liste!$C$3,$B$1697,$B$1727),Data!$BO:$BO,0)-2,38)&lt;&gt;"",INDEX(Tab_DaBa[],MATCH(CONCATENATE(Liste!$C$3,$B$1697,$B$1727),Data!$BO:$BO,0)-2,43)=""),"PFH [1/h] = "&amp;10^9*INDEX(Tab_DaBa[],MATCH(CONCATENATE(Liste!$C$3,$B$1697,$B$1727),Data!$BO:$BO,0)-2,16)&amp;"E-9",IF(INDEX(Tab_DaBa[],MATCH(CONCATENATE(Liste!$C$3,$B$1697,$B$1727),Data!$BO:$BO,0)-2,38)&lt;&gt;"","PFH [1/h] = "&amp;10^9*INDEX(Tab_DaBa[],MATCH(CONCATENATE(Liste!$C$3,$B$1697,$B$1727),Data!$BO:$BO,0)-2,46)&amp;"E-9","")),"")</f>
        <v/>
      </c>
      <c r="G1741" s="39"/>
      <c r="H1741" s="35" t="str">
        <f ca="1">IFERROR(IF(AND(INDEX(Tab_DaBa[],MATCH(CONCATENATE(Liste!$C$3,$B$1697,$B$1727),Data!$BO:$BO,0)-2,43)&lt;&gt;"",INDEX(Tab_DaBa[],MATCH(CONCATENATE(Liste!$C$3,$B$1697,$B$1727),Data!$BO:$BO,0)-2,48)=""),"PFH [1/h] = "&amp;10^9*INDEX(Tab_DaBa[],MATCH(CONCATENATE(Liste!$C$3,$B$1697,$B$1727),Data!$BO:$BO,0)-2,16)&amp;"E-9",IF(INDEX(Tab_DaBa[],MATCH(CONCATENATE(Liste!$C$3,$B$1697,$B$1727),Data!$BO:$BO,0)-2,43)&lt;&gt;"","PFH [1/h] = "&amp;10^9*INDEX(Tab_DaBa[],MATCH(CONCATENATE(Liste!$C$3,$B$1697,$B$1727),Data!$BO:$BO,0)-2,51)&amp;"E-9","")),"")</f>
        <v/>
      </c>
      <c r="I1741" s="39"/>
    </row>
    <row r="1742" spans="2:9" s="16" customFormat="1">
      <c r="B1742" s="33"/>
      <c r="C1742" s="33"/>
      <c r="D1742" s="33"/>
      <c r="E1742" s="33"/>
      <c r="F1742" s="33"/>
      <c r="G1742" s="33"/>
      <c r="H1742" s="33"/>
      <c r="I1742" s="33"/>
    </row>
    <row r="1743" spans="2:9" s="16" customFormat="1" ht="15.75">
      <c r="B1743" s="38" t="str">
        <f ca="1">IF(B1745="","",6)</f>
        <v/>
      </c>
      <c r="C1743" s="33"/>
      <c r="D1743" s="38" t="str">
        <f ca="1">IF(B1745="","",3)</f>
        <v/>
      </c>
      <c r="E1743" s="33"/>
      <c r="F1743" s="38" t="str">
        <f ca="1">IF(B1745="","",3)</f>
        <v/>
      </c>
      <c r="G1743" s="33"/>
      <c r="H1743" s="38" t="str">
        <f ca="1">IF(B1745="","",3)</f>
        <v/>
      </c>
      <c r="I1743" s="33"/>
    </row>
    <row r="1744" spans="2:9" s="16" customFormat="1" ht="15.75">
      <c r="B1744" s="39"/>
      <c r="C1744" s="33"/>
      <c r="D1744" s="33"/>
      <c r="E1744" s="33"/>
      <c r="F1744" s="33"/>
      <c r="G1744" s="33"/>
      <c r="H1744" s="33"/>
      <c r="I1744" s="33"/>
    </row>
    <row r="1745" spans="2:9" s="16" customFormat="1" ht="15.75">
      <c r="B1745" s="35" t="str">
        <f ca="1">IFERROR(IF(AND(INDEX(Tab_DaBa[],MATCH(CONCATENATE(Liste!$C$3,$B$1697,$B$1727),Data!$BO:$BO,0)-2,48)&lt;&gt;"",INDEX(Tab_DaBa[],MATCH(CONCATENATE(Liste!$C$3,$B$1697,$B$1727),Data!$BO:$BO,0)-2,53)=0),INDEX(Tab_DaBa[],MATCH(CONCATENATE(Liste!$C$3,$B$1697,$B$1727),Data!$BO:$BO,0)-2,14),IF(INDEX(Tab_DaBa[],MATCH(CONCATENATE(Liste!$C$3,$B$1697,$B$1727),Data!$BO:$BO,0)-2,48)&lt;&gt;"",INDEX(Tab_DaBa[],MATCH(CONCATENATE(Liste!$C$3,$B$1697,$B$1727),Data!$BO:$BO,0)-2,54),"")),"")</f>
        <v/>
      </c>
      <c r="C1745" s="39"/>
      <c r="D1745" s="35" t="str">
        <f ca="1">IFERROR(IF(AND(INDEX(Tab_DaBa[],MATCH(CONCATENATE(Liste!$C$3,$B$1697,$B$1727),Data!$BO:$BO,0)-2,53)&lt;&gt;"",INDEX(Tab_DaBa[],MATCH(CONCATENATE(Liste!$C$3,$B$1697,$B$1727),Data!$BO:$BO,0)-2,58)=0),INDEX(Tab_DaBa[],MATCH(CONCATENATE(Liste!$C$3,$B$1697,$B$1727),Data!$BO:$BO,0)-2,14),IF(INDEX(Tab_DaBa[],MATCH(CONCATENATE(Liste!$C$3,$B$1697,$B$1727),Data!$BO:$BO,0)-2,53)&lt;&gt;"",INDEX(Tab_DaBa[],MATCH(CONCATENATE(Liste!$C$3,$B$1697,$B$1727),Data!$BO:$BO,0)-2,59),"")),"")</f>
        <v/>
      </c>
      <c r="E1745" s="33"/>
      <c r="F1745" s="35" t="str">
        <f ca="1">IFERROR(IF(AND(INDEX(Tab_DaBa[],MATCH(CONCATENATE(Liste!$C$3,$B$1697,$B$1727),Data!$BO:$BO,0)-2,58)&lt;&gt;"",INDEX(Tab_DaBa[],MATCH(CONCATENATE(Liste!$C$3,$B$1697,$B$1727),Data!$BO:$BO,0)-2,63)=0),INDEX(Tab_DaBa[],MATCH(CONCATENATE(Liste!$C$3,$B$1697,$B$1727),Data!$BO:$BO,0)-2,14),IF(INDEX(Tab_DaBa[],MATCH(CONCATENATE(Liste!$C$3,$B$1697,$B$1727),Data!$BO:$BO,0)-2,58)&lt;&gt;"",INDEX(Tab_DaBa[],MATCH(CONCATENATE(Liste!$C$3,$B$1697,$B$1727),Data!$BO:$BO,0)-2,64),"")),"")</f>
        <v/>
      </c>
      <c r="G1745" s="39"/>
      <c r="H1745" s="35" t="str">
        <f ca="1">IFERROR(IF(INDEX(Tab_DaBa[],MATCH(CONCATENATE(Liste!$C$3,$B$1697,$B$1727),Data!$BO:$BO,0)-2,63)&lt;&gt;"",INDEX(Tab_DaBa[],MATCH(CONCATENATE(Liste!$C$3,$B$1697,$B$1727),Data!$BO:$BO,0)-2,14),""),"")</f>
        <v/>
      </c>
    </row>
    <row r="1746" spans="2:9" s="16" customFormat="1" ht="15.75">
      <c r="B1746" s="35" t="str">
        <f ca="1">IFERROR(IF(AND(INDEX(Tab_DaBa[],MATCH(CONCATENATE(Liste!$C$3,$B$1697,$B$1727),Data!$BO:$BO,0)-2,48)&lt;&gt;"",INDEX(Tab_DaBa[],MATCH(CONCATENATE(Liste!$C$3,$B$1697,$B$1727),Data!$BO:$BO,0)-2,53)=0),INDEX(Tab_DaBa[],MATCH(CONCATENATE(Liste!$C$3,$B$1697,$B$1727),Data!$BO:$BO,0)-2,12),IF(INDEX(Tab_DaBa[],MATCH(CONCATENATE(Liste!$C$3,$B$1697,$B$1727),Data!$BO:$BO,0)-2,48)&lt;&gt;"",INDEX(Tab_DaBa[],MATCH(CONCATENATE(Liste!$C$3,$B$1697,$B$1727),Data!$BO:$BO,0)-2,52),"")),"")</f>
        <v/>
      </c>
      <c r="C1746" s="39"/>
      <c r="D1746" s="35" t="str">
        <f ca="1">IFERROR(IF(AND(INDEX(Tab_DaBa[],MATCH(CONCATENATE(Liste!$C$3,$B$1697,$B$1727),Data!$BO:$BO,0)-2,53)&lt;&gt;"",INDEX(Tab_DaBa[],MATCH(CONCATENATE(Liste!$C$3,$B$1697,$B$1727),Data!$BO:$BO,0)-2,58)=0),INDEX(Tab_DaBa[],MATCH(CONCATENATE(Liste!$C$3,$B$1697,$B$1727),Data!$BO:$BO,0)-2,12),IF(INDEX(Tab_DaBa[],MATCH(CONCATENATE(Liste!$C$3,$B$1697,$B$1727),Data!$BO:$BO,0)-2,53)&lt;&gt;"",INDEX(Tab_DaBa[],MATCH(CONCATENATE(Liste!$C$3,$B$1697,$B$1727),Data!$BO:$BO,0)-2,57),"")),"")</f>
        <v/>
      </c>
      <c r="E1746" s="37"/>
      <c r="F1746" s="35" t="str">
        <f ca="1">IFERROR(IF(AND(INDEX(Tab_DaBa[],MATCH(CONCATENATE(Liste!$C$3,$B$1697,$B$1727),Data!$BO:$BO,0)-2,58)&lt;&gt;"",INDEX(Tab_DaBa[],MATCH(CONCATENATE(Liste!$C$3,$B$1697,$B$1727),Data!$BO:$BO,0)-2,63)=0),INDEX(Tab_DaBa[],MATCH(CONCATENATE(Liste!$C$3,$B$1697,$B$1727),Data!$BO:$BO,0)-2,12),IF(INDEX(Tab_DaBa[],MATCH(CONCATENATE(Liste!$C$3,$B$1697,$B$1727),Data!$BO:$BO,0)-2,58)&lt;&gt;"",INDEX(Tab_DaBa[],MATCH(CONCATENATE(Liste!$C$3,$B$1697,$B$1727),Data!$BO:$BO,0)-2,62),"")),"")</f>
        <v/>
      </c>
      <c r="G1746" s="39"/>
      <c r="H1746" s="35" t="str">
        <f ca="1">IFERROR(IF(INDEX(Tab_DaBa[],MATCH(CONCATENATE(Liste!$C$3,$B$1697,$B$1727),Data!$BO:$BO,0)-2,63)&lt;&gt;"",INDEX(Tab_DaBa[],MATCH(CONCATENATE(Liste!$C$3,$B$1697,$B$1727),Data!$BO:$BO,0)-2,12),""),"")</f>
        <v/>
      </c>
    </row>
    <row r="1747" spans="2:9" s="16" customFormat="1" ht="15.75">
      <c r="B1747" s="35" t="str">
        <f ca="1">IFERROR(IF(AND(INDEX(Tab_DaBa[],MATCH(CONCATENATE(Liste!$C$3,$B$1697,$B$1727),Data!$BO:$BO,0)-2,48)&lt;&gt;"",INDEX(Tab_DaBa[],MATCH(CONCATENATE(Liste!$C$3,$B$1697,$B$1727),Data!$BO:$BO,0)-2,53)=""),INDEX(Tab_DaBa[],MATCH(CONCATENATE(Liste!$C$3,$B$1697,$B$1727),Data!$BO:$BO,0)-2,13),IF(INDEX(Tab_DaBa[],MATCH(CONCATENATE(Liste!$C$3,$B$1697,$B$1727),Data!$BO:$BO,0)-2,48)&lt;&gt;"",INDEX(Tab_DaBa[],MATCH(CONCATENATE(Liste!$C$3,$B$1697,$B$1727),Data!$BO:$BO,0)-2,53),"")),"")</f>
        <v/>
      </c>
      <c r="C1747" s="38" t="str">
        <f ca="1">IF(D1745="","",4)</f>
        <v/>
      </c>
      <c r="D1747" s="35" t="str">
        <f ca="1">IFERROR(IF(AND(INDEX(Tab_DaBa[],MATCH(CONCATENATE(Liste!$C$3,$B$1697,$B$1727),Data!$BO:$BO,0)-2,53)&lt;&gt;"",INDEX(Tab_DaBa[],MATCH(CONCATENATE(Liste!$C$3,$B$1697,$B$1727),Data!$BO:$BO,0)-2,58)=""),INDEX(Tab_DaBa[],MATCH(CONCATENATE(Liste!$C$3,$B$1697,$B$1727),Data!$BO:$BO,0)-2,13),IF(INDEX(Tab_DaBa[],MATCH(CONCATENATE(Liste!$C$3,$B$1697,$B$1727),Data!$BO:$BO,0)-2,53)&lt;&gt;"",INDEX(Tab_DaBa[],MATCH(CONCATENATE(Liste!$C$3,$B$1697,$B$1727),Data!$BO:$BO,0)-2,58),"")),"")</f>
        <v/>
      </c>
      <c r="E1747" s="38" t="str">
        <f ca="1">IF(F1745="","",4)</f>
        <v/>
      </c>
      <c r="F1747" s="35" t="str">
        <f ca="1">IFERROR(IF(AND(INDEX(Tab_DaBa[],MATCH(CONCATENATE(Liste!$C$3,$B$1697,$B$1727),Data!$BO:$BO,0)-2,58)&lt;&gt;"",INDEX(Tab_DaBa[],MATCH(CONCATENATE(Liste!$C$3,$B$1697,$B$1727),Data!$BO:$BO,0)-2,63)=""),INDEX(Tab_DaBa[],MATCH(CONCATENATE(Liste!$C$3,$B$1697,$B$1727),Data!$BO:$BO,0)-2,13),IF(INDEX(Tab_DaBa[],MATCH(CONCATENATE(Liste!$C$3,$B$1697,$B$1727),Data!$BO:$BO,0)-2,58)&lt;&gt;"",INDEX(Tab_DaBa[],MATCH(CONCATENATE(Liste!$C$3,$B$1697,$B$1727),Data!$BO:$BO,0)-2,63),"")),"")</f>
        <v/>
      </c>
      <c r="G1747" s="38" t="str">
        <f ca="1">IF(H1745="","",4)</f>
        <v/>
      </c>
      <c r="H1747" s="35" t="str">
        <f ca="1">IFERROR(IF(INDEX(Tab_DaBa[],MATCH(CONCATENATE(Liste!$C$3,$B$1697,$B$1727),Data!$BO:$BO,0)-2,63)&lt;&gt;"",INDEX(Tab_DaBa[],MATCH(CONCATENATE(Liste!$C$3,$B$1697,$B$1727),Data!$BO:$BO,0)-2,13),""),"")</f>
        <v/>
      </c>
    </row>
    <row r="1748" spans="2:9" s="16" customFormat="1" ht="15.75">
      <c r="B1748" s="35" t="str">
        <f ca="1">IFERROR(IF(AND(INDEX(Tab_DaBa[],MATCH(CONCATENATE(Liste!$C$3,$B$1697,$B$1727),Data!$BO:$BO,0)-2,48)&lt;&gt;"",INDEX(Tab_DaBa[],MATCH(CONCATENATE(Liste!$C$3,$B$1697,$B$1727),Data!$BO:$BO,0)-2,53)=""),"Performance Level: "&amp;INDEX(Tab_DaBa[],MATCH(CONCATENATE(Liste!$C$3,$B$1697,$B$1727),Data!$BO:$BO,0)-2,15),IF(INDEX(Tab_DaBa[],MATCH(CONCATENATE(Liste!$C$3,$B$1697,$B$1727),Data!$BO:$BO,0)-2,48)&lt;&gt;"","Performance Level: "&amp;INDEX(Tab_DaBa[],MATCH(CONCATENATE(Liste!$C$3,$B$1697,$B$1727),Data!$BO:$BO,0)-2,55),"")),"")</f>
        <v/>
      </c>
      <c r="C1748" s="39"/>
      <c r="D1748" s="35" t="str">
        <f ca="1">IFERROR(IF(AND(INDEX(Tab_DaBa[],MATCH(CONCATENATE(Liste!$C$3,$B$1697,$B$1727),Data!$BO:$BO,0)-2,53)&lt;&gt;"",INDEX(Tab_DaBa[],MATCH(CONCATENATE(Liste!$C$3,$B$1697,$B$1727),Data!$BO:$BO,0)-2,58)=""),"Performance Level: "&amp;INDEX(Tab_DaBa[],MATCH(CONCATENATE(Liste!$C$3,$B$1697,$B$1727),Data!$BO:$BO,0)-2,15),IF(INDEX(Tab_DaBa[],MATCH(CONCATENATE(Liste!$C$3,$B$1697,$B$1727),Data!$BO:$BO,0)-2,53)&lt;&gt;"","Performance Level: "&amp;INDEX(Tab_DaBa[],MATCH(CONCATENATE(Liste!$C$3,$B$1697,$B$1727),Data!$BO:$BO,0)-2,60),"")),"")</f>
        <v/>
      </c>
      <c r="E1748" s="37"/>
      <c r="F1748" s="35" t="str">
        <f ca="1">IFERROR(IF(AND(INDEX(Tab_DaBa[],MATCH(CONCATENATE(Liste!$C$3,$B$1697,$B$1727),Data!$BO:$BO,0)-2,58)&lt;&gt;"",INDEX(Tab_DaBa[],MATCH(CONCATENATE(Liste!$C$3,$B$1697,$B$1727),Data!$BO:$BO,0)-2,63)=""),"Performance Level: "&amp;INDEX(Tab_DaBa[],MATCH(CONCATENATE(Liste!$C$3,$B$1697,$B$1727),Data!$BO:$BO,0)-2,15),IF(INDEX(Tab_DaBa[],MATCH(CONCATENATE(Liste!$C$3,$B$1697,$B$1727),Data!$BO:$BO,0)-2,58)&lt;&gt;"","Performance Level: "&amp;INDEX(Tab_DaBa[],MATCH(CONCATENATE(Liste!$C$3,$B$1697,$B$1727),Data!$BO:$BO,0)-2,65),"")),"")</f>
        <v/>
      </c>
      <c r="G1748" s="39"/>
      <c r="H1748" s="35" t="str">
        <f ca="1">IFERROR(IF(INDEX(Tab_DaBa[],MATCH(CONCATENATE(Liste!$C$3,$B$1697,$B$1727),Data!$BO:$BO,0)-2,63)&lt;&gt;"","Performance Level: "&amp;INDEX(Tab_DaBa[],MATCH(CONCATENATE(Liste!$C$3,$B$1697,$B$1727),Data!$BO:$BO,0)-2,15),""),"")</f>
        <v/>
      </c>
    </row>
    <row r="1749" spans="2:9" s="16" customFormat="1" ht="15.75">
      <c r="B1749" s="35" t="str">
        <f ca="1">IFERROR(IF(AND(INDEX(Tab_DaBa[],MATCH(CONCATENATE(Liste!$C$3,$B$1697,$B$1727),Data!$BO:$BO,0)-2,48)&lt;&gt;"",INDEX(Tab_DaBa[],MATCH(CONCATENATE(Liste!$C$3,$B$1697,$B$1727),Data!$BO:$BO,0)-2,53)=""),"PFH [1/h] = "&amp;10^9*INDEX(Tab_DaBa[],MATCH(CONCATENATE(Liste!$C$3,$B$1697,$B$1727),Data!$BO:$BO,0)-2,16)&amp;"E-9",IF(INDEX(Tab_DaBa[],MATCH(CONCATENATE(Liste!$C$3,$B$1697,$B$1727),Data!$BO:$BO,0)-2,48)&lt;&gt;"","PFH [1/h] = "&amp;10^9*INDEX(Tab_DaBa[],MATCH(CONCATENATE(Liste!$C$3,$B$1697,$B$1727),Data!$BO:$BO,0)-2,56)&amp;"E-9","")),"")</f>
        <v/>
      </c>
      <c r="C1749" s="39"/>
      <c r="D1749" s="35" t="str">
        <f ca="1">IFERROR(IF(AND(INDEX(Tab_DaBa[],MATCH(CONCATENATE(Liste!$C$3,$B$1697,$B$1727),Data!$BO:$BO,0)-2,53)&lt;&gt;"",INDEX(Tab_DaBa[],MATCH(CONCATENATE(Liste!$C$3,$B$1697,$B$1727),Data!$BO:$BO,0)-2,58)=""),"PFH [1/h] = "&amp;10^9*INDEX(Tab_DaBa[],MATCH(CONCATENATE(Liste!$C$3,$B$1697,$B$1727),Data!$BO:$BO,0)-2,16)&amp;"E-9",IF(INDEX(Tab_DaBa[],MATCH(CONCATENATE(Liste!$C$3,$B$1697,$B$1727),Data!$BO:$BO,0)-2,53)&lt;&gt;"","PFH [1/h] = "&amp;10^9*INDEX(Tab_DaBa[],MATCH(CONCATENATE(Liste!$C$3,$B$1697,$B$1727),Data!$BO:$BO,0)-2,61)&amp;"E-9","")),"")</f>
        <v/>
      </c>
      <c r="E1749" s="37"/>
      <c r="F1749" s="35" t="str">
        <f ca="1">IFERROR(IF(AND(INDEX(Tab_DaBa[],MATCH(CONCATENATE(Liste!$C$3,$B$1697,$B$1727),Data!$BO:$BO,0)-2,58)&lt;&gt;"",INDEX(Tab_DaBa[],MATCH(CONCATENATE(Liste!$C$3,$B$1697,$B$1727),Data!$BO:$BO,0)-2,63)=""),"PFH [1/h] = "&amp;10^9*INDEX(Tab_DaBa[],MATCH(CONCATENATE(Liste!$C$3,$B$1697,$B$1727),Data!$BO:$BO,0)-2,16)&amp;"E-9",IF(INDEX(Tab_DaBa[],MATCH(CONCATENATE(Liste!$C$3,$B$1697,$B$1727),Data!$BO:$BO,0)-2,58)&lt;&gt;"","PFH [1/h] = "&amp;10^9*INDEX(Tab_DaBa[],MATCH(CONCATENATE(Liste!$C$3,$B$1697,$B$1727),Data!$BO:$BO,0)-2,66)&amp;"E-9","")),"")</f>
        <v/>
      </c>
      <c r="G1749" s="39"/>
      <c r="H1749" s="35" t="str">
        <f ca="1">IFERROR(IF(INDEX(Tab_DaBa[],MATCH(CONCATENATE(Liste!$C$3,$B$1697,$B$1727),Data!$BO:$BO,0)-2,63)&lt;&gt;"","PFH [1/h] = "&amp;10^9*INDEX(Tab_DaBa[],MATCH(CONCATENATE(Liste!$C$3,$B$1697,$B$1727),Data!$BO:$BO,0)-2,16)&amp;"E-9",""),"")</f>
        <v/>
      </c>
    </row>
    <row r="1750" spans="2:9" s="16" customFormat="1"/>
    <row r="1751" spans="2:9" s="16" customFormat="1">
      <c r="B1751" s="43" t="str">
        <f ca="1">IF(D1751="","","Erforderlich")</f>
        <v>Erforderlich</v>
      </c>
      <c r="D1751" s="44" t="str">
        <f ca="1">IFERROR("Performance Level: "&amp;INDEX(Tab_DaBa[],MATCH(CONCATENATE(Liste!$C$3,$B$1697,$B$1727),Data!$BO:$BO,0)-2,4),"")</f>
        <v>Performance Level: PLr_ges4_2</v>
      </c>
    </row>
    <row r="1752" spans="2:9" s="16" customFormat="1">
      <c r="B1752" s="45"/>
    </row>
    <row r="1753" spans="2:9" s="16" customFormat="1">
      <c r="B1753" s="46" t="str">
        <f ca="1">IF(D1753="","","Erreicht")</f>
        <v>Erreicht</v>
      </c>
      <c r="D1753" s="47" t="str">
        <f ca="1">IFERROR("Performance Level: "&amp;INDEX(Tab_DaBa[],MATCH(CONCATENATE(Liste!$C$3,$B$1697,$B$1727),Data!$BO:$BO,0)-2,5)&amp;"          PFH [1/h] = "&amp;10^9*INDEX(Tab_DaBa[],MATCH(CONCATENATE(Liste!$C$3,$B$1697,$B$1727),Data!$BO:$BO,0)-2,6)&amp;"E-9","")</f>
        <v>Performance Level: Pl_ges4_2          PFH [1/h] = 71,7E-9</v>
      </c>
    </row>
    <row r="1754" spans="2:9" s="16" customFormat="1"/>
    <row r="1755" spans="2:9" s="16" customFormat="1">
      <c r="B1755" s="42" t="str">
        <f ca="1">IFERROR(IF(3&gt;COUNTIF(Data!$BP:$BP,CONCATENATE(Liste!$C$3,$B$1697)),"",INDEX(Tab_DaBa[],MATCH(CONCATENATE(Liste!$C$3,$B$1697),Data!$BP:$BP,0),3)),"")</f>
        <v>7.3 Test4 (E+3L+A)</v>
      </c>
    </row>
    <row r="1756" spans="2:9" s="16" customFormat="1"/>
    <row r="1757" spans="2:9" s="16" customFormat="1" ht="15.75">
      <c r="B1757" s="35" t="str">
        <f ca="1">IFERROR(INDEX(Tab_DaBa[],MATCH(CONCATENATE(Liste!$C$3,$B$1697,$B$1755),Data!$BO:$BO,0)-2,9),"")</f>
        <v>Eingang</v>
      </c>
      <c r="C1757" s="54"/>
      <c r="D1757" s="35" t="str">
        <f ca="1">IFERROR(IF(INDEX(Tab_DaBa[],MATCH(CONCATENATE(Liste!$C$3,$B$1697,$B$1755),Data!$BO:$BO,0)-2,18)=0,INDEX(Tab_DaBa[],MATCH(CONCATENATE(Liste!$C$3,$B$1697,$B$1755),Data!$BO:$BO,0)-2,14),INDEX(Tab_DaBa[],MATCH(CONCATENATE(Liste!$C$3,$B$1697,$B$1755),Data!$BO:$BO,0)-2,19)),"")</f>
        <v>Logik 01</v>
      </c>
      <c r="E1757" s="33"/>
      <c r="F1757" s="35" t="str">
        <f ca="1">IFERROR(IF(AND(INDEX(Tab_DaBa[],MATCH(CONCATENATE(Liste!$C$3,$B$1697,$B$1755),Data!$BO:$BO,0)-2,18)&lt;&gt;"",INDEX(Tab_DaBa[],MATCH(CONCATENATE(Liste!$C$3,$B$1697,$B$1755),Data!$BO:$BO,0)-2,23)=0),INDEX(Tab_DaBa[],MATCH(CONCATENATE(Liste!$C$3,$B$1697,$B$1755),Data!$BO:$BO,0)-2,14),IF(INDEX(Tab_DaBa[],MATCH(CONCATENATE(Liste!$C$3,$B$1697,$B$1755),Data!$BO:$BO,0)-2,23)&lt;&gt;"",INDEX(Tab_DaBa[],MATCH(CONCATENATE(Liste!$C$3,$B$1697,$B$1755),Data!$BO:$BO,0)-2,24),"")),"")</f>
        <v>Logik 02</v>
      </c>
      <c r="G1757" s="39"/>
      <c r="H1757" s="35" t="str">
        <f ca="1">IFERROR(IF(AND(INDEX(Tab_DaBa[],MATCH(CONCATENATE(Liste!$C$3,$B$1697,$B$1755),Data!$BO:$BO,0)-2,23)&lt;&gt;"",INDEX(Tab_DaBa[],MATCH(CONCATENATE(Liste!$C$3,$B$1697,$B$1755),Data!$BO:$BO,0)-2,28)=0),INDEX(Tab_DaBa[],MATCH(CONCATENATE(Liste!$C$3,$B$1697,$B$1755),Data!$BO:$BO,0)-2,14),IF(INDEX(Tab_DaBa[],MATCH(CONCATENATE(Liste!$C$3,$B$1697,$B$1755),Data!$BO:$BO,0)-2,23)&lt;&gt;"",INDEX(Tab_DaBa[],MATCH(CONCATENATE(Liste!$C$3,$B$1697,$B$1755),Data!$BO:$BO,0)-2,29),"")),"")</f>
        <v>Logik 03</v>
      </c>
      <c r="I1757" s="39"/>
    </row>
    <row r="1758" spans="2:9" s="16" customFormat="1" ht="15.75">
      <c r="B1758" s="35" t="str">
        <f ca="1">IFERROR(INDEX(Tab_DaBa[],MATCH(CONCATENATE(Liste!$C$3,$B$1697,$B$1755),Data!$BO:$BO,0)-2,7),"")</f>
        <v>eeee-33_3</v>
      </c>
      <c r="C1758" s="54"/>
      <c r="D1758" s="35" t="str">
        <f ca="1">IFERROR(IF(INDEX(Tab_DaBa[],MATCH(CONCATENATE(Liste!$C$3,$B$1697,$B$1755),Data!$BO:$BO,0)-2,18)="",INDEX(Tab_DaBa[],MATCH(CONCATENATE(Liste!$C$3,$B$1697,$B$1755),Data!$BO:$BO,0)-2,12),INDEX(Tab_DaBa[],MATCH(CONCATENATE(Liste!$C$3,$B$1697,$B$1755),Data!$BO:$BO,0)-2,17)),"")</f>
        <v>Log01-04_03</v>
      </c>
      <c r="E1758" s="36"/>
      <c r="F1758" s="35" t="str">
        <f ca="1">IFERROR(IF(AND(INDEX(Tab_DaBa[],MATCH(CONCATENATE(Liste!$C$3,$B$1697,$B$1755),Data!$BO:$BO,0)-2,18)&lt;&gt;"",INDEX(Tab_DaBa[],MATCH(CONCATENATE(Liste!$C$3,$B$1697,$B$1755),Data!$BO:$BO,0)-2,23)=0),INDEX(Tab_DaBa[],MATCH(CONCATENATE(Liste!$C$3,$B$1697,$B$1755),Data!$BO:$BO,0)-2,12),IF(INDEX(Tab_DaBa[],MATCH(CONCATENATE(Liste!$C$3,$B$1697,$B$1755),Data!$BO:$BO,0)-2,23)&lt;&gt;"",INDEX(Tab_DaBa[],MATCH(CONCATENATE(Liste!$C$3,$B$1697,$B$1755),Data!$BO:$BO,0)-2,22),"")),"")</f>
        <v>Lo04-04_03</v>
      </c>
      <c r="G1758" s="39"/>
      <c r="H1758" s="35" t="str">
        <f ca="1">IFERROR(IF(AND(INDEX(Tab_DaBa[],MATCH(CONCATENATE(Liste!$C$3,$B$1697,$B$1755),Data!$BO:$BO,0)-2,23)&lt;&gt;"",INDEX(Tab_DaBa[],MATCH(CONCATENATE(Liste!$C$3,$B$1697,$B$1755),Data!$BO:$BO,0)-2,28)=0),INDEX(Tab_DaBa[],MATCH(CONCATENATE(Liste!$C$3,$B$1697,$B$1755),Data!$BO:$BO,0)-2,12),IF(INDEX(Tab_DaBa[],MATCH(CONCATENATE(Liste!$C$3,$B$1697,$B$1755),Data!$BO:$BO,0)-2,23)&lt;&gt;"",INDEX(Tab_DaBa[],MATCH(CONCATENATE(Liste!$C$3,$B$1697,$B$1755),Data!$BO:$BO,0)-2,27),"")),"")</f>
        <v>Lo04-44_03</v>
      </c>
      <c r="I1758" s="39"/>
    </row>
    <row r="1759" spans="2:9" s="16" customFormat="1" ht="15.75">
      <c r="B1759" s="35" t="str">
        <f ca="1">IFERROR(INDEX(Tab_DaBa[],MATCH(CONCATENATE(Liste!$C$3,$B$1697,$B$1755),Data!$BO:$BO,0)-2,8),"")</f>
        <v>Bez_Ein4_3</v>
      </c>
      <c r="C1759" s="40">
        <f ca="1">IF(D1757="","",4)</f>
        <v>4</v>
      </c>
      <c r="D1759" s="35" t="str">
        <f ca="1">IFERROR(IF(INDEX(Tab_DaBa[],MATCH(CONCATENATE(Liste!$C$3,$B$1697,$B$1755),Data!$BO:$BO,0)-2,18)="",INDEX(Tab_DaBa[],MATCH(CONCATENATE(Liste!$C$3,$B$1697,$B$1755),Data!$BO:$BO,0)-2,13),INDEX(Tab_DaBa[],MATCH(CONCATENATE(Liste!$C$3,$B$1697,$B$1755),Data!$BO:$BO,0)-2,18)),"")</f>
        <v>Bez_Log01_04_03</v>
      </c>
      <c r="E1759" s="40">
        <f ca="1">IF(F1757="","",4)</f>
        <v>4</v>
      </c>
      <c r="F1759" s="35" t="str">
        <f ca="1">IFERROR(IF(AND(INDEX(Tab_DaBa[],MATCH(CONCATENATE(Liste!$C$3,$B$1697,$B$1755),Data!$BO:$BO,0)-2,18)&lt;&gt;"",INDEX(Tab_DaBa[],MATCH(CONCATENATE(Liste!$C$3,$B$1697,$B$1755),Data!$BO:$BO,0)-2,23)=""),INDEX(Tab_DaBa[],MATCH(CONCATENATE(Liste!$C$3,$B$1697,$B$1755),Data!$BO:$BO,0)-2,13),IF(INDEX(Tab_DaBa[],MATCH(CONCATENATE(Liste!$C$3,$B$1697,$B$1755),Data!$BO:$BO,0)-2,23)&lt;&gt;"",INDEX(Tab_DaBa[],MATCH(CONCATENATE(Liste!$C$3,$B$1697,$B$1755),Data!$BO:$BO,0)-2,23),"")),"")</f>
        <v>Bez_Lo04_03</v>
      </c>
      <c r="G1759" s="38">
        <f ca="1">IF(H1757="","",4)</f>
        <v>4</v>
      </c>
      <c r="H1759" s="35" t="str">
        <f ca="1">IFERROR(IF(AND(INDEX(Tab_DaBa[],MATCH(CONCATENATE(Liste!$C$3,$B$1697,$B$1755),Data!$BO:$BO,0)-2,23)&lt;&gt;"",INDEX(Tab_DaBa[],MATCH(CONCATENATE(Liste!$C$3,$B$1697,$B$1755),Data!$BO:$BO,0)-2,28)=""),INDEX(Tab_DaBa[],MATCH(CONCATENATE(Liste!$C$3,$B$1697,$B$1755),Data!$BO:$BO,0)-2,13),IF(INDEX(Tab_DaBa[],MATCH(CONCATENATE(Liste!$C$3,$B$1697,$B$1755),Data!$BO:$BO,0)-2,23)&lt;&gt;"",INDEX(Tab_DaBa[],MATCH(CONCATENATE(Liste!$C$3,$B$1697,$B$1755),Data!$BO:$BO,0)-2,28),"")),"")</f>
        <v>Bez_Lo04_03</v>
      </c>
      <c r="I1759" s="38">
        <f ca="1">IF(B1765="","",6)</f>
        <v>6</v>
      </c>
    </row>
    <row r="1760" spans="2:9" s="16" customFormat="1" ht="15.75">
      <c r="B1760" s="35" t="str">
        <f ca="1">IFERROR("Performance Level: "&amp;INDEX(Tab_DaBa[],MATCH(CONCATENATE(Liste!$C$3,$B$1697,$B$1755),Data!$BO:$BO,0)-2,10),"")</f>
        <v>Performance Level: PL_Ein4_3</v>
      </c>
      <c r="C1760" s="54"/>
      <c r="D1760" s="35" t="str">
        <f ca="1">IFERROR(IF(INDEX(Tab_DaBa[],MATCH(CONCATENATE(Liste!$C$3,$B$1697,$B$1755),Data!$BO:$BO,0)-2,18)="","Performance Level: "&amp;INDEX(Tab_DaBa[],MATCH(CONCATENATE(Liste!$C$3,$B$1697,$B$1755),Data!$BO:$BO,0)-2,15),"Performance Level: "&amp;INDEX(Tab_DaBa[],MATCH(CONCATENATE(Liste!$C$3,$B$1697,$B$1755),Data!$BO:$BO,0)-2,20)),"")</f>
        <v>Performance Level: PL_Log01_04_03</v>
      </c>
      <c r="E1760" s="36"/>
      <c r="F1760" s="35" t="str">
        <f ca="1">IFERROR(IF(AND(INDEX(Tab_DaBa[],MATCH(CONCATENATE(Liste!$C$3,$B$1697,$B$1755),Data!$BO:$BO,0)-2,18)&lt;&gt;"",INDEX(Tab_DaBa[],MATCH(CONCATENATE(Liste!$C$3,$B$1697,$B$1755),Data!$BO:$BO,0)-2,23)=""),"Performance Level: "&amp;INDEX(Tab_DaBa[],MATCH(CONCATENATE(Liste!$C$3,$B$1697,$B$1755),Data!$BO:$BO,0)-2,15),IF(INDEX(Tab_DaBa[],MATCH(CONCATENATE(Liste!$C$3,$B$1697,$B$1755),Data!$BO:$BO,0)-2,23)&lt;&gt;"","Performance Level: "&amp;INDEX(Tab_DaBa[],MATCH(CONCATENATE(Liste!$C$3,$B$1697,$B$1755),Data!$BO:$BO,0)-2,25),"")),"")</f>
        <v>Performance Level: PL_Lo04_03</v>
      </c>
      <c r="G1760" s="39"/>
      <c r="H1760" s="35" t="str">
        <f ca="1">IFERROR(IF(AND(INDEX(Tab_DaBa[],MATCH(CONCATENATE(Liste!$C$3,$B$1697,$B$1755),Data!$BO:$BO,0)-2,23)&lt;&gt;"",INDEX(Tab_DaBa[],MATCH(CONCATENATE(Liste!$C$3,$B$1697,$B$1755),Data!$BO:$BO,0)-2,28)=""),"Performance Level: "&amp;INDEX(Tab_DaBa[],MATCH(CONCATENATE(Liste!$C$3,$B$1697,$B$1755),Data!$BO:$BO,0)-2,15),IF(INDEX(Tab_DaBa[],MATCH(CONCATENATE(Liste!$C$3,$B$1697,$B$1755),Data!$BO:$BO,0)-2,23)&lt;&gt;"","Performance Level: "&amp;INDEX(Tab_DaBa[],MATCH(CONCATENATE(Liste!$C$3,$B$1697,$B$1755),Data!$BO:$BO,0)-2,30),"")),"")</f>
        <v>Performance Level: PL_Lo04_03</v>
      </c>
      <c r="I1760" s="38"/>
    </row>
    <row r="1761" spans="2:9" s="16" customFormat="1" ht="15.75">
      <c r="B1761" s="53" t="str">
        <f ca="1">IFERROR("PFH [1/h] = "&amp;10^9*INDEX(Tab_DaBa[],MATCH(CONCATENATE(Liste!$C$3,$B$1697,$B$1755),Data!$BO:$BO,0)-2,11)&amp;"E-9","")</f>
        <v>PFH [1/h] = 42,9E-9</v>
      </c>
      <c r="C1761" s="54"/>
      <c r="D1761" s="35" t="str">
        <f ca="1">IFERROR(IF(INDEX(Tab_DaBa[],MATCH(CONCATENATE(Liste!$C$3,$B$1697,$B$1755),Data!$BO:$BO,0)-2,18)="","PFH [1/h] = "&amp;10^9*INDEX(Tab_DaBa[],MATCH(CONCATENATE(Liste!$C$3,$B$1697,$B$1755),Data!$BO:$BO,0)-2,16)&amp;"E-9","PFH [1/h] = "&amp;10^9*INDEX(Tab_DaBa[],MATCH(CONCATENATE(Liste!$C$3,$B$1697,$B$1755),Data!$BO:$BO,0)-2,21)&amp;"E-9"),"")</f>
        <v>PFH [1/h] = 4,19E-9</v>
      </c>
      <c r="E1761" s="36"/>
      <c r="F1761" s="35" t="str">
        <f ca="1">IFERROR(IF(AND(INDEX(Tab_DaBa[],MATCH(CONCATENATE(Liste!$C$3,$B$1697,$B$1755),Data!$BO:$BO,0)-2,18)&lt;&gt;"",INDEX(Tab_DaBa[],MATCH(CONCATENATE(Liste!$C$3,$B$1697,$B$1755),Data!$BO:$BO,0)-2,23)=""),"PFH [1/h] = "&amp;10^9*INDEX(Tab_DaBa[],MATCH(CONCATENATE(Liste!$C$3,$B$1697,$B$1755),Data!$BO:$BO,0)-2,16)&amp;"E-9",IF(INDEX(Tab_DaBa[],MATCH(CONCATENATE(Liste!$C$3,$B$1697,$B$1755),Data!$BO:$BO,0)-2,23)&lt;&gt;"","PFH [1/h] = "&amp;10^9*INDEX(Tab_DaBa[],MATCH(CONCATENATE(Liste!$C$3,$B$1697,$B$1755),Data!$BO:$BO,0)-2,26)&amp;"E-9","")),"")</f>
        <v>PFH [1/h] = 4,19E-9</v>
      </c>
      <c r="G1761" s="39"/>
      <c r="H1761" s="35" t="str">
        <f ca="1">IFERROR(IF(AND(INDEX(Tab_DaBa[],MATCH(CONCATENATE(Liste!$C$3,$B$1697,$B$1755),Data!$BO:$BO,0)-2,23)&lt;&gt;"",INDEX(Tab_DaBa[],MATCH(CONCATENATE(Liste!$C$3,$B$1697,$B$1755),Data!$BO:$BO,0)-2,28)=""),"PFH [1/h] = "&amp;10^9*INDEX(Tab_DaBa[],MATCH(CONCATENATE(Liste!$C$3,$B$1697,$B$1755),Data!$BO:$BO,0)-2,16)&amp;"E-9",IF(INDEX(Tab_DaBa[],MATCH(CONCATENATE(Liste!$C$3,$B$1697,$B$1755),Data!$BO:$BO,0)-2,23)&lt;&gt;"","PFH [1/h] = "&amp;10^9*INDEX(Tab_DaBa[],MATCH(CONCATENATE(Liste!$C$3,$B$1697,$B$1755),Data!$BO:$BO,0)-2,31)&amp;"E-9","")),"")</f>
        <v>PFH [1/h] = 4,19E-9</v>
      </c>
      <c r="I1761" s="39"/>
    </row>
    <row r="1762" spans="2:9" s="16" customFormat="1">
      <c r="B1762" s="33"/>
      <c r="C1762" s="34"/>
      <c r="D1762" s="33"/>
      <c r="E1762" s="33"/>
      <c r="F1762" s="33"/>
      <c r="G1762" s="33"/>
      <c r="H1762" s="33"/>
      <c r="I1762" s="33"/>
    </row>
    <row r="1763" spans="2:9" s="16" customFormat="1" ht="15.75">
      <c r="B1763" s="38">
        <f ca="1">IF(B1765="","",6)</f>
        <v>6</v>
      </c>
      <c r="C1763" s="34"/>
      <c r="D1763" s="38">
        <f ca="1">IF(B1765="","",3)</f>
        <v>3</v>
      </c>
      <c r="E1763" s="33"/>
      <c r="F1763" s="38">
        <f ca="1">IF(B1765="","",3)</f>
        <v>3</v>
      </c>
      <c r="G1763" s="33"/>
      <c r="H1763" s="38">
        <f ca="1">IF(B1765="","",3)</f>
        <v>3</v>
      </c>
      <c r="I1763" s="33"/>
    </row>
    <row r="1764" spans="2:9" s="16" customFormat="1" ht="15.75">
      <c r="B1764" s="39"/>
      <c r="C1764" s="33"/>
      <c r="D1764" s="33"/>
      <c r="E1764" s="33"/>
      <c r="F1764" s="33"/>
      <c r="G1764" s="33"/>
      <c r="H1764" s="33"/>
      <c r="I1764" s="33"/>
    </row>
    <row r="1765" spans="2:9" s="16" customFormat="1" ht="15.75">
      <c r="B1765" s="35" t="str">
        <f ca="1">IFERROR(IF(AND(INDEX(Tab_DaBa[],MATCH(CONCATENATE(Liste!$C$3,$B$1697,$B$1755),Data!$BO:$BO,0)-2,28)&lt;&gt;"",INDEX(Tab_DaBa[],MATCH(CONCATENATE(Liste!$C$3,$B$1697,$B$1755),Data!$BO:$BO,0)-2,33)=0),INDEX(Tab_DaBa[],MATCH(CONCATENATE(Liste!$C$3,$B$1697,$B$1755),Data!$BO:$BO,0)-2,14),IF(INDEX(Tab_DaBa[],MATCH(CONCATENATE(Liste!$C$3,$B$1697,$B$1755),Data!$BO:$BO,0)-2,28)&lt;&gt;"",INDEX(Tab_DaBa[],MATCH(CONCATENATE(Liste!$C$3,$B$1697,$B$1755),Data!$BO:$BO,0)-2,34),"")),"")</f>
        <v>Ausgang</v>
      </c>
      <c r="C1765" s="39"/>
      <c r="D1765" s="35" t="str">
        <f ca="1">IFERROR(IF(AND(INDEX(Tab_DaBa[],MATCH(CONCATENATE(Liste!$C$3,$B$1697,$B$1755),Data!$BO:$BO,0)-2,33)&lt;&gt;"",INDEX(Tab_DaBa[],MATCH(CONCATENATE(Liste!$C$3,$B$1697,$B$1755),Data!$BO:$BO,0)-2,38)=0),INDEX(Tab_DaBa[],MATCH(CONCATENATE(Liste!$C$3,$B$1697,$B$1755),Data!$BO:$BO,0)-2,14),IF(INDEX(Tab_DaBa[],MATCH(CONCATENATE(Liste!$C$3,$B$1697,$B$1755),Data!$BO:$BO,0)-2,33)&lt;&gt;"",INDEX(Tab_DaBa[],MATCH(CONCATENATE(Liste!$C$3,$B$1697,$B$1755),Data!$BO:$BO,0)-2,39),"")),"")</f>
        <v/>
      </c>
      <c r="E1765" s="33"/>
      <c r="F1765" s="35" t="str">
        <f ca="1">IFERROR(IF(AND(INDEX(Tab_DaBa[],MATCH(CONCATENATE(Liste!$C$3,$B$1697,$B$1755),Data!$BO:$BO,0)-2,38)&lt;&gt;"",INDEX(Tab_DaBa[],MATCH(CONCATENATE(Liste!$C$3,$B$1697,$B$1755),Data!$BO:$BO,0)-2,43)=0),INDEX(Tab_DaBa[],MATCH(CONCATENATE(Liste!$C$3,$B$1697,$B$1755),Data!$BO:$BO,0)-2,14),IF(INDEX(Tab_DaBa[],MATCH(CONCATENATE(Liste!$C$3,$B$1697,$B$1755),Data!$BO:$BO,0)-2,38)&lt;&gt;"",INDEX(Tab_DaBa[],MATCH(CONCATENATE(Liste!$C$3,$B$1697,$B$1755),Data!$BO:$BO,0)-2,44),"")),"")</f>
        <v/>
      </c>
      <c r="G1765" s="39"/>
      <c r="H1765" s="35" t="str">
        <f ca="1">IFERROR(IF(AND(INDEX(Tab_DaBa[],MATCH(CONCATENATE(Liste!$C$3,$B$1697,$B$1755),Data!$BO:$BO,0)-2,43)&lt;&gt;"",INDEX(Tab_DaBa[],MATCH(CONCATENATE(Liste!$C$3,$B$1697,$B$1755),Data!$BO:$BO,0)-2,48)=0),INDEX(Tab_DaBa[],MATCH(CONCATENATE(Liste!$C$3,$B$1697,$B$1755),Data!$BO:$BO,0)-2,14),IF(INDEX(Tab_DaBa[],MATCH(CONCATENATE(Liste!$C$3,$B$1697,$B$1755),Data!$BO:$BO,0)-2,43)&lt;&gt;"",INDEX(Tab_DaBa[],MATCH(CONCATENATE(Liste!$C$3,$B$1697,$B$1755),Data!$BO:$BO,0)-2,49),"")),"")</f>
        <v/>
      </c>
      <c r="I1765" s="39"/>
    </row>
    <row r="1766" spans="2:9" s="16" customFormat="1" ht="15.75">
      <c r="B1766" s="35" t="str">
        <f ca="1">IFERROR(IF(AND(INDEX(Tab_DaBa[],MATCH(CONCATENATE(Liste!$C$3,$B$1697,$B$1755),Data!$BO:$BO,0)-2,28)&lt;&gt;"",INDEX(Tab_DaBa[],MATCH(CONCATENATE(Liste!$C$3,$B$1697,$B$1755),Data!$BO:$BO,0)-2,33)=0),INDEX(Tab_DaBa[],MATCH(CONCATENATE(Liste!$C$3,$B$1697,$B$1755),Data!$BO:$BO,0)-2,12),IF(INDEX(Tab_DaBa[],MATCH(CONCATENATE(Liste!$C$3,$B$1697,$B$1755),Data!$BO:$BO,0)-2,28)&lt;&gt;"",INDEX(Tab_DaBa[],MATCH(CONCATENATE(Liste!$C$3,$B$1697,$B$1755),Data!$BO:$BO,0)-2,32),"")),"")</f>
        <v>aaaa-44_3</v>
      </c>
      <c r="C1766" s="39"/>
      <c r="D1766" s="35" t="str">
        <f ca="1">IFERROR(IF(AND(INDEX(Tab_DaBa[],MATCH(CONCATENATE(Liste!$C$3,$B$1697,$B$1755),Data!$BO:$BO,0)-2,33)&lt;&gt;"",INDEX(Tab_DaBa[],MATCH(CONCATENATE(Liste!$C$3,$B$1697,$B$1755),Data!$BO:$BO,0)-2,38)=0),INDEX(Tab_DaBa[],MATCH(CONCATENATE(Liste!$C$3,$B$1697,$B$1755),Data!$BO:$BO,0)-2,12),IF(INDEX(Tab_DaBa[],MATCH(CONCATENATE(Liste!$C$3,$B$1697,$B$1755),Data!$BO:$BO,0)-2,33)&lt;&gt;"",INDEX(Tab_DaBa[],MATCH(CONCATENATE(Liste!$C$3,$B$1697,$B$1755),Data!$BO:$BO,0)-2,37),"")),"")</f>
        <v/>
      </c>
      <c r="E1766" s="37"/>
      <c r="F1766" s="35" t="str">
        <f ca="1">IFERROR(IF(AND(INDEX(Tab_DaBa[],MATCH(CONCATENATE(Liste!$C$3,$B$1697,$B$1755),Data!$BO:$BO,0)-2,38)&lt;&gt;"",INDEX(Tab_DaBa[],MATCH(CONCATENATE(Liste!$C$3,$B$1697,$B$1755),Data!$BO:$BO,0)-2,43)=0),INDEX(Tab_DaBa[],MATCH(CONCATENATE(Liste!$C$3,$B$1697,$B$1755),Data!$BO:$BO,0)-2,12),IF(INDEX(Tab_DaBa[],MATCH(CONCATENATE(Liste!$C$3,$B$1697,$B$1755),Data!$BO:$BO,0)-2,38)&lt;&gt;"",INDEX(Tab_DaBa[],MATCH(CONCATENATE(Liste!$C$3,$B$1697,$B$1755),Data!$BO:$BO,0)-2,42),"")),"")</f>
        <v/>
      </c>
      <c r="G1766" s="39"/>
      <c r="H1766" s="35" t="str">
        <f ca="1">IFERROR(IF(AND(INDEX(Tab_DaBa[],MATCH(CONCATENATE(Liste!$C$3,$B$1697,$B$1755),Data!$BO:$BO,0)-2,43)&lt;&gt;"",INDEX(Tab_DaBa[],MATCH(CONCATENATE(Liste!$C$3,$B$1697,$B$1755),Data!$BO:$BO,0)-2,48)=0),INDEX(Tab_DaBa[],MATCH(CONCATENATE(Liste!$C$3,$B$1697,$B$1755),Data!$BO:$BO,0)-2,12),IF(INDEX(Tab_DaBa[],MATCH(CONCATENATE(Liste!$C$3,$B$1697,$B$1755),Data!$BO:$BO,0)-2,43)&lt;&gt;"",INDEX(Tab_DaBa[],MATCH(CONCATENATE(Liste!$C$3,$B$1697,$B$1755),Data!$BO:$BO,0)-2,47),"")),"")</f>
        <v/>
      </c>
      <c r="I1766" s="39"/>
    </row>
    <row r="1767" spans="2:9" s="16" customFormat="1" ht="15.75">
      <c r="B1767" s="35" t="str">
        <f ca="1">IFERROR(IF(AND(INDEX(Tab_DaBa[],MATCH(CONCATENATE(Liste!$C$3,$B$1697,$B$1755),Data!$BO:$BO,0)-2,28)&lt;&gt;"",INDEX(Tab_DaBa[],MATCH(CONCATENATE(Liste!$C$3,$B$1697,$B$1755),Data!$BO:$BO,0)-2,33)=""),INDEX(Tab_DaBa[],MATCH(CONCATENATE(Liste!$C$3,$B$1697,$B$1755),Data!$BO:$BO,0)-2,13),IF(INDEX(Tab_DaBa[],MATCH(CONCATENATE(Liste!$C$3,$B$1697,$B$1755),Data!$BO:$BO,0)-2,28)&lt;&gt;"",INDEX(Tab_DaBa[],MATCH(CONCATENATE(Liste!$C$3,$B$1697,$B$1755),Data!$BO:$BO,0)-2,33),"")),"")</f>
        <v>Bez_Aus4_3</v>
      </c>
      <c r="C1767" s="38" t="str">
        <f ca="1">IF(D1765="","",4)</f>
        <v/>
      </c>
      <c r="D1767" s="35" t="str">
        <f ca="1">IFERROR(IF(AND(INDEX(Tab_DaBa[],MATCH(CONCATENATE(Liste!$C$3,$B$1697,$B$1755),Data!$BO:$BO,0)-2,33)&lt;&gt;"",INDEX(Tab_DaBa[],MATCH(CONCATENATE(Liste!$C$3,$B$1697,$B$1755),Data!$BO:$BO,0)-2,38)=""),INDEX(Tab_DaBa[],MATCH(CONCATENATE(Liste!$C$3,$B$1697,$B$1755),Data!$BO:$BO,0)-2,13),IF(INDEX(Tab_DaBa[],MATCH(CONCATENATE(Liste!$C$3,$B$1697,$B$1755),Data!$BO:$BO,0)-2,33)&lt;&gt;"",INDEX(Tab_DaBa[],MATCH(CONCATENATE(Liste!$C$3,$B$1697,$B$1755),Data!$BO:$BO,0)-2,38),"")),"")</f>
        <v/>
      </c>
      <c r="E1767" s="38" t="str">
        <f ca="1">IF(F1765="","",4)</f>
        <v/>
      </c>
      <c r="F1767" s="35" t="str">
        <f ca="1">IFERROR(IF(AND(INDEX(Tab_DaBa[],MATCH(CONCATENATE(Liste!$C$3,$B$1697,$B$1755),Data!$BO:$BO,0)-2,38)&lt;&gt;"",INDEX(Tab_DaBa[],MATCH(CONCATENATE(Liste!$C$3,$B$1697,$B$1755),Data!$BO:$BO,0)-2,43)=""),INDEX(Tab_DaBa[],MATCH(CONCATENATE(Liste!$C$3,$B$1697,$B$1755),Data!$BO:$BO,0)-2,13),IF(INDEX(Tab_DaBa[],MATCH(CONCATENATE(Liste!$C$3,$B$1697,$B$1755),Data!$BO:$BO,0)-2,38)&lt;&gt;"",INDEX(Tab_DaBa[],MATCH(CONCATENATE(Liste!$C$3,$B$1697,$B$1755),Data!$BO:$BO,0)-2,43),"")),"")</f>
        <v/>
      </c>
      <c r="G1767" s="38" t="str">
        <f ca="1">IF(H1765="","",4)</f>
        <v/>
      </c>
      <c r="H1767" s="35" t="str">
        <f ca="1">IFERROR(IF(AND(INDEX(Tab_DaBa[],MATCH(CONCATENATE(Liste!$C$3,$B$1697,$B$1755),Data!$BO:$BO,0)-2,43)&lt;&gt;"",INDEX(Tab_DaBa[],MATCH(CONCATENATE(Liste!$C$3,$B$1697,$B$1755),Data!$BO:$BO,0)-2,48)=""),INDEX(Tab_DaBa[],MATCH(CONCATENATE(Liste!$C$3,$B$1697,$B$1755),Data!$BO:$BO,0)-2,13),IF(INDEX(Tab_DaBa[],MATCH(CONCATENATE(Liste!$C$3,$B$1697,$B$1755),Data!$BO:$BO,0)-2,43)&lt;&gt;"",INDEX(Tab_DaBa[],MATCH(CONCATENATE(Liste!$C$3,$B$1697,$B$1755),Data!$BO:$BO,0)-2,48),"")),"")</f>
        <v/>
      </c>
      <c r="I1767" s="38" t="str">
        <f ca="1">IF(B1773="","",6)</f>
        <v/>
      </c>
    </row>
    <row r="1768" spans="2:9" s="16" customFormat="1" ht="15.75">
      <c r="B1768" s="35" t="str">
        <f ca="1">IFERROR(IF(AND(INDEX(Tab_DaBa[],MATCH(CONCATENATE(Liste!$C$3,$B$1697,$B$1755),Data!$BO:$BO,0)-2,28)&lt;&gt;"",INDEX(Tab_DaBa[],MATCH(CONCATENATE(Liste!$C$3,$B$1697,$B$1755),Data!$BO:$BO,0)-2,33)=""),"Performance Level: "&amp;INDEX(Tab_DaBa[],MATCH(CONCATENATE(Liste!$C$3,$B$1697,$B$1755),Data!$BO:$BO,0)-2,15),IF(INDEX(Tab_DaBa[],MATCH(CONCATENATE(Liste!$C$3,$B$1697,$B$1755),Data!$BO:$BO,0)-2,28)&lt;&gt;"","Performance Level: "&amp;INDEX(Tab_DaBa[],MATCH(CONCATENATE(Liste!$C$3,$B$1697,$B$1755),Data!$BO:$BO,0)-2,35),"")),"")</f>
        <v>Performance Level: PL_Aus4_3</v>
      </c>
      <c r="C1768" s="39"/>
      <c r="D1768" s="35" t="str">
        <f ca="1">IFERROR(IF(AND(INDEX(Tab_DaBa[],MATCH(CONCATENATE(Liste!$C$3,$B$1697,$B$1755),Data!$BO:$BO,0)-2,33)&lt;&gt;"",INDEX(Tab_DaBa[],MATCH(CONCATENATE(Liste!$C$3,$B$1697,$B$1755),Data!$BO:$BO,0)-2,38)=""),"Performance Level: "&amp;INDEX(Tab_DaBa[],MATCH(CONCATENATE(Liste!$C$3,$B$1697,$B$1755),Data!$BO:$BO,0)-2,15),IF(INDEX(Tab_DaBa[],MATCH(CONCATENATE(Liste!$C$3,$B$1697,$B$1755),Data!$BO:$BO,0)-2,33)&lt;&gt;"","Performance Level: "&amp;INDEX(Tab_DaBa[],MATCH(CONCATENATE(Liste!$C$3,$B$1697,$B$1755),Data!$BO:$BO,0)-2,40),"")),"")</f>
        <v/>
      </c>
      <c r="E1768" s="37"/>
      <c r="F1768" s="35" t="str">
        <f ca="1">IFERROR(IF(AND(INDEX(Tab_DaBa[],MATCH(CONCATENATE(Liste!$C$3,$B$1697,$B$1755),Data!$BO:$BO,0)-2,38)&lt;&gt;"",INDEX(Tab_DaBa[],MATCH(CONCATENATE(Liste!$C$3,$B$1697,$B$1755),Data!$BO:$BO,0)-2,43)=""),"Performance Level: "&amp;INDEX(Tab_DaBa[],MATCH(CONCATENATE(Liste!$C$3,$B$1697,$B$1755),Data!$BO:$BO,0)-2,15),IF(INDEX(Tab_DaBa[],MATCH(CONCATENATE(Liste!$C$3,$B$1697,$B$1755),Data!$BO:$BO,0)-2,38)&lt;&gt;"","Performance Level: "&amp;INDEX(Tab_DaBa[],MATCH(CONCATENATE(Liste!$C$3,$B$1697,$B$1755),Data!$BO:$BO,0)-2,45),"")),"")</f>
        <v/>
      </c>
      <c r="G1768" s="39"/>
      <c r="H1768" s="35" t="str">
        <f ca="1">IFERROR(IF(AND(INDEX(Tab_DaBa[],MATCH(CONCATENATE(Liste!$C$3,$B$1697,$B$1755),Data!$BO:$BO,0)-2,43)&lt;&gt;"",INDEX(Tab_DaBa[],MATCH(CONCATENATE(Liste!$C$3,$B$1697,$B$1755),Data!$BO:$BO,0)-2,48)=""),"Performance Level: "&amp;INDEX(Tab_DaBa[],MATCH(CONCATENATE(Liste!$C$3,$B$1697,$B$1755),Data!$BO:$BO,0)-2,15),IF(INDEX(Tab_DaBa[],MATCH(CONCATENATE(Liste!$C$3,$B$1697,$B$1755),Data!$BO:$BO,0)-2,43)&lt;&gt;"","Performance Level: "&amp;INDEX(Tab_DaBa[],MATCH(CONCATENATE(Liste!$C$3,$B$1697,$B$1755),Data!$BO:$BO,0)-2,50),"")),"")</f>
        <v/>
      </c>
      <c r="I1768" s="39"/>
    </row>
    <row r="1769" spans="2:9" s="16" customFormat="1" ht="15.75">
      <c r="B1769" s="35" t="str">
        <f ca="1">IFERROR(IF(AND(INDEX(Tab_DaBa[],MATCH(CONCATENATE(Liste!$C$3,$B$1697,$B$1755),Data!$BO:$BO,0)-2,28)&lt;&gt;"",INDEX(Tab_DaBa[],MATCH(CONCATENATE(Liste!$C$3,$B$1697,$B$1755),Data!$BO:$BO,0)-2,33)=""),"PFH [1/h] = "&amp;10^9*INDEX(Tab_DaBa[],MATCH(CONCATENATE(Liste!$C$3,$B$1697,$B$1755),Data!$BO:$BO,0)-2,16)&amp;"E-9",IF(INDEX(Tab_DaBa[],MATCH(CONCATENATE(Liste!$C$3,$B$1697,$B$1755),Data!$BO:$BO,0)-2,28)&lt;&gt;"","PFH [1/h] = "&amp;10^9*INDEX(Tab_DaBa[],MATCH(CONCATENATE(Liste!$C$3,$B$1697,$B$1755),Data!$BO:$BO,0)-2,36)&amp;"E-9","")),"")</f>
        <v>PFH [1/h] = 24,7E-9</v>
      </c>
      <c r="C1769" s="39"/>
      <c r="D1769" s="35" t="str">
        <f ca="1">IFERROR(IF(AND(INDEX(Tab_DaBa[],MATCH(CONCATENATE(Liste!$C$3,$B$1697,$B$1755),Data!$BO:$BO,0)-2,33)&lt;&gt;"",INDEX(Tab_DaBa[],MATCH(CONCATENATE(Liste!$C$3,$B$1697,$B$1755),Data!$BO:$BO,0)-2,38)=""),"PFH [1/h] = "&amp;10^9*INDEX(Tab_DaBa[],MATCH(CONCATENATE(Liste!$C$3,$B$1697,$B$1755),Data!$BO:$BO,0)-2,16)&amp;"E-9",IF(INDEX(Tab_DaBa[],MATCH(CONCATENATE(Liste!$C$3,$B$1697,$B$1755),Data!$BO:$BO,0)-2,33)&lt;&gt;"","PFH [1/h] = "&amp;10^9*INDEX(Tab_DaBa[],MATCH(CONCATENATE(Liste!$C$3,$B$1697,$B$1755),Data!$BO:$BO,0)-2,41)&amp;"E-9","")),"")</f>
        <v/>
      </c>
      <c r="E1769" s="37"/>
      <c r="F1769" s="35" t="str">
        <f ca="1">IFERROR(IF(AND(INDEX(Tab_DaBa[],MATCH(CONCATENATE(Liste!$C$3,$B$1697,$B$1755),Data!$BO:$BO,0)-2,38)&lt;&gt;"",INDEX(Tab_DaBa[],MATCH(CONCATENATE(Liste!$C$3,$B$1697,$B$1755),Data!$BO:$BO,0)-2,43)=""),"PFH [1/h] = "&amp;10^9*INDEX(Tab_DaBa[],MATCH(CONCATENATE(Liste!$C$3,$B$1697,$B$1755),Data!$BO:$BO,0)-2,16)&amp;"E-9",IF(INDEX(Tab_DaBa[],MATCH(CONCATENATE(Liste!$C$3,$B$1697,$B$1755),Data!$BO:$BO,0)-2,38)&lt;&gt;"","PFH [1/h] = "&amp;10^9*INDEX(Tab_DaBa[],MATCH(CONCATENATE(Liste!$C$3,$B$1697,$B$1755),Data!$BO:$BO,0)-2,46)&amp;"E-9","")),"")</f>
        <v/>
      </c>
      <c r="G1769" s="39"/>
      <c r="H1769" s="35" t="str">
        <f ca="1">IFERROR(IF(AND(INDEX(Tab_DaBa[],MATCH(CONCATENATE(Liste!$C$3,$B$1697,$B$1755),Data!$BO:$BO,0)-2,43)&lt;&gt;"",INDEX(Tab_DaBa[],MATCH(CONCATENATE(Liste!$C$3,$B$1697,$B$1755),Data!$BO:$BO,0)-2,48)=""),"PFH [1/h] = "&amp;10^9*INDEX(Tab_DaBa[],MATCH(CONCATENATE(Liste!$C$3,$B$1697,$B$1755),Data!$BO:$BO,0)-2,16)&amp;"E-9",IF(INDEX(Tab_DaBa[],MATCH(CONCATENATE(Liste!$C$3,$B$1697,$B$1755),Data!$BO:$BO,0)-2,43)&lt;&gt;"","PFH [1/h] = "&amp;10^9*INDEX(Tab_DaBa[],MATCH(CONCATENATE(Liste!$C$3,$B$1697,$B$1755),Data!$BO:$BO,0)-2,51)&amp;"E-9","")),"")</f>
        <v/>
      </c>
      <c r="I1769" s="39"/>
    </row>
    <row r="1770" spans="2:9" s="16" customFormat="1">
      <c r="B1770" s="33"/>
      <c r="C1770" s="33"/>
      <c r="D1770" s="33"/>
      <c r="E1770" s="33"/>
      <c r="F1770" s="33"/>
      <c r="G1770" s="33"/>
      <c r="H1770" s="33"/>
      <c r="I1770" s="33"/>
    </row>
    <row r="1771" spans="2:9" s="16" customFormat="1" ht="15.75">
      <c r="B1771" s="38" t="str">
        <f ca="1">IF(B1773="","",6)</f>
        <v/>
      </c>
      <c r="C1771" s="33"/>
      <c r="D1771" s="38" t="str">
        <f ca="1">IF(B1773="","",3)</f>
        <v/>
      </c>
      <c r="E1771" s="33"/>
      <c r="F1771" s="38" t="str">
        <f ca="1">IF(B1773="","",3)</f>
        <v/>
      </c>
      <c r="G1771" s="33"/>
      <c r="H1771" s="38" t="str">
        <f ca="1">IF(B1773="","",3)</f>
        <v/>
      </c>
      <c r="I1771" s="33"/>
    </row>
    <row r="1772" spans="2:9" s="16" customFormat="1" ht="15.75">
      <c r="B1772" s="39"/>
      <c r="C1772" s="33"/>
      <c r="D1772" s="33"/>
      <c r="E1772" s="33"/>
      <c r="F1772" s="33"/>
      <c r="G1772" s="33"/>
      <c r="H1772" s="33"/>
      <c r="I1772" s="33"/>
    </row>
    <row r="1773" spans="2:9" s="16" customFormat="1" ht="15.75">
      <c r="B1773" s="35" t="str">
        <f ca="1">IFERROR(IF(AND(INDEX(Tab_DaBa[],MATCH(CONCATENATE(Liste!$C$3,$B$1697,$B$1755),Data!$BO:$BO,0)-2,48)&lt;&gt;"",INDEX(Tab_DaBa[],MATCH(CONCATENATE(Liste!$C$3,$B$1697,$B$1755),Data!$BO:$BO,0)-2,53)=0),INDEX(Tab_DaBa[],MATCH(CONCATENATE(Liste!$C$3,$B$1697,$B$1755),Data!$BO:$BO,0)-2,14),IF(INDEX(Tab_DaBa[],MATCH(CONCATENATE(Liste!$C$3,$B$1697,$B$1755),Data!$BO:$BO,0)-2,48)&lt;&gt;"",INDEX(Tab_DaBa[],MATCH(CONCATENATE(Liste!$C$3,$B$1697,$B$1755),Data!$BO:$BO,0)-2,54),"")),"")</f>
        <v/>
      </c>
      <c r="C1773" s="39"/>
      <c r="D1773" s="35" t="str">
        <f ca="1">IFERROR(IF(AND(INDEX(Tab_DaBa[],MATCH(CONCATENATE(Liste!$C$3,$B$1697,$B$1755),Data!$BO:$BO,0)-2,53)&lt;&gt;"",INDEX(Tab_DaBa[],MATCH(CONCATENATE(Liste!$C$3,$B$1697,$B$1755),Data!$BO:$BO,0)-2,58)=0),INDEX(Tab_DaBa[],MATCH(CONCATENATE(Liste!$C$3,$B$1697,$B$1755),Data!$BO:$BO,0)-2,14),IF(INDEX(Tab_DaBa[],MATCH(CONCATENATE(Liste!$C$3,$B$1697,$B$1755),Data!$BO:$BO,0)-2,53)&lt;&gt;"",INDEX(Tab_DaBa[],MATCH(CONCATENATE(Liste!$C$3,$B$1697,$B$1755),Data!$BO:$BO,0)-2,59),"")),"")</f>
        <v/>
      </c>
      <c r="E1773" s="33"/>
      <c r="F1773" s="35" t="str">
        <f ca="1">IFERROR(IF(AND(INDEX(Tab_DaBa[],MATCH(CONCATENATE(Liste!$C$3,$B$1697,$B$1755),Data!$BO:$BO,0)-2,58)&lt;&gt;"",INDEX(Tab_DaBa[],MATCH(CONCATENATE(Liste!$C$3,$B$1697,$B$1755),Data!$BO:$BO,0)-2,63)=0),INDEX(Tab_DaBa[],MATCH(CONCATENATE(Liste!$C$3,$B$1697,$B$1755),Data!$BO:$BO,0)-2,14),IF(INDEX(Tab_DaBa[],MATCH(CONCATENATE(Liste!$C$3,$B$1697,$B$1755),Data!$BO:$BO,0)-2,58)&lt;&gt;"",INDEX(Tab_DaBa[],MATCH(CONCATENATE(Liste!$C$3,$B$1697,$B$1755),Data!$BO:$BO,0)-2,64),"")),"")</f>
        <v/>
      </c>
      <c r="G1773" s="39"/>
      <c r="H1773" s="35" t="str">
        <f ca="1">IFERROR(IF(INDEX(Tab_DaBa[],MATCH(CONCATENATE(Liste!$C$3,$B$1697,$B$1755),Data!$BO:$BO,0)-2,63)&lt;&gt;"",INDEX(Tab_DaBa[],MATCH(CONCATENATE(Liste!$C$3,$B$1697,$B$1755),Data!$BO:$BO,0)-2,14),""),"")</f>
        <v/>
      </c>
    </row>
    <row r="1774" spans="2:9" s="16" customFormat="1" ht="15.75">
      <c r="B1774" s="35" t="str">
        <f ca="1">IFERROR(IF(AND(INDEX(Tab_DaBa[],MATCH(CONCATENATE(Liste!$C$3,$B$1697,$B$1755),Data!$BO:$BO,0)-2,48)&lt;&gt;"",INDEX(Tab_DaBa[],MATCH(CONCATENATE(Liste!$C$3,$B$1697,$B$1755),Data!$BO:$BO,0)-2,53)=0),INDEX(Tab_DaBa[],MATCH(CONCATENATE(Liste!$C$3,$B$1697,$B$1755),Data!$BO:$BO,0)-2,12),IF(INDEX(Tab_DaBa[],MATCH(CONCATENATE(Liste!$C$3,$B$1697,$B$1755),Data!$BO:$BO,0)-2,48)&lt;&gt;"",INDEX(Tab_DaBa[],MATCH(CONCATENATE(Liste!$C$3,$B$1697,$B$1755),Data!$BO:$BO,0)-2,52),"")),"")</f>
        <v/>
      </c>
      <c r="C1774" s="39"/>
      <c r="D1774" s="35" t="str">
        <f ca="1">IFERROR(IF(AND(INDEX(Tab_DaBa[],MATCH(CONCATENATE(Liste!$C$3,$B$1697,$B$1755),Data!$BO:$BO,0)-2,53)&lt;&gt;"",INDEX(Tab_DaBa[],MATCH(CONCATENATE(Liste!$C$3,$B$1697,$B$1755),Data!$BO:$BO,0)-2,58)=0),INDEX(Tab_DaBa[],MATCH(CONCATENATE(Liste!$C$3,$B$1697,$B$1755),Data!$BO:$BO,0)-2,12),IF(INDEX(Tab_DaBa[],MATCH(CONCATENATE(Liste!$C$3,$B$1697,$B$1755),Data!$BO:$BO,0)-2,53)&lt;&gt;"",INDEX(Tab_DaBa[],MATCH(CONCATENATE(Liste!$C$3,$B$1697,$B$1755),Data!$BO:$BO,0)-2,57),"")),"")</f>
        <v/>
      </c>
      <c r="E1774" s="37"/>
      <c r="F1774" s="35" t="str">
        <f ca="1">IFERROR(IF(AND(INDEX(Tab_DaBa[],MATCH(CONCATENATE(Liste!$C$3,$B$1697,$B$1755),Data!$BO:$BO,0)-2,58)&lt;&gt;"",INDEX(Tab_DaBa[],MATCH(CONCATENATE(Liste!$C$3,$B$1697,$B$1755),Data!$BO:$BO,0)-2,63)=0),INDEX(Tab_DaBa[],MATCH(CONCATENATE(Liste!$C$3,$B$1697,$B$1755),Data!$BO:$BO,0)-2,12),IF(INDEX(Tab_DaBa[],MATCH(CONCATENATE(Liste!$C$3,$B$1697,$B$1755),Data!$BO:$BO,0)-2,58)&lt;&gt;"",INDEX(Tab_DaBa[],MATCH(CONCATENATE(Liste!$C$3,$B$1697,$B$1755),Data!$BO:$BO,0)-2,62),"")),"")</f>
        <v/>
      </c>
      <c r="G1774" s="39"/>
      <c r="H1774" s="35" t="str">
        <f ca="1">IFERROR(IF(INDEX(Tab_DaBa[],MATCH(CONCATENATE(Liste!$C$3,$B$1697,$B$1755),Data!$BO:$BO,0)-2,63)&lt;&gt;"",INDEX(Tab_DaBa[],MATCH(CONCATENATE(Liste!$C$3,$B$1697,$B$1755),Data!$BO:$BO,0)-2,12),""),"")</f>
        <v/>
      </c>
    </row>
    <row r="1775" spans="2:9" s="16" customFormat="1" ht="15.75">
      <c r="B1775" s="35" t="str">
        <f ca="1">IFERROR(IF(AND(INDEX(Tab_DaBa[],MATCH(CONCATENATE(Liste!$C$3,$B$1697,$B$1755),Data!$BO:$BO,0)-2,48)&lt;&gt;"",INDEX(Tab_DaBa[],MATCH(CONCATENATE(Liste!$C$3,$B$1697,$B$1755),Data!$BO:$BO,0)-2,53)=""),INDEX(Tab_DaBa[],MATCH(CONCATENATE(Liste!$C$3,$B$1697,$B$1755),Data!$BO:$BO,0)-2,13),IF(INDEX(Tab_DaBa[],MATCH(CONCATENATE(Liste!$C$3,$B$1697,$B$1755),Data!$BO:$BO,0)-2,48)&lt;&gt;"",INDEX(Tab_DaBa[],MATCH(CONCATENATE(Liste!$C$3,$B$1697,$B$1755),Data!$BO:$BO,0)-2,53),"")),"")</f>
        <v/>
      </c>
      <c r="C1775" s="38" t="str">
        <f ca="1">IF(D1773="","",4)</f>
        <v/>
      </c>
      <c r="D1775" s="35" t="str">
        <f ca="1">IFERROR(IF(AND(INDEX(Tab_DaBa[],MATCH(CONCATENATE(Liste!$C$3,$B$1697,$B$1755),Data!$BO:$BO,0)-2,53)&lt;&gt;"",INDEX(Tab_DaBa[],MATCH(CONCATENATE(Liste!$C$3,$B$1697,$B$1755),Data!$BO:$BO,0)-2,58)=""),INDEX(Tab_DaBa[],MATCH(CONCATENATE(Liste!$C$3,$B$1697,$B$1755),Data!$BO:$BO,0)-2,13),IF(INDEX(Tab_DaBa[],MATCH(CONCATENATE(Liste!$C$3,$B$1697,$B$1755),Data!$BO:$BO,0)-2,53)&lt;&gt;"",INDEX(Tab_DaBa[],MATCH(CONCATENATE(Liste!$C$3,$B$1697,$B$1755),Data!$BO:$BO,0)-2,58),"")),"")</f>
        <v/>
      </c>
      <c r="E1775" s="38" t="str">
        <f ca="1">IF(F1773="","",4)</f>
        <v/>
      </c>
      <c r="F1775" s="35" t="str">
        <f ca="1">IFERROR(IF(AND(INDEX(Tab_DaBa[],MATCH(CONCATENATE(Liste!$C$3,$B$1697,$B$1755),Data!$BO:$BO,0)-2,58)&lt;&gt;"",INDEX(Tab_DaBa[],MATCH(CONCATENATE(Liste!$C$3,$B$1697,$B$1755),Data!$BO:$BO,0)-2,63)=""),INDEX(Tab_DaBa[],MATCH(CONCATENATE(Liste!$C$3,$B$1697,$B$1755),Data!$BO:$BO,0)-2,13),IF(INDEX(Tab_DaBa[],MATCH(CONCATENATE(Liste!$C$3,$B$1697,$B$1755),Data!$BO:$BO,0)-2,58)&lt;&gt;"",INDEX(Tab_DaBa[],MATCH(CONCATENATE(Liste!$C$3,$B$1697,$B$1755),Data!$BO:$BO,0)-2,63),"")),"")</f>
        <v/>
      </c>
      <c r="G1775" s="38" t="str">
        <f ca="1">IF(H1773="","",4)</f>
        <v/>
      </c>
      <c r="H1775" s="35" t="str">
        <f ca="1">IFERROR(IF(INDEX(Tab_DaBa[],MATCH(CONCATENATE(Liste!$C$3,$B$1697,$B$1755),Data!$BO:$BO,0)-2,63)&lt;&gt;"",INDEX(Tab_DaBa[],MATCH(CONCATENATE(Liste!$C$3,$B$1697,$B$1755),Data!$BO:$BO,0)-2,13),""),"")</f>
        <v/>
      </c>
    </row>
    <row r="1776" spans="2:9" s="16" customFormat="1" ht="15.75">
      <c r="B1776" s="35" t="str">
        <f ca="1">IFERROR(IF(AND(INDEX(Tab_DaBa[],MATCH(CONCATENATE(Liste!$C$3,$B$1697,$B$1755),Data!$BO:$BO,0)-2,48)&lt;&gt;"",INDEX(Tab_DaBa[],MATCH(CONCATENATE(Liste!$C$3,$B$1697,$B$1755),Data!$BO:$BO,0)-2,53)=""),"Performance Level: "&amp;INDEX(Tab_DaBa[],MATCH(CONCATENATE(Liste!$C$3,$B$1697,$B$1755),Data!$BO:$BO,0)-2,15),IF(INDEX(Tab_DaBa[],MATCH(CONCATENATE(Liste!$C$3,$B$1697,$B$1755),Data!$BO:$BO,0)-2,48)&lt;&gt;"","Performance Level: "&amp;INDEX(Tab_DaBa[],MATCH(CONCATENATE(Liste!$C$3,$B$1697,$B$1755),Data!$BO:$BO,0)-2,55),"")),"")</f>
        <v/>
      </c>
      <c r="C1776" s="39"/>
      <c r="D1776" s="35" t="str">
        <f ca="1">IFERROR(IF(AND(INDEX(Tab_DaBa[],MATCH(CONCATENATE(Liste!$C$3,$B$1697,$B$1755),Data!$BO:$BO,0)-2,53)&lt;&gt;"",INDEX(Tab_DaBa[],MATCH(CONCATENATE(Liste!$C$3,$B$1697,$B$1755),Data!$BO:$BO,0)-2,58)=""),"Performance Level: "&amp;INDEX(Tab_DaBa[],MATCH(CONCATENATE(Liste!$C$3,$B$1697,$B$1755),Data!$BO:$BO,0)-2,15),IF(INDEX(Tab_DaBa[],MATCH(CONCATENATE(Liste!$C$3,$B$1697,$B$1755),Data!$BO:$BO,0)-2,53)&lt;&gt;"","Performance Level: "&amp;INDEX(Tab_DaBa[],MATCH(CONCATENATE(Liste!$C$3,$B$1697,$B$1755),Data!$BO:$BO,0)-2,60),"")),"")</f>
        <v/>
      </c>
      <c r="E1776" s="37"/>
      <c r="F1776" s="35" t="str">
        <f ca="1">IFERROR(IF(AND(INDEX(Tab_DaBa[],MATCH(CONCATENATE(Liste!$C$3,$B$1697,$B$1755),Data!$BO:$BO,0)-2,58)&lt;&gt;"",INDEX(Tab_DaBa[],MATCH(CONCATENATE(Liste!$C$3,$B$1697,$B$1755),Data!$BO:$BO,0)-2,63)=""),"Performance Level: "&amp;INDEX(Tab_DaBa[],MATCH(CONCATENATE(Liste!$C$3,$B$1697,$B$1755),Data!$BO:$BO,0)-2,15),IF(INDEX(Tab_DaBa[],MATCH(CONCATENATE(Liste!$C$3,$B$1697,$B$1755),Data!$BO:$BO,0)-2,58)&lt;&gt;"","Performance Level: "&amp;INDEX(Tab_DaBa[],MATCH(CONCATENATE(Liste!$C$3,$B$1697,$B$1755),Data!$BO:$BO,0)-2,65),"")),"")</f>
        <v/>
      </c>
      <c r="G1776" s="39"/>
      <c r="H1776" s="35" t="str">
        <f ca="1">IFERROR(IF(INDEX(Tab_DaBa[],MATCH(CONCATENATE(Liste!$C$3,$B$1697,$B$1755),Data!$BO:$BO,0)-2,63)&lt;&gt;"","Performance Level: "&amp;INDEX(Tab_DaBa[],MATCH(CONCATENATE(Liste!$C$3,$B$1697,$B$1755),Data!$BO:$BO,0)-2,15),""),"")</f>
        <v/>
      </c>
    </row>
    <row r="1777" spans="2:9" s="16" customFormat="1" ht="15.75">
      <c r="B1777" s="35" t="str">
        <f ca="1">IFERROR(IF(AND(INDEX(Tab_DaBa[],MATCH(CONCATENATE(Liste!$C$3,$B$1697,$B$1755),Data!$BO:$BO,0)-2,48)&lt;&gt;"",INDEX(Tab_DaBa[],MATCH(CONCATENATE(Liste!$C$3,$B$1697,$B$1755),Data!$BO:$BO,0)-2,53)=""),"PFH [1/h] = "&amp;10^9*INDEX(Tab_DaBa[],MATCH(CONCATENATE(Liste!$C$3,$B$1697,$B$1755),Data!$BO:$BO,0)-2,16)&amp;"E-9",IF(INDEX(Tab_DaBa[],MATCH(CONCATENATE(Liste!$C$3,$B$1697,$B$1755),Data!$BO:$BO,0)-2,48)&lt;&gt;"","PFH [1/h] = "&amp;10^9*INDEX(Tab_DaBa[],MATCH(CONCATENATE(Liste!$C$3,$B$1697,$B$1755),Data!$BO:$BO,0)-2,56)&amp;"E-9","")),"")</f>
        <v/>
      </c>
      <c r="C1777" s="39"/>
      <c r="D1777" s="35" t="str">
        <f ca="1">IFERROR(IF(AND(INDEX(Tab_DaBa[],MATCH(CONCATENATE(Liste!$C$3,$B$1697,$B$1755),Data!$BO:$BO,0)-2,53)&lt;&gt;"",INDEX(Tab_DaBa[],MATCH(CONCATENATE(Liste!$C$3,$B$1697,$B$1755),Data!$BO:$BO,0)-2,58)=""),"PFH [1/h] = "&amp;10^9*INDEX(Tab_DaBa[],MATCH(CONCATENATE(Liste!$C$3,$B$1697,$B$1755),Data!$BO:$BO,0)-2,16)&amp;"E-9",IF(INDEX(Tab_DaBa[],MATCH(CONCATENATE(Liste!$C$3,$B$1697,$B$1755),Data!$BO:$BO,0)-2,53)&lt;&gt;"","PFH [1/h] = "&amp;10^9*INDEX(Tab_DaBa[],MATCH(CONCATENATE(Liste!$C$3,$B$1697,$B$1755),Data!$BO:$BO,0)-2,61)&amp;"E-9","")),"")</f>
        <v/>
      </c>
      <c r="E1777" s="37"/>
      <c r="F1777" s="35" t="str">
        <f ca="1">IFERROR(IF(AND(INDEX(Tab_DaBa[],MATCH(CONCATENATE(Liste!$C$3,$B$1697,$B$1755),Data!$BO:$BO,0)-2,58)&lt;&gt;"",INDEX(Tab_DaBa[],MATCH(CONCATENATE(Liste!$C$3,$B$1697,$B$1755),Data!$BO:$BO,0)-2,63)=""),"PFH [1/h] = "&amp;10^9*INDEX(Tab_DaBa[],MATCH(CONCATENATE(Liste!$C$3,$B$1697,$B$1755),Data!$BO:$BO,0)-2,16)&amp;"E-9",IF(INDEX(Tab_DaBa[],MATCH(CONCATENATE(Liste!$C$3,$B$1697,$B$1755),Data!$BO:$BO,0)-2,58)&lt;&gt;"","PFH [1/h] = "&amp;10^9*INDEX(Tab_DaBa[],MATCH(CONCATENATE(Liste!$C$3,$B$1697,$B$1755),Data!$BO:$BO,0)-2,66)&amp;"E-9","")),"")</f>
        <v/>
      </c>
      <c r="G1777" s="39"/>
      <c r="H1777" s="35" t="str">
        <f ca="1">IFERROR(IF(INDEX(Tab_DaBa[],MATCH(CONCATENATE(Liste!$C$3,$B$1697,$B$1755),Data!$BO:$BO,0)-2,63)&lt;&gt;"","PFH [1/h] = "&amp;10^9*INDEX(Tab_DaBa[],MATCH(CONCATENATE(Liste!$C$3,$B$1697,$B$1755),Data!$BO:$BO,0)-2,16)&amp;"E-9",""),"")</f>
        <v/>
      </c>
    </row>
    <row r="1778" spans="2:9" s="16" customFormat="1"/>
    <row r="1779" spans="2:9" s="16" customFormat="1">
      <c r="B1779" s="43" t="str">
        <f ca="1">IF(D1779="","","Erforderlich")</f>
        <v>Erforderlich</v>
      </c>
      <c r="D1779" s="44" t="str">
        <f ca="1">IFERROR("Performance Level: "&amp;INDEX(Tab_DaBa[],MATCH(CONCATENATE(Liste!$C$3,$B$1697,$B$1755),Data!$BO:$BO,0)-2,4),"")</f>
        <v>Performance Level: PLr_ges4_3</v>
      </c>
    </row>
    <row r="1780" spans="2:9" s="16" customFormat="1">
      <c r="B1780" s="45"/>
    </row>
    <row r="1781" spans="2:9" s="16" customFormat="1">
      <c r="B1781" s="46" t="str">
        <f ca="1">IF(D1781="","","Erreicht")</f>
        <v>Erreicht</v>
      </c>
      <c r="D1781" s="47" t="str">
        <f ca="1">IFERROR("Performance Level: "&amp;INDEX(Tab_DaBa[],MATCH(CONCATENATE(Liste!$C$3,$B$1697,$B$1755),Data!$BO:$BO,0)-2,5)&amp;"          PFH [1/h] = "&amp;10^9*INDEX(Tab_DaBa[],MATCH(CONCATENATE(Liste!$C$3,$B$1697,$B$1755),Data!$BO:$BO,0)-2,6)&amp;"E-9","")</f>
        <v>Performance Level: Pl_ges4_3          PFH [1/h] = 71,7E-9</v>
      </c>
    </row>
    <row r="1782" spans="2:9" s="16" customFormat="1"/>
    <row r="1783" spans="2:9" s="16" customFormat="1">
      <c r="B1783" s="42" t="str">
        <f ca="1">IFERROR(IF(4&gt;COUNTIF(Data!$BP:$BP,CONCATENATE(Liste!$C$3,$B$1697)),"",INDEX(Tab_DaBa[],MATCH(CONCATENATE(Liste!$C$3,$B$1697),Data!$BP:$BP,0)+1,3)),"")</f>
        <v>7.4 Test4 (E+4L+A)</v>
      </c>
    </row>
    <row r="1784" spans="2:9" s="16" customFormat="1"/>
    <row r="1785" spans="2:9" s="16" customFormat="1" ht="15.75">
      <c r="B1785" s="35" t="str">
        <f ca="1">IFERROR(INDEX(Tab_DaBa[],MATCH(CONCATENATE(Liste!$C$3,$B$1697,$B$1783),Data!$BO:$BO,0)-2,9),"")</f>
        <v>Eingang</v>
      </c>
      <c r="C1785" s="54"/>
      <c r="D1785" s="35" t="str">
        <f ca="1">IFERROR(IF(INDEX(Tab_DaBa[],MATCH(CONCATENATE(Liste!$C$3,$B$1697,$B$1783),Data!$BO:$BO,0)-2,18)=0,INDEX(Tab_DaBa[],MATCH(CONCATENATE(Liste!$C$3,$B$1697,$B$1783),Data!$BO:$BO,0)-2,14),INDEX(Tab_DaBa[],MATCH(CONCATENATE(Liste!$C$3,$B$1697,$B$1783),Data!$BO:$BO,0)-2,19)),"")</f>
        <v>Logik 01</v>
      </c>
      <c r="E1785" s="33"/>
      <c r="F1785" s="35" t="str">
        <f ca="1">IFERROR(IF(AND(INDEX(Tab_DaBa[],MATCH(CONCATENATE(Liste!$C$3,$B$1697,$B$1783),Data!$BO:$BO,0)-2,18)&lt;&gt;"",INDEX(Tab_DaBa[],MATCH(CONCATENATE(Liste!$C$3,$B$1697,$B$1783),Data!$BO:$BO,0)-2,23)=0),INDEX(Tab_DaBa[],MATCH(CONCATENATE(Liste!$C$3,$B$1697,$B$1783),Data!$BO:$BO,0)-2,14),IF(INDEX(Tab_DaBa[],MATCH(CONCATENATE(Liste!$C$3,$B$1697,$B$1783),Data!$BO:$BO,0)-2,23)&lt;&gt;"",INDEX(Tab_DaBa[],MATCH(CONCATENATE(Liste!$C$3,$B$1697,$B$1783),Data!$BO:$BO,0)-2,24),"")),"")</f>
        <v>Logik 02</v>
      </c>
      <c r="G1785" s="39"/>
      <c r="H1785" s="35" t="str">
        <f ca="1">IFERROR(IF(AND(INDEX(Tab_DaBa[],MATCH(CONCATENATE(Liste!$C$3,$B$1697,$B$1783),Data!$BO:$BO,0)-2,23)&lt;&gt;"",INDEX(Tab_DaBa[],MATCH(CONCATENATE(Liste!$C$3,$B$1697,$B$1783),Data!$BO:$BO,0)-2,28)=0),INDEX(Tab_DaBa[],MATCH(CONCATENATE(Liste!$C$3,$B$1697,$B$1783),Data!$BO:$BO,0)-2,14),IF(INDEX(Tab_DaBa[],MATCH(CONCATENATE(Liste!$C$3,$B$1697,$B$1783),Data!$BO:$BO,0)-2,23)&lt;&gt;"",INDEX(Tab_DaBa[],MATCH(CONCATENATE(Liste!$C$3,$B$1697,$B$1783),Data!$BO:$BO,0)-2,29),"")),"")</f>
        <v>Logik 03</v>
      </c>
      <c r="I1785" s="39"/>
    </row>
    <row r="1786" spans="2:9" s="16" customFormat="1" ht="15.75">
      <c r="B1786" s="35" t="str">
        <f ca="1">IFERROR(INDEX(Tab_DaBa[],MATCH(CONCATENATE(Liste!$C$3,$B$1697,$B$1783),Data!$BO:$BO,0)-2,7),"")</f>
        <v>eeee-33_4</v>
      </c>
      <c r="C1786" s="54"/>
      <c r="D1786" s="35" t="str">
        <f ca="1">IFERROR(IF(INDEX(Tab_DaBa[],MATCH(CONCATENATE(Liste!$C$3,$B$1697,$B$1783),Data!$BO:$BO,0)-2,18)="",INDEX(Tab_DaBa[],MATCH(CONCATENATE(Liste!$C$3,$B$1697,$B$1783),Data!$BO:$BO,0)-2,12),INDEX(Tab_DaBa[],MATCH(CONCATENATE(Liste!$C$3,$B$1697,$B$1783),Data!$BO:$BO,0)-2,17)),"")</f>
        <v>Log01-04_04</v>
      </c>
      <c r="E1786" s="36"/>
      <c r="F1786" s="35" t="str">
        <f ca="1">IFERROR(IF(AND(INDEX(Tab_DaBa[],MATCH(CONCATENATE(Liste!$C$3,$B$1697,$B$1783),Data!$BO:$BO,0)-2,18)&lt;&gt;"",INDEX(Tab_DaBa[],MATCH(CONCATENATE(Liste!$C$3,$B$1697,$B$1783),Data!$BO:$BO,0)-2,23)=0),INDEX(Tab_DaBa[],MATCH(CONCATENATE(Liste!$C$3,$B$1697,$B$1783),Data!$BO:$BO,0)-2,12),IF(INDEX(Tab_DaBa[],MATCH(CONCATENATE(Liste!$C$3,$B$1697,$B$1783),Data!$BO:$BO,0)-2,23)&lt;&gt;"",INDEX(Tab_DaBa[],MATCH(CONCATENATE(Liste!$C$3,$B$1697,$B$1783),Data!$BO:$BO,0)-2,22),"")),"")</f>
        <v>Lo04-04_04</v>
      </c>
      <c r="G1786" s="39"/>
      <c r="H1786" s="35" t="str">
        <f ca="1">IFERROR(IF(AND(INDEX(Tab_DaBa[],MATCH(CONCATENATE(Liste!$C$3,$B$1697,$B$1783),Data!$BO:$BO,0)-2,23)&lt;&gt;"",INDEX(Tab_DaBa[],MATCH(CONCATENATE(Liste!$C$3,$B$1697,$B$1783),Data!$BO:$BO,0)-2,28)=0),INDEX(Tab_DaBa[],MATCH(CONCATENATE(Liste!$C$3,$B$1697,$B$1783),Data!$BO:$BO,0)-2,12),IF(INDEX(Tab_DaBa[],MATCH(CONCATENATE(Liste!$C$3,$B$1697,$B$1783),Data!$BO:$BO,0)-2,23)&lt;&gt;"",INDEX(Tab_DaBa[],MATCH(CONCATENATE(Liste!$C$3,$B$1697,$B$1783),Data!$BO:$BO,0)-2,27),"")),"")</f>
        <v>Lo04-44_04</v>
      </c>
      <c r="I1786" s="39"/>
    </row>
    <row r="1787" spans="2:9" s="16" customFormat="1" ht="15.75">
      <c r="B1787" s="35" t="str">
        <f ca="1">IFERROR(INDEX(Tab_DaBa[],MATCH(CONCATENATE(Liste!$C$3,$B$1697,$B$1783),Data!$BO:$BO,0)-2,8),"")</f>
        <v>Bez_Ein4_4</v>
      </c>
      <c r="C1787" s="40">
        <f ca="1">IF(D1785="","",4)</f>
        <v>4</v>
      </c>
      <c r="D1787" s="35" t="str">
        <f ca="1">IFERROR(IF(INDEX(Tab_DaBa[],MATCH(CONCATENATE(Liste!$C$3,$B$1697,$B$1783),Data!$BO:$BO,0)-2,18)="",INDEX(Tab_DaBa[],MATCH(CONCATENATE(Liste!$C$3,$B$1697,$B$1783),Data!$BO:$BO,0)-2,13),INDEX(Tab_DaBa[],MATCH(CONCATENATE(Liste!$C$3,$B$1697,$B$1783),Data!$BO:$BO,0)-2,18)),"")</f>
        <v>Bez_Log01_04_04</v>
      </c>
      <c r="E1787" s="40">
        <f ca="1">IF(F1785="","",4)</f>
        <v>4</v>
      </c>
      <c r="F1787" s="35" t="str">
        <f ca="1">IFERROR(IF(AND(INDEX(Tab_DaBa[],MATCH(CONCATENATE(Liste!$C$3,$B$1697,$B$1783),Data!$BO:$BO,0)-2,18)&lt;&gt;"",INDEX(Tab_DaBa[],MATCH(CONCATENATE(Liste!$C$3,$B$1697,$B$1783),Data!$BO:$BO,0)-2,23)=""),INDEX(Tab_DaBa[],MATCH(CONCATENATE(Liste!$C$3,$B$1697,$B$1783),Data!$BO:$BO,0)-2,13),IF(INDEX(Tab_DaBa[],MATCH(CONCATENATE(Liste!$C$3,$B$1697,$B$1783),Data!$BO:$BO,0)-2,23)&lt;&gt;"",INDEX(Tab_DaBa[],MATCH(CONCATENATE(Liste!$C$3,$B$1697,$B$1783),Data!$BO:$BO,0)-2,23),"")),"")</f>
        <v>Bez_Lo04_04</v>
      </c>
      <c r="G1787" s="38">
        <f ca="1">IF(H1785="","",4)</f>
        <v>4</v>
      </c>
      <c r="H1787" s="35" t="str">
        <f ca="1">IFERROR(IF(AND(INDEX(Tab_DaBa[],MATCH(CONCATENATE(Liste!$C$3,$B$1697,$B$1783),Data!$BO:$BO,0)-2,23)&lt;&gt;"",INDEX(Tab_DaBa[],MATCH(CONCATENATE(Liste!$C$3,$B$1697,$B$1783),Data!$BO:$BO,0)-2,28)=""),INDEX(Tab_DaBa[],MATCH(CONCATENATE(Liste!$C$3,$B$1697,$B$1783),Data!$BO:$BO,0)-2,13),IF(INDEX(Tab_DaBa[],MATCH(CONCATENATE(Liste!$C$3,$B$1697,$B$1783),Data!$BO:$BO,0)-2,23)&lt;&gt;"",INDEX(Tab_DaBa[],MATCH(CONCATENATE(Liste!$C$3,$B$1697,$B$1783),Data!$BO:$BO,0)-2,28),"")),"")</f>
        <v>Bez_Lo04_04</v>
      </c>
      <c r="I1787" s="38">
        <f ca="1">IF(B1793="","",6)</f>
        <v>6</v>
      </c>
    </row>
    <row r="1788" spans="2:9" s="16" customFormat="1" ht="15.75">
      <c r="B1788" s="35" t="str">
        <f ca="1">IFERROR("Performance Level: "&amp;INDEX(Tab_DaBa[],MATCH(CONCATENATE(Liste!$C$3,$B$1697,$B$1783),Data!$BO:$BO,0)-2,10),"")</f>
        <v>Performance Level: PL_Ein4_4</v>
      </c>
      <c r="C1788" s="54"/>
      <c r="D1788" s="35" t="str">
        <f ca="1">IFERROR(IF(INDEX(Tab_DaBa[],MATCH(CONCATENATE(Liste!$C$3,$B$1697,$B$1783),Data!$BO:$BO,0)-2,18)="","Performance Level: "&amp;INDEX(Tab_DaBa[],MATCH(CONCATENATE(Liste!$C$3,$B$1697,$B$1783),Data!$BO:$BO,0)-2,15),"Performance Level: "&amp;INDEX(Tab_DaBa[],MATCH(CONCATENATE(Liste!$C$3,$B$1697,$B$1783),Data!$BO:$BO,0)-2,20)),"")</f>
        <v>Performance Level: PL_Log01_04_04</v>
      </c>
      <c r="E1788" s="36"/>
      <c r="F1788" s="35" t="str">
        <f ca="1">IFERROR(IF(AND(INDEX(Tab_DaBa[],MATCH(CONCATENATE(Liste!$C$3,$B$1697,$B$1783),Data!$BO:$BO,0)-2,18)&lt;&gt;"",INDEX(Tab_DaBa[],MATCH(CONCATENATE(Liste!$C$3,$B$1697,$B$1783),Data!$BO:$BO,0)-2,23)=""),"Performance Level: "&amp;INDEX(Tab_DaBa[],MATCH(CONCATENATE(Liste!$C$3,$B$1697,$B$1783),Data!$BO:$BO,0)-2,15),IF(INDEX(Tab_DaBa[],MATCH(CONCATENATE(Liste!$C$3,$B$1697,$B$1783),Data!$BO:$BO,0)-2,23)&lt;&gt;"","Performance Level: "&amp;INDEX(Tab_DaBa[],MATCH(CONCATENATE(Liste!$C$3,$B$1697,$B$1783),Data!$BO:$BO,0)-2,25),"")),"")</f>
        <v>Performance Level: PL_Lo04_04</v>
      </c>
      <c r="G1788" s="39"/>
      <c r="H1788" s="35" t="str">
        <f ca="1">IFERROR(IF(AND(INDEX(Tab_DaBa[],MATCH(CONCATENATE(Liste!$C$3,$B$1697,$B$1783),Data!$BO:$BO,0)-2,23)&lt;&gt;"",INDEX(Tab_DaBa[],MATCH(CONCATENATE(Liste!$C$3,$B$1697,$B$1783),Data!$BO:$BO,0)-2,28)=""),"Performance Level: "&amp;INDEX(Tab_DaBa[],MATCH(CONCATENATE(Liste!$C$3,$B$1697,$B$1783),Data!$BO:$BO,0)-2,15),IF(INDEX(Tab_DaBa[],MATCH(CONCATENATE(Liste!$C$3,$B$1697,$B$1783),Data!$BO:$BO,0)-2,23)&lt;&gt;"","Performance Level: "&amp;INDEX(Tab_DaBa[],MATCH(CONCATENATE(Liste!$C$3,$B$1697,$B$1783),Data!$BO:$BO,0)-2,30),"")),"")</f>
        <v>Performance Level: PL_Lo04_04</v>
      </c>
      <c r="I1788" s="38"/>
    </row>
    <row r="1789" spans="2:9" s="16" customFormat="1" ht="15.75">
      <c r="B1789" s="53" t="str">
        <f ca="1">IFERROR("PFH [1/h] = "&amp;10^9*INDEX(Tab_DaBa[],MATCH(CONCATENATE(Liste!$C$3,$B$1697,$B$1783),Data!$BO:$BO,0)-2,11)&amp;"E-9","")</f>
        <v>PFH [1/h] = 42,9E-9</v>
      </c>
      <c r="C1789" s="54"/>
      <c r="D1789" s="35" t="str">
        <f ca="1">IFERROR(IF(INDEX(Tab_DaBa[],MATCH(CONCATENATE(Liste!$C$3,$B$1697,$B$1783),Data!$BO:$BO,0)-2,18)="","PFH [1/h] = "&amp;10^9*INDEX(Tab_DaBa[],MATCH(CONCATENATE(Liste!$C$3,$B$1697,$B$1783),Data!$BO:$BO,0)-2,16)&amp;"E-9","PFH [1/h] = "&amp;10^9*INDEX(Tab_DaBa[],MATCH(CONCATENATE(Liste!$C$3,$B$1697,$B$1783),Data!$BO:$BO,0)-2,21)&amp;"E-9"),"")</f>
        <v>PFH [1/h] = 4,19E-9</v>
      </c>
      <c r="E1789" s="36"/>
      <c r="F1789" s="35" t="str">
        <f ca="1">IFERROR(IF(AND(INDEX(Tab_DaBa[],MATCH(CONCATENATE(Liste!$C$3,$B$1697,$B$1783),Data!$BO:$BO,0)-2,18)&lt;&gt;"",INDEX(Tab_DaBa[],MATCH(CONCATENATE(Liste!$C$3,$B$1697,$B$1783),Data!$BO:$BO,0)-2,23)=""),"PFH [1/h] = "&amp;10^9*INDEX(Tab_DaBa[],MATCH(CONCATENATE(Liste!$C$3,$B$1697,$B$1783),Data!$BO:$BO,0)-2,16)&amp;"E-9",IF(INDEX(Tab_DaBa[],MATCH(CONCATENATE(Liste!$C$3,$B$1697,$B$1783),Data!$BO:$BO,0)-2,23)&lt;&gt;"","PFH [1/h] = "&amp;10^9*INDEX(Tab_DaBa[],MATCH(CONCATENATE(Liste!$C$3,$B$1697,$B$1783),Data!$BO:$BO,0)-2,26)&amp;"E-9","")),"")</f>
        <v>PFH [1/h] = 4,19E-9</v>
      </c>
      <c r="G1789" s="39"/>
      <c r="H1789" s="35" t="str">
        <f ca="1">IFERROR(IF(AND(INDEX(Tab_DaBa[],MATCH(CONCATENATE(Liste!$C$3,$B$1697,$B$1783),Data!$BO:$BO,0)-2,23)&lt;&gt;"",INDEX(Tab_DaBa[],MATCH(CONCATENATE(Liste!$C$3,$B$1697,$B$1783),Data!$BO:$BO,0)-2,28)=""),"PFH [1/h] = "&amp;10^9*INDEX(Tab_DaBa[],MATCH(CONCATENATE(Liste!$C$3,$B$1697,$B$1783),Data!$BO:$BO,0)-2,16)&amp;"E-9",IF(INDEX(Tab_DaBa[],MATCH(CONCATENATE(Liste!$C$3,$B$1697,$B$1783),Data!$BO:$BO,0)-2,23)&lt;&gt;"","PFH [1/h] = "&amp;10^9*INDEX(Tab_DaBa[],MATCH(CONCATENATE(Liste!$C$3,$B$1697,$B$1783),Data!$BO:$BO,0)-2,31)&amp;"E-9","")),"")</f>
        <v>PFH [1/h] = 4,19E-9</v>
      </c>
      <c r="I1789" s="39"/>
    </row>
    <row r="1790" spans="2:9" s="16" customFormat="1">
      <c r="B1790" s="33"/>
      <c r="C1790" s="34"/>
      <c r="D1790" s="33"/>
      <c r="E1790" s="33"/>
      <c r="F1790" s="33"/>
      <c r="G1790" s="33"/>
      <c r="H1790" s="33"/>
      <c r="I1790" s="33"/>
    </row>
    <row r="1791" spans="2:9" s="16" customFormat="1" ht="15.75">
      <c r="B1791" s="38">
        <f ca="1">IF(B1793="","",6)</f>
        <v>6</v>
      </c>
      <c r="C1791" s="34"/>
      <c r="D1791" s="38">
        <f ca="1">IF(B1793="","",3)</f>
        <v>3</v>
      </c>
      <c r="E1791" s="33"/>
      <c r="F1791" s="38">
        <f ca="1">IF(B1793="","",3)</f>
        <v>3</v>
      </c>
      <c r="G1791" s="33"/>
      <c r="H1791" s="38">
        <f ca="1">IF(B1793="","",3)</f>
        <v>3</v>
      </c>
      <c r="I1791" s="33"/>
    </row>
    <row r="1792" spans="2:9" s="16" customFormat="1" ht="15.75">
      <c r="B1792" s="39"/>
      <c r="C1792" s="33"/>
      <c r="D1792" s="33"/>
      <c r="E1792" s="33"/>
      <c r="F1792" s="33"/>
      <c r="G1792" s="33"/>
      <c r="H1792" s="33"/>
      <c r="I1792" s="33"/>
    </row>
    <row r="1793" spans="2:9" s="16" customFormat="1" ht="15.75">
      <c r="B1793" s="35" t="str">
        <f ca="1">IFERROR(IF(AND(INDEX(Tab_DaBa[],MATCH(CONCATENATE(Liste!$C$3,$B$1697,$B$1783),Data!$BO:$BO,0)-2,28)&lt;&gt;"",INDEX(Tab_DaBa[],MATCH(CONCATENATE(Liste!$C$3,$B$1697,$B$1783),Data!$BO:$BO,0)-2,33)=0),INDEX(Tab_DaBa[],MATCH(CONCATENATE(Liste!$C$3,$B$1697,$B$1783),Data!$BO:$BO,0)-2,14),IF(INDEX(Tab_DaBa[],MATCH(CONCATENATE(Liste!$C$3,$B$1697,$B$1783),Data!$BO:$BO,0)-2,28)&lt;&gt;"",INDEX(Tab_DaBa[],MATCH(CONCATENATE(Liste!$C$3,$B$1697,$B$1783),Data!$BO:$BO,0)-2,34),"")),"")</f>
        <v>Logik 04</v>
      </c>
      <c r="C1793" s="39"/>
      <c r="D1793" s="35" t="str">
        <f ca="1">IFERROR(IF(AND(INDEX(Tab_DaBa[],MATCH(CONCATENATE(Liste!$C$3,$B$1697,$B$1783),Data!$BO:$BO,0)-2,33)&lt;&gt;"",INDEX(Tab_DaBa[],MATCH(CONCATENATE(Liste!$C$3,$B$1697,$B$1783),Data!$BO:$BO,0)-2,38)=0),INDEX(Tab_DaBa[],MATCH(CONCATENATE(Liste!$C$3,$B$1697,$B$1783),Data!$BO:$BO,0)-2,14),IF(INDEX(Tab_DaBa[],MATCH(CONCATENATE(Liste!$C$3,$B$1697,$B$1783),Data!$BO:$BO,0)-2,33)&lt;&gt;"",INDEX(Tab_DaBa[],MATCH(CONCATENATE(Liste!$C$3,$B$1697,$B$1783),Data!$BO:$BO,0)-2,39),"")),"")</f>
        <v>Ausgang</v>
      </c>
      <c r="E1793" s="33"/>
      <c r="F1793" s="35" t="str">
        <f ca="1">IFERROR(IF(AND(INDEX(Tab_DaBa[],MATCH(CONCATENATE(Liste!$C$3,$B$1697,$B$1783),Data!$BO:$BO,0)-2,38)&lt;&gt;"",INDEX(Tab_DaBa[],MATCH(CONCATENATE(Liste!$C$3,$B$1697,$B$1783),Data!$BO:$BO,0)-2,43)=0),INDEX(Tab_DaBa[],MATCH(CONCATENATE(Liste!$C$3,$B$1697,$B$1783),Data!$BO:$BO,0)-2,14),IF(INDEX(Tab_DaBa[],MATCH(CONCATENATE(Liste!$C$3,$B$1697,$B$1783),Data!$BO:$BO,0)-2,38)&lt;&gt;"",INDEX(Tab_DaBa[],MATCH(CONCATENATE(Liste!$C$3,$B$1697,$B$1783),Data!$BO:$BO,0)-2,44),"")),"")</f>
        <v/>
      </c>
      <c r="G1793" s="39"/>
      <c r="H1793" s="35" t="str">
        <f ca="1">IFERROR(IF(AND(INDEX(Tab_DaBa[],MATCH(CONCATENATE(Liste!$C$3,$B$1697,$B$1783),Data!$BO:$BO,0)-2,43)&lt;&gt;"",INDEX(Tab_DaBa[],MATCH(CONCATENATE(Liste!$C$3,$B$1697,$B$1783),Data!$BO:$BO,0)-2,48)=0),INDEX(Tab_DaBa[],MATCH(CONCATENATE(Liste!$C$3,$B$1697,$B$1783),Data!$BO:$BO,0)-2,14),IF(INDEX(Tab_DaBa[],MATCH(CONCATENATE(Liste!$C$3,$B$1697,$B$1783),Data!$BO:$BO,0)-2,43)&lt;&gt;"",INDEX(Tab_DaBa[],MATCH(CONCATENATE(Liste!$C$3,$B$1697,$B$1783),Data!$BO:$BO,0)-2,49),"")),"")</f>
        <v/>
      </c>
      <c r="I1793" s="39"/>
    </row>
    <row r="1794" spans="2:9" s="16" customFormat="1" ht="15.75">
      <c r="B1794" s="35" t="str">
        <f ca="1">IFERROR(IF(AND(INDEX(Tab_DaBa[],MATCH(CONCATENATE(Liste!$C$3,$B$1697,$B$1783),Data!$BO:$BO,0)-2,28)&lt;&gt;"",INDEX(Tab_DaBa[],MATCH(CONCATENATE(Liste!$C$3,$B$1697,$B$1783),Data!$BO:$BO,0)-2,33)=0),INDEX(Tab_DaBa[],MATCH(CONCATENATE(Liste!$C$3,$B$1697,$B$1783),Data!$BO:$BO,0)-2,12),IF(INDEX(Tab_DaBa[],MATCH(CONCATENATE(Liste!$C$3,$B$1697,$B$1783),Data!$BO:$BO,0)-2,28)&lt;&gt;"",INDEX(Tab_DaBa[],MATCH(CONCATENATE(Liste!$C$3,$B$1697,$B$1783),Data!$BO:$BO,0)-2,32),"")),"")</f>
        <v>Lo04-44_04</v>
      </c>
      <c r="C1794" s="39"/>
      <c r="D1794" s="35" t="str">
        <f ca="1">IFERROR(IF(AND(INDEX(Tab_DaBa[],MATCH(CONCATENATE(Liste!$C$3,$B$1697,$B$1783),Data!$BO:$BO,0)-2,33)&lt;&gt;"",INDEX(Tab_DaBa[],MATCH(CONCATENATE(Liste!$C$3,$B$1697,$B$1783),Data!$BO:$BO,0)-2,38)=0),INDEX(Tab_DaBa[],MATCH(CONCATENATE(Liste!$C$3,$B$1697,$B$1783),Data!$BO:$BO,0)-2,12),IF(INDEX(Tab_DaBa[],MATCH(CONCATENATE(Liste!$C$3,$B$1697,$B$1783),Data!$BO:$BO,0)-2,33)&lt;&gt;"",INDEX(Tab_DaBa[],MATCH(CONCATENATE(Liste!$C$3,$B$1697,$B$1783),Data!$BO:$BO,0)-2,37),"")),"")</f>
        <v>aaaa-44_4</v>
      </c>
      <c r="E1794" s="37"/>
      <c r="F1794" s="35" t="str">
        <f ca="1">IFERROR(IF(AND(INDEX(Tab_DaBa[],MATCH(CONCATENATE(Liste!$C$3,$B$1697,$B$1783),Data!$BO:$BO,0)-2,38)&lt;&gt;"",INDEX(Tab_DaBa[],MATCH(CONCATENATE(Liste!$C$3,$B$1697,$B$1783),Data!$BO:$BO,0)-2,43)=0),INDEX(Tab_DaBa[],MATCH(CONCATENATE(Liste!$C$3,$B$1697,$B$1783),Data!$BO:$BO,0)-2,12),IF(INDEX(Tab_DaBa[],MATCH(CONCATENATE(Liste!$C$3,$B$1697,$B$1783),Data!$BO:$BO,0)-2,38)&lt;&gt;"",INDEX(Tab_DaBa[],MATCH(CONCATENATE(Liste!$C$3,$B$1697,$B$1783),Data!$BO:$BO,0)-2,42),"")),"")</f>
        <v/>
      </c>
      <c r="G1794" s="39"/>
      <c r="H1794" s="35" t="str">
        <f ca="1">IFERROR(IF(AND(INDEX(Tab_DaBa[],MATCH(CONCATENATE(Liste!$C$3,$B$1697,$B$1783),Data!$BO:$BO,0)-2,43)&lt;&gt;"",INDEX(Tab_DaBa[],MATCH(CONCATENATE(Liste!$C$3,$B$1697,$B$1783),Data!$BO:$BO,0)-2,48)=0),INDEX(Tab_DaBa[],MATCH(CONCATENATE(Liste!$C$3,$B$1697,$B$1783),Data!$BO:$BO,0)-2,12),IF(INDEX(Tab_DaBa[],MATCH(CONCATENATE(Liste!$C$3,$B$1697,$B$1783),Data!$BO:$BO,0)-2,43)&lt;&gt;"",INDEX(Tab_DaBa[],MATCH(CONCATENATE(Liste!$C$3,$B$1697,$B$1783),Data!$BO:$BO,0)-2,47),"")),"")</f>
        <v/>
      </c>
      <c r="I1794" s="39"/>
    </row>
    <row r="1795" spans="2:9" s="16" customFormat="1" ht="15.75">
      <c r="B1795" s="35" t="str">
        <f ca="1">IFERROR(IF(AND(INDEX(Tab_DaBa[],MATCH(CONCATENATE(Liste!$C$3,$B$1697,$B$1783),Data!$BO:$BO,0)-2,28)&lt;&gt;"",INDEX(Tab_DaBa[],MATCH(CONCATENATE(Liste!$C$3,$B$1697,$B$1783),Data!$BO:$BO,0)-2,33)=""),INDEX(Tab_DaBa[],MATCH(CONCATENATE(Liste!$C$3,$B$1697,$B$1783),Data!$BO:$BO,0)-2,13),IF(INDEX(Tab_DaBa[],MATCH(CONCATENATE(Liste!$C$3,$B$1697,$B$1783),Data!$BO:$BO,0)-2,28)&lt;&gt;"",INDEX(Tab_DaBa[],MATCH(CONCATENATE(Liste!$C$3,$B$1697,$B$1783),Data!$BO:$BO,0)-2,33),"")),"")</f>
        <v>Bez_Lo04_04</v>
      </c>
      <c r="C1795" s="38">
        <f ca="1">IF(D1793="","",4)</f>
        <v>4</v>
      </c>
      <c r="D1795" s="35" t="str">
        <f ca="1">IFERROR(IF(AND(INDEX(Tab_DaBa[],MATCH(CONCATENATE(Liste!$C$3,$B$1697,$B$1783),Data!$BO:$BO,0)-2,33)&lt;&gt;"",INDEX(Tab_DaBa[],MATCH(CONCATENATE(Liste!$C$3,$B$1697,$B$1783),Data!$BO:$BO,0)-2,38)=""),INDEX(Tab_DaBa[],MATCH(CONCATENATE(Liste!$C$3,$B$1697,$B$1783),Data!$BO:$BO,0)-2,13),IF(INDEX(Tab_DaBa[],MATCH(CONCATENATE(Liste!$C$3,$B$1697,$B$1783),Data!$BO:$BO,0)-2,33)&lt;&gt;"",INDEX(Tab_DaBa[],MATCH(CONCATENATE(Liste!$C$3,$B$1697,$B$1783),Data!$BO:$BO,0)-2,38),"")),"")</f>
        <v>Bez_Aus4_4</v>
      </c>
      <c r="E1795" s="38" t="str">
        <f ca="1">IF(F1793="","",4)</f>
        <v/>
      </c>
      <c r="F1795" s="35" t="str">
        <f ca="1">IFERROR(IF(AND(INDEX(Tab_DaBa[],MATCH(CONCATENATE(Liste!$C$3,$B$1697,$B$1783),Data!$BO:$BO,0)-2,38)&lt;&gt;"",INDEX(Tab_DaBa[],MATCH(CONCATENATE(Liste!$C$3,$B$1697,$B$1783),Data!$BO:$BO,0)-2,43)=""),INDEX(Tab_DaBa[],MATCH(CONCATENATE(Liste!$C$3,$B$1697,$B$1783),Data!$BO:$BO,0)-2,13),IF(INDEX(Tab_DaBa[],MATCH(CONCATENATE(Liste!$C$3,$B$1697,$B$1783),Data!$BO:$BO,0)-2,38)&lt;&gt;"",INDEX(Tab_DaBa[],MATCH(CONCATENATE(Liste!$C$3,$B$1697,$B$1783),Data!$BO:$BO,0)-2,43),"")),"")</f>
        <v/>
      </c>
      <c r="G1795" s="38" t="str">
        <f ca="1">IF(H1793="","",4)</f>
        <v/>
      </c>
      <c r="H1795" s="35" t="str">
        <f ca="1">IFERROR(IF(AND(INDEX(Tab_DaBa[],MATCH(CONCATENATE(Liste!$C$3,$B$1697,$B$1783),Data!$BO:$BO,0)-2,43)&lt;&gt;"",INDEX(Tab_DaBa[],MATCH(CONCATENATE(Liste!$C$3,$B$1697,$B$1783),Data!$BO:$BO,0)-2,48)=""),INDEX(Tab_DaBa[],MATCH(CONCATENATE(Liste!$C$3,$B$1697,$B$1783),Data!$BO:$BO,0)-2,13),IF(INDEX(Tab_DaBa[],MATCH(CONCATENATE(Liste!$C$3,$B$1697,$B$1783),Data!$BO:$BO,0)-2,43)&lt;&gt;"",INDEX(Tab_DaBa[],MATCH(CONCATENATE(Liste!$C$3,$B$1697,$B$1783),Data!$BO:$BO,0)-2,48),"")),"")</f>
        <v/>
      </c>
      <c r="I1795" s="38" t="str">
        <f ca="1">IF(B1801="","",6)</f>
        <v/>
      </c>
    </row>
    <row r="1796" spans="2:9" s="16" customFormat="1" ht="15.75">
      <c r="B1796" s="35" t="str">
        <f ca="1">IFERROR(IF(AND(INDEX(Tab_DaBa[],MATCH(CONCATENATE(Liste!$C$3,$B$1697,$B$1783),Data!$BO:$BO,0)-2,28)&lt;&gt;"",INDEX(Tab_DaBa[],MATCH(CONCATENATE(Liste!$C$3,$B$1697,$B$1783),Data!$BO:$BO,0)-2,33)=""),"Performance Level: "&amp;INDEX(Tab_DaBa[],MATCH(CONCATENATE(Liste!$C$3,$B$1697,$B$1783),Data!$BO:$BO,0)-2,15),IF(INDEX(Tab_DaBa[],MATCH(CONCATENATE(Liste!$C$3,$B$1697,$B$1783),Data!$BO:$BO,0)-2,28)&lt;&gt;"","Performance Level: "&amp;INDEX(Tab_DaBa[],MATCH(CONCATENATE(Liste!$C$3,$B$1697,$B$1783),Data!$BO:$BO,0)-2,35),"")),"")</f>
        <v>Performance Level: PL_Lo04_04</v>
      </c>
      <c r="C1796" s="39"/>
      <c r="D1796" s="35" t="str">
        <f ca="1">IFERROR(IF(AND(INDEX(Tab_DaBa[],MATCH(CONCATENATE(Liste!$C$3,$B$1697,$B$1783),Data!$BO:$BO,0)-2,33)&lt;&gt;"",INDEX(Tab_DaBa[],MATCH(CONCATENATE(Liste!$C$3,$B$1697,$B$1783),Data!$BO:$BO,0)-2,38)=""),"Performance Level: "&amp;INDEX(Tab_DaBa[],MATCH(CONCATENATE(Liste!$C$3,$B$1697,$B$1783),Data!$BO:$BO,0)-2,15),IF(INDEX(Tab_DaBa[],MATCH(CONCATENATE(Liste!$C$3,$B$1697,$B$1783),Data!$BO:$BO,0)-2,33)&lt;&gt;"","Performance Level: "&amp;INDEX(Tab_DaBa[],MATCH(CONCATENATE(Liste!$C$3,$B$1697,$B$1783),Data!$BO:$BO,0)-2,40),"")),"")</f>
        <v>Performance Level: PL_Aus4_4</v>
      </c>
      <c r="E1796" s="37"/>
      <c r="F1796" s="35" t="str">
        <f ca="1">IFERROR(IF(AND(INDEX(Tab_DaBa[],MATCH(CONCATENATE(Liste!$C$3,$B$1697,$B$1783),Data!$BO:$BO,0)-2,38)&lt;&gt;"",INDEX(Tab_DaBa[],MATCH(CONCATENATE(Liste!$C$3,$B$1697,$B$1783),Data!$BO:$BO,0)-2,43)=""),"Performance Level: "&amp;INDEX(Tab_DaBa[],MATCH(CONCATENATE(Liste!$C$3,$B$1697,$B$1783),Data!$BO:$BO,0)-2,15),IF(INDEX(Tab_DaBa[],MATCH(CONCATENATE(Liste!$C$3,$B$1697,$B$1783),Data!$BO:$BO,0)-2,38)&lt;&gt;"","Performance Level: "&amp;INDEX(Tab_DaBa[],MATCH(CONCATENATE(Liste!$C$3,$B$1697,$B$1783),Data!$BO:$BO,0)-2,45),"")),"")</f>
        <v/>
      </c>
      <c r="G1796" s="39"/>
      <c r="H1796" s="35" t="str">
        <f ca="1">IFERROR(IF(AND(INDEX(Tab_DaBa[],MATCH(CONCATENATE(Liste!$C$3,$B$1697,$B$1783),Data!$BO:$BO,0)-2,43)&lt;&gt;"",INDEX(Tab_DaBa[],MATCH(CONCATENATE(Liste!$C$3,$B$1697,$B$1783),Data!$BO:$BO,0)-2,48)=""),"Performance Level: "&amp;INDEX(Tab_DaBa[],MATCH(CONCATENATE(Liste!$C$3,$B$1697,$B$1783),Data!$BO:$BO,0)-2,15),IF(INDEX(Tab_DaBa[],MATCH(CONCATENATE(Liste!$C$3,$B$1697,$B$1783),Data!$BO:$BO,0)-2,43)&lt;&gt;"","Performance Level: "&amp;INDEX(Tab_DaBa[],MATCH(CONCATENATE(Liste!$C$3,$B$1697,$B$1783),Data!$BO:$BO,0)-2,50),"")),"")</f>
        <v/>
      </c>
      <c r="I1796" s="39"/>
    </row>
    <row r="1797" spans="2:9" s="16" customFormat="1" ht="15.75">
      <c r="B1797" s="35" t="str">
        <f ca="1">IFERROR(IF(AND(INDEX(Tab_DaBa[],MATCH(CONCATENATE(Liste!$C$3,$B$1697,$B$1783),Data!$BO:$BO,0)-2,28)&lt;&gt;"",INDEX(Tab_DaBa[],MATCH(CONCATENATE(Liste!$C$3,$B$1697,$B$1783),Data!$BO:$BO,0)-2,33)=""),"PFH [1/h] = "&amp;10^9*INDEX(Tab_DaBa[],MATCH(CONCATENATE(Liste!$C$3,$B$1697,$B$1783),Data!$BO:$BO,0)-2,16)&amp;"E-9",IF(INDEX(Tab_DaBa[],MATCH(CONCATENATE(Liste!$C$3,$B$1697,$B$1783),Data!$BO:$BO,0)-2,28)&lt;&gt;"","PFH [1/h] = "&amp;10^9*INDEX(Tab_DaBa[],MATCH(CONCATENATE(Liste!$C$3,$B$1697,$B$1783),Data!$BO:$BO,0)-2,36)&amp;"E-9","")),"")</f>
        <v>PFH [1/h] = 4,19E-9</v>
      </c>
      <c r="C1797" s="39"/>
      <c r="D1797" s="35" t="str">
        <f ca="1">IFERROR(IF(AND(INDEX(Tab_DaBa[],MATCH(CONCATENATE(Liste!$C$3,$B$1697,$B$1783),Data!$BO:$BO,0)-2,33)&lt;&gt;"",INDEX(Tab_DaBa[],MATCH(CONCATENATE(Liste!$C$3,$B$1697,$B$1783),Data!$BO:$BO,0)-2,38)=""),"PFH [1/h] = "&amp;10^9*INDEX(Tab_DaBa[],MATCH(CONCATENATE(Liste!$C$3,$B$1697,$B$1783),Data!$BO:$BO,0)-2,16)&amp;"E-9",IF(INDEX(Tab_DaBa[],MATCH(CONCATENATE(Liste!$C$3,$B$1697,$B$1783),Data!$BO:$BO,0)-2,33)&lt;&gt;"","PFH [1/h] = "&amp;10^9*INDEX(Tab_DaBa[],MATCH(CONCATENATE(Liste!$C$3,$B$1697,$B$1783),Data!$BO:$BO,0)-2,41)&amp;"E-9","")),"")</f>
        <v>PFH [1/h] = 24,7E-9</v>
      </c>
      <c r="E1797" s="37"/>
      <c r="F1797" s="35" t="str">
        <f ca="1">IFERROR(IF(AND(INDEX(Tab_DaBa[],MATCH(CONCATENATE(Liste!$C$3,$B$1697,$B$1783),Data!$BO:$BO,0)-2,38)&lt;&gt;"",INDEX(Tab_DaBa[],MATCH(CONCATENATE(Liste!$C$3,$B$1697,$B$1783),Data!$BO:$BO,0)-2,43)=""),"PFH [1/h] = "&amp;10^9*INDEX(Tab_DaBa[],MATCH(CONCATENATE(Liste!$C$3,$B$1697,$B$1783),Data!$BO:$BO,0)-2,16)&amp;"E-9",IF(INDEX(Tab_DaBa[],MATCH(CONCATENATE(Liste!$C$3,$B$1697,$B$1783),Data!$BO:$BO,0)-2,38)&lt;&gt;"","PFH [1/h] = "&amp;10^9*INDEX(Tab_DaBa[],MATCH(CONCATENATE(Liste!$C$3,$B$1697,$B$1783),Data!$BO:$BO,0)-2,46)&amp;"E-9","")),"")</f>
        <v/>
      </c>
      <c r="G1797" s="39"/>
      <c r="H1797" s="35" t="str">
        <f ca="1">IFERROR(IF(AND(INDEX(Tab_DaBa[],MATCH(CONCATENATE(Liste!$C$3,$B$1697,$B$1783),Data!$BO:$BO,0)-2,43)&lt;&gt;"",INDEX(Tab_DaBa[],MATCH(CONCATENATE(Liste!$C$3,$B$1697,$B$1783),Data!$BO:$BO,0)-2,48)=""),"PFH [1/h] = "&amp;10^9*INDEX(Tab_DaBa[],MATCH(CONCATENATE(Liste!$C$3,$B$1697,$B$1783),Data!$BO:$BO,0)-2,16)&amp;"E-9",IF(INDEX(Tab_DaBa[],MATCH(CONCATENATE(Liste!$C$3,$B$1697,$B$1783),Data!$BO:$BO,0)-2,43)&lt;&gt;"","PFH [1/h] = "&amp;10^9*INDEX(Tab_DaBa[],MATCH(CONCATENATE(Liste!$C$3,$B$1697,$B$1783),Data!$BO:$BO,0)-2,51)&amp;"E-9","")),"")</f>
        <v/>
      </c>
      <c r="I1797" s="39"/>
    </row>
    <row r="1798" spans="2:9" s="16" customFormat="1">
      <c r="B1798" s="33"/>
      <c r="C1798" s="33"/>
      <c r="D1798" s="33"/>
      <c r="E1798" s="33"/>
      <c r="F1798" s="33"/>
      <c r="G1798" s="33"/>
      <c r="H1798" s="33"/>
      <c r="I1798" s="33"/>
    </row>
    <row r="1799" spans="2:9" s="16" customFormat="1" ht="15.75">
      <c r="B1799" s="38" t="str">
        <f ca="1">IF(B1801="","",6)</f>
        <v/>
      </c>
      <c r="C1799" s="33"/>
      <c r="D1799" s="38" t="str">
        <f ca="1">IF(B1801="","",3)</f>
        <v/>
      </c>
      <c r="E1799" s="33"/>
      <c r="F1799" s="38" t="str">
        <f ca="1">IF(B1801="","",3)</f>
        <v/>
      </c>
      <c r="G1799" s="33"/>
      <c r="H1799" s="38" t="str">
        <f ca="1">IF(B1801="","",3)</f>
        <v/>
      </c>
      <c r="I1799" s="33"/>
    </row>
    <row r="1800" spans="2:9" s="16" customFormat="1" ht="15.75">
      <c r="B1800" s="39"/>
      <c r="C1800" s="33"/>
      <c r="D1800" s="33"/>
      <c r="E1800" s="33"/>
      <c r="F1800" s="33"/>
      <c r="G1800" s="33"/>
      <c r="H1800" s="33"/>
      <c r="I1800" s="33"/>
    </row>
    <row r="1801" spans="2:9" s="16" customFormat="1" ht="15.75">
      <c r="B1801" s="35" t="str">
        <f ca="1">IFERROR(IF(AND(INDEX(Tab_DaBa[],MATCH(CONCATENATE(Liste!$C$3,$B$1697,$B$1783),Data!$BO:$BO,0)-2,48)&lt;&gt;"",INDEX(Tab_DaBa[],MATCH(CONCATENATE(Liste!$C$3,$B$1697,$B$1783),Data!$BO:$BO,0)-2,53)=0),INDEX(Tab_DaBa[],MATCH(CONCATENATE(Liste!$C$3,$B$1697,$B$1783),Data!$BO:$BO,0)-2,14),IF(INDEX(Tab_DaBa[],MATCH(CONCATENATE(Liste!$C$3,$B$1697,$B$1783),Data!$BO:$BO,0)-2,48)&lt;&gt;"",INDEX(Tab_DaBa[],MATCH(CONCATENATE(Liste!$C$3,$B$1697,$B$1783),Data!$BO:$BO,0)-2,54),"")),"")</f>
        <v/>
      </c>
      <c r="C1801" s="39"/>
      <c r="D1801" s="35" t="str">
        <f ca="1">IFERROR(IF(AND(INDEX(Tab_DaBa[],MATCH(CONCATENATE(Liste!$C$3,$B$1697,$B$1783),Data!$BO:$BO,0)-2,53)&lt;&gt;"",INDEX(Tab_DaBa[],MATCH(CONCATENATE(Liste!$C$3,$B$1697,$B$1783),Data!$BO:$BO,0)-2,58)=0),INDEX(Tab_DaBa[],MATCH(CONCATENATE(Liste!$C$3,$B$1697,$B$1783),Data!$BO:$BO,0)-2,14),IF(INDEX(Tab_DaBa[],MATCH(CONCATENATE(Liste!$C$3,$B$1697,$B$1783),Data!$BO:$BO,0)-2,53)&lt;&gt;"",INDEX(Tab_DaBa[],MATCH(CONCATENATE(Liste!$C$3,$B$1697,$B$1783),Data!$BO:$BO,0)-2,59),"")),"")</f>
        <v/>
      </c>
      <c r="E1801" s="33"/>
      <c r="F1801" s="35" t="str">
        <f ca="1">IFERROR(IF(AND(INDEX(Tab_DaBa[],MATCH(CONCATENATE(Liste!$C$3,$B$1697,$B$1783),Data!$BO:$BO,0)-2,58)&lt;&gt;"",INDEX(Tab_DaBa[],MATCH(CONCATENATE(Liste!$C$3,$B$1697,$B$1783),Data!$BO:$BO,0)-2,63)=0),INDEX(Tab_DaBa[],MATCH(CONCATENATE(Liste!$C$3,$B$1697,$B$1783),Data!$BO:$BO,0)-2,14),IF(INDEX(Tab_DaBa[],MATCH(CONCATENATE(Liste!$C$3,$B$1697,$B$1783),Data!$BO:$BO,0)-2,58)&lt;&gt;"",INDEX(Tab_DaBa[],MATCH(CONCATENATE(Liste!$C$3,$B$1697,$B$1783),Data!$BO:$BO,0)-2,64),"")),"")</f>
        <v/>
      </c>
      <c r="G1801" s="39"/>
      <c r="H1801" s="35" t="str">
        <f ca="1">IFERROR(IF(INDEX(Tab_DaBa[],MATCH(CONCATENATE(Liste!$C$3,$B$1697,$B$1783),Data!$BO:$BO,0)-2,63)&lt;&gt;"",INDEX(Tab_DaBa[],MATCH(CONCATENATE(Liste!$C$3,$B$1697,$B$1783),Data!$BO:$BO,0)-2,14),""),"")</f>
        <v/>
      </c>
    </row>
    <row r="1802" spans="2:9" s="16" customFormat="1" ht="15.75">
      <c r="B1802" s="35" t="str">
        <f ca="1">IFERROR(IF(AND(INDEX(Tab_DaBa[],MATCH(CONCATENATE(Liste!$C$3,$B$1697,$B$1783),Data!$BO:$BO,0)-2,48)&lt;&gt;"",INDEX(Tab_DaBa[],MATCH(CONCATENATE(Liste!$C$3,$B$1697,$B$1783),Data!$BO:$BO,0)-2,53)=0),INDEX(Tab_DaBa[],MATCH(CONCATENATE(Liste!$C$3,$B$1697,$B$1783),Data!$BO:$BO,0)-2,12),IF(INDEX(Tab_DaBa[],MATCH(CONCATENATE(Liste!$C$3,$B$1697,$B$1783),Data!$BO:$BO,0)-2,48)&lt;&gt;"",INDEX(Tab_DaBa[],MATCH(CONCATENATE(Liste!$C$3,$B$1697,$B$1783),Data!$BO:$BO,0)-2,52),"")),"")</f>
        <v/>
      </c>
      <c r="C1802" s="39"/>
      <c r="D1802" s="35" t="str">
        <f ca="1">IFERROR(IF(AND(INDEX(Tab_DaBa[],MATCH(CONCATENATE(Liste!$C$3,$B$1697,$B$1783),Data!$BO:$BO,0)-2,53)&lt;&gt;"",INDEX(Tab_DaBa[],MATCH(CONCATENATE(Liste!$C$3,$B$1697,$B$1783),Data!$BO:$BO,0)-2,58)=0),INDEX(Tab_DaBa[],MATCH(CONCATENATE(Liste!$C$3,$B$1697,$B$1783),Data!$BO:$BO,0)-2,12),IF(INDEX(Tab_DaBa[],MATCH(CONCATENATE(Liste!$C$3,$B$1697,$B$1783),Data!$BO:$BO,0)-2,53)&lt;&gt;"",INDEX(Tab_DaBa[],MATCH(CONCATENATE(Liste!$C$3,$B$1697,$B$1783),Data!$BO:$BO,0)-2,57),"")),"")</f>
        <v/>
      </c>
      <c r="E1802" s="37"/>
      <c r="F1802" s="35" t="str">
        <f ca="1">IFERROR(IF(AND(INDEX(Tab_DaBa[],MATCH(CONCATENATE(Liste!$C$3,$B$1697,$B$1783),Data!$BO:$BO,0)-2,58)&lt;&gt;"",INDEX(Tab_DaBa[],MATCH(CONCATENATE(Liste!$C$3,$B$1697,$B$1783),Data!$BO:$BO,0)-2,63)=0),INDEX(Tab_DaBa[],MATCH(CONCATENATE(Liste!$C$3,$B$1697,$B$1783),Data!$BO:$BO,0)-2,12),IF(INDEX(Tab_DaBa[],MATCH(CONCATENATE(Liste!$C$3,$B$1697,$B$1783),Data!$BO:$BO,0)-2,58)&lt;&gt;"",INDEX(Tab_DaBa[],MATCH(CONCATENATE(Liste!$C$3,$B$1697,$B$1783),Data!$BO:$BO,0)-2,62),"")),"")</f>
        <v/>
      </c>
      <c r="G1802" s="39"/>
      <c r="H1802" s="35" t="str">
        <f ca="1">IFERROR(IF(INDEX(Tab_DaBa[],MATCH(CONCATENATE(Liste!$C$3,$B$1697,$B$1783),Data!$BO:$BO,0)-2,63)&lt;&gt;"",INDEX(Tab_DaBa[],MATCH(CONCATENATE(Liste!$C$3,$B$1697,$B$1783),Data!$BO:$BO,0)-2,12),""),"")</f>
        <v/>
      </c>
    </row>
    <row r="1803" spans="2:9" s="16" customFormat="1" ht="15.75">
      <c r="B1803" s="35" t="str">
        <f ca="1">IFERROR(IF(AND(INDEX(Tab_DaBa[],MATCH(CONCATENATE(Liste!$C$3,$B$1697,$B$1783),Data!$BO:$BO,0)-2,48)&lt;&gt;"",INDEX(Tab_DaBa[],MATCH(CONCATENATE(Liste!$C$3,$B$1697,$B$1783),Data!$BO:$BO,0)-2,53)=""),INDEX(Tab_DaBa[],MATCH(CONCATENATE(Liste!$C$3,$B$1697,$B$1783),Data!$BO:$BO,0)-2,13),IF(INDEX(Tab_DaBa[],MATCH(CONCATENATE(Liste!$C$3,$B$1697,$B$1783),Data!$BO:$BO,0)-2,48)&lt;&gt;"",INDEX(Tab_DaBa[],MATCH(CONCATENATE(Liste!$C$3,$B$1697,$B$1783),Data!$BO:$BO,0)-2,53),"")),"")</f>
        <v/>
      </c>
      <c r="C1803" s="38" t="str">
        <f ca="1">IF(D1801="","",4)</f>
        <v/>
      </c>
      <c r="D1803" s="35" t="str">
        <f ca="1">IFERROR(IF(AND(INDEX(Tab_DaBa[],MATCH(CONCATENATE(Liste!$C$3,$B$1697,$B$1783),Data!$BO:$BO,0)-2,53)&lt;&gt;"",INDEX(Tab_DaBa[],MATCH(CONCATENATE(Liste!$C$3,$B$1697,$B$1783),Data!$BO:$BO,0)-2,58)=""),INDEX(Tab_DaBa[],MATCH(CONCATENATE(Liste!$C$3,$B$1697,$B$1783),Data!$BO:$BO,0)-2,13),IF(INDEX(Tab_DaBa[],MATCH(CONCATENATE(Liste!$C$3,$B$1697,$B$1783),Data!$BO:$BO,0)-2,53)&lt;&gt;"",INDEX(Tab_DaBa[],MATCH(CONCATENATE(Liste!$C$3,$B$1697,$B$1783),Data!$BO:$BO,0)-2,58),"")),"")</f>
        <v/>
      </c>
      <c r="E1803" s="38" t="str">
        <f ca="1">IF(F1801="","",4)</f>
        <v/>
      </c>
      <c r="F1803" s="35" t="str">
        <f ca="1">IFERROR(IF(AND(INDEX(Tab_DaBa[],MATCH(CONCATENATE(Liste!$C$3,$B$1697,$B$1783),Data!$BO:$BO,0)-2,58)&lt;&gt;"",INDEX(Tab_DaBa[],MATCH(CONCATENATE(Liste!$C$3,$B$1697,$B$1783),Data!$BO:$BO,0)-2,63)=""),INDEX(Tab_DaBa[],MATCH(CONCATENATE(Liste!$C$3,$B$1697,$B$1783),Data!$BO:$BO,0)-2,13),IF(INDEX(Tab_DaBa[],MATCH(CONCATENATE(Liste!$C$3,$B$1697,$B$1783),Data!$BO:$BO,0)-2,58)&lt;&gt;"",INDEX(Tab_DaBa[],MATCH(CONCATENATE(Liste!$C$3,$B$1697,$B$1783),Data!$BO:$BO,0)-2,63),"")),"")</f>
        <v/>
      </c>
      <c r="G1803" s="38" t="str">
        <f ca="1">IF(H1801="","",4)</f>
        <v/>
      </c>
      <c r="H1803" s="35" t="str">
        <f ca="1">IFERROR(IF(INDEX(Tab_DaBa[],MATCH(CONCATENATE(Liste!$C$3,$B$1697,$B$1783),Data!$BO:$BO,0)-2,63)&lt;&gt;"",INDEX(Tab_DaBa[],MATCH(CONCATENATE(Liste!$C$3,$B$1697,$B$1783),Data!$BO:$BO,0)-2,13),""),"")</f>
        <v/>
      </c>
    </row>
    <row r="1804" spans="2:9" s="16" customFormat="1" ht="15.75">
      <c r="B1804" s="35" t="str">
        <f ca="1">IFERROR(IF(AND(INDEX(Tab_DaBa[],MATCH(CONCATENATE(Liste!$C$3,$B$1697,$B$1783),Data!$BO:$BO,0)-2,48)&lt;&gt;"",INDEX(Tab_DaBa[],MATCH(CONCATENATE(Liste!$C$3,$B$1697,$B$1783),Data!$BO:$BO,0)-2,53)=""),"Performance Level: "&amp;INDEX(Tab_DaBa[],MATCH(CONCATENATE(Liste!$C$3,$B$1697,$B$1783),Data!$BO:$BO,0)-2,15),IF(INDEX(Tab_DaBa[],MATCH(CONCATENATE(Liste!$C$3,$B$1697,$B$1783),Data!$BO:$BO,0)-2,48)&lt;&gt;"","Performance Level: "&amp;INDEX(Tab_DaBa[],MATCH(CONCATENATE(Liste!$C$3,$B$1697,$B$1783),Data!$BO:$BO,0)-2,55),"")),"")</f>
        <v/>
      </c>
      <c r="C1804" s="39"/>
      <c r="D1804" s="35" t="str">
        <f ca="1">IFERROR(IF(AND(INDEX(Tab_DaBa[],MATCH(CONCATENATE(Liste!$C$3,$B$1697,$B$1783),Data!$BO:$BO,0)-2,53)&lt;&gt;"",INDEX(Tab_DaBa[],MATCH(CONCATENATE(Liste!$C$3,$B$1697,$B$1783),Data!$BO:$BO,0)-2,58)=""),"Performance Level: "&amp;INDEX(Tab_DaBa[],MATCH(CONCATENATE(Liste!$C$3,$B$1697,$B$1783),Data!$BO:$BO,0)-2,15),IF(INDEX(Tab_DaBa[],MATCH(CONCATENATE(Liste!$C$3,$B$1697,$B$1783),Data!$BO:$BO,0)-2,53)&lt;&gt;"","Performance Level: "&amp;INDEX(Tab_DaBa[],MATCH(CONCATENATE(Liste!$C$3,$B$1697,$B$1783),Data!$BO:$BO,0)-2,60),"")),"")</f>
        <v/>
      </c>
      <c r="E1804" s="37"/>
      <c r="F1804" s="35" t="str">
        <f ca="1">IFERROR(IF(AND(INDEX(Tab_DaBa[],MATCH(CONCATENATE(Liste!$C$3,$B$1697,$B$1783),Data!$BO:$BO,0)-2,58)&lt;&gt;"",INDEX(Tab_DaBa[],MATCH(CONCATENATE(Liste!$C$3,$B$1697,$B$1783),Data!$BO:$BO,0)-2,63)=""),"Performance Level: "&amp;INDEX(Tab_DaBa[],MATCH(CONCATENATE(Liste!$C$3,$B$1697,$B$1783),Data!$BO:$BO,0)-2,15),IF(INDEX(Tab_DaBa[],MATCH(CONCATENATE(Liste!$C$3,$B$1697,$B$1783),Data!$BO:$BO,0)-2,58)&lt;&gt;"","Performance Level: "&amp;INDEX(Tab_DaBa[],MATCH(CONCATENATE(Liste!$C$3,$B$1697,$B$1783),Data!$BO:$BO,0)-2,65),"")),"")</f>
        <v/>
      </c>
      <c r="G1804" s="39"/>
      <c r="H1804" s="35" t="str">
        <f ca="1">IFERROR(IF(INDEX(Tab_DaBa[],MATCH(CONCATENATE(Liste!$C$3,$B$1697,$B$1783),Data!$BO:$BO,0)-2,63)&lt;&gt;"","Performance Level: "&amp;INDEX(Tab_DaBa[],MATCH(CONCATENATE(Liste!$C$3,$B$1697,$B$1783),Data!$BO:$BO,0)-2,15),""),"")</f>
        <v/>
      </c>
    </row>
    <row r="1805" spans="2:9" s="16" customFormat="1" ht="15.75">
      <c r="B1805" s="35" t="str">
        <f ca="1">IFERROR(IF(AND(INDEX(Tab_DaBa[],MATCH(CONCATENATE(Liste!$C$3,$B$1697,$B$1783),Data!$BO:$BO,0)-2,48)&lt;&gt;"",INDEX(Tab_DaBa[],MATCH(CONCATENATE(Liste!$C$3,$B$1697,$B$1783),Data!$BO:$BO,0)-2,53)=""),"PFH [1/h] = "&amp;10^9*INDEX(Tab_DaBa[],MATCH(CONCATENATE(Liste!$C$3,$B$1697,$B$1783),Data!$BO:$BO,0)-2,16)&amp;"E-9",IF(INDEX(Tab_DaBa[],MATCH(CONCATENATE(Liste!$C$3,$B$1697,$B$1783),Data!$BO:$BO,0)-2,48)&lt;&gt;"","PFH [1/h] = "&amp;10^9*INDEX(Tab_DaBa[],MATCH(CONCATENATE(Liste!$C$3,$B$1697,$B$1783),Data!$BO:$BO,0)-2,56)&amp;"E-9","")),"")</f>
        <v/>
      </c>
      <c r="C1805" s="39"/>
      <c r="D1805" s="35" t="str">
        <f ca="1">IFERROR(IF(AND(INDEX(Tab_DaBa[],MATCH(CONCATENATE(Liste!$C$3,$B$1697,$B$1783),Data!$BO:$BO,0)-2,53)&lt;&gt;"",INDEX(Tab_DaBa[],MATCH(CONCATENATE(Liste!$C$3,$B$1697,$B$1783),Data!$BO:$BO,0)-2,58)=""),"PFH [1/h] = "&amp;10^9*INDEX(Tab_DaBa[],MATCH(CONCATENATE(Liste!$C$3,$B$1697,$B$1783),Data!$BO:$BO,0)-2,16)&amp;"E-9",IF(INDEX(Tab_DaBa[],MATCH(CONCATENATE(Liste!$C$3,$B$1697,$B$1783),Data!$BO:$BO,0)-2,53)&lt;&gt;"","PFH [1/h] = "&amp;10^9*INDEX(Tab_DaBa[],MATCH(CONCATENATE(Liste!$C$3,$B$1697,$B$1783),Data!$BO:$BO,0)-2,61)&amp;"E-9","")),"")</f>
        <v/>
      </c>
      <c r="E1805" s="37"/>
      <c r="F1805" s="35" t="str">
        <f ca="1">IFERROR(IF(AND(INDEX(Tab_DaBa[],MATCH(CONCATENATE(Liste!$C$3,$B$1697,$B$1783),Data!$BO:$BO,0)-2,58)&lt;&gt;"",INDEX(Tab_DaBa[],MATCH(CONCATENATE(Liste!$C$3,$B$1697,$B$1783),Data!$BO:$BO,0)-2,63)=""),"PFH [1/h] = "&amp;10^9*INDEX(Tab_DaBa[],MATCH(CONCATENATE(Liste!$C$3,$B$1697,$B$1783),Data!$BO:$BO,0)-2,16)&amp;"E-9",IF(INDEX(Tab_DaBa[],MATCH(CONCATENATE(Liste!$C$3,$B$1697,$B$1783),Data!$BO:$BO,0)-2,58)&lt;&gt;"","PFH [1/h] = "&amp;10^9*INDEX(Tab_DaBa[],MATCH(CONCATENATE(Liste!$C$3,$B$1697,$B$1783),Data!$BO:$BO,0)-2,66)&amp;"E-9","")),"")</f>
        <v/>
      </c>
      <c r="G1805" s="39"/>
      <c r="H1805" s="35" t="str">
        <f ca="1">IFERROR(IF(INDEX(Tab_DaBa[],MATCH(CONCATENATE(Liste!$C$3,$B$1697,$B$1783),Data!$BO:$BO,0)-2,63)&lt;&gt;"","PFH [1/h] = "&amp;10^9*INDEX(Tab_DaBa[],MATCH(CONCATENATE(Liste!$C$3,$B$1697,$B$1783),Data!$BO:$BO,0)-2,16)&amp;"E-9",""),"")</f>
        <v/>
      </c>
    </row>
    <row r="1806" spans="2:9" s="16" customFormat="1"/>
    <row r="1807" spans="2:9" s="16" customFormat="1">
      <c r="B1807" s="43" t="str">
        <f ca="1">IF(D1807="","","Erforderlich")</f>
        <v>Erforderlich</v>
      </c>
      <c r="D1807" s="44" t="str">
        <f ca="1">IFERROR("Performance Level: "&amp;INDEX(Tab_DaBa[],MATCH(CONCATENATE(Liste!$C$3,$B$1697,$B$1783),Data!$BO:$BO,0)-2,4),"")</f>
        <v>Performance Level: PLr_ges4_4</v>
      </c>
    </row>
    <row r="1808" spans="2:9" s="16" customFormat="1">
      <c r="B1808" s="45"/>
    </row>
    <row r="1809" spans="2:9" s="16" customFormat="1">
      <c r="B1809" s="46" t="str">
        <f ca="1">IF(D1809="","","Erreicht")</f>
        <v>Erreicht</v>
      </c>
      <c r="D1809" s="47" t="str">
        <f ca="1">IFERROR("Performance Level: "&amp;INDEX(Tab_DaBa[],MATCH(CONCATENATE(Liste!$C$3,$B$1697,$B$1783),Data!$BO:$BO,0)-2,5)&amp;"          PFH [1/h] = "&amp;10^9*INDEX(Tab_DaBa[],MATCH(CONCATENATE(Liste!$C$3,$B$1697,$B$1783),Data!$BO:$BO,0)-2,6)&amp;"E-9","")</f>
        <v>Performance Level: Pl_ges4_4          PFH [1/h] = 71,7E-9</v>
      </c>
    </row>
    <row r="1810" spans="2:9" s="16" customFormat="1"/>
    <row r="1811" spans="2:9" s="16" customFormat="1">
      <c r="B1811" s="42" t="str">
        <f ca="1">IFERROR(IF(5&gt;COUNTIF(Data!$BP:$BP,CONCATENATE(Liste!$C$3,$B$1697)),"",INDEX(Tab_DaBa[],MATCH(CONCATENATE(Liste!$C$3,$B$1697),Data!$BP:$BP,0)+2,3)),"")</f>
        <v>7.5 Test4 (E+5L+A)</v>
      </c>
    </row>
    <row r="1812" spans="2:9" s="16" customFormat="1"/>
    <row r="1813" spans="2:9" s="16" customFormat="1" ht="15.75">
      <c r="B1813" s="35" t="str">
        <f ca="1">IFERROR(INDEX(Tab_DaBa[],MATCH(CONCATENATE(Liste!$C$3,$B$1697,$B$1811),Data!$BO:$BO,0)-2,9),"")</f>
        <v>Eingang</v>
      </c>
      <c r="C1813" s="54"/>
      <c r="D1813" s="35" t="str">
        <f ca="1">IFERROR(IF(INDEX(Tab_DaBa[],MATCH(CONCATENATE(Liste!$C$3,$B$1697,$B$1811),Data!$BO:$BO,0)-2,18)=0,INDEX(Tab_DaBa[],MATCH(CONCATENATE(Liste!$C$3,$B$1697,$B$1811),Data!$BO:$BO,0)-2,14),INDEX(Tab_DaBa[],MATCH(CONCATENATE(Liste!$C$3,$B$1697,$B$1811),Data!$BO:$BO,0)-2,19)),"")</f>
        <v>Logik 01</v>
      </c>
      <c r="E1813" s="33"/>
      <c r="F1813" s="35" t="str">
        <f ca="1">IFERROR(IF(AND(INDEX(Tab_DaBa[],MATCH(CONCATENATE(Liste!$C$3,$B$1697,$B$1811),Data!$BO:$BO,0)-2,18)&lt;&gt;"",INDEX(Tab_DaBa[],MATCH(CONCATENATE(Liste!$C$3,$B$1697,$B$1811),Data!$BO:$BO,0)-2,23)=0),INDEX(Tab_DaBa[],MATCH(CONCATENATE(Liste!$C$3,$B$1697,$B$1811),Data!$BO:$BO,0)-2,14),IF(INDEX(Tab_DaBa[],MATCH(CONCATENATE(Liste!$C$3,$B$1697,$B$1811),Data!$BO:$BO,0)-2,23)&lt;&gt;"",INDEX(Tab_DaBa[],MATCH(CONCATENATE(Liste!$C$3,$B$1697,$B$1811),Data!$BO:$BO,0)-2,24),"")),"")</f>
        <v>Logik 02</v>
      </c>
      <c r="G1813" s="39"/>
      <c r="H1813" s="35" t="str">
        <f ca="1">IFERROR(IF(AND(INDEX(Tab_DaBa[],MATCH(CONCATENATE(Liste!$C$3,$B$1697,$B$1811),Data!$BO:$BO,0)-2,23)&lt;&gt;"",INDEX(Tab_DaBa[],MATCH(CONCATENATE(Liste!$C$3,$B$1697,$B$1811),Data!$BO:$BO,0)-2,28)=0),INDEX(Tab_DaBa[],MATCH(CONCATENATE(Liste!$C$3,$B$1697,$B$1811),Data!$BO:$BO,0)-2,14),IF(INDEX(Tab_DaBa[],MATCH(CONCATENATE(Liste!$C$3,$B$1697,$B$1811),Data!$BO:$BO,0)-2,23)&lt;&gt;"",INDEX(Tab_DaBa[],MATCH(CONCATENATE(Liste!$C$3,$B$1697,$B$1811),Data!$BO:$BO,0)-2,29),"")),"")</f>
        <v>Logik 03</v>
      </c>
      <c r="I1813" s="39"/>
    </row>
    <row r="1814" spans="2:9" s="16" customFormat="1" ht="15.75">
      <c r="B1814" s="35" t="str">
        <f ca="1">IFERROR(INDEX(Tab_DaBa[],MATCH(CONCATENATE(Liste!$C$3,$B$1697,$B$1811),Data!$BO:$BO,0)-2,7),"")</f>
        <v>eeee-33_5</v>
      </c>
      <c r="C1814" s="54"/>
      <c r="D1814" s="35" t="str">
        <f ca="1">IFERROR(IF(INDEX(Tab_DaBa[],MATCH(CONCATENATE(Liste!$C$3,$B$1697,$B$1811),Data!$BO:$BO,0)-2,18)="",INDEX(Tab_DaBa[],MATCH(CONCATENATE(Liste!$C$3,$B$1697,$B$1811),Data!$BO:$BO,0)-2,12),INDEX(Tab_DaBa[],MATCH(CONCATENATE(Liste!$C$3,$B$1697,$B$1811),Data!$BO:$BO,0)-2,17)),"")</f>
        <v>Log01-04_05</v>
      </c>
      <c r="E1814" s="36"/>
      <c r="F1814" s="35" t="str">
        <f ca="1">IFERROR(IF(AND(INDEX(Tab_DaBa[],MATCH(CONCATENATE(Liste!$C$3,$B$1697,$B$1811),Data!$BO:$BO,0)-2,18)&lt;&gt;"",INDEX(Tab_DaBa[],MATCH(CONCATENATE(Liste!$C$3,$B$1697,$B$1811),Data!$BO:$BO,0)-2,23)=0),INDEX(Tab_DaBa[],MATCH(CONCATENATE(Liste!$C$3,$B$1697,$B$1811),Data!$BO:$BO,0)-2,12),IF(INDEX(Tab_DaBa[],MATCH(CONCATENATE(Liste!$C$3,$B$1697,$B$1811),Data!$BO:$BO,0)-2,23)&lt;&gt;"",INDEX(Tab_DaBa[],MATCH(CONCATENATE(Liste!$C$3,$B$1697,$B$1811),Data!$BO:$BO,0)-2,22),"")),"")</f>
        <v>Lo04-04_05</v>
      </c>
      <c r="G1814" s="39"/>
      <c r="H1814" s="35" t="str">
        <f ca="1">IFERROR(IF(AND(INDEX(Tab_DaBa[],MATCH(CONCATENATE(Liste!$C$3,$B$1697,$B$1811),Data!$BO:$BO,0)-2,23)&lt;&gt;"",INDEX(Tab_DaBa[],MATCH(CONCATENATE(Liste!$C$3,$B$1697,$B$1811),Data!$BO:$BO,0)-2,28)=0),INDEX(Tab_DaBa[],MATCH(CONCATENATE(Liste!$C$3,$B$1697,$B$1811),Data!$BO:$BO,0)-2,12),IF(INDEX(Tab_DaBa[],MATCH(CONCATENATE(Liste!$C$3,$B$1697,$B$1811),Data!$BO:$BO,0)-2,23)&lt;&gt;"",INDEX(Tab_DaBa[],MATCH(CONCATENATE(Liste!$C$3,$B$1697,$B$1811),Data!$BO:$BO,0)-2,27),"")),"")</f>
        <v>Lo04-44_05</v>
      </c>
      <c r="I1814" s="39"/>
    </row>
    <row r="1815" spans="2:9" s="16" customFormat="1" ht="15.75">
      <c r="B1815" s="35" t="str">
        <f ca="1">IFERROR(INDEX(Tab_DaBa[],MATCH(CONCATENATE(Liste!$C$3,$B$1697,$B$1811),Data!$BO:$BO,0)-2,8),"")</f>
        <v>Bez_Ein4_5</v>
      </c>
      <c r="C1815" s="40">
        <f ca="1">IF(D1813="","",4)</f>
        <v>4</v>
      </c>
      <c r="D1815" s="35" t="str">
        <f ca="1">IFERROR(IF(INDEX(Tab_DaBa[],MATCH(CONCATENATE(Liste!$C$3,$B$1697,$B$1811),Data!$BO:$BO,0)-2,18)="",INDEX(Tab_DaBa[],MATCH(CONCATENATE(Liste!$C$3,$B$1697,$B$1811),Data!$BO:$BO,0)-2,13),INDEX(Tab_DaBa[],MATCH(CONCATENATE(Liste!$C$3,$B$1697,$B$1811),Data!$BO:$BO,0)-2,18)),"")</f>
        <v>Bez_Log01_04_05</v>
      </c>
      <c r="E1815" s="40">
        <f ca="1">IF(F1813="","",4)</f>
        <v>4</v>
      </c>
      <c r="F1815" s="35" t="str">
        <f ca="1">IFERROR(IF(AND(INDEX(Tab_DaBa[],MATCH(CONCATENATE(Liste!$C$3,$B$1697,$B$1811),Data!$BO:$BO,0)-2,18)&lt;&gt;"",INDEX(Tab_DaBa[],MATCH(CONCATENATE(Liste!$C$3,$B$1697,$B$1811),Data!$BO:$BO,0)-2,23)=""),INDEX(Tab_DaBa[],MATCH(CONCATENATE(Liste!$C$3,$B$1697,$B$1811),Data!$BO:$BO,0)-2,13),IF(INDEX(Tab_DaBa[],MATCH(CONCATENATE(Liste!$C$3,$B$1697,$B$1811),Data!$BO:$BO,0)-2,23)&lt;&gt;"",INDEX(Tab_DaBa[],MATCH(CONCATENATE(Liste!$C$3,$B$1697,$B$1811),Data!$BO:$BO,0)-2,23),"")),"")</f>
        <v>Bez_Lo04_05</v>
      </c>
      <c r="G1815" s="38">
        <f ca="1">IF(H1813="","",4)</f>
        <v>4</v>
      </c>
      <c r="H1815" s="35" t="str">
        <f ca="1">IFERROR(IF(AND(INDEX(Tab_DaBa[],MATCH(CONCATENATE(Liste!$C$3,$B$1697,$B$1811),Data!$BO:$BO,0)-2,23)&lt;&gt;"",INDEX(Tab_DaBa[],MATCH(CONCATENATE(Liste!$C$3,$B$1697,$B$1811),Data!$BO:$BO,0)-2,28)=""),INDEX(Tab_DaBa[],MATCH(CONCATENATE(Liste!$C$3,$B$1697,$B$1811),Data!$BO:$BO,0)-2,13),IF(INDEX(Tab_DaBa[],MATCH(CONCATENATE(Liste!$C$3,$B$1697,$B$1811),Data!$BO:$BO,0)-2,23)&lt;&gt;"",INDEX(Tab_DaBa[],MATCH(CONCATENATE(Liste!$C$3,$B$1697,$B$1811),Data!$BO:$BO,0)-2,28),"")),"")</f>
        <v>Bez_Lo04_05</v>
      </c>
      <c r="I1815" s="38">
        <f ca="1">IF(B1821="","",6)</f>
        <v>6</v>
      </c>
    </row>
    <row r="1816" spans="2:9" s="16" customFormat="1" ht="15.75">
      <c r="B1816" s="35" t="str">
        <f ca="1">IFERROR("Performance Level: "&amp;INDEX(Tab_DaBa[],MATCH(CONCATENATE(Liste!$C$3,$B$1697,$B$1811),Data!$BO:$BO,0)-2,10),"")</f>
        <v>Performance Level: PL_Ein4_5</v>
      </c>
      <c r="C1816" s="54"/>
      <c r="D1816" s="35" t="str">
        <f ca="1">IFERROR(IF(INDEX(Tab_DaBa[],MATCH(CONCATENATE(Liste!$C$3,$B$1697,$B$1811),Data!$BO:$BO,0)-2,18)="","Performance Level: "&amp;INDEX(Tab_DaBa[],MATCH(CONCATENATE(Liste!$C$3,$B$1697,$B$1811),Data!$BO:$BO,0)-2,15),"Performance Level: "&amp;INDEX(Tab_DaBa[],MATCH(CONCATENATE(Liste!$C$3,$B$1697,$B$1811),Data!$BO:$BO,0)-2,20)),"")</f>
        <v>Performance Level: PL_Log01_04_05</v>
      </c>
      <c r="E1816" s="36"/>
      <c r="F1816" s="35" t="str">
        <f ca="1">IFERROR(IF(AND(INDEX(Tab_DaBa[],MATCH(CONCATENATE(Liste!$C$3,$B$1697,$B$1811),Data!$BO:$BO,0)-2,18)&lt;&gt;"",INDEX(Tab_DaBa[],MATCH(CONCATENATE(Liste!$C$3,$B$1697,$B$1811),Data!$BO:$BO,0)-2,23)=""),"Performance Level: "&amp;INDEX(Tab_DaBa[],MATCH(CONCATENATE(Liste!$C$3,$B$1697,$B$1811),Data!$BO:$BO,0)-2,15),IF(INDEX(Tab_DaBa[],MATCH(CONCATENATE(Liste!$C$3,$B$1697,$B$1811),Data!$BO:$BO,0)-2,23)&lt;&gt;"","Performance Level: "&amp;INDEX(Tab_DaBa[],MATCH(CONCATENATE(Liste!$C$3,$B$1697,$B$1811),Data!$BO:$BO,0)-2,25),"")),"")</f>
        <v>Performance Level: PL_Lo04_05</v>
      </c>
      <c r="G1816" s="39"/>
      <c r="H1816" s="35" t="str">
        <f ca="1">IFERROR(IF(AND(INDEX(Tab_DaBa[],MATCH(CONCATENATE(Liste!$C$3,$B$1697,$B$1811),Data!$BO:$BO,0)-2,23)&lt;&gt;"",INDEX(Tab_DaBa[],MATCH(CONCATENATE(Liste!$C$3,$B$1697,$B$1811),Data!$BO:$BO,0)-2,28)=""),"Performance Level: "&amp;INDEX(Tab_DaBa[],MATCH(CONCATENATE(Liste!$C$3,$B$1697,$B$1811),Data!$BO:$BO,0)-2,15),IF(INDEX(Tab_DaBa[],MATCH(CONCATENATE(Liste!$C$3,$B$1697,$B$1811),Data!$BO:$BO,0)-2,23)&lt;&gt;"","Performance Level: "&amp;INDEX(Tab_DaBa[],MATCH(CONCATENATE(Liste!$C$3,$B$1697,$B$1811),Data!$BO:$BO,0)-2,30),"")),"")</f>
        <v>Performance Level: PL_Lo04_05</v>
      </c>
      <c r="I1816" s="38"/>
    </row>
    <row r="1817" spans="2:9" s="16" customFormat="1" ht="15.75">
      <c r="B1817" s="53" t="str">
        <f ca="1">IFERROR("PFH [1/h] = "&amp;10^9*INDEX(Tab_DaBa[],MATCH(CONCATENATE(Liste!$C$3,$B$1697,$B$1811),Data!$BO:$BO,0)-2,11)&amp;"E-9","")</f>
        <v>PFH [1/h] = 42,9E-9</v>
      </c>
      <c r="C1817" s="54"/>
      <c r="D1817" s="35" t="str">
        <f ca="1">IFERROR(IF(INDEX(Tab_DaBa[],MATCH(CONCATENATE(Liste!$C$3,$B$1697,$B$1811),Data!$BO:$BO,0)-2,18)="","PFH [1/h] = "&amp;10^9*INDEX(Tab_DaBa[],MATCH(CONCATENATE(Liste!$C$3,$B$1697,$B$1811),Data!$BO:$BO,0)-2,16)&amp;"E-9","PFH [1/h] = "&amp;10^9*INDEX(Tab_DaBa[],MATCH(CONCATENATE(Liste!$C$3,$B$1697,$B$1811),Data!$BO:$BO,0)-2,21)&amp;"E-9"),"")</f>
        <v>PFH [1/h] = 4,19E-9</v>
      </c>
      <c r="E1817" s="36"/>
      <c r="F1817" s="35" t="str">
        <f ca="1">IFERROR(IF(AND(INDEX(Tab_DaBa[],MATCH(CONCATENATE(Liste!$C$3,$B$1697,$B$1811),Data!$BO:$BO,0)-2,18)&lt;&gt;"",INDEX(Tab_DaBa[],MATCH(CONCATENATE(Liste!$C$3,$B$1697,$B$1811),Data!$BO:$BO,0)-2,23)=""),"PFH [1/h] = "&amp;10^9*INDEX(Tab_DaBa[],MATCH(CONCATENATE(Liste!$C$3,$B$1697,$B$1811),Data!$BO:$BO,0)-2,16)&amp;"E-9",IF(INDEX(Tab_DaBa[],MATCH(CONCATENATE(Liste!$C$3,$B$1697,$B$1811),Data!$BO:$BO,0)-2,23)&lt;&gt;"","PFH [1/h] = "&amp;10^9*INDEX(Tab_DaBa[],MATCH(CONCATENATE(Liste!$C$3,$B$1697,$B$1811),Data!$BO:$BO,0)-2,26)&amp;"E-9","")),"")</f>
        <v>PFH [1/h] = 4,19E-9</v>
      </c>
      <c r="G1817" s="39"/>
      <c r="H1817" s="35" t="str">
        <f ca="1">IFERROR(IF(AND(INDEX(Tab_DaBa[],MATCH(CONCATENATE(Liste!$C$3,$B$1697,$B$1811),Data!$BO:$BO,0)-2,23)&lt;&gt;"",INDEX(Tab_DaBa[],MATCH(CONCATENATE(Liste!$C$3,$B$1697,$B$1811),Data!$BO:$BO,0)-2,28)=""),"PFH [1/h] = "&amp;10^9*INDEX(Tab_DaBa[],MATCH(CONCATENATE(Liste!$C$3,$B$1697,$B$1811),Data!$BO:$BO,0)-2,16)&amp;"E-9",IF(INDEX(Tab_DaBa[],MATCH(CONCATENATE(Liste!$C$3,$B$1697,$B$1811),Data!$BO:$BO,0)-2,23)&lt;&gt;"","PFH [1/h] = "&amp;10^9*INDEX(Tab_DaBa[],MATCH(CONCATENATE(Liste!$C$3,$B$1697,$B$1811),Data!$BO:$BO,0)-2,31)&amp;"E-9","")),"")</f>
        <v>PFH [1/h] = 4,19E-9</v>
      </c>
      <c r="I1817" s="39"/>
    </row>
    <row r="1818" spans="2:9" s="16" customFormat="1">
      <c r="B1818" s="33"/>
      <c r="C1818" s="34"/>
      <c r="D1818" s="33"/>
      <c r="E1818" s="33"/>
      <c r="F1818" s="33"/>
      <c r="G1818" s="33"/>
      <c r="H1818" s="33"/>
      <c r="I1818" s="33"/>
    </row>
    <row r="1819" spans="2:9" s="16" customFormat="1" ht="15.75">
      <c r="B1819" s="38">
        <f ca="1">IF(B1821="","",6)</f>
        <v>6</v>
      </c>
      <c r="C1819" s="34"/>
      <c r="D1819" s="38">
        <f ca="1">IF(B1821="","",3)</f>
        <v>3</v>
      </c>
      <c r="E1819" s="33"/>
      <c r="F1819" s="38">
        <f ca="1">IF(B1821="","",3)</f>
        <v>3</v>
      </c>
      <c r="G1819" s="33"/>
      <c r="H1819" s="38">
        <f ca="1">IF(B1821="","",3)</f>
        <v>3</v>
      </c>
      <c r="I1819" s="33"/>
    </row>
    <row r="1820" spans="2:9" s="16" customFormat="1" ht="15.75">
      <c r="B1820" s="39"/>
      <c r="C1820" s="33"/>
      <c r="D1820" s="33"/>
      <c r="E1820" s="33"/>
      <c r="F1820" s="33"/>
      <c r="G1820" s="33"/>
      <c r="H1820" s="33"/>
      <c r="I1820" s="33"/>
    </row>
    <row r="1821" spans="2:9" s="16" customFormat="1" ht="15.75">
      <c r="B1821" s="35" t="str">
        <f ca="1">IFERROR(IF(AND(INDEX(Tab_DaBa[],MATCH(CONCATENATE(Liste!$C$3,$B$1697,$B$1811),Data!$BO:$BO,0)-2,28)&lt;&gt;"",INDEX(Tab_DaBa[],MATCH(CONCATENATE(Liste!$C$3,$B$1697,$B$1811),Data!$BO:$BO,0)-2,33)=0),INDEX(Tab_DaBa[],MATCH(CONCATENATE(Liste!$C$3,$B$1697,$B$1811),Data!$BO:$BO,0)-2,14),IF(INDEX(Tab_DaBa[],MATCH(CONCATENATE(Liste!$C$3,$B$1697,$B$1811),Data!$BO:$BO,0)-2,28)&lt;&gt;"",INDEX(Tab_DaBa[],MATCH(CONCATENATE(Liste!$C$3,$B$1697,$B$1811),Data!$BO:$BO,0)-2,34),"")),"")</f>
        <v>Logik 04</v>
      </c>
      <c r="C1821" s="39"/>
      <c r="D1821" s="35" t="str">
        <f ca="1">IFERROR(IF(AND(INDEX(Tab_DaBa[],MATCH(CONCATENATE(Liste!$C$3,$B$1697,$B$1811),Data!$BO:$BO,0)-2,33)&lt;&gt;"",INDEX(Tab_DaBa[],MATCH(CONCATENATE(Liste!$C$3,$B$1697,$B$1811),Data!$BO:$BO,0)-2,38)=0),INDEX(Tab_DaBa[],MATCH(CONCATENATE(Liste!$C$3,$B$1697,$B$1811),Data!$BO:$BO,0)-2,14),IF(INDEX(Tab_DaBa[],MATCH(CONCATENATE(Liste!$C$3,$B$1697,$B$1811),Data!$BO:$BO,0)-2,33)&lt;&gt;"",INDEX(Tab_DaBa[],MATCH(CONCATENATE(Liste!$C$3,$B$1697,$B$1811),Data!$BO:$BO,0)-2,39),"")),"")</f>
        <v>Logik 05</v>
      </c>
      <c r="E1821" s="33"/>
      <c r="F1821" s="35" t="str">
        <f ca="1">IFERROR(IF(AND(INDEX(Tab_DaBa[],MATCH(CONCATENATE(Liste!$C$3,$B$1697,$B$1811),Data!$BO:$BO,0)-2,38)&lt;&gt;"",INDEX(Tab_DaBa[],MATCH(CONCATENATE(Liste!$C$3,$B$1697,$B$1811),Data!$BO:$BO,0)-2,43)=0),INDEX(Tab_DaBa[],MATCH(CONCATENATE(Liste!$C$3,$B$1697,$B$1811),Data!$BO:$BO,0)-2,14),IF(INDEX(Tab_DaBa[],MATCH(CONCATENATE(Liste!$C$3,$B$1697,$B$1811),Data!$BO:$BO,0)-2,38)&lt;&gt;"",INDEX(Tab_DaBa[],MATCH(CONCATENATE(Liste!$C$3,$B$1697,$B$1811),Data!$BO:$BO,0)-2,44),"")),"")</f>
        <v>Ausgang</v>
      </c>
      <c r="G1821" s="39"/>
      <c r="H1821" s="35" t="str">
        <f ca="1">IFERROR(IF(AND(INDEX(Tab_DaBa[],MATCH(CONCATENATE(Liste!$C$3,$B$1697,$B$1811),Data!$BO:$BO,0)-2,43)&lt;&gt;"",INDEX(Tab_DaBa[],MATCH(CONCATENATE(Liste!$C$3,$B$1697,$B$1811),Data!$BO:$BO,0)-2,48)=0),INDEX(Tab_DaBa[],MATCH(CONCATENATE(Liste!$C$3,$B$1697,$B$1811),Data!$BO:$BO,0)-2,14),IF(INDEX(Tab_DaBa[],MATCH(CONCATENATE(Liste!$C$3,$B$1697,$B$1811),Data!$BO:$BO,0)-2,43)&lt;&gt;"",INDEX(Tab_DaBa[],MATCH(CONCATENATE(Liste!$C$3,$B$1697,$B$1811),Data!$BO:$BO,0)-2,49),"")),"")</f>
        <v/>
      </c>
      <c r="I1821" s="39"/>
    </row>
    <row r="1822" spans="2:9" s="16" customFormat="1" ht="15.75">
      <c r="B1822" s="35" t="str">
        <f ca="1">IFERROR(IF(AND(INDEX(Tab_DaBa[],MATCH(CONCATENATE(Liste!$C$3,$B$1697,$B$1811),Data!$BO:$BO,0)-2,28)&lt;&gt;"",INDEX(Tab_DaBa[],MATCH(CONCATENATE(Liste!$C$3,$B$1697,$B$1811),Data!$BO:$BO,0)-2,33)=0),INDEX(Tab_DaBa[],MATCH(CONCATENATE(Liste!$C$3,$B$1697,$B$1811),Data!$BO:$BO,0)-2,12),IF(INDEX(Tab_DaBa[],MATCH(CONCATENATE(Liste!$C$3,$B$1697,$B$1811),Data!$BO:$BO,0)-2,28)&lt;&gt;"",INDEX(Tab_DaBa[],MATCH(CONCATENATE(Liste!$C$3,$B$1697,$B$1811),Data!$BO:$BO,0)-2,32),"")),"")</f>
        <v>Lo04-44_05</v>
      </c>
      <c r="C1822" s="39"/>
      <c r="D1822" s="35" t="str">
        <f ca="1">IFERROR(IF(AND(INDEX(Tab_DaBa[],MATCH(CONCATENATE(Liste!$C$3,$B$1697,$B$1811),Data!$BO:$BO,0)-2,33)&lt;&gt;"",INDEX(Tab_DaBa[],MATCH(CONCATENATE(Liste!$C$3,$B$1697,$B$1811),Data!$BO:$BO,0)-2,38)=0),INDEX(Tab_DaBa[],MATCH(CONCATENATE(Liste!$C$3,$B$1697,$B$1811),Data!$BO:$BO,0)-2,12),IF(INDEX(Tab_DaBa[],MATCH(CONCATENATE(Liste!$C$3,$B$1697,$B$1811),Data!$BO:$BO,0)-2,33)&lt;&gt;"",INDEX(Tab_DaBa[],MATCH(CONCATENATE(Liste!$C$3,$B$1697,$B$1811),Data!$BO:$BO,0)-2,37),"")),"")</f>
        <v>Lo04-44_05</v>
      </c>
      <c r="E1822" s="37"/>
      <c r="F1822" s="35" t="str">
        <f ca="1">IFERROR(IF(AND(INDEX(Tab_DaBa[],MATCH(CONCATENATE(Liste!$C$3,$B$1697,$B$1811),Data!$BO:$BO,0)-2,38)&lt;&gt;"",INDEX(Tab_DaBa[],MATCH(CONCATENATE(Liste!$C$3,$B$1697,$B$1811),Data!$BO:$BO,0)-2,43)=0),INDEX(Tab_DaBa[],MATCH(CONCATENATE(Liste!$C$3,$B$1697,$B$1811),Data!$BO:$BO,0)-2,12),IF(INDEX(Tab_DaBa[],MATCH(CONCATENATE(Liste!$C$3,$B$1697,$B$1811),Data!$BO:$BO,0)-2,38)&lt;&gt;"",INDEX(Tab_DaBa[],MATCH(CONCATENATE(Liste!$C$3,$B$1697,$B$1811),Data!$BO:$BO,0)-2,42),"")),"")</f>
        <v>aaaa-44_5</v>
      </c>
      <c r="G1822" s="39"/>
      <c r="H1822" s="35" t="str">
        <f ca="1">IFERROR(IF(AND(INDEX(Tab_DaBa[],MATCH(CONCATENATE(Liste!$C$3,$B$1697,$B$1811),Data!$BO:$BO,0)-2,43)&lt;&gt;"",INDEX(Tab_DaBa[],MATCH(CONCATENATE(Liste!$C$3,$B$1697,$B$1811),Data!$BO:$BO,0)-2,48)=0),INDEX(Tab_DaBa[],MATCH(CONCATENATE(Liste!$C$3,$B$1697,$B$1811),Data!$BO:$BO,0)-2,12),IF(INDEX(Tab_DaBa[],MATCH(CONCATENATE(Liste!$C$3,$B$1697,$B$1811),Data!$BO:$BO,0)-2,43)&lt;&gt;"",INDEX(Tab_DaBa[],MATCH(CONCATENATE(Liste!$C$3,$B$1697,$B$1811),Data!$BO:$BO,0)-2,47),"")),"")</f>
        <v/>
      </c>
      <c r="I1822" s="39"/>
    </row>
    <row r="1823" spans="2:9" s="16" customFormat="1" ht="15.75">
      <c r="B1823" s="35" t="str">
        <f ca="1">IFERROR(IF(AND(INDEX(Tab_DaBa[],MATCH(CONCATENATE(Liste!$C$3,$B$1697,$B$1811),Data!$BO:$BO,0)-2,28)&lt;&gt;"",INDEX(Tab_DaBa[],MATCH(CONCATENATE(Liste!$C$3,$B$1697,$B$1811),Data!$BO:$BO,0)-2,33)=""),INDEX(Tab_DaBa[],MATCH(CONCATENATE(Liste!$C$3,$B$1697,$B$1811),Data!$BO:$BO,0)-2,13),IF(INDEX(Tab_DaBa[],MATCH(CONCATENATE(Liste!$C$3,$B$1697,$B$1811),Data!$BO:$BO,0)-2,28)&lt;&gt;"",INDEX(Tab_DaBa[],MATCH(CONCATENATE(Liste!$C$3,$B$1697,$B$1811),Data!$BO:$BO,0)-2,33),"")),"")</f>
        <v>Bez_Lo04_05</v>
      </c>
      <c r="C1823" s="38">
        <f ca="1">IF(D1821="","",4)</f>
        <v>4</v>
      </c>
      <c r="D1823" s="35" t="str">
        <f ca="1">IFERROR(IF(AND(INDEX(Tab_DaBa[],MATCH(CONCATENATE(Liste!$C$3,$B$1697,$B$1811),Data!$BO:$BO,0)-2,33)&lt;&gt;"",INDEX(Tab_DaBa[],MATCH(CONCATENATE(Liste!$C$3,$B$1697,$B$1811),Data!$BO:$BO,0)-2,38)=""),INDEX(Tab_DaBa[],MATCH(CONCATENATE(Liste!$C$3,$B$1697,$B$1811),Data!$BO:$BO,0)-2,13),IF(INDEX(Tab_DaBa[],MATCH(CONCATENATE(Liste!$C$3,$B$1697,$B$1811),Data!$BO:$BO,0)-2,33)&lt;&gt;"",INDEX(Tab_DaBa[],MATCH(CONCATENATE(Liste!$C$3,$B$1697,$B$1811),Data!$BO:$BO,0)-2,38),"")),"")</f>
        <v>Bez_Lo05_05</v>
      </c>
      <c r="E1823" s="38">
        <f ca="1">IF(F1821="","",4)</f>
        <v>4</v>
      </c>
      <c r="F1823" s="35" t="str">
        <f ca="1">IFERROR(IF(AND(INDEX(Tab_DaBa[],MATCH(CONCATENATE(Liste!$C$3,$B$1697,$B$1811),Data!$BO:$BO,0)-2,38)&lt;&gt;"",INDEX(Tab_DaBa[],MATCH(CONCATENATE(Liste!$C$3,$B$1697,$B$1811),Data!$BO:$BO,0)-2,43)=""),INDEX(Tab_DaBa[],MATCH(CONCATENATE(Liste!$C$3,$B$1697,$B$1811),Data!$BO:$BO,0)-2,13),IF(INDEX(Tab_DaBa[],MATCH(CONCATENATE(Liste!$C$3,$B$1697,$B$1811),Data!$BO:$BO,0)-2,38)&lt;&gt;"",INDEX(Tab_DaBa[],MATCH(CONCATENATE(Liste!$C$3,$B$1697,$B$1811),Data!$BO:$BO,0)-2,43),"")),"")</f>
        <v>Bez_Aus4_5</v>
      </c>
      <c r="G1823" s="38" t="str">
        <f ca="1">IF(H1821="","",4)</f>
        <v/>
      </c>
      <c r="H1823" s="35" t="str">
        <f ca="1">IFERROR(IF(AND(INDEX(Tab_DaBa[],MATCH(CONCATENATE(Liste!$C$3,$B$1697,$B$1811),Data!$BO:$BO,0)-2,43)&lt;&gt;"",INDEX(Tab_DaBa[],MATCH(CONCATENATE(Liste!$C$3,$B$1697,$B$1811),Data!$BO:$BO,0)-2,48)=""),INDEX(Tab_DaBa[],MATCH(CONCATENATE(Liste!$C$3,$B$1697,$B$1811),Data!$BO:$BO,0)-2,13),IF(INDEX(Tab_DaBa[],MATCH(CONCATENATE(Liste!$C$3,$B$1697,$B$1811),Data!$BO:$BO,0)-2,43)&lt;&gt;"",INDEX(Tab_DaBa[],MATCH(CONCATENATE(Liste!$C$3,$B$1697,$B$1811),Data!$BO:$BO,0)-2,48),"")),"")</f>
        <v/>
      </c>
      <c r="I1823" s="38" t="str">
        <f ca="1">IF(B1829="","",6)</f>
        <v/>
      </c>
    </row>
    <row r="1824" spans="2:9" s="16" customFormat="1" ht="15.75">
      <c r="B1824" s="35" t="str">
        <f ca="1">IFERROR(IF(AND(INDEX(Tab_DaBa[],MATCH(CONCATENATE(Liste!$C$3,$B$1697,$B$1811),Data!$BO:$BO,0)-2,28)&lt;&gt;"",INDEX(Tab_DaBa[],MATCH(CONCATENATE(Liste!$C$3,$B$1697,$B$1811),Data!$BO:$BO,0)-2,33)=""),"Performance Level: "&amp;INDEX(Tab_DaBa[],MATCH(CONCATENATE(Liste!$C$3,$B$1697,$B$1811),Data!$BO:$BO,0)-2,15),IF(INDEX(Tab_DaBa[],MATCH(CONCATENATE(Liste!$C$3,$B$1697,$B$1811),Data!$BO:$BO,0)-2,28)&lt;&gt;"","Performance Level: "&amp;INDEX(Tab_DaBa[],MATCH(CONCATENATE(Liste!$C$3,$B$1697,$B$1811),Data!$BO:$BO,0)-2,35),"")),"")</f>
        <v>Performance Level: PL_Lo04_05</v>
      </c>
      <c r="C1824" s="39"/>
      <c r="D1824" s="35" t="str">
        <f ca="1">IFERROR(IF(AND(INDEX(Tab_DaBa[],MATCH(CONCATENATE(Liste!$C$3,$B$1697,$B$1811),Data!$BO:$BO,0)-2,33)&lt;&gt;"",INDEX(Tab_DaBa[],MATCH(CONCATENATE(Liste!$C$3,$B$1697,$B$1811),Data!$BO:$BO,0)-2,38)=""),"Performance Level: "&amp;INDEX(Tab_DaBa[],MATCH(CONCATENATE(Liste!$C$3,$B$1697,$B$1811),Data!$BO:$BO,0)-2,15),IF(INDEX(Tab_DaBa[],MATCH(CONCATENATE(Liste!$C$3,$B$1697,$B$1811),Data!$BO:$BO,0)-2,33)&lt;&gt;"","Performance Level: "&amp;INDEX(Tab_DaBa[],MATCH(CONCATENATE(Liste!$C$3,$B$1697,$B$1811),Data!$BO:$BO,0)-2,40),"")),"")</f>
        <v>Performance Level: PL_Lo03_5</v>
      </c>
      <c r="E1824" s="37"/>
      <c r="F1824" s="35" t="str">
        <f ca="1">IFERROR(IF(AND(INDEX(Tab_DaBa[],MATCH(CONCATENATE(Liste!$C$3,$B$1697,$B$1811),Data!$BO:$BO,0)-2,38)&lt;&gt;"",INDEX(Tab_DaBa[],MATCH(CONCATENATE(Liste!$C$3,$B$1697,$B$1811),Data!$BO:$BO,0)-2,43)=""),"Performance Level: "&amp;INDEX(Tab_DaBa[],MATCH(CONCATENATE(Liste!$C$3,$B$1697,$B$1811),Data!$BO:$BO,0)-2,15),IF(INDEX(Tab_DaBa[],MATCH(CONCATENATE(Liste!$C$3,$B$1697,$B$1811),Data!$BO:$BO,0)-2,38)&lt;&gt;"","Performance Level: "&amp;INDEX(Tab_DaBa[],MATCH(CONCATENATE(Liste!$C$3,$B$1697,$B$1811),Data!$BO:$BO,0)-2,45),"")),"")</f>
        <v>Performance Level: PL_Aus4_5</v>
      </c>
      <c r="G1824" s="39"/>
      <c r="H1824" s="35" t="str">
        <f ca="1">IFERROR(IF(AND(INDEX(Tab_DaBa[],MATCH(CONCATENATE(Liste!$C$3,$B$1697,$B$1811),Data!$BO:$BO,0)-2,43)&lt;&gt;"",INDEX(Tab_DaBa[],MATCH(CONCATENATE(Liste!$C$3,$B$1697,$B$1811),Data!$BO:$BO,0)-2,48)=""),"Performance Level: "&amp;INDEX(Tab_DaBa[],MATCH(CONCATENATE(Liste!$C$3,$B$1697,$B$1811),Data!$BO:$BO,0)-2,15),IF(INDEX(Tab_DaBa[],MATCH(CONCATENATE(Liste!$C$3,$B$1697,$B$1811),Data!$BO:$BO,0)-2,43)&lt;&gt;"","Performance Level: "&amp;INDEX(Tab_DaBa[],MATCH(CONCATENATE(Liste!$C$3,$B$1697,$B$1811),Data!$BO:$BO,0)-2,50),"")),"")</f>
        <v/>
      </c>
      <c r="I1824" s="39"/>
    </row>
    <row r="1825" spans="2:9" s="16" customFormat="1" ht="15.75">
      <c r="B1825" s="35" t="str">
        <f ca="1">IFERROR(IF(AND(INDEX(Tab_DaBa[],MATCH(CONCATENATE(Liste!$C$3,$B$1697,$B$1811),Data!$BO:$BO,0)-2,28)&lt;&gt;"",INDEX(Tab_DaBa[],MATCH(CONCATENATE(Liste!$C$3,$B$1697,$B$1811),Data!$BO:$BO,0)-2,33)=""),"PFH [1/h] = "&amp;10^9*INDEX(Tab_DaBa[],MATCH(CONCATENATE(Liste!$C$3,$B$1697,$B$1811),Data!$BO:$BO,0)-2,16)&amp;"E-9",IF(INDEX(Tab_DaBa[],MATCH(CONCATENATE(Liste!$C$3,$B$1697,$B$1811),Data!$BO:$BO,0)-2,28)&lt;&gt;"","PFH [1/h] = "&amp;10^9*INDEX(Tab_DaBa[],MATCH(CONCATENATE(Liste!$C$3,$B$1697,$B$1811),Data!$BO:$BO,0)-2,36)&amp;"E-9","")),"")</f>
        <v>PFH [1/h] = 4,19E-9</v>
      </c>
      <c r="C1825" s="39"/>
      <c r="D1825" s="35" t="str">
        <f ca="1">IFERROR(IF(AND(INDEX(Tab_DaBa[],MATCH(CONCATENATE(Liste!$C$3,$B$1697,$B$1811),Data!$BO:$BO,0)-2,33)&lt;&gt;"",INDEX(Tab_DaBa[],MATCH(CONCATENATE(Liste!$C$3,$B$1697,$B$1811),Data!$BO:$BO,0)-2,38)=""),"PFH [1/h] = "&amp;10^9*INDEX(Tab_DaBa[],MATCH(CONCATENATE(Liste!$C$3,$B$1697,$B$1811),Data!$BO:$BO,0)-2,16)&amp;"E-9",IF(INDEX(Tab_DaBa[],MATCH(CONCATENATE(Liste!$C$3,$B$1697,$B$1811),Data!$BO:$BO,0)-2,33)&lt;&gt;"","PFH [1/h] = "&amp;10^9*INDEX(Tab_DaBa[],MATCH(CONCATENATE(Liste!$C$3,$B$1697,$B$1811),Data!$BO:$BO,0)-2,41)&amp;"E-9","")),"")</f>
        <v>PFH [1/h] = 4,19E-9</v>
      </c>
      <c r="E1825" s="37"/>
      <c r="F1825" s="35" t="str">
        <f ca="1">IFERROR(IF(AND(INDEX(Tab_DaBa[],MATCH(CONCATENATE(Liste!$C$3,$B$1697,$B$1811),Data!$BO:$BO,0)-2,38)&lt;&gt;"",INDEX(Tab_DaBa[],MATCH(CONCATENATE(Liste!$C$3,$B$1697,$B$1811),Data!$BO:$BO,0)-2,43)=""),"PFH [1/h] = "&amp;10^9*INDEX(Tab_DaBa[],MATCH(CONCATENATE(Liste!$C$3,$B$1697,$B$1811),Data!$BO:$BO,0)-2,16)&amp;"E-9",IF(INDEX(Tab_DaBa[],MATCH(CONCATENATE(Liste!$C$3,$B$1697,$B$1811),Data!$BO:$BO,0)-2,38)&lt;&gt;"","PFH [1/h] = "&amp;10^9*INDEX(Tab_DaBa[],MATCH(CONCATENATE(Liste!$C$3,$B$1697,$B$1811),Data!$BO:$BO,0)-2,46)&amp;"E-9","")),"")</f>
        <v>PFH [1/h] = 24,7E-9</v>
      </c>
      <c r="G1825" s="39"/>
      <c r="H1825" s="35" t="str">
        <f ca="1">IFERROR(IF(AND(INDEX(Tab_DaBa[],MATCH(CONCATENATE(Liste!$C$3,$B$1697,$B$1811),Data!$BO:$BO,0)-2,43)&lt;&gt;"",INDEX(Tab_DaBa[],MATCH(CONCATENATE(Liste!$C$3,$B$1697,$B$1811),Data!$BO:$BO,0)-2,48)=""),"PFH [1/h] = "&amp;10^9*INDEX(Tab_DaBa[],MATCH(CONCATENATE(Liste!$C$3,$B$1697,$B$1811),Data!$BO:$BO,0)-2,16)&amp;"E-9",IF(INDEX(Tab_DaBa[],MATCH(CONCATENATE(Liste!$C$3,$B$1697,$B$1811),Data!$BO:$BO,0)-2,43)&lt;&gt;"","PFH [1/h] = "&amp;10^9*INDEX(Tab_DaBa[],MATCH(CONCATENATE(Liste!$C$3,$B$1697,$B$1811),Data!$BO:$BO,0)-2,51)&amp;"E-9","")),"")</f>
        <v/>
      </c>
      <c r="I1825" s="39"/>
    </row>
    <row r="1826" spans="2:9" s="16" customFormat="1">
      <c r="B1826" s="33"/>
      <c r="C1826" s="33"/>
      <c r="D1826" s="33"/>
      <c r="E1826" s="33"/>
      <c r="F1826" s="33"/>
      <c r="G1826" s="33"/>
      <c r="H1826" s="33"/>
      <c r="I1826" s="33"/>
    </row>
    <row r="1827" spans="2:9" s="16" customFormat="1" ht="15.75">
      <c r="B1827" s="38" t="str">
        <f ca="1">IF(B1829="","",6)</f>
        <v/>
      </c>
      <c r="C1827" s="33"/>
      <c r="D1827" s="38" t="str">
        <f ca="1">IF(B1829="","",3)</f>
        <v/>
      </c>
      <c r="E1827" s="33"/>
      <c r="F1827" s="38" t="str">
        <f ca="1">IF(B1829="","",3)</f>
        <v/>
      </c>
      <c r="G1827" s="33"/>
      <c r="H1827" s="38" t="str">
        <f ca="1">IF(B1829="","",3)</f>
        <v/>
      </c>
      <c r="I1827" s="33"/>
    </row>
    <row r="1828" spans="2:9" s="16" customFormat="1" ht="15.75">
      <c r="B1828" s="39"/>
      <c r="C1828" s="33"/>
      <c r="D1828" s="33"/>
      <c r="E1828" s="33"/>
      <c r="F1828" s="33"/>
      <c r="G1828" s="33"/>
      <c r="H1828" s="33"/>
      <c r="I1828" s="33"/>
    </row>
    <row r="1829" spans="2:9" s="16" customFormat="1" ht="15.75">
      <c r="B1829" s="35" t="str">
        <f ca="1">IFERROR(IF(AND(INDEX(Tab_DaBa[],MATCH(CONCATENATE(Liste!$C$3,$B$1697,$B$1811),Data!$BO:$BO,0)-2,48)&lt;&gt;"",INDEX(Tab_DaBa[],MATCH(CONCATENATE(Liste!$C$3,$B$1697,$B$1811),Data!$BO:$BO,0)-2,53)=0),INDEX(Tab_DaBa[],MATCH(CONCATENATE(Liste!$C$3,$B$1697,$B$1811),Data!$BO:$BO,0)-2,14),IF(INDEX(Tab_DaBa[],MATCH(CONCATENATE(Liste!$C$3,$B$1697,$B$1811),Data!$BO:$BO,0)-2,48)&lt;&gt;"",INDEX(Tab_DaBa[],MATCH(CONCATENATE(Liste!$C$3,$B$1697,$B$1811),Data!$BO:$BO,0)-2,54),"")),"")</f>
        <v/>
      </c>
      <c r="C1829" s="39"/>
      <c r="D1829" s="35" t="str">
        <f ca="1">IFERROR(IF(AND(INDEX(Tab_DaBa[],MATCH(CONCATENATE(Liste!$C$3,$B$1697,$B$1811),Data!$BO:$BO,0)-2,53)&lt;&gt;"",INDEX(Tab_DaBa[],MATCH(CONCATENATE(Liste!$C$3,$B$1697,$B$1811),Data!$BO:$BO,0)-2,58)=0),INDEX(Tab_DaBa[],MATCH(CONCATENATE(Liste!$C$3,$B$1697,$B$1811),Data!$BO:$BO,0)-2,14),IF(INDEX(Tab_DaBa[],MATCH(CONCATENATE(Liste!$C$3,$B$1697,$B$1811),Data!$BO:$BO,0)-2,53)&lt;&gt;"",INDEX(Tab_DaBa[],MATCH(CONCATENATE(Liste!$C$3,$B$1697,$B$1811),Data!$BO:$BO,0)-2,59),"")),"")</f>
        <v/>
      </c>
      <c r="E1829" s="33"/>
      <c r="F1829" s="35" t="str">
        <f ca="1">IFERROR(IF(AND(INDEX(Tab_DaBa[],MATCH(CONCATENATE(Liste!$C$3,$B$1697,$B$1811),Data!$BO:$BO,0)-2,58)&lt;&gt;"",INDEX(Tab_DaBa[],MATCH(CONCATENATE(Liste!$C$3,$B$1697,$B$1811),Data!$BO:$BO,0)-2,63)=0),INDEX(Tab_DaBa[],MATCH(CONCATENATE(Liste!$C$3,$B$1697,$B$1811),Data!$BO:$BO,0)-2,14),IF(INDEX(Tab_DaBa[],MATCH(CONCATENATE(Liste!$C$3,$B$1697,$B$1811),Data!$BO:$BO,0)-2,58)&lt;&gt;"",INDEX(Tab_DaBa[],MATCH(CONCATENATE(Liste!$C$3,$B$1697,$B$1811),Data!$BO:$BO,0)-2,64),"")),"")</f>
        <v/>
      </c>
      <c r="G1829" s="39"/>
      <c r="H1829" s="35" t="str">
        <f ca="1">IFERROR(IF(INDEX(Tab_DaBa[],MATCH(CONCATENATE(Liste!$C$3,$B$1697,$B$1811),Data!$BO:$BO,0)-2,63)&lt;&gt;"",INDEX(Tab_DaBa[],MATCH(CONCATENATE(Liste!$C$3,$B$1697,$B$1811),Data!$BO:$BO,0)-2,14),""),"")</f>
        <v/>
      </c>
    </row>
    <row r="1830" spans="2:9" s="16" customFormat="1" ht="15.75">
      <c r="B1830" s="35" t="str">
        <f ca="1">IFERROR(IF(AND(INDEX(Tab_DaBa[],MATCH(CONCATENATE(Liste!$C$3,$B$1697,$B$1811),Data!$BO:$BO,0)-2,48)&lt;&gt;"",INDEX(Tab_DaBa[],MATCH(CONCATENATE(Liste!$C$3,$B$1697,$B$1811),Data!$BO:$BO,0)-2,53)=0),INDEX(Tab_DaBa[],MATCH(CONCATENATE(Liste!$C$3,$B$1697,$B$1811),Data!$BO:$BO,0)-2,12),IF(INDEX(Tab_DaBa[],MATCH(CONCATENATE(Liste!$C$3,$B$1697,$B$1811),Data!$BO:$BO,0)-2,48)&lt;&gt;"",INDEX(Tab_DaBa[],MATCH(CONCATENATE(Liste!$C$3,$B$1697,$B$1811),Data!$BO:$BO,0)-2,52),"")),"")</f>
        <v/>
      </c>
      <c r="C1830" s="39"/>
      <c r="D1830" s="35" t="str">
        <f ca="1">IFERROR(IF(AND(INDEX(Tab_DaBa[],MATCH(CONCATENATE(Liste!$C$3,$B$1697,$B$1811),Data!$BO:$BO,0)-2,53)&lt;&gt;"",INDEX(Tab_DaBa[],MATCH(CONCATENATE(Liste!$C$3,$B$1697,$B$1811),Data!$BO:$BO,0)-2,58)=0),INDEX(Tab_DaBa[],MATCH(CONCATENATE(Liste!$C$3,$B$1697,$B$1811),Data!$BO:$BO,0)-2,12),IF(INDEX(Tab_DaBa[],MATCH(CONCATENATE(Liste!$C$3,$B$1697,$B$1811),Data!$BO:$BO,0)-2,53)&lt;&gt;"",INDEX(Tab_DaBa[],MATCH(CONCATENATE(Liste!$C$3,$B$1697,$B$1811),Data!$BO:$BO,0)-2,57),"")),"")</f>
        <v/>
      </c>
      <c r="E1830" s="37"/>
      <c r="F1830" s="35" t="str">
        <f ca="1">IFERROR(IF(AND(INDEX(Tab_DaBa[],MATCH(CONCATENATE(Liste!$C$3,$B$1697,$B$1811),Data!$BO:$BO,0)-2,58)&lt;&gt;"",INDEX(Tab_DaBa[],MATCH(CONCATENATE(Liste!$C$3,$B$1697,$B$1811),Data!$BO:$BO,0)-2,63)=0),INDEX(Tab_DaBa[],MATCH(CONCATENATE(Liste!$C$3,$B$1697,$B$1811),Data!$BO:$BO,0)-2,12),IF(INDEX(Tab_DaBa[],MATCH(CONCATENATE(Liste!$C$3,$B$1697,$B$1811),Data!$BO:$BO,0)-2,58)&lt;&gt;"",INDEX(Tab_DaBa[],MATCH(CONCATENATE(Liste!$C$3,$B$1697,$B$1811),Data!$BO:$BO,0)-2,62),"")),"")</f>
        <v/>
      </c>
      <c r="G1830" s="39"/>
      <c r="H1830" s="35" t="str">
        <f ca="1">IFERROR(IF(INDEX(Tab_DaBa[],MATCH(CONCATENATE(Liste!$C$3,$B$1697,$B$1811),Data!$BO:$BO,0)-2,63)&lt;&gt;"",INDEX(Tab_DaBa[],MATCH(CONCATENATE(Liste!$C$3,$B$1697,$B$1811),Data!$BO:$BO,0)-2,12),""),"")</f>
        <v/>
      </c>
    </row>
    <row r="1831" spans="2:9" s="16" customFormat="1" ht="15.75">
      <c r="B1831" s="35" t="str">
        <f ca="1">IFERROR(IF(AND(INDEX(Tab_DaBa[],MATCH(CONCATENATE(Liste!$C$3,$B$1697,$B$1811),Data!$BO:$BO,0)-2,48)&lt;&gt;"",INDEX(Tab_DaBa[],MATCH(CONCATENATE(Liste!$C$3,$B$1697,$B$1811),Data!$BO:$BO,0)-2,53)=""),INDEX(Tab_DaBa[],MATCH(CONCATENATE(Liste!$C$3,$B$1697,$B$1811),Data!$BO:$BO,0)-2,13),IF(INDEX(Tab_DaBa[],MATCH(CONCATENATE(Liste!$C$3,$B$1697,$B$1811),Data!$BO:$BO,0)-2,48)&lt;&gt;"",INDEX(Tab_DaBa[],MATCH(CONCATENATE(Liste!$C$3,$B$1697,$B$1811),Data!$BO:$BO,0)-2,53),"")),"")</f>
        <v/>
      </c>
      <c r="C1831" s="38" t="str">
        <f ca="1">IF(D1829="","",4)</f>
        <v/>
      </c>
      <c r="D1831" s="35" t="str">
        <f ca="1">IFERROR(IF(AND(INDEX(Tab_DaBa[],MATCH(CONCATENATE(Liste!$C$3,$B$1697,$B$1811),Data!$BO:$BO,0)-2,53)&lt;&gt;"",INDEX(Tab_DaBa[],MATCH(CONCATENATE(Liste!$C$3,$B$1697,$B$1811),Data!$BO:$BO,0)-2,58)=""),INDEX(Tab_DaBa[],MATCH(CONCATENATE(Liste!$C$3,$B$1697,$B$1811),Data!$BO:$BO,0)-2,13),IF(INDEX(Tab_DaBa[],MATCH(CONCATENATE(Liste!$C$3,$B$1697,$B$1811),Data!$BO:$BO,0)-2,53)&lt;&gt;"",INDEX(Tab_DaBa[],MATCH(CONCATENATE(Liste!$C$3,$B$1697,$B$1811),Data!$BO:$BO,0)-2,58),"")),"")</f>
        <v/>
      </c>
      <c r="E1831" s="38" t="str">
        <f ca="1">IF(F1829="","",4)</f>
        <v/>
      </c>
      <c r="F1831" s="35" t="str">
        <f ca="1">IFERROR(IF(AND(INDEX(Tab_DaBa[],MATCH(CONCATENATE(Liste!$C$3,$B$1697,$B$1811),Data!$BO:$BO,0)-2,58)&lt;&gt;"",INDEX(Tab_DaBa[],MATCH(CONCATENATE(Liste!$C$3,$B$1697,$B$1811),Data!$BO:$BO,0)-2,63)=""),INDEX(Tab_DaBa[],MATCH(CONCATENATE(Liste!$C$3,$B$1697,$B$1811),Data!$BO:$BO,0)-2,13),IF(INDEX(Tab_DaBa[],MATCH(CONCATENATE(Liste!$C$3,$B$1697,$B$1811),Data!$BO:$BO,0)-2,58)&lt;&gt;"",INDEX(Tab_DaBa[],MATCH(CONCATENATE(Liste!$C$3,$B$1697,$B$1811),Data!$BO:$BO,0)-2,63),"")),"")</f>
        <v/>
      </c>
      <c r="G1831" s="38" t="str">
        <f ca="1">IF(H1829="","",4)</f>
        <v/>
      </c>
      <c r="H1831" s="35" t="str">
        <f ca="1">IFERROR(IF(INDEX(Tab_DaBa[],MATCH(CONCATENATE(Liste!$C$3,$B$1697,$B$1811),Data!$BO:$BO,0)-2,63)&lt;&gt;"",INDEX(Tab_DaBa[],MATCH(CONCATENATE(Liste!$C$3,$B$1697,$B$1811),Data!$BO:$BO,0)-2,13),""),"")</f>
        <v/>
      </c>
    </row>
    <row r="1832" spans="2:9" s="16" customFormat="1" ht="15.75">
      <c r="B1832" s="35" t="str">
        <f ca="1">IFERROR(IF(AND(INDEX(Tab_DaBa[],MATCH(CONCATENATE(Liste!$C$3,$B$1697,$B$1811),Data!$BO:$BO,0)-2,48)&lt;&gt;"",INDEX(Tab_DaBa[],MATCH(CONCATENATE(Liste!$C$3,$B$1697,$B$1811),Data!$BO:$BO,0)-2,53)=""),"Performance Level: "&amp;INDEX(Tab_DaBa[],MATCH(CONCATENATE(Liste!$C$3,$B$1697,$B$1811),Data!$BO:$BO,0)-2,15),IF(INDEX(Tab_DaBa[],MATCH(CONCATENATE(Liste!$C$3,$B$1697,$B$1811),Data!$BO:$BO,0)-2,48)&lt;&gt;"","Performance Level: "&amp;INDEX(Tab_DaBa[],MATCH(CONCATENATE(Liste!$C$3,$B$1697,$B$1811),Data!$BO:$BO,0)-2,55),"")),"")</f>
        <v/>
      </c>
      <c r="C1832" s="39"/>
      <c r="D1832" s="35" t="str">
        <f ca="1">IFERROR(IF(AND(INDEX(Tab_DaBa[],MATCH(CONCATENATE(Liste!$C$3,$B$1697,$B$1811),Data!$BO:$BO,0)-2,53)&lt;&gt;"",INDEX(Tab_DaBa[],MATCH(CONCATENATE(Liste!$C$3,$B$1697,$B$1811),Data!$BO:$BO,0)-2,58)=""),"Performance Level: "&amp;INDEX(Tab_DaBa[],MATCH(CONCATENATE(Liste!$C$3,$B$1697,$B$1811),Data!$BO:$BO,0)-2,15),IF(INDEX(Tab_DaBa[],MATCH(CONCATENATE(Liste!$C$3,$B$1697,$B$1811),Data!$BO:$BO,0)-2,53)&lt;&gt;"","Performance Level: "&amp;INDEX(Tab_DaBa[],MATCH(CONCATENATE(Liste!$C$3,$B$1697,$B$1811),Data!$BO:$BO,0)-2,60),"")),"")</f>
        <v/>
      </c>
      <c r="E1832" s="37"/>
      <c r="F1832" s="35" t="str">
        <f ca="1">IFERROR(IF(AND(INDEX(Tab_DaBa[],MATCH(CONCATENATE(Liste!$C$3,$B$1697,$B$1811),Data!$BO:$BO,0)-2,58)&lt;&gt;"",INDEX(Tab_DaBa[],MATCH(CONCATENATE(Liste!$C$3,$B$1697,$B$1811),Data!$BO:$BO,0)-2,63)=""),"Performance Level: "&amp;INDEX(Tab_DaBa[],MATCH(CONCATENATE(Liste!$C$3,$B$1697,$B$1811),Data!$BO:$BO,0)-2,15),IF(INDEX(Tab_DaBa[],MATCH(CONCATENATE(Liste!$C$3,$B$1697,$B$1811),Data!$BO:$BO,0)-2,58)&lt;&gt;"","Performance Level: "&amp;INDEX(Tab_DaBa[],MATCH(CONCATENATE(Liste!$C$3,$B$1697,$B$1811),Data!$BO:$BO,0)-2,65),"")),"")</f>
        <v/>
      </c>
      <c r="G1832" s="39"/>
      <c r="H1832" s="35" t="str">
        <f ca="1">IFERROR(IF(INDEX(Tab_DaBa[],MATCH(CONCATENATE(Liste!$C$3,$B$1697,$B$1811),Data!$BO:$BO,0)-2,63)&lt;&gt;"","Performance Level: "&amp;INDEX(Tab_DaBa[],MATCH(CONCATENATE(Liste!$C$3,$B$1697,$B$1811),Data!$BO:$BO,0)-2,15),""),"")</f>
        <v/>
      </c>
    </row>
    <row r="1833" spans="2:9" s="16" customFormat="1" ht="15.75">
      <c r="B1833" s="35" t="str">
        <f ca="1">IFERROR(IF(AND(INDEX(Tab_DaBa[],MATCH(CONCATENATE(Liste!$C$3,$B$1697,$B$1811),Data!$BO:$BO,0)-2,48)&lt;&gt;"",INDEX(Tab_DaBa[],MATCH(CONCATENATE(Liste!$C$3,$B$1697,$B$1811),Data!$BO:$BO,0)-2,53)=""),"PFH [1/h] = "&amp;10^9*INDEX(Tab_DaBa[],MATCH(CONCATENATE(Liste!$C$3,$B$1697,$B$1811),Data!$BO:$BO,0)-2,16)&amp;"E-9",IF(INDEX(Tab_DaBa[],MATCH(CONCATENATE(Liste!$C$3,$B$1697,$B$1811),Data!$BO:$BO,0)-2,48)&lt;&gt;"","PFH [1/h] = "&amp;10^9*INDEX(Tab_DaBa[],MATCH(CONCATENATE(Liste!$C$3,$B$1697,$B$1811),Data!$BO:$BO,0)-2,56)&amp;"E-9","")),"")</f>
        <v/>
      </c>
      <c r="C1833" s="39"/>
      <c r="D1833" s="35" t="str">
        <f ca="1">IFERROR(IF(AND(INDEX(Tab_DaBa[],MATCH(CONCATENATE(Liste!$C$3,$B$1697,$B$1811),Data!$BO:$BO,0)-2,53)&lt;&gt;"",INDEX(Tab_DaBa[],MATCH(CONCATENATE(Liste!$C$3,$B$1697,$B$1811),Data!$BO:$BO,0)-2,58)=""),"PFH [1/h] = "&amp;10^9*INDEX(Tab_DaBa[],MATCH(CONCATENATE(Liste!$C$3,$B$1697,$B$1811),Data!$BO:$BO,0)-2,16)&amp;"E-9",IF(INDEX(Tab_DaBa[],MATCH(CONCATENATE(Liste!$C$3,$B$1697,$B$1811),Data!$BO:$BO,0)-2,53)&lt;&gt;"","PFH [1/h] = "&amp;10^9*INDEX(Tab_DaBa[],MATCH(CONCATENATE(Liste!$C$3,$B$1697,$B$1811),Data!$BO:$BO,0)-2,61)&amp;"E-9","")),"")</f>
        <v/>
      </c>
      <c r="E1833" s="37"/>
      <c r="F1833" s="35" t="str">
        <f ca="1">IFERROR(IF(AND(INDEX(Tab_DaBa[],MATCH(CONCATENATE(Liste!$C$3,$B$1697,$B$1811),Data!$BO:$BO,0)-2,58)&lt;&gt;"",INDEX(Tab_DaBa[],MATCH(CONCATENATE(Liste!$C$3,$B$1697,$B$1811),Data!$BO:$BO,0)-2,63)=""),"PFH [1/h] = "&amp;10^9*INDEX(Tab_DaBa[],MATCH(CONCATENATE(Liste!$C$3,$B$1697,$B$1811),Data!$BO:$BO,0)-2,16)&amp;"E-9",IF(INDEX(Tab_DaBa[],MATCH(CONCATENATE(Liste!$C$3,$B$1697,$B$1811),Data!$BO:$BO,0)-2,58)&lt;&gt;"","PFH [1/h] = "&amp;10^9*INDEX(Tab_DaBa[],MATCH(CONCATENATE(Liste!$C$3,$B$1697,$B$1811),Data!$BO:$BO,0)-2,66)&amp;"E-9","")),"")</f>
        <v/>
      </c>
      <c r="G1833" s="39"/>
      <c r="H1833" s="35" t="str">
        <f ca="1">IFERROR(IF(INDEX(Tab_DaBa[],MATCH(CONCATENATE(Liste!$C$3,$B$1697,$B$1811),Data!$BO:$BO,0)-2,63)&lt;&gt;"","PFH [1/h] = "&amp;10^9*INDEX(Tab_DaBa[],MATCH(CONCATENATE(Liste!$C$3,$B$1697,$B$1811),Data!$BO:$BO,0)-2,16)&amp;"E-9",""),"")</f>
        <v/>
      </c>
    </row>
    <row r="1834" spans="2:9" s="16" customFormat="1"/>
    <row r="1835" spans="2:9" s="16" customFormat="1">
      <c r="B1835" s="43" t="str">
        <f ca="1">IF(D1835="","","Erforderlich")</f>
        <v>Erforderlich</v>
      </c>
      <c r="D1835" s="44" t="str">
        <f ca="1">IFERROR("Performance Level: "&amp;INDEX(Tab_DaBa[],MATCH(CONCATENATE(Liste!$C$3,$B$1697,$B$1811),Data!$BO:$BO,0)-2,4),"")</f>
        <v>Performance Level: PLr_ges4_5</v>
      </c>
    </row>
    <row r="1836" spans="2:9" s="16" customFormat="1">
      <c r="B1836" s="45"/>
    </row>
    <row r="1837" spans="2:9" s="16" customFormat="1">
      <c r="B1837" s="46" t="str">
        <f ca="1">IF(D1837="","","Erreicht")</f>
        <v>Erreicht</v>
      </c>
      <c r="D1837" s="47" t="str">
        <f ca="1">IFERROR("Performance Level: "&amp;INDEX(Tab_DaBa[],MATCH(CONCATENATE(Liste!$C$3,$B$1697,$B$1811),Data!$BO:$BO,0)-2,5)&amp;"          PFH [1/h] = "&amp;10^9*INDEX(Tab_DaBa[],MATCH(CONCATENATE(Liste!$C$3,$B$1697,$B$1811),Data!$BO:$BO,0)-2,6)&amp;"E-9","")</f>
        <v>Performance Level: Pl_ges4_5          PFH [1/h] = 71,7E-9</v>
      </c>
    </row>
    <row r="1838" spans="2:9" s="16" customFormat="1"/>
    <row r="1839" spans="2:9" s="16" customFormat="1">
      <c r="B1839" s="42" t="str">
        <f ca="1">IFERROR(IF(6&gt;COUNTIF(Data!$BP:$BP,CONCATENATE(Liste!$C$3,$B$1697)),"",INDEX(Tab_DaBa[],MATCH(CONCATENATE(Liste!$C$3,$B$1697),Data!$BP:$BP,0)+3,3)),"")</f>
        <v>7.6 Test4 (E+6L+A)</v>
      </c>
    </row>
    <row r="1840" spans="2:9" s="16" customFormat="1"/>
    <row r="1841" spans="2:9" s="16" customFormat="1" ht="15.75">
      <c r="B1841" s="35" t="str">
        <f ca="1">IFERROR(INDEX(Tab_DaBa[],MATCH(CONCATENATE(Liste!$C$3,$B$1697,$B$1839),Data!$BO:$BO,0)-2,9),"")</f>
        <v>Eingang</v>
      </c>
      <c r="C1841" s="54"/>
      <c r="D1841" s="35" t="str">
        <f ca="1">IFERROR(IF(INDEX(Tab_DaBa[],MATCH(CONCATENATE(Liste!$C$3,$B$1697,$B$1839),Data!$BO:$BO,0)-2,18)=0,INDEX(Tab_DaBa[],MATCH(CONCATENATE(Liste!$C$3,$B$1697,$B$1839),Data!$BO:$BO,0)-2,14),INDEX(Tab_DaBa[],MATCH(CONCATENATE(Liste!$C$3,$B$1697,$B$1839),Data!$BO:$BO,0)-2,19)),"")</f>
        <v>Logik 01</v>
      </c>
      <c r="E1841" s="33"/>
      <c r="F1841" s="35" t="str">
        <f ca="1">IFERROR(IF(AND(INDEX(Tab_DaBa[],MATCH(CONCATENATE(Liste!$C$3,$B$1697,$B$1839),Data!$BO:$BO,0)-2,18)&lt;&gt;"",INDEX(Tab_DaBa[],MATCH(CONCATENATE(Liste!$C$3,$B$1697,$B$1839),Data!$BO:$BO,0)-2,23)=0),INDEX(Tab_DaBa[],MATCH(CONCATENATE(Liste!$C$3,$B$1697,$B$1839),Data!$BO:$BO,0)-2,14),IF(INDEX(Tab_DaBa[],MATCH(CONCATENATE(Liste!$C$3,$B$1697,$B$1839),Data!$BO:$BO,0)-2,23)&lt;&gt;"",INDEX(Tab_DaBa[],MATCH(CONCATENATE(Liste!$C$3,$B$1697,$B$1839),Data!$BO:$BO,0)-2,24),"")),"")</f>
        <v>Logik 02</v>
      </c>
      <c r="G1841" s="39"/>
      <c r="H1841" s="35" t="str">
        <f ca="1">IFERROR(IF(AND(INDEX(Tab_DaBa[],MATCH(CONCATENATE(Liste!$C$3,$B$1697,$B$1839),Data!$BO:$BO,0)-2,23)&lt;&gt;"",INDEX(Tab_DaBa[],MATCH(CONCATENATE(Liste!$C$3,$B$1697,$B$1839),Data!$BO:$BO,0)-2,28)=0),INDEX(Tab_DaBa[],MATCH(CONCATENATE(Liste!$C$3,$B$1697,$B$1839),Data!$BO:$BO,0)-2,14),IF(INDEX(Tab_DaBa[],MATCH(CONCATENATE(Liste!$C$3,$B$1697,$B$1839),Data!$BO:$BO,0)-2,23)&lt;&gt;"",INDEX(Tab_DaBa[],MATCH(CONCATENATE(Liste!$C$3,$B$1697,$B$1839),Data!$BO:$BO,0)-2,29),"")),"")</f>
        <v>Logik 03</v>
      </c>
      <c r="I1841" s="39"/>
    </row>
    <row r="1842" spans="2:9" s="16" customFormat="1" ht="15.75">
      <c r="B1842" s="35" t="str">
        <f ca="1">IFERROR(INDEX(Tab_DaBa[],MATCH(CONCATENATE(Liste!$C$3,$B$1697,$B$1839),Data!$BO:$BO,0)-2,7),"")</f>
        <v>eeee-33_6</v>
      </c>
      <c r="C1842" s="54"/>
      <c r="D1842" s="35" t="str">
        <f ca="1">IFERROR(IF(INDEX(Tab_DaBa[],MATCH(CONCATENATE(Liste!$C$3,$B$1697,$B$1839),Data!$BO:$BO,0)-2,18)="",INDEX(Tab_DaBa[],MATCH(CONCATENATE(Liste!$C$3,$B$1697,$B$1839),Data!$BO:$BO,0)-2,12),INDEX(Tab_DaBa[],MATCH(CONCATENATE(Liste!$C$3,$B$1697,$B$1839),Data!$BO:$BO,0)-2,17)),"")</f>
        <v>Log01-04_06</v>
      </c>
      <c r="E1842" s="36"/>
      <c r="F1842" s="35" t="str">
        <f ca="1">IFERROR(IF(AND(INDEX(Tab_DaBa[],MATCH(CONCATENATE(Liste!$C$3,$B$1697,$B$1839),Data!$BO:$BO,0)-2,18)&lt;&gt;"",INDEX(Tab_DaBa[],MATCH(CONCATENATE(Liste!$C$3,$B$1697,$B$1839),Data!$BO:$BO,0)-2,23)=0),INDEX(Tab_DaBa[],MATCH(CONCATENATE(Liste!$C$3,$B$1697,$B$1839),Data!$BO:$BO,0)-2,12),IF(INDEX(Tab_DaBa[],MATCH(CONCATENATE(Liste!$C$3,$B$1697,$B$1839),Data!$BO:$BO,0)-2,23)&lt;&gt;"",INDEX(Tab_DaBa[],MATCH(CONCATENATE(Liste!$C$3,$B$1697,$B$1839),Data!$BO:$BO,0)-2,22),"")),"")</f>
        <v>Lo04-04_06</v>
      </c>
      <c r="G1842" s="39"/>
      <c r="H1842" s="35" t="str">
        <f ca="1">IFERROR(IF(AND(INDEX(Tab_DaBa[],MATCH(CONCATENATE(Liste!$C$3,$B$1697,$B$1839),Data!$BO:$BO,0)-2,23)&lt;&gt;"",INDEX(Tab_DaBa[],MATCH(CONCATENATE(Liste!$C$3,$B$1697,$B$1839),Data!$BO:$BO,0)-2,28)=0),INDEX(Tab_DaBa[],MATCH(CONCATENATE(Liste!$C$3,$B$1697,$B$1839),Data!$BO:$BO,0)-2,12),IF(INDEX(Tab_DaBa[],MATCH(CONCATENATE(Liste!$C$3,$B$1697,$B$1839),Data!$BO:$BO,0)-2,23)&lt;&gt;"",INDEX(Tab_DaBa[],MATCH(CONCATENATE(Liste!$C$3,$B$1697,$B$1839),Data!$BO:$BO,0)-2,27),"")),"")</f>
        <v>Lo04-44_06</v>
      </c>
      <c r="I1842" s="39"/>
    </row>
    <row r="1843" spans="2:9" s="16" customFormat="1" ht="15.75">
      <c r="B1843" s="35" t="str">
        <f ca="1">IFERROR(INDEX(Tab_DaBa[],MATCH(CONCATENATE(Liste!$C$3,$B$1697,$B$1839),Data!$BO:$BO,0)-2,8),"")</f>
        <v>Bez_Ein4_6</v>
      </c>
      <c r="C1843" s="40">
        <f ca="1">IF(D1841="","",4)</f>
        <v>4</v>
      </c>
      <c r="D1843" s="35" t="str">
        <f ca="1">IFERROR(IF(INDEX(Tab_DaBa[],MATCH(CONCATENATE(Liste!$C$3,$B$1697,$B$1839),Data!$BO:$BO,0)-2,18)="",INDEX(Tab_DaBa[],MATCH(CONCATENATE(Liste!$C$3,$B$1697,$B$1839),Data!$BO:$BO,0)-2,13),INDEX(Tab_DaBa[],MATCH(CONCATENATE(Liste!$C$3,$B$1697,$B$1839),Data!$BO:$BO,0)-2,18)),"")</f>
        <v>Bez_Log01_04_06</v>
      </c>
      <c r="E1843" s="40">
        <f ca="1">IF(F1841="","",4)</f>
        <v>4</v>
      </c>
      <c r="F1843" s="35" t="str">
        <f ca="1">IFERROR(IF(AND(INDEX(Tab_DaBa[],MATCH(CONCATENATE(Liste!$C$3,$B$1697,$B$1839),Data!$BO:$BO,0)-2,18)&lt;&gt;"",INDEX(Tab_DaBa[],MATCH(CONCATENATE(Liste!$C$3,$B$1697,$B$1839),Data!$BO:$BO,0)-2,23)=""),INDEX(Tab_DaBa[],MATCH(CONCATENATE(Liste!$C$3,$B$1697,$B$1839),Data!$BO:$BO,0)-2,13),IF(INDEX(Tab_DaBa[],MATCH(CONCATENATE(Liste!$C$3,$B$1697,$B$1839),Data!$BO:$BO,0)-2,23)&lt;&gt;"",INDEX(Tab_DaBa[],MATCH(CONCATENATE(Liste!$C$3,$B$1697,$B$1839),Data!$BO:$BO,0)-2,23),"")),"")</f>
        <v>Bez_Lo04_06</v>
      </c>
      <c r="G1843" s="38">
        <f ca="1">IF(H1841="","",4)</f>
        <v>4</v>
      </c>
      <c r="H1843" s="35" t="str">
        <f ca="1">IFERROR(IF(AND(INDEX(Tab_DaBa[],MATCH(CONCATENATE(Liste!$C$3,$B$1697,$B$1839),Data!$BO:$BO,0)-2,23)&lt;&gt;"",INDEX(Tab_DaBa[],MATCH(CONCATENATE(Liste!$C$3,$B$1697,$B$1839),Data!$BO:$BO,0)-2,28)=""),INDEX(Tab_DaBa[],MATCH(CONCATENATE(Liste!$C$3,$B$1697,$B$1839),Data!$BO:$BO,0)-2,13),IF(INDEX(Tab_DaBa[],MATCH(CONCATENATE(Liste!$C$3,$B$1697,$B$1839),Data!$BO:$BO,0)-2,23)&lt;&gt;"",INDEX(Tab_DaBa[],MATCH(CONCATENATE(Liste!$C$3,$B$1697,$B$1839),Data!$BO:$BO,0)-2,28),"")),"")</f>
        <v>Bez_Lo04_06</v>
      </c>
      <c r="I1843" s="38">
        <f ca="1">IF(B1849="","",6)</f>
        <v>6</v>
      </c>
    </row>
    <row r="1844" spans="2:9" s="16" customFormat="1" ht="15.75">
      <c r="B1844" s="35" t="str">
        <f ca="1">IFERROR("Performance Level: "&amp;INDEX(Tab_DaBa[],MATCH(CONCATENATE(Liste!$C$3,$B$1697,$B$1839),Data!$BO:$BO,0)-2,10),"")</f>
        <v>Performance Level: PL_Ein4_6</v>
      </c>
      <c r="C1844" s="54"/>
      <c r="D1844" s="35" t="str">
        <f ca="1">IFERROR(IF(INDEX(Tab_DaBa[],MATCH(CONCATENATE(Liste!$C$3,$B$1697,$B$1839),Data!$BO:$BO,0)-2,18)="","Performance Level: "&amp;INDEX(Tab_DaBa[],MATCH(CONCATENATE(Liste!$C$3,$B$1697,$B$1839),Data!$BO:$BO,0)-2,15),"Performance Level: "&amp;INDEX(Tab_DaBa[],MATCH(CONCATENATE(Liste!$C$3,$B$1697,$B$1839),Data!$BO:$BO,0)-2,20)),"")</f>
        <v>Performance Level: PL_Log01_04_06</v>
      </c>
      <c r="E1844" s="36"/>
      <c r="F1844" s="35" t="str">
        <f ca="1">IFERROR(IF(AND(INDEX(Tab_DaBa[],MATCH(CONCATENATE(Liste!$C$3,$B$1697,$B$1839),Data!$BO:$BO,0)-2,18)&lt;&gt;"",INDEX(Tab_DaBa[],MATCH(CONCATENATE(Liste!$C$3,$B$1697,$B$1839),Data!$BO:$BO,0)-2,23)=""),"Performance Level: "&amp;INDEX(Tab_DaBa[],MATCH(CONCATENATE(Liste!$C$3,$B$1697,$B$1839),Data!$BO:$BO,0)-2,15),IF(INDEX(Tab_DaBa[],MATCH(CONCATENATE(Liste!$C$3,$B$1697,$B$1839),Data!$BO:$BO,0)-2,23)&lt;&gt;"","Performance Level: "&amp;INDEX(Tab_DaBa[],MATCH(CONCATENATE(Liste!$C$3,$B$1697,$B$1839),Data!$BO:$BO,0)-2,25),"")),"")</f>
        <v>Performance Level: PL_Lo04_06</v>
      </c>
      <c r="G1844" s="39"/>
      <c r="H1844" s="35" t="str">
        <f ca="1">IFERROR(IF(AND(INDEX(Tab_DaBa[],MATCH(CONCATENATE(Liste!$C$3,$B$1697,$B$1839),Data!$BO:$BO,0)-2,23)&lt;&gt;"",INDEX(Tab_DaBa[],MATCH(CONCATENATE(Liste!$C$3,$B$1697,$B$1839),Data!$BO:$BO,0)-2,28)=""),"Performance Level: "&amp;INDEX(Tab_DaBa[],MATCH(CONCATENATE(Liste!$C$3,$B$1697,$B$1839),Data!$BO:$BO,0)-2,15),IF(INDEX(Tab_DaBa[],MATCH(CONCATENATE(Liste!$C$3,$B$1697,$B$1839),Data!$BO:$BO,0)-2,23)&lt;&gt;"","Performance Level: "&amp;INDEX(Tab_DaBa[],MATCH(CONCATENATE(Liste!$C$3,$B$1697,$B$1839),Data!$BO:$BO,0)-2,30),"")),"")</f>
        <v>Performance Level: PL_Lo04_06</v>
      </c>
      <c r="I1844" s="38"/>
    </row>
    <row r="1845" spans="2:9" s="16" customFormat="1" ht="15.75">
      <c r="B1845" s="53" t="str">
        <f ca="1">IFERROR("PFH [1/h] = "&amp;10^9*INDEX(Tab_DaBa[],MATCH(CONCATENATE(Liste!$C$3,$B$1697,$B$1839),Data!$BO:$BO,0)-2,11)&amp;"E-9","")</f>
        <v>PFH [1/h] = 42,9E-9</v>
      </c>
      <c r="C1845" s="54"/>
      <c r="D1845" s="35" t="str">
        <f ca="1">IFERROR(IF(INDEX(Tab_DaBa[],MATCH(CONCATENATE(Liste!$C$3,$B$1697,$B$1839),Data!$BO:$BO,0)-2,18)="","PFH [1/h] = "&amp;10^9*INDEX(Tab_DaBa[],MATCH(CONCATENATE(Liste!$C$3,$B$1697,$B$1839),Data!$BO:$BO,0)-2,16)&amp;"E-9","PFH [1/h] = "&amp;10^9*INDEX(Tab_DaBa[],MATCH(CONCATENATE(Liste!$C$3,$B$1697,$B$1839),Data!$BO:$BO,0)-2,21)&amp;"E-9"),"")</f>
        <v>PFH [1/h] = 4,19E-9</v>
      </c>
      <c r="E1845" s="36"/>
      <c r="F1845" s="35" t="str">
        <f ca="1">IFERROR(IF(AND(INDEX(Tab_DaBa[],MATCH(CONCATENATE(Liste!$C$3,$B$1697,$B$1839),Data!$BO:$BO,0)-2,18)&lt;&gt;"",INDEX(Tab_DaBa[],MATCH(CONCATENATE(Liste!$C$3,$B$1697,$B$1839),Data!$BO:$BO,0)-2,23)=""),"PFH [1/h] = "&amp;10^9*INDEX(Tab_DaBa[],MATCH(CONCATENATE(Liste!$C$3,$B$1697,$B$1839),Data!$BO:$BO,0)-2,16)&amp;"E-9",IF(INDEX(Tab_DaBa[],MATCH(CONCATENATE(Liste!$C$3,$B$1697,$B$1839),Data!$BO:$BO,0)-2,23)&lt;&gt;"","PFH [1/h] = "&amp;10^9*INDEX(Tab_DaBa[],MATCH(CONCATENATE(Liste!$C$3,$B$1697,$B$1839),Data!$BO:$BO,0)-2,26)&amp;"E-9","")),"")</f>
        <v>PFH [1/h] = 4,19E-9</v>
      </c>
      <c r="G1845" s="39"/>
      <c r="H1845" s="35" t="str">
        <f ca="1">IFERROR(IF(AND(INDEX(Tab_DaBa[],MATCH(CONCATENATE(Liste!$C$3,$B$1697,$B$1839),Data!$BO:$BO,0)-2,23)&lt;&gt;"",INDEX(Tab_DaBa[],MATCH(CONCATENATE(Liste!$C$3,$B$1697,$B$1839),Data!$BO:$BO,0)-2,28)=""),"PFH [1/h] = "&amp;10^9*INDEX(Tab_DaBa[],MATCH(CONCATENATE(Liste!$C$3,$B$1697,$B$1839),Data!$BO:$BO,0)-2,16)&amp;"E-9",IF(INDEX(Tab_DaBa[],MATCH(CONCATENATE(Liste!$C$3,$B$1697,$B$1839),Data!$BO:$BO,0)-2,23)&lt;&gt;"","PFH [1/h] = "&amp;10^9*INDEX(Tab_DaBa[],MATCH(CONCATENATE(Liste!$C$3,$B$1697,$B$1839),Data!$BO:$BO,0)-2,31)&amp;"E-9","")),"")</f>
        <v>PFH [1/h] = 4,19E-9</v>
      </c>
      <c r="I1845" s="39"/>
    </row>
    <row r="1846" spans="2:9" s="16" customFormat="1">
      <c r="B1846" s="33"/>
      <c r="C1846" s="34"/>
      <c r="D1846" s="33"/>
      <c r="E1846" s="33"/>
      <c r="F1846" s="33"/>
      <c r="G1846" s="33"/>
      <c r="H1846" s="33"/>
      <c r="I1846" s="33"/>
    </row>
    <row r="1847" spans="2:9" s="16" customFormat="1" ht="15.75">
      <c r="B1847" s="38">
        <f ca="1">IF(B1849="","",6)</f>
        <v>6</v>
      </c>
      <c r="C1847" s="34"/>
      <c r="D1847" s="38">
        <f ca="1">IF(B1849="","",3)</f>
        <v>3</v>
      </c>
      <c r="E1847" s="33"/>
      <c r="F1847" s="38">
        <f ca="1">IF(B1849="","",3)</f>
        <v>3</v>
      </c>
      <c r="G1847" s="33"/>
      <c r="H1847" s="38">
        <f ca="1">IF(B1849="","",3)</f>
        <v>3</v>
      </c>
      <c r="I1847" s="33"/>
    </row>
    <row r="1848" spans="2:9" s="16" customFormat="1" ht="15.75">
      <c r="B1848" s="39"/>
      <c r="C1848" s="33"/>
      <c r="D1848" s="33"/>
      <c r="E1848" s="33"/>
      <c r="F1848" s="33"/>
      <c r="G1848" s="33"/>
      <c r="H1848" s="33"/>
      <c r="I1848" s="33"/>
    </row>
    <row r="1849" spans="2:9" s="16" customFormat="1" ht="15.75">
      <c r="B1849" s="35" t="str">
        <f ca="1">IFERROR(IF(AND(INDEX(Tab_DaBa[],MATCH(CONCATENATE(Liste!$C$3,$B$1697,$B$1839),Data!$BO:$BO,0)-2,28)&lt;&gt;"",INDEX(Tab_DaBa[],MATCH(CONCATENATE(Liste!$C$3,$B$1697,$B$1839),Data!$BO:$BO,0)-2,33)=0),INDEX(Tab_DaBa[],MATCH(CONCATENATE(Liste!$C$3,$B$1697,$B$1839),Data!$BO:$BO,0)-2,14),IF(INDEX(Tab_DaBa[],MATCH(CONCATENATE(Liste!$C$3,$B$1697,$B$1839),Data!$BO:$BO,0)-2,28)&lt;&gt;"",INDEX(Tab_DaBa[],MATCH(CONCATENATE(Liste!$C$3,$B$1697,$B$1839),Data!$BO:$BO,0)-2,34),"")),"")</f>
        <v>Logik 04</v>
      </c>
      <c r="C1849" s="39"/>
      <c r="D1849" s="35" t="str">
        <f ca="1">IFERROR(IF(AND(INDEX(Tab_DaBa[],MATCH(CONCATENATE(Liste!$C$3,$B$1697,$B$1839),Data!$BO:$BO,0)-2,33)&lt;&gt;"",INDEX(Tab_DaBa[],MATCH(CONCATENATE(Liste!$C$3,$B$1697,$B$1839),Data!$BO:$BO,0)-2,38)=0),INDEX(Tab_DaBa[],MATCH(CONCATENATE(Liste!$C$3,$B$1697,$B$1839),Data!$BO:$BO,0)-2,14),IF(INDEX(Tab_DaBa[],MATCH(CONCATENATE(Liste!$C$3,$B$1697,$B$1839),Data!$BO:$BO,0)-2,33)&lt;&gt;"",INDEX(Tab_DaBa[],MATCH(CONCATENATE(Liste!$C$3,$B$1697,$B$1839),Data!$BO:$BO,0)-2,39),"")),"")</f>
        <v>Logik 05</v>
      </c>
      <c r="E1849" s="33"/>
      <c r="F1849" s="35" t="str">
        <f ca="1">IFERROR(IF(AND(INDEX(Tab_DaBa[],MATCH(CONCATENATE(Liste!$C$3,$B$1697,$B$1839),Data!$BO:$BO,0)-2,38)&lt;&gt;"",INDEX(Tab_DaBa[],MATCH(CONCATENATE(Liste!$C$3,$B$1697,$B$1839),Data!$BO:$BO,0)-2,43)=0),INDEX(Tab_DaBa[],MATCH(CONCATENATE(Liste!$C$3,$B$1697,$B$1839),Data!$BO:$BO,0)-2,14),IF(INDEX(Tab_DaBa[],MATCH(CONCATENATE(Liste!$C$3,$B$1697,$B$1839),Data!$BO:$BO,0)-2,38)&lt;&gt;"",INDEX(Tab_DaBa[],MATCH(CONCATENATE(Liste!$C$3,$B$1697,$B$1839),Data!$BO:$BO,0)-2,44),"")),"")</f>
        <v>Logik 06</v>
      </c>
      <c r="G1849" s="39"/>
      <c r="H1849" s="35" t="str">
        <f ca="1">IFERROR(IF(AND(INDEX(Tab_DaBa[],MATCH(CONCATENATE(Liste!$C$3,$B$1697,$B$1839),Data!$BO:$BO,0)-2,43)&lt;&gt;"",INDEX(Tab_DaBa[],MATCH(CONCATENATE(Liste!$C$3,$B$1697,$B$1839),Data!$BO:$BO,0)-2,48)=0),INDEX(Tab_DaBa[],MATCH(CONCATENATE(Liste!$C$3,$B$1697,$B$1839),Data!$BO:$BO,0)-2,14),IF(INDEX(Tab_DaBa[],MATCH(CONCATENATE(Liste!$C$3,$B$1697,$B$1839),Data!$BO:$BO,0)-2,43)&lt;&gt;"",INDEX(Tab_DaBa[],MATCH(CONCATENATE(Liste!$C$3,$B$1697,$B$1839),Data!$BO:$BO,0)-2,49),"")),"")</f>
        <v>Ausgang</v>
      </c>
      <c r="I1849" s="39"/>
    </row>
    <row r="1850" spans="2:9" s="16" customFormat="1" ht="15.75">
      <c r="B1850" s="35" t="str">
        <f ca="1">IFERROR(IF(AND(INDEX(Tab_DaBa[],MATCH(CONCATENATE(Liste!$C$3,$B$1697,$B$1839),Data!$BO:$BO,0)-2,28)&lt;&gt;"",INDEX(Tab_DaBa[],MATCH(CONCATENATE(Liste!$C$3,$B$1697,$B$1839),Data!$BO:$BO,0)-2,33)=0),INDEX(Tab_DaBa[],MATCH(CONCATENATE(Liste!$C$3,$B$1697,$B$1839),Data!$BO:$BO,0)-2,12),IF(INDEX(Tab_DaBa[],MATCH(CONCATENATE(Liste!$C$3,$B$1697,$B$1839),Data!$BO:$BO,0)-2,28)&lt;&gt;"",INDEX(Tab_DaBa[],MATCH(CONCATENATE(Liste!$C$3,$B$1697,$B$1839),Data!$BO:$BO,0)-2,32),"")),"")</f>
        <v>Lo04-44_06</v>
      </c>
      <c r="C1850" s="39"/>
      <c r="D1850" s="35" t="str">
        <f ca="1">IFERROR(IF(AND(INDEX(Tab_DaBa[],MATCH(CONCATENATE(Liste!$C$3,$B$1697,$B$1839),Data!$BO:$BO,0)-2,33)&lt;&gt;"",INDEX(Tab_DaBa[],MATCH(CONCATENATE(Liste!$C$3,$B$1697,$B$1839),Data!$BO:$BO,0)-2,38)=0),INDEX(Tab_DaBa[],MATCH(CONCATENATE(Liste!$C$3,$B$1697,$B$1839),Data!$BO:$BO,0)-2,12),IF(INDEX(Tab_DaBa[],MATCH(CONCATENATE(Liste!$C$3,$B$1697,$B$1839),Data!$BO:$BO,0)-2,33)&lt;&gt;"",INDEX(Tab_DaBa[],MATCH(CONCATENATE(Liste!$C$3,$B$1697,$B$1839),Data!$BO:$BO,0)-2,37),"")),"")</f>
        <v>Lo04-44_06</v>
      </c>
      <c r="E1850" s="37"/>
      <c r="F1850" s="35" t="str">
        <f ca="1">IFERROR(IF(AND(INDEX(Tab_DaBa[],MATCH(CONCATENATE(Liste!$C$3,$B$1697,$B$1839),Data!$BO:$BO,0)-2,38)&lt;&gt;"",INDEX(Tab_DaBa[],MATCH(CONCATENATE(Liste!$C$3,$B$1697,$B$1839),Data!$BO:$BO,0)-2,43)=0),INDEX(Tab_DaBa[],MATCH(CONCATENATE(Liste!$C$3,$B$1697,$B$1839),Data!$BO:$BO,0)-2,12),IF(INDEX(Tab_DaBa[],MATCH(CONCATENATE(Liste!$C$3,$B$1697,$B$1839),Data!$BO:$BO,0)-2,38)&lt;&gt;"",INDEX(Tab_DaBa[],MATCH(CONCATENATE(Liste!$C$3,$B$1697,$B$1839),Data!$BO:$BO,0)-2,42),"")),"")</f>
        <v>Lo03-33_06</v>
      </c>
      <c r="G1850" s="39"/>
      <c r="H1850" s="35" t="str">
        <f ca="1">IFERROR(IF(AND(INDEX(Tab_DaBa[],MATCH(CONCATENATE(Liste!$C$3,$B$1697,$B$1839),Data!$BO:$BO,0)-2,43)&lt;&gt;"",INDEX(Tab_DaBa[],MATCH(CONCATENATE(Liste!$C$3,$B$1697,$B$1839),Data!$BO:$BO,0)-2,48)=0),INDEX(Tab_DaBa[],MATCH(CONCATENATE(Liste!$C$3,$B$1697,$B$1839),Data!$BO:$BO,0)-2,12),IF(INDEX(Tab_DaBa[],MATCH(CONCATENATE(Liste!$C$3,$B$1697,$B$1839),Data!$BO:$BO,0)-2,43)&lt;&gt;"",INDEX(Tab_DaBa[],MATCH(CONCATENATE(Liste!$C$3,$B$1697,$B$1839),Data!$BO:$BO,0)-2,47),"")),"")</f>
        <v>aaaa-44_6</v>
      </c>
      <c r="I1850" s="39"/>
    </row>
    <row r="1851" spans="2:9" s="16" customFormat="1" ht="15.75">
      <c r="B1851" s="35" t="str">
        <f ca="1">IFERROR(IF(AND(INDEX(Tab_DaBa[],MATCH(CONCATENATE(Liste!$C$3,$B$1697,$B$1839),Data!$BO:$BO,0)-2,28)&lt;&gt;"",INDEX(Tab_DaBa[],MATCH(CONCATENATE(Liste!$C$3,$B$1697,$B$1839),Data!$BO:$BO,0)-2,33)=""),INDEX(Tab_DaBa[],MATCH(CONCATENATE(Liste!$C$3,$B$1697,$B$1839),Data!$BO:$BO,0)-2,13),IF(INDEX(Tab_DaBa[],MATCH(CONCATENATE(Liste!$C$3,$B$1697,$B$1839),Data!$BO:$BO,0)-2,28)&lt;&gt;"",INDEX(Tab_DaBa[],MATCH(CONCATENATE(Liste!$C$3,$B$1697,$B$1839),Data!$BO:$BO,0)-2,33),"")),"")</f>
        <v>Bez_Lo04_06</v>
      </c>
      <c r="C1851" s="38">
        <f ca="1">IF(D1849="","",4)</f>
        <v>4</v>
      </c>
      <c r="D1851" s="35" t="str">
        <f ca="1">IFERROR(IF(AND(INDEX(Tab_DaBa[],MATCH(CONCATENATE(Liste!$C$3,$B$1697,$B$1839),Data!$BO:$BO,0)-2,33)&lt;&gt;"",INDEX(Tab_DaBa[],MATCH(CONCATENATE(Liste!$C$3,$B$1697,$B$1839),Data!$BO:$BO,0)-2,38)=""),INDEX(Tab_DaBa[],MATCH(CONCATENATE(Liste!$C$3,$B$1697,$B$1839),Data!$BO:$BO,0)-2,13),IF(INDEX(Tab_DaBa[],MATCH(CONCATENATE(Liste!$C$3,$B$1697,$B$1839),Data!$BO:$BO,0)-2,33)&lt;&gt;"",INDEX(Tab_DaBa[],MATCH(CONCATENATE(Liste!$C$3,$B$1697,$B$1839),Data!$BO:$BO,0)-2,38),"")),"")</f>
        <v>Bez_Lo03_06</v>
      </c>
      <c r="E1851" s="38">
        <f ca="1">IF(F1849="","",4)</f>
        <v>4</v>
      </c>
      <c r="F1851" s="35" t="str">
        <f ca="1">IFERROR(IF(AND(INDEX(Tab_DaBa[],MATCH(CONCATENATE(Liste!$C$3,$B$1697,$B$1839),Data!$BO:$BO,0)-2,38)&lt;&gt;"",INDEX(Tab_DaBa[],MATCH(CONCATENATE(Liste!$C$3,$B$1697,$B$1839),Data!$BO:$BO,0)-2,43)=""),INDEX(Tab_DaBa[],MATCH(CONCATENATE(Liste!$C$3,$B$1697,$B$1839),Data!$BO:$BO,0)-2,13),IF(INDEX(Tab_DaBa[],MATCH(CONCATENATE(Liste!$C$3,$B$1697,$B$1839),Data!$BO:$BO,0)-2,38)&lt;&gt;"",INDEX(Tab_DaBa[],MATCH(CONCATENATE(Liste!$C$3,$B$1697,$B$1839),Data!$BO:$BO,0)-2,43),"")),"")</f>
        <v>Bez_Lo03_06</v>
      </c>
      <c r="G1851" s="38">
        <f ca="1">IF(H1849="","",4)</f>
        <v>4</v>
      </c>
      <c r="H1851" s="35" t="str">
        <f ca="1">IFERROR(IF(AND(INDEX(Tab_DaBa[],MATCH(CONCATENATE(Liste!$C$3,$B$1697,$B$1839),Data!$BO:$BO,0)-2,43)&lt;&gt;"",INDEX(Tab_DaBa[],MATCH(CONCATENATE(Liste!$C$3,$B$1697,$B$1839),Data!$BO:$BO,0)-2,48)=""),INDEX(Tab_DaBa[],MATCH(CONCATENATE(Liste!$C$3,$B$1697,$B$1839),Data!$BO:$BO,0)-2,13),IF(INDEX(Tab_DaBa[],MATCH(CONCATENATE(Liste!$C$3,$B$1697,$B$1839),Data!$BO:$BO,0)-2,43)&lt;&gt;"",INDEX(Tab_DaBa[],MATCH(CONCATENATE(Liste!$C$3,$B$1697,$B$1839),Data!$BO:$BO,0)-2,48),"")),"")</f>
        <v>Bez_Aus4_6</v>
      </c>
      <c r="I1851" s="38" t="str">
        <f ca="1">IF(B1857="","",6)</f>
        <v/>
      </c>
    </row>
    <row r="1852" spans="2:9" s="16" customFormat="1" ht="15.75">
      <c r="B1852" s="35" t="str">
        <f ca="1">IFERROR(IF(AND(INDEX(Tab_DaBa[],MATCH(CONCATENATE(Liste!$C$3,$B$1697,$B$1839),Data!$BO:$BO,0)-2,28)&lt;&gt;"",INDEX(Tab_DaBa[],MATCH(CONCATENATE(Liste!$C$3,$B$1697,$B$1839),Data!$BO:$BO,0)-2,33)=""),"Performance Level: "&amp;INDEX(Tab_DaBa[],MATCH(CONCATENATE(Liste!$C$3,$B$1697,$B$1839),Data!$BO:$BO,0)-2,15),IF(INDEX(Tab_DaBa[],MATCH(CONCATENATE(Liste!$C$3,$B$1697,$B$1839),Data!$BO:$BO,0)-2,28)&lt;&gt;"","Performance Level: "&amp;INDEX(Tab_DaBa[],MATCH(CONCATENATE(Liste!$C$3,$B$1697,$B$1839),Data!$BO:$BO,0)-2,35),"")),"")</f>
        <v>Performance Level: PL_Lo04_06</v>
      </c>
      <c r="C1852" s="39"/>
      <c r="D1852" s="35" t="str">
        <f ca="1">IFERROR(IF(AND(INDEX(Tab_DaBa[],MATCH(CONCATENATE(Liste!$C$3,$B$1697,$B$1839),Data!$BO:$BO,0)-2,33)&lt;&gt;"",INDEX(Tab_DaBa[],MATCH(CONCATENATE(Liste!$C$3,$B$1697,$B$1839),Data!$BO:$BO,0)-2,38)=""),"Performance Level: "&amp;INDEX(Tab_DaBa[],MATCH(CONCATENATE(Liste!$C$3,$B$1697,$B$1839),Data!$BO:$BO,0)-2,15),IF(INDEX(Tab_DaBa[],MATCH(CONCATENATE(Liste!$C$3,$B$1697,$B$1839),Data!$BO:$BO,0)-2,33)&lt;&gt;"","Performance Level: "&amp;INDEX(Tab_DaBa[],MATCH(CONCATENATE(Liste!$C$3,$B$1697,$B$1839),Data!$BO:$BO,0)-2,40),"")),"")</f>
        <v>Performance Level: PL_Lo03_6</v>
      </c>
      <c r="E1852" s="37"/>
      <c r="F1852" s="35" t="str">
        <f ca="1">IFERROR(IF(AND(INDEX(Tab_DaBa[],MATCH(CONCATENATE(Liste!$C$3,$B$1697,$B$1839),Data!$BO:$BO,0)-2,38)&lt;&gt;"",INDEX(Tab_DaBa[],MATCH(CONCATENATE(Liste!$C$3,$B$1697,$B$1839),Data!$BO:$BO,0)-2,43)=""),"Performance Level: "&amp;INDEX(Tab_DaBa[],MATCH(CONCATENATE(Liste!$C$3,$B$1697,$B$1839),Data!$BO:$BO,0)-2,15),IF(INDEX(Tab_DaBa[],MATCH(CONCATENATE(Liste!$C$3,$B$1697,$B$1839),Data!$BO:$BO,0)-2,38)&lt;&gt;"","Performance Level: "&amp;INDEX(Tab_DaBa[],MATCH(CONCATENATE(Liste!$C$3,$B$1697,$B$1839),Data!$BO:$BO,0)-2,45),"")),"")</f>
        <v>Performance Level: PL_Lo03_06</v>
      </c>
      <c r="G1852" s="39"/>
      <c r="H1852" s="35" t="str">
        <f ca="1">IFERROR(IF(AND(INDEX(Tab_DaBa[],MATCH(CONCATENATE(Liste!$C$3,$B$1697,$B$1839),Data!$BO:$BO,0)-2,43)&lt;&gt;"",INDEX(Tab_DaBa[],MATCH(CONCATENATE(Liste!$C$3,$B$1697,$B$1839),Data!$BO:$BO,0)-2,48)=""),"Performance Level: "&amp;INDEX(Tab_DaBa[],MATCH(CONCATENATE(Liste!$C$3,$B$1697,$B$1839),Data!$BO:$BO,0)-2,15),IF(INDEX(Tab_DaBa[],MATCH(CONCATENATE(Liste!$C$3,$B$1697,$B$1839),Data!$BO:$BO,0)-2,43)&lt;&gt;"","Performance Level: "&amp;INDEX(Tab_DaBa[],MATCH(CONCATENATE(Liste!$C$3,$B$1697,$B$1839),Data!$BO:$BO,0)-2,50),"")),"")</f>
        <v>Performance Level: PL_Aus4_6</v>
      </c>
      <c r="I1852" s="39"/>
    </row>
    <row r="1853" spans="2:9" s="16" customFormat="1" ht="15.75">
      <c r="B1853" s="35" t="str">
        <f ca="1">IFERROR(IF(AND(INDEX(Tab_DaBa[],MATCH(CONCATENATE(Liste!$C$3,$B$1697,$B$1839),Data!$BO:$BO,0)-2,28)&lt;&gt;"",INDEX(Tab_DaBa[],MATCH(CONCATENATE(Liste!$C$3,$B$1697,$B$1839),Data!$BO:$BO,0)-2,33)=""),"PFH [1/h] = "&amp;10^9*INDEX(Tab_DaBa[],MATCH(CONCATENATE(Liste!$C$3,$B$1697,$B$1839),Data!$BO:$BO,0)-2,16)&amp;"E-9",IF(INDEX(Tab_DaBa[],MATCH(CONCATENATE(Liste!$C$3,$B$1697,$B$1839),Data!$BO:$BO,0)-2,28)&lt;&gt;"","PFH [1/h] = "&amp;10^9*INDEX(Tab_DaBa[],MATCH(CONCATENATE(Liste!$C$3,$B$1697,$B$1839),Data!$BO:$BO,0)-2,36)&amp;"E-9","")),"")</f>
        <v>PFH [1/h] = 4,19E-9</v>
      </c>
      <c r="C1853" s="39"/>
      <c r="D1853" s="35" t="str">
        <f ca="1">IFERROR(IF(AND(INDEX(Tab_DaBa[],MATCH(CONCATENATE(Liste!$C$3,$B$1697,$B$1839),Data!$BO:$BO,0)-2,33)&lt;&gt;"",INDEX(Tab_DaBa[],MATCH(CONCATENATE(Liste!$C$3,$B$1697,$B$1839),Data!$BO:$BO,0)-2,38)=""),"PFH [1/h] = "&amp;10^9*INDEX(Tab_DaBa[],MATCH(CONCATENATE(Liste!$C$3,$B$1697,$B$1839),Data!$BO:$BO,0)-2,16)&amp;"E-9",IF(INDEX(Tab_DaBa[],MATCH(CONCATENATE(Liste!$C$3,$B$1697,$B$1839),Data!$BO:$BO,0)-2,33)&lt;&gt;"","PFH [1/h] = "&amp;10^9*INDEX(Tab_DaBa[],MATCH(CONCATENATE(Liste!$C$3,$B$1697,$B$1839),Data!$BO:$BO,0)-2,41)&amp;"E-9","")),"")</f>
        <v>PFH [1/h] = 4,19E-9</v>
      </c>
      <c r="E1853" s="37"/>
      <c r="F1853" s="35" t="str">
        <f ca="1">IFERROR(IF(AND(INDEX(Tab_DaBa[],MATCH(CONCATENATE(Liste!$C$3,$B$1697,$B$1839),Data!$BO:$BO,0)-2,38)&lt;&gt;"",INDEX(Tab_DaBa[],MATCH(CONCATENATE(Liste!$C$3,$B$1697,$B$1839),Data!$BO:$BO,0)-2,43)=""),"PFH [1/h] = "&amp;10^9*INDEX(Tab_DaBa[],MATCH(CONCATENATE(Liste!$C$3,$B$1697,$B$1839),Data!$BO:$BO,0)-2,16)&amp;"E-9",IF(INDEX(Tab_DaBa[],MATCH(CONCATENATE(Liste!$C$3,$B$1697,$B$1839),Data!$BO:$BO,0)-2,38)&lt;&gt;"","PFH [1/h] = "&amp;10^9*INDEX(Tab_DaBa[],MATCH(CONCATENATE(Liste!$C$3,$B$1697,$B$1839),Data!$BO:$BO,0)-2,46)&amp;"E-9","")),"")</f>
        <v>PFH [1/h] = 4,19E-9</v>
      </c>
      <c r="G1853" s="39"/>
      <c r="H1853" s="35" t="str">
        <f ca="1">IFERROR(IF(AND(INDEX(Tab_DaBa[],MATCH(CONCATENATE(Liste!$C$3,$B$1697,$B$1839),Data!$BO:$BO,0)-2,43)&lt;&gt;"",INDEX(Tab_DaBa[],MATCH(CONCATENATE(Liste!$C$3,$B$1697,$B$1839),Data!$BO:$BO,0)-2,48)=""),"PFH [1/h] = "&amp;10^9*INDEX(Tab_DaBa[],MATCH(CONCATENATE(Liste!$C$3,$B$1697,$B$1839),Data!$BO:$BO,0)-2,16)&amp;"E-9",IF(INDEX(Tab_DaBa[],MATCH(CONCATENATE(Liste!$C$3,$B$1697,$B$1839),Data!$BO:$BO,0)-2,43)&lt;&gt;"","PFH [1/h] = "&amp;10^9*INDEX(Tab_DaBa[],MATCH(CONCATENATE(Liste!$C$3,$B$1697,$B$1839),Data!$BO:$BO,0)-2,51)&amp;"E-9","")),"")</f>
        <v>PFH [1/h] = 24,7E-9</v>
      </c>
      <c r="I1853" s="39"/>
    </row>
    <row r="1854" spans="2:9" s="16" customFormat="1">
      <c r="B1854" s="33"/>
      <c r="C1854" s="33"/>
      <c r="D1854" s="33"/>
      <c r="E1854" s="33"/>
      <c r="F1854" s="33"/>
      <c r="G1854" s="33"/>
      <c r="H1854" s="33"/>
      <c r="I1854" s="33"/>
    </row>
    <row r="1855" spans="2:9" s="16" customFormat="1" ht="15.75">
      <c r="B1855" s="38" t="str">
        <f ca="1">IF(B1857="","",6)</f>
        <v/>
      </c>
      <c r="C1855" s="33"/>
      <c r="D1855" s="38" t="str">
        <f ca="1">IF(B1857="","",3)</f>
        <v/>
      </c>
      <c r="E1855" s="33"/>
      <c r="F1855" s="38" t="str">
        <f ca="1">IF(B1857="","",3)</f>
        <v/>
      </c>
      <c r="G1855" s="33"/>
      <c r="H1855" s="38" t="str">
        <f ca="1">IF(B1857="","",3)</f>
        <v/>
      </c>
      <c r="I1855" s="33"/>
    </row>
    <row r="1856" spans="2:9" s="16" customFormat="1" ht="15.75">
      <c r="B1856" s="39"/>
      <c r="C1856" s="33"/>
      <c r="D1856" s="33"/>
      <c r="E1856" s="33"/>
      <c r="F1856" s="33"/>
      <c r="G1856" s="33"/>
      <c r="H1856" s="33"/>
      <c r="I1856" s="33"/>
    </row>
    <row r="1857" spans="2:9" s="16" customFormat="1" ht="15.75">
      <c r="B1857" s="35" t="str">
        <f ca="1">IFERROR(IF(AND(INDEX(Tab_DaBa[],MATCH(CONCATENATE(Liste!$C$3,$B$1697,$B$1839),Data!$BO:$BO,0)-2,48)&lt;&gt;"",INDEX(Tab_DaBa[],MATCH(CONCATENATE(Liste!$C$3,$B$1697,$B$1839),Data!$BO:$BO,0)-2,53)=0),INDEX(Tab_DaBa[],MATCH(CONCATENATE(Liste!$C$3,$B$1697,$B$1839),Data!$BO:$BO,0)-2,14),IF(INDEX(Tab_DaBa[],MATCH(CONCATENATE(Liste!$C$3,$B$1697,$B$1839),Data!$BO:$BO,0)-2,48)&lt;&gt;"",INDEX(Tab_DaBa[],MATCH(CONCATENATE(Liste!$C$3,$B$1697,$B$1839),Data!$BO:$BO,0)-2,54),"")),"")</f>
        <v/>
      </c>
      <c r="C1857" s="39"/>
      <c r="D1857" s="35" t="str">
        <f ca="1">IFERROR(IF(AND(INDEX(Tab_DaBa[],MATCH(CONCATENATE(Liste!$C$3,$B$1697,$B$1839),Data!$BO:$BO,0)-2,53)&lt;&gt;"",INDEX(Tab_DaBa[],MATCH(CONCATENATE(Liste!$C$3,$B$1697,$B$1839),Data!$BO:$BO,0)-2,58)=0),INDEX(Tab_DaBa[],MATCH(CONCATENATE(Liste!$C$3,$B$1697,$B$1839),Data!$BO:$BO,0)-2,14),IF(INDEX(Tab_DaBa[],MATCH(CONCATENATE(Liste!$C$3,$B$1697,$B$1839),Data!$BO:$BO,0)-2,53)&lt;&gt;"",INDEX(Tab_DaBa[],MATCH(CONCATENATE(Liste!$C$3,$B$1697,$B$1839),Data!$BO:$BO,0)-2,59),"")),"")</f>
        <v/>
      </c>
      <c r="E1857" s="33"/>
      <c r="F1857" s="35" t="str">
        <f ca="1">IFERROR(IF(AND(INDEX(Tab_DaBa[],MATCH(CONCATENATE(Liste!$C$3,$B$1697,$B$1839),Data!$BO:$BO,0)-2,58)&lt;&gt;"",INDEX(Tab_DaBa[],MATCH(CONCATENATE(Liste!$C$3,$B$1697,$B$1839),Data!$BO:$BO,0)-2,63)=0),INDEX(Tab_DaBa[],MATCH(CONCATENATE(Liste!$C$3,$B$1697,$B$1839),Data!$BO:$BO,0)-2,14),IF(INDEX(Tab_DaBa[],MATCH(CONCATENATE(Liste!$C$3,$B$1697,$B$1839),Data!$BO:$BO,0)-2,58)&lt;&gt;"",INDEX(Tab_DaBa[],MATCH(CONCATENATE(Liste!$C$3,$B$1697,$B$1839),Data!$BO:$BO,0)-2,64),"")),"")</f>
        <v/>
      </c>
      <c r="G1857" s="39"/>
      <c r="H1857" s="35" t="str">
        <f ca="1">IFERROR(IF(INDEX(Tab_DaBa[],MATCH(CONCATENATE(Liste!$C$3,$B$1697,$B$1839),Data!$BO:$BO,0)-2,63)&lt;&gt;"",INDEX(Tab_DaBa[],MATCH(CONCATENATE(Liste!$C$3,$B$1697,$B$1839),Data!$BO:$BO,0)-2,14),""),"")</f>
        <v/>
      </c>
    </row>
    <row r="1858" spans="2:9" s="16" customFormat="1" ht="15.75">
      <c r="B1858" s="35" t="str">
        <f ca="1">IFERROR(IF(AND(INDEX(Tab_DaBa[],MATCH(CONCATENATE(Liste!$C$3,$B$1697,$B$1839),Data!$BO:$BO,0)-2,48)&lt;&gt;"",INDEX(Tab_DaBa[],MATCH(CONCATENATE(Liste!$C$3,$B$1697,$B$1839),Data!$BO:$BO,0)-2,53)=0),INDEX(Tab_DaBa[],MATCH(CONCATENATE(Liste!$C$3,$B$1697,$B$1839),Data!$BO:$BO,0)-2,12),IF(INDEX(Tab_DaBa[],MATCH(CONCATENATE(Liste!$C$3,$B$1697,$B$1839),Data!$BO:$BO,0)-2,48)&lt;&gt;"",INDEX(Tab_DaBa[],MATCH(CONCATENATE(Liste!$C$3,$B$1697,$B$1839),Data!$BO:$BO,0)-2,52),"")),"")</f>
        <v/>
      </c>
      <c r="C1858" s="39"/>
      <c r="D1858" s="35" t="str">
        <f ca="1">IFERROR(IF(AND(INDEX(Tab_DaBa[],MATCH(CONCATENATE(Liste!$C$3,$B$1697,$B$1839),Data!$BO:$BO,0)-2,53)&lt;&gt;"",INDEX(Tab_DaBa[],MATCH(CONCATENATE(Liste!$C$3,$B$1697,$B$1839),Data!$BO:$BO,0)-2,58)=0),INDEX(Tab_DaBa[],MATCH(CONCATENATE(Liste!$C$3,$B$1697,$B$1839),Data!$BO:$BO,0)-2,12),IF(INDEX(Tab_DaBa[],MATCH(CONCATENATE(Liste!$C$3,$B$1697,$B$1839),Data!$BO:$BO,0)-2,53)&lt;&gt;"",INDEX(Tab_DaBa[],MATCH(CONCATENATE(Liste!$C$3,$B$1697,$B$1839),Data!$BO:$BO,0)-2,57),"")),"")</f>
        <v/>
      </c>
      <c r="E1858" s="37"/>
      <c r="F1858" s="35" t="str">
        <f ca="1">IFERROR(IF(AND(INDEX(Tab_DaBa[],MATCH(CONCATENATE(Liste!$C$3,$B$1697,$B$1839),Data!$BO:$BO,0)-2,58)&lt;&gt;"",INDEX(Tab_DaBa[],MATCH(CONCATENATE(Liste!$C$3,$B$1697,$B$1839),Data!$BO:$BO,0)-2,63)=0),INDEX(Tab_DaBa[],MATCH(CONCATENATE(Liste!$C$3,$B$1697,$B$1839),Data!$BO:$BO,0)-2,12),IF(INDEX(Tab_DaBa[],MATCH(CONCATENATE(Liste!$C$3,$B$1697,$B$1839),Data!$BO:$BO,0)-2,58)&lt;&gt;"",INDEX(Tab_DaBa[],MATCH(CONCATENATE(Liste!$C$3,$B$1697,$B$1839),Data!$BO:$BO,0)-2,62),"")),"")</f>
        <v/>
      </c>
      <c r="G1858" s="39"/>
      <c r="H1858" s="35" t="str">
        <f ca="1">IFERROR(IF(INDEX(Tab_DaBa[],MATCH(CONCATENATE(Liste!$C$3,$B$1697,$B$1839),Data!$BO:$BO,0)-2,63)&lt;&gt;"",INDEX(Tab_DaBa[],MATCH(CONCATENATE(Liste!$C$3,$B$1697,$B$1839),Data!$BO:$BO,0)-2,12),""),"")</f>
        <v/>
      </c>
    </row>
    <row r="1859" spans="2:9" s="16" customFormat="1" ht="15.75">
      <c r="B1859" s="35" t="str">
        <f ca="1">IFERROR(IF(AND(INDEX(Tab_DaBa[],MATCH(CONCATENATE(Liste!$C$3,$B$1697,$B$1839),Data!$BO:$BO,0)-2,48)&lt;&gt;"",INDEX(Tab_DaBa[],MATCH(CONCATENATE(Liste!$C$3,$B$1697,$B$1839),Data!$BO:$BO,0)-2,53)=""),INDEX(Tab_DaBa[],MATCH(CONCATENATE(Liste!$C$3,$B$1697,$B$1839),Data!$BO:$BO,0)-2,13),IF(INDEX(Tab_DaBa[],MATCH(CONCATENATE(Liste!$C$3,$B$1697,$B$1839),Data!$BO:$BO,0)-2,48)&lt;&gt;"",INDEX(Tab_DaBa[],MATCH(CONCATENATE(Liste!$C$3,$B$1697,$B$1839),Data!$BO:$BO,0)-2,53),"")),"")</f>
        <v/>
      </c>
      <c r="C1859" s="38" t="str">
        <f ca="1">IF(D1857="","",4)</f>
        <v/>
      </c>
      <c r="D1859" s="35" t="str">
        <f ca="1">IFERROR(IF(AND(INDEX(Tab_DaBa[],MATCH(CONCATENATE(Liste!$C$3,$B$1697,$B$1839),Data!$BO:$BO,0)-2,53)&lt;&gt;"",INDEX(Tab_DaBa[],MATCH(CONCATENATE(Liste!$C$3,$B$1697,$B$1839),Data!$BO:$BO,0)-2,58)=""),INDEX(Tab_DaBa[],MATCH(CONCATENATE(Liste!$C$3,$B$1697,$B$1839),Data!$BO:$BO,0)-2,13),IF(INDEX(Tab_DaBa[],MATCH(CONCATENATE(Liste!$C$3,$B$1697,$B$1839),Data!$BO:$BO,0)-2,53)&lt;&gt;"",INDEX(Tab_DaBa[],MATCH(CONCATENATE(Liste!$C$3,$B$1697,$B$1839),Data!$BO:$BO,0)-2,58),"")),"")</f>
        <v/>
      </c>
      <c r="E1859" s="38" t="str">
        <f ca="1">IF(F1857="","",4)</f>
        <v/>
      </c>
      <c r="F1859" s="35" t="str">
        <f ca="1">IFERROR(IF(AND(INDEX(Tab_DaBa[],MATCH(CONCATENATE(Liste!$C$3,$B$1697,$B$1839),Data!$BO:$BO,0)-2,58)&lt;&gt;"",INDEX(Tab_DaBa[],MATCH(CONCATENATE(Liste!$C$3,$B$1697,$B$1839),Data!$BO:$BO,0)-2,63)=""),INDEX(Tab_DaBa[],MATCH(CONCATENATE(Liste!$C$3,$B$1697,$B$1839),Data!$BO:$BO,0)-2,13),IF(INDEX(Tab_DaBa[],MATCH(CONCATENATE(Liste!$C$3,$B$1697,$B$1839),Data!$BO:$BO,0)-2,58)&lt;&gt;"",INDEX(Tab_DaBa[],MATCH(CONCATENATE(Liste!$C$3,$B$1697,$B$1839),Data!$BO:$BO,0)-2,63),"")),"")</f>
        <v/>
      </c>
      <c r="G1859" s="38" t="str">
        <f ca="1">IF(H1857="","",4)</f>
        <v/>
      </c>
      <c r="H1859" s="35" t="str">
        <f ca="1">IFERROR(IF(INDEX(Tab_DaBa[],MATCH(CONCATENATE(Liste!$C$3,$B$1697,$B$1839),Data!$BO:$BO,0)-2,63)&lt;&gt;"",INDEX(Tab_DaBa[],MATCH(CONCATENATE(Liste!$C$3,$B$1697,$B$1839),Data!$BO:$BO,0)-2,13),""),"")</f>
        <v/>
      </c>
    </row>
    <row r="1860" spans="2:9" s="16" customFormat="1" ht="15.75">
      <c r="B1860" s="35" t="str">
        <f ca="1">IFERROR(IF(AND(INDEX(Tab_DaBa[],MATCH(CONCATENATE(Liste!$C$3,$B$1697,$B$1839),Data!$BO:$BO,0)-2,48)&lt;&gt;"",INDEX(Tab_DaBa[],MATCH(CONCATENATE(Liste!$C$3,$B$1697,$B$1839),Data!$BO:$BO,0)-2,53)=""),"Performance Level: "&amp;INDEX(Tab_DaBa[],MATCH(CONCATENATE(Liste!$C$3,$B$1697,$B$1839),Data!$BO:$BO,0)-2,15),IF(INDEX(Tab_DaBa[],MATCH(CONCATENATE(Liste!$C$3,$B$1697,$B$1839),Data!$BO:$BO,0)-2,48)&lt;&gt;"","Performance Level: "&amp;INDEX(Tab_DaBa[],MATCH(CONCATENATE(Liste!$C$3,$B$1697,$B$1839),Data!$BO:$BO,0)-2,55),"")),"")</f>
        <v/>
      </c>
      <c r="C1860" s="39"/>
      <c r="D1860" s="35" t="str">
        <f ca="1">IFERROR(IF(AND(INDEX(Tab_DaBa[],MATCH(CONCATENATE(Liste!$C$3,$B$1697,$B$1839),Data!$BO:$BO,0)-2,53)&lt;&gt;"",INDEX(Tab_DaBa[],MATCH(CONCATENATE(Liste!$C$3,$B$1697,$B$1839),Data!$BO:$BO,0)-2,58)=""),"Performance Level: "&amp;INDEX(Tab_DaBa[],MATCH(CONCATENATE(Liste!$C$3,$B$1697,$B$1839),Data!$BO:$BO,0)-2,15),IF(INDEX(Tab_DaBa[],MATCH(CONCATENATE(Liste!$C$3,$B$1697,$B$1839),Data!$BO:$BO,0)-2,53)&lt;&gt;"","Performance Level: "&amp;INDEX(Tab_DaBa[],MATCH(CONCATENATE(Liste!$C$3,$B$1697,$B$1839),Data!$BO:$BO,0)-2,60),"")),"")</f>
        <v/>
      </c>
      <c r="E1860" s="37"/>
      <c r="F1860" s="35" t="str">
        <f ca="1">IFERROR(IF(AND(INDEX(Tab_DaBa[],MATCH(CONCATENATE(Liste!$C$3,$B$1697,$B$1839),Data!$BO:$BO,0)-2,58)&lt;&gt;"",INDEX(Tab_DaBa[],MATCH(CONCATENATE(Liste!$C$3,$B$1697,$B$1839),Data!$BO:$BO,0)-2,63)=""),"Performance Level: "&amp;INDEX(Tab_DaBa[],MATCH(CONCATENATE(Liste!$C$3,$B$1697,$B$1839),Data!$BO:$BO,0)-2,15),IF(INDEX(Tab_DaBa[],MATCH(CONCATENATE(Liste!$C$3,$B$1697,$B$1839),Data!$BO:$BO,0)-2,58)&lt;&gt;"","Performance Level: "&amp;INDEX(Tab_DaBa[],MATCH(CONCATENATE(Liste!$C$3,$B$1697,$B$1839),Data!$BO:$BO,0)-2,65),"")),"")</f>
        <v/>
      </c>
      <c r="G1860" s="39"/>
      <c r="H1860" s="35" t="str">
        <f ca="1">IFERROR(IF(INDEX(Tab_DaBa[],MATCH(CONCATENATE(Liste!$C$3,$B$1697,$B$1839),Data!$BO:$BO,0)-2,63)&lt;&gt;"","Performance Level: "&amp;INDEX(Tab_DaBa[],MATCH(CONCATENATE(Liste!$C$3,$B$1697,$B$1839),Data!$BO:$BO,0)-2,15),""),"")</f>
        <v/>
      </c>
    </row>
    <row r="1861" spans="2:9" s="16" customFormat="1" ht="15.75">
      <c r="B1861" s="35" t="str">
        <f ca="1">IFERROR(IF(AND(INDEX(Tab_DaBa[],MATCH(CONCATENATE(Liste!$C$3,$B$1697,$B$1839),Data!$BO:$BO,0)-2,48)&lt;&gt;"",INDEX(Tab_DaBa[],MATCH(CONCATENATE(Liste!$C$3,$B$1697,$B$1839),Data!$BO:$BO,0)-2,53)=""),"PFH [1/h] = "&amp;10^9*INDEX(Tab_DaBa[],MATCH(CONCATENATE(Liste!$C$3,$B$1697,$B$1839),Data!$BO:$BO,0)-2,16)&amp;"E-9",IF(INDEX(Tab_DaBa[],MATCH(CONCATENATE(Liste!$C$3,$B$1697,$B$1839),Data!$BO:$BO,0)-2,48)&lt;&gt;"","PFH [1/h] = "&amp;10^9*INDEX(Tab_DaBa[],MATCH(CONCATENATE(Liste!$C$3,$B$1697,$B$1839),Data!$BO:$BO,0)-2,56)&amp;"E-9","")),"")</f>
        <v/>
      </c>
      <c r="C1861" s="39"/>
      <c r="D1861" s="35" t="str">
        <f ca="1">IFERROR(IF(AND(INDEX(Tab_DaBa[],MATCH(CONCATENATE(Liste!$C$3,$B$1697,$B$1839),Data!$BO:$BO,0)-2,53)&lt;&gt;"",INDEX(Tab_DaBa[],MATCH(CONCATENATE(Liste!$C$3,$B$1697,$B$1839),Data!$BO:$BO,0)-2,58)=""),"PFH [1/h] = "&amp;10^9*INDEX(Tab_DaBa[],MATCH(CONCATENATE(Liste!$C$3,$B$1697,$B$1839),Data!$BO:$BO,0)-2,16)&amp;"E-9",IF(INDEX(Tab_DaBa[],MATCH(CONCATENATE(Liste!$C$3,$B$1697,$B$1839),Data!$BO:$BO,0)-2,53)&lt;&gt;"","PFH [1/h] = "&amp;10^9*INDEX(Tab_DaBa[],MATCH(CONCATENATE(Liste!$C$3,$B$1697,$B$1839),Data!$BO:$BO,0)-2,61)&amp;"E-9","")),"")</f>
        <v/>
      </c>
      <c r="E1861" s="37"/>
      <c r="F1861" s="35" t="str">
        <f ca="1">IFERROR(IF(AND(INDEX(Tab_DaBa[],MATCH(CONCATENATE(Liste!$C$3,$B$1697,$B$1839),Data!$BO:$BO,0)-2,58)&lt;&gt;"",INDEX(Tab_DaBa[],MATCH(CONCATENATE(Liste!$C$3,$B$1697,$B$1839),Data!$BO:$BO,0)-2,63)=""),"PFH [1/h] = "&amp;10^9*INDEX(Tab_DaBa[],MATCH(CONCATENATE(Liste!$C$3,$B$1697,$B$1839),Data!$BO:$BO,0)-2,16)&amp;"E-9",IF(INDEX(Tab_DaBa[],MATCH(CONCATENATE(Liste!$C$3,$B$1697,$B$1839),Data!$BO:$BO,0)-2,58)&lt;&gt;"","PFH [1/h] = "&amp;10^9*INDEX(Tab_DaBa[],MATCH(CONCATENATE(Liste!$C$3,$B$1697,$B$1839),Data!$BO:$BO,0)-2,66)&amp;"E-9","")),"")</f>
        <v/>
      </c>
      <c r="G1861" s="39"/>
      <c r="H1861" s="35" t="str">
        <f ca="1">IFERROR(IF(INDEX(Tab_DaBa[],MATCH(CONCATENATE(Liste!$C$3,$B$1697,$B$1839),Data!$BO:$BO,0)-2,63)&lt;&gt;"","PFH [1/h] = "&amp;10^9*INDEX(Tab_DaBa[],MATCH(CONCATENATE(Liste!$C$3,$B$1697,$B$1839),Data!$BO:$BO,0)-2,16)&amp;"E-9",""),"")</f>
        <v/>
      </c>
    </row>
    <row r="1862" spans="2:9" s="16" customFormat="1"/>
    <row r="1863" spans="2:9" s="16" customFormat="1">
      <c r="B1863" s="43" t="str">
        <f ca="1">IF(D1863="","","Erforderlich")</f>
        <v>Erforderlich</v>
      </c>
      <c r="D1863" s="44" t="str">
        <f ca="1">IFERROR("Performance Level: "&amp;INDEX(Tab_DaBa[],MATCH(CONCATENATE(Liste!$C$3,$B$1697,$B$1839),Data!$BO:$BO,0)-2,4),"")</f>
        <v>Performance Level: PLr_ges4_6</v>
      </c>
    </row>
    <row r="1864" spans="2:9" s="16" customFormat="1">
      <c r="B1864" s="45"/>
    </row>
    <row r="1865" spans="2:9" s="16" customFormat="1">
      <c r="B1865" s="46" t="str">
        <f ca="1">IF(D1865="","","Erreicht")</f>
        <v>Erreicht</v>
      </c>
      <c r="D1865" s="47" t="str">
        <f ca="1">IFERROR("Performance Level: "&amp;INDEX(Tab_DaBa[],MATCH(CONCATENATE(Liste!$C$3,$B$1697,$B$1839),Data!$BO:$BO,0)-2,5)&amp;"          PFH [1/h] = "&amp;10^9*INDEX(Tab_DaBa[],MATCH(CONCATENATE(Liste!$C$3,$B$1697,$B$1839),Data!$BO:$BO,0)-2,6)&amp;"E-9","")</f>
        <v>Performance Level: Pl_ges4_6          PFH [1/h] = 71,7E-9</v>
      </c>
    </row>
    <row r="1866" spans="2:9" s="16" customFormat="1"/>
    <row r="1867" spans="2:9" s="16" customFormat="1">
      <c r="B1867" s="42" t="str">
        <f ca="1">IFERROR(IF(7&gt;COUNTIF(Data!$BP:$BP,CONCATENATE(Liste!$C$3,$B$1697)),"",INDEX(Tab_DaBa[],MATCH(CONCATENATE(Liste!$C$3,$B$1697),Data!$BP:$BP,0)+4,3)),"")</f>
        <v>7.7 Test4 (E+7L+A)</v>
      </c>
    </row>
    <row r="1868" spans="2:9" s="16" customFormat="1"/>
    <row r="1869" spans="2:9" s="16" customFormat="1" ht="15.75">
      <c r="B1869" s="35" t="str">
        <f ca="1">IFERROR(INDEX(Tab_DaBa[],MATCH(CONCATENATE(Liste!$C$3,$B$1697,$B$1867),Data!$BO:$BO,0)-2,9),"")</f>
        <v>Eingang</v>
      </c>
      <c r="C1869" s="54"/>
      <c r="D1869" s="35" t="str">
        <f ca="1">IFERROR(IF(INDEX(Tab_DaBa[],MATCH(CONCATENATE(Liste!$C$3,$B$1697,$B$1867),Data!$BO:$BO,0)-2,18)=0,INDEX(Tab_DaBa[],MATCH(CONCATENATE(Liste!$C$3,$B$1697,$B$1867),Data!$BO:$BO,0)-2,14),INDEX(Tab_DaBa[],MATCH(CONCATENATE(Liste!$C$3,$B$1697,$B$1867),Data!$BO:$BO,0)-2,19)),"")</f>
        <v>Logik 01</v>
      </c>
      <c r="E1869" s="33"/>
      <c r="F1869" s="35" t="str">
        <f ca="1">IFERROR(IF(AND(INDEX(Tab_DaBa[],MATCH(CONCATENATE(Liste!$C$3,$B$1697,$B$1867),Data!$BO:$BO,0)-2,18)&lt;&gt;"",INDEX(Tab_DaBa[],MATCH(CONCATENATE(Liste!$C$3,$B$1697,$B$1867),Data!$BO:$BO,0)-2,23)=0),INDEX(Tab_DaBa[],MATCH(CONCATENATE(Liste!$C$3,$B$1697,$B$1867),Data!$BO:$BO,0)-2,14),IF(INDEX(Tab_DaBa[],MATCH(CONCATENATE(Liste!$C$3,$B$1697,$B$1867),Data!$BO:$BO,0)-2,23)&lt;&gt;"",INDEX(Tab_DaBa[],MATCH(CONCATENATE(Liste!$C$3,$B$1697,$B$1867),Data!$BO:$BO,0)-2,24),"")),"")</f>
        <v>Logik 02</v>
      </c>
      <c r="G1869" s="39"/>
      <c r="H1869" s="35" t="str">
        <f ca="1">IFERROR(IF(AND(INDEX(Tab_DaBa[],MATCH(CONCATENATE(Liste!$C$3,$B$1697,$B$1867),Data!$BO:$BO,0)-2,23)&lt;&gt;"",INDEX(Tab_DaBa[],MATCH(CONCATENATE(Liste!$C$3,$B$1697,$B$1867),Data!$BO:$BO,0)-2,28)=0),INDEX(Tab_DaBa[],MATCH(CONCATENATE(Liste!$C$3,$B$1697,$B$1867),Data!$BO:$BO,0)-2,14),IF(INDEX(Tab_DaBa[],MATCH(CONCATENATE(Liste!$C$3,$B$1697,$B$1867),Data!$BO:$BO,0)-2,23)&lt;&gt;"",INDEX(Tab_DaBa[],MATCH(CONCATENATE(Liste!$C$3,$B$1697,$B$1867),Data!$BO:$BO,0)-2,29),"")),"")</f>
        <v>Logik 03</v>
      </c>
      <c r="I1869" s="39"/>
    </row>
    <row r="1870" spans="2:9" s="16" customFormat="1" ht="15.75">
      <c r="B1870" s="35" t="str">
        <f ca="1">IFERROR(INDEX(Tab_DaBa[],MATCH(CONCATENATE(Liste!$C$3,$B$1697,$B$1867),Data!$BO:$BO,0)-2,7),"")</f>
        <v>eeee-33_7</v>
      </c>
      <c r="C1870" s="54"/>
      <c r="D1870" s="35" t="str">
        <f ca="1">IFERROR(IF(INDEX(Tab_DaBa[],MATCH(CONCATENATE(Liste!$C$3,$B$1697,$B$1867),Data!$BO:$BO,0)-2,18)="",INDEX(Tab_DaBa[],MATCH(CONCATENATE(Liste!$C$3,$B$1697,$B$1867),Data!$BO:$BO,0)-2,12),INDEX(Tab_DaBa[],MATCH(CONCATENATE(Liste!$C$3,$B$1697,$B$1867),Data!$BO:$BO,0)-2,17)),"")</f>
        <v>Log01-04_07</v>
      </c>
      <c r="E1870" s="36"/>
      <c r="F1870" s="35" t="str">
        <f ca="1">IFERROR(IF(AND(INDEX(Tab_DaBa[],MATCH(CONCATENATE(Liste!$C$3,$B$1697,$B$1867),Data!$BO:$BO,0)-2,18)&lt;&gt;"",INDEX(Tab_DaBa[],MATCH(CONCATENATE(Liste!$C$3,$B$1697,$B$1867),Data!$BO:$BO,0)-2,23)=0),INDEX(Tab_DaBa[],MATCH(CONCATENATE(Liste!$C$3,$B$1697,$B$1867),Data!$BO:$BO,0)-2,12),IF(INDEX(Tab_DaBa[],MATCH(CONCATENATE(Liste!$C$3,$B$1697,$B$1867),Data!$BO:$BO,0)-2,23)&lt;&gt;"",INDEX(Tab_DaBa[],MATCH(CONCATENATE(Liste!$C$3,$B$1697,$B$1867),Data!$BO:$BO,0)-2,22),"")),"")</f>
        <v>Lo04-04_07</v>
      </c>
      <c r="G1870" s="39"/>
      <c r="H1870" s="35" t="str">
        <f ca="1">IFERROR(IF(AND(INDEX(Tab_DaBa[],MATCH(CONCATENATE(Liste!$C$3,$B$1697,$B$1867),Data!$BO:$BO,0)-2,23)&lt;&gt;"",INDEX(Tab_DaBa[],MATCH(CONCATENATE(Liste!$C$3,$B$1697,$B$1867),Data!$BO:$BO,0)-2,28)=0),INDEX(Tab_DaBa[],MATCH(CONCATENATE(Liste!$C$3,$B$1697,$B$1867),Data!$BO:$BO,0)-2,12),IF(INDEX(Tab_DaBa[],MATCH(CONCATENATE(Liste!$C$3,$B$1697,$B$1867),Data!$BO:$BO,0)-2,23)&lt;&gt;"",INDEX(Tab_DaBa[],MATCH(CONCATENATE(Liste!$C$3,$B$1697,$B$1867),Data!$BO:$BO,0)-2,27),"")),"")</f>
        <v>Lo04-44_07</v>
      </c>
      <c r="I1870" s="39"/>
    </row>
    <row r="1871" spans="2:9" s="16" customFormat="1" ht="15.75">
      <c r="B1871" s="35" t="str">
        <f ca="1">IFERROR(INDEX(Tab_DaBa[],MATCH(CONCATENATE(Liste!$C$3,$B$1697,$B$1867),Data!$BO:$BO,0)-2,8),"")</f>
        <v>Bez_Ein4_7</v>
      </c>
      <c r="C1871" s="40">
        <f ca="1">IF(D1869="","",4)</f>
        <v>4</v>
      </c>
      <c r="D1871" s="35" t="str">
        <f ca="1">IFERROR(IF(INDEX(Tab_DaBa[],MATCH(CONCATENATE(Liste!$C$3,$B$1697,$B$1867),Data!$BO:$BO,0)-2,18)="",INDEX(Tab_DaBa[],MATCH(CONCATENATE(Liste!$C$3,$B$1697,$B$1867),Data!$BO:$BO,0)-2,13),INDEX(Tab_DaBa[],MATCH(CONCATENATE(Liste!$C$3,$B$1697,$B$1867),Data!$BO:$BO,0)-2,18)),"")</f>
        <v>Bez_Log01_04_07</v>
      </c>
      <c r="E1871" s="40">
        <f ca="1">IF(F1869="","",4)</f>
        <v>4</v>
      </c>
      <c r="F1871" s="35" t="str">
        <f ca="1">IFERROR(IF(AND(INDEX(Tab_DaBa[],MATCH(CONCATENATE(Liste!$C$3,$B$1697,$B$1867),Data!$BO:$BO,0)-2,18)&lt;&gt;"",INDEX(Tab_DaBa[],MATCH(CONCATENATE(Liste!$C$3,$B$1697,$B$1867),Data!$BO:$BO,0)-2,23)=""),INDEX(Tab_DaBa[],MATCH(CONCATENATE(Liste!$C$3,$B$1697,$B$1867),Data!$BO:$BO,0)-2,13),IF(INDEX(Tab_DaBa[],MATCH(CONCATENATE(Liste!$C$3,$B$1697,$B$1867),Data!$BO:$BO,0)-2,23)&lt;&gt;"",INDEX(Tab_DaBa[],MATCH(CONCATENATE(Liste!$C$3,$B$1697,$B$1867),Data!$BO:$BO,0)-2,23),"")),"")</f>
        <v>Bez_Lo04_07</v>
      </c>
      <c r="G1871" s="38">
        <f ca="1">IF(H1869="","",4)</f>
        <v>4</v>
      </c>
      <c r="H1871" s="35" t="str">
        <f ca="1">IFERROR(IF(AND(INDEX(Tab_DaBa[],MATCH(CONCATENATE(Liste!$C$3,$B$1697,$B$1867),Data!$BO:$BO,0)-2,23)&lt;&gt;"",INDEX(Tab_DaBa[],MATCH(CONCATENATE(Liste!$C$3,$B$1697,$B$1867),Data!$BO:$BO,0)-2,28)=""),INDEX(Tab_DaBa[],MATCH(CONCATENATE(Liste!$C$3,$B$1697,$B$1867),Data!$BO:$BO,0)-2,13),IF(INDEX(Tab_DaBa[],MATCH(CONCATENATE(Liste!$C$3,$B$1697,$B$1867),Data!$BO:$BO,0)-2,23)&lt;&gt;"",INDEX(Tab_DaBa[],MATCH(CONCATENATE(Liste!$C$3,$B$1697,$B$1867),Data!$BO:$BO,0)-2,28),"")),"")</f>
        <v>Bez_Lo04_07</v>
      </c>
      <c r="I1871" s="38">
        <f ca="1">IF(B1877="","",6)</f>
        <v>6</v>
      </c>
    </row>
    <row r="1872" spans="2:9" s="16" customFormat="1" ht="15.75">
      <c r="B1872" s="35" t="str">
        <f ca="1">IFERROR("Performance Level: "&amp;INDEX(Tab_DaBa[],MATCH(CONCATENATE(Liste!$C$3,$B$1697,$B$1867),Data!$BO:$BO,0)-2,10),"")</f>
        <v>Performance Level: PL_Ein4_7</v>
      </c>
      <c r="C1872" s="54"/>
      <c r="D1872" s="35" t="str">
        <f ca="1">IFERROR(IF(INDEX(Tab_DaBa[],MATCH(CONCATENATE(Liste!$C$3,$B$1697,$B$1867),Data!$BO:$BO,0)-2,18)="","Performance Level: "&amp;INDEX(Tab_DaBa[],MATCH(CONCATENATE(Liste!$C$3,$B$1697,$B$1867),Data!$BO:$BO,0)-2,15),"Performance Level: "&amp;INDEX(Tab_DaBa[],MATCH(CONCATENATE(Liste!$C$3,$B$1697,$B$1867),Data!$BO:$BO,0)-2,20)),"")</f>
        <v>Performance Level: PL_Log01_04_07</v>
      </c>
      <c r="E1872" s="36"/>
      <c r="F1872" s="35" t="str">
        <f ca="1">IFERROR(IF(AND(INDEX(Tab_DaBa[],MATCH(CONCATENATE(Liste!$C$3,$B$1697,$B$1867),Data!$BO:$BO,0)-2,18)&lt;&gt;"",INDEX(Tab_DaBa[],MATCH(CONCATENATE(Liste!$C$3,$B$1697,$B$1867),Data!$BO:$BO,0)-2,23)=""),"Performance Level: "&amp;INDEX(Tab_DaBa[],MATCH(CONCATENATE(Liste!$C$3,$B$1697,$B$1867),Data!$BO:$BO,0)-2,15),IF(INDEX(Tab_DaBa[],MATCH(CONCATENATE(Liste!$C$3,$B$1697,$B$1867),Data!$BO:$BO,0)-2,23)&lt;&gt;"","Performance Level: "&amp;INDEX(Tab_DaBa[],MATCH(CONCATENATE(Liste!$C$3,$B$1697,$B$1867),Data!$BO:$BO,0)-2,25),"")),"")</f>
        <v>Performance Level: PL_Lo04_07</v>
      </c>
      <c r="G1872" s="39"/>
      <c r="H1872" s="35" t="str">
        <f ca="1">IFERROR(IF(AND(INDEX(Tab_DaBa[],MATCH(CONCATENATE(Liste!$C$3,$B$1697,$B$1867),Data!$BO:$BO,0)-2,23)&lt;&gt;"",INDEX(Tab_DaBa[],MATCH(CONCATENATE(Liste!$C$3,$B$1697,$B$1867),Data!$BO:$BO,0)-2,28)=""),"Performance Level: "&amp;INDEX(Tab_DaBa[],MATCH(CONCATENATE(Liste!$C$3,$B$1697,$B$1867),Data!$BO:$BO,0)-2,15),IF(INDEX(Tab_DaBa[],MATCH(CONCATENATE(Liste!$C$3,$B$1697,$B$1867),Data!$BO:$BO,0)-2,23)&lt;&gt;"","Performance Level: "&amp;INDEX(Tab_DaBa[],MATCH(CONCATENATE(Liste!$C$3,$B$1697,$B$1867),Data!$BO:$BO,0)-2,30),"")),"")</f>
        <v>Performance Level: PL_Lo04_07</v>
      </c>
      <c r="I1872" s="38"/>
    </row>
    <row r="1873" spans="2:9" s="16" customFormat="1" ht="15.75">
      <c r="B1873" s="53" t="str">
        <f ca="1">IFERROR("PFH [1/h] = "&amp;10^9*INDEX(Tab_DaBa[],MATCH(CONCATENATE(Liste!$C$3,$B$1697,$B$1867),Data!$BO:$BO,0)-2,11)&amp;"E-9","")</f>
        <v>PFH [1/h] = 42,9E-9</v>
      </c>
      <c r="C1873" s="54"/>
      <c r="D1873" s="35" t="str">
        <f ca="1">IFERROR(IF(INDEX(Tab_DaBa[],MATCH(CONCATENATE(Liste!$C$3,$B$1697,$B$1867),Data!$BO:$BO,0)-2,18)="","PFH [1/h] = "&amp;10^9*INDEX(Tab_DaBa[],MATCH(CONCATENATE(Liste!$C$3,$B$1697,$B$1867),Data!$BO:$BO,0)-2,16)&amp;"E-9","PFH [1/h] = "&amp;10^9*INDEX(Tab_DaBa[],MATCH(CONCATENATE(Liste!$C$3,$B$1697,$B$1867),Data!$BO:$BO,0)-2,21)&amp;"E-9"),"")</f>
        <v>PFH [1/h] = 4,19E-9</v>
      </c>
      <c r="E1873" s="36"/>
      <c r="F1873" s="35" t="str">
        <f ca="1">IFERROR(IF(AND(INDEX(Tab_DaBa[],MATCH(CONCATENATE(Liste!$C$3,$B$1697,$B$1867),Data!$BO:$BO,0)-2,18)&lt;&gt;"",INDEX(Tab_DaBa[],MATCH(CONCATENATE(Liste!$C$3,$B$1697,$B$1867),Data!$BO:$BO,0)-2,23)=""),"PFH [1/h] = "&amp;10^9*INDEX(Tab_DaBa[],MATCH(CONCATENATE(Liste!$C$3,$B$1697,$B$1867),Data!$BO:$BO,0)-2,16)&amp;"E-9",IF(INDEX(Tab_DaBa[],MATCH(CONCATENATE(Liste!$C$3,$B$1697,$B$1867),Data!$BO:$BO,0)-2,23)&lt;&gt;"","PFH [1/h] = "&amp;10^9*INDEX(Tab_DaBa[],MATCH(CONCATENATE(Liste!$C$3,$B$1697,$B$1867),Data!$BO:$BO,0)-2,26)&amp;"E-9","")),"")</f>
        <v>PFH [1/h] = 4,19E-9</v>
      </c>
      <c r="G1873" s="39"/>
      <c r="H1873" s="35" t="str">
        <f ca="1">IFERROR(IF(AND(INDEX(Tab_DaBa[],MATCH(CONCATENATE(Liste!$C$3,$B$1697,$B$1867),Data!$BO:$BO,0)-2,23)&lt;&gt;"",INDEX(Tab_DaBa[],MATCH(CONCATENATE(Liste!$C$3,$B$1697,$B$1867),Data!$BO:$BO,0)-2,28)=""),"PFH [1/h] = "&amp;10^9*INDEX(Tab_DaBa[],MATCH(CONCATENATE(Liste!$C$3,$B$1697,$B$1867),Data!$BO:$BO,0)-2,16)&amp;"E-9",IF(INDEX(Tab_DaBa[],MATCH(CONCATENATE(Liste!$C$3,$B$1697,$B$1867),Data!$BO:$BO,0)-2,23)&lt;&gt;"","PFH [1/h] = "&amp;10^9*INDEX(Tab_DaBa[],MATCH(CONCATENATE(Liste!$C$3,$B$1697,$B$1867),Data!$BO:$BO,0)-2,31)&amp;"E-9","")),"")</f>
        <v>PFH [1/h] = 4,19E-9</v>
      </c>
      <c r="I1873" s="39"/>
    </row>
    <row r="1874" spans="2:9" s="16" customFormat="1">
      <c r="B1874" s="33"/>
      <c r="C1874" s="34"/>
      <c r="D1874" s="33"/>
      <c r="E1874" s="33"/>
      <c r="F1874" s="33"/>
      <c r="G1874" s="33"/>
      <c r="H1874" s="33"/>
      <c r="I1874" s="33"/>
    </row>
    <row r="1875" spans="2:9" s="16" customFormat="1" ht="15.75">
      <c r="B1875" s="38">
        <f ca="1">IF(B1877="","",6)</f>
        <v>6</v>
      </c>
      <c r="C1875" s="34"/>
      <c r="D1875" s="38">
        <f ca="1">IF(B1877="","",3)</f>
        <v>3</v>
      </c>
      <c r="E1875" s="33"/>
      <c r="F1875" s="38">
        <f ca="1">IF(B1877="","",3)</f>
        <v>3</v>
      </c>
      <c r="G1875" s="33"/>
      <c r="H1875" s="38">
        <f ca="1">IF(B1877="","",3)</f>
        <v>3</v>
      </c>
      <c r="I1875" s="33"/>
    </row>
    <row r="1876" spans="2:9" s="16" customFormat="1" ht="15.75">
      <c r="B1876" s="39"/>
      <c r="C1876" s="33"/>
      <c r="D1876" s="33"/>
      <c r="E1876" s="33"/>
      <c r="F1876" s="33"/>
      <c r="G1876" s="33"/>
      <c r="H1876" s="33"/>
      <c r="I1876" s="33"/>
    </row>
    <row r="1877" spans="2:9" s="16" customFormat="1" ht="15.75">
      <c r="B1877" s="35" t="str">
        <f ca="1">IFERROR(IF(AND(INDEX(Tab_DaBa[],MATCH(CONCATENATE(Liste!$C$3,$B$1697,$B$1867),Data!$BO:$BO,0)-2,28)&lt;&gt;"",INDEX(Tab_DaBa[],MATCH(CONCATENATE(Liste!$C$3,$B$1697,$B$1867),Data!$BO:$BO,0)-2,33)=0),INDEX(Tab_DaBa[],MATCH(CONCATENATE(Liste!$C$3,$B$1697,$B$1867),Data!$BO:$BO,0)-2,14),IF(INDEX(Tab_DaBa[],MATCH(CONCATENATE(Liste!$C$3,$B$1697,$B$1867),Data!$BO:$BO,0)-2,28)&lt;&gt;"",INDEX(Tab_DaBa[],MATCH(CONCATENATE(Liste!$C$3,$B$1697,$B$1867),Data!$BO:$BO,0)-2,34),"")),"")</f>
        <v>Logik 04</v>
      </c>
      <c r="C1877" s="39"/>
      <c r="D1877" s="35" t="str">
        <f ca="1">IFERROR(IF(AND(INDEX(Tab_DaBa[],MATCH(CONCATENATE(Liste!$C$3,$B$1697,$B$1867),Data!$BO:$BO,0)-2,33)&lt;&gt;"",INDEX(Tab_DaBa[],MATCH(CONCATENATE(Liste!$C$3,$B$1697,$B$1867),Data!$BO:$BO,0)-2,38)=0),INDEX(Tab_DaBa[],MATCH(CONCATENATE(Liste!$C$3,$B$1697,$B$1867),Data!$BO:$BO,0)-2,14),IF(INDEX(Tab_DaBa[],MATCH(CONCATENATE(Liste!$C$3,$B$1697,$B$1867),Data!$BO:$BO,0)-2,33)&lt;&gt;"",INDEX(Tab_DaBa[],MATCH(CONCATENATE(Liste!$C$3,$B$1697,$B$1867),Data!$BO:$BO,0)-2,39),"")),"")</f>
        <v>Logik 05</v>
      </c>
      <c r="E1877" s="33"/>
      <c r="F1877" s="35" t="str">
        <f ca="1">IFERROR(IF(AND(INDEX(Tab_DaBa[],MATCH(CONCATENATE(Liste!$C$3,$B$1697,$B$1867),Data!$BO:$BO,0)-2,38)&lt;&gt;"",INDEX(Tab_DaBa[],MATCH(CONCATENATE(Liste!$C$3,$B$1697,$B$1867),Data!$BO:$BO,0)-2,43)=0),INDEX(Tab_DaBa[],MATCH(CONCATENATE(Liste!$C$3,$B$1697,$B$1867),Data!$BO:$BO,0)-2,14),IF(INDEX(Tab_DaBa[],MATCH(CONCATENATE(Liste!$C$3,$B$1697,$B$1867),Data!$BO:$BO,0)-2,38)&lt;&gt;"",INDEX(Tab_DaBa[],MATCH(CONCATENATE(Liste!$C$3,$B$1697,$B$1867),Data!$BO:$BO,0)-2,44),"")),"")</f>
        <v>Logik 06</v>
      </c>
      <c r="G1877" s="39"/>
      <c r="H1877" s="35" t="str">
        <f ca="1">IFERROR(IF(AND(INDEX(Tab_DaBa[],MATCH(CONCATENATE(Liste!$C$3,$B$1697,$B$1867),Data!$BO:$BO,0)-2,43)&lt;&gt;"",INDEX(Tab_DaBa[],MATCH(CONCATENATE(Liste!$C$3,$B$1697,$B$1867),Data!$BO:$BO,0)-2,48)=0),INDEX(Tab_DaBa[],MATCH(CONCATENATE(Liste!$C$3,$B$1697,$B$1867),Data!$BO:$BO,0)-2,14),IF(INDEX(Tab_DaBa[],MATCH(CONCATENATE(Liste!$C$3,$B$1697,$B$1867),Data!$BO:$BO,0)-2,43)&lt;&gt;"",INDEX(Tab_DaBa[],MATCH(CONCATENATE(Liste!$C$3,$B$1697,$B$1867),Data!$BO:$BO,0)-2,49),"")),"")</f>
        <v>Logik 07</v>
      </c>
      <c r="I1877" s="39"/>
    </row>
    <row r="1878" spans="2:9" s="16" customFormat="1" ht="15.75">
      <c r="B1878" s="35" t="str">
        <f ca="1">IFERROR(IF(AND(INDEX(Tab_DaBa[],MATCH(CONCATENATE(Liste!$C$3,$B$1697,$B$1867),Data!$BO:$BO,0)-2,28)&lt;&gt;"",INDEX(Tab_DaBa[],MATCH(CONCATENATE(Liste!$C$3,$B$1697,$B$1867),Data!$BO:$BO,0)-2,33)=0),INDEX(Tab_DaBa[],MATCH(CONCATENATE(Liste!$C$3,$B$1697,$B$1867),Data!$BO:$BO,0)-2,12),IF(INDEX(Tab_DaBa[],MATCH(CONCATENATE(Liste!$C$3,$B$1697,$B$1867),Data!$BO:$BO,0)-2,28)&lt;&gt;"",INDEX(Tab_DaBa[],MATCH(CONCATENATE(Liste!$C$3,$B$1697,$B$1867),Data!$BO:$BO,0)-2,32),"")),"")</f>
        <v>Lo04-44_07</v>
      </c>
      <c r="C1878" s="39"/>
      <c r="D1878" s="35" t="str">
        <f ca="1">IFERROR(IF(AND(INDEX(Tab_DaBa[],MATCH(CONCATENATE(Liste!$C$3,$B$1697,$B$1867),Data!$BO:$BO,0)-2,33)&lt;&gt;"",INDEX(Tab_DaBa[],MATCH(CONCATENATE(Liste!$C$3,$B$1697,$B$1867),Data!$BO:$BO,0)-2,38)=0),INDEX(Tab_DaBa[],MATCH(CONCATENATE(Liste!$C$3,$B$1697,$B$1867),Data!$BO:$BO,0)-2,12),IF(INDEX(Tab_DaBa[],MATCH(CONCATENATE(Liste!$C$3,$B$1697,$B$1867),Data!$BO:$BO,0)-2,33)&lt;&gt;"",INDEX(Tab_DaBa[],MATCH(CONCATENATE(Liste!$C$3,$B$1697,$B$1867),Data!$BO:$BO,0)-2,37),"")),"")</f>
        <v>Lo04-44_07</v>
      </c>
      <c r="E1878" s="37"/>
      <c r="F1878" s="35" t="str">
        <f ca="1">IFERROR(IF(AND(INDEX(Tab_DaBa[],MATCH(CONCATENATE(Liste!$C$3,$B$1697,$B$1867),Data!$BO:$BO,0)-2,38)&lt;&gt;"",INDEX(Tab_DaBa[],MATCH(CONCATENATE(Liste!$C$3,$B$1697,$B$1867),Data!$BO:$BO,0)-2,43)=0),INDEX(Tab_DaBa[],MATCH(CONCATENATE(Liste!$C$3,$B$1697,$B$1867),Data!$BO:$BO,0)-2,12),IF(INDEX(Tab_DaBa[],MATCH(CONCATENATE(Liste!$C$3,$B$1697,$B$1867),Data!$BO:$BO,0)-2,38)&lt;&gt;"",INDEX(Tab_DaBa[],MATCH(CONCATENATE(Liste!$C$3,$B$1697,$B$1867),Data!$BO:$BO,0)-2,42),"")),"")</f>
        <v>Lo03-33_07</v>
      </c>
      <c r="G1878" s="39"/>
      <c r="H1878" s="35" t="str">
        <f ca="1">IFERROR(IF(AND(INDEX(Tab_DaBa[],MATCH(CONCATENATE(Liste!$C$3,$B$1697,$B$1867),Data!$BO:$BO,0)-2,43)&lt;&gt;"",INDEX(Tab_DaBa[],MATCH(CONCATENATE(Liste!$C$3,$B$1697,$B$1867),Data!$BO:$BO,0)-2,48)=0),INDEX(Tab_DaBa[],MATCH(CONCATENATE(Liste!$C$3,$B$1697,$B$1867),Data!$BO:$BO,0)-2,12),IF(INDEX(Tab_DaBa[],MATCH(CONCATENATE(Liste!$C$3,$B$1697,$B$1867),Data!$BO:$BO,0)-2,43)&lt;&gt;"",INDEX(Tab_DaBa[],MATCH(CONCATENATE(Liste!$C$3,$B$1697,$B$1867),Data!$BO:$BO,0)-2,47),"")),"")</f>
        <v>Lo03-33_07</v>
      </c>
      <c r="I1878" s="39"/>
    </row>
    <row r="1879" spans="2:9" s="16" customFormat="1" ht="15.75">
      <c r="B1879" s="35" t="str">
        <f ca="1">IFERROR(IF(AND(INDEX(Tab_DaBa[],MATCH(CONCATENATE(Liste!$C$3,$B$1697,$B$1867),Data!$BO:$BO,0)-2,28)&lt;&gt;"",INDEX(Tab_DaBa[],MATCH(CONCATENATE(Liste!$C$3,$B$1697,$B$1867),Data!$BO:$BO,0)-2,33)=""),INDEX(Tab_DaBa[],MATCH(CONCATENATE(Liste!$C$3,$B$1697,$B$1867),Data!$BO:$BO,0)-2,13),IF(INDEX(Tab_DaBa[],MATCH(CONCATENATE(Liste!$C$3,$B$1697,$B$1867),Data!$BO:$BO,0)-2,28)&lt;&gt;"",INDEX(Tab_DaBa[],MATCH(CONCATENATE(Liste!$C$3,$B$1697,$B$1867),Data!$BO:$BO,0)-2,33),"")),"")</f>
        <v>Bez_Lo04_07</v>
      </c>
      <c r="C1879" s="38">
        <f ca="1">IF(D1877="","",4)</f>
        <v>4</v>
      </c>
      <c r="D1879" s="35" t="str">
        <f ca="1">IFERROR(IF(AND(INDEX(Tab_DaBa[],MATCH(CONCATENATE(Liste!$C$3,$B$1697,$B$1867),Data!$BO:$BO,0)-2,33)&lt;&gt;"",INDEX(Tab_DaBa[],MATCH(CONCATENATE(Liste!$C$3,$B$1697,$B$1867),Data!$BO:$BO,0)-2,38)=""),INDEX(Tab_DaBa[],MATCH(CONCATENATE(Liste!$C$3,$B$1697,$B$1867),Data!$BO:$BO,0)-2,13),IF(INDEX(Tab_DaBa[],MATCH(CONCATENATE(Liste!$C$3,$B$1697,$B$1867),Data!$BO:$BO,0)-2,33)&lt;&gt;"",INDEX(Tab_DaBa[],MATCH(CONCATENATE(Liste!$C$3,$B$1697,$B$1867),Data!$BO:$BO,0)-2,38),"")),"")</f>
        <v>Bez_Lo03_07</v>
      </c>
      <c r="E1879" s="38">
        <f ca="1">IF(F1877="","",4)</f>
        <v>4</v>
      </c>
      <c r="F1879" s="35" t="str">
        <f ca="1">IFERROR(IF(AND(INDEX(Tab_DaBa[],MATCH(CONCATENATE(Liste!$C$3,$B$1697,$B$1867),Data!$BO:$BO,0)-2,38)&lt;&gt;"",INDEX(Tab_DaBa[],MATCH(CONCATENATE(Liste!$C$3,$B$1697,$B$1867),Data!$BO:$BO,0)-2,43)=""),INDEX(Tab_DaBa[],MATCH(CONCATENATE(Liste!$C$3,$B$1697,$B$1867),Data!$BO:$BO,0)-2,13),IF(INDEX(Tab_DaBa[],MATCH(CONCATENATE(Liste!$C$3,$B$1697,$B$1867),Data!$BO:$BO,0)-2,38)&lt;&gt;"",INDEX(Tab_DaBa[],MATCH(CONCATENATE(Liste!$C$3,$B$1697,$B$1867),Data!$BO:$BO,0)-2,43),"")),"")</f>
        <v>Bez_Lo03_07</v>
      </c>
      <c r="G1879" s="38">
        <f ca="1">IF(H1877="","",4)</f>
        <v>4</v>
      </c>
      <c r="H1879" s="35" t="str">
        <f ca="1">IFERROR(IF(AND(INDEX(Tab_DaBa[],MATCH(CONCATENATE(Liste!$C$3,$B$1697,$B$1867),Data!$BO:$BO,0)-2,43)&lt;&gt;"",INDEX(Tab_DaBa[],MATCH(CONCATENATE(Liste!$C$3,$B$1697,$B$1867),Data!$BO:$BO,0)-2,48)=""),INDEX(Tab_DaBa[],MATCH(CONCATENATE(Liste!$C$3,$B$1697,$B$1867),Data!$BO:$BO,0)-2,13),IF(INDEX(Tab_DaBa[],MATCH(CONCATENATE(Liste!$C$3,$B$1697,$B$1867),Data!$BO:$BO,0)-2,43)&lt;&gt;"",INDEX(Tab_DaBa[],MATCH(CONCATENATE(Liste!$C$3,$B$1697,$B$1867),Data!$BO:$BO,0)-2,48),"")),"")</f>
        <v>Bez_Lo03_07</v>
      </c>
      <c r="I1879" s="38">
        <f ca="1">IF(B1885="","",6)</f>
        <v>6</v>
      </c>
    </row>
    <row r="1880" spans="2:9" s="16" customFormat="1" ht="15.75">
      <c r="B1880" s="35" t="str">
        <f ca="1">IFERROR(IF(AND(INDEX(Tab_DaBa[],MATCH(CONCATENATE(Liste!$C$3,$B$1697,$B$1867),Data!$BO:$BO,0)-2,28)&lt;&gt;"",INDEX(Tab_DaBa[],MATCH(CONCATENATE(Liste!$C$3,$B$1697,$B$1867),Data!$BO:$BO,0)-2,33)=""),"Performance Level: "&amp;INDEX(Tab_DaBa[],MATCH(CONCATENATE(Liste!$C$3,$B$1697,$B$1867),Data!$BO:$BO,0)-2,15),IF(INDEX(Tab_DaBa[],MATCH(CONCATENATE(Liste!$C$3,$B$1697,$B$1867),Data!$BO:$BO,0)-2,28)&lt;&gt;"","Performance Level: "&amp;INDEX(Tab_DaBa[],MATCH(CONCATENATE(Liste!$C$3,$B$1697,$B$1867),Data!$BO:$BO,0)-2,35),"")),"")</f>
        <v>Performance Level: PL_Lo04_07</v>
      </c>
      <c r="C1880" s="39"/>
      <c r="D1880" s="35" t="str">
        <f ca="1">IFERROR(IF(AND(INDEX(Tab_DaBa[],MATCH(CONCATENATE(Liste!$C$3,$B$1697,$B$1867),Data!$BO:$BO,0)-2,33)&lt;&gt;"",INDEX(Tab_DaBa[],MATCH(CONCATENATE(Liste!$C$3,$B$1697,$B$1867),Data!$BO:$BO,0)-2,38)=""),"Performance Level: "&amp;INDEX(Tab_DaBa[],MATCH(CONCATENATE(Liste!$C$3,$B$1697,$B$1867),Data!$BO:$BO,0)-2,15),IF(INDEX(Tab_DaBa[],MATCH(CONCATENATE(Liste!$C$3,$B$1697,$B$1867),Data!$BO:$BO,0)-2,33)&lt;&gt;"","Performance Level: "&amp;INDEX(Tab_DaBa[],MATCH(CONCATENATE(Liste!$C$3,$B$1697,$B$1867),Data!$BO:$BO,0)-2,40),"")),"")</f>
        <v>Performance Level: PL_Lo03_7</v>
      </c>
      <c r="E1880" s="37"/>
      <c r="F1880" s="35" t="str">
        <f ca="1">IFERROR(IF(AND(INDEX(Tab_DaBa[],MATCH(CONCATENATE(Liste!$C$3,$B$1697,$B$1867),Data!$BO:$BO,0)-2,38)&lt;&gt;"",INDEX(Tab_DaBa[],MATCH(CONCATENATE(Liste!$C$3,$B$1697,$B$1867),Data!$BO:$BO,0)-2,43)=""),"Performance Level: "&amp;INDEX(Tab_DaBa[],MATCH(CONCATENATE(Liste!$C$3,$B$1697,$B$1867),Data!$BO:$BO,0)-2,15),IF(INDEX(Tab_DaBa[],MATCH(CONCATENATE(Liste!$C$3,$B$1697,$B$1867),Data!$BO:$BO,0)-2,38)&lt;&gt;"","Performance Level: "&amp;INDEX(Tab_DaBa[],MATCH(CONCATENATE(Liste!$C$3,$B$1697,$B$1867),Data!$BO:$BO,0)-2,45),"")),"")</f>
        <v>Performance Level: PL_Lo03_07</v>
      </c>
      <c r="G1880" s="39"/>
      <c r="H1880" s="35" t="str">
        <f ca="1">IFERROR(IF(AND(INDEX(Tab_DaBa[],MATCH(CONCATENATE(Liste!$C$3,$B$1697,$B$1867),Data!$BO:$BO,0)-2,43)&lt;&gt;"",INDEX(Tab_DaBa[],MATCH(CONCATENATE(Liste!$C$3,$B$1697,$B$1867),Data!$BO:$BO,0)-2,48)=""),"Performance Level: "&amp;INDEX(Tab_DaBa[],MATCH(CONCATENATE(Liste!$C$3,$B$1697,$B$1867),Data!$BO:$BO,0)-2,15),IF(INDEX(Tab_DaBa[],MATCH(CONCATENATE(Liste!$C$3,$B$1697,$B$1867),Data!$BO:$BO,0)-2,43)&lt;&gt;"","Performance Level: "&amp;INDEX(Tab_DaBa[],MATCH(CONCATENATE(Liste!$C$3,$B$1697,$B$1867),Data!$BO:$BO,0)-2,50),"")),"")</f>
        <v>Performance Level: PL_Lo03_07</v>
      </c>
      <c r="I1880" s="39"/>
    </row>
    <row r="1881" spans="2:9" s="16" customFormat="1" ht="15.75">
      <c r="B1881" s="35" t="str">
        <f ca="1">IFERROR(IF(AND(INDEX(Tab_DaBa[],MATCH(CONCATENATE(Liste!$C$3,$B$1697,$B$1867),Data!$BO:$BO,0)-2,28)&lt;&gt;"",INDEX(Tab_DaBa[],MATCH(CONCATENATE(Liste!$C$3,$B$1697,$B$1867),Data!$BO:$BO,0)-2,33)=""),"PFH [1/h] = "&amp;10^9*INDEX(Tab_DaBa[],MATCH(CONCATENATE(Liste!$C$3,$B$1697,$B$1867),Data!$BO:$BO,0)-2,16)&amp;"E-9",IF(INDEX(Tab_DaBa[],MATCH(CONCATENATE(Liste!$C$3,$B$1697,$B$1867),Data!$BO:$BO,0)-2,28)&lt;&gt;"","PFH [1/h] = "&amp;10^9*INDEX(Tab_DaBa[],MATCH(CONCATENATE(Liste!$C$3,$B$1697,$B$1867),Data!$BO:$BO,0)-2,36)&amp;"E-9","")),"")</f>
        <v>PFH [1/h] = 4,19E-9</v>
      </c>
      <c r="C1881" s="39"/>
      <c r="D1881" s="35" t="str">
        <f ca="1">IFERROR(IF(AND(INDEX(Tab_DaBa[],MATCH(CONCATENATE(Liste!$C$3,$B$1697,$B$1867),Data!$BO:$BO,0)-2,33)&lt;&gt;"",INDEX(Tab_DaBa[],MATCH(CONCATENATE(Liste!$C$3,$B$1697,$B$1867),Data!$BO:$BO,0)-2,38)=""),"PFH [1/h] = "&amp;10^9*INDEX(Tab_DaBa[],MATCH(CONCATENATE(Liste!$C$3,$B$1697,$B$1867),Data!$BO:$BO,0)-2,16)&amp;"E-9",IF(INDEX(Tab_DaBa[],MATCH(CONCATENATE(Liste!$C$3,$B$1697,$B$1867),Data!$BO:$BO,0)-2,33)&lt;&gt;"","PFH [1/h] = "&amp;10^9*INDEX(Tab_DaBa[],MATCH(CONCATENATE(Liste!$C$3,$B$1697,$B$1867),Data!$BO:$BO,0)-2,41)&amp;"E-9","")),"")</f>
        <v>PFH [1/h] = 4,19E-9</v>
      </c>
      <c r="E1881" s="37"/>
      <c r="F1881" s="35" t="str">
        <f ca="1">IFERROR(IF(AND(INDEX(Tab_DaBa[],MATCH(CONCATENATE(Liste!$C$3,$B$1697,$B$1867),Data!$BO:$BO,0)-2,38)&lt;&gt;"",INDEX(Tab_DaBa[],MATCH(CONCATENATE(Liste!$C$3,$B$1697,$B$1867),Data!$BO:$BO,0)-2,43)=""),"PFH [1/h] = "&amp;10^9*INDEX(Tab_DaBa[],MATCH(CONCATENATE(Liste!$C$3,$B$1697,$B$1867),Data!$BO:$BO,0)-2,16)&amp;"E-9",IF(INDEX(Tab_DaBa[],MATCH(CONCATENATE(Liste!$C$3,$B$1697,$B$1867),Data!$BO:$BO,0)-2,38)&lt;&gt;"","PFH [1/h] = "&amp;10^9*INDEX(Tab_DaBa[],MATCH(CONCATENATE(Liste!$C$3,$B$1697,$B$1867),Data!$BO:$BO,0)-2,46)&amp;"E-9","")),"")</f>
        <v>PFH [1/h] = 4,19E-9</v>
      </c>
      <c r="G1881" s="39"/>
      <c r="H1881" s="35" t="str">
        <f ca="1">IFERROR(IF(AND(INDEX(Tab_DaBa[],MATCH(CONCATENATE(Liste!$C$3,$B$1697,$B$1867),Data!$BO:$BO,0)-2,43)&lt;&gt;"",INDEX(Tab_DaBa[],MATCH(CONCATENATE(Liste!$C$3,$B$1697,$B$1867),Data!$BO:$BO,0)-2,48)=""),"PFH [1/h] = "&amp;10^9*INDEX(Tab_DaBa[],MATCH(CONCATENATE(Liste!$C$3,$B$1697,$B$1867),Data!$BO:$BO,0)-2,16)&amp;"E-9",IF(INDEX(Tab_DaBa[],MATCH(CONCATENATE(Liste!$C$3,$B$1697,$B$1867),Data!$BO:$BO,0)-2,43)&lt;&gt;"","PFH [1/h] = "&amp;10^9*INDEX(Tab_DaBa[],MATCH(CONCATENATE(Liste!$C$3,$B$1697,$B$1867),Data!$BO:$BO,0)-2,51)&amp;"E-9","")),"")</f>
        <v>PFH [1/h] = 4,19E-9</v>
      </c>
      <c r="I1881" s="39"/>
    </row>
    <row r="1882" spans="2:9" s="16" customFormat="1">
      <c r="B1882" s="33"/>
      <c r="C1882" s="33"/>
      <c r="D1882" s="33"/>
      <c r="E1882" s="33"/>
      <c r="F1882" s="33"/>
      <c r="G1882" s="33"/>
      <c r="H1882" s="33"/>
      <c r="I1882" s="33"/>
    </row>
    <row r="1883" spans="2:9" s="16" customFormat="1" ht="15.75">
      <c r="B1883" s="38">
        <f ca="1">IF(B1885="","",6)</f>
        <v>6</v>
      </c>
      <c r="C1883" s="33"/>
      <c r="D1883" s="38">
        <f ca="1">IF(B1885="","",3)</f>
        <v>3</v>
      </c>
      <c r="E1883" s="33"/>
      <c r="F1883" s="38">
        <f ca="1">IF(B1885="","",3)</f>
        <v>3</v>
      </c>
      <c r="G1883" s="33"/>
      <c r="H1883" s="38">
        <f ca="1">IF(B1885="","",3)</f>
        <v>3</v>
      </c>
      <c r="I1883" s="33"/>
    </row>
    <row r="1884" spans="2:9" s="16" customFormat="1" ht="15.75">
      <c r="B1884" s="39"/>
      <c r="C1884" s="33"/>
      <c r="D1884" s="33"/>
      <c r="E1884" s="33"/>
      <c r="F1884" s="33"/>
      <c r="G1884" s="33"/>
      <c r="H1884" s="33"/>
      <c r="I1884" s="33"/>
    </row>
    <row r="1885" spans="2:9" s="16" customFormat="1" ht="15.75">
      <c r="B1885" s="35" t="str">
        <f ca="1">IFERROR(IF(AND(INDEX(Tab_DaBa[],MATCH(CONCATENATE(Liste!$C$3,$B$1697,$B$1867),Data!$BO:$BO,0)-2,48)&lt;&gt;"",INDEX(Tab_DaBa[],MATCH(CONCATENATE(Liste!$C$3,$B$1697,$B$1867),Data!$BO:$BO,0)-2,53)=0),INDEX(Tab_DaBa[],MATCH(CONCATENATE(Liste!$C$3,$B$1697,$B$1867),Data!$BO:$BO,0)-2,14),IF(INDEX(Tab_DaBa[],MATCH(CONCATENATE(Liste!$C$3,$B$1697,$B$1867),Data!$BO:$BO,0)-2,48)&lt;&gt;"",INDEX(Tab_DaBa[],MATCH(CONCATENATE(Liste!$C$3,$B$1697,$B$1867),Data!$BO:$BO,0)-2,54),"")),"")</f>
        <v>Ausgang</v>
      </c>
      <c r="C1885" s="39"/>
      <c r="D1885" s="35" t="str">
        <f ca="1">IFERROR(IF(AND(INDEX(Tab_DaBa[],MATCH(CONCATENATE(Liste!$C$3,$B$1697,$B$1867),Data!$BO:$BO,0)-2,53)&lt;&gt;"",INDEX(Tab_DaBa[],MATCH(CONCATENATE(Liste!$C$3,$B$1697,$B$1867),Data!$BO:$BO,0)-2,58)=0),INDEX(Tab_DaBa[],MATCH(CONCATENATE(Liste!$C$3,$B$1697,$B$1867),Data!$BO:$BO,0)-2,14),IF(INDEX(Tab_DaBa[],MATCH(CONCATENATE(Liste!$C$3,$B$1697,$B$1867),Data!$BO:$BO,0)-2,53)&lt;&gt;"",INDEX(Tab_DaBa[],MATCH(CONCATENATE(Liste!$C$3,$B$1697,$B$1867),Data!$BO:$BO,0)-2,59),"")),"")</f>
        <v/>
      </c>
      <c r="E1885" s="33"/>
      <c r="F1885" s="35" t="str">
        <f ca="1">IFERROR(IF(AND(INDEX(Tab_DaBa[],MATCH(CONCATENATE(Liste!$C$3,$B$1697,$B$1867),Data!$BO:$BO,0)-2,58)&lt;&gt;"",INDEX(Tab_DaBa[],MATCH(CONCATENATE(Liste!$C$3,$B$1697,$B$1867),Data!$BO:$BO,0)-2,63)=0),INDEX(Tab_DaBa[],MATCH(CONCATENATE(Liste!$C$3,$B$1697,$B$1867),Data!$BO:$BO,0)-2,14),IF(INDEX(Tab_DaBa[],MATCH(CONCATENATE(Liste!$C$3,$B$1697,$B$1867),Data!$BO:$BO,0)-2,58)&lt;&gt;"",INDEX(Tab_DaBa[],MATCH(CONCATENATE(Liste!$C$3,$B$1697,$B$1867),Data!$BO:$BO,0)-2,64),"")),"")</f>
        <v/>
      </c>
      <c r="G1885" s="39"/>
      <c r="H1885" s="35" t="str">
        <f ca="1">IFERROR(IF(INDEX(Tab_DaBa[],MATCH(CONCATENATE(Liste!$C$3,$B$1697,$B$1867),Data!$BO:$BO,0)-2,63)&lt;&gt;"",INDEX(Tab_DaBa[],MATCH(CONCATENATE(Liste!$C$3,$B$1697,$B$1867),Data!$BO:$BO,0)-2,14),""),"")</f>
        <v/>
      </c>
    </row>
    <row r="1886" spans="2:9" s="16" customFormat="1" ht="15.75">
      <c r="B1886" s="35" t="str">
        <f ca="1">IFERROR(IF(AND(INDEX(Tab_DaBa[],MATCH(CONCATENATE(Liste!$C$3,$B$1697,$B$1867),Data!$BO:$BO,0)-2,48)&lt;&gt;"",INDEX(Tab_DaBa[],MATCH(CONCATENATE(Liste!$C$3,$B$1697,$B$1867),Data!$BO:$BO,0)-2,53)=0),INDEX(Tab_DaBa[],MATCH(CONCATENATE(Liste!$C$3,$B$1697,$B$1867),Data!$BO:$BO,0)-2,12),IF(INDEX(Tab_DaBa[],MATCH(CONCATENATE(Liste!$C$3,$B$1697,$B$1867),Data!$BO:$BO,0)-2,48)&lt;&gt;"",INDEX(Tab_DaBa[],MATCH(CONCATENATE(Liste!$C$3,$B$1697,$B$1867),Data!$BO:$BO,0)-2,52),"")),"")</f>
        <v>aaaa-44_7</v>
      </c>
      <c r="C1886" s="39"/>
      <c r="D1886" s="35" t="str">
        <f ca="1">IFERROR(IF(AND(INDEX(Tab_DaBa[],MATCH(CONCATENATE(Liste!$C$3,$B$1697,$B$1867),Data!$BO:$BO,0)-2,53)&lt;&gt;"",INDEX(Tab_DaBa[],MATCH(CONCATENATE(Liste!$C$3,$B$1697,$B$1867),Data!$BO:$BO,0)-2,58)=0),INDEX(Tab_DaBa[],MATCH(CONCATENATE(Liste!$C$3,$B$1697,$B$1867),Data!$BO:$BO,0)-2,12),IF(INDEX(Tab_DaBa[],MATCH(CONCATENATE(Liste!$C$3,$B$1697,$B$1867),Data!$BO:$BO,0)-2,53)&lt;&gt;"",INDEX(Tab_DaBa[],MATCH(CONCATENATE(Liste!$C$3,$B$1697,$B$1867),Data!$BO:$BO,0)-2,57),"")),"")</f>
        <v/>
      </c>
      <c r="E1886" s="37"/>
      <c r="F1886" s="35" t="str">
        <f ca="1">IFERROR(IF(AND(INDEX(Tab_DaBa[],MATCH(CONCATENATE(Liste!$C$3,$B$1697,$B$1867),Data!$BO:$BO,0)-2,58)&lt;&gt;"",INDEX(Tab_DaBa[],MATCH(CONCATENATE(Liste!$C$3,$B$1697,$B$1867),Data!$BO:$BO,0)-2,63)=0),INDEX(Tab_DaBa[],MATCH(CONCATENATE(Liste!$C$3,$B$1697,$B$1867),Data!$BO:$BO,0)-2,12),IF(INDEX(Tab_DaBa[],MATCH(CONCATENATE(Liste!$C$3,$B$1697,$B$1867),Data!$BO:$BO,0)-2,58)&lt;&gt;"",INDEX(Tab_DaBa[],MATCH(CONCATENATE(Liste!$C$3,$B$1697,$B$1867),Data!$BO:$BO,0)-2,62),"")),"")</f>
        <v/>
      </c>
      <c r="G1886" s="39"/>
      <c r="H1886" s="35" t="str">
        <f ca="1">IFERROR(IF(INDEX(Tab_DaBa[],MATCH(CONCATENATE(Liste!$C$3,$B$1697,$B$1867),Data!$BO:$BO,0)-2,63)&lt;&gt;"",INDEX(Tab_DaBa[],MATCH(CONCATENATE(Liste!$C$3,$B$1697,$B$1867),Data!$BO:$BO,0)-2,12),""),"")</f>
        <v/>
      </c>
    </row>
    <row r="1887" spans="2:9" s="16" customFormat="1" ht="15.75">
      <c r="B1887" s="35" t="str">
        <f ca="1">IFERROR(IF(AND(INDEX(Tab_DaBa[],MATCH(CONCATENATE(Liste!$C$3,$B$1697,$B$1867),Data!$BO:$BO,0)-2,48)&lt;&gt;"",INDEX(Tab_DaBa[],MATCH(CONCATENATE(Liste!$C$3,$B$1697,$B$1867),Data!$BO:$BO,0)-2,53)=""),INDEX(Tab_DaBa[],MATCH(CONCATENATE(Liste!$C$3,$B$1697,$B$1867),Data!$BO:$BO,0)-2,13),IF(INDEX(Tab_DaBa[],MATCH(CONCATENATE(Liste!$C$3,$B$1697,$B$1867),Data!$BO:$BO,0)-2,48)&lt;&gt;"",INDEX(Tab_DaBa[],MATCH(CONCATENATE(Liste!$C$3,$B$1697,$B$1867),Data!$BO:$BO,0)-2,53),"")),"")</f>
        <v>Bez_Aus4_7</v>
      </c>
      <c r="C1887" s="38" t="str">
        <f ca="1">IF(D1885="","",4)</f>
        <v/>
      </c>
      <c r="D1887" s="35" t="str">
        <f ca="1">IFERROR(IF(AND(INDEX(Tab_DaBa[],MATCH(CONCATENATE(Liste!$C$3,$B$1697,$B$1867),Data!$BO:$BO,0)-2,53)&lt;&gt;"",INDEX(Tab_DaBa[],MATCH(CONCATENATE(Liste!$C$3,$B$1697,$B$1867),Data!$BO:$BO,0)-2,58)=""),INDEX(Tab_DaBa[],MATCH(CONCATENATE(Liste!$C$3,$B$1697,$B$1867),Data!$BO:$BO,0)-2,13),IF(INDEX(Tab_DaBa[],MATCH(CONCATENATE(Liste!$C$3,$B$1697,$B$1867),Data!$BO:$BO,0)-2,53)&lt;&gt;"",INDEX(Tab_DaBa[],MATCH(CONCATENATE(Liste!$C$3,$B$1697,$B$1867),Data!$BO:$BO,0)-2,58),"")),"")</f>
        <v/>
      </c>
      <c r="E1887" s="38" t="str">
        <f ca="1">IF(F1885="","",4)</f>
        <v/>
      </c>
      <c r="F1887" s="35" t="str">
        <f ca="1">IFERROR(IF(AND(INDEX(Tab_DaBa[],MATCH(CONCATENATE(Liste!$C$3,$B$1697,$B$1867),Data!$BO:$BO,0)-2,58)&lt;&gt;"",INDEX(Tab_DaBa[],MATCH(CONCATENATE(Liste!$C$3,$B$1697,$B$1867),Data!$BO:$BO,0)-2,63)=""),INDEX(Tab_DaBa[],MATCH(CONCATENATE(Liste!$C$3,$B$1697,$B$1867),Data!$BO:$BO,0)-2,13),IF(INDEX(Tab_DaBa[],MATCH(CONCATENATE(Liste!$C$3,$B$1697,$B$1867),Data!$BO:$BO,0)-2,58)&lt;&gt;"",INDEX(Tab_DaBa[],MATCH(CONCATENATE(Liste!$C$3,$B$1697,$B$1867),Data!$BO:$BO,0)-2,63),"")),"")</f>
        <v/>
      </c>
      <c r="G1887" s="38" t="str">
        <f ca="1">IF(H1885="","",4)</f>
        <v/>
      </c>
      <c r="H1887" s="35" t="str">
        <f ca="1">IFERROR(IF(INDEX(Tab_DaBa[],MATCH(CONCATENATE(Liste!$C$3,$B$1697,$B$1867),Data!$BO:$BO,0)-2,63)&lt;&gt;"",INDEX(Tab_DaBa[],MATCH(CONCATENATE(Liste!$C$3,$B$1697,$B$1867),Data!$BO:$BO,0)-2,13),""),"")</f>
        <v/>
      </c>
    </row>
    <row r="1888" spans="2:9" s="16" customFormat="1" ht="15.75">
      <c r="B1888" s="35" t="str">
        <f ca="1">IFERROR(IF(AND(INDEX(Tab_DaBa[],MATCH(CONCATENATE(Liste!$C$3,$B$1697,$B$1867),Data!$BO:$BO,0)-2,48)&lt;&gt;"",INDEX(Tab_DaBa[],MATCH(CONCATENATE(Liste!$C$3,$B$1697,$B$1867),Data!$BO:$BO,0)-2,53)=""),"Performance Level: "&amp;INDEX(Tab_DaBa[],MATCH(CONCATENATE(Liste!$C$3,$B$1697,$B$1867),Data!$BO:$BO,0)-2,15),IF(INDEX(Tab_DaBa[],MATCH(CONCATENATE(Liste!$C$3,$B$1697,$B$1867),Data!$BO:$BO,0)-2,48)&lt;&gt;"","Performance Level: "&amp;INDEX(Tab_DaBa[],MATCH(CONCATENATE(Liste!$C$3,$B$1697,$B$1867),Data!$BO:$BO,0)-2,55),"")),"")</f>
        <v>Performance Level: PL_Aus4_7</v>
      </c>
      <c r="C1888" s="39"/>
      <c r="D1888" s="35" t="str">
        <f ca="1">IFERROR(IF(AND(INDEX(Tab_DaBa[],MATCH(CONCATENATE(Liste!$C$3,$B$1697,$B$1867),Data!$BO:$BO,0)-2,53)&lt;&gt;"",INDEX(Tab_DaBa[],MATCH(CONCATENATE(Liste!$C$3,$B$1697,$B$1867),Data!$BO:$BO,0)-2,58)=""),"Performance Level: "&amp;INDEX(Tab_DaBa[],MATCH(CONCATENATE(Liste!$C$3,$B$1697,$B$1867),Data!$BO:$BO,0)-2,15),IF(INDEX(Tab_DaBa[],MATCH(CONCATENATE(Liste!$C$3,$B$1697,$B$1867),Data!$BO:$BO,0)-2,53)&lt;&gt;"","Performance Level: "&amp;INDEX(Tab_DaBa[],MATCH(CONCATENATE(Liste!$C$3,$B$1697,$B$1867),Data!$BO:$BO,0)-2,60),"")),"")</f>
        <v/>
      </c>
      <c r="E1888" s="37"/>
      <c r="F1888" s="35" t="str">
        <f ca="1">IFERROR(IF(AND(INDEX(Tab_DaBa[],MATCH(CONCATENATE(Liste!$C$3,$B$1697,$B$1867),Data!$BO:$BO,0)-2,58)&lt;&gt;"",INDEX(Tab_DaBa[],MATCH(CONCATENATE(Liste!$C$3,$B$1697,$B$1867),Data!$BO:$BO,0)-2,63)=""),"Performance Level: "&amp;INDEX(Tab_DaBa[],MATCH(CONCATENATE(Liste!$C$3,$B$1697,$B$1867),Data!$BO:$BO,0)-2,15),IF(INDEX(Tab_DaBa[],MATCH(CONCATENATE(Liste!$C$3,$B$1697,$B$1867),Data!$BO:$BO,0)-2,58)&lt;&gt;"","Performance Level: "&amp;INDEX(Tab_DaBa[],MATCH(CONCATENATE(Liste!$C$3,$B$1697,$B$1867),Data!$BO:$BO,0)-2,65),"")),"")</f>
        <v/>
      </c>
      <c r="G1888" s="39"/>
      <c r="H1888" s="35" t="str">
        <f ca="1">IFERROR(IF(INDEX(Tab_DaBa[],MATCH(CONCATENATE(Liste!$C$3,$B$1697,$B$1867),Data!$BO:$BO,0)-2,63)&lt;&gt;"","Performance Level: "&amp;INDEX(Tab_DaBa[],MATCH(CONCATENATE(Liste!$C$3,$B$1697,$B$1867),Data!$BO:$BO,0)-2,15),""),"")</f>
        <v/>
      </c>
    </row>
    <row r="1889" spans="2:9" s="16" customFormat="1" ht="15.75">
      <c r="B1889" s="35" t="str">
        <f ca="1">IFERROR(IF(AND(INDEX(Tab_DaBa[],MATCH(CONCATENATE(Liste!$C$3,$B$1697,$B$1867),Data!$BO:$BO,0)-2,48)&lt;&gt;"",INDEX(Tab_DaBa[],MATCH(CONCATENATE(Liste!$C$3,$B$1697,$B$1867),Data!$BO:$BO,0)-2,53)=""),"PFH [1/h] = "&amp;10^9*INDEX(Tab_DaBa[],MATCH(CONCATENATE(Liste!$C$3,$B$1697,$B$1867),Data!$BO:$BO,0)-2,16)&amp;"E-9",IF(INDEX(Tab_DaBa[],MATCH(CONCATENATE(Liste!$C$3,$B$1697,$B$1867),Data!$BO:$BO,0)-2,48)&lt;&gt;"","PFH [1/h] = "&amp;10^9*INDEX(Tab_DaBa[],MATCH(CONCATENATE(Liste!$C$3,$B$1697,$B$1867),Data!$BO:$BO,0)-2,56)&amp;"E-9","")),"")</f>
        <v>PFH [1/h] = 24,7E-9</v>
      </c>
      <c r="C1889" s="39"/>
      <c r="D1889" s="35" t="str">
        <f ca="1">IFERROR(IF(AND(INDEX(Tab_DaBa[],MATCH(CONCATENATE(Liste!$C$3,$B$1697,$B$1867),Data!$BO:$BO,0)-2,53)&lt;&gt;"",INDEX(Tab_DaBa[],MATCH(CONCATENATE(Liste!$C$3,$B$1697,$B$1867),Data!$BO:$BO,0)-2,58)=""),"PFH [1/h] = "&amp;10^9*INDEX(Tab_DaBa[],MATCH(CONCATENATE(Liste!$C$3,$B$1697,$B$1867),Data!$BO:$BO,0)-2,16)&amp;"E-9",IF(INDEX(Tab_DaBa[],MATCH(CONCATENATE(Liste!$C$3,$B$1697,$B$1867),Data!$BO:$BO,0)-2,53)&lt;&gt;"","PFH [1/h] = "&amp;10^9*INDEX(Tab_DaBa[],MATCH(CONCATENATE(Liste!$C$3,$B$1697,$B$1867),Data!$BO:$BO,0)-2,61)&amp;"E-9","")),"")</f>
        <v/>
      </c>
      <c r="E1889" s="37"/>
      <c r="F1889" s="35" t="str">
        <f ca="1">IFERROR(IF(AND(INDEX(Tab_DaBa[],MATCH(CONCATENATE(Liste!$C$3,$B$1697,$B$1867),Data!$BO:$BO,0)-2,58)&lt;&gt;"",INDEX(Tab_DaBa[],MATCH(CONCATENATE(Liste!$C$3,$B$1697,$B$1867),Data!$BO:$BO,0)-2,63)=""),"PFH [1/h] = "&amp;10^9*INDEX(Tab_DaBa[],MATCH(CONCATENATE(Liste!$C$3,$B$1697,$B$1867),Data!$BO:$BO,0)-2,16)&amp;"E-9",IF(INDEX(Tab_DaBa[],MATCH(CONCATENATE(Liste!$C$3,$B$1697,$B$1867),Data!$BO:$BO,0)-2,58)&lt;&gt;"","PFH [1/h] = "&amp;10^9*INDEX(Tab_DaBa[],MATCH(CONCATENATE(Liste!$C$3,$B$1697,$B$1867),Data!$BO:$BO,0)-2,66)&amp;"E-9","")),"")</f>
        <v/>
      </c>
      <c r="G1889" s="39"/>
      <c r="H1889" s="35" t="str">
        <f ca="1">IFERROR(IF(INDEX(Tab_DaBa[],MATCH(CONCATENATE(Liste!$C$3,$B$1697,$B$1867),Data!$BO:$BO,0)-2,63)&lt;&gt;"","PFH [1/h] = "&amp;10^9*INDEX(Tab_DaBa[],MATCH(CONCATENATE(Liste!$C$3,$B$1697,$B$1867),Data!$BO:$BO,0)-2,16)&amp;"E-9",""),"")</f>
        <v/>
      </c>
    </row>
    <row r="1890" spans="2:9" s="16" customFormat="1"/>
    <row r="1891" spans="2:9" s="16" customFormat="1">
      <c r="B1891" s="43" t="str">
        <f ca="1">IF(D1891="","","Erforderlich")</f>
        <v>Erforderlich</v>
      </c>
      <c r="D1891" s="44" t="str">
        <f ca="1">IFERROR("Performance Level: "&amp;INDEX(Tab_DaBa[],MATCH(CONCATENATE(Liste!$C$3,$B$1697,$B$1867),Data!$BO:$BO,0)-2,4),"")</f>
        <v>Performance Level: PLr_ges4_7</v>
      </c>
    </row>
    <row r="1892" spans="2:9" s="16" customFormat="1">
      <c r="B1892" s="45"/>
    </row>
    <row r="1893" spans="2:9" s="16" customFormat="1">
      <c r="B1893" s="46" t="str">
        <f ca="1">IF(D1893="","","Erreicht")</f>
        <v>Erreicht</v>
      </c>
      <c r="D1893" s="47" t="str">
        <f ca="1">IFERROR("Performance Level: "&amp;INDEX(Tab_DaBa[],MATCH(CONCATENATE(Liste!$C$3,$B$1697,$B$1867),Data!$BO:$BO,0)-2,5)&amp;"          PFH [1/h] = "&amp;10^9*INDEX(Tab_DaBa[],MATCH(CONCATENATE(Liste!$C$3,$B$1697,$B$1867),Data!$BO:$BO,0)-2,6)&amp;"E-9","")</f>
        <v>Performance Level: Pl_ges4_7          PFH [1/h] = 71,7E-9</v>
      </c>
    </row>
    <row r="1894" spans="2:9" s="16" customFormat="1"/>
    <row r="1895" spans="2:9" s="16" customFormat="1">
      <c r="B1895" s="42" t="str">
        <f ca="1">IFERROR(IF(8&gt;COUNTIF(Data!$BP:$BP,CONCATENATE(Liste!$C$3,$B$1697)),"",INDEX(Tab_DaBa[],MATCH(CONCATENATE(Liste!$C$3,$B$1697),Data!$BP:$BP,0)+5,3)),"")</f>
        <v>7.8 Test4 (E+8L+A)</v>
      </c>
    </row>
    <row r="1896" spans="2:9" s="16" customFormat="1"/>
    <row r="1897" spans="2:9" s="16" customFormat="1" ht="15.75">
      <c r="B1897" s="35" t="str">
        <f ca="1">IFERROR(INDEX(Tab_DaBa[],MATCH(CONCATENATE(Liste!$C$3,$B$1697,$B$1895),Data!$BO:$BO,0)-2,9),"")</f>
        <v>Eingang</v>
      </c>
      <c r="C1897" s="54"/>
      <c r="D1897" s="35" t="str">
        <f ca="1">IFERROR(IF(INDEX(Tab_DaBa[],MATCH(CONCATENATE(Liste!$C$3,$B$1697,$B$1895),Data!$BO:$BO,0)-2,18)=0,INDEX(Tab_DaBa[],MATCH(CONCATENATE(Liste!$C$3,$B$1697,$B$1895),Data!$BO:$BO,0)-2,14),INDEX(Tab_DaBa[],MATCH(CONCATENATE(Liste!$C$3,$B$1697,$B$1895),Data!$BO:$BO,0)-2,19)),"")</f>
        <v>Logik 01</v>
      </c>
      <c r="E1897" s="33"/>
      <c r="F1897" s="35" t="str">
        <f ca="1">IFERROR(IF(AND(INDEX(Tab_DaBa[],MATCH(CONCATENATE(Liste!$C$3,$B$1697,$B$1895),Data!$BO:$BO,0)-2,18)&lt;&gt;"",INDEX(Tab_DaBa[],MATCH(CONCATENATE(Liste!$C$3,$B$1697,$B$1895),Data!$BO:$BO,0)-2,23)=0),INDEX(Tab_DaBa[],MATCH(CONCATENATE(Liste!$C$3,$B$1697,$B$1895),Data!$BO:$BO,0)-2,14),IF(INDEX(Tab_DaBa[],MATCH(CONCATENATE(Liste!$C$3,$B$1697,$B$1895),Data!$BO:$BO,0)-2,23)&lt;&gt;"",INDEX(Tab_DaBa[],MATCH(CONCATENATE(Liste!$C$3,$B$1697,$B$1895),Data!$BO:$BO,0)-2,24),"")),"")</f>
        <v>Logik 02</v>
      </c>
      <c r="G1897" s="39"/>
      <c r="H1897" s="35" t="str">
        <f ca="1">IFERROR(IF(AND(INDEX(Tab_DaBa[],MATCH(CONCATENATE(Liste!$C$3,$B$1697,$B$1895),Data!$BO:$BO,0)-2,23)&lt;&gt;"",INDEX(Tab_DaBa[],MATCH(CONCATENATE(Liste!$C$3,$B$1697,$B$1895),Data!$BO:$BO,0)-2,28)=0),INDEX(Tab_DaBa[],MATCH(CONCATENATE(Liste!$C$3,$B$1697,$B$1895),Data!$BO:$BO,0)-2,14),IF(INDEX(Tab_DaBa[],MATCH(CONCATENATE(Liste!$C$3,$B$1697,$B$1895),Data!$BO:$BO,0)-2,23)&lt;&gt;"",INDEX(Tab_DaBa[],MATCH(CONCATENATE(Liste!$C$3,$B$1697,$B$1895),Data!$BO:$BO,0)-2,29),"")),"")</f>
        <v>Logik 03</v>
      </c>
      <c r="I1897" s="39"/>
    </row>
    <row r="1898" spans="2:9" s="16" customFormat="1" ht="15.75">
      <c r="B1898" s="35" t="str">
        <f ca="1">IFERROR(INDEX(Tab_DaBa[],MATCH(CONCATENATE(Liste!$C$3,$B$1697,$B$1895),Data!$BO:$BO,0)-2,7),"")</f>
        <v>eeee-33_8</v>
      </c>
      <c r="C1898" s="54"/>
      <c r="D1898" s="35" t="str">
        <f ca="1">IFERROR(IF(INDEX(Tab_DaBa[],MATCH(CONCATENATE(Liste!$C$3,$B$1697,$B$1895),Data!$BO:$BO,0)-2,18)="",INDEX(Tab_DaBa[],MATCH(CONCATENATE(Liste!$C$3,$B$1697,$B$1895),Data!$BO:$BO,0)-2,12),INDEX(Tab_DaBa[],MATCH(CONCATENATE(Liste!$C$3,$B$1697,$B$1895),Data!$BO:$BO,0)-2,17)),"")</f>
        <v>Log01-04_08</v>
      </c>
      <c r="E1898" s="36"/>
      <c r="F1898" s="35" t="str">
        <f ca="1">IFERROR(IF(AND(INDEX(Tab_DaBa[],MATCH(CONCATENATE(Liste!$C$3,$B$1697,$B$1895),Data!$BO:$BO,0)-2,18)&lt;&gt;"",INDEX(Tab_DaBa[],MATCH(CONCATENATE(Liste!$C$3,$B$1697,$B$1895),Data!$BO:$BO,0)-2,23)=0),INDEX(Tab_DaBa[],MATCH(CONCATENATE(Liste!$C$3,$B$1697,$B$1895),Data!$BO:$BO,0)-2,12),IF(INDEX(Tab_DaBa[],MATCH(CONCATENATE(Liste!$C$3,$B$1697,$B$1895),Data!$BO:$BO,0)-2,23)&lt;&gt;"",INDEX(Tab_DaBa[],MATCH(CONCATENATE(Liste!$C$3,$B$1697,$B$1895),Data!$BO:$BO,0)-2,22),"")),"")</f>
        <v>Lo04-04_08</v>
      </c>
      <c r="G1898" s="39"/>
      <c r="H1898" s="35" t="str">
        <f ca="1">IFERROR(IF(AND(INDEX(Tab_DaBa[],MATCH(CONCATENATE(Liste!$C$3,$B$1697,$B$1895),Data!$BO:$BO,0)-2,23)&lt;&gt;"",INDEX(Tab_DaBa[],MATCH(CONCATENATE(Liste!$C$3,$B$1697,$B$1895),Data!$BO:$BO,0)-2,28)=0),INDEX(Tab_DaBa[],MATCH(CONCATENATE(Liste!$C$3,$B$1697,$B$1895),Data!$BO:$BO,0)-2,12),IF(INDEX(Tab_DaBa[],MATCH(CONCATENATE(Liste!$C$3,$B$1697,$B$1895),Data!$BO:$BO,0)-2,23)&lt;&gt;"",INDEX(Tab_DaBa[],MATCH(CONCATENATE(Liste!$C$3,$B$1697,$B$1895),Data!$BO:$BO,0)-2,27),"")),"")</f>
        <v>Lo04-44_08</v>
      </c>
      <c r="I1898" s="39"/>
    </row>
    <row r="1899" spans="2:9" s="16" customFormat="1" ht="15.75">
      <c r="B1899" s="35" t="str">
        <f ca="1">IFERROR(INDEX(Tab_DaBa[],MATCH(CONCATENATE(Liste!$C$3,$B$1697,$B$1895),Data!$BO:$BO,0)-2,8),"")</f>
        <v>Bez_Ein4_8</v>
      </c>
      <c r="C1899" s="40">
        <f ca="1">IF(D1897="","",4)</f>
        <v>4</v>
      </c>
      <c r="D1899" s="35" t="str">
        <f ca="1">IFERROR(IF(INDEX(Tab_DaBa[],MATCH(CONCATENATE(Liste!$C$3,$B$1697,$B$1895),Data!$BO:$BO,0)-2,18)="",INDEX(Tab_DaBa[],MATCH(CONCATENATE(Liste!$C$3,$B$1697,$B$1895),Data!$BO:$BO,0)-2,13),INDEX(Tab_DaBa[],MATCH(CONCATENATE(Liste!$C$3,$B$1697,$B$1895),Data!$BO:$BO,0)-2,18)),"")</f>
        <v>Bez_Log01_04_08</v>
      </c>
      <c r="E1899" s="40">
        <f ca="1">IF(F1897="","",4)</f>
        <v>4</v>
      </c>
      <c r="F1899" s="35" t="str">
        <f ca="1">IFERROR(IF(AND(INDEX(Tab_DaBa[],MATCH(CONCATENATE(Liste!$C$3,$B$1697,$B$1895),Data!$BO:$BO,0)-2,18)&lt;&gt;"",INDEX(Tab_DaBa[],MATCH(CONCATENATE(Liste!$C$3,$B$1697,$B$1895),Data!$BO:$BO,0)-2,23)=""),INDEX(Tab_DaBa[],MATCH(CONCATENATE(Liste!$C$3,$B$1697,$B$1895),Data!$BO:$BO,0)-2,13),IF(INDEX(Tab_DaBa[],MATCH(CONCATENATE(Liste!$C$3,$B$1697,$B$1895),Data!$BO:$BO,0)-2,23)&lt;&gt;"",INDEX(Tab_DaBa[],MATCH(CONCATENATE(Liste!$C$3,$B$1697,$B$1895),Data!$BO:$BO,0)-2,23),"")),"")</f>
        <v>Bez_Lo04_08</v>
      </c>
      <c r="G1899" s="38">
        <f ca="1">IF(H1897="","",4)</f>
        <v>4</v>
      </c>
      <c r="H1899" s="35" t="str">
        <f ca="1">IFERROR(IF(AND(INDEX(Tab_DaBa[],MATCH(CONCATENATE(Liste!$C$3,$B$1697,$B$1895),Data!$BO:$BO,0)-2,23)&lt;&gt;"",INDEX(Tab_DaBa[],MATCH(CONCATENATE(Liste!$C$3,$B$1697,$B$1895),Data!$BO:$BO,0)-2,28)=""),INDEX(Tab_DaBa[],MATCH(CONCATENATE(Liste!$C$3,$B$1697,$B$1895),Data!$BO:$BO,0)-2,13),IF(INDEX(Tab_DaBa[],MATCH(CONCATENATE(Liste!$C$3,$B$1697,$B$1895),Data!$BO:$BO,0)-2,23)&lt;&gt;"",INDEX(Tab_DaBa[],MATCH(CONCATENATE(Liste!$C$3,$B$1697,$B$1895),Data!$BO:$BO,0)-2,28),"")),"")</f>
        <v>Bez_Lo04_08</v>
      </c>
      <c r="I1899" s="38">
        <f ca="1">IF(B1905="","",6)</f>
        <v>6</v>
      </c>
    </row>
    <row r="1900" spans="2:9" s="16" customFormat="1" ht="15.75">
      <c r="B1900" s="35" t="str">
        <f ca="1">IFERROR("Performance Level: "&amp;INDEX(Tab_DaBa[],MATCH(CONCATENATE(Liste!$C$3,$B$1697,$B$1895),Data!$BO:$BO,0)-2,10),"")</f>
        <v>Performance Level: PL_Ein4_8</v>
      </c>
      <c r="C1900" s="54"/>
      <c r="D1900" s="35" t="str">
        <f ca="1">IFERROR(IF(INDEX(Tab_DaBa[],MATCH(CONCATENATE(Liste!$C$3,$B$1697,$B$1895),Data!$BO:$BO,0)-2,18)="","Performance Level: "&amp;INDEX(Tab_DaBa[],MATCH(CONCATENATE(Liste!$C$3,$B$1697,$B$1895),Data!$BO:$BO,0)-2,15),"Performance Level: "&amp;INDEX(Tab_DaBa[],MATCH(CONCATENATE(Liste!$C$3,$B$1697,$B$1895),Data!$BO:$BO,0)-2,20)),"")</f>
        <v>Performance Level: PL_Log01_04_08</v>
      </c>
      <c r="E1900" s="36"/>
      <c r="F1900" s="35" t="str">
        <f ca="1">IFERROR(IF(AND(INDEX(Tab_DaBa[],MATCH(CONCATENATE(Liste!$C$3,$B$1697,$B$1895),Data!$BO:$BO,0)-2,18)&lt;&gt;"",INDEX(Tab_DaBa[],MATCH(CONCATENATE(Liste!$C$3,$B$1697,$B$1895),Data!$BO:$BO,0)-2,23)=""),"Performance Level: "&amp;INDEX(Tab_DaBa[],MATCH(CONCATENATE(Liste!$C$3,$B$1697,$B$1895),Data!$BO:$BO,0)-2,15),IF(INDEX(Tab_DaBa[],MATCH(CONCATENATE(Liste!$C$3,$B$1697,$B$1895),Data!$BO:$BO,0)-2,23)&lt;&gt;"","Performance Level: "&amp;INDEX(Tab_DaBa[],MATCH(CONCATENATE(Liste!$C$3,$B$1697,$B$1895),Data!$BO:$BO,0)-2,25),"")),"")</f>
        <v>Performance Level: PL_Lo04_08</v>
      </c>
      <c r="G1900" s="39"/>
      <c r="H1900" s="35" t="str">
        <f ca="1">IFERROR(IF(AND(INDEX(Tab_DaBa[],MATCH(CONCATENATE(Liste!$C$3,$B$1697,$B$1895),Data!$BO:$BO,0)-2,23)&lt;&gt;"",INDEX(Tab_DaBa[],MATCH(CONCATENATE(Liste!$C$3,$B$1697,$B$1895),Data!$BO:$BO,0)-2,28)=""),"Performance Level: "&amp;INDEX(Tab_DaBa[],MATCH(CONCATENATE(Liste!$C$3,$B$1697,$B$1895),Data!$BO:$BO,0)-2,15),IF(INDEX(Tab_DaBa[],MATCH(CONCATENATE(Liste!$C$3,$B$1697,$B$1895),Data!$BO:$BO,0)-2,23)&lt;&gt;"","Performance Level: "&amp;INDEX(Tab_DaBa[],MATCH(CONCATENATE(Liste!$C$3,$B$1697,$B$1895),Data!$BO:$BO,0)-2,30),"")),"")</f>
        <v>Performance Level: PL_Lo04_08</v>
      </c>
      <c r="I1900" s="38"/>
    </row>
    <row r="1901" spans="2:9" s="16" customFormat="1" ht="15.75">
      <c r="B1901" s="53" t="str">
        <f ca="1">IFERROR("PFH [1/h] = "&amp;10^9*INDEX(Tab_DaBa[],MATCH(CONCATENATE(Liste!$C$3,$B$1697,$B$1895),Data!$BO:$BO,0)-2,11)&amp;"E-9","")</f>
        <v>PFH [1/h] = 42,9E-9</v>
      </c>
      <c r="C1901" s="54"/>
      <c r="D1901" s="35" t="str">
        <f ca="1">IFERROR(IF(INDEX(Tab_DaBa[],MATCH(CONCATENATE(Liste!$C$3,$B$1697,$B$1895),Data!$BO:$BO,0)-2,18)="","PFH [1/h] = "&amp;10^9*INDEX(Tab_DaBa[],MATCH(CONCATENATE(Liste!$C$3,$B$1697,$B$1895),Data!$BO:$BO,0)-2,16)&amp;"E-9","PFH [1/h] = "&amp;10^9*INDEX(Tab_DaBa[],MATCH(CONCATENATE(Liste!$C$3,$B$1697,$B$1895),Data!$BO:$BO,0)-2,21)&amp;"E-9"),"")</f>
        <v>PFH [1/h] = 4,19E-9</v>
      </c>
      <c r="E1901" s="36"/>
      <c r="F1901" s="35" t="str">
        <f ca="1">IFERROR(IF(AND(INDEX(Tab_DaBa[],MATCH(CONCATENATE(Liste!$C$3,$B$1697,$B$1895),Data!$BO:$BO,0)-2,18)&lt;&gt;"",INDEX(Tab_DaBa[],MATCH(CONCATENATE(Liste!$C$3,$B$1697,$B$1895),Data!$BO:$BO,0)-2,23)=""),"PFH [1/h] = "&amp;10^9*INDEX(Tab_DaBa[],MATCH(CONCATENATE(Liste!$C$3,$B$1697,$B$1895),Data!$BO:$BO,0)-2,16)&amp;"E-9",IF(INDEX(Tab_DaBa[],MATCH(CONCATENATE(Liste!$C$3,$B$1697,$B$1895),Data!$BO:$BO,0)-2,23)&lt;&gt;"","PFH [1/h] = "&amp;10^9*INDEX(Tab_DaBa[],MATCH(CONCATENATE(Liste!$C$3,$B$1697,$B$1895),Data!$BO:$BO,0)-2,26)&amp;"E-9","")),"")</f>
        <v>PFH [1/h] = 4,19E-9</v>
      </c>
      <c r="G1901" s="39"/>
      <c r="H1901" s="35" t="str">
        <f ca="1">IFERROR(IF(AND(INDEX(Tab_DaBa[],MATCH(CONCATENATE(Liste!$C$3,$B$1697,$B$1895),Data!$BO:$BO,0)-2,23)&lt;&gt;"",INDEX(Tab_DaBa[],MATCH(CONCATENATE(Liste!$C$3,$B$1697,$B$1895),Data!$BO:$BO,0)-2,28)=""),"PFH [1/h] = "&amp;10^9*INDEX(Tab_DaBa[],MATCH(CONCATENATE(Liste!$C$3,$B$1697,$B$1895),Data!$BO:$BO,0)-2,16)&amp;"E-9",IF(INDEX(Tab_DaBa[],MATCH(CONCATENATE(Liste!$C$3,$B$1697,$B$1895),Data!$BO:$BO,0)-2,23)&lt;&gt;"","PFH [1/h] = "&amp;10^9*INDEX(Tab_DaBa[],MATCH(CONCATENATE(Liste!$C$3,$B$1697,$B$1895),Data!$BO:$BO,0)-2,31)&amp;"E-9","")),"")</f>
        <v>PFH [1/h] = 4,19E-9</v>
      </c>
      <c r="I1901" s="39"/>
    </row>
    <row r="1902" spans="2:9" s="16" customFormat="1">
      <c r="B1902" s="33"/>
      <c r="C1902" s="34"/>
      <c r="D1902" s="33"/>
      <c r="E1902" s="33"/>
      <c r="F1902" s="33"/>
      <c r="G1902" s="33"/>
      <c r="H1902" s="33"/>
      <c r="I1902" s="33"/>
    </row>
    <row r="1903" spans="2:9" s="16" customFormat="1" ht="15.75">
      <c r="B1903" s="38">
        <f ca="1">IF(B1905="","",6)</f>
        <v>6</v>
      </c>
      <c r="C1903" s="34"/>
      <c r="D1903" s="38">
        <f ca="1">IF(B1905="","",3)</f>
        <v>3</v>
      </c>
      <c r="E1903" s="33"/>
      <c r="F1903" s="38">
        <f ca="1">IF(B1905="","",3)</f>
        <v>3</v>
      </c>
      <c r="G1903" s="33"/>
      <c r="H1903" s="38">
        <f ca="1">IF(B1905="","",3)</f>
        <v>3</v>
      </c>
      <c r="I1903" s="33"/>
    </row>
    <row r="1904" spans="2:9" s="16" customFormat="1" ht="15.75">
      <c r="B1904" s="39"/>
      <c r="C1904" s="33"/>
      <c r="D1904" s="33"/>
      <c r="E1904" s="33"/>
      <c r="F1904" s="33"/>
      <c r="G1904" s="33"/>
      <c r="H1904" s="33"/>
      <c r="I1904" s="33"/>
    </row>
    <row r="1905" spans="2:9" s="16" customFormat="1" ht="15.75">
      <c r="B1905" s="35" t="str">
        <f ca="1">IFERROR(IF(AND(INDEX(Tab_DaBa[],MATCH(CONCATENATE(Liste!$C$3,$B$1697,$B$1895),Data!$BO:$BO,0)-2,28)&lt;&gt;"",INDEX(Tab_DaBa[],MATCH(CONCATENATE(Liste!$C$3,$B$1697,$B$1895),Data!$BO:$BO,0)-2,33)=0),INDEX(Tab_DaBa[],MATCH(CONCATENATE(Liste!$C$3,$B$1697,$B$1895),Data!$BO:$BO,0)-2,14),IF(INDEX(Tab_DaBa[],MATCH(CONCATENATE(Liste!$C$3,$B$1697,$B$1895),Data!$BO:$BO,0)-2,28)&lt;&gt;"",INDEX(Tab_DaBa[],MATCH(CONCATENATE(Liste!$C$3,$B$1697,$B$1895),Data!$BO:$BO,0)-2,34),"")),"")</f>
        <v>Logik 04</v>
      </c>
      <c r="C1905" s="39"/>
      <c r="D1905" s="35" t="str">
        <f ca="1">IFERROR(IF(AND(INDEX(Tab_DaBa[],MATCH(CONCATENATE(Liste!$C$3,$B$1697,$B$1895),Data!$BO:$BO,0)-2,33)&lt;&gt;"",INDEX(Tab_DaBa[],MATCH(CONCATENATE(Liste!$C$3,$B$1697,$B$1895),Data!$BO:$BO,0)-2,38)=0),INDEX(Tab_DaBa[],MATCH(CONCATENATE(Liste!$C$3,$B$1697,$B$1895),Data!$BO:$BO,0)-2,14),IF(INDEX(Tab_DaBa[],MATCH(CONCATENATE(Liste!$C$3,$B$1697,$B$1895),Data!$BO:$BO,0)-2,33)&lt;&gt;"",INDEX(Tab_DaBa[],MATCH(CONCATENATE(Liste!$C$3,$B$1697,$B$1895),Data!$BO:$BO,0)-2,39),"")),"")</f>
        <v>Logik 06</v>
      </c>
      <c r="E1905" s="33"/>
      <c r="F1905" s="35" t="str">
        <f ca="1">IFERROR(IF(AND(INDEX(Tab_DaBa[],MATCH(CONCATENATE(Liste!$C$3,$B$1697,$B$1895),Data!$BO:$BO,0)-2,38)&lt;&gt;"",INDEX(Tab_DaBa[],MATCH(CONCATENATE(Liste!$C$3,$B$1697,$B$1895),Data!$BO:$BO,0)-2,43)=0),INDEX(Tab_DaBa[],MATCH(CONCATENATE(Liste!$C$3,$B$1697,$B$1895),Data!$BO:$BO,0)-2,14),IF(INDEX(Tab_DaBa[],MATCH(CONCATENATE(Liste!$C$3,$B$1697,$B$1895),Data!$BO:$BO,0)-2,38)&lt;&gt;"",INDEX(Tab_DaBa[],MATCH(CONCATENATE(Liste!$C$3,$B$1697,$B$1895),Data!$BO:$BO,0)-2,44),"")),"")</f>
        <v>Logik 06</v>
      </c>
      <c r="G1905" s="39"/>
      <c r="H1905" s="35" t="str">
        <f ca="1">IFERROR(IF(AND(INDEX(Tab_DaBa[],MATCH(CONCATENATE(Liste!$C$3,$B$1697,$B$1895),Data!$BO:$BO,0)-2,43)&lt;&gt;"",INDEX(Tab_DaBa[],MATCH(CONCATENATE(Liste!$C$3,$B$1697,$B$1895),Data!$BO:$BO,0)-2,48)=0),INDEX(Tab_DaBa[],MATCH(CONCATENATE(Liste!$C$3,$B$1697,$B$1895),Data!$BO:$BO,0)-2,14),IF(INDEX(Tab_DaBa[],MATCH(CONCATENATE(Liste!$C$3,$B$1697,$B$1895),Data!$BO:$BO,0)-2,43)&lt;&gt;"",INDEX(Tab_DaBa[],MATCH(CONCATENATE(Liste!$C$3,$B$1697,$B$1895),Data!$BO:$BO,0)-2,49),"")),"")</f>
        <v>Logik 07</v>
      </c>
      <c r="I1905" s="39"/>
    </row>
    <row r="1906" spans="2:9" s="16" customFormat="1" ht="15.75">
      <c r="B1906" s="35" t="str">
        <f ca="1">IFERROR(IF(AND(INDEX(Tab_DaBa[],MATCH(CONCATENATE(Liste!$C$3,$B$1697,$B$1895),Data!$BO:$BO,0)-2,28)&lt;&gt;"",INDEX(Tab_DaBa[],MATCH(CONCATENATE(Liste!$C$3,$B$1697,$B$1895),Data!$BO:$BO,0)-2,33)=0),INDEX(Tab_DaBa[],MATCH(CONCATENATE(Liste!$C$3,$B$1697,$B$1895),Data!$BO:$BO,0)-2,12),IF(INDEX(Tab_DaBa[],MATCH(CONCATENATE(Liste!$C$3,$B$1697,$B$1895),Data!$BO:$BO,0)-2,28)&lt;&gt;"",INDEX(Tab_DaBa[],MATCH(CONCATENATE(Liste!$C$3,$B$1697,$B$1895),Data!$BO:$BO,0)-2,32),"")),"")</f>
        <v>Lo04-44_08</v>
      </c>
      <c r="C1906" s="39"/>
      <c r="D1906" s="35" t="str">
        <f ca="1">IFERROR(IF(AND(INDEX(Tab_DaBa[],MATCH(CONCATENATE(Liste!$C$3,$B$1697,$B$1895),Data!$BO:$BO,0)-2,33)&lt;&gt;"",INDEX(Tab_DaBa[],MATCH(CONCATENATE(Liste!$C$3,$B$1697,$B$1895),Data!$BO:$BO,0)-2,38)=0),INDEX(Tab_DaBa[],MATCH(CONCATENATE(Liste!$C$3,$B$1697,$B$1895),Data!$BO:$BO,0)-2,12),IF(INDEX(Tab_DaBa[],MATCH(CONCATENATE(Liste!$C$3,$B$1697,$B$1895),Data!$BO:$BO,0)-2,33)&lt;&gt;"",INDEX(Tab_DaBa[],MATCH(CONCATENATE(Liste!$C$3,$B$1697,$B$1895),Data!$BO:$BO,0)-2,37),"")),"")</f>
        <v>Lo04-44_08</v>
      </c>
      <c r="E1906" s="37"/>
      <c r="F1906" s="35" t="str">
        <f ca="1">IFERROR(IF(AND(INDEX(Tab_DaBa[],MATCH(CONCATENATE(Liste!$C$3,$B$1697,$B$1895),Data!$BO:$BO,0)-2,38)&lt;&gt;"",INDEX(Tab_DaBa[],MATCH(CONCATENATE(Liste!$C$3,$B$1697,$B$1895),Data!$BO:$BO,0)-2,43)=0),INDEX(Tab_DaBa[],MATCH(CONCATENATE(Liste!$C$3,$B$1697,$B$1895),Data!$BO:$BO,0)-2,12),IF(INDEX(Tab_DaBa[],MATCH(CONCATENATE(Liste!$C$3,$B$1697,$B$1895),Data!$BO:$BO,0)-2,38)&lt;&gt;"",INDEX(Tab_DaBa[],MATCH(CONCATENATE(Liste!$C$3,$B$1697,$B$1895),Data!$BO:$BO,0)-2,42),"")),"")</f>
        <v>Lo03-33_08</v>
      </c>
      <c r="G1906" s="39"/>
      <c r="H1906" s="35" t="str">
        <f ca="1">IFERROR(IF(AND(INDEX(Tab_DaBa[],MATCH(CONCATENATE(Liste!$C$3,$B$1697,$B$1895),Data!$BO:$BO,0)-2,43)&lt;&gt;"",INDEX(Tab_DaBa[],MATCH(CONCATENATE(Liste!$C$3,$B$1697,$B$1895),Data!$BO:$BO,0)-2,48)=0),INDEX(Tab_DaBa[],MATCH(CONCATENATE(Liste!$C$3,$B$1697,$B$1895),Data!$BO:$BO,0)-2,12),IF(INDEX(Tab_DaBa[],MATCH(CONCATENATE(Liste!$C$3,$B$1697,$B$1895),Data!$BO:$BO,0)-2,43)&lt;&gt;"",INDEX(Tab_DaBa[],MATCH(CONCATENATE(Liste!$C$3,$B$1697,$B$1895),Data!$BO:$BO,0)-2,47),"")),"")</f>
        <v>Lo03-33_08</v>
      </c>
      <c r="I1906" s="39"/>
    </row>
    <row r="1907" spans="2:9" s="16" customFormat="1" ht="15.75">
      <c r="B1907" s="35" t="str">
        <f ca="1">IFERROR(IF(AND(INDEX(Tab_DaBa[],MATCH(CONCATENATE(Liste!$C$3,$B$1697,$B$1895),Data!$BO:$BO,0)-2,28)&lt;&gt;"",INDEX(Tab_DaBa[],MATCH(CONCATENATE(Liste!$C$3,$B$1697,$B$1895),Data!$BO:$BO,0)-2,33)=""),INDEX(Tab_DaBa[],MATCH(CONCATENATE(Liste!$C$3,$B$1697,$B$1895),Data!$BO:$BO,0)-2,13),IF(INDEX(Tab_DaBa[],MATCH(CONCATENATE(Liste!$C$3,$B$1697,$B$1895),Data!$BO:$BO,0)-2,28)&lt;&gt;"",INDEX(Tab_DaBa[],MATCH(CONCATENATE(Liste!$C$3,$B$1697,$B$1895),Data!$BO:$BO,0)-2,33),"")),"")</f>
        <v>Bez_Lo04_08</v>
      </c>
      <c r="C1907" s="38">
        <f ca="1">IF(D1905="","",4)</f>
        <v>4</v>
      </c>
      <c r="D1907" s="35" t="str">
        <f ca="1">IFERROR(IF(AND(INDEX(Tab_DaBa[],MATCH(CONCATENATE(Liste!$C$3,$B$1697,$B$1895),Data!$BO:$BO,0)-2,33)&lt;&gt;"",INDEX(Tab_DaBa[],MATCH(CONCATENATE(Liste!$C$3,$B$1697,$B$1895),Data!$BO:$BO,0)-2,38)=""),INDEX(Tab_DaBa[],MATCH(CONCATENATE(Liste!$C$3,$B$1697,$B$1895),Data!$BO:$BO,0)-2,13),IF(INDEX(Tab_DaBa[],MATCH(CONCATENATE(Liste!$C$3,$B$1697,$B$1895),Data!$BO:$BO,0)-2,33)&lt;&gt;"",INDEX(Tab_DaBa[],MATCH(CONCATENATE(Liste!$C$3,$B$1697,$B$1895),Data!$BO:$BO,0)-2,38),"")),"")</f>
        <v>Bez_Lo03_08</v>
      </c>
      <c r="E1907" s="38">
        <f ca="1">IF(F1905="","",4)</f>
        <v>4</v>
      </c>
      <c r="F1907" s="35" t="str">
        <f ca="1">IFERROR(IF(AND(INDEX(Tab_DaBa[],MATCH(CONCATENATE(Liste!$C$3,$B$1697,$B$1895),Data!$BO:$BO,0)-2,38)&lt;&gt;"",INDEX(Tab_DaBa[],MATCH(CONCATENATE(Liste!$C$3,$B$1697,$B$1895),Data!$BO:$BO,0)-2,43)=""),INDEX(Tab_DaBa[],MATCH(CONCATENATE(Liste!$C$3,$B$1697,$B$1895),Data!$BO:$BO,0)-2,13),IF(INDEX(Tab_DaBa[],MATCH(CONCATENATE(Liste!$C$3,$B$1697,$B$1895),Data!$BO:$BO,0)-2,38)&lt;&gt;"",INDEX(Tab_DaBa[],MATCH(CONCATENATE(Liste!$C$3,$B$1697,$B$1895),Data!$BO:$BO,0)-2,43),"")),"")</f>
        <v>Bez_Lo03_08</v>
      </c>
      <c r="G1907" s="38">
        <f ca="1">IF(H1905="","",4)</f>
        <v>4</v>
      </c>
      <c r="H1907" s="35" t="str">
        <f ca="1">IFERROR(IF(AND(INDEX(Tab_DaBa[],MATCH(CONCATENATE(Liste!$C$3,$B$1697,$B$1895),Data!$BO:$BO,0)-2,43)&lt;&gt;"",INDEX(Tab_DaBa[],MATCH(CONCATENATE(Liste!$C$3,$B$1697,$B$1895),Data!$BO:$BO,0)-2,48)=""),INDEX(Tab_DaBa[],MATCH(CONCATENATE(Liste!$C$3,$B$1697,$B$1895),Data!$BO:$BO,0)-2,13),IF(INDEX(Tab_DaBa[],MATCH(CONCATENATE(Liste!$C$3,$B$1697,$B$1895),Data!$BO:$BO,0)-2,43)&lt;&gt;"",INDEX(Tab_DaBa[],MATCH(CONCATENATE(Liste!$C$3,$B$1697,$B$1895),Data!$BO:$BO,0)-2,48),"")),"")</f>
        <v>Bez_Lo03_08</v>
      </c>
      <c r="I1907" s="38">
        <f ca="1">IF(B1913="","",6)</f>
        <v>6</v>
      </c>
    </row>
    <row r="1908" spans="2:9" s="16" customFormat="1" ht="15.75">
      <c r="B1908" s="35" t="str">
        <f ca="1">IFERROR(IF(AND(INDEX(Tab_DaBa[],MATCH(CONCATENATE(Liste!$C$3,$B$1697,$B$1895),Data!$BO:$BO,0)-2,28)&lt;&gt;"",INDEX(Tab_DaBa[],MATCH(CONCATENATE(Liste!$C$3,$B$1697,$B$1895),Data!$BO:$BO,0)-2,33)=""),"Performance Level: "&amp;INDEX(Tab_DaBa[],MATCH(CONCATENATE(Liste!$C$3,$B$1697,$B$1895),Data!$BO:$BO,0)-2,15),IF(INDEX(Tab_DaBa[],MATCH(CONCATENATE(Liste!$C$3,$B$1697,$B$1895),Data!$BO:$BO,0)-2,28)&lt;&gt;"","Performance Level: "&amp;INDEX(Tab_DaBa[],MATCH(CONCATENATE(Liste!$C$3,$B$1697,$B$1895),Data!$BO:$BO,0)-2,35),"")),"")</f>
        <v>Performance Level: PL_Lo04_08</v>
      </c>
      <c r="C1908" s="39"/>
      <c r="D1908" s="35" t="str">
        <f ca="1">IFERROR(IF(AND(INDEX(Tab_DaBa[],MATCH(CONCATENATE(Liste!$C$3,$B$1697,$B$1895),Data!$BO:$BO,0)-2,33)&lt;&gt;"",INDEX(Tab_DaBa[],MATCH(CONCATENATE(Liste!$C$3,$B$1697,$B$1895),Data!$BO:$BO,0)-2,38)=""),"Performance Level: "&amp;INDEX(Tab_DaBa[],MATCH(CONCATENATE(Liste!$C$3,$B$1697,$B$1895),Data!$BO:$BO,0)-2,15),IF(INDEX(Tab_DaBa[],MATCH(CONCATENATE(Liste!$C$3,$B$1697,$B$1895),Data!$BO:$BO,0)-2,33)&lt;&gt;"","Performance Level: "&amp;INDEX(Tab_DaBa[],MATCH(CONCATENATE(Liste!$C$3,$B$1697,$B$1895),Data!$BO:$BO,0)-2,40),"")),"")</f>
        <v>Performance Level: PL_Lo03_8</v>
      </c>
      <c r="E1908" s="37"/>
      <c r="F1908" s="35" t="str">
        <f ca="1">IFERROR(IF(AND(INDEX(Tab_DaBa[],MATCH(CONCATENATE(Liste!$C$3,$B$1697,$B$1895),Data!$BO:$BO,0)-2,38)&lt;&gt;"",INDEX(Tab_DaBa[],MATCH(CONCATENATE(Liste!$C$3,$B$1697,$B$1895),Data!$BO:$BO,0)-2,43)=""),"Performance Level: "&amp;INDEX(Tab_DaBa[],MATCH(CONCATENATE(Liste!$C$3,$B$1697,$B$1895),Data!$BO:$BO,0)-2,15),IF(INDEX(Tab_DaBa[],MATCH(CONCATENATE(Liste!$C$3,$B$1697,$B$1895),Data!$BO:$BO,0)-2,38)&lt;&gt;"","Performance Level: "&amp;INDEX(Tab_DaBa[],MATCH(CONCATENATE(Liste!$C$3,$B$1697,$B$1895),Data!$BO:$BO,0)-2,45),"")),"")</f>
        <v>Performance Level: PL_Lo03_08</v>
      </c>
      <c r="G1908" s="39"/>
      <c r="H1908" s="35" t="str">
        <f ca="1">IFERROR(IF(AND(INDEX(Tab_DaBa[],MATCH(CONCATENATE(Liste!$C$3,$B$1697,$B$1895),Data!$BO:$BO,0)-2,43)&lt;&gt;"",INDEX(Tab_DaBa[],MATCH(CONCATENATE(Liste!$C$3,$B$1697,$B$1895),Data!$BO:$BO,0)-2,48)=""),"Performance Level: "&amp;INDEX(Tab_DaBa[],MATCH(CONCATENATE(Liste!$C$3,$B$1697,$B$1895),Data!$BO:$BO,0)-2,15),IF(INDEX(Tab_DaBa[],MATCH(CONCATENATE(Liste!$C$3,$B$1697,$B$1895),Data!$BO:$BO,0)-2,43)&lt;&gt;"","Performance Level: "&amp;INDEX(Tab_DaBa[],MATCH(CONCATENATE(Liste!$C$3,$B$1697,$B$1895),Data!$BO:$BO,0)-2,50),"")),"")</f>
        <v>Performance Level: PL_Lo03_08</v>
      </c>
      <c r="I1908" s="39"/>
    </row>
    <row r="1909" spans="2:9" s="16" customFormat="1" ht="15.75">
      <c r="B1909" s="35" t="str">
        <f ca="1">IFERROR(IF(AND(INDEX(Tab_DaBa[],MATCH(CONCATENATE(Liste!$C$3,$B$1697,$B$1895),Data!$BO:$BO,0)-2,28)&lt;&gt;"",INDEX(Tab_DaBa[],MATCH(CONCATENATE(Liste!$C$3,$B$1697,$B$1895),Data!$BO:$BO,0)-2,33)=""),"PFH [1/h] = "&amp;10^9*INDEX(Tab_DaBa[],MATCH(CONCATENATE(Liste!$C$3,$B$1697,$B$1895),Data!$BO:$BO,0)-2,16)&amp;"E-9",IF(INDEX(Tab_DaBa[],MATCH(CONCATENATE(Liste!$C$3,$B$1697,$B$1895),Data!$BO:$BO,0)-2,28)&lt;&gt;"","PFH [1/h] = "&amp;10^9*INDEX(Tab_DaBa[],MATCH(CONCATENATE(Liste!$C$3,$B$1697,$B$1895),Data!$BO:$BO,0)-2,36)&amp;"E-9","")),"")</f>
        <v>PFH [1/h] = 4,19E-9</v>
      </c>
      <c r="C1909" s="39"/>
      <c r="D1909" s="35" t="str">
        <f ca="1">IFERROR(IF(AND(INDEX(Tab_DaBa[],MATCH(CONCATENATE(Liste!$C$3,$B$1697,$B$1895),Data!$BO:$BO,0)-2,33)&lt;&gt;"",INDEX(Tab_DaBa[],MATCH(CONCATENATE(Liste!$C$3,$B$1697,$B$1895),Data!$BO:$BO,0)-2,38)=""),"PFH [1/h] = "&amp;10^9*INDEX(Tab_DaBa[],MATCH(CONCATENATE(Liste!$C$3,$B$1697,$B$1895),Data!$BO:$BO,0)-2,16)&amp;"E-9",IF(INDEX(Tab_DaBa[],MATCH(CONCATENATE(Liste!$C$3,$B$1697,$B$1895),Data!$BO:$BO,0)-2,33)&lt;&gt;"","PFH [1/h] = "&amp;10^9*INDEX(Tab_DaBa[],MATCH(CONCATENATE(Liste!$C$3,$B$1697,$B$1895),Data!$BO:$BO,0)-2,41)&amp;"E-9","")),"")</f>
        <v>PFH [1/h] = 4,19E-9</v>
      </c>
      <c r="E1909" s="37"/>
      <c r="F1909" s="35" t="str">
        <f ca="1">IFERROR(IF(AND(INDEX(Tab_DaBa[],MATCH(CONCATENATE(Liste!$C$3,$B$1697,$B$1895),Data!$BO:$BO,0)-2,38)&lt;&gt;"",INDEX(Tab_DaBa[],MATCH(CONCATENATE(Liste!$C$3,$B$1697,$B$1895),Data!$BO:$BO,0)-2,43)=""),"PFH [1/h] = "&amp;10^9*INDEX(Tab_DaBa[],MATCH(CONCATENATE(Liste!$C$3,$B$1697,$B$1895),Data!$BO:$BO,0)-2,16)&amp;"E-9",IF(INDEX(Tab_DaBa[],MATCH(CONCATENATE(Liste!$C$3,$B$1697,$B$1895),Data!$BO:$BO,0)-2,38)&lt;&gt;"","PFH [1/h] = "&amp;10^9*INDEX(Tab_DaBa[],MATCH(CONCATENATE(Liste!$C$3,$B$1697,$B$1895),Data!$BO:$BO,0)-2,46)&amp;"E-9","")),"")</f>
        <v>PFH [1/h] = 4,19E-9</v>
      </c>
      <c r="G1909" s="39"/>
      <c r="H1909" s="35" t="str">
        <f ca="1">IFERROR(IF(AND(INDEX(Tab_DaBa[],MATCH(CONCATENATE(Liste!$C$3,$B$1697,$B$1895),Data!$BO:$BO,0)-2,43)&lt;&gt;"",INDEX(Tab_DaBa[],MATCH(CONCATENATE(Liste!$C$3,$B$1697,$B$1895),Data!$BO:$BO,0)-2,48)=""),"PFH [1/h] = "&amp;10^9*INDEX(Tab_DaBa[],MATCH(CONCATENATE(Liste!$C$3,$B$1697,$B$1895),Data!$BO:$BO,0)-2,16)&amp;"E-9",IF(INDEX(Tab_DaBa[],MATCH(CONCATENATE(Liste!$C$3,$B$1697,$B$1895),Data!$BO:$BO,0)-2,43)&lt;&gt;"","PFH [1/h] = "&amp;10^9*INDEX(Tab_DaBa[],MATCH(CONCATENATE(Liste!$C$3,$B$1697,$B$1895),Data!$BO:$BO,0)-2,51)&amp;"E-9","")),"")</f>
        <v>PFH [1/h] = 4,19E-9</v>
      </c>
      <c r="I1909" s="39"/>
    </row>
    <row r="1910" spans="2:9" s="16" customFormat="1">
      <c r="B1910" s="33"/>
      <c r="C1910" s="33"/>
      <c r="D1910" s="33"/>
      <c r="E1910" s="33"/>
      <c r="F1910" s="33"/>
      <c r="G1910" s="33"/>
      <c r="H1910" s="33"/>
      <c r="I1910" s="33"/>
    </row>
    <row r="1911" spans="2:9" s="16" customFormat="1" ht="15.75">
      <c r="B1911" s="38">
        <f ca="1">IF(B1913="","",6)</f>
        <v>6</v>
      </c>
      <c r="C1911" s="33"/>
      <c r="D1911" s="38">
        <f ca="1">IF(B1913="","",3)</f>
        <v>3</v>
      </c>
      <c r="E1911" s="33"/>
      <c r="F1911" s="38">
        <f ca="1">IF(B1913="","",3)</f>
        <v>3</v>
      </c>
      <c r="G1911" s="33"/>
      <c r="H1911" s="38">
        <f ca="1">IF(B1913="","",3)</f>
        <v>3</v>
      </c>
      <c r="I1911" s="33"/>
    </row>
    <row r="1912" spans="2:9" s="16" customFormat="1" ht="15.75">
      <c r="B1912" s="39"/>
      <c r="C1912" s="33"/>
      <c r="D1912" s="33"/>
      <c r="E1912" s="33"/>
      <c r="F1912" s="33"/>
      <c r="G1912" s="33"/>
      <c r="H1912" s="33"/>
      <c r="I1912" s="33"/>
    </row>
    <row r="1913" spans="2:9" s="16" customFormat="1" ht="15.75">
      <c r="B1913" s="35" t="str">
        <f ca="1">IFERROR(IF(AND(INDEX(Tab_DaBa[],MATCH(CONCATENATE(Liste!$C$3,$B$1697,$B$1895),Data!$BO:$BO,0)-2,48)&lt;&gt;"",INDEX(Tab_DaBa[],MATCH(CONCATENATE(Liste!$C$3,$B$1697,$B$1895),Data!$BO:$BO,0)-2,53)=0),INDEX(Tab_DaBa[],MATCH(CONCATENATE(Liste!$C$3,$B$1697,$B$1895),Data!$BO:$BO,0)-2,14),IF(INDEX(Tab_DaBa[],MATCH(CONCATENATE(Liste!$C$3,$B$1697,$B$1895),Data!$BO:$BO,0)-2,48)&lt;&gt;"",INDEX(Tab_DaBa[],MATCH(CONCATENATE(Liste!$C$3,$B$1697,$B$1895),Data!$BO:$BO,0)-2,54),"")),"")</f>
        <v>Logik 08</v>
      </c>
      <c r="C1913" s="39"/>
      <c r="D1913" s="35" t="str">
        <f ca="1">IFERROR(IF(AND(INDEX(Tab_DaBa[],MATCH(CONCATENATE(Liste!$C$3,$B$1697,$B$1895),Data!$BO:$BO,0)-2,53)&lt;&gt;"",INDEX(Tab_DaBa[],MATCH(CONCATENATE(Liste!$C$3,$B$1697,$B$1895),Data!$BO:$BO,0)-2,58)=0),INDEX(Tab_DaBa[],MATCH(CONCATENATE(Liste!$C$3,$B$1697,$B$1895),Data!$BO:$BO,0)-2,14),IF(INDEX(Tab_DaBa[],MATCH(CONCATENATE(Liste!$C$3,$B$1697,$B$1895),Data!$BO:$BO,0)-2,53)&lt;&gt;"",INDEX(Tab_DaBa[],MATCH(CONCATENATE(Liste!$C$3,$B$1697,$B$1895),Data!$BO:$BO,0)-2,59),"")),"")</f>
        <v>Ausgang</v>
      </c>
      <c r="E1913" s="33"/>
      <c r="F1913" s="35" t="str">
        <f ca="1">IFERROR(IF(AND(INDEX(Tab_DaBa[],MATCH(CONCATENATE(Liste!$C$3,$B$1697,$B$1895),Data!$BO:$BO,0)-2,58)&lt;&gt;"",INDEX(Tab_DaBa[],MATCH(CONCATENATE(Liste!$C$3,$B$1697,$B$1895),Data!$BO:$BO,0)-2,63)=0),INDEX(Tab_DaBa[],MATCH(CONCATENATE(Liste!$C$3,$B$1697,$B$1895),Data!$BO:$BO,0)-2,14),IF(INDEX(Tab_DaBa[],MATCH(CONCATENATE(Liste!$C$3,$B$1697,$B$1895),Data!$BO:$BO,0)-2,58)&lt;&gt;"",INDEX(Tab_DaBa[],MATCH(CONCATENATE(Liste!$C$3,$B$1697,$B$1895),Data!$BO:$BO,0)-2,64),"")),"")</f>
        <v/>
      </c>
      <c r="G1913" s="39"/>
      <c r="H1913" s="35" t="str">
        <f ca="1">IFERROR(IF(INDEX(Tab_DaBa[],MATCH(CONCATENATE(Liste!$C$3,$B$1697,$B$1895),Data!$BO:$BO,0)-2,63)&lt;&gt;"",INDEX(Tab_DaBa[],MATCH(CONCATENATE(Liste!$C$3,$B$1697,$B$1895),Data!$BO:$BO,0)-2,14),""),"")</f>
        <v/>
      </c>
    </row>
    <row r="1914" spans="2:9" s="16" customFormat="1" ht="15.75">
      <c r="B1914" s="35" t="str">
        <f ca="1">IFERROR(IF(AND(INDEX(Tab_DaBa[],MATCH(CONCATENATE(Liste!$C$3,$B$1697,$B$1895),Data!$BO:$BO,0)-2,48)&lt;&gt;"",INDEX(Tab_DaBa[],MATCH(CONCATENATE(Liste!$C$3,$B$1697,$B$1895),Data!$BO:$BO,0)-2,53)=0),INDEX(Tab_DaBa[],MATCH(CONCATENATE(Liste!$C$3,$B$1697,$B$1895),Data!$BO:$BO,0)-2,12),IF(INDEX(Tab_DaBa[],MATCH(CONCATENATE(Liste!$C$3,$B$1697,$B$1895),Data!$BO:$BO,0)-2,48)&lt;&gt;"",INDEX(Tab_DaBa[],MATCH(CONCATENATE(Liste!$C$3,$B$1697,$B$1895),Data!$BO:$BO,0)-2,52),"")),"")</f>
        <v>Lo03-88_08</v>
      </c>
      <c r="C1914" s="39"/>
      <c r="D1914" s="35" t="str">
        <f ca="1">IFERROR(IF(AND(INDEX(Tab_DaBa[],MATCH(CONCATENATE(Liste!$C$3,$B$1697,$B$1895),Data!$BO:$BO,0)-2,53)&lt;&gt;"",INDEX(Tab_DaBa[],MATCH(CONCATENATE(Liste!$C$3,$B$1697,$B$1895),Data!$BO:$BO,0)-2,58)=0),INDEX(Tab_DaBa[],MATCH(CONCATENATE(Liste!$C$3,$B$1697,$B$1895),Data!$BO:$BO,0)-2,12),IF(INDEX(Tab_DaBa[],MATCH(CONCATENATE(Liste!$C$3,$B$1697,$B$1895),Data!$BO:$BO,0)-2,53)&lt;&gt;"",INDEX(Tab_DaBa[],MATCH(CONCATENATE(Liste!$C$3,$B$1697,$B$1895),Data!$BO:$BO,0)-2,57),"")),"")</f>
        <v>aaaa-44_8</v>
      </c>
      <c r="E1914" s="37"/>
      <c r="F1914" s="35" t="str">
        <f ca="1">IFERROR(IF(AND(INDEX(Tab_DaBa[],MATCH(CONCATENATE(Liste!$C$3,$B$1697,$B$1895),Data!$BO:$BO,0)-2,58)&lt;&gt;"",INDEX(Tab_DaBa[],MATCH(CONCATENATE(Liste!$C$3,$B$1697,$B$1895),Data!$BO:$BO,0)-2,63)=0),INDEX(Tab_DaBa[],MATCH(CONCATENATE(Liste!$C$3,$B$1697,$B$1895),Data!$BO:$BO,0)-2,12),IF(INDEX(Tab_DaBa[],MATCH(CONCATENATE(Liste!$C$3,$B$1697,$B$1895),Data!$BO:$BO,0)-2,58)&lt;&gt;"",INDEX(Tab_DaBa[],MATCH(CONCATENATE(Liste!$C$3,$B$1697,$B$1895),Data!$BO:$BO,0)-2,62),"")),"")</f>
        <v/>
      </c>
      <c r="G1914" s="39"/>
      <c r="H1914" s="35" t="str">
        <f ca="1">IFERROR(IF(INDEX(Tab_DaBa[],MATCH(CONCATENATE(Liste!$C$3,$B$1697,$B$1895),Data!$BO:$BO,0)-2,63)&lt;&gt;"",INDEX(Tab_DaBa[],MATCH(CONCATENATE(Liste!$C$3,$B$1697,$B$1895),Data!$BO:$BO,0)-2,12),""),"")</f>
        <v/>
      </c>
    </row>
    <row r="1915" spans="2:9" s="16" customFormat="1" ht="15.75">
      <c r="B1915" s="35" t="str">
        <f ca="1">IFERROR(IF(AND(INDEX(Tab_DaBa[],MATCH(CONCATENATE(Liste!$C$3,$B$1697,$B$1895),Data!$BO:$BO,0)-2,48)&lt;&gt;"",INDEX(Tab_DaBa[],MATCH(CONCATENATE(Liste!$C$3,$B$1697,$B$1895),Data!$BO:$BO,0)-2,53)=""),INDEX(Tab_DaBa[],MATCH(CONCATENATE(Liste!$C$3,$B$1697,$B$1895),Data!$BO:$BO,0)-2,13),IF(INDEX(Tab_DaBa[],MATCH(CONCATENATE(Liste!$C$3,$B$1697,$B$1895),Data!$BO:$BO,0)-2,48)&lt;&gt;"",INDEX(Tab_DaBa[],MATCH(CONCATENATE(Liste!$C$3,$B$1697,$B$1895),Data!$BO:$BO,0)-2,53),"")),"")</f>
        <v>Bez_Lo03_08</v>
      </c>
      <c r="C1915" s="38">
        <f ca="1">IF(D1913="","",4)</f>
        <v>4</v>
      </c>
      <c r="D1915" s="35" t="str">
        <f ca="1">IFERROR(IF(AND(INDEX(Tab_DaBa[],MATCH(CONCATENATE(Liste!$C$3,$B$1697,$B$1895),Data!$BO:$BO,0)-2,53)&lt;&gt;"",INDEX(Tab_DaBa[],MATCH(CONCATENATE(Liste!$C$3,$B$1697,$B$1895),Data!$BO:$BO,0)-2,58)=""),INDEX(Tab_DaBa[],MATCH(CONCATENATE(Liste!$C$3,$B$1697,$B$1895),Data!$BO:$BO,0)-2,13),IF(INDEX(Tab_DaBa[],MATCH(CONCATENATE(Liste!$C$3,$B$1697,$B$1895),Data!$BO:$BO,0)-2,53)&lt;&gt;"",INDEX(Tab_DaBa[],MATCH(CONCATENATE(Liste!$C$3,$B$1697,$B$1895),Data!$BO:$BO,0)-2,58),"")),"")</f>
        <v>Bez_Aus4_8</v>
      </c>
      <c r="E1915" s="38" t="str">
        <f ca="1">IF(F1913="","",4)</f>
        <v/>
      </c>
      <c r="F1915" s="35" t="str">
        <f ca="1">IFERROR(IF(AND(INDEX(Tab_DaBa[],MATCH(CONCATENATE(Liste!$C$3,$B$1697,$B$1895),Data!$BO:$BO,0)-2,58)&lt;&gt;"",INDEX(Tab_DaBa[],MATCH(CONCATENATE(Liste!$C$3,$B$1697,$B$1895),Data!$BO:$BO,0)-2,63)=""),INDEX(Tab_DaBa[],MATCH(CONCATENATE(Liste!$C$3,$B$1697,$B$1895),Data!$BO:$BO,0)-2,13),IF(INDEX(Tab_DaBa[],MATCH(CONCATENATE(Liste!$C$3,$B$1697,$B$1895),Data!$BO:$BO,0)-2,58)&lt;&gt;"",INDEX(Tab_DaBa[],MATCH(CONCATENATE(Liste!$C$3,$B$1697,$B$1895),Data!$BO:$BO,0)-2,63),"")),"")</f>
        <v/>
      </c>
      <c r="G1915" s="38" t="str">
        <f ca="1">IF(H1913="","",4)</f>
        <v/>
      </c>
      <c r="H1915" s="35" t="str">
        <f ca="1">IFERROR(IF(INDEX(Tab_DaBa[],MATCH(CONCATENATE(Liste!$C$3,$B$1697,$B$1895),Data!$BO:$BO,0)-2,63)&lt;&gt;"",INDEX(Tab_DaBa[],MATCH(CONCATENATE(Liste!$C$3,$B$1697,$B$1895),Data!$BO:$BO,0)-2,13),""),"")</f>
        <v/>
      </c>
    </row>
    <row r="1916" spans="2:9" s="16" customFormat="1" ht="15.75">
      <c r="B1916" s="35" t="str">
        <f ca="1">IFERROR(IF(AND(INDEX(Tab_DaBa[],MATCH(CONCATENATE(Liste!$C$3,$B$1697,$B$1895),Data!$BO:$BO,0)-2,48)&lt;&gt;"",INDEX(Tab_DaBa[],MATCH(CONCATENATE(Liste!$C$3,$B$1697,$B$1895),Data!$BO:$BO,0)-2,53)=""),"Performance Level: "&amp;INDEX(Tab_DaBa[],MATCH(CONCATENATE(Liste!$C$3,$B$1697,$B$1895),Data!$BO:$BO,0)-2,15),IF(INDEX(Tab_DaBa[],MATCH(CONCATENATE(Liste!$C$3,$B$1697,$B$1895),Data!$BO:$BO,0)-2,48)&lt;&gt;"","Performance Level: "&amp;INDEX(Tab_DaBa[],MATCH(CONCATENATE(Liste!$C$3,$B$1697,$B$1895),Data!$BO:$BO,0)-2,55),"")),"")</f>
        <v>Performance Level: PL_Lo03_08</v>
      </c>
      <c r="C1916" s="39"/>
      <c r="D1916" s="35" t="str">
        <f ca="1">IFERROR(IF(AND(INDEX(Tab_DaBa[],MATCH(CONCATENATE(Liste!$C$3,$B$1697,$B$1895),Data!$BO:$BO,0)-2,53)&lt;&gt;"",INDEX(Tab_DaBa[],MATCH(CONCATENATE(Liste!$C$3,$B$1697,$B$1895),Data!$BO:$BO,0)-2,58)=""),"Performance Level: "&amp;INDEX(Tab_DaBa[],MATCH(CONCATENATE(Liste!$C$3,$B$1697,$B$1895),Data!$BO:$BO,0)-2,15),IF(INDEX(Tab_DaBa[],MATCH(CONCATENATE(Liste!$C$3,$B$1697,$B$1895),Data!$BO:$BO,0)-2,53)&lt;&gt;"","Performance Level: "&amp;INDEX(Tab_DaBa[],MATCH(CONCATENATE(Liste!$C$3,$B$1697,$B$1895),Data!$BO:$BO,0)-2,60),"")),"")</f>
        <v>Performance Level: PL_Aus4_8</v>
      </c>
      <c r="E1916" s="37"/>
      <c r="F1916" s="35" t="str">
        <f ca="1">IFERROR(IF(AND(INDEX(Tab_DaBa[],MATCH(CONCATENATE(Liste!$C$3,$B$1697,$B$1895),Data!$BO:$BO,0)-2,58)&lt;&gt;"",INDEX(Tab_DaBa[],MATCH(CONCATENATE(Liste!$C$3,$B$1697,$B$1895),Data!$BO:$BO,0)-2,63)=""),"Performance Level: "&amp;INDEX(Tab_DaBa[],MATCH(CONCATENATE(Liste!$C$3,$B$1697,$B$1895),Data!$BO:$BO,0)-2,15),IF(INDEX(Tab_DaBa[],MATCH(CONCATENATE(Liste!$C$3,$B$1697,$B$1895),Data!$BO:$BO,0)-2,58)&lt;&gt;"","Performance Level: "&amp;INDEX(Tab_DaBa[],MATCH(CONCATENATE(Liste!$C$3,$B$1697,$B$1895),Data!$BO:$BO,0)-2,65),"")),"")</f>
        <v/>
      </c>
      <c r="G1916" s="39"/>
      <c r="H1916" s="35" t="str">
        <f ca="1">IFERROR(IF(INDEX(Tab_DaBa[],MATCH(CONCATENATE(Liste!$C$3,$B$1697,$B$1895),Data!$BO:$BO,0)-2,63)&lt;&gt;"","Performance Level: "&amp;INDEX(Tab_DaBa[],MATCH(CONCATENATE(Liste!$C$3,$B$1697,$B$1895),Data!$BO:$BO,0)-2,15),""),"")</f>
        <v/>
      </c>
    </row>
    <row r="1917" spans="2:9" s="16" customFormat="1" ht="15.75">
      <c r="B1917" s="35" t="str">
        <f ca="1">IFERROR(IF(AND(INDEX(Tab_DaBa[],MATCH(CONCATENATE(Liste!$C$3,$B$1697,$B$1895),Data!$BO:$BO,0)-2,48)&lt;&gt;"",INDEX(Tab_DaBa[],MATCH(CONCATENATE(Liste!$C$3,$B$1697,$B$1895),Data!$BO:$BO,0)-2,53)=""),"PFH [1/h] = "&amp;10^9*INDEX(Tab_DaBa[],MATCH(CONCATENATE(Liste!$C$3,$B$1697,$B$1895),Data!$BO:$BO,0)-2,16)&amp;"E-9",IF(INDEX(Tab_DaBa[],MATCH(CONCATENATE(Liste!$C$3,$B$1697,$B$1895),Data!$BO:$BO,0)-2,48)&lt;&gt;"","PFH [1/h] = "&amp;10^9*INDEX(Tab_DaBa[],MATCH(CONCATENATE(Liste!$C$3,$B$1697,$B$1895),Data!$BO:$BO,0)-2,56)&amp;"E-9","")),"")</f>
        <v>PFH [1/h] = 4,19E-9</v>
      </c>
      <c r="C1917" s="39"/>
      <c r="D1917" s="35" t="str">
        <f ca="1">IFERROR(IF(AND(INDEX(Tab_DaBa[],MATCH(CONCATENATE(Liste!$C$3,$B$1697,$B$1895),Data!$BO:$BO,0)-2,53)&lt;&gt;"",INDEX(Tab_DaBa[],MATCH(CONCATENATE(Liste!$C$3,$B$1697,$B$1895),Data!$BO:$BO,0)-2,58)=""),"PFH [1/h] = "&amp;10^9*INDEX(Tab_DaBa[],MATCH(CONCATENATE(Liste!$C$3,$B$1697,$B$1895),Data!$BO:$BO,0)-2,16)&amp;"E-9",IF(INDEX(Tab_DaBa[],MATCH(CONCATENATE(Liste!$C$3,$B$1697,$B$1895),Data!$BO:$BO,0)-2,53)&lt;&gt;"","PFH [1/h] = "&amp;10^9*INDEX(Tab_DaBa[],MATCH(CONCATENATE(Liste!$C$3,$B$1697,$B$1895),Data!$BO:$BO,0)-2,61)&amp;"E-9","")),"")</f>
        <v>PFH [1/h] = 24,7E-9</v>
      </c>
      <c r="E1917" s="37"/>
      <c r="F1917" s="35" t="str">
        <f ca="1">IFERROR(IF(AND(INDEX(Tab_DaBa[],MATCH(CONCATENATE(Liste!$C$3,$B$1697,$B$1895),Data!$BO:$BO,0)-2,58)&lt;&gt;"",INDEX(Tab_DaBa[],MATCH(CONCATENATE(Liste!$C$3,$B$1697,$B$1895),Data!$BO:$BO,0)-2,63)=""),"PFH [1/h] = "&amp;10^9*INDEX(Tab_DaBa[],MATCH(CONCATENATE(Liste!$C$3,$B$1697,$B$1895),Data!$BO:$BO,0)-2,16)&amp;"E-9",IF(INDEX(Tab_DaBa[],MATCH(CONCATENATE(Liste!$C$3,$B$1697,$B$1895),Data!$BO:$BO,0)-2,58)&lt;&gt;"","PFH [1/h] = "&amp;10^9*INDEX(Tab_DaBa[],MATCH(CONCATENATE(Liste!$C$3,$B$1697,$B$1895),Data!$BO:$BO,0)-2,66)&amp;"E-9","")),"")</f>
        <v/>
      </c>
      <c r="G1917" s="39"/>
      <c r="H1917" s="35" t="str">
        <f ca="1">IFERROR(IF(INDEX(Tab_DaBa[],MATCH(CONCATENATE(Liste!$C$3,$B$1697,$B$1895),Data!$BO:$BO,0)-2,63)&lt;&gt;"","PFH [1/h] = "&amp;10^9*INDEX(Tab_DaBa[],MATCH(CONCATENATE(Liste!$C$3,$B$1697,$B$1895),Data!$BO:$BO,0)-2,16)&amp;"E-9",""),"")</f>
        <v/>
      </c>
    </row>
    <row r="1918" spans="2:9" s="16" customFormat="1"/>
    <row r="1919" spans="2:9" s="16" customFormat="1">
      <c r="B1919" s="43" t="str">
        <f ca="1">IF(D1919="","","Erforderlich")</f>
        <v>Erforderlich</v>
      </c>
      <c r="D1919" s="44" t="str">
        <f ca="1">IFERROR("Performance Level: "&amp;INDEX(Tab_DaBa[],MATCH(CONCATENATE(Liste!$C$3,$B$1697,$B$1895),Data!$BO:$BO,0)-2,4),"")</f>
        <v>Performance Level: PLr_ges4_8</v>
      </c>
    </row>
    <row r="1920" spans="2:9" s="16" customFormat="1">
      <c r="B1920" s="45"/>
    </row>
    <row r="1921" spans="2:9" s="16" customFormat="1">
      <c r="B1921" s="46" t="str">
        <f ca="1">IF(D1921="","","Erreicht")</f>
        <v>Erreicht</v>
      </c>
      <c r="D1921" s="47" t="str">
        <f ca="1">IFERROR("Performance Level: "&amp;INDEX(Tab_DaBa[],MATCH(CONCATENATE(Liste!$C$3,$B$1697,$B$1895),Data!$BO:$BO,0)-2,5)&amp;"          PFH [1/h] = "&amp;10^9*INDEX(Tab_DaBa[],MATCH(CONCATENATE(Liste!$C$3,$B$1697,$B$1895),Data!$BO:$BO,0)-2,6)&amp;"E-9","")</f>
        <v>Performance Level: Pl_ges4_8          PFH [1/h] = 71,7E-9</v>
      </c>
    </row>
    <row r="1922" spans="2:9" s="16" customFormat="1">
      <c r="B1922" s="50"/>
      <c r="C1922" s="49"/>
      <c r="D1922" s="49"/>
    </row>
    <row r="1923" spans="2:9" s="16" customFormat="1">
      <c r="B1923" s="42" t="str">
        <f ca="1">IFERROR(IF(9&gt;COUNTIF(Data!$BP:$BP,CONCATENATE(Liste!$C$3,$B$1697)),"",INDEX(Tab_DaBa[],MATCH(CONCATENATE(Liste!$C$3,$B$1697),Data!$BP:$BP,0)+6,3)),"")</f>
        <v>7.9 Test4 (E+9L+A)</v>
      </c>
    </row>
    <row r="1924" spans="2:9" s="16" customFormat="1"/>
    <row r="1925" spans="2:9" s="16" customFormat="1" ht="15.75">
      <c r="B1925" s="35" t="str">
        <f ca="1">IFERROR(INDEX(Tab_DaBa[],MATCH(CONCATENATE(Liste!$C$3,$B$1697,$B$1923),Data!$BO:$BO,0)-2,9),"")</f>
        <v>Eingang</v>
      </c>
      <c r="C1925" s="54"/>
      <c r="D1925" s="35" t="str">
        <f ca="1">IFERROR(IF(INDEX(Tab_DaBa[],MATCH(CONCATENATE(Liste!$C$3,$B$1697,$B$1923),Data!$BO:$BO,0)-2,18)=0,INDEX(Tab_DaBa[],MATCH(CONCATENATE(Liste!$C$3,$B$1697,$B$1923),Data!$BO:$BO,0)-2,14),INDEX(Tab_DaBa[],MATCH(CONCATENATE(Liste!$C$3,$B$1697,$B$1923),Data!$BO:$BO,0)-2,19)),"")</f>
        <v>Logik 01</v>
      </c>
      <c r="E1925" s="33"/>
      <c r="F1925" s="35" t="str">
        <f ca="1">IFERROR(IF(AND(INDEX(Tab_DaBa[],MATCH(CONCATENATE(Liste!$C$3,$B$1697,$B$1923),Data!$BO:$BO,0)-2,18)&lt;&gt;"",INDEX(Tab_DaBa[],MATCH(CONCATENATE(Liste!$C$3,$B$1697,$B$1923),Data!$BO:$BO,0)-2,23)=0),INDEX(Tab_DaBa[],MATCH(CONCATENATE(Liste!$C$3,$B$1697,$B$1923),Data!$BO:$BO,0)-2,14),IF(INDEX(Tab_DaBa[],MATCH(CONCATENATE(Liste!$C$3,$B$1697,$B$1923),Data!$BO:$BO,0)-2,23)&lt;&gt;"",INDEX(Tab_DaBa[],MATCH(CONCATENATE(Liste!$C$3,$B$1697,$B$1923),Data!$BO:$BO,0)-2,24),"")),"")</f>
        <v>Logik 02</v>
      </c>
      <c r="G1925" s="39"/>
      <c r="H1925" s="35" t="str">
        <f ca="1">IFERROR(IF(AND(INDEX(Tab_DaBa[],MATCH(CONCATENATE(Liste!$C$3,$B$1697,$B$1923),Data!$BO:$BO,0)-2,23)&lt;&gt;"",INDEX(Tab_DaBa[],MATCH(CONCATENATE(Liste!$C$3,$B$1697,$B$1923),Data!$BO:$BO,0)-2,28)=0),INDEX(Tab_DaBa[],MATCH(CONCATENATE(Liste!$C$3,$B$1697,$B$1923),Data!$BO:$BO,0)-2,14),IF(INDEX(Tab_DaBa[],MATCH(CONCATENATE(Liste!$C$3,$B$1697,$B$1923),Data!$BO:$BO,0)-2,23)&lt;&gt;"",INDEX(Tab_DaBa[],MATCH(CONCATENATE(Liste!$C$3,$B$1697,$B$1923),Data!$BO:$BO,0)-2,29),"")),"")</f>
        <v>Logik 03</v>
      </c>
      <c r="I1925" s="39"/>
    </row>
    <row r="1926" spans="2:9" s="16" customFormat="1" ht="15.75">
      <c r="B1926" s="35" t="str">
        <f ca="1">IFERROR(INDEX(Tab_DaBa[],MATCH(CONCATENATE(Liste!$C$3,$B$1697,$B$1923),Data!$BO:$BO,0)-2,7),"")</f>
        <v>eeee-33_9</v>
      </c>
      <c r="C1926" s="54"/>
      <c r="D1926" s="35" t="str">
        <f ca="1">IFERROR(IF(INDEX(Tab_DaBa[],MATCH(CONCATENATE(Liste!$C$3,$B$1697,$B$1923),Data!$BO:$BO,0)-2,18)="",INDEX(Tab_DaBa[],MATCH(CONCATENATE(Liste!$C$3,$B$1697,$B$1923),Data!$BO:$BO,0)-2,12),INDEX(Tab_DaBa[],MATCH(CONCATENATE(Liste!$C$3,$B$1697,$B$1923),Data!$BO:$BO,0)-2,17)),"")</f>
        <v>Log01-04_09</v>
      </c>
      <c r="E1926" s="36"/>
      <c r="F1926" s="35" t="str">
        <f ca="1">IFERROR(IF(AND(INDEX(Tab_DaBa[],MATCH(CONCATENATE(Liste!$C$3,$B$1697,$B$1923),Data!$BO:$BO,0)-2,18)&lt;&gt;"",INDEX(Tab_DaBa[],MATCH(CONCATENATE(Liste!$C$3,$B$1697,$B$1923),Data!$BO:$BO,0)-2,23)=0),INDEX(Tab_DaBa[],MATCH(CONCATENATE(Liste!$C$3,$B$1697,$B$1923),Data!$BO:$BO,0)-2,12),IF(INDEX(Tab_DaBa[],MATCH(CONCATENATE(Liste!$C$3,$B$1697,$B$1923),Data!$BO:$BO,0)-2,23)&lt;&gt;"",INDEX(Tab_DaBa[],MATCH(CONCATENATE(Liste!$C$3,$B$1697,$B$1923),Data!$BO:$BO,0)-2,22),"")),"")</f>
        <v>Lo04-04_09</v>
      </c>
      <c r="G1926" s="39"/>
      <c r="H1926" s="35" t="str">
        <f ca="1">IFERROR(IF(AND(INDEX(Tab_DaBa[],MATCH(CONCATENATE(Liste!$C$3,$B$1697,$B$1923),Data!$BO:$BO,0)-2,23)&lt;&gt;"",INDEX(Tab_DaBa[],MATCH(CONCATENATE(Liste!$C$3,$B$1697,$B$1923),Data!$BO:$BO,0)-2,28)=0),INDEX(Tab_DaBa[],MATCH(CONCATENATE(Liste!$C$3,$B$1697,$B$1923),Data!$BO:$BO,0)-2,12),IF(INDEX(Tab_DaBa[],MATCH(CONCATENATE(Liste!$C$3,$B$1697,$B$1923),Data!$BO:$BO,0)-2,23)&lt;&gt;"",INDEX(Tab_DaBa[],MATCH(CONCATENATE(Liste!$C$3,$B$1697,$B$1923),Data!$BO:$BO,0)-2,27),"")),"")</f>
        <v>Lo04-44_09</v>
      </c>
      <c r="I1926" s="39"/>
    </row>
    <row r="1927" spans="2:9" s="16" customFormat="1" ht="15.75">
      <c r="B1927" s="35" t="str">
        <f ca="1">IFERROR(INDEX(Tab_DaBa[],MATCH(CONCATENATE(Liste!$C$3,$B$1697,$B$1923),Data!$BO:$BO,0)-2,8),"")</f>
        <v>Bez_Ein4_9</v>
      </c>
      <c r="C1927" s="40">
        <f ca="1">IF(D1925="","",4)</f>
        <v>4</v>
      </c>
      <c r="D1927" s="35" t="str">
        <f ca="1">IFERROR(IF(INDEX(Tab_DaBa[],MATCH(CONCATENATE(Liste!$C$3,$B$1697,$B$1923),Data!$BO:$BO,0)-2,18)="",INDEX(Tab_DaBa[],MATCH(CONCATENATE(Liste!$C$3,$B$1697,$B$1923),Data!$BO:$BO,0)-2,13),INDEX(Tab_DaBa[],MATCH(CONCATENATE(Liste!$C$3,$B$1697,$B$1923),Data!$BO:$BO,0)-2,18)),"")</f>
        <v>Bez_Log01_04_09</v>
      </c>
      <c r="E1927" s="40">
        <f ca="1">IF(F1925="","",4)</f>
        <v>4</v>
      </c>
      <c r="F1927" s="35" t="str">
        <f ca="1">IFERROR(IF(AND(INDEX(Tab_DaBa[],MATCH(CONCATENATE(Liste!$C$3,$B$1697,$B$1923),Data!$BO:$BO,0)-2,18)&lt;&gt;"",INDEX(Tab_DaBa[],MATCH(CONCATENATE(Liste!$C$3,$B$1697,$B$1923),Data!$BO:$BO,0)-2,23)=""),INDEX(Tab_DaBa[],MATCH(CONCATENATE(Liste!$C$3,$B$1697,$B$1923),Data!$BO:$BO,0)-2,13),IF(INDEX(Tab_DaBa[],MATCH(CONCATENATE(Liste!$C$3,$B$1697,$B$1923),Data!$BO:$BO,0)-2,23)&lt;&gt;"",INDEX(Tab_DaBa[],MATCH(CONCATENATE(Liste!$C$3,$B$1697,$B$1923),Data!$BO:$BO,0)-2,23),"")),"")</f>
        <v>Bez_Lo04_09</v>
      </c>
      <c r="G1927" s="38">
        <f ca="1">IF(H1925="","",4)</f>
        <v>4</v>
      </c>
      <c r="H1927" s="35" t="str">
        <f ca="1">IFERROR(IF(AND(INDEX(Tab_DaBa[],MATCH(CONCATENATE(Liste!$C$3,$B$1697,$B$1923),Data!$BO:$BO,0)-2,23)&lt;&gt;"",INDEX(Tab_DaBa[],MATCH(CONCATENATE(Liste!$C$3,$B$1697,$B$1923),Data!$BO:$BO,0)-2,28)=""),INDEX(Tab_DaBa[],MATCH(CONCATENATE(Liste!$C$3,$B$1697,$B$1923),Data!$BO:$BO,0)-2,13),IF(INDEX(Tab_DaBa[],MATCH(CONCATENATE(Liste!$C$3,$B$1697,$B$1923),Data!$BO:$BO,0)-2,23)&lt;&gt;"",INDEX(Tab_DaBa[],MATCH(CONCATENATE(Liste!$C$3,$B$1697,$B$1923),Data!$BO:$BO,0)-2,28),"")),"")</f>
        <v>Bez_Lo04_09</v>
      </c>
      <c r="I1927" s="38">
        <f ca="1">IF(B1933="","",6)</f>
        <v>6</v>
      </c>
    </row>
    <row r="1928" spans="2:9" s="16" customFormat="1" ht="15.75">
      <c r="B1928" s="35" t="str">
        <f ca="1">IFERROR("Performance Level: "&amp;INDEX(Tab_DaBa[],MATCH(CONCATENATE(Liste!$C$3,$B$1697,$B$1923),Data!$BO:$BO,0)-2,10),"")</f>
        <v>Performance Level: PL_Ein4_9</v>
      </c>
      <c r="C1928" s="54"/>
      <c r="D1928" s="35" t="str">
        <f ca="1">IFERROR(IF(INDEX(Tab_DaBa[],MATCH(CONCATENATE(Liste!$C$3,$B$1697,$B$1923),Data!$BO:$BO,0)-2,18)="","Performance Level: "&amp;INDEX(Tab_DaBa[],MATCH(CONCATENATE(Liste!$C$3,$B$1697,$B$1923),Data!$BO:$BO,0)-2,15),"Performance Level: "&amp;INDEX(Tab_DaBa[],MATCH(CONCATENATE(Liste!$C$3,$B$1697,$B$1923),Data!$BO:$BO,0)-2,20)),"")</f>
        <v>Performance Level: PL_Log01_04_09</v>
      </c>
      <c r="E1928" s="36"/>
      <c r="F1928" s="35" t="str">
        <f ca="1">IFERROR(IF(AND(INDEX(Tab_DaBa[],MATCH(CONCATENATE(Liste!$C$3,$B$1697,$B$1923),Data!$BO:$BO,0)-2,18)&lt;&gt;"",INDEX(Tab_DaBa[],MATCH(CONCATENATE(Liste!$C$3,$B$1697,$B$1923),Data!$BO:$BO,0)-2,23)=""),"Performance Level: "&amp;INDEX(Tab_DaBa[],MATCH(CONCATENATE(Liste!$C$3,$B$1697,$B$1923),Data!$BO:$BO,0)-2,15),IF(INDEX(Tab_DaBa[],MATCH(CONCATENATE(Liste!$C$3,$B$1697,$B$1923),Data!$BO:$BO,0)-2,23)&lt;&gt;"","Performance Level: "&amp;INDEX(Tab_DaBa[],MATCH(CONCATENATE(Liste!$C$3,$B$1697,$B$1923),Data!$BO:$BO,0)-2,25),"")),"")</f>
        <v>Performance Level: PL_Lo04_09</v>
      </c>
      <c r="G1928" s="39"/>
      <c r="H1928" s="35" t="str">
        <f ca="1">IFERROR(IF(AND(INDEX(Tab_DaBa[],MATCH(CONCATENATE(Liste!$C$3,$B$1697,$B$1923),Data!$BO:$BO,0)-2,23)&lt;&gt;"",INDEX(Tab_DaBa[],MATCH(CONCATENATE(Liste!$C$3,$B$1697,$B$1923),Data!$BO:$BO,0)-2,28)=""),"Performance Level: "&amp;INDEX(Tab_DaBa[],MATCH(CONCATENATE(Liste!$C$3,$B$1697,$B$1923),Data!$BO:$BO,0)-2,15),IF(INDEX(Tab_DaBa[],MATCH(CONCATENATE(Liste!$C$3,$B$1697,$B$1923),Data!$BO:$BO,0)-2,23)&lt;&gt;"","Performance Level: "&amp;INDEX(Tab_DaBa[],MATCH(CONCATENATE(Liste!$C$3,$B$1697,$B$1923),Data!$BO:$BO,0)-2,30),"")),"")</f>
        <v>Performance Level: PL_Lo04_09</v>
      </c>
      <c r="I1928" s="38"/>
    </row>
    <row r="1929" spans="2:9" s="16" customFormat="1" ht="15.75">
      <c r="B1929" s="53" t="str">
        <f ca="1">IFERROR("PFH [1/h] = "&amp;10^9*INDEX(Tab_DaBa[],MATCH(CONCATENATE(Liste!$C$3,$B$1697,$B$1923),Data!$BO:$BO,0)-2,11)&amp;"E-9","")</f>
        <v>PFH [1/h] = 42,9E-9</v>
      </c>
      <c r="C1929" s="54"/>
      <c r="D1929" s="35" t="str">
        <f ca="1">IFERROR(IF(INDEX(Tab_DaBa[],MATCH(CONCATENATE(Liste!$C$3,$B$1697,$B$1923),Data!$BO:$BO,0)-2,18)="","PFH [1/h] = "&amp;10^9*INDEX(Tab_DaBa[],MATCH(CONCATENATE(Liste!$C$3,$B$1697,$B$1923),Data!$BO:$BO,0)-2,16)&amp;"E-9","PFH [1/h] = "&amp;10^9*INDEX(Tab_DaBa[],MATCH(CONCATENATE(Liste!$C$3,$B$1697,$B$1923),Data!$BO:$BO,0)-2,21)&amp;"E-9"),"")</f>
        <v>PFH [1/h] = 4,19E-9</v>
      </c>
      <c r="E1929" s="36"/>
      <c r="F1929" s="35" t="str">
        <f ca="1">IFERROR(IF(AND(INDEX(Tab_DaBa[],MATCH(CONCATENATE(Liste!$C$3,$B$1697,$B$1923),Data!$BO:$BO,0)-2,18)&lt;&gt;"",INDEX(Tab_DaBa[],MATCH(CONCATENATE(Liste!$C$3,$B$1697,$B$1923),Data!$BO:$BO,0)-2,23)=""),"PFH [1/h] = "&amp;10^9*INDEX(Tab_DaBa[],MATCH(CONCATENATE(Liste!$C$3,$B$1697,$B$1923),Data!$BO:$BO,0)-2,16)&amp;"E-9",IF(INDEX(Tab_DaBa[],MATCH(CONCATENATE(Liste!$C$3,$B$1697,$B$1923),Data!$BO:$BO,0)-2,23)&lt;&gt;"","PFH [1/h] = "&amp;10^9*INDEX(Tab_DaBa[],MATCH(CONCATENATE(Liste!$C$3,$B$1697,$B$1923),Data!$BO:$BO,0)-2,26)&amp;"E-9","")),"")</f>
        <v>PFH [1/h] = 4,19E-9</v>
      </c>
      <c r="G1929" s="39"/>
      <c r="H1929" s="35" t="str">
        <f ca="1">IFERROR(IF(AND(INDEX(Tab_DaBa[],MATCH(CONCATENATE(Liste!$C$3,$B$1697,$B$1923),Data!$BO:$BO,0)-2,23)&lt;&gt;"",INDEX(Tab_DaBa[],MATCH(CONCATENATE(Liste!$C$3,$B$1697,$B$1923),Data!$BO:$BO,0)-2,28)=""),"PFH [1/h] = "&amp;10^9*INDEX(Tab_DaBa[],MATCH(CONCATENATE(Liste!$C$3,$B$1697,$B$1923),Data!$BO:$BO,0)-2,16)&amp;"E-9",IF(INDEX(Tab_DaBa[],MATCH(CONCATENATE(Liste!$C$3,$B$1697,$B$1923),Data!$BO:$BO,0)-2,23)&lt;&gt;"","PFH [1/h] = "&amp;10^9*INDEX(Tab_DaBa[],MATCH(CONCATENATE(Liste!$C$3,$B$1697,$B$1923),Data!$BO:$BO,0)-2,31)&amp;"E-9","")),"")</f>
        <v>PFH [1/h] = 4,19E-9</v>
      </c>
      <c r="I1929" s="39"/>
    </row>
    <row r="1930" spans="2:9" s="16" customFormat="1">
      <c r="B1930" s="33"/>
      <c r="C1930" s="34"/>
      <c r="D1930" s="33"/>
      <c r="E1930" s="33"/>
      <c r="F1930" s="33"/>
      <c r="G1930" s="33"/>
      <c r="H1930" s="33"/>
      <c r="I1930" s="33"/>
    </row>
    <row r="1931" spans="2:9" s="16" customFormat="1" ht="15.75">
      <c r="B1931" s="38">
        <f ca="1">IF(B1933="","",6)</f>
        <v>6</v>
      </c>
      <c r="C1931" s="34"/>
      <c r="D1931" s="38">
        <f ca="1">IF(B1933="","",3)</f>
        <v>3</v>
      </c>
      <c r="E1931" s="33"/>
      <c r="F1931" s="38">
        <f ca="1">IF(B1933="","",3)</f>
        <v>3</v>
      </c>
      <c r="G1931" s="33"/>
      <c r="H1931" s="38">
        <f ca="1">IF(B1933="","",3)</f>
        <v>3</v>
      </c>
      <c r="I1931" s="33"/>
    </row>
    <row r="1932" spans="2:9" s="16" customFormat="1" ht="15.75">
      <c r="B1932" s="39"/>
      <c r="C1932" s="33"/>
      <c r="D1932" s="33"/>
      <c r="E1932" s="33"/>
      <c r="F1932" s="33"/>
      <c r="G1932" s="33"/>
      <c r="H1932" s="33"/>
      <c r="I1932" s="33"/>
    </row>
    <row r="1933" spans="2:9" s="16" customFormat="1" ht="15.75">
      <c r="B1933" s="35" t="str">
        <f ca="1">IFERROR(IF(AND(INDEX(Tab_DaBa[],MATCH(CONCATENATE(Liste!$C$3,$B$1697,$B$1923),Data!$BO:$BO,0)-2,28)&lt;&gt;"",INDEX(Tab_DaBa[],MATCH(CONCATENATE(Liste!$C$3,$B$1697,$B$1923),Data!$BO:$BO,0)-2,33)=0),INDEX(Tab_DaBa[],MATCH(CONCATENATE(Liste!$C$3,$B$1697,$B$1923),Data!$BO:$BO,0)-2,14),IF(INDEX(Tab_DaBa[],MATCH(CONCATENATE(Liste!$C$3,$B$1697,$B$1923),Data!$BO:$BO,0)-2,28)&lt;&gt;"",INDEX(Tab_DaBa[],MATCH(CONCATENATE(Liste!$C$3,$B$1697,$B$1923),Data!$BO:$BO,0)-2,34),"")),"")</f>
        <v>Logik 04</v>
      </c>
      <c r="C1933" s="39"/>
      <c r="D1933" s="35" t="str">
        <f ca="1">IFERROR(IF(AND(INDEX(Tab_DaBa[],MATCH(CONCATENATE(Liste!$C$3,$B$1697,$B$1923),Data!$BO:$BO,0)-2,33)&lt;&gt;"",INDEX(Tab_DaBa[],MATCH(CONCATENATE(Liste!$C$3,$B$1697,$B$1923),Data!$BO:$BO,0)-2,38)=0),INDEX(Tab_DaBa[],MATCH(CONCATENATE(Liste!$C$3,$B$1697,$B$1923),Data!$BO:$BO,0)-2,14),IF(INDEX(Tab_DaBa[],MATCH(CONCATENATE(Liste!$C$3,$B$1697,$B$1923),Data!$BO:$BO,0)-2,33)&lt;&gt;"",INDEX(Tab_DaBa[],MATCH(CONCATENATE(Liste!$C$3,$B$1697,$B$1923),Data!$BO:$BO,0)-2,39),"")),"")</f>
        <v>Logik 07</v>
      </c>
      <c r="E1933" s="33"/>
      <c r="F1933" s="35" t="str">
        <f ca="1">IFERROR(IF(AND(INDEX(Tab_DaBa[],MATCH(CONCATENATE(Liste!$C$3,$B$1697,$B$1923),Data!$BO:$BO,0)-2,38)&lt;&gt;"",INDEX(Tab_DaBa[],MATCH(CONCATENATE(Liste!$C$3,$B$1697,$B$1923),Data!$BO:$BO,0)-2,43)=0),INDEX(Tab_DaBa[],MATCH(CONCATENATE(Liste!$C$3,$B$1697,$B$1923),Data!$BO:$BO,0)-2,14),IF(INDEX(Tab_DaBa[],MATCH(CONCATENATE(Liste!$C$3,$B$1697,$B$1923),Data!$BO:$BO,0)-2,38)&lt;&gt;"",INDEX(Tab_DaBa[],MATCH(CONCATENATE(Liste!$C$3,$B$1697,$B$1923),Data!$BO:$BO,0)-2,44),"")),"")</f>
        <v>Logik 06</v>
      </c>
      <c r="G1933" s="39"/>
      <c r="H1933" s="35" t="str">
        <f ca="1">IFERROR(IF(AND(INDEX(Tab_DaBa[],MATCH(CONCATENATE(Liste!$C$3,$B$1697,$B$1923),Data!$BO:$BO,0)-2,43)&lt;&gt;"",INDEX(Tab_DaBa[],MATCH(CONCATENATE(Liste!$C$3,$B$1697,$B$1923),Data!$BO:$BO,0)-2,48)=0),INDEX(Tab_DaBa[],MATCH(CONCATENATE(Liste!$C$3,$B$1697,$B$1923),Data!$BO:$BO,0)-2,14),IF(INDEX(Tab_DaBa[],MATCH(CONCATENATE(Liste!$C$3,$B$1697,$B$1923),Data!$BO:$BO,0)-2,43)&lt;&gt;"",INDEX(Tab_DaBa[],MATCH(CONCATENATE(Liste!$C$3,$B$1697,$B$1923),Data!$BO:$BO,0)-2,49),"")),"")</f>
        <v>Logik 07</v>
      </c>
      <c r="I1933" s="39"/>
    </row>
    <row r="1934" spans="2:9" s="16" customFormat="1" ht="15.75">
      <c r="B1934" s="35" t="str">
        <f ca="1">IFERROR(IF(AND(INDEX(Tab_DaBa[],MATCH(CONCATENATE(Liste!$C$3,$B$1697,$B$1923),Data!$BO:$BO,0)-2,28)&lt;&gt;"",INDEX(Tab_DaBa[],MATCH(CONCATENATE(Liste!$C$3,$B$1697,$B$1923),Data!$BO:$BO,0)-2,33)=0),INDEX(Tab_DaBa[],MATCH(CONCATENATE(Liste!$C$3,$B$1697,$B$1923),Data!$BO:$BO,0)-2,12),IF(INDEX(Tab_DaBa[],MATCH(CONCATENATE(Liste!$C$3,$B$1697,$B$1923),Data!$BO:$BO,0)-2,28)&lt;&gt;"",INDEX(Tab_DaBa[],MATCH(CONCATENATE(Liste!$C$3,$B$1697,$B$1923),Data!$BO:$BO,0)-2,32),"")),"")</f>
        <v>Lo04-44_09</v>
      </c>
      <c r="C1934" s="39"/>
      <c r="D1934" s="35" t="str">
        <f ca="1">IFERROR(IF(AND(INDEX(Tab_DaBa[],MATCH(CONCATENATE(Liste!$C$3,$B$1697,$B$1923),Data!$BO:$BO,0)-2,33)&lt;&gt;"",INDEX(Tab_DaBa[],MATCH(CONCATENATE(Liste!$C$3,$B$1697,$B$1923),Data!$BO:$BO,0)-2,38)=0),INDEX(Tab_DaBa[],MATCH(CONCATENATE(Liste!$C$3,$B$1697,$B$1923),Data!$BO:$BO,0)-2,12),IF(INDEX(Tab_DaBa[],MATCH(CONCATENATE(Liste!$C$3,$B$1697,$B$1923),Data!$BO:$BO,0)-2,33)&lt;&gt;"",INDEX(Tab_DaBa[],MATCH(CONCATENATE(Liste!$C$3,$B$1697,$B$1923),Data!$BO:$BO,0)-2,37),"")),"")</f>
        <v>Lo04-44_09</v>
      </c>
      <c r="E1934" s="37"/>
      <c r="F1934" s="35" t="str">
        <f ca="1">IFERROR(IF(AND(INDEX(Tab_DaBa[],MATCH(CONCATENATE(Liste!$C$3,$B$1697,$B$1923),Data!$BO:$BO,0)-2,38)&lt;&gt;"",INDEX(Tab_DaBa[],MATCH(CONCATENATE(Liste!$C$3,$B$1697,$B$1923),Data!$BO:$BO,0)-2,43)=0),INDEX(Tab_DaBa[],MATCH(CONCATENATE(Liste!$C$3,$B$1697,$B$1923),Data!$BO:$BO,0)-2,12),IF(INDEX(Tab_DaBa[],MATCH(CONCATENATE(Liste!$C$3,$B$1697,$B$1923),Data!$BO:$BO,0)-2,38)&lt;&gt;"",INDEX(Tab_DaBa[],MATCH(CONCATENATE(Liste!$C$3,$B$1697,$B$1923),Data!$BO:$BO,0)-2,42),"")),"")</f>
        <v>Lo03-33_09</v>
      </c>
      <c r="G1934" s="39"/>
      <c r="H1934" s="35" t="str">
        <f ca="1">IFERROR(IF(AND(INDEX(Tab_DaBa[],MATCH(CONCATENATE(Liste!$C$3,$B$1697,$B$1923),Data!$BO:$BO,0)-2,43)&lt;&gt;"",INDEX(Tab_DaBa[],MATCH(CONCATENATE(Liste!$C$3,$B$1697,$B$1923),Data!$BO:$BO,0)-2,48)=0),INDEX(Tab_DaBa[],MATCH(CONCATENATE(Liste!$C$3,$B$1697,$B$1923),Data!$BO:$BO,0)-2,12),IF(INDEX(Tab_DaBa[],MATCH(CONCATENATE(Liste!$C$3,$B$1697,$B$1923),Data!$BO:$BO,0)-2,43)&lt;&gt;"",INDEX(Tab_DaBa[],MATCH(CONCATENATE(Liste!$C$3,$B$1697,$B$1923),Data!$BO:$BO,0)-2,47),"")),"")</f>
        <v>Lo03-33_09</v>
      </c>
      <c r="I1934" s="39"/>
    </row>
    <row r="1935" spans="2:9" s="16" customFormat="1" ht="15.75">
      <c r="B1935" s="35" t="str">
        <f ca="1">IFERROR(IF(AND(INDEX(Tab_DaBa[],MATCH(CONCATENATE(Liste!$C$3,$B$1697,$B$1923),Data!$BO:$BO,0)-2,28)&lt;&gt;"",INDEX(Tab_DaBa[],MATCH(CONCATENATE(Liste!$C$3,$B$1697,$B$1923),Data!$BO:$BO,0)-2,33)=""),INDEX(Tab_DaBa[],MATCH(CONCATENATE(Liste!$C$3,$B$1697,$B$1923),Data!$BO:$BO,0)-2,13),IF(INDEX(Tab_DaBa[],MATCH(CONCATENATE(Liste!$C$3,$B$1697,$B$1923),Data!$BO:$BO,0)-2,28)&lt;&gt;"",INDEX(Tab_DaBa[],MATCH(CONCATENATE(Liste!$C$3,$B$1697,$B$1923),Data!$BO:$BO,0)-2,33),"")),"")</f>
        <v>Bez_Lo04_09</v>
      </c>
      <c r="C1935" s="38">
        <f ca="1">IF(D1933="","",4)</f>
        <v>4</v>
      </c>
      <c r="D1935" s="35" t="str">
        <f ca="1">IFERROR(IF(AND(INDEX(Tab_DaBa[],MATCH(CONCATENATE(Liste!$C$3,$B$1697,$B$1923),Data!$BO:$BO,0)-2,33)&lt;&gt;"",INDEX(Tab_DaBa[],MATCH(CONCATENATE(Liste!$C$3,$B$1697,$B$1923),Data!$BO:$BO,0)-2,38)=""),INDEX(Tab_DaBa[],MATCH(CONCATENATE(Liste!$C$3,$B$1697,$B$1923),Data!$BO:$BO,0)-2,13),IF(INDEX(Tab_DaBa[],MATCH(CONCATENATE(Liste!$C$3,$B$1697,$B$1923),Data!$BO:$BO,0)-2,33)&lt;&gt;"",INDEX(Tab_DaBa[],MATCH(CONCATENATE(Liste!$C$3,$B$1697,$B$1923),Data!$BO:$BO,0)-2,38),"")),"")</f>
        <v>Bez_Lo03_09</v>
      </c>
      <c r="E1935" s="38">
        <f ca="1">IF(F1933="","",4)</f>
        <v>4</v>
      </c>
      <c r="F1935" s="35" t="str">
        <f ca="1">IFERROR(IF(AND(INDEX(Tab_DaBa[],MATCH(CONCATENATE(Liste!$C$3,$B$1697,$B$1923),Data!$BO:$BO,0)-2,38)&lt;&gt;"",INDEX(Tab_DaBa[],MATCH(CONCATENATE(Liste!$C$3,$B$1697,$B$1923),Data!$BO:$BO,0)-2,43)=""),INDEX(Tab_DaBa[],MATCH(CONCATENATE(Liste!$C$3,$B$1697,$B$1923),Data!$BO:$BO,0)-2,13),IF(INDEX(Tab_DaBa[],MATCH(CONCATENATE(Liste!$C$3,$B$1697,$B$1923),Data!$BO:$BO,0)-2,38)&lt;&gt;"",INDEX(Tab_DaBa[],MATCH(CONCATENATE(Liste!$C$3,$B$1697,$B$1923),Data!$BO:$BO,0)-2,43),"")),"")</f>
        <v>Bez_Lo03_09</v>
      </c>
      <c r="G1935" s="38">
        <f ca="1">IF(H1933="","",4)</f>
        <v>4</v>
      </c>
      <c r="H1935" s="35" t="str">
        <f ca="1">IFERROR(IF(AND(INDEX(Tab_DaBa[],MATCH(CONCATENATE(Liste!$C$3,$B$1697,$B$1923),Data!$BO:$BO,0)-2,43)&lt;&gt;"",INDEX(Tab_DaBa[],MATCH(CONCATENATE(Liste!$C$3,$B$1697,$B$1923),Data!$BO:$BO,0)-2,48)=""),INDEX(Tab_DaBa[],MATCH(CONCATENATE(Liste!$C$3,$B$1697,$B$1923),Data!$BO:$BO,0)-2,13),IF(INDEX(Tab_DaBa[],MATCH(CONCATENATE(Liste!$C$3,$B$1697,$B$1923),Data!$BO:$BO,0)-2,43)&lt;&gt;"",INDEX(Tab_DaBa[],MATCH(CONCATENATE(Liste!$C$3,$B$1697,$B$1923),Data!$BO:$BO,0)-2,48),"")),"")</f>
        <v>Bez_Lo03_09</v>
      </c>
      <c r="I1935" s="38">
        <f ca="1">IF(B1941="","",6)</f>
        <v>6</v>
      </c>
    </row>
    <row r="1936" spans="2:9" s="16" customFormat="1" ht="15.75">
      <c r="B1936" s="35" t="str">
        <f ca="1">IFERROR(IF(AND(INDEX(Tab_DaBa[],MATCH(CONCATENATE(Liste!$C$3,$B$1697,$B$1923),Data!$BO:$BO,0)-2,28)&lt;&gt;"",INDEX(Tab_DaBa[],MATCH(CONCATENATE(Liste!$C$3,$B$1697,$B$1923),Data!$BO:$BO,0)-2,33)=""),"Performance Level: "&amp;INDEX(Tab_DaBa[],MATCH(CONCATENATE(Liste!$C$3,$B$1697,$B$1923),Data!$BO:$BO,0)-2,15),IF(INDEX(Tab_DaBa[],MATCH(CONCATENATE(Liste!$C$3,$B$1697,$B$1923),Data!$BO:$BO,0)-2,28)&lt;&gt;"","Performance Level: "&amp;INDEX(Tab_DaBa[],MATCH(CONCATENATE(Liste!$C$3,$B$1697,$B$1923),Data!$BO:$BO,0)-2,35),"")),"")</f>
        <v>Performance Level: PL_Lo04_09</v>
      </c>
      <c r="C1936" s="39"/>
      <c r="D1936" s="35" t="str">
        <f ca="1">IFERROR(IF(AND(INDEX(Tab_DaBa[],MATCH(CONCATENATE(Liste!$C$3,$B$1697,$B$1923),Data!$BO:$BO,0)-2,33)&lt;&gt;"",INDEX(Tab_DaBa[],MATCH(CONCATENATE(Liste!$C$3,$B$1697,$B$1923),Data!$BO:$BO,0)-2,38)=""),"Performance Level: "&amp;INDEX(Tab_DaBa[],MATCH(CONCATENATE(Liste!$C$3,$B$1697,$B$1923),Data!$BO:$BO,0)-2,15),IF(INDEX(Tab_DaBa[],MATCH(CONCATENATE(Liste!$C$3,$B$1697,$B$1923),Data!$BO:$BO,0)-2,33)&lt;&gt;"","Performance Level: "&amp;INDEX(Tab_DaBa[],MATCH(CONCATENATE(Liste!$C$3,$B$1697,$B$1923),Data!$BO:$BO,0)-2,40),"")),"")</f>
        <v>Performance Level: PL_Lo03_9</v>
      </c>
      <c r="E1936" s="37"/>
      <c r="F1936" s="35" t="str">
        <f ca="1">IFERROR(IF(AND(INDEX(Tab_DaBa[],MATCH(CONCATENATE(Liste!$C$3,$B$1697,$B$1923),Data!$BO:$BO,0)-2,38)&lt;&gt;"",INDEX(Tab_DaBa[],MATCH(CONCATENATE(Liste!$C$3,$B$1697,$B$1923),Data!$BO:$BO,0)-2,43)=""),"Performance Level: "&amp;INDEX(Tab_DaBa[],MATCH(CONCATENATE(Liste!$C$3,$B$1697,$B$1923),Data!$BO:$BO,0)-2,15),IF(INDEX(Tab_DaBa[],MATCH(CONCATENATE(Liste!$C$3,$B$1697,$B$1923),Data!$BO:$BO,0)-2,38)&lt;&gt;"","Performance Level: "&amp;INDEX(Tab_DaBa[],MATCH(CONCATENATE(Liste!$C$3,$B$1697,$B$1923),Data!$BO:$BO,0)-2,45),"")),"")</f>
        <v>Performance Level: PL_Lo03_09</v>
      </c>
      <c r="G1936" s="39"/>
      <c r="H1936" s="35" t="str">
        <f ca="1">IFERROR(IF(AND(INDEX(Tab_DaBa[],MATCH(CONCATENATE(Liste!$C$3,$B$1697,$B$1923),Data!$BO:$BO,0)-2,43)&lt;&gt;"",INDEX(Tab_DaBa[],MATCH(CONCATENATE(Liste!$C$3,$B$1697,$B$1923),Data!$BO:$BO,0)-2,48)=""),"Performance Level: "&amp;INDEX(Tab_DaBa[],MATCH(CONCATENATE(Liste!$C$3,$B$1697,$B$1923),Data!$BO:$BO,0)-2,15),IF(INDEX(Tab_DaBa[],MATCH(CONCATENATE(Liste!$C$3,$B$1697,$B$1923),Data!$BO:$BO,0)-2,43)&lt;&gt;"","Performance Level: "&amp;INDEX(Tab_DaBa[],MATCH(CONCATENATE(Liste!$C$3,$B$1697,$B$1923),Data!$BO:$BO,0)-2,50),"")),"")</f>
        <v>Performance Level: PL_Lo03_09</v>
      </c>
      <c r="I1936" s="39"/>
    </row>
    <row r="1937" spans="2:9" s="16" customFormat="1" ht="15.75">
      <c r="B1937" s="35" t="str">
        <f ca="1">IFERROR(IF(AND(INDEX(Tab_DaBa[],MATCH(CONCATENATE(Liste!$C$3,$B$1697,$B$1923),Data!$BO:$BO,0)-2,28)&lt;&gt;"",INDEX(Tab_DaBa[],MATCH(CONCATENATE(Liste!$C$3,$B$1697,$B$1923),Data!$BO:$BO,0)-2,33)=""),"PFH [1/h] = "&amp;10^9*INDEX(Tab_DaBa[],MATCH(CONCATENATE(Liste!$C$3,$B$1697,$B$1923),Data!$BO:$BO,0)-2,16)&amp;"E-9",IF(INDEX(Tab_DaBa[],MATCH(CONCATENATE(Liste!$C$3,$B$1697,$B$1923),Data!$BO:$BO,0)-2,28)&lt;&gt;"","PFH [1/h] = "&amp;10^9*INDEX(Tab_DaBa[],MATCH(CONCATENATE(Liste!$C$3,$B$1697,$B$1923),Data!$BO:$BO,0)-2,36)&amp;"E-9","")),"")</f>
        <v>PFH [1/h] = 4,19E-9</v>
      </c>
      <c r="C1937" s="39"/>
      <c r="D1937" s="35" t="str">
        <f ca="1">IFERROR(IF(AND(INDEX(Tab_DaBa[],MATCH(CONCATENATE(Liste!$C$3,$B$1697,$B$1923),Data!$BO:$BO,0)-2,33)&lt;&gt;"",INDEX(Tab_DaBa[],MATCH(CONCATENATE(Liste!$C$3,$B$1697,$B$1923),Data!$BO:$BO,0)-2,38)=""),"PFH [1/h] = "&amp;10^9*INDEX(Tab_DaBa[],MATCH(CONCATENATE(Liste!$C$3,$B$1697,$B$1923),Data!$BO:$BO,0)-2,16)&amp;"E-9",IF(INDEX(Tab_DaBa[],MATCH(CONCATENATE(Liste!$C$3,$B$1697,$B$1923),Data!$BO:$BO,0)-2,33)&lt;&gt;"","PFH [1/h] = "&amp;10^9*INDEX(Tab_DaBa[],MATCH(CONCATENATE(Liste!$C$3,$B$1697,$B$1923),Data!$BO:$BO,0)-2,41)&amp;"E-9","")),"")</f>
        <v>PFH [1/h] = 4,19E-9</v>
      </c>
      <c r="E1937" s="37"/>
      <c r="F1937" s="35" t="str">
        <f ca="1">IFERROR(IF(AND(INDEX(Tab_DaBa[],MATCH(CONCATENATE(Liste!$C$3,$B$1697,$B$1923),Data!$BO:$BO,0)-2,38)&lt;&gt;"",INDEX(Tab_DaBa[],MATCH(CONCATENATE(Liste!$C$3,$B$1697,$B$1923),Data!$BO:$BO,0)-2,43)=""),"PFH [1/h] = "&amp;10^9*INDEX(Tab_DaBa[],MATCH(CONCATENATE(Liste!$C$3,$B$1697,$B$1923),Data!$BO:$BO,0)-2,16)&amp;"E-9",IF(INDEX(Tab_DaBa[],MATCH(CONCATENATE(Liste!$C$3,$B$1697,$B$1923),Data!$BO:$BO,0)-2,38)&lt;&gt;"","PFH [1/h] = "&amp;10^9*INDEX(Tab_DaBa[],MATCH(CONCATENATE(Liste!$C$3,$B$1697,$B$1923),Data!$BO:$BO,0)-2,46)&amp;"E-9","")),"")</f>
        <v>PFH [1/h] = 4,19E-9</v>
      </c>
      <c r="G1937" s="39"/>
      <c r="H1937" s="35" t="str">
        <f ca="1">IFERROR(IF(AND(INDEX(Tab_DaBa[],MATCH(CONCATENATE(Liste!$C$3,$B$1697,$B$1923),Data!$BO:$BO,0)-2,43)&lt;&gt;"",INDEX(Tab_DaBa[],MATCH(CONCATENATE(Liste!$C$3,$B$1697,$B$1923),Data!$BO:$BO,0)-2,48)=""),"PFH [1/h] = "&amp;10^9*INDEX(Tab_DaBa[],MATCH(CONCATENATE(Liste!$C$3,$B$1697,$B$1923),Data!$BO:$BO,0)-2,16)&amp;"E-9",IF(INDEX(Tab_DaBa[],MATCH(CONCATENATE(Liste!$C$3,$B$1697,$B$1923),Data!$BO:$BO,0)-2,43)&lt;&gt;"","PFH [1/h] = "&amp;10^9*INDEX(Tab_DaBa[],MATCH(CONCATENATE(Liste!$C$3,$B$1697,$B$1923),Data!$BO:$BO,0)-2,51)&amp;"E-9","")),"")</f>
        <v>PFH [1/h] = 4,19E-9</v>
      </c>
      <c r="I1937" s="39"/>
    </row>
    <row r="1938" spans="2:9" s="16" customFormat="1">
      <c r="B1938" s="33"/>
      <c r="C1938" s="33"/>
      <c r="D1938" s="33"/>
      <c r="E1938" s="33"/>
      <c r="F1938" s="33"/>
      <c r="G1938" s="33"/>
      <c r="H1938" s="33"/>
      <c r="I1938" s="33"/>
    </row>
    <row r="1939" spans="2:9" s="16" customFormat="1" ht="15.75">
      <c r="B1939" s="38">
        <f ca="1">IF(B1941="","",6)</f>
        <v>6</v>
      </c>
      <c r="C1939" s="33"/>
      <c r="D1939" s="38">
        <f ca="1">IF(B1941="","",3)</f>
        <v>3</v>
      </c>
      <c r="E1939" s="33"/>
      <c r="F1939" s="38">
        <f ca="1">IF(B1941="","",3)</f>
        <v>3</v>
      </c>
      <c r="G1939" s="33"/>
      <c r="H1939" s="38">
        <f ca="1">IF(B1941="","",3)</f>
        <v>3</v>
      </c>
      <c r="I1939" s="33"/>
    </row>
    <row r="1940" spans="2:9" s="16" customFormat="1" ht="15.75">
      <c r="B1940" s="39"/>
      <c r="C1940" s="33"/>
      <c r="D1940" s="33"/>
      <c r="E1940" s="33"/>
      <c r="F1940" s="33"/>
      <c r="G1940" s="33"/>
      <c r="H1940" s="33"/>
      <c r="I1940" s="33"/>
    </row>
    <row r="1941" spans="2:9" s="16" customFormat="1" ht="15.75">
      <c r="B1941" s="35" t="str">
        <f ca="1">IFERROR(IF(AND(INDEX(Tab_DaBa[],MATCH(CONCATENATE(Liste!$C$3,$B$1697,$B$1923),Data!$BO:$BO,0)-2,48)&lt;&gt;"",INDEX(Tab_DaBa[],MATCH(CONCATENATE(Liste!$C$3,$B$1697,$B$1923),Data!$BO:$BO,0)-2,53)=0),INDEX(Tab_DaBa[],MATCH(CONCATENATE(Liste!$C$3,$B$1697,$B$1923),Data!$BO:$BO,0)-2,14),IF(INDEX(Tab_DaBa[],MATCH(CONCATENATE(Liste!$C$3,$B$1697,$B$1923),Data!$BO:$BO,0)-2,48)&lt;&gt;"",INDEX(Tab_DaBa[],MATCH(CONCATENATE(Liste!$C$3,$B$1697,$B$1923),Data!$BO:$BO,0)-2,54),"")),"")</f>
        <v>Logik 08</v>
      </c>
      <c r="C1941" s="39"/>
      <c r="D1941" s="35" t="str">
        <f ca="1">IFERROR(IF(AND(INDEX(Tab_DaBa[],MATCH(CONCATENATE(Liste!$C$3,$B$1697,$B$1923),Data!$BO:$BO,0)-2,53)&lt;&gt;"",INDEX(Tab_DaBa[],MATCH(CONCATENATE(Liste!$C$3,$B$1697,$B$1923),Data!$BO:$BO,0)-2,58)=0),INDEX(Tab_DaBa[],MATCH(CONCATENATE(Liste!$C$3,$B$1697,$B$1923),Data!$BO:$BO,0)-2,14),IF(INDEX(Tab_DaBa[],MATCH(CONCATENATE(Liste!$C$3,$B$1697,$B$1923),Data!$BO:$BO,0)-2,53)&lt;&gt;"",INDEX(Tab_DaBa[],MATCH(CONCATENATE(Liste!$C$3,$B$1697,$B$1923),Data!$BO:$BO,0)-2,59),"")),"")</f>
        <v>Logik 09</v>
      </c>
      <c r="E1941" s="33"/>
      <c r="F1941" s="35" t="str">
        <f ca="1">IFERROR(IF(AND(INDEX(Tab_DaBa[],MATCH(CONCATENATE(Liste!$C$3,$B$1697,$B$1923),Data!$BO:$BO,0)-2,58)&lt;&gt;"",INDEX(Tab_DaBa[],MATCH(CONCATENATE(Liste!$C$3,$B$1697,$B$1923),Data!$BO:$BO,0)-2,63)=0),INDEX(Tab_DaBa[],MATCH(CONCATENATE(Liste!$C$3,$B$1697,$B$1923),Data!$BO:$BO,0)-2,14),IF(INDEX(Tab_DaBa[],MATCH(CONCATENATE(Liste!$C$3,$B$1697,$B$1923),Data!$BO:$BO,0)-2,58)&lt;&gt;"",INDEX(Tab_DaBa[],MATCH(CONCATENATE(Liste!$C$3,$B$1697,$B$1923),Data!$BO:$BO,0)-2,64),"")),"")</f>
        <v>Ausgang</v>
      </c>
      <c r="G1941" s="39"/>
      <c r="H1941" s="35" t="str">
        <f ca="1">IFERROR(IF(INDEX(Tab_DaBa[],MATCH(CONCATENATE(Liste!$C$3,$B$1697,$B$1923),Data!$BO:$BO,0)-2,63)&lt;&gt;"",INDEX(Tab_DaBa[],MATCH(CONCATENATE(Liste!$C$3,$B$1697,$B$1923),Data!$BO:$BO,0)-2,14),""),"")</f>
        <v/>
      </c>
    </row>
    <row r="1942" spans="2:9" s="16" customFormat="1" ht="15.75">
      <c r="B1942" s="35" t="str">
        <f ca="1">IFERROR(IF(AND(INDEX(Tab_DaBa[],MATCH(CONCATENATE(Liste!$C$3,$B$1697,$B$1923),Data!$BO:$BO,0)-2,48)&lt;&gt;"",INDEX(Tab_DaBa[],MATCH(CONCATENATE(Liste!$C$3,$B$1697,$B$1923),Data!$BO:$BO,0)-2,53)=0),INDEX(Tab_DaBa[],MATCH(CONCATENATE(Liste!$C$3,$B$1697,$B$1923),Data!$BO:$BO,0)-2,12),IF(INDEX(Tab_DaBa[],MATCH(CONCATENATE(Liste!$C$3,$B$1697,$B$1923),Data!$BO:$BO,0)-2,48)&lt;&gt;"",INDEX(Tab_DaBa[],MATCH(CONCATENATE(Liste!$C$3,$B$1697,$B$1923),Data!$BO:$BO,0)-2,52),"")),"")</f>
        <v>Lo03-88_09</v>
      </c>
      <c r="C1942" s="39"/>
      <c r="D1942" s="35" t="str">
        <f ca="1">IFERROR(IF(AND(INDEX(Tab_DaBa[],MATCH(CONCATENATE(Liste!$C$3,$B$1697,$B$1923),Data!$BO:$BO,0)-2,53)&lt;&gt;"",INDEX(Tab_DaBa[],MATCH(CONCATENATE(Liste!$C$3,$B$1697,$B$1923),Data!$BO:$BO,0)-2,58)=0),INDEX(Tab_DaBa[],MATCH(CONCATENATE(Liste!$C$3,$B$1697,$B$1923),Data!$BO:$BO,0)-2,12),IF(INDEX(Tab_DaBa[],MATCH(CONCATENATE(Liste!$C$3,$B$1697,$B$1923),Data!$BO:$BO,0)-2,53)&lt;&gt;"",INDEX(Tab_DaBa[],MATCH(CONCATENATE(Liste!$C$3,$B$1697,$B$1923),Data!$BO:$BO,0)-2,57),"")),"")</f>
        <v>Lo03-33_09</v>
      </c>
      <c r="E1942" s="37"/>
      <c r="F1942" s="35" t="str">
        <f ca="1">IFERROR(IF(AND(INDEX(Tab_DaBa[],MATCH(CONCATENATE(Liste!$C$3,$B$1697,$B$1923),Data!$BO:$BO,0)-2,58)&lt;&gt;"",INDEX(Tab_DaBa[],MATCH(CONCATENATE(Liste!$C$3,$B$1697,$B$1923),Data!$BO:$BO,0)-2,63)=0),INDEX(Tab_DaBa[],MATCH(CONCATENATE(Liste!$C$3,$B$1697,$B$1923),Data!$BO:$BO,0)-2,12),IF(INDEX(Tab_DaBa[],MATCH(CONCATENATE(Liste!$C$3,$B$1697,$B$1923),Data!$BO:$BO,0)-2,58)&lt;&gt;"",INDEX(Tab_DaBa[],MATCH(CONCATENATE(Liste!$C$3,$B$1697,$B$1923),Data!$BO:$BO,0)-2,62),"")),"")</f>
        <v>aaaa-44_9</v>
      </c>
      <c r="G1942" s="39"/>
      <c r="H1942" s="35" t="str">
        <f ca="1">IFERROR(IF(INDEX(Tab_DaBa[],MATCH(CONCATENATE(Liste!$C$3,$B$1697,$B$1923),Data!$BO:$BO,0)-2,63)&lt;&gt;"",INDEX(Tab_DaBa[],MATCH(CONCATENATE(Liste!$C$3,$B$1697,$B$1923),Data!$BO:$BO,0)-2,12),""),"")</f>
        <v/>
      </c>
    </row>
    <row r="1943" spans="2:9" s="16" customFormat="1" ht="15.75">
      <c r="B1943" s="35" t="str">
        <f ca="1">IFERROR(IF(AND(INDEX(Tab_DaBa[],MATCH(CONCATENATE(Liste!$C$3,$B$1697,$B$1923),Data!$BO:$BO,0)-2,48)&lt;&gt;"",INDEX(Tab_DaBa[],MATCH(CONCATENATE(Liste!$C$3,$B$1697,$B$1923),Data!$BO:$BO,0)-2,53)=""),INDEX(Tab_DaBa[],MATCH(CONCATENATE(Liste!$C$3,$B$1697,$B$1923),Data!$BO:$BO,0)-2,13),IF(INDEX(Tab_DaBa[],MATCH(CONCATENATE(Liste!$C$3,$B$1697,$B$1923),Data!$BO:$BO,0)-2,48)&lt;&gt;"",INDEX(Tab_DaBa[],MATCH(CONCATENATE(Liste!$C$3,$B$1697,$B$1923),Data!$BO:$BO,0)-2,53),"")),"")</f>
        <v>Bez_Lo03_09</v>
      </c>
      <c r="C1943" s="38">
        <f ca="1">IF(D1941="","",4)</f>
        <v>4</v>
      </c>
      <c r="D1943" s="35" t="str">
        <f ca="1">IFERROR(IF(AND(INDEX(Tab_DaBa[],MATCH(CONCATENATE(Liste!$C$3,$B$1697,$B$1923),Data!$BO:$BO,0)-2,53)&lt;&gt;"",INDEX(Tab_DaBa[],MATCH(CONCATENATE(Liste!$C$3,$B$1697,$B$1923),Data!$BO:$BO,0)-2,58)=""),INDEX(Tab_DaBa[],MATCH(CONCATENATE(Liste!$C$3,$B$1697,$B$1923),Data!$BO:$BO,0)-2,13),IF(INDEX(Tab_DaBa[],MATCH(CONCATENATE(Liste!$C$3,$B$1697,$B$1923),Data!$BO:$BO,0)-2,53)&lt;&gt;"",INDEX(Tab_DaBa[],MATCH(CONCATENATE(Liste!$C$3,$B$1697,$B$1923),Data!$BO:$BO,0)-2,58),"")),"")</f>
        <v>Bez_Lo03_09</v>
      </c>
      <c r="E1943" s="38">
        <f ca="1">IF(F1941="","",4)</f>
        <v>4</v>
      </c>
      <c r="F1943" s="35" t="str">
        <f ca="1">IFERROR(IF(AND(INDEX(Tab_DaBa[],MATCH(CONCATENATE(Liste!$C$3,$B$1697,$B$1923),Data!$BO:$BO,0)-2,58)&lt;&gt;"",INDEX(Tab_DaBa[],MATCH(CONCATENATE(Liste!$C$3,$B$1697,$B$1923),Data!$BO:$BO,0)-2,63)=""),INDEX(Tab_DaBa[],MATCH(CONCATENATE(Liste!$C$3,$B$1697,$B$1923),Data!$BO:$BO,0)-2,13),IF(INDEX(Tab_DaBa[],MATCH(CONCATENATE(Liste!$C$3,$B$1697,$B$1923),Data!$BO:$BO,0)-2,58)&lt;&gt;"",INDEX(Tab_DaBa[],MATCH(CONCATENATE(Liste!$C$3,$B$1697,$B$1923),Data!$BO:$BO,0)-2,63),"")),"")</f>
        <v>Bez_Aus4_9</v>
      </c>
      <c r="G1943" s="38" t="str">
        <f ca="1">IF(H1941="","",4)</f>
        <v/>
      </c>
      <c r="H1943" s="35" t="str">
        <f ca="1">IFERROR(IF(INDEX(Tab_DaBa[],MATCH(CONCATENATE(Liste!$C$3,$B$1697,$B$1923),Data!$BO:$BO,0)-2,63)&lt;&gt;"",INDEX(Tab_DaBa[],MATCH(CONCATENATE(Liste!$C$3,$B$1697,$B$1923),Data!$BO:$BO,0)-2,13),""),"")</f>
        <v/>
      </c>
    </row>
    <row r="1944" spans="2:9" s="16" customFormat="1" ht="15.75">
      <c r="B1944" s="35" t="str">
        <f ca="1">IFERROR(IF(AND(INDEX(Tab_DaBa[],MATCH(CONCATENATE(Liste!$C$3,$B$1697,$B$1923),Data!$BO:$BO,0)-2,48)&lt;&gt;"",INDEX(Tab_DaBa[],MATCH(CONCATENATE(Liste!$C$3,$B$1697,$B$1923),Data!$BO:$BO,0)-2,53)=""),"Performance Level: "&amp;INDEX(Tab_DaBa[],MATCH(CONCATENATE(Liste!$C$3,$B$1697,$B$1923),Data!$BO:$BO,0)-2,15),IF(INDEX(Tab_DaBa[],MATCH(CONCATENATE(Liste!$C$3,$B$1697,$B$1923),Data!$BO:$BO,0)-2,48)&lt;&gt;"","Performance Level: "&amp;INDEX(Tab_DaBa[],MATCH(CONCATENATE(Liste!$C$3,$B$1697,$B$1923),Data!$BO:$BO,0)-2,55),"")),"")</f>
        <v>Performance Level: PL_Lo03_09</v>
      </c>
      <c r="C1944" s="39"/>
      <c r="D1944" s="35" t="str">
        <f ca="1">IFERROR(IF(AND(INDEX(Tab_DaBa[],MATCH(CONCATENATE(Liste!$C$3,$B$1697,$B$1923),Data!$BO:$BO,0)-2,53)&lt;&gt;"",INDEX(Tab_DaBa[],MATCH(CONCATENATE(Liste!$C$3,$B$1697,$B$1923),Data!$BO:$BO,0)-2,58)=""),"Performance Level: "&amp;INDEX(Tab_DaBa[],MATCH(CONCATENATE(Liste!$C$3,$B$1697,$B$1923),Data!$BO:$BO,0)-2,15),IF(INDEX(Tab_DaBa[],MATCH(CONCATENATE(Liste!$C$3,$B$1697,$B$1923),Data!$BO:$BO,0)-2,53)&lt;&gt;"","Performance Level: "&amp;INDEX(Tab_DaBa[],MATCH(CONCATENATE(Liste!$C$3,$B$1697,$B$1923),Data!$BO:$BO,0)-2,60),"")),"")</f>
        <v>Performance Level: PL_Lo03_09</v>
      </c>
      <c r="E1944" s="37"/>
      <c r="F1944" s="35" t="str">
        <f ca="1">IFERROR(IF(AND(INDEX(Tab_DaBa[],MATCH(CONCATENATE(Liste!$C$3,$B$1697,$B$1923),Data!$BO:$BO,0)-2,58)&lt;&gt;"",INDEX(Tab_DaBa[],MATCH(CONCATENATE(Liste!$C$3,$B$1697,$B$1923),Data!$BO:$BO,0)-2,63)=""),"Performance Level: "&amp;INDEX(Tab_DaBa[],MATCH(CONCATENATE(Liste!$C$3,$B$1697,$B$1923),Data!$BO:$BO,0)-2,15),IF(INDEX(Tab_DaBa[],MATCH(CONCATENATE(Liste!$C$3,$B$1697,$B$1923),Data!$BO:$BO,0)-2,58)&lt;&gt;"","Performance Level: "&amp;INDEX(Tab_DaBa[],MATCH(CONCATENATE(Liste!$C$3,$B$1697,$B$1923),Data!$BO:$BO,0)-2,65),"")),"")</f>
        <v>Performance Level: PL_Aus4_9</v>
      </c>
      <c r="G1944" s="39"/>
      <c r="H1944" s="35" t="str">
        <f ca="1">IFERROR(IF(INDEX(Tab_DaBa[],MATCH(CONCATENATE(Liste!$C$3,$B$1697,$B$1923),Data!$BO:$BO,0)-2,63)&lt;&gt;"","Performance Level: "&amp;INDEX(Tab_DaBa[],MATCH(CONCATENATE(Liste!$C$3,$B$1697,$B$1923),Data!$BO:$BO,0)-2,15),""),"")</f>
        <v/>
      </c>
    </row>
    <row r="1945" spans="2:9" s="16" customFormat="1" ht="15.75">
      <c r="B1945" s="35" t="str">
        <f ca="1">IFERROR(IF(AND(INDEX(Tab_DaBa[],MATCH(CONCATENATE(Liste!$C$3,$B$1697,$B$1923),Data!$BO:$BO,0)-2,48)&lt;&gt;"",INDEX(Tab_DaBa[],MATCH(CONCATENATE(Liste!$C$3,$B$1697,$B$1923),Data!$BO:$BO,0)-2,53)=""),"PFH [1/h] = "&amp;10^9*INDEX(Tab_DaBa[],MATCH(CONCATENATE(Liste!$C$3,$B$1697,$B$1923),Data!$BO:$BO,0)-2,16)&amp;"E-9",IF(INDEX(Tab_DaBa[],MATCH(CONCATENATE(Liste!$C$3,$B$1697,$B$1923),Data!$BO:$BO,0)-2,48)&lt;&gt;"","PFH [1/h] = "&amp;10^9*INDEX(Tab_DaBa[],MATCH(CONCATENATE(Liste!$C$3,$B$1697,$B$1923),Data!$BO:$BO,0)-2,56)&amp;"E-9","")),"")</f>
        <v>PFH [1/h] = 4,19E-9</v>
      </c>
      <c r="C1945" s="39"/>
      <c r="D1945" s="35" t="str">
        <f ca="1">IFERROR(IF(AND(INDEX(Tab_DaBa[],MATCH(CONCATENATE(Liste!$C$3,$B$1697,$B$1923),Data!$BO:$BO,0)-2,53)&lt;&gt;"",INDEX(Tab_DaBa[],MATCH(CONCATENATE(Liste!$C$3,$B$1697,$B$1923),Data!$BO:$BO,0)-2,58)=""),"PFH [1/h] = "&amp;10^9*INDEX(Tab_DaBa[],MATCH(CONCATENATE(Liste!$C$3,$B$1697,$B$1923),Data!$BO:$BO,0)-2,16)&amp;"E-9",IF(INDEX(Tab_DaBa[],MATCH(CONCATENATE(Liste!$C$3,$B$1697,$B$1923),Data!$BO:$BO,0)-2,53)&lt;&gt;"","PFH [1/h] = "&amp;10^9*INDEX(Tab_DaBa[],MATCH(CONCATENATE(Liste!$C$3,$B$1697,$B$1923),Data!$BO:$BO,0)-2,61)&amp;"E-9","")),"")</f>
        <v>PFH [1/h] = 4,19E-9</v>
      </c>
      <c r="E1945" s="37"/>
      <c r="F1945" s="35" t="str">
        <f ca="1">IFERROR(IF(AND(INDEX(Tab_DaBa[],MATCH(CONCATENATE(Liste!$C$3,$B$1697,$B$1923),Data!$BO:$BO,0)-2,58)&lt;&gt;"",INDEX(Tab_DaBa[],MATCH(CONCATENATE(Liste!$C$3,$B$1697,$B$1923),Data!$BO:$BO,0)-2,63)=""),"PFH [1/h] = "&amp;10^9*INDEX(Tab_DaBa[],MATCH(CONCATENATE(Liste!$C$3,$B$1697,$B$1923),Data!$BO:$BO,0)-2,16)&amp;"E-9",IF(INDEX(Tab_DaBa[],MATCH(CONCATENATE(Liste!$C$3,$B$1697,$B$1923),Data!$BO:$BO,0)-2,58)&lt;&gt;"","PFH [1/h] = "&amp;10^9*INDEX(Tab_DaBa[],MATCH(CONCATENATE(Liste!$C$3,$B$1697,$B$1923),Data!$BO:$BO,0)-2,66)&amp;"E-9","")),"")</f>
        <v>PFH [1/h] = 24,7E-9</v>
      </c>
      <c r="G1945" s="39"/>
      <c r="H1945" s="35" t="str">
        <f ca="1">IFERROR(IF(INDEX(Tab_DaBa[],MATCH(CONCATENATE(Liste!$C$3,$B$1697,$B$1923),Data!$BO:$BO,0)-2,63)&lt;&gt;"","PFH [1/h] = "&amp;10^9*INDEX(Tab_DaBa[],MATCH(CONCATENATE(Liste!$C$3,$B$1697,$B$1923),Data!$BO:$BO,0)-2,16)&amp;"E-9",""),"")</f>
        <v/>
      </c>
    </row>
    <row r="1946" spans="2:9" s="16" customFormat="1"/>
    <row r="1947" spans="2:9" s="16" customFormat="1">
      <c r="B1947" s="43" t="str">
        <f ca="1">IF(D1947="","","Erforderlich")</f>
        <v>Erforderlich</v>
      </c>
      <c r="D1947" s="44" t="str">
        <f ca="1">IFERROR("Performance Level: "&amp;INDEX(Tab_DaBa[],MATCH(CONCATENATE(Liste!$C$3,$B$1697,$B$1923),Data!$BO:$BO,0)-2,4),"")</f>
        <v>Performance Level: PLr_ges4_9</v>
      </c>
    </row>
    <row r="1948" spans="2:9" s="16" customFormat="1">
      <c r="B1948" s="45"/>
    </row>
    <row r="1949" spans="2:9" s="16" customFormat="1">
      <c r="B1949" s="46" t="str">
        <f ca="1">IF(D1949="","","Erreicht")</f>
        <v>Erreicht</v>
      </c>
      <c r="D1949" s="47" t="str">
        <f ca="1">IFERROR("Performance Level: "&amp;INDEX(Tab_DaBa[],MATCH(CONCATENATE(Liste!$C$3,$B$1697,$B$1923),Data!$BO:$BO,0)-2,5)&amp;"          PFH [1/h] = "&amp;10^9*INDEX(Tab_DaBa[],MATCH(CONCATENATE(Liste!$C$3,$B$1697,$B$1923),Data!$BO:$BO,0)-2,6)&amp;"E-9","")</f>
        <v>Performance Level: Pl_ges4_9          PFH [1/h] = 71,7E-9</v>
      </c>
    </row>
    <row r="1950" spans="2:9" s="16" customFormat="1">
      <c r="B1950" s="50"/>
      <c r="C1950" s="49"/>
      <c r="D1950" s="49"/>
    </row>
    <row r="1951" spans="2:9" s="16" customFormat="1">
      <c r="B1951" s="42" t="str">
        <f ca="1">IFERROR(IF(10&gt;COUNTIF(Data!$BP:$BP,CONCATENATE(Liste!$C$3,$B$1697)),"",INDEX(Tab_DaBa[],MATCH(CONCATENATE(Liste!$C$3,$B$1697),Data!$BP:$BP,0)+7,3)),"")</f>
        <v>7.10 Test4 (E+10L+A)</v>
      </c>
    </row>
    <row r="1952" spans="2:9" s="16" customFormat="1"/>
    <row r="1953" spans="2:9" s="16" customFormat="1" ht="15.75">
      <c r="B1953" s="35" t="str">
        <f ca="1">IFERROR(INDEX(Tab_DaBa[],MATCH(CONCATENATE(Liste!$C$3,$B$1697,$B$1951),Data!$BO:$BO,0)-2,9),"")</f>
        <v>Eingang</v>
      </c>
      <c r="C1953" s="54"/>
      <c r="D1953" s="35" t="str">
        <f ca="1">IFERROR(IF(INDEX(Tab_DaBa[],MATCH(CONCATENATE(Liste!$C$3,$B$1697,$B$1951),Data!$BO:$BO,0)-2,18)=0,INDEX(Tab_DaBa[],MATCH(CONCATENATE(Liste!$C$3,$B$1697,$B$1951),Data!$BO:$BO,0)-2,14),INDEX(Tab_DaBa[],MATCH(CONCATENATE(Liste!$C$3,$B$1697,$B$1951),Data!$BO:$BO,0)-2,19)),"")</f>
        <v>Logik 01</v>
      </c>
      <c r="E1953" s="33"/>
      <c r="F1953" s="35" t="str">
        <f ca="1">IFERROR(IF(AND(INDEX(Tab_DaBa[],MATCH(CONCATENATE(Liste!$C$3,$B$1697,$B$1951),Data!$BO:$BO,0)-2,18)&lt;&gt;"",INDEX(Tab_DaBa[],MATCH(CONCATENATE(Liste!$C$3,$B$1697,$B$1951),Data!$BO:$BO,0)-2,23)=0),INDEX(Tab_DaBa[],MATCH(CONCATENATE(Liste!$C$3,$B$1697,$B$1951),Data!$BO:$BO,0)-2,14),IF(INDEX(Tab_DaBa[],MATCH(CONCATENATE(Liste!$C$3,$B$1697,$B$1951),Data!$BO:$BO,0)-2,23)&lt;&gt;"",INDEX(Tab_DaBa[],MATCH(CONCATENATE(Liste!$C$3,$B$1697,$B$1951),Data!$BO:$BO,0)-2,24),"")),"")</f>
        <v>Logik 02</v>
      </c>
      <c r="G1953" s="39"/>
      <c r="H1953" s="35" t="str">
        <f ca="1">IFERROR(IF(AND(INDEX(Tab_DaBa[],MATCH(CONCATENATE(Liste!$C$3,$B$1697,$B$1951),Data!$BO:$BO,0)-2,23)&lt;&gt;"",INDEX(Tab_DaBa[],MATCH(CONCATENATE(Liste!$C$3,$B$1697,$B$1951),Data!$BO:$BO,0)-2,28)=0),INDEX(Tab_DaBa[],MATCH(CONCATENATE(Liste!$C$3,$B$1697,$B$1951),Data!$BO:$BO,0)-2,14),IF(INDEX(Tab_DaBa[],MATCH(CONCATENATE(Liste!$C$3,$B$1697,$B$1951),Data!$BO:$BO,0)-2,23)&lt;&gt;"",INDEX(Tab_DaBa[],MATCH(CONCATENATE(Liste!$C$3,$B$1697,$B$1951),Data!$BO:$BO,0)-2,29),"")),"")</f>
        <v>Logik 03</v>
      </c>
      <c r="I1953" s="39"/>
    </row>
    <row r="1954" spans="2:9" s="16" customFormat="1" ht="15.75">
      <c r="B1954" s="35" t="str">
        <f ca="1">IFERROR(INDEX(Tab_DaBa[],MATCH(CONCATENATE(Liste!$C$3,$B$1697,$B$1951),Data!$BO:$BO,0)-2,7),"")</f>
        <v>eeee-33_10</v>
      </c>
      <c r="C1954" s="54"/>
      <c r="D1954" s="35" t="str">
        <f ca="1">IFERROR(IF(INDEX(Tab_DaBa[],MATCH(CONCATENATE(Liste!$C$3,$B$1697,$B$1951),Data!$BO:$BO,0)-2,18)="",INDEX(Tab_DaBa[],MATCH(CONCATENATE(Liste!$C$3,$B$1697,$B$1951),Data!$BO:$BO,0)-2,12),INDEX(Tab_DaBa[],MATCH(CONCATENATE(Liste!$C$3,$B$1697,$B$1951),Data!$BO:$BO,0)-2,17)),"")</f>
        <v>Log01-04_10</v>
      </c>
      <c r="E1954" s="36"/>
      <c r="F1954" s="35" t="str">
        <f ca="1">IFERROR(IF(AND(INDEX(Tab_DaBa[],MATCH(CONCATENATE(Liste!$C$3,$B$1697,$B$1951),Data!$BO:$BO,0)-2,18)&lt;&gt;"",INDEX(Tab_DaBa[],MATCH(CONCATENATE(Liste!$C$3,$B$1697,$B$1951),Data!$BO:$BO,0)-2,23)=0),INDEX(Tab_DaBa[],MATCH(CONCATENATE(Liste!$C$3,$B$1697,$B$1951),Data!$BO:$BO,0)-2,12),IF(INDEX(Tab_DaBa[],MATCH(CONCATENATE(Liste!$C$3,$B$1697,$B$1951),Data!$BO:$BO,0)-2,23)&lt;&gt;"",INDEX(Tab_DaBa[],MATCH(CONCATENATE(Liste!$C$3,$B$1697,$B$1951),Data!$BO:$BO,0)-2,22),"")),"")</f>
        <v>Lo04-04_10</v>
      </c>
      <c r="G1954" s="39"/>
      <c r="H1954" s="35" t="str">
        <f ca="1">IFERROR(IF(AND(INDEX(Tab_DaBa[],MATCH(CONCATENATE(Liste!$C$3,$B$1697,$B$1951),Data!$BO:$BO,0)-2,23)&lt;&gt;"",INDEX(Tab_DaBa[],MATCH(CONCATENATE(Liste!$C$3,$B$1697,$B$1951),Data!$BO:$BO,0)-2,28)=0),INDEX(Tab_DaBa[],MATCH(CONCATENATE(Liste!$C$3,$B$1697,$B$1951),Data!$BO:$BO,0)-2,12),IF(INDEX(Tab_DaBa[],MATCH(CONCATENATE(Liste!$C$3,$B$1697,$B$1951),Data!$BO:$BO,0)-2,23)&lt;&gt;"",INDEX(Tab_DaBa[],MATCH(CONCATENATE(Liste!$C$3,$B$1697,$B$1951),Data!$BO:$BO,0)-2,27),"")),"")</f>
        <v>Lo04-44_10</v>
      </c>
      <c r="I1954" s="39"/>
    </row>
    <row r="1955" spans="2:9" s="16" customFormat="1" ht="15.75">
      <c r="B1955" s="35" t="str">
        <f ca="1">IFERROR(INDEX(Tab_DaBa[],MATCH(CONCATENATE(Liste!$C$3,$B$1697,$B$1951),Data!$BO:$BO,0)-2,8),"")</f>
        <v>Bez_Ein4_10</v>
      </c>
      <c r="C1955" s="40">
        <f ca="1">IF(D1953="","",4)</f>
        <v>4</v>
      </c>
      <c r="D1955" s="35" t="str">
        <f ca="1">IFERROR(IF(INDEX(Tab_DaBa[],MATCH(CONCATENATE(Liste!$C$3,$B$1697,$B$1951),Data!$BO:$BO,0)-2,18)="",INDEX(Tab_DaBa[],MATCH(CONCATENATE(Liste!$C$3,$B$1697,$B$1951),Data!$BO:$BO,0)-2,13),INDEX(Tab_DaBa[],MATCH(CONCATENATE(Liste!$C$3,$B$1697,$B$1951),Data!$BO:$BO,0)-2,18)),"")</f>
        <v>Bez_Log01_04_10</v>
      </c>
      <c r="E1955" s="40">
        <f ca="1">IF(F1953="","",4)</f>
        <v>4</v>
      </c>
      <c r="F1955" s="35" t="str">
        <f ca="1">IFERROR(IF(AND(INDEX(Tab_DaBa[],MATCH(CONCATENATE(Liste!$C$3,$B$1697,$B$1951),Data!$BO:$BO,0)-2,18)&lt;&gt;"",INDEX(Tab_DaBa[],MATCH(CONCATENATE(Liste!$C$3,$B$1697,$B$1951),Data!$BO:$BO,0)-2,23)=""),INDEX(Tab_DaBa[],MATCH(CONCATENATE(Liste!$C$3,$B$1697,$B$1951),Data!$BO:$BO,0)-2,13),IF(INDEX(Tab_DaBa[],MATCH(CONCATENATE(Liste!$C$3,$B$1697,$B$1951),Data!$BO:$BO,0)-2,23)&lt;&gt;"",INDEX(Tab_DaBa[],MATCH(CONCATENATE(Liste!$C$3,$B$1697,$B$1951),Data!$BO:$BO,0)-2,23),"")),"")</f>
        <v>Bez_Lo04_10</v>
      </c>
      <c r="G1955" s="38">
        <f ca="1">IF(H1953="","",4)</f>
        <v>4</v>
      </c>
      <c r="H1955" s="35" t="str">
        <f ca="1">IFERROR(IF(AND(INDEX(Tab_DaBa[],MATCH(CONCATENATE(Liste!$C$3,$B$1697,$B$1951),Data!$BO:$BO,0)-2,23)&lt;&gt;"",INDEX(Tab_DaBa[],MATCH(CONCATENATE(Liste!$C$3,$B$1697,$B$1951),Data!$BO:$BO,0)-2,28)=""),INDEX(Tab_DaBa[],MATCH(CONCATENATE(Liste!$C$3,$B$1697,$B$1951),Data!$BO:$BO,0)-2,13),IF(INDEX(Tab_DaBa[],MATCH(CONCATENATE(Liste!$C$3,$B$1697,$B$1951),Data!$BO:$BO,0)-2,23)&lt;&gt;"",INDEX(Tab_DaBa[],MATCH(CONCATENATE(Liste!$C$3,$B$1697,$B$1951),Data!$BO:$BO,0)-2,28),"")),"")</f>
        <v>Bez_Lo04_10</v>
      </c>
      <c r="I1955" s="38">
        <f ca="1">IF(B1961="","",6)</f>
        <v>6</v>
      </c>
    </row>
    <row r="1956" spans="2:9" s="16" customFormat="1" ht="15.75">
      <c r="B1956" s="35" t="str">
        <f ca="1">IFERROR("Performance Level: "&amp;INDEX(Tab_DaBa[],MATCH(CONCATENATE(Liste!$C$3,$B$1697,$B$1951),Data!$BO:$BO,0)-2,10),"")</f>
        <v>Performance Level: PL_Ein4_10</v>
      </c>
      <c r="C1956" s="54"/>
      <c r="D1956" s="35" t="str">
        <f ca="1">IFERROR(IF(INDEX(Tab_DaBa[],MATCH(CONCATENATE(Liste!$C$3,$B$1697,$B$1951),Data!$BO:$BO,0)-2,18)="","Performance Level: "&amp;INDEX(Tab_DaBa[],MATCH(CONCATENATE(Liste!$C$3,$B$1697,$B$1951),Data!$BO:$BO,0)-2,15),"Performance Level: "&amp;INDEX(Tab_DaBa[],MATCH(CONCATENATE(Liste!$C$3,$B$1697,$B$1951),Data!$BO:$BO,0)-2,20)),"")</f>
        <v>Performance Level: PL_Log01_04_10</v>
      </c>
      <c r="E1956" s="36"/>
      <c r="F1956" s="35" t="str">
        <f ca="1">IFERROR(IF(AND(INDEX(Tab_DaBa[],MATCH(CONCATENATE(Liste!$C$3,$B$1697,$B$1951),Data!$BO:$BO,0)-2,18)&lt;&gt;"",INDEX(Tab_DaBa[],MATCH(CONCATENATE(Liste!$C$3,$B$1697,$B$1951),Data!$BO:$BO,0)-2,23)=""),"Performance Level: "&amp;INDEX(Tab_DaBa[],MATCH(CONCATENATE(Liste!$C$3,$B$1697,$B$1951),Data!$BO:$BO,0)-2,15),IF(INDEX(Tab_DaBa[],MATCH(CONCATENATE(Liste!$C$3,$B$1697,$B$1951),Data!$BO:$BO,0)-2,23)&lt;&gt;"","Performance Level: "&amp;INDEX(Tab_DaBa[],MATCH(CONCATENATE(Liste!$C$3,$B$1697,$B$1951),Data!$BO:$BO,0)-2,25),"")),"")</f>
        <v>Performance Level: PL_Lo04_10</v>
      </c>
      <c r="G1956" s="39"/>
      <c r="H1956" s="35" t="str">
        <f ca="1">IFERROR(IF(AND(INDEX(Tab_DaBa[],MATCH(CONCATENATE(Liste!$C$3,$B$1697,$B$1951),Data!$BO:$BO,0)-2,23)&lt;&gt;"",INDEX(Tab_DaBa[],MATCH(CONCATENATE(Liste!$C$3,$B$1697,$B$1951),Data!$BO:$BO,0)-2,28)=""),"Performance Level: "&amp;INDEX(Tab_DaBa[],MATCH(CONCATENATE(Liste!$C$3,$B$1697,$B$1951),Data!$BO:$BO,0)-2,15),IF(INDEX(Tab_DaBa[],MATCH(CONCATENATE(Liste!$C$3,$B$1697,$B$1951),Data!$BO:$BO,0)-2,23)&lt;&gt;"","Performance Level: "&amp;INDEX(Tab_DaBa[],MATCH(CONCATENATE(Liste!$C$3,$B$1697,$B$1951),Data!$BO:$BO,0)-2,30),"")),"")</f>
        <v>Performance Level: PL_Lo04_10</v>
      </c>
      <c r="I1956" s="38"/>
    </row>
    <row r="1957" spans="2:9" s="16" customFormat="1" ht="15.75">
      <c r="B1957" s="53" t="str">
        <f ca="1">IFERROR("PFH [1/h] = "&amp;10^9*INDEX(Tab_DaBa[],MATCH(CONCATENATE(Liste!$C$3,$B$1697,$B$1951),Data!$BO:$BO,0)-2,11)&amp;"E-9","")</f>
        <v>PFH [1/h] = 42,9E-9</v>
      </c>
      <c r="C1957" s="54"/>
      <c r="D1957" s="35" t="str">
        <f ca="1">IFERROR(IF(INDEX(Tab_DaBa[],MATCH(CONCATENATE(Liste!$C$3,$B$1697,$B$1951),Data!$BO:$BO,0)-2,18)="","PFH [1/h] = "&amp;10^9*INDEX(Tab_DaBa[],MATCH(CONCATENATE(Liste!$C$3,$B$1697,$B$1951),Data!$BO:$BO,0)-2,16)&amp;"E-9","PFH [1/h] = "&amp;10^9*INDEX(Tab_DaBa[],MATCH(CONCATENATE(Liste!$C$3,$B$1697,$B$1951),Data!$BO:$BO,0)-2,21)&amp;"E-9"),"")</f>
        <v>PFH [1/h] = 4,19E-9</v>
      </c>
      <c r="E1957" s="36"/>
      <c r="F1957" s="35" t="str">
        <f ca="1">IFERROR(IF(AND(INDEX(Tab_DaBa[],MATCH(CONCATENATE(Liste!$C$3,$B$1697,$B$1951),Data!$BO:$BO,0)-2,18)&lt;&gt;"",INDEX(Tab_DaBa[],MATCH(CONCATENATE(Liste!$C$3,$B$1697,$B$1951),Data!$BO:$BO,0)-2,23)=""),"PFH [1/h] = "&amp;10^9*INDEX(Tab_DaBa[],MATCH(CONCATENATE(Liste!$C$3,$B$1697,$B$1951),Data!$BO:$BO,0)-2,16)&amp;"E-9",IF(INDEX(Tab_DaBa[],MATCH(CONCATENATE(Liste!$C$3,$B$1697,$B$1951),Data!$BO:$BO,0)-2,23)&lt;&gt;"","PFH [1/h] = "&amp;10^9*INDEX(Tab_DaBa[],MATCH(CONCATENATE(Liste!$C$3,$B$1697,$B$1951),Data!$BO:$BO,0)-2,26)&amp;"E-9","")),"")</f>
        <v>PFH [1/h] = 4,19E-9</v>
      </c>
      <c r="G1957" s="39"/>
      <c r="H1957" s="35" t="str">
        <f ca="1">IFERROR(IF(AND(INDEX(Tab_DaBa[],MATCH(CONCATENATE(Liste!$C$3,$B$1697,$B$1951),Data!$BO:$BO,0)-2,23)&lt;&gt;"",INDEX(Tab_DaBa[],MATCH(CONCATENATE(Liste!$C$3,$B$1697,$B$1951),Data!$BO:$BO,0)-2,28)=""),"PFH [1/h] = "&amp;10^9*INDEX(Tab_DaBa[],MATCH(CONCATENATE(Liste!$C$3,$B$1697,$B$1951),Data!$BO:$BO,0)-2,16)&amp;"E-9",IF(INDEX(Tab_DaBa[],MATCH(CONCATENATE(Liste!$C$3,$B$1697,$B$1951),Data!$BO:$BO,0)-2,23)&lt;&gt;"","PFH [1/h] = "&amp;10^9*INDEX(Tab_DaBa[],MATCH(CONCATENATE(Liste!$C$3,$B$1697,$B$1951),Data!$BO:$BO,0)-2,31)&amp;"E-9","")),"")</f>
        <v>PFH [1/h] = 4,19E-9</v>
      </c>
      <c r="I1957" s="39"/>
    </row>
    <row r="1958" spans="2:9" s="16" customFormat="1">
      <c r="B1958" s="33"/>
      <c r="C1958" s="34"/>
      <c r="D1958" s="33"/>
      <c r="E1958" s="33"/>
      <c r="F1958" s="33"/>
      <c r="G1958" s="33"/>
      <c r="H1958" s="33"/>
      <c r="I1958" s="33"/>
    </row>
    <row r="1959" spans="2:9" s="16" customFormat="1" ht="15.75">
      <c r="B1959" s="38">
        <f ca="1">IF(B1961="","",6)</f>
        <v>6</v>
      </c>
      <c r="C1959" s="34"/>
      <c r="D1959" s="38">
        <f ca="1">IF(B1961="","",3)</f>
        <v>3</v>
      </c>
      <c r="E1959" s="33"/>
      <c r="F1959" s="38">
        <f ca="1">IF(B1961="","",3)</f>
        <v>3</v>
      </c>
      <c r="G1959" s="33"/>
      <c r="H1959" s="38">
        <f ca="1">IF(B1961="","",3)</f>
        <v>3</v>
      </c>
      <c r="I1959" s="33"/>
    </row>
    <row r="1960" spans="2:9" s="16" customFormat="1" ht="15.75">
      <c r="B1960" s="39"/>
      <c r="C1960" s="33"/>
      <c r="D1960" s="33"/>
      <c r="E1960" s="33"/>
      <c r="F1960" s="33"/>
      <c r="G1960" s="33"/>
      <c r="H1960" s="33"/>
      <c r="I1960" s="33"/>
    </row>
    <row r="1961" spans="2:9" s="16" customFormat="1" ht="15.75">
      <c r="B1961" s="35" t="str">
        <f ca="1">IFERROR(IF(AND(INDEX(Tab_DaBa[],MATCH(CONCATENATE(Liste!$C$3,$B$1697,$B$1951),Data!$BO:$BO,0)-2,28)&lt;&gt;"",INDEX(Tab_DaBa[],MATCH(CONCATENATE(Liste!$C$3,$B$1697,$B$1951),Data!$BO:$BO,0)-2,33)=0),INDEX(Tab_DaBa[],MATCH(CONCATENATE(Liste!$C$3,$B$1697,$B$1951),Data!$BO:$BO,0)-2,14),IF(INDEX(Tab_DaBa[],MATCH(CONCATENATE(Liste!$C$3,$B$1697,$B$1951),Data!$BO:$BO,0)-2,28)&lt;&gt;"",INDEX(Tab_DaBa[],MATCH(CONCATENATE(Liste!$C$3,$B$1697,$B$1951),Data!$BO:$BO,0)-2,34),"")),"")</f>
        <v>Logik 04</v>
      </c>
      <c r="C1961" s="39"/>
      <c r="D1961" s="35" t="str">
        <f ca="1">IFERROR(IF(AND(INDEX(Tab_DaBa[],MATCH(CONCATENATE(Liste!$C$3,$B$1697,$B$1951),Data!$BO:$BO,0)-2,33)&lt;&gt;"",INDEX(Tab_DaBa[],MATCH(CONCATENATE(Liste!$C$3,$B$1697,$B$1951),Data!$BO:$BO,0)-2,38)=0),INDEX(Tab_DaBa[],MATCH(CONCATENATE(Liste!$C$3,$B$1697,$B$1951),Data!$BO:$BO,0)-2,14),IF(INDEX(Tab_DaBa[],MATCH(CONCATENATE(Liste!$C$3,$B$1697,$B$1951),Data!$BO:$BO,0)-2,33)&lt;&gt;"",INDEX(Tab_DaBa[],MATCH(CONCATENATE(Liste!$C$3,$B$1697,$B$1951),Data!$BO:$BO,0)-2,39),"")),"")</f>
        <v>Logik 08</v>
      </c>
      <c r="E1961" s="33"/>
      <c r="F1961" s="35" t="str">
        <f ca="1">IFERROR(IF(AND(INDEX(Tab_DaBa[],MATCH(CONCATENATE(Liste!$C$3,$B$1697,$B$1951),Data!$BO:$BO,0)-2,38)&lt;&gt;"",INDEX(Tab_DaBa[],MATCH(CONCATENATE(Liste!$C$3,$B$1697,$B$1951),Data!$BO:$BO,0)-2,43)=0),INDEX(Tab_DaBa[],MATCH(CONCATENATE(Liste!$C$3,$B$1697,$B$1951),Data!$BO:$BO,0)-2,14),IF(INDEX(Tab_DaBa[],MATCH(CONCATENATE(Liste!$C$3,$B$1697,$B$1951),Data!$BO:$BO,0)-2,38)&lt;&gt;"",INDEX(Tab_DaBa[],MATCH(CONCATENATE(Liste!$C$3,$B$1697,$B$1951),Data!$BO:$BO,0)-2,44),"")),"")</f>
        <v>Logik 06</v>
      </c>
      <c r="G1961" s="39"/>
      <c r="H1961" s="35" t="str">
        <f ca="1">IFERROR(IF(AND(INDEX(Tab_DaBa[],MATCH(CONCATENATE(Liste!$C$3,$B$1697,$B$1951),Data!$BO:$BO,0)-2,43)&lt;&gt;"",INDEX(Tab_DaBa[],MATCH(CONCATENATE(Liste!$C$3,$B$1697,$B$1951),Data!$BO:$BO,0)-2,48)=0),INDEX(Tab_DaBa[],MATCH(CONCATENATE(Liste!$C$3,$B$1697,$B$1951),Data!$BO:$BO,0)-2,14),IF(INDEX(Tab_DaBa[],MATCH(CONCATENATE(Liste!$C$3,$B$1697,$B$1951),Data!$BO:$BO,0)-2,43)&lt;&gt;"",INDEX(Tab_DaBa[],MATCH(CONCATENATE(Liste!$C$3,$B$1697,$B$1951),Data!$BO:$BO,0)-2,49),"")),"")</f>
        <v>Logik 07</v>
      </c>
      <c r="I1961" s="39"/>
    </row>
    <row r="1962" spans="2:9" s="16" customFormat="1" ht="15.75">
      <c r="B1962" s="35" t="str">
        <f ca="1">IFERROR(IF(AND(INDEX(Tab_DaBa[],MATCH(CONCATENATE(Liste!$C$3,$B$1697,$B$1951),Data!$BO:$BO,0)-2,28)&lt;&gt;"",INDEX(Tab_DaBa[],MATCH(CONCATENATE(Liste!$C$3,$B$1697,$B$1951),Data!$BO:$BO,0)-2,33)=0),INDEX(Tab_DaBa[],MATCH(CONCATENATE(Liste!$C$3,$B$1697,$B$1951),Data!$BO:$BO,0)-2,12),IF(INDEX(Tab_DaBa[],MATCH(CONCATENATE(Liste!$C$3,$B$1697,$B$1951),Data!$BO:$BO,0)-2,28)&lt;&gt;"",INDEX(Tab_DaBa[],MATCH(CONCATENATE(Liste!$C$3,$B$1697,$B$1951),Data!$BO:$BO,0)-2,32),"")),"")</f>
        <v>Lo04-44_10</v>
      </c>
      <c r="C1962" s="39"/>
      <c r="D1962" s="35" t="str">
        <f ca="1">IFERROR(IF(AND(INDEX(Tab_DaBa[],MATCH(CONCATENATE(Liste!$C$3,$B$1697,$B$1951),Data!$BO:$BO,0)-2,33)&lt;&gt;"",INDEX(Tab_DaBa[],MATCH(CONCATENATE(Liste!$C$3,$B$1697,$B$1951),Data!$BO:$BO,0)-2,38)=0),INDEX(Tab_DaBa[],MATCH(CONCATENATE(Liste!$C$3,$B$1697,$B$1951),Data!$BO:$BO,0)-2,12),IF(INDEX(Tab_DaBa[],MATCH(CONCATENATE(Liste!$C$3,$B$1697,$B$1951),Data!$BO:$BO,0)-2,33)&lt;&gt;"",INDEX(Tab_DaBa[],MATCH(CONCATENATE(Liste!$C$3,$B$1697,$B$1951),Data!$BO:$BO,0)-2,37),"")),"")</f>
        <v>Lo04-44_10</v>
      </c>
      <c r="E1962" s="37"/>
      <c r="F1962" s="35" t="str">
        <f ca="1">IFERROR(IF(AND(INDEX(Tab_DaBa[],MATCH(CONCATENATE(Liste!$C$3,$B$1697,$B$1951),Data!$BO:$BO,0)-2,38)&lt;&gt;"",INDEX(Tab_DaBa[],MATCH(CONCATENATE(Liste!$C$3,$B$1697,$B$1951),Data!$BO:$BO,0)-2,43)=0),INDEX(Tab_DaBa[],MATCH(CONCATENATE(Liste!$C$3,$B$1697,$B$1951),Data!$BO:$BO,0)-2,12),IF(INDEX(Tab_DaBa[],MATCH(CONCATENATE(Liste!$C$3,$B$1697,$B$1951),Data!$BO:$BO,0)-2,38)&lt;&gt;"",INDEX(Tab_DaBa[],MATCH(CONCATENATE(Liste!$C$3,$B$1697,$B$1951),Data!$BO:$BO,0)-2,42),"")),"")</f>
        <v>Lo03-33_10</v>
      </c>
      <c r="G1962" s="39"/>
      <c r="H1962" s="35" t="str">
        <f ca="1">IFERROR(IF(AND(INDEX(Tab_DaBa[],MATCH(CONCATENATE(Liste!$C$3,$B$1697,$B$1951),Data!$BO:$BO,0)-2,43)&lt;&gt;"",INDEX(Tab_DaBa[],MATCH(CONCATENATE(Liste!$C$3,$B$1697,$B$1951),Data!$BO:$BO,0)-2,48)=0),INDEX(Tab_DaBa[],MATCH(CONCATENATE(Liste!$C$3,$B$1697,$B$1951),Data!$BO:$BO,0)-2,12),IF(INDEX(Tab_DaBa[],MATCH(CONCATENATE(Liste!$C$3,$B$1697,$B$1951),Data!$BO:$BO,0)-2,43)&lt;&gt;"",INDEX(Tab_DaBa[],MATCH(CONCATENATE(Liste!$C$3,$B$1697,$B$1951),Data!$BO:$BO,0)-2,47),"")),"")</f>
        <v>Lo03-33_10</v>
      </c>
      <c r="I1962" s="39"/>
    </row>
    <row r="1963" spans="2:9" s="16" customFormat="1" ht="15.75">
      <c r="B1963" s="35" t="str">
        <f ca="1">IFERROR(IF(AND(INDEX(Tab_DaBa[],MATCH(CONCATENATE(Liste!$C$3,$B$1697,$B$1951),Data!$BO:$BO,0)-2,28)&lt;&gt;"",INDEX(Tab_DaBa[],MATCH(CONCATENATE(Liste!$C$3,$B$1697,$B$1951),Data!$BO:$BO,0)-2,33)=""),INDEX(Tab_DaBa[],MATCH(CONCATENATE(Liste!$C$3,$B$1697,$B$1951),Data!$BO:$BO,0)-2,13),IF(INDEX(Tab_DaBa[],MATCH(CONCATENATE(Liste!$C$3,$B$1697,$B$1951),Data!$BO:$BO,0)-2,28)&lt;&gt;"",INDEX(Tab_DaBa[],MATCH(CONCATENATE(Liste!$C$3,$B$1697,$B$1951),Data!$BO:$BO,0)-2,33),"")),"")</f>
        <v>Bez_Lo04_10</v>
      </c>
      <c r="C1963" s="38">
        <f ca="1">IF(D1961="","",4)</f>
        <v>4</v>
      </c>
      <c r="D1963" s="35" t="str">
        <f ca="1">IFERROR(IF(AND(INDEX(Tab_DaBa[],MATCH(CONCATENATE(Liste!$C$3,$B$1697,$B$1951),Data!$BO:$BO,0)-2,33)&lt;&gt;"",INDEX(Tab_DaBa[],MATCH(CONCATENATE(Liste!$C$3,$B$1697,$B$1951),Data!$BO:$BO,0)-2,38)=""),INDEX(Tab_DaBa[],MATCH(CONCATENATE(Liste!$C$3,$B$1697,$B$1951),Data!$BO:$BO,0)-2,13),IF(INDEX(Tab_DaBa[],MATCH(CONCATENATE(Liste!$C$3,$B$1697,$B$1951),Data!$BO:$BO,0)-2,33)&lt;&gt;"",INDEX(Tab_DaBa[],MATCH(CONCATENATE(Liste!$C$3,$B$1697,$B$1951),Data!$BO:$BO,0)-2,38),"")),"")</f>
        <v>Bez_Lo03_10</v>
      </c>
      <c r="E1963" s="38">
        <f ca="1">IF(F1961="","",4)</f>
        <v>4</v>
      </c>
      <c r="F1963" s="35" t="str">
        <f ca="1">IFERROR(IF(AND(INDEX(Tab_DaBa[],MATCH(CONCATENATE(Liste!$C$3,$B$1697,$B$1951),Data!$BO:$BO,0)-2,38)&lt;&gt;"",INDEX(Tab_DaBa[],MATCH(CONCATENATE(Liste!$C$3,$B$1697,$B$1951),Data!$BO:$BO,0)-2,43)=""),INDEX(Tab_DaBa[],MATCH(CONCATENATE(Liste!$C$3,$B$1697,$B$1951),Data!$BO:$BO,0)-2,13),IF(INDEX(Tab_DaBa[],MATCH(CONCATENATE(Liste!$C$3,$B$1697,$B$1951),Data!$BO:$BO,0)-2,38)&lt;&gt;"",INDEX(Tab_DaBa[],MATCH(CONCATENATE(Liste!$C$3,$B$1697,$B$1951),Data!$BO:$BO,0)-2,43),"")),"")</f>
        <v>Bez_Lo03_10</v>
      </c>
      <c r="G1963" s="38">
        <f ca="1">IF(H1961="","",4)</f>
        <v>4</v>
      </c>
      <c r="H1963" s="35" t="str">
        <f ca="1">IFERROR(IF(AND(INDEX(Tab_DaBa[],MATCH(CONCATENATE(Liste!$C$3,$B$1697,$B$1951),Data!$BO:$BO,0)-2,43)&lt;&gt;"",INDEX(Tab_DaBa[],MATCH(CONCATENATE(Liste!$C$3,$B$1697,$B$1951),Data!$BO:$BO,0)-2,48)=""),INDEX(Tab_DaBa[],MATCH(CONCATENATE(Liste!$C$3,$B$1697,$B$1951),Data!$BO:$BO,0)-2,13),IF(INDEX(Tab_DaBa[],MATCH(CONCATENATE(Liste!$C$3,$B$1697,$B$1951),Data!$BO:$BO,0)-2,43)&lt;&gt;"",INDEX(Tab_DaBa[],MATCH(CONCATENATE(Liste!$C$3,$B$1697,$B$1951),Data!$BO:$BO,0)-2,48),"")),"")</f>
        <v>Bez_Lo03_10</v>
      </c>
      <c r="I1963" s="38">
        <f ca="1">IF(B1969="","",6)</f>
        <v>6</v>
      </c>
    </row>
    <row r="1964" spans="2:9" s="16" customFormat="1" ht="15.75">
      <c r="B1964" s="35" t="str">
        <f ca="1">IFERROR(IF(AND(INDEX(Tab_DaBa[],MATCH(CONCATENATE(Liste!$C$3,$B$1697,$B$1951),Data!$BO:$BO,0)-2,28)&lt;&gt;"",INDEX(Tab_DaBa[],MATCH(CONCATENATE(Liste!$C$3,$B$1697,$B$1951),Data!$BO:$BO,0)-2,33)=""),"Performance Level: "&amp;INDEX(Tab_DaBa[],MATCH(CONCATENATE(Liste!$C$3,$B$1697,$B$1951),Data!$BO:$BO,0)-2,15),IF(INDEX(Tab_DaBa[],MATCH(CONCATENATE(Liste!$C$3,$B$1697,$B$1951),Data!$BO:$BO,0)-2,28)&lt;&gt;"","Performance Level: "&amp;INDEX(Tab_DaBa[],MATCH(CONCATENATE(Liste!$C$3,$B$1697,$B$1951),Data!$BO:$BO,0)-2,35),"")),"")</f>
        <v>Performance Level: PL_Lo04_10</v>
      </c>
      <c r="C1964" s="39"/>
      <c r="D1964" s="35" t="str">
        <f ca="1">IFERROR(IF(AND(INDEX(Tab_DaBa[],MATCH(CONCATENATE(Liste!$C$3,$B$1697,$B$1951),Data!$BO:$BO,0)-2,33)&lt;&gt;"",INDEX(Tab_DaBa[],MATCH(CONCATENATE(Liste!$C$3,$B$1697,$B$1951),Data!$BO:$BO,0)-2,38)=""),"Performance Level: "&amp;INDEX(Tab_DaBa[],MATCH(CONCATENATE(Liste!$C$3,$B$1697,$B$1951),Data!$BO:$BO,0)-2,15),IF(INDEX(Tab_DaBa[],MATCH(CONCATENATE(Liste!$C$3,$B$1697,$B$1951),Data!$BO:$BO,0)-2,33)&lt;&gt;"","Performance Level: "&amp;INDEX(Tab_DaBa[],MATCH(CONCATENATE(Liste!$C$3,$B$1697,$B$1951),Data!$BO:$BO,0)-2,40),"")),"")</f>
        <v>Performance Level: PL_Lo03_10</v>
      </c>
      <c r="E1964" s="37"/>
      <c r="F1964" s="35" t="str">
        <f ca="1">IFERROR(IF(AND(INDEX(Tab_DaBa[],MATCH(CONCATENATE(Liste!$C$3,$B$1697,$B$1951),Data!$BO:$BO,0)-2,38)&lt;&gt;"",INDEX(Tab_DaBa[],MATCH(CONCATENATE(Liste!$C$3,$B$1697,$B$1951),Data!$BO:$BO,0)-2,43)=""),"Performance Level: "&amp;INDEX(Tab_DaBa[],MATCH(CONCATENATE(Liste!$C$3,$B$1697,$B$1951),Data!$BO:$BO,0)-2,15),IF(INDEX(Tab_DaBa[],MATCH(CONCATENATE(Liste!$C$3,$B$1697,$B$1951),Data!$BO:$BO,0)-2,38)&lt;&gt;"","Performance Level: "&amp;INDEX(Tab_DaBa[],MATCH(CONCATENATE(Liste!$C$3,$B$1697,$B$1951),Data!$BO:$BO,0)-2,45),"")),"")</f>
        <v>Performance Level: PL_Lo03_10</v>
      </c>
      <c r="G1964" s="39"/>
      <c r="H1964" s="35" t="str">
        <f ca="1">IFERROR(IF(AND(INDEX(Tab_DaBa[],MATCH(CONCATENATE(Liste!$C$3,$B$1697,$B$1951),Data!$BO:$BO,0)-2,43)&lt;&gt;"",INDEX(Tab_DaBa[],MATCH(CONCATENATE(Liste!$C$3,$B$1697,$B$1951),Data!$BO:$BO,0)-2,48)=""),"Performance Level: "&amp;INDEX(Tab_DaBa[],MATCH(CONCATENATE(Liste!$C$3,$B$1697,$B$1951),Data!$BO:$BO,0)-2,15),IF(INDEX(Tab_DaBa[],MATCH(CONCATENATE(Liste!$C$3,$B$1697,$B$1951),Data!$BO:$BO,0)-2,43)&lt;&gt;"","Performance Level: "&amp;INDEX(Tab_DaBa[],MATCH(CONCATENATE(Liste!$C$3,$B$1697,$B$1951),Data!$BO:$BO,0)-2,50),"")),"")</f>
        <v>Performance Level: PL_Lo03_10</v>
      </c>
      <c r="I1964" s="39"/>
    </row>
    <row r="1965" spans="2:9" s="16" customFormat="1" ht="15.75">
      <c r="B1965" s="35" t="str">
        <f ca="1">IFERROR(IF(AND(INDEX(Tab_DaBa[],MATCH(CONCATENATE(Liste!$C$3,$B$1697,$B$1951),Data!$BO:$BO,0)-2,28)&lt;&gt;"",INDEX(Tab_DaBa[],MATCH(CONCATENATE(Liste!$C$3,$B$1697,$B$1951),Data!$BO:$BO,0)-2,33)=""),"PFH [1/h] = "&amp;10^9*INDEX(Tab_DaBa[],MATCH(CONCATENATE(Liste!$C$3,$B$1697,$B$1951),Data!$BO:$BO,0)-2,16)&amp;"E-9",IF(INDEX(Tab_DaBa[],MATCH(CONCATENATE(Liste!$C$3,$B$1697,$B$1951),Data!$BO:$BO,0)-2,28)&lt;&gt;"","PFH [1/h] = "&amp;10^9*INDEX(Tab_DaBa[],MATCH(CONCATENATE(Liste!$C$3,$B$1697,$B$1951),Data!$BO:$BO,0)-2,36)&amp;"E-9","")),"")</f>
        <v>PFH [1/h] = 4,19E-9</v>
      </c>
      <c r="C1965" s="39"/>
      <c r="D1965" s="35" t="str">
        <f ca="1">IFERROR(IF(AND(INDEX(Tab_DaBa[],MATCH(CONCATENATE(Liste!$C$3,$B$1697,$B$1951),Data!$BO:$BO,0)-2,33)&lt;&gt;"",INDEX(Tab_DaBa[],MATCH(CONCATENATE(Liste!$C$3,$B$1697,$B$1951),Data!$BO:$BO,0)-2,38)=""),"PFH [1/h] = "&amp;10^9*INDEX(Tab_DaBa[],MATCH(CONCATENATE(Liste!$C$3,$B$1697,$B$1951),Data!$BO:$BO,0)-2,16)&amp;"E-9",IF(INDEX(Tab_DaBa[],MATCH(CONCATENATE(Liste!$C$3,$B$1697,$B$1951),Data!$BO:$BO,0)-2,33)&lt;&gt;"","PFH [1/h] = "&amp;10^9*INDEX(Tab_DaBa[],MATCH(CONCATENATE(Liste!$C$3,$B$1697,$B$1951),Data!$BO:$BO,0)-2,41)&amp;"E-9","")),"")</f>
        <v>PFH [1/h] = 4,19E-9</v>
      </c>
      <c r="E1965" s="37"/>
      <c r="F1965" s="35" t="str">
        <f ca="1">IFERROR(IF(AND(INDEX(Tab_DaBa[],MATCH(CONCATENATE(Liste!$C$3,$B$1697,$B$1951),Data!$BO:$BO,0)-2,38)&lt;&gt;"",INDEX(Tab_DaBa[],MATCH(CONCATENATE(Liste!$C$3,$B$1697,$B$1951),Data!$BO:$BO,0)-2,43)=""),"PFH [1/h] = "&amp;10^9*INDEX(Tab_DaBa[],MATCH(CONCATENATE(Liste!$C$3,$B$1697,$B$1951),Data!$BO:$BO,0)-2,16)&amp;"E-9",IF(INDEX(Tab_DaBa[],MATCH(CONCATENATE(Liste!$C$3,$B$1697,$B$1951),Data!$BO:$BO,0)-2,38)&lt;&gt;"","PFH [1/h] = "&amp;10^9*INDEX(Tab_DaBa[],MATCH(CONCATENATE(Liste!$C$3,$B$1697,$B$1951),Data!$BO:$BO,0)-2,46)&amp;"E-9","")),"")</f>
        <v>PFH [1/h] = 4,19E-9</v>
      </c>
      <c r="G1965" s="39"/>
      <c r="H1965" s="35" t="str">
        <f ca="1">IFERROR(IF(AND(INDEX(Tab_DaBa[],MATCH(CONCATENATE(Liste!$C$3,$B$1697,$B$1951),Data!$BO:$BO,0)-2,43)&lt;&gt;"",INDEX(Tab_DaBa[],MATCH(CONCATENATE(Liste!$C$3,$B$1697,$B$1951),Data!$BO:$BO,0)-2,48)=""),"PFH [1/h] = "&amp;10^9*INDEX(Tab_DaBa[],MATCH(CONCATENATE(Liste!$C$3,$B$1697,$B$1951),Data!$BO:$BO,0)-2,16)&amp;"E-9",IF(INDEX(Tab_DaBa[],MATCH(CONCATENATE(Liste!$C$3,$B$1697,$B$1951),Data!$BO:$BO,0)-2,43)&lt;&gt;"","PFH [1/h] = "&amp;10^9*INDEX(Tab_DaBa[],MATCH(CONCATENATE(Liste!$C$3,$B$1697,$B$1951),Data!$BO:$BO,0)-2,51)&amp;"E-9","")),"")</f>
        <v>PFH [1/h] = 4,19E-9</v>
      </c>
      <c r="I1965" s="39"/>
    </row>
    <row r="1966" spans="2:9" s="16" customFormat="1">
      <c r="B1966" s="33"/>
      <c r="C1966" s="33"/>
      <c r="D1966" s="33"/>
      <c r="E1966" s="33"/>
      <c r="F1966" s="33"/>
      <c r="G1966" s="33"/>
      <c r="H1966" s="33"/>
      <c r="I1966" s="33"/>
    </row>
    <row r="1967" spans="2:9" s="16" customFormat="1" ht="15.75">
      <c r="B1967" s="38">
        <f ca="1">IF(B1969="","",6)</f>
        <v>6</v>
      </c>
      <c r="C1967" s="33"/>
      <c r="D1967" s="38">
        <f ca="1">IF(B1969="","",3)</f>
        <v>3</v>
      </c>
      <c r="E1967" s="33"/>
      <c r="F1967" s="38">
        <f ca="1">IF(B1969="","",3)</f>
        <v>3</v>
      </c>
      <c r="G1967" s="33"/>
      <c r="H1967" s="38">
        <f ca="1">IF(B1969="","",3)</f>
        <v>3</v>
      </c>
      <c r="I1967" s="33"/>
    </row>
    <row r="1968" spans="2:9" s="16" customFormat="1" ht="15.75">
      <c r="B1968" s="39"/>
      <c r="C1968" s="33"/>
      <c r="D1968" s="33"/>
      <c r="E1968" s="33"/>
      <c r="F1968" s="33"/>
      <c r="G1968" s="33"/>
      <c r="H1968" s="33"/>
      <c r="I1968" s="33"/>
    </row>
    <row r="1969" spans="2:9" s="16" customFormat="1" ht="15.75">
      <c r="B1969" s="35" t="str">
        <f ca="1">IFERROR(IF(AND(INDEX(Tab_DaBa[],MATCH(CONCATENATE(Liste!$C$3,$B$1697,$B$1951),Data!$BO:$BO,0)-2,48)&lt;&gt;"",INDEX(Tab_DaBa[],MATCH(CONCATENATE(Liste!$C$3,$B$1697,$B$1951),Data!$BO:$BO,0)-2,53)=0),INDEX(Tab_DaBa[],MATCH(CONCATENATE(Liste!$C$3,$B$1697,$B$1951),Data!$BO:$BO,0)-2,14),IF(INDEX(Tab_DaBa[],MATCH(CONCATENATE(Liste!$C$3,$B$1697,$B$1951),Data!$BO:$BO,0)-2,48)&lt;&gt;"",INDEX(Tab_DaBa[],MATCH(CONCATENATE(Liste!$C$3,$B$1697,$B$1951),Data!$BO:$BO,0)-2,54),"")),"")</f>
        <v>Logik 08</v>
      </c>
      <c r="C1969" s="39"/>
      <c r="D1969" s="35" t="str">
        <f ca="1">IFERROR(IF(AND(INDEX(Tab_DaBa[],MATCH(CONCATENATE(Liste!$C$3,$B$1697,$B$1951),Data!$BO:$BO,0)-2,53)&lt;&gt;"",INDEX(Tab_DaBa[],MATCH(CONCATENATE(Liste!$C$3,$B$1697,$B$1951),Data!$BO:$BO,0)-2,58)=0),INDEX(Tab_DaBa[],MATCH(CONCATENATE(Liste!$C$3,$B$1697,$B$1951),Data!$BO:$BO,0)-2,14),IF(INDEX(Tab_DaBa[],MATCH(CONCATENATE(Liste!$C$3,$B$1697,$B$1951),Data!$BO:$BO,0)-2,53)&lt;&gt;"",INDEX(Tab_DaBa[],MATCH(CONCATENATE(Liste!$C$3,$B$1697,$B$1951),Data!$BO:$BO,0)-2,59),"")),"")</f>
        <v>Logik 09</v>
      </c>
      <c r="E1969" s="33"/>
      <c r="F1969" s="35" t="str">
        <f ca="1">IFERROR(IF(AND(INDEX(Tab_DaBa[],MATCH(CONCATENATE(Liste!$C$3,$B$1697,$B$1951),Data!$BO:$BO,0)-2,58)&lt;&gt;"",INDEX(Tab_DaBa[],MATCH(CONCATENATE(Liste!$C$3,$B$1697,$B$1951),Data!$BO:$BO,0)-2,63)=0),INDEX(Tab_DaBa[],MATCH(CONCATENATE(Liste!$C$3,$B$1697,$B$1951),Data!$BO:$BO,0)-2,14),IF(INDEX(Tab_DaBa[],MATCH(CONCATENATE(Liste!$C$3,$B$1697,$B$1951),Data!$BO:$BO,0)-2,58)&lt;&gt;"",INDEX(Tab_DaBa[],MATCH(CONCATENATE(Liste!$C$3,$B$1697,$B$1951),Data!$BO:$BO,0)-2,64),"")),"")</f>
        <v>Logik 10</v>
      </c>
      <c r="G1969" s="39"/>
      <c r="H1969" s="35" t="str">
        <f ca="1">IFERROR(IF(INDEX(Tab_DaBa[],MATCH(CONCATENATE(Liste!$C$3,$B$1697,$B$1951),Data!$BO:$BO,0)-2,63)&lt;&gt;"",INDEX(Tab_DaBa[],MATCH(CONCATENATE(Liste!$C$3,$B$1697,$B$1951),Data!$BO:$BO,0)-2,14),""),"")</f>
        <v>Ausgang</v>
      </c>
    </row>
    <row r="1970" spans="2:9" s="16" customFormat="1" ht="15.75">
      <c r="B1970" s="35" t="str">
        <f ca="1">IFERROR(IF(AND(INDEX(Tab_DaBa[],MATCH(CONCATENATE(Liste!$C$3,$B$1697,$B$1951),Data!$BO:$BO,0)-2,48)&lt;&gt;"",INDEX(Tab_DaBa[],MATCH(CONCATENATE(Liste!$C$3,$B$1697,$B$1951),Data!$BO:$BO,0)-2,53)=0),INDEX(Tab_DaBa[],MATCH(CONCATENATE(Liste!$C$3,$B$1697,$B$1951),Data!$BO:$BO,0)-2,12),IF(INDEX(Tab_DaBa[],MATCH(CONCATENATE(Liste!$C$3,$B$1697,$B$1951),Data!$BO:$BO,0)-2,48)&lt;&gt;"",INDEX(Tab_DaBa[],MATCH(CONCATENATE(Liste!$C$3,$B$1697,$B$1951),Data!$BO:$BO,0)-2,52),"")),"")</f>
        <v>Lo03-88_10</v>
      </c>
      <c r="C1970" s="39"/>
      <c r="D1970" s="35" t="str">
        <f ca="1">IFERROR(IF(AND(INDEX(Tab_DaBa[],MATCH(CONCATENATE(Liste!$C$3,$B$1697,$B$1951),Data!$BO:$BO,0)-2,53)&lt;&gt;"",INDEX(Tab_DaBa[],MATCH(CONCATENATE(Liste!$C$3,$B$1697,$B$1951),Data!$BO:$BO,0)-2,58)=0),INDEX(Tab_DaBa[],MATCH(CONCATENATE(Liste!$C$3,$B$1697,$B$1951),Data!$BO:$BO,0)-2,12),IF(INDEX(Tab_DaBa[],MATCH(CONCATENATE(Liste!$C$3,$B$1697,$B$1951),Data!$BO:$BO,0)-2,53)&lt;&gt;"",INDEX(Tab_DaBa[],MATCH(CONCATENATE(Liste!$C$3,$B$1697,$B$1951),Data!$BO:$BO,0)-2,57),"")),"")</f>
        <v>Lo03-33_10</v>
      </c>
      <c r="E1970" s="37"/>
      <c r="F1970" s="35" t="str">
        <f ca="1">IFERROR(IF(AND(INDEX(Tab_DaBa[],MATCH(CONCATENATE(Liste!$C$3,$B$1697,$B$1951),Data!$BO:$BO,0)-2,58)&lt;&gt;"",INDEX(Tab_DaBa[],MATCH(CONCATENATE(Liste!$C$3,$B$1697,$B$1951),Data!$BO:$BO,0)-2,63)=0),INDEX(Tab_DaBa[],MATCH(CONCATENATE(Liste!$C$3,$B$1697,$B$1951),Data!$BO:$BO,0)-2,12),IF(INDEX(Tab_DaBa[],MATCH(CONCATENATE(Liste!$C$3,$B$1697,$B$1951),Data!$BO:$BO,0)-2,58)&lt;&gt;"",INDEX(Tab_DaBa[],MATCH(CONCATENATE(Liste!$C$3,$B$1697,$B$1951),Data!$BO:$BO,0)-2,62),"")),"")</f>
        <v>Lo03-10_10</v>
      </c>
      <c r="G1970" s="39"/>
      <c r="H1970" s="35" t="str">
        <f ca="1">IFERROR(IF(INDEX(Tab_DaBa[],MATCH(CONCATENATE(Liste!$C$3,$B$1697,$B$1951),Data!$BO:$BO,0)-2,63)&lt;&gt;"",INDEX(Tab_DaBa[],MATCH(CONCATENATE(Liste!$C$3,$B$1697,$B$1951),Data!$BO:$BO,0)-2,12),""),"")</f>
        <v>aaaa-44_10</v>
      </c>
    </row>
    <row r="1971" spans="2:9" s="16" customFormat="1" ht="15.75">
      <c r="B1971" s="35" t="str">
        <f ca="1">IFERROR(IF(AND(INDEX(Tab_DaBa[],MATCH(CONCATENATE(Liste!$C$3,$B$1697,$B$1951),Data!$BO:$BO,0)-2,48)&lt;&gt;"",INDEX(Tab_DaBa[],MATCH(CONCATENATE(Liste!$C$3,$B$1697,$B$1951),Data!$BO:$BO,0)-2,53)=""),INDEX(Tab_DaBa[],MATCH(CONCATENATE(Liste!$C$3,$B$1697,$B$1951),Data!$BO:$BO,0)-2,13),IF(INDEX(Tab_DaBa[],MATCH(CONCATENATE(Liste!$C$3,$B$1697,$B$1951),Data!$BO:$BO,0)-2,48)&lt;&gt;"",INDEX(Tab_DaBa[],MATCH(CONCATENATE(Liste!$C$3,$B$1697,$B$1951),Data!$BO:$BO,0)-2,53),"")),"")</f>
        <v>Bez_Lo03_10</v>
      </c>
      <c r="C1971" s="38">
        <f ca="1">IF(D1969="","",4)</f>
        <v>4</v>
      </c>
      <c r="D1971" s="35" t="str">
        <f ca="1">IFERROR(IF(AND(INDEX(Tab_DaBa[],MATCH(CONCATENATE(Liste!$C$3,$B$1697,$B$1951),Data!$BO:$BO,0)-2,53)&lt;&gt;"",INDEX(Tab_DaBa[],MATCH(CONCATENATE(Liste!$C$3,$B$1697,$B$1951),Data!$BO:$BO,0)-2,58)=""),INDEX(Tab_DaBa[],MATCH(CONCATENATE(Liste!$C$3,$B$1697,$B$1951),Data!$BO:$BO,0)-2,13),IF(INDEX(Tab_DaBa[],MATCH(CONCATENATE(Liste!$C$3,$B$1697,$B$1951),Data!$BO:$BO,0)-2,53)&lt;&gt;"",INDEX(Tab_DaBa[],MATCH(CONCATENATE(Liste!$C$3,$B$1697,$B$1951),Data!$BO:$BO,0)-2,58),"")),"")</f>
        <v>Bez_Lo03_10</v>
      </c>
      <c r="E1971" s="38">
        <f ca="1">IF(F1969="","",4)</f>
        <v>4</v>
      </c>
      <c r="F1971" s="35" t="str">
        <f ca="1">IFERROR(IF(AND(INDEX(Tab_DaBa[],MATCH(CONCATENATE(Liste!$C$3,$B$1697,$B$1951),Data!$BO:$BO,0)-2,58)&lt;&gt;"",INDEX(Tab_DaBa[],MATCH(CONCATENATE(Liste!$C$3,$B$1697,$B$1951),Data!$BO:$BO,0)-2,63)=""),INDEX(Tab_DaBa[],MATCH(CONCATENATE(Liste!$C$3,$B$1697,$B$1951),Data!$BO:$BO,0)-2,13),IF(INDEX(Tab_DaBa[],MATCH(CONCATENATE(Liste!$C$3,$B$1697,$B$1951),Data!$BO:$BO,0)-2,58)&lt;&gt;"",INDEX(Tab_DaBa[],MATCH(CONCATENATE(Liste!$C$3,$B$1697,$B$1951),Data!$BO:$BO,0)-2,63),"")),"")</f>
        <v>Bez_Lo03_10</v>
      </c>
      <c r="G1971" s="38">
        <f ca="1">IF(H1969="","",4)</f>
        <v>4</v>
      </c>
      <c r="H1971" s="35" t="str">
        <f ca="1">IFERROR(IF(INDEX(Tab_DaBa[],MATCH(CONCATENATE(Liste!$C$3,$B$1697,$B$1951),Data!$BO:$BO,0)-2,63)&lt;&gt;"",INDEX(Tab_DaBa[],MATCH(CONCATENATE(Liste!$C$3,$B$1697,$B$1951),Data!$BO:$BO,0)-2,13),""),"")</f>
        <v>Bez_Aus4_10</v>
      </c>
    </row>
    <row r="1972" spans="2:9" s="16" customFormat="1" ht="15.75">
      <c r="B1972" s="35" t="str">
        <f ca="1">IFERROR(IF(AND(INDEX(Tab_DaBa[],MATCH(CONCATENATE(Liste!$C$3,$B$1697,$B$1951),Data!$BO:$BO,0)-2,48)&lt;&gt;"",INDEX(Tab_DaBa[],MATCH(CONCATENATE(Liste!$C$3,$B$1697,$B$1951),Data!$BO:$BO,0)-2,53)=""),"Performance Level: "&amp;INDEX(Tab_DaBa[],MATCH(CONCATENATE(Liste!$C$3,$B$1697,$B$1951),Data!$BO:$BO,0)-2,15),IF(INDEX(Tab_DaBa[],MATCH(CONCATENATE(Liste!$C$3,$B$1697,$B$1951),Data!$BO:$BO,0)-2,48)&lt;&gt;"","Performance Level: "&amp;INDEX(Tab_DaBa[],MATCH(CONCATENATE(Liste!$C$3,$B$1697,$B$1951),Data!$BO:$BO,0)-2,55),"")),"")</f>
        <v>Performance Level: PL_Lo03_10</v>
      </c>
      <c r="C1972" s="39"/>
      <c r="D1972" s="35" t="str">
        <f ca="1">IFERROR(IF(AND(INDEX(Tab_DaBa[],MATCH(CONCATENATE(Liste!$C$3,$B$1697,$B$1951),Data!$BO:$BO,0)-2,53)&lt;&gt;"",INDEX(Tab_DaBa[],MATCH(CONCATENATE(Liste!$C$3,$B$1697,$B$1951),Data!$BO:$BO,0)-2,58)=""),"Performance Level: "&amp;INDEX(Tab_DaBa[],MATCH(CONCATENATE(Liste!$C$3,$B$1697,$B$1951),Data!$BO:$BO,0)-2,15),IF(INDEX(Tab_DaBa[],MATCH(CONCATENATE(Liste!$C$3,$B$1697,$B$1951),Data!$BO:$BO,0)-2,53)&lt;&gt;"","Performance Level: "&amp;INDEX(Tab_DaBa[],MATCH(CONCATENATE(Liste!$C$3,$B$1697,$B$1951),Data!$BO:$BO,0)-2,60),"")),"")</f>
        <v>Performance Level: PL_Lo03_10</v>
      </c>
      <c r="E1972" s="37"/>
      <c r="F1972" s="35" t="str">
        <f ca="1">IFERROR(IF(AND(INDEX(Tab_DaBa[],MATCH(CONCATENATE(Liste!$C$3,$B$1697,$B$1951),Data!$BO:$BO,0)-2,58)&lt;&gt;"",INDEX(Tab_DaBa[],MATCH(CONCATENATE(Liste!$C$3,$B$1697,$B$1951),Data!$BO:$BO,0)-2,63)=""),"Performance Level: "&amp;INDEX(Tab_DaBa[],MATCH(CONCATENATE(Liste!$C$3,$B$1697,$B$1951),Data!$BO:$BO,0)-2,15),IF(INDEX(Tab_DaBa[],MATCH(CONCATENATE(Liste!$C$3,$B$1697,$B$1951),Data!$BO:$BO,0)-2,58)&lt;&gt;"","Performance Level: "&amp;INDEX(Tab_DaBa[],MATCH(CONCATENATE(Liste!$C$3,$B$1697,$B$1951),Data!$BO:$BO,0)-2,65),"")),"")</f>
        <v>Performance Level: PL_Lo03_10</v>
      </c>
      <c r="G1972" s="39"/>
      <c r="H1972" s="35" t="str">
        <f ca="1">IFERROR(IF(INDEX(Tab_DaBa[],MATCH(CONCATENATE(Liste!$C$3,$B$1697,$B$1951),Data!$BO:$BO,0)-2,63)&lt;&gt;"","Performance Level: "&amp;INDEX(Tab_DaBa[],MATCH(CONCATENATE(Liste!$C$3,$B$1697,$B$1951),Data!$BO:$BO,0)-2,15),""),"")</f>
        <v>Performance Level: PL_Aus4_10</v>
      </c>
    </row>
    <row r="1973" spans="2:9" s="16" customFormat="1" ht="15.75">
      <c r="B1973" s="35" t="str">
        <f ca="1">IFERROR(IF(AND(INDEX(Tab_DaBa[],MATCH(CONCATENATE(Liste!$C$3,$B$1697,$B$1951),Data!$BO:$BO,0)-2,48)&lt;&gt;"",INDEX(Tab_DaBa[],MATCH(CONCATENATE(Liste!$C$3,$B$1697,$B$1951),Data!$BO:$BO,0)-2,53)=""),"PFH [1/h] = "&amp;10^9*INDEX(Tab_DaBa[],MATCH(CONCATENATE(Liste!$C$3,$B$1697,$B$1951),Data!$BO:$BO,0)-2,16)&amp;"E-9",IF(INDEX(Tab_DaBa[],MATCH(CONCATENATE(Liste!$C$3,$B$1697,$B$1951),Data!$BO:$BO,0)-2,48)&lt;&gt;"","PFH [1/h] = "&amp;10^9*INDEX(Tab_DaBa[],MATCH(CONCATENATE(Liste!$C$3,$B$1697,$B$1951),Data!$BO:$BO,0)-2,56)&amp;"E-9","")),"")</f>
        <v>PFH [1/h] = 4,19E-9</v>
      </c>
      <c r="C1973" s="39"/>
      <c r="D1973" s="35" t="str">
        <f ca="1">IFERROR(IF(AND(INDEX(Tab_DaBa[],MATCH(CONCATENATE(Liste!$C$3,$B$1697,$B$1951),Data!$BO:$BO,0)-2,53)&lt;&gt;"",INDEX(Tab_DaBa[],MATCH(CONCATENATE(Liste!$C$3,$B$1697,$B$1951),Data!$BO:$BO,0)-2,58)=""),"PFH [1/h] = "&amp;10^9*INDEX(Tab_DaBa[],MATCH(CONCATENATE(Liste!$C$3,$B$1697,$B$1951),Data!$BO:$BO,0)-2,16)&amp;"E-9",IF(INDEX(Tab_DaBa[],MATCH(CONCATENATE(Liste!$C$3,$B$1697,$B$1951),Data!$BO:$BO,0)-2,53)&lt;&gt;"","PFH [1/h] = "&amp;10^9*INDEX(Tab_DaBa[],MATCH(CONCATENATE(Liste!$C$3,$B$1697,$B$1951),Data!$BO:$BO,0)-2,61)&amp;"E-9","")),"")</f>
        <v>PFH [1/h] = 4,19E-9</v>
      </c>
      <c r="E1973" s="37"/>
      <c r="F1973" s="35" t="str">
        <f ca="1">IFERROR(IF(AND(INDEX(Tab_DaBa[],MATCH(CONCATENATE(Liste!$C$3,$B$1697,$B$1951),Data!$BO:$BO,0)-2,58)&lt;&gt;"",INDEX(Tab_DaBa[],MATCH(CONCATENATE(Liste!$C$3,$B$1697,$B$1951),Data!$BO:$BO,0)-2,63)=""),"PFH [1/h] = "&amp;10^9*INDEX(Tab_DaBa[],MATCH(CONCATENATE(Liste!$C$3,$B$1697,$B$1951),Data!$BO:$BO,0)-2,16)&amp;"E-9",IF(INDEX(Tab_DaBa[],MATCH(CONCATENATE(Liste!$C$3,$B$1697,$B$1951),Data!$BO:$BO,0)-2,58)&lt;&gt;"","PFH [1/h] = "&amp;10^9*INDEX(Tab_DaBa[],MATCH(CONCATENATE(Liste!$C$3,$B$1697,$B$1951),Data!$BO:$BO,0)-2,66)&amp;"E-9","")),"")</f>
        <v>PFH [1/h] = 4,19E-9</v>
      </c>
      <c r="G1973" s="39"/>
      <c r="H1973" s="35" t="str">
        <f ca="1">IFERROR(IF(INDEX(Tab_DaBa[],MATCH(CONCATENATE(Liste!$C$3,$B$1697,$B$1951),Data!$BO:$BO,0)-2,63)&lt;&gt;"","PFH [1/h] = "&amp;10^9*INDEX(Tab_DaBa[],MATCH(CONCATENATE(Liste!$C$3,$B$1697,$B$1951),Data!$BO:$BO,0)-2,16)&amp;"E-9",""),"")</f>
        <v>PFH [1/h] = 24,7E-9</v>
      </c>
    </row>
    <row r="1974" spans="2:9" s="16" customFormat="1"/>
    <row r="1975" spans="2:9" s="16" customFormat="1">
      <c r="B1975" s="43" t="str">
        <f ca="1">IF(D1975="","","Erforderlich")</f>
        <v>Erforderlich</v>
      </c>
      <c r="D1975" s="44" t="str">
        <f ca="1">IFERROR("Performance Level: "&amp;INDEX(Tab_DaBa[],MATCH(CONCATENATE(Liste!$C$3,$B$1697,$B$1951),Data!$BO:$BO,0)-2,4),"")</f>
        <v>Performance Level: PLr_ges4_10</v>
      </c>
    </row>
    <row r="1976" spans="2:9" s="16" customFormat="1">
      <c r="B1976" s="45"/>
    </row>
    <row r="1977" spans="2:9" s="16" customFormat="1">
      <c r="B1977" s="46" t="str">
        <f ca="1">IF(D1977="","","Erreicht")</f>
        <v>Erreicht</v>
      </c>
      <c r="D1977" s="47" t="str">
        <f ca="1">IFERROR("Performance Level: "&amp;INDEX(Tab_DaBa[],MATCH(CONCATENATE(Liste!$C$3,$B$1697,$B$1951),Data!$BO:$BO,0)-2,5)&amp;"          PFH [1/h] = "&amp;10^9*INDEX(Tab_DaBa[],MATCH(CONCATENATE(Liste!$C$3,$B$1697,$B$1951),Data!$BO:$BO,0)-2,6)&amp;"E-9","")</f>
        <v>Performance Level: Pl_ges4_10          PFH [1/h] = 71,7E-9</v>
      </c>
    </row>
    <row r="1978" spans="2:9" s="16" customFormat="1"/>
    <row r="1979" spans="2:9" s="16" customFormat="1">
      <c r="B1979" s="55" t="str">
        <f ca="1">Liste!$D$11</f>
        <v>8. Test08</v>
      </c>
    </row>
    <row r="1980" spans="2:9" s="16" customFormat="1"/>
    <row r="1981" spans="2:9" s="16" customFormat="1">
      <c r="B1981" s="42" t="str">
        <f ca="1">IFERROR(IF(1&gt;COUNTIF(Data!$BP:$BP,CONCATENATE(Liste!$C$3,$B$1979)),"",INDEX(Tab_DaBa[],MATCH(CONCATENATE(Liste!$C$3,$B$1979),Data!$BP:$BP,0)-2,3)),"")</f>
        <v>8.1 Test08 (E+1L+A)</v>
      </c>
    </row>
    <row r="1982" spans="2:9" s="16" customFormat="1"/>
    <row r="1983" spans="2:9" s="16" customFormat="1" ht="15.75">
      <c r="B1983" s="35" t="str">
        <f ca="1">IFERROR(INDEX(Tab_DaBa[],MATCH(CONCATENATE(Liste!$C$3,$B$1979,$B$1981),Data!$BO:$BO,0)-2,9),"")</f>
        <v>Eingang</v>
      </c>
      <c r="C1983" s="54"/>
      <c r="D1983" s="35" t="str">
        <f ca="1">IFERROR(IF(INDEX(Tab_DaBa[],MATCH(CONCATENATE(Liste!$C$3,$B$1979,$B$1981),Data!$BO:$BO,0)-2,18)=0,INDEX(Tab_DaBa[],MATCH(CONCATENATE(Liste!$C$3,$B$1979,$B$1981),Data!$BO:$BO,0)-2,14),INDEX(Tab_DaBa[],MATCH(CONCATENATE(Liste!$C$3,$B$1979,$B$1981),Data!$BO:$BO,0)-2,19)),"")</f>
        <v>Logik 01</v>
      </c>
      <c r="E1983" s="33"/>
      <c r="F1983" s="35" t="str">
        <f ca="1">IFERROR(IF(AND(INDEX(Tab_DaBa[],MATCH(CONCATENATE(Liste!$C$3,$B$1979,$B$1981),Data!$BO:$BO,0)-2,18)&lt;&gt;"",INDEX(Tab_DaBa[],MATCH(CONCATENATE(Liste!$C$3,$B$1979,$B$1981),Data!$BO:$BO,0)-2,23)=0),INDEX(Tab_DaBa[],MATCH(CONCATENATE(Liste!$C$3,$B$1979,$B$1981),Data!$BO:$BO,0)-2,14),IF(INDEX(Tab_DaBa[],MATCH(CONCATENATE(Liste!$C$3,$B$1979,$B$1981),Data!$BO:$BO,0)-2,23)&lt;&gt;"",INDEX(Tab_DaBa[],MATCH(CONCATENATE(Liste!$C$3,$B$1979,$B$1981),Data!$BO:$BO,0)-2,24),"")),"")</f>
        <v>Ausgang</v>
      </c>
      <c r="G1983" s="39"/>
      <c r="H1983" s="35" t="str">
        <f ca="1">IFERROR(IF(AND(INDEX(Tab_DaBa[],MATCH(CONCATENATE(Liste!$C$3,$B$1979,$B$1981),Data!$BO:$BO,0)-2,23)&lt;&gt;"",INDEX(Tab_DaBa[],MATCH(CONCATENATE(Liste!$C$3,$B$1979,$B$1981),Data!$BO:$BO,0)-2,28)=0),INDEX(Tab_DaBa[],MATCH(CONCATENATE(Liste!$C$3,$B$1979,$B$1981),Data!$BO:$BO,0)-2,14),IF(INDEX(Tab_DaBa[],MATCH(CONCATENATE(Liste!$C$3,$B$1979,$B$1981),Data!$BO:$BO,0)-2,23)&lt;&gt;"",INDEX(Tab_DaBa[],MATCH(CONCATENATE(Liste!$C$3,$B$1979,$B$1981),Data!$BO:$BO,0)-2,29),"")),"")</f>
        <v/>
      </c>
      <c r="I1983" s="39"/>
    </row>
    <row r="1984" spans="2:9" s="16" customFormat="1" ht="15.75">
      <c r="B1984" s="35" t="str">
        <f ca="1">IFERROR(INDEX(Tab_DaBa[],MATCH(CONCATENATE(Liste!$C$3,$B$1979,$B$1981),Data!$BO:$BO,0)-2,7),"")</f>
        <v>eeee-33_1</v>
      </c>
      <c r="C1984" s="54"/>
      <c r="D1984" s="35" t="str">
        <f ca="1">IFERROR(IF(INDEX(Tab_DaBa[],MATCH(CONCATENATE(Liste!$C$3,$B$1979,$B$1981),Data!$BO:$BO,0)-2,18)="",INDEX(Tab_DaBa[],MATCH(CONCATENATE(Liste!$C$3,$B$1979,$B$1981),Data!$BO:$BO,0)-2,12),INDEX(Tab_DaBa[],MATCH(CONCATENATE(Liste!$C$3,$B$1979,$B$1981),Data!$BO:$BO,0)-2,17)),"")</f>
        <v>Log01-04_01</v>
      </c>
      <c r="E1984" s="36"/>
      <c r="F1984" s="35" t="str">
        <f ca="1">IFERROR(IF(AND(INDEX(Tab_DaBa[],MATCH(CONCATENATE(Liste!$C$3,$B$1979,$B$1981),Data!$BO:$BO,0)-2,18)&lt;&gt;"",INDEX(Tab_DaBa[],MATCH(CONCATENATE(Liste!$C$3,$B$1979,$B$1981),Data!$BO:$BO,0)-2,23)=0),INDEX(Tab_DaBa[],MATCH(CONCATENATE(Liste!$C$3,$B$1979,$B$1981),Data!$BO:$BO,0)-2,12),IF(INDEX(Tab_DaBa[],MATCH(CONCATENATE(Liste!$C$3,$B$1979,$B$1981),Data!$BO:$BO,0)-2,23)&lt;&gt;"",INDEX(Tab_DaBa[],MATCH(CONCATENATE(Liste!$C$3,$B$1979,$B$1981),Data!$BO:$BO,0)-2,22),"")),"")</f>
        <v>aaaa-44_1</v>
      </c>
      <c r="G1984" s="39"/>
      <c r="H1984" s="35" t="str">
        <f ca="1">IFERROR(IF(AND(INDEX(Tab_DaBa[],MATCH(CONCATENATE(Liste!$C$3,$B$1979,$B$1981),Data!$BO:$BO,0)-2,23)&lt;&gt;"",INDEX(Tab_DaBa[],MATCH(CONCATENATE(Liste!$C$3,$B$1979,$B$1981),Data!$BO:$BO,0)-2,28)=0),INDEX(Tab_DaBa[],MATCH(CONCATENATE(Liste!$C$3,$B$1979,$B$1981),Data!$BO:$BO,0)-2,12),IF(INDEX(Tab_DaBa[],MATCH(CONCATENATE(Liste!$C$3,$B$1979,$B$1981),Data!$BO:$BO,0)-2,23)&lt;&gt;"",INDEX(Tab_DaBa[],MATCH(CONCATENATE(Liste!$C$3,$B$1979,$B$1981),Data!$BO:$BO,0)-2,27),"")),"")</f>
        <v/>
      </c>
      <c r="I1984" s="39"/>
    </row>
    <row r="1985" spans="2:9" s="16" customFormat="1" ht="15.75">
      <c r="B1985" s="35" t="str">
        <f ca="1">IFERROR(INDEX(Tab_DaBa[],MATCH(CONCATENATE(Liste!$C$3,$B$1979,$B$1981),Data!$BO:$BO,0)-2,8),"")</f>
        <v>Bez_Ein4_1</v>
      </c>
      <c r="C1985" s="40">
        <f ca="1">IF(D1983="","",4)</f>
        <v>4</v>
      </c>
      <c r="D1985" s="35" t="str">
        <f ca="1">IFERROR(IF(INDEX(Tab_DaBa[],MATCH(CONCATENATE(Liste!$C$3,$B$1979,$B$1981),Data!$BO:$BO,0)-2,18)="",INDEX(Tab_DaBa[],MATCH(CONCATENATE(Liste!$C$3,$B$1979,$B$1981),Data!$BO:$BO,0)-2,13),INDEX(Tab_DaBa[],MATCH(CONCATENATE(Liste!$C$3,$B$1979,$B$1981),Data!$BO:$BO,0)-2,18)),"")</f>
        <v>Bez_Log01_04_01</v>
      </c>
      <c r="E1985" s="40">
        <f ca="1">IF(F1983="","",4)</f>
        <v>4</v>
      </c>
      <c r="F1985" s="35" t="str">
        <f ca="1">IFERROR(IF(AND(INDEX(Tab_DaBa[],MATCH(CONCATENATE(Liste!$C$3,$B$1979,$B$1981),Data!$BO:$BO,0)-2,18)&lt;&gt;"",INDEX(Tab_DaBa[],MATCH(CONCATENATE(Liste!$C$3,$B$1979,$B$1981),Data!$BO:$BO,0)-2,23)=""),INDEX(Tab_DaBa[],MATCH(CONCATENATE(Liste!$C$3,$B$1979,$B$1981),Data!$BO:$BO,0)-2,13),IF(INDEX(Tab_DaBa[],MATCH(CONCATENATE(Liste!$C$3,$B$1979,$B$1981),Data!$BO:$BO,0)-2,23)&lt;&gt;"",INDEX(Tab_DaBa[],MATCH(CONCATENATE(Liste!$C$3,$B$1979,$B$1981),Data!$BO:$BO,0)-2,23),"")),"")</f>
        <v>Bez_Aus4_1</v>
      </c>
      <c r="G1985" s="38" t="str">
        <f ca="1">IF(H1983="","",4)</f>
        <v/>
      </c>
      <c r="H1985" s="35" t="str">
        <f ca="1">IFERROR(IF(AND(INDEX(Tab_DaBa[],MATCH(CONCATENATE(Liste!$C$3,$B$1979,$B$1981),Data!$BO:$BO,0)-2,23)&lt;&gt;"",INDEX(Tab_DaBa[],MATCH(CONCATENATE(Liste!$C$3,$B$1979,$B$1981),Data!$BO:$BO,0)-2,28)=""),INDEX(Tab_DaBa[],MATCH(CONCATENATE(Liste!$C$3,$B$1979,$B$1981),Data!$BO:$BO,0)-2,13),IF(INDEX(Tab_DaBa[],MATCH(CONCATENATE(Liste!$C$3,$B$1979,$B$1981),Data!$BO:$BO,0)-2,23)&lt;&gt;"",INDEX(Tab_DaBa[],MATCH(CONCATENATE(Liste!$C$3,$B$1979,$B$1981),Data!$BO:$BO,0)-2,28),"")),"")</f>
        <v/>
      </c>
      <c r="I1985" s="38" t="str">
        <f ca="1">IF(B1991="","",6)</f>
        <v/>
      </c>
    </row>
    <row r="1986" spans="2:9" s="16" customFormat="1" ht="15.75">
      <c r="B1986" s="35" t="str">
        <f ca="1">IFERROR("Performance Level: "&amp;INDEX(Tab_DaBa[],MATCH(CONCATENATE(Liste!$C$3,$B$1979,$B$1981),Data!$BO:$BO,0)-2,10),"")</f>
        <v>Performance Level: PL_Ein4_1</v>
      </c>
      <c r="C1986" s="54"/>
      <c r="D1986" s="35" t="str">
        <f ca="1">IFERROR(IF(INDEX(Tab_DaBa[],MATCH(CONCATENATE(Liste!$C$3,$B$1979,$B$1981),Data!$BO:$BO,0)-2,18)="","Performance Level: "&amp;INDEX(Tab_DaBa[],MATCH(CONCATENATE(Liste!$C$3,$B$1979,$B$1981),Data!$BO:$BO,0)-2,15),"Performance Level: "&amp;INDEX(Tab_DaBa[],MATCH(CONCATENATE(Liste!$C$3,$B$1979,$B$1981),Data!$BO:$BO,0)-2,20)),"")</f>
        <v>Performance Level: PL_Log01_04_01</v>
      </c>
      <c r="E1986" s="36"/>
      <c r="F1986" s="35" t="str">
        <f ca="1">IFERROR(IF(AND(INDEX(Tab_DaBa[],MATCH(CONCATENATE(Liste!$C$3,$B$1979,$B$1981),Data!$BO:$BO,0)-2,18)&lt;&gt;"",INDEX(Tab_DaBa[],MATCH(CONCATENATE(Liste!$C$3,$B$1979,$B$1981),Data!$BO:$BO,0)-2,23)=""),"Performance Level: "&amp;INDEX(Tab_DaBa[],MATCH(CONCATENATE(Liste!$C$3,$B$1979,$B$1981),Data!$BO:$BO,0)-2,15),IF(INDEX(Tab_DaBa[],MATCH(CONCATENATE(Liste!$C$3,$B$1979,$B$1981),Data!$BO:$BO,0)-2,23)&lt;&gt;"","Performance Level: "&amp;INDEX(Tab_DaBa[],MATCH(CONCATENATE(Liste!$C$3,$B$1979,$B$1981),Data!$BO:$BO,0)-2,25),"")),"")</f>
        <v>Performance Level: PL_Aus4_1</v>
      </c>
      <c r="G1986" s="39"/>
      <c r="H1986" s="35" t="str">
        <f ca="1">IFERROR(IF(AND(INDEX(Tab_DaBa[],MATCH(CONCATENATE(Liste!$C$3,$B$1979,$B$1981),Data!$BO:$BO,0)-2,23)&lt;&gt;"",INDEX(Tab_DaBa[],MATCH(CONCATENATE(Liste!$C$3,$B$1979,$B$1981),Data!$BO:$BO,0)-2,28)=""),"Performance Level: "&amp;INDEX(Tab_DaBa[],MATCH(CONCATENATE(Liste!$C$3,$B$1979,$B$1981),Data!$BO:$BO,0)-2,15),IF(INDEX(Tab_DaBa[],MATCH(CONCATENATE(Liste!$C$3,$B$1979,$B$1981),Data!$BO:$BO,0)-2,23)&lt;&gt;"","Performance Level: "&amp;INDEX(Tab_DaBa[],MATCH(CONCATENATE(Liste!$C$3,$B$1979,$B$1981),Data!$BO:$BO,0)-2,30),"")),"")</f>
        <v/>
      </c>
      <c r="I1986" s="38"/>
    </row>
    <row r="1987" spans="2:9" s="16" customFormat="1" ht="15.75">
      <c r="B1987" s="53" t="str">
        <f ca="1">IFERROR("PFH [1/h] = "&amp;10^9*INDEX(Tab_DaBa[],MATCH(CONCATENATE(Liste!$C$3,$B$1979,$B$1981),Data!$BO:$BO,0)-2,11)&amp;"E-9","")</f>
        <v>PFH [1/h] = 42,9E-9</v>
      </c>
      <c r="C1987" s="54"/>
      <c r="D1987" s="35" t="str">
        <f ca="1">IFERROR(IF(INDEX(Tab_DaBa[],MATCH(CONCATENATE(Liste!$C$3,$B$1979,$B$1981),Data!$BO:$BO,0)-2,18)="","PFH [1/h] = "&amp;10^9*INDEX(Tab_DaBa[],MATCH(CONCATENATE(Liste!$C$3,$B$1979,$B$1981),Data!$BO:$BO,0)-2,16)&amp;"E-9","PFH [1/h] = "&amp;10^9*INDEX(Tab_DaBa[],MATCH(CONCATENATE(Liste!$C$3,$B$1979,$B$1981),Data!$BO:$BO,0)-2,21)&amp;"E-9"),"")</f>
        <v>PFH [1/h] = 4,19E-9</v>
      </c>
      <c r="E1987" s="36"/>
      <c r="F1987" s="35" t="str">
        <f ca="1">IFERROR(IF(AND(INDEX(Tab_DaBa[],MATCH(CONCATENATE(Liste!$C$3,$B$1979,$B$1981),Data!$BO:$BO,0)-2,18)&lt;&gt;"",INDEX(Tab_DaBa[],MATCH(CONCATENATE(Liste!$C$3,$B$1979,$B$1981),Data!$BO:$BO,0)-2,23)=""),"PFH [1/h] = "&amp;10^9*INDEX(Tab_DaBa[],MATCH(CONCATENATE(Liste!$C$3,$B$1979,$B$1981),Data!$BO:$BO,0)-2,16)&amp;"E-9",IF(INDEX(Tab_DaBa[],MATCH(CONCATENATE(Liste!$C$3,$B$1979,$B$1981),Data!$BO:$BO,0)-2,23)&lt;&gt;"","PFH [1/h] = "&amp;10^9*INDEX(Tab_DaBa[],MATCH(CONCATENATE(Liste!$C$3,$B$1979,$B$1981),Data!$BO:$BO,0)-2,26)&amp;"E-9","")),"")</f>
        <v>PFH [1/h] = 24,7E-9</v>
      </c>
      <c r="G1987" s="39"/>
      <c r="H1987" s="35" t="str">
        <f ca="1">IFERROR(IF(AND(INDEX(Tab_DaBa[],MATCH(CONCATENATE(Liste!$C$3,$B$1979,$B$1981),Data!$BO:$BO,0)-2,23)&lt;&gt;"",INDEX(Tab_DaBa[],MATCH(CONCATENATE(Liste!$C$3,$B$1979,$B$1981),Data!$BO:$BO,0)-2,28)=""),"PFH [1/h] = "&amp;10^9*INDEX(Tab_DaBa[],MATCH(CONCATENATE(Liste!$C$3,$B$1979,$B$1981),Data!$BO:$BO,0)-2,16)&amp;"E-9",IF(INDEX(Tab_DaBa[],MATCH(CONCATENATE(Liste!$C$3,$B$1979,$B$1981),Data!$BO:$BO,0)-2,23)&lt;&gt;"","PFH [1/h] = "&amp;10^9*INDEX(Tab_DaBa[],MATCH(CONCATENATE(Liste!$C$3,$B$1979,$B$1981),Data!$BO:$BO,0)-2,31)&amp;"E-9","")),"")</f>
        <v/>
      </c>
      <c r="I1987" s="39"/>
    </row>
    <row r="1988" spans="2:9" s="16" customFormat="1">
      <c r="B1988" s="33"/>
      <c r="C1988" s="34"/>
      <c r="D1988" s="33"/>
      <c r="E1988" s="33"/>
      <c r="F1988" s="33"/>
      <c r="G1988" s="33"/>
      <c r="H1988" s="33"/>
      <c r="I1988" s="33"/>
    </row>
    <row r="1989" spans="2:9" s="16" customFormat="1" ht="15.75">
      <c r="B1989" s="38" t="str">
        <f ca="1">IF(B1991="","",6)</f>
        <v/>
      </c>
      <c r="C1989" s="34"/>
      <c r="D1989" s="38" t="str">
        <f ca="1">IF(B1991="","",3)</f>
        <v/>
      </c>
      <c r="E1989" s="33"/>
      <c r="F1989" s="38" t="str">
        <f ca="1">IF(B1991="","",3)</f>
        <v/>
      </c>
      <c r="G1989" s="33"/>
      <c r="H1989" s="38" t="str">
        <f ca="1">IF(B1991="","",3)</f>
        <v/>
      </c>
      <c r="I1989" s="33"/>
    </row>
    <row r="1990" spans="2:9" s="16" customFormat="1" ht="15.75">
      <c r="B1990" s="39"/>
      <c r="C1990" s="33"/>
      <c r="D1990" s="33"/>
      <c r="E1990" s="33"/>
      <c r="F1990" s="33"/>
      <c r="G1990" s="33"/>
      <c r="H1990" s="33"/>
      <c r="I1990" s="33"/>
    </row>
    <row r="1991" spans="2:9" s="16" customFormat="1" ht="15.75">
      <c r="B1991" s="35" t="str">
        <f ca="1">IFERROR(IF(AND(INDEX(Tab_DaBa[],MATCH(CONCATENATE(Liste!$C$3,$B$1979,$B$1981),Data!$BO:$BO,0)-2,28)&lt;&gt;"",INDEX(Tab_DaBa[],MATCH(CONCATENATE(Liste!$C$3,$B$1979,$B$1981),Data!$BO:$BO,0)-2,33)=0),INDEX(Tab_DaBa[],MATCH(CONCATENATE(Liste!$C$3,$B$1979,$B$1981),Data!$BO:$BO,0)-2,14),IF(INDEX(Tab_DaBa[],MATCH(CONCATENATE(Liste!$C$3,$B$1979,$B$1981),Data!$BO:$BO,0)-2,28)&lt;&gt;"",INDEX(Tab_DaBa[],MATCH(CONCATENATE(Liste!$C$3,$B$1979,$B$1981),Data!$BO:$BO,0)-2,34),"")),"")</f>
        <v/>
      </c>
      <c r="C1991" s="39"/>
      <c r="D1991" s="35" t="str">
        <f ca="1">IFERROR(IF(AND(INDEX(Tab_DaBa[],MATCH(CONCATENATE(Liste!$C$3,$B$1979,$B$1981),Data!$BO:$BO,0)-2,33)&lt;&gt;"",INDEX(Tab_DaBa[],MATCH(CONCATENATE(Liste!$C$3,$B$1979,$B$1981),Data!$BO:$BO,0)-2,38)=0),INDEX(Tab_DaBa[],MATCH(CONCATENATE(Liste!$C$3,$B$1979,$B$1981),Data!$BO:$BO,0)-2,14),IF(INDEX(Tab_DaBa[],MATCH(CONCATENATE(Liste!$C$3,$B$1979,$B$1981),Data!$BO:$BO,0)-2,33)&lt;&gt;"",INDEX(Tab_DaBa[],MATCH(CONCATENATE(Liste!$C$3,$B$1979,$B$1981),Data!$BO:$BO,0)-2,39),"")),"")</f>
        <v/>
      </c>
      <c r="E1991" s="33"/>
      <c r="F1991" s="35" t="str">
        <f ca="1">IFERROR(IF(AND(INDEX(Tab_DaBa[],MATCH(CONCATENATE(Liste!$C$3,$B$1979,$B$1981),Data!$BO:$BO,0)-2,38)&lt;&gt;"",INDEX(Tab_DaBa[],MATCH(CONCATENATE(Liste!$C$3,$B$1979,$B$1981),Data!$BO:$BO,0)-2,43)=0),INDEX(Tab_DaBa[],MATCH(CONCATENATE(Liste!$C$3,$B$1979,$B$1981),Data!$BO:$BO,0)-2,14),IF(INDEX(Tab_DaBa[],MATCH(CONCATENATE(Liste!$C$3,$B$1979,$B$1981),Data!$BO:$BO,0)-2,38)&lt;&gt;"",INDEX(Tab_DaBa[],MATCH(CONCATENATE(Liste!$C$3,$B$1979,$B$1981),Data!$BO:$BO,0)-2,44),"")),"")</f>
        <v/>
      </c>
      <c r="G1991" s="39"/>
      <c r="H1991" s="35" t="str">
        <f ca="1">IFERROR(IF(AND(INDEX(Tab_DaBa[],MATCH(CONCATENATE(Liste!$C$3,$B$1979,$B$1981),Data!$BO:$BO,0)-2,43)&lt;&gt;"",INDEX(Tab_DaBa[],MATCH(CONCATENATE(Liste!$C$3,$B$1979,$B$1981),Data!$BO:$BO,0)-2,48)=0),INDEX(Tab_DaBa[],MATCH(CONCATENATE(Liste!$C$3,$B$1979,$B$1981),Data!$BO:$BO,0)-2,14),IF(INDEX(Tab_DaBa[],MATCH(CONCATENATE(Liste!$C$3,$B$1979,$B$1981),Data!$BO:$BO,0)-2,43)&lt;&gt;"",INDEX(Tab_DaBa[],MATCH(CONCATENATE(Liste!$C$3,$B$1979,$B$1981),Data!$BO:$BO,0)-2,49),"")),"")</f>
        <v/>
      </c>
      <c r="I1991" s="39"/>
    </row>
    <row r="1992" spans="2:9" s="16" customFormat="1" ht="15.75">
      <c r="B1992" s="35" t="str">
        <f ca="1">IFERROR(IF(AND(INDEX(Tab_DaBa[],MATCH(CONCATENATE(Liste!$C$3,$B$1979,$B$1981),Data!$BO:$BO,0)-2,28)&lt;&gt;"",INDEX(Tab_DaBa[],MATCH(CONCATENATE(Liste!$C$3,$B$1979,$B$1981),Data!$BO:$BO,0)-2,33)=0),INDEX(Tab_DaBa[],MATCH(CONCATENATE(Liste!$C$3,$B$1979,$B$1981),Data!$BO:$BO,0)-2,12),IF(INDEX(Tab_DaBa[],MATCH(CONCATENATE(Liste!$C$3,$B$1979,$B$1981),Data!$BO:$BO,0)-2,28)&lt;&gt;"",INDEX(Tab_DaBa[],MATCH(CONCATENATE(Liste!$C$3,$B$1979,$B$1981),Data!$BO:$BO,0)-2,32),"")),"")</f>
        <v/>
      </c>
      <c r="C1992" s="39"/>
      <c r="D1992" s="35" t="str">
        <f ca="1">IFERROR(IF(AND(INDEX(Tab_DaBa[],MATCH(CONCATENATE(Liste!$C$3,$B$1979,$B$1981),Data!$BO:$BO,0)-2,33)&lt;&gt;"",INDEX(Tab_DaBa[],MATCH(CONCATENATE(Liste!$C$3,$B$1979,$B$1981),Data!$BO:$BO,0)-2,38)=0),INDEX(Tab_DaBa[],MATCH(CONCATENATE(Liste!$C$3,$B$1979,$B$1981),Data!$BO:$BO,0)-2,12),IF(INDEX(Tab_DaBa[],MATCH(CONCATENATE(Liste!$C$3,$B$1979,$B$1981),Data!$BO:$BO,0)-2,33)&lt;&gt;"",INDEX(Tab_DaBa[],MATCH(CONCATENATE(Liste!$C$3,$B$1979,$B$1981),Data!$BO:$BO,0)-2,37),"")),"")</f>
        <v/>
      </c>
      <c r="E1992" s="37"/>
      <c r="F1992" s="35" t="str">
        <f ca="1">IFERROR(IF(AND(INDEX(Tab_DaBa[],MATCH(CONCATENATE(Liste!$C$3,$B$1979,$B$1981),Data!$BO:$BO,0)-2,38)&lt;&gt;"",INDEX(Tab_DaBa[],MATCH(CONCATENATE(Liste!$C$3,$B$1979,$B$1981),Data!$BO:$BO,0)-2,43)=0),INDEX(Tab_DaBa[],MATCH(CONCATENATE(Liste!$C$3,$B$1979,$B$1981),Data!$BO:$BO,0)-2,12),IF(INDEX(Tab_DaBa[],MATCH(CONCATENATE(Liste!$C$3,$B$1979,$B$1981),Data!$BO:$BO,0)-2,38)&lt;&gt;"",INDEX(Tab_DaBa[],MATCH(CONCATENATE(Liste!$C$3,$B$1979,$B$1981),Data!$BO:$BO,0)-2,42),"")),"")</f>
        <v/>
      </c>
      <c r="G1992" s="39"/>
      <c r="H1992" s="35" t="str">
        <f ca="1">IFERROR(IF(AND(INDEX(Tab_DaBa[],MATCH(CONCATENATE(Liste!$C$3,$B$1979,$B$1981),Data!$BO:$BO,0)-2,43)&lt;&gt;"",INDEX(Tab_DaBa[],MATCH(CONCATENATE(Liste!$C$3,$B$1979,$B$1981),Data!$BO:$BO,0)-2,48)=0),INDEX(Tab_DaBa[],MATCH(CONCATENATE(Liste!$C$3,$B$1979,$B$1981),Data!$BO:$BO,0)-2,12),IF(INDEX(Tab_DaBa[],MATCH(CONCATENATE(Liste!$C$3,$B$1979,$B$1981),Data!$BO:$BO,0)-2,43)&lt;&gt;"",INDEX(Tab_DaBa[],MATCH(CONCATENATE(Liste!$C$3,$B$1979,$B$1981),Data!$BO:$BO,0)-2,47),"")),"")</f>
        <v/>
      </c>
      <c r="I1992" s="39"/>
    </row>
    <row r="1993" spans="2:9" s="16" customFormat="1" ht="15.75">
      <c r="B1993" s="35" t="str">
        <f ca="1">IFERROR(IF(AND(INDEX(Tab_DaBa[],MATCH(CONCATENATE(Liste!$C$3,$B$1979,$B$1981),Data!$BO:$BO,0)-2,28)&lt;&gt;"",INDEX(Tab_DaBa[],MATCH(CONCATENATE(Liste!$C$3,$B$1979,$B$1981),Data!$BO:$BO,0)-2,33)=""),INDEX(Tab_DaBa[],MATCH(CONCATENATE(Liste!$C$3,$B$1979,$B$1981),Data!$BO:$BO,0)-2,13),IF(INDEX(Tab_DaBa[],MATCH(CONCATENATE(Liste!$C$3,$B$1979,$B$1981),Data!$BO:$BO,0)-2,28)&lt;&gt;"",INDEX(Tab_DaBa[],MATCH(CONCATENATE(Liste!$C$3,$B$1979,$B$1981),Data!$BO:$BO,0)-2,33),"")),"")</f>
        <v/>
      </c>
      <c r="C1993" s="38" t="str">
        <f ca="1">IF(D1991="","",4)</f>
        <v/>
      </c>
      <c r="D1993" s="35" t="str">
        <f ca="1">IFERROR(IF(AND(INDEX(Tab_DaBa[],MATCH(CONCATENATE(Liste!$C$3,$B$1979,$B$1981),Data!$BO:$BO,0)-2,33)&lt;&gt;"",INDEX(Tab_DaBa[],MATCH(CONCATENATE(Liste!$C$3,$B$1979,$B$1981),Data!$BO:$BO,0)-2,38)=""),INDEX(Tab_DaBa[],MATCH(CONCATENATE(Liste!$C$3,$B$1979,$B$1981),Data!$BO:$BO,0)-2,13),IF(INDEX(Tab_DaBa[],MATCH(CONCATENATE(Liste!$C$3,$B$1979,$B$1981),Data!$BO:$BO,0)-2,33)&lt;&gt;"",INDEX(Tab_DaBa[],MATCH(CONCATENATE(Liste!$C$3,$B$1979,$B$1981),Data!$BO:$BO,0)-2,38),"")),"")</f>
        <v/>
      </c>
      <c r="E1993" s="38" t="str">
        <f ca="1">IF(F1991="","",4)</f>
        <v/>
      </c>
      <c r="F1993" s="35" t="str">
        <f ca="1">IFERROR(IF(AND(INDEX(Tab_DaBa[],MATCH(CONCATENATE(Liste!$C$3,$B$1979,$B$1981),Data!$BO:$BO,0)-2,38)&lt;&gt;"",INDEX(Tab_DaBa[],MATCH(CONCATENATE(Liste!$C$3,$B$1979,$B$1981),Data!$BO:$BO,0)-2,43)=""),INDEX(Tab_DaBa[],MATCH(CONCATENATE(Liste!$C$3,$B$1979,$B$1981),Data!$BO:$BO,0)-2,13),IF(INDEX(Tab_DaBa[],MATCH(CONCATENATE(Liste!$C$3,$B$1979,$B$1981),Data!$BO:$BO,0)-2,38)&lt;&gt;"",INDEX(Tab_DaBa[],MATCH(CONCATENATE(Liste!$C$3,$B$1979,$B$1981),Data!$BO:$BO,0)-2,43),"")),"")</f>
        <v/>
      </c>
      <c r="G1993" s="38" t="str">
        <f ca="1">IF(H1991="","",4)</f>
        <v/>
      </c>
      <c r="H1993" s="35" t="str">
        <f ca="1">IFERROR(IF(AND(INDEX(Tab_DaBa[],MATCH(CONCATENATE(Liste!$C$3,$B$1979,$B$1981),Data!$BO:$BO,0)-2,43)&lt;&gt;"",INDEX(Tab_DaBa[],MATCH(CONCATENATE(Liste!$C$3,$B$1979,$B$1981),Data!$BO:$BO,0)-2,48)=""),INDEX(Tab_DaBa[],MATCH(CONCATENATE(Liste!$C$3,$B$1979,$B$1981),Data!$BO:$BO,0)-2,13),IF(INDEX(Tab_DaBa[],MATCH(CONCATENATE(Liste!$C$3,$B$1979,$B$1981),Data!$BO:$BO,0)-2,43)&lt;&gt;"",INDEX(Tab_DaBa[],MATCH(CONCATENATE(Liste!$C$3,$B$1979,$B$1981),Data!$BO:$BO,0)-2,48),"")),"")</f>
        <v/>
      </c>
      <c r="I1993" s="38" t="str">
        <f ca="1">IF(B1999="","",6)</f>
        <v/>
      </c>
    </row>
    <row r="1994" spans="2:9" s="16" customFormat="1" ht="15.75">
      <c r="B1994" s="35" t="str">
        <f ca="1">IFERROR(IF(AND(INDEX(Tab_DaBa[],MATCH(CONCATENATE(Liste!$C$3,$B$1979,$B$1981),Data!$BO:$BO,0)-2,28)&lt;&gt;"",INDEX(Tab_DaBa[],MATCH(CONCATENATE(Liste!$C$3,$B$1979,$B$1981),Data!$BO:$BO,0)-2,33)=""),"Performance Level: "&amp;INDEX(Tab_DaBa[],MATCH(CONCATENATE(Liste!$C$3,$B$1979,$B$1981),Data!$BO:$BO,0)-2,15),IF(INDEX(Tab_DaBa[],MATCH(CONCATENATE(Liste!$C$3,$B$1979,$B$1981),Data!$BO:$BO,0)-2,28)&lt;&gt;"","Performance Level: "&amp;INDEX(Tab_DaBa[],MATCH(CONCATENATE(Liste!$C$3,$B$1979,$B$1981),Data!$BO:$BO,0)-2,35),"")),"")</f>
        <v/>
      </c>
      <c r="C1994" s="39"/>
      <c r="D1994" s="35" t="str">
        <f ca="1">IFERROR(IF(AND(INDEX(Tab_DaBa[],MATCH(CONCATENATE(Liste!$C$3,$B$1979,$B$1981),Data!$BO:$BO,0)-2,33)&lt;&gt;"",INDEX(Tab_DaBa[],MATCH(CONCATENATE(Liste!$C$3,$B$1979,$B$1981),Data!$BO:$BO,0)-2,38)=""),"Performance Level: "&amp;INDEX(Tab_DaBa[],MATCH(CONCATENATE(Liste!$C$3,$B$1979,$B$1981),Data!$BO:$BO,0)-2,15),IF(INDEX(Tab_DaBa[],MATCH(CONCATENATE(Liste!$C$3,$B$1979,$B$1981),Data!$BO:$BO,0)-2,33)&lt;&gt;"","Performance Level: "&amp;INDEX(Tab_DaBa[],MATCH(CONCATENATE(Liste!$C$3,$B$1979,$B$1981),Data!$BO:$BO,0)-2,40),"")),"")</f>
        <v/>
      </c>
      <c r="E1994" s="37"/>
      <c r="F1994" s="35" t="str">
        <f ca="1">IFERROR(IF(AND(INDEX(Tab_DaBa[],MATCH(CONCATENATE(Liste!$C$3,$B$1979,$B$1981),Data!$BO:$BO,0)-2,38)&lt;&gt;"",INDEX(Tab_DaBa[],MATCH(CONCATENATE(Liste!$C$3,$B$1979,$B$1981),Data!$BO:$BO,0)-2,43)=""),"Performance Level: "&amp;INDEX(Tab_DaBa[],MATCH(CONCATENATE(Liste!$C$3,$B$1979,$B$1981),Data!$BO:$BO,0)-2,15),IF(INDEX(Tab_DaBa[],MATCH(CONCATENATE(Liste!$C$3,$B$1979,$B$1981),Data!$BO:$BO,0)-2,38)&lt;&gt;"","Performance Level: "&amp;INDEX(Tab_DaBa[],MATCH(CONCATENATE(Liste!$C$3,$B$1979,$B$1981),Data!$BO:$BO,0)-2,45),"")),"")</f>
        <v/>
      </c>
      <c r="G1994" s="39"/>
      <c r="H1994" s="35" t="str">
        <f ca="1">IFERROR(IF(AND(INDEX(Tab_DaBa[],MATCH(CONCATENATE(Liste!$C$3,$B$1979,$B$1981),Data!$BO:$BO,0)-2,43)&lt;&gt;"",INDEX(Tab_DaBa[],MATCH(CONCATENATE(Liste!$C$3,$B$1979,$B$1981),Data!$BO:$BO,0)-2,48)=""),"Performance Level: "&amp;INDEX(Tab_DaBa[],MATCH(CONCATENATE(Liste!$C$3,$B$1979,$B$1981),Data!$BO:$BO,0)-2,15),IF(INDEX(Tab_DaBa[],MATCH(CONCATENATE(Liste!$C$3,$B$1979,$B$1981),Data!$BO:$BO,0)-2,43)&lt;&gt;"","Performance Level: "&amp;INDEX(Tab_DaBa[],MATCH(CONCATENATE(Liste!$C$3,$B$1979,$B$1981),Data!$BO:$BO,0)-2,50),"")),"")</f>
        <v/>
      </c>
      <c r="I1994" s="39"/>
    </row>
    <row r="1995" spans="2:9" s="16" customFormat="1" ht="15.75">
      <c r="B1995" s="35" t="str">
        <f ca="1">IFERROR(IF(AND(INDEX(Tab_DaBa[],MATCH(CONCATENATE(Liste!$C$3,$B$1979,$B$1981),Data!$BO:$BO,0)-2,28)&lt;&gt;"",INDEX(Tab_DaBa[],MATCH(CONCATENATE(Liste!$C$3,$B$1979,$B$1981),Data!$BO:$BO,0)-2,33)=""),"PFH [1/h] = "&amp;10^9*INDEX(Tab_DaBa[],MATCH(CONCATENATE(Liste!$C$3,$B$1979,$B$1981),Data!$BO:$BO,0)-2,16)&amp;"E-9",IF(INDEX(Tab_DaBa[],MATCH(CONCATENATE(Liste!$C$3,$B$1979,$B$1981),Data!$BO:$BO,0)-2,28)&lt;&gt;"","PFH [1/h] = "&amp;10^9*INDEX(Tab_DaBa[],MATCH(CONCATENATE(Liste!$C$3,$B$1979,$B$1981),Data!$BO:$BO,0)-2,36)&amp;"E-9","")),"")</f>
        <v/>
      </c>
      <c r="C1995" s="39"/>
      <c r="D1995" s="35" t="str">
        <f ca="1">IFERROR(IF(AND(INDEX(Tab_DaBa[],MATCH(CONCATENATE(Liste!$C$3,$B$1979,$B$1981),Data!$BO:$BO,0)-2,33)&lt;&gt;"",INDEX(Tab_DaBa[],MATCH(CONCATENATE(Liste!$C$3,$B$1979,$B$1981),Data!$BO:$BO,0)-2,38)=""),"PFH [1/h] = "&amp;10^9*INDEX(Tab_DaBa[],MATCH(CONCATENATE(Liste!$C$3,$B$1979,$B$1981),Data!$BO:$BO,0)-2,16)&amp;"E-9",IF(INDEX(Tab_DaBa[],MATCH(CONCATENATE(Liste!$C$3,$B$1979,$B$1981),Data!$BO:$BO,0)-2,33)&lt;&gt;"","PFH [1/h] = "&amp;10^9*INDEX(Tab_DaBa[],MATCH(CONCATENATE(Liste!$C$3,$B$1979,$B$1981),Data!$BO:$BO,0)-2,41)&amp;"E-9","")),"")</f>
        <v/>
      </c>
      <c r="E1995" s="37"/>
      <c r="F1995" s="35" t="str">
        <f ca="1">IFERROR(IF(AND(INDEX(Tab_DaBa[],MATCH(CONCATENATE(Liste!$C$3,$B$1979,$B$1981),Data!$BO:$BO,0)-2,38)&lt;&gt;"",INDEX(Tab_DaBa[],MATCH(CONCATENATE(Liste!$C$3,$B$1979,$B$1981),Data!$BO:$BO,0)-2,43)=""),"PFH [1/h] = "&amp;10^9*INDEX(Tab_DaBa[],MATCH(CONCATENATE(Liste!$C$3,$B$1979,$B$1981),Data!$BO:$BO,0)-2,16)&amp;"E-9",IF(INDEX(Tab_DaBa[],MATCH(CONCATENATE(Liste!$C$3,$B$1979,$B$1981),Data!$BO:$BO,0)-2,38)&lt;&gt;"","PFH [1/h] = "&amp;10^9*INDEX(Tab_DaBa[],MATCH(CONCATENATE(Liste!$C$3,$B$1979,$B$1981),Data!$BO:$BO,0)-2,46)&amp;"E-9","")),"")</f>
        <v/>
      </c>
      <c r="G1995" s="39"/>
      <c r="H1995" s="35" t="str">
        <f ca="1">IFERROR(IF(AND(INDEX(Tab_DaBa[],MATCH(CONCATENATE(Liste!$C$3,$B$1979,$B$1981),Data!$BO:$BO,0)-2,43)&lt;&gt;"",INDEX(Tab_DaBa[],MATCH(CONCATENATE(Liste!$C$3,$B$1979,$B$1981),Data!$BO:$BO,0)-2,48)=""),"PFH [1/h] = "&amp;10^9*INDEX(Tab_DaBa[],MATCH(CONCATENATE(Liste!$C$3,$B$1979,$B$1981),Data!$BO:$BO,0)-2,16)&amp;"E-9",IF(INDEX(Tab_DaBa[],MATCH(CONCATENATE(Liste!$C$3,$B$1979,$B$1981),Data!$BO:$BO,0)-2,43)&lt;&gt;"","PFH [1/h] = "&amp;10^9*INDEX(Tab_DaBa[],MATCH(CONCATENATE(Liste!$C$3,$B$1979,$B$1981),Data!$BO:$BO,0)-2,51)&amp;"E-9","")),"")</f>
        <v/>
      </c>
      <c r="I1995" s="39"/>
    </row>
    <row r="1996" spans="2:9" s="16" customFormat="1">
      <c r="B1996" s="33"/>
      <c r="C1996" s="33"/>
      <c r="D1996" s="33"/>
      <c r="E1996" s="33"/>
      <c r="F1996" s="33"/>
      <c r="G1996" s="33"/>
      <c r="H1996" s="33"/>
      <c r="I1996" s="33"/>
    </row>
    <row r="1997" spans="2:9" s="16" customFormat="1" ht="15.75">
      <c r="B1997" s="38" t="str">
        <f ca="1">IF(B1999="","",6)</f>
        <v/>
      </c>
      <c r="C1997" s="33"/>
      <c r="D1997" s="38" t="str">
        <f ca="1">IF(B1999="","",3)</f>
        <v/>
      </c>
      <c r="E1997" s="33"/>
      <c r="F1997" s="38" t="str">
        <f ca="1">IF(B1999="","",3)</f>
        <v/>
      </c>
      <c r="G1997" s="33"/>
      <c r="H1997" s="38" t="str">
        <f ca="1">IF(B1999="","",3)</f>
        <v/>
      </c>
      <c r="I1997" s="33"/>
    </row>
    <row r="1998" spans="2:9" s="16" customFormat="1" ht="15.75">
      <c r="B1998" s="39"/>
      <c r="C1998" s="33"/>
      <c r="D1998" s="33"/>
      <c r="E1998" s="33"/>
      <c r="F1998" s="33"/>
      <c r="G1998" s="33"/>
      <c r="H1998" s="33"/>
      <c r="I1998" s="33"/>
    </row>
    <row r="1999" spans="2:9" s="16" customFormat="1" ht="15.75">
      <c r="B1999" s="35" t="str">
        <f ca="1">IFERROR(IF(AND(INDEX(Tab_DaBa[],MATCH(CONCATENATE(Liste!$C$3,$B$1979,$B$1981),Data!$BO:$BO,0)-2,48)&lt;&gt;"",INDEX(Tab_DaBa[],MATCH(CONCATENATE(Liste!$C$3,$B$1979,$B$1981),Data!$BO:$BO,0)-2,53)=0),INDEX(Tab_DaBa[],MATCH(CONCATENATE(Liste!$C$3,$B$1979,$B$1981),Data!$BO:$BO,0)-2,14),IF(INDEX(Tab_DaBa[],MATCH(CONCATENATE(Liste!$C$3,$B$1979,$B$1981),Data!$BO:$BO,0)-2,48)&lt;&gt;"",INDEX(Tab_DaBa[],MATCH(CONCATENATE(Liste!$C$3,$B$1979,$B$1981),Data!$BO:$BO,0)-2,54),"")),"")</f>
        <v/>
      </c>
      <c r="C1999" s="39"/>
      <c r="D1999" s="35" t="str">
        <f ca="1">IFERROR(IF(AND(INDEX(Tab_DaBa[],MATCH(CONCATENATE(Liste!$C$3,$B$1979,$B$1981),Data!$BO:$BO,0)-2,53)&lt;&gt;"",INDEX(Tab_DaBa[],MATCH(CONCATENATE(Liste!$C$3,$B$1979,$B$1981),Data!$BO:$BO,0)-2,58)=0),INDEX(Tab_DaBa[],MATCH(CONCATENATE(Liste!$C$3,$B$1979,$B$1981),Data!$BO:$BO,0)-2,14),IF(INDEX(Tab_DaBa[],MATCH(CONCATENATE(Liste!$C$3,$B$1979,$B$1981),Data!$BO:$BO,0)-2,53)&lt;&gt;"",INDEX(Tab_DaBa[],MATCH(CONCATENATE(Liste!$C$3,$B$1979,$B$1981),Data!$BO:$BO,0)-2,59),"")),"")</f>
        <v/>
      </c>
      <c r="E1999" s="33"/>
      <c r="F1999" s="35" t="str">
        <f ca="1">IFERROR(IF(AND(INDEX(Tab_DaBa[],MATCH(CONCATENATE(Liste!$C$3,$B$1979,$B$1981),Data!$BO:$BO,0)-2,58)&lt;&gt;"",INDEX(Tab_DaBa[],MATCH(CONCATENATE(Liste!$C$3,$B$1979,$B$1981),Data!$BO:$BO,0)-2,63)=0),INDEX(Tab_DaBa[],MATCH(CONCATENATE(Liste!$C$3,$B$1979,$B$1981),Data!$BO:$BO,0)-2,14),IF(INDEX(Tab_DaBa[],MATCH(CONCATENATE(Liste!$C$3,$B$1979,$B$1981),Data!$BO:$BO,0)-2,58)&lt;&gt;"",INDEX(Tab_DaBa[],MATCH(CONCATENATE(Liste!$C$3,$B$1979,$B$1981),Data!$BO:$BO,0)-2,64),"")),"")</f>
        <v/>
      </c>
      <c r="G1999" s="39"/>
      <c r="H1999" s="35" t="str">
        <f ca="1">IFERROR(IF(INDEX(Tab_DaBa[],MATCH(CONCATENATE(Liste!$C$3,$B$1979,$B$1981),Data!$BO:$BO,0)-2,63)&lt;&gt;"",INDEX(Tab_DaBa[],MATCH(CONCATENATE(Liste!$C$3,$B$1979,$B$1981),Data!$BO:$BO,0)-2,14),""),"")</f>
        <v/>
      </c>
    </row>
    <row r="2000" spans="2:9" s="16" customFormat="1" ht="15.75">
      <c r="B2000" s="35" t="str">
        <f ca="1">IFERROR(IF(AND(INDEX(Tab_DaBa[],MATCH(CONCATENATE(Liste!$C$3,$B$1979,$B$1981),Data!$BO:$BO,0)-2,48)&lt;&gt;"",INDEX(Tab_DaBa[],MATCH(CONCATENATE(Liste!$C$3,$B$1979,$B$1981),Data!$BO:$BO,0)-2,53)=0),INDEX(Tab_DaBa[],MATCH(CONCATENATE(Liste!$C$3,$B$1979,$B$1981),Data!$BO:$BO,0)-2,12),IF(INDEX(Tab_DaBa[],MATCH(CONCATENATE(Liste!$C$3,$B$1979,$B$1981),Data!$BO:$BO,0)-2,48)&lt;&gt;"",INDEX(Tab_DaBa[],MATCH(CONCATENATE(Liste!$C$3,$B$1979,$B$1981),Data!$BO:$BO,0)-2,52),"")),"")</f>
        <v/>
      </c>
      <c r="C2000" s="39"/>
      <c r="D2000" s="35" t="str">
        <f ca="1">IFERROR(IF(AND(INDEX(Tab_DaBa[],MATCH(CONCATENATE(Liste!$C$3,$B$1979,$B$1981),Data!$BO:$BO,0)-2,53)&lt;&gt;"",INDEX(Tab_DaBa[],MATCH(CONCATENATE(Liste!$C$3,$B$1979,$B$1981),Data!$BO:$BO,0)-2,58)=0),INDEX(Tab_DaBa[],MATCH(CONCATENATE(Liste!$C$3,$B$1979,$B$1981),Data!$BO:$BO,0)-2,12),IF(INDEX(Tab_DaBa[],MATCH(CONCATENATE(Liste!$C$3,$B$1979,$B$1981),Data!$BO:$BO,0)-2,53)&lt;&gt;"",INDEX(Tab_DaBa[],MATCH(CONCATENATE(Liste!$C$3,$B$1979,$B$1981),Data!$BO:$BO,0)-2,57),"")),"")</f>
        <v/>
      </c>
      <c r="E2000" s="37"/>
      <c r="F2000" s="35" t="str">
        <f ca="1">IFERROR(IF(AND(INDEX(Tab_DaBa[],MATCH(CONCATENATE(Liste!$C$3,$B$1979,$B$1981),Data!$BO:$BO,0)-2,58)&lt;&gt;"",INDEX(Tab_DaBa[],MATCH(CONCATENATE(Liste!$C$3,$B$1979,$B$1981),Data!$BO:$BO,0)-2,63)=0),INDEX(Tab_DaBa[],MATCH(CONCATENATE(Liste!$C$3,$B$1979,$B$1981),Data!$BO:$BO,0)-2,12),IF(INDEX(Tab_DaBa[],MATCH(CONCATENATE(Liste!$C$3,$B$1979,$B$1981),Data!$BO:$BO,0)-2,58)&lt;&gt;"",INDEX(Tab_DaBa[],MATCH(CONCATENATE(Liste!$C$3,$B$1979,$B$1981),Data!$BO:$BO,0)-2,62),"")),"")</f>
        <v/>
      </c>
      <c r="G2000" s="39"/>
      <c r="H2000" s="35" t="str">
        <f ca="1">IFERROR(IF(INDEX(Tab_DaBa[],MATCH(CONCATENATE(Liste!$C$3,$B$1979,$B$1981),Data!$BO:$BO,0)-2,63)&lt;&gt;"",INDEX(Tab_DaBa[],MATCH(CONCATENATE(Liste!$C$3,$B$1979,$B$1981),Data!$BO:$BO,0)-2,12),""),"")</f>
        <v/>
      </c>
    </row>
    <row r="2001" spans="2:9" s="16" customFormat="1" ht="15.75">
      <c r="B2001" s="35" t="str">
        <f ca="1">IFERROR(IF(AND(INDEX(Tab_DaBa[],MATCH(CONCATENATE(Liste!$C$3,$B$1979,$B$1981),Data!$BO:$BO,0)-2,48)&lt;&gt;"",INDEX(Tab_DaBa[],MATCH(CONCATENATE(Liste!$C$3,$B$1979,$B$1981),Data!$BO:$BO,0)-2,53)=""),INDEX(Tab_DaBa[],MATCH(CONCATENATE(Liste!$C$3,$B$1979,$B$1981),Data!$BO:$BO,0)-2,13),IF(INDEX(Tab_DaBa[],MATCH(CONCATENATE(Liste!$C$3,$B$1979,$B$1981),Data!$BO:$BO,0)-2,48)&lt;&gt;"",INDEX(Tab_DaBa[],MATCH(CONCATENATE(Liste!$C$3,$B$1979,$B$1981),Data!$BO:$BO,0)-2,53),"")),"")</f>
        <v/>
      </c>
      <c r="C2001" s="38" t="str">
        <f ca="1">IF(D1999="","",4)</f>
        <v/>
      </c>
      <c r="D2001" s="35" t="str">
        <f ca="1">IFERROR(IF(AND(INDEX(Tab_DaBa[],MATCH(CONCATENATE(Liste!$C$3,$B$1979,$B$1981),Data!$BO:$BO,0)-2,53)&lt;&gt;"",INDEX(Tab_DaBa[],MATCH(CONCATENATE(Liste!$C$3,$B$1979,$B$1981),Data!$BO:$BO,0)-2,58)=""),INDEX(Tab_DaBa[],MATCH(CONCATENATE(Liste!$C$3,$B$1979,$B$1981),Data!$BO:$BO,0)-2,13),IF(INDEX(Tab_DaBa[],MATCH(CONCATENATE(Liste!$C$3,$B$1979,$B$1981),Data!$BO:$BO,0)-2,53)&lt;&gt;"",INDEX(Tab_DaBa[],MATCH(CONCATENATE(Liste!$C$3,$B$1979,$B$1981),Data!$BO:$BO,0)-2,58),"")),"")</f>
        <v/>
      </c>
      <c r="E2001" s="38" t="str">
        <f ca="1">IF(F1999="","",4)</f>
        <v/>
      </c>
      <c r="F2001" s="35" t="str">
        <f ca="1">IFERROR(IF(AND(INDEX(Tab_DaBa[],MATCH(CONCATENATE(Liste!$C$3,$B$1979,$B$1981),Data!$BO:$BO,0)-2,58)&lt;&gt;"",INDEX(Tab_DaBa[],MATCH(CONCATENATE(Liste!$C$3,$B$1979,$B$1981),Data!$BO:$BO,0)-2,63)=""),INDEX(Tab_DaBa[],MATCH(CONCATENATE(Liste!$C$3,$B$1979,$B$1981),Data!$BO:$BO,0)-2,13),IF(INDEX(Tab_DaBa[],MATCH(CONCATENATE(Liste!$C$3,$B$1979,$B$1981),Data!$BO:$BO,0)-2,58)&lt;&gt;"",INDEX(Tab_DaBa[],MATCH(CONCATENATE(Liste!$C$3,$B$1979,$B$1981),Data!$BO:$BO,0)-2,63),"")),"")</f>
        <v/>
      </c>
      <c r="G2001" s="38" t="str">
        <f ca="1">IF(H1999="","",4)</f>
        <v/>
      </c>
      <c r="H2001" s="35" t="str">
        <f ca="1">IFERROR(IF(INDEX(Tab_DaBa[],MATCH(CONCATENATE(Liste!$C$3,$B$1979,$B$1981),Data!$BO:$BO,0)-2,63)&lt;&gt;"",INDEX(Tab_DaBa[],MATCH(CONCATENATE(Liste!$C$3,$B$1979,$B$1981),Data!$BO:$BO,0)-2,13),""),"")</f>
        <v/>
      </c>
    </row>
    <row r="2002" spans="2:9" s="16" customFormat="1" ht="15.75">
      <c r="B2002" s="35" t="str">
        <f ca="1">IFERROR(IF(AND(INDEX(Tab_DaBa[],MATCH(CONCATENATE(Liste!$C$3,$B$1979,$B$1981),Data!$BO:$BO,0)-2,48)&lt;&gt;"",INDEX(Tab_DaBa[],MATCH(CONCATENATE(Liste!$C$3,$B$1979,$B$1981),Data!$BO:$BO,0)-2,53)=""),"Performance Level: "&amp;INDEX(Tab_DaBa[],MATCH(CONCATENATE(Liste!$C$3,$B$1979,$B$1981),Data!$BO:$BO,0)-2,15),IF(INDEX(Tab_DaBa[],MATCH(CONCATENATE(Liste!$C$3,$B$1979,$B$1981),Data!$BO:$BO,0)-2,48)&lt;&gt;"","Performance Level: "&amp;INDEX(Tab_DaBa[],MATCH(CONCATENATE(Liste!$C$3,$B$1979,$B$1981),Data!$BO:$BO,0)-2,55),"")),"")</f>
        <v/>
      </c>
      <c r="C2002" s="39"/>
      <c r="D2002" s="35" t="str">
        <f ca="1">IFERROR(IF(AND(INDEX(Tab_DaBa[],MATCH(CONCATENATE(Liste!$C$3,$B$1979,$B$1981),Data!$BO:$BO,0)-2,53)&lt;&gt;"",INDEX(Tab_DaBa[],MATCH(CONCATENATE(Liste!$C$3,$B$1979,$B$1981),Data!$BO:$BO,0)-2,58)=""),"Performance Level: "&amp;INDEX(Tab_DaBa[],MATCH(CONCATENATE(Liste!$C$3,$B$1979,$B$1981),Data!$BO:$BO,0)-2,15),IF(INDEX(Tab_DaBa[],MATCH(CONCATENATE(Liste!$C$3,$B$1979,$B$1981),Data!$BO:$BO,0)-2,53)&lt;&gt;"","Performance Level: "&amp;INDEX(Tab_DaBa[],MATCH(CONCATENATE(Liste!$C$3,$B$1979,$B$1981),Data!$BO:$BO,0)-2,60),"")),"")</f>
        <v/>
      </c>
      <c r="E2002" s="37"/>
      <c r="F2002" s="35" t="str">
        <f ca="1">IFERROR(IF(AND(INDEX(Tab_DaBa[],MATCH(CONCATENATE(Liste!$C$3,$B$1979,$B$1981),Data!$BO:$BO,0)-2,58)&lt;&gt;"",INDEX(Tab_DaBa[],MATCH(CONCATENATE(Liste!$C$3,$B$1979,$B$1981),Data!$BO:$BO,0)-2,63)=""),"Performance Level: "&amp;INDEX(Tab_DaBa[],MATCH(CONCATENATE(Liste!$C$3,$B$1979,$B$1981),Data!$BO:$BO,0)-2,15),IF(INDEX(Tab_DaBa[],MATCH(CONCATENATE(Liste!$C$3,$B$1979,$B$1981),Data!$BO:$BO,0)-2,58)&lt;&gt;"","Performance Level: "&amp;INDEX(Tab_DaBa[],MATCH(CONCATENATE(Liste!$C$3,$B$1979,$B$1981),Data!$BO:$BO,0)-2,65),"")),"")</f>
        <v/>
      </c>
      <c r="G2002" s="39"/>
      <c r="H2002" s="35" t="str">
        <f ca="1">IFERROR(IF(INDEX(Tab_DaBa[],MATCH(CONCATENATE(Liste!$C$3,$B$1979,$B$1981),Data!$BO:$BO,0)-2,63)&lt;&gt;"","Performance Level: "&amp;INDEX(Tab_DaBa[],MATCH(CONCATENATE(Liste!$C$3,$B$1979,$B$1981),Data!$BO:$BO,0)-2,15),""),"")</f>
        <v/>
      </c>
    </row>
    <row r="2003" spans="2:9" s="16" customFormat="1" ht="15.75">
      <c r="B2003" s="35" t="str">
        <f ca="1">IFERROR(IF(AND(INDEX(Tab_DaBa[],MATCH(CONCATENATE(Liste!$C$3,$B$1979,$B$1981),Data!$BO:$BO,0)-2,48)&lt;&gt;"",INDEX(Tab_DaBa[],MATCH(CONCATENATE(Liste!$C$3,$B$1979,$B$1981),Data!$BO:$BO,0)-2,53)=""),"PFH [1/h] = "&amp;10^9*INDEX(Tab_DaBa[],MATCH(CONCATENATE(Liste!$C$3,$B$1979,$B$1981),Data!$BO:$BO,0)-2,16)&amp;"E-9",IF(INDEX(Tab_DaBa[],MATCH(CONCATENATE(Liste!$C$3,$B$1979,$B$1981),Data!$BO:$BO,0)-2,48)&lt;&gt;"","PFH [1/h] = "&amp;10^9*INDEX(Tab_DaBa[],MATCH(CONCATENATE(Liste!$C$3,$B$1979,$B$1981),Data!$BO:$BO,0)-2,56)&amp;"E-9","")),"")</f>
        <v/>
      </c>
      <c r="C2003" s="39"/>
      <c r="D2003" s="35" t="str">
        <f ca="1">IFERROR(IF(AND(INDEX(Tab_DaBa[],MATCH(CONCATENATE(Liste!$C$3,$B$1979,$B$1981),Data!$BO:$BO,0)-2,53)&lt;&gt;"",INDEX(Tab_DaBa[],MATCH(CONCATENATE(Liste!$C$3,$B$1979,$B$1981),Data!$BO:$BO,0)-2,58)=""),"PFH [1/h] = "&amp;10^9*INDEX(Tab_DaBa[],MATCH(CONCATENATE(Liste!$C$3,$B$1979,$B$1981),Data!$BO:$BO,0)-2,16)&amp;"E-9",IF(INDEX(Tab_DaBa[],MATCH(CONCATENATE(Liste!$C$3,$B$1979,$B$1981),Data!$BO:$BO,0)-2,53)&lt;&gt;"","PFH [1/h] = "&amp;10^9*INDEX(Tab_DaBa[],MATCH(CONCATENATE(Liste!$C$3,$B$1979,$B$1981),Data!$BO:$BO,0)-2,61)&amp;"E-9","")),"")</f>
        <v/>
      </c>
      <c r="E2003" s="37"/>
      <c r="F2003" s="35" t="str">
        <f ca="1">IFERROR(IF(AND(INDEX(Tab_DaBa[],MATCH(CONCATENATE(Liste!$C$3,$B$1979,$B$1981),Data!$BO:$BO,0)-2,58)&lt;&gt;"",INDEX(Tab_DaBa[],MATCH(CONCATENATE(Liste!$C$3,$B$1979,$B$1981),Data!$BO:$BO,0)-2,63)=""),"PFH [1/h] = "&amp;10^9*INDEX(Tab_DaBa[],MATCH(CONCATENATE(Liste!$C$3,$B$1979,$B$1981),Data!$BO:$BO,0)-2,16)&amp;"E-9",IF(INDEX(Tab_DaBa[],MATCH(CONCATENATE(Liste!$C$3,$B$1979,$B$1981),Data!$BO:$BO,0)-2,58)&lt;&gt;"","PFH [1/h] = "&amp;10^9*INDEX(Tab_DaBa[],MATCH(CONCATENATE(Liste!$C$3,$B$1979,$B$1981),Data!$BO:$BO,0)-2,66)&amp;"E-9","")),"")</f>
        <v/>
      </c>
      <c r="G2003" s="39"/>
      <c r="H2003" s="35" t="str">
        <f ca="1">IFERROR(IF(INDEX(Tab_DaBa[],MATCH(CONCATENATE(Liste!$C$3,$B$1979,$B$1981),Data!$BO:$BO,0)-2,63)&lt;&gt;"","PFH [1/h] = "&amp;10^9*INDEX(Tab_DaBa[],MATCH(CONCATENATE(Liste!$C$3,$B$1979,$B$1981),Data!$BO:$BO,0)-2,16)&amp;"E-9",""),"")</f>
        <v/>
      </c>
    </row>
    <row r="2004" spans="2:9" s="16" customFormat="1"/>
    <row r="2005" spans="2:9" s="16" customFormat="1">
      <c r="B2005" s="43" t="str">
        <f ca="1">IF(D2005="","","Erforderlich")</f>
        <v>Erforderlich</v>
      </c>
      <c r="D2005" s="44" t="str">
        <f ca="1">IFERROR("Performance Level: "&amp;INDEX(Tab_DaBa[],MATCH(CONCATENATE(Liste!$C$3,$B$1979,$B$1981),Data!$BO:$BO,0)-2,4),"")</f>
        <v>Performance Level: PLr_ges4_1</v>
      </c>
    </row>
    <row r="2006" spans="2:9" s="16" customFormat="1">
      <c r="B2006" s="45"/>
    </row>
    <row r="2007" spans="2:9" s="16" customFormat="1">
      <c r="B2007" s="46" t="str">
        <f ca="1">IF(D2007="","","Erreicht")</f>
        <v>Erreicht</v>
      </c>
      <c r="D2007" s="47" t="str">
        <f ca="1">IFERROR("Performance Level: "&amp;INDEX(Tab_DaBa[],MATCH(CONCATENATE(Liste!$C$3,$B$1979,$B$1981),Data!$BO:$BO,0)-2,5)&amp;"          PFH [1/h] = "&amp;10^9*INDEX(Tab_DaBa[],MATCH(CONCATENATE(Liste!$C$3,$B$1979,$B$1981),Data!$BO:$BO,0)-2,6)&amp;"E-9","")</f>
        <v>Performance Level: Pl_ges4_1          PFH [1/h] = 71,7E-9</v>
      </c>
    </row>
    <row r="2008" spans="2:9" s="16" customFormat="1"/>
    <row r="2009" spans="2:9" s="16" customFormat="1">
      <c r="B2009" s="42" t="str">
        <f ca="1">IFERROR(IF(2&gt;COUNTIF(Data!$BP:$BP,CONCATENATE(Liste!$C$3,$B$1979)),"",INDEX(Tab_DaBa[],MATCH(CONCATENATE(Liste!$C$3,$B$1979),Data!$BP:$BP,0)-1,3)),"")</f>
        <v>8.2 Test08 (E+2L+A)</v>
      </c>
    </row>
    <row r="2010" spans="2:9" s="16" customFormat="1"/>
    <row r="2011" spans="2:9" s="16" customFormat="1" ht="15.75">
      <c r="B2011" s="35" t="str">
        <f ca="1">IFERROR(INDEX(Tab_DaBa[],MATCH(CONCATENATE(Liste!$C$3,$B$1979,$B$2009),Data!$BO:$BO,0)-2,9),"")</f>
        <v>Eingang</v>
      </c>
      <c r="C2011" s="54"/>
      <c r="D2011" s="35" t="str">
        <f ca="1">IFERROR(IF(INDEX(Tab_DaBa[],MATCH(CONCATENATE(Liste!$C$3,$B$1979,$B$2009),Data!$BO:$BO,0)-2,18)=0,INDEX(Tab_DaBa[],MATCH(CONCATENATE(Liste!$C$3,$B$1979,$B$2009),Data!$BO:$BO,0)-2,14),INDEX(Tab_DaBa[],MATCH(CONCATENATE(Liste!$C$3,$B$1979,$B$2009),Data!$BO:$BO,0)-2,19)),"")</f>
        <v>Logik 01</v>
      </c>
      <c r="E2011" s="33"/>
      <c r="F2011" s="35" t="str">
        <f ca="1">IFERROR(IF(AND(INDEX(Tab_DaBa[],MATCH(CONCATENATE(Liste!$C$3,$B$1979,$B$2009),Data!$BO:$BO,0)-2,18)&lt;&gt;"",INDEX(Tab_DaBa[],MATCH(CONCATENATE(Liste!$C$3,$B$1979,$B$2009),Data!$BO:$BO,0)-2,23)=0),INDEX(Tab_DaBa[],MATCH(CONCATENATE(Liste!$C$3,$B$1979,$B$2009),Data!$BO:$BO,0)-2,14),IF(INDEX(Tab_DaBa[],MATCH(CONCATENATE(Liste!$C$3,$B$1979,$B$2009),Data!$BO:$BO,0)-2,23)&lt;&gt;"",INDEX(Tab_DaBa[],MATCH(CONCATENATE(Liste!$C$3,$B$1979,$B$2009),Data!$BO:$BO,0)-2,24),"")),"")</f>
        <v>Logik 02</v>
      </c>
      <c r="G2011" s="39"/>
      <c r="H2011" s="35" t="str">
        <f ca="1">IFERROR(IF(AND(INDEX(Tab_DaBa[],MATCH(CONCATENATE(Liste!$C$3,$B$1979,$B$2009),Data!$BO:$BO,0)-2,23)&lt;&gt;"",INDEX(Tab_DaBa[],MATCH(CONCATENATE(Liste!$C$3,$B$1979,$B$2009),Data!$BO:$BO,0)-2,28)=0),INDEX(Tab_DaBa[],MATCH(CONCATENATE(Liste!$C$3,$B$1979,$B$2009),Data!$BO:$BO,0)-2,14),IF(INDEX(Tab_DaBa[],MATCH(CONCATENATE(Liste!$C$3,$B$1979,$B$2009),Data!$BO:$BO,0)-2,23)&lt;&gt;"",INDEX(Tab_DaBa[],MATCH(CONCATENATE(Liste!$C$3,$B$1979,$B$2009),Data!$BO:$BO,0)-2,29),"")),"")</f>
        <v>Ausgang</v>
      </c>
      <c r="I2011" s="39"/>
    </row>
    <row r="2012" spans="2:9" s="16" customFormat="1" ht="15.75">
      <c r="B2012" s="35" t="str">
        <f ca="1">IFERROR(INDEX(Tab_DaBa[],MATCH(CONCATENATE(Liste!$C$3,$B$1979,$B$2009),Data!$BO:$BO,0)-2,7),"")</f>
        <v>eeee-33_2</v>
      </c>
      <c r="C2012" s="54"/>
      <c r="D2012" s="35" t="str">
        <f ca="1">IFERROR(IF(INDEX(Tab_DaBa[],MATCH(CONCATENATE(Liste!$C$3,$B$1979,$B$2009),Data!$BO:$BO,0)-2,18)="",INDEX(Tab_DaBa[],MATCH(CONCATENATE(Liste!$C$3,$B$1979,$B$2009),Data!$BO:$BO,0)-2,12),INDEX(Tab_DaBa[],MATCH(CONCATENATE(Liste!$C$3,$B$1979,$B$2009),Data!$BO:$BO,0)-2,17)),"")</f>
        <v>Log01-04_02</v>
      </c>
      <c r="E2012" s="36"/>
      <c r="F2012" s="35" t="str">
        <f ca="1">IFERROR(IF(AND(INDEX(Tab_DaBa[],MATCH(CONCATENATE(Liste!$C$3,$B$1979,$B$2009),Data!$BO:$BO,0)-2,18)&lt;&gt;"",INDEX(Tab_DaBa[],MATCH(CONCATENATE(Liste!$C$3,$B$1979,$B$2009),Data!$BO:$BO,0)-2,23)=0),INDEX(Tab_DaBa[],MATCH(CONCATENATE(Liste!$C$3,$B$1979,$B$2009),Data!$BO:$BO,0)-2,12),IF(INDEX(Tab_DaBa[],MATCH(CONCATENATE(Liste!$C$3,$B$1979,$B$2009),Data!$BO:$BO,0)-2,23)&lt;&gt;"",INDEX(Tab_DaBa[],MATCH(CONCATENATE(Liste!$C$3,$B$1979,$B$2009),Data!$BO:$BO,0)-2,22),"")),"")</f>
        <v>Lo04-04_02</v>
      </c>
      <c r="G2012" s="39"/>
      <c r="H2012" s="35" t="str">
        <f ca="1">IFERROR(IF(AND(INDEX(Tab_DaBa[],MATCH(CONCATENATE(Liste!$C$3,$B$1979,$B$2009),Data!$BO:$BO,0)-2,23)&lt;&gt;"",INDEX(Tab_DaBa[],MATCH(CONCATENATE(Liste!$C$3,$B$1979,$B$2009),Data!$BO:$BO,0)-2,28)=0),INDEX(Tab_DaBa[],MATCH(CONCATENATE(Liste!$C$3,$B$1979,$B$2009),Data!$BO:$BO,0)-2,12),IF(INDEX(Tab_DaBa[],MATCH(CONCATENATE(Liste!$C$3,$B$1979,$B$2009),Data!$BO:$BO,0)-2,23)&lt;&gt;"",INDEX(Tab_DaBa[],MATCH(CONCATENATE(Liste!$C$3,$B$1979,$B$2009),Data!$BO:$BO,0)-2,27),"")),"")</f>
        <v>aaaa-44_2</v>
      </c>
      <c r="I2012" s="39"/>
    </row>
    <row r="2013" spans="2:9" s="16" customFormat="1" ht="15.75">
      <c r="B2013" s="35" t="str">
        <f ca="1">IFERROR(INDEX(Tab_DaBa[],MATCH(CONCATENATE(Liste!$C$3,$B$1979,$B$2009),Data!$BO:$BO,0)-2,8),"")</f>
        <v>Bez_Ein4_2</v>
      </c>
      <c r="C2013" s="40">
        <f ca="1">IF(D2011="","",4)</f>
        <v>4</v>
      </c>
      <c r="D2013" s="35" t="str">
        <f ca="1">IFERROR(IF(INDEX(Tab_DaBa[],MATCH(CONCATENATE(Liste!$C$3,$B$1979,$B$2009),Data!$BO:$BO,0)-2,18)="",INDEX(Tab_DaBa[],MATCH(CONCATENATE(Liste!$C$3,$B$1979,$B$2009),Data!$BO:$BO,0)-2,13),INDEX(Tab_DaBa[],MATCH(CONCATENATE(Liste!$C$3,$B$1979,$B$2009),Data!$BO:$BO,0)-2,18)),"")</f>
        <v>Bez_Log01_04_02</v>
      </c>
      <c r="E2013" s="40">
        <f ca="1">IF(F2011="","",4)</f>
        <v>4</v>
      </c>
      <c r="F2013" s="35" t="str">
        <f ca="1">IFERROR(IF(AND(INDEX(Tab_DaBa[],MATCH(CONCATENATE(Liste!$C$3,$B$1979,$B$2009),Data!$BO:$BO,0)-2,18)&lt;&gt;"",INDEX(Tab_DaBa[],MATCH(CONCATENATE(Liste!$C$3,$B$1979,$B$2009),Data!$BO:$BO,0)-2,23)=""),INDEX(Tab_DaBa[],MATCH(CONCATENATE(Liste!$C$3,$B$1979,$B$2009),Data!$BO:$BO,0)-2,13),IF(INDEX(Tab_DaBa[],MATCH(CONCATENATE(Liste!$C$3,$B$1979,$B$2009),Data!$BO:$BO,0)-2,23)&lt;&gt;"",INDEX(Tab_DaBa[],MATCH(CONCATENATE(Liste!$C$3,$B$1979,$B$2009),Data!$BO:$BO,0)-2,23),"")),"")</f>
        <v>Bez_Lo04_02</v>
      </c>
      <c r="G2013" s="38">
        <f ca="1">IF(H2011="","",4)</f>
        <v>4</v>
      </c>
      <c r="H2013" s="35" t="str">
        <f ca="1">IFERROR(IF(AND(INDEX(Tab_DaBa[],MATCH(CONCATENATE(Liste!$C$3,$B$1979,$B$2009),Data!$BO:$BO,0)-2,23)&lt;&gt;"",INDEX(Tab_DaBa[],MATCH(CONCATENATE(Liste!$C$3,$B$1979,$B$2009),Data!$BO:$BO,0)-2,28)=""),INDEX(Tab_DaBa[],MATCH(CONCATENATE(Liste!$C$3,$B$1979,$B$2009),Data!$BO:$BO,0)-2,13),IF(INDEX(Tab_DaBa[],MATCH(CONCATENATE(Liste!$C$3,$B$1979,$B$2009),Data!$BO:$BO,0)-2,23)&lt;&gt;"",INDEX(Tab_DaBa[],MATCH(CONCATENATE(Liste!$C$3,$B$1979,$B$2009),Data!$BO:$BO,0)-2,28),"")),"")</f>
        <v>Bez_Aus4_2</v>
      </c>
      <c r="I2013" s="38" t="str">
        <f ca="1">IF(B2019="","",6)</f>
        <v/>
      </c>
    </row>
    <row r="2014" spans="2:9" s="16" customFormat="1" ht="15.75">
      <c r="B2014" s="35" t="str">
        <f ca="1">IFERROR("Performance Level: "&amp;INDEX(Tab_DaBa[],MATCH(CONCATENATE(Liste!$C$3,$B$1979,$B$2009),Data!$BO:$BO,0)-2,10),"")</f>
        <v>Performance Level: PL_Ein4_2</v>
      </c>
      <c r="C2014" s="54"/>
      <c r="D2014" s="35" t="str">
        <f ca="1">IFERROR(IF(INDEX(Tab_DaBa[],MATCH(CONCATENATE(Liste!$C$3,$B$1979,$B$2009),Data!$BO:$BO,0)-2,18)="","Performance Level: "&amp;INDEX(Tab_DaBa[],MATCH(CONCATENATE(Liste!$C$3,$B$1979,$B$2009),Data!$BO:$BO,0)-2,15),"Performance Level: "&amp;INDEX(Tab_DaBa[],MATCH(CONCATENATE(Liste!$C$3,$B$1979,$B$2009),Data!$BO:$BO,0)-2,20)),"")</f>
        <v>Performance Level: PL_Log01_04_02</v>
      </c>
      <c r="E2014" s="36"/>
      <c r="F2014" s="35" t="str">
        <f ca="1">IFERROR(IF(AND(INDEX(Tab_DaBa[],MATCH(CONCATENATE(Liste!$C$3,$B$1979,$B$2009),Data!$BO:$BO,0)-2,18)&lt;&gt;"",INDEX(Tab_DaBa[],MATCH(CONCATENATE(Liste!$C$3,$B$1979,$B$2009),Data!$BO:$BO,0)-2,23)=""),"Performance Level: "&amp;INDEX(Tab_DaBa[],MATCH(CONCATENATE(Liste!$C$3,$B$1979,$B$2009),Data!$BO:$BO,0)-2,15),IF(INDEX(Tab_DaBa[],MATCH(CONCATENATE(Liste!$C$3,$B$1979,$B$2009),Data!$BO:$BO,0)-2,23)&lt;&gt;"","Performance Level: "&amp;INDEX(Tab_DaBa[],MATCH(CONCATENATE(Liste!$C$3,$B$1979,$B$2009),Data!$BO:$BO,0)-2,25),"")),"")</f>
        <v>Performance Level: PL_Lo04_02</v>
      </c>
      <c r="G2014" s="39"/>
      <c r="H2014" s="35" t="str">
        <f ca="1">IFERROR(IF(AND(INDEX(Tab_DaBa[],MATCH(CONCATENATE(Liste!$C$3,$B$1979,$B$2009),Data!$BO:$BO,0)-2,23)&lt;&gt;"",INDEX(Tab_DaBa[],MATCH(CONCATENATE(Liste!$C$3,$B$1979,$B$2009),Data!$BO:$BO,0)-2,28)=""),"Performance Level: "&amp;INDEX(Tab_DaBa[],MATCH(CONCATENATE(Liste!$C$3,$B$1979,$B$2009),Data!$BO:$BO,0)-2,15),IF(INDEX(Tab_DaBa[],MATCH(CONCATENATE(Liste!$C$3,$B$1979,$B$2009),Data!$BO:$BO,0)-2,23)&lt;&gt;"","Performance Level: "&amp;INDEX(Tab_DaBa[],MATCH(CONCATENATE(Liste!$C$3,$B$1979,$B$2009),Data!$BO:$BO,0)-2,30),"")),"")</f>
        <v>Performance Level: PL_Aus4_2</v>
      </c>
      <c r="I2014" s="38"/>
    </row>
    <row r="2015" spans="2:9" s="16" customFormat="1" ht="15.75">
      <c r="B2015" s="53" t="str">
        <f ca="1">IFERROR("PFH [1/h] = "&amp;10^9*INDEX(Tab_DaBa[],MATCH(CONCATENATE(Liste!$C$3,$B$1979,$B$2009),Data!$BO:$BO,0)-2,11)&amp;"E-9","")</f>
        <v>PFH [1/h] = 42,9E-9</v>
      </c>
      <c r="C2015" s="54"/>
      <c r="D2015" s="35" t="str">
        <f ca="1">IFERROR(IF(INDEX(Tab_DaBa[],MATCH(CONCATENATE(Liste!$C$3,$B$1979,$B$2009),Data!$BO:$BO,0)-2,18)="","PFH [1/h] = "&amp;10^9*INDEX(Tab_DaBa[],MATCH(CONCATENATE(Liste!$C$3,$B$1979,$B$2009),Data!$BO:$BO,0)-2,16)&amp;"E-9","PFH [1/h] = "&amp;10^9*INDEX(Tab_DaBa[],MATCH(CONCATENATE(Liste!$C$3,$B$1979,$B$2009),Data!$BO:$BO,0)-2,21)&amp;"E-9"),"")</f>
        <v>PFH [1/h] = 4,19E-9</v>
      </c>
      <c r="E2015" s="36"/>
      <c r="F2015" s="35" t="str">
        <f ca="1">IFERROR(IF(AND(INDEX(Tab_DaBa[],MATCH(CONCATENATE(Liste!$C$3,$B$1979,$B$2009),Data!$BO:$BO,0)-2,18)&lt;&gt;"",INDEX(Tab_DaBa[],MATCH(CONCATENATE(Liste!$C$3,$B$1979,$B$2009),Data!$BO:$BO,0)-2,23)=""),"PFH [1/h] = "&amp;10^9*INDEX(Tab_DaBa[],MATCH(CONCATENATE(Liste!$C$3,$B$1979,$B$2009),Data!$BO:$BO,0)-2,16)&amp;"E-9",IF(INDEX(Tab_DaBa[],MATCH(CONCATENATE(Liste!$C$3,$B$1979,$B$2009),Data!$BO:$BO,0)-2,23)&lt;&gt;"","PFH [1/h] = "&amp;10^9*INDEX(Tab_DaBa[],MATCH(CONCATENATE(Liste!$C$3,$B$1979,$B$2009),Data!$BO:$BO,0)-2,26)&amp;"E-9","")),"")</f>
        <v>PFH [1/h] = 4,19E-9</v>
      </c>
      <c r="G2015" s="39"/>
      <c r="H2015" s="35" t="str">
        <f ca="1">IFERROR(IF(AND(INDEX(Tab_DaBa[],MATCH(CONCATENATE(Liste!$C$3,$B$1979,$B$2009),Data!$BO:$BO,0)-2,23)&lt;&gt;"",INDEX(Tab_DaBa[],MATCH(CONCATENATE(Liste!$C$3,$B$1979,$B$2009),Data!$BO:$BO,0)-2,28)=""),"PFH [1/h] = "&amp;10^9*INDEX(Tab_DaBa[],MATCH(CONCATENATE(Liste!$C$3,$B$1979,$B$2009),Data!$BO:$BO,0)-2,16)&amp;"E-9",IF(INDEX(Tab_DaBa[],MATCH(CONCATENATE(Liste!$C$3,$B$1979,$B$2009),Data!$BO:$BO,0)-2,23)&lt;&gt;"","PFH [1/h] = "&amp;10^9*INDEX(Tab_DaBa[],MATCH(CONCATENATE(Liste!$C$3,$B$1979,$B$2009),Data!$BO:$BO,0)-2,31)&amp;"E-9","")),"")</f>
        <v>PFH [1/h] = 24,7E-9</v>
      </c>
      <c r="I2015" s="39"/>
    </row>
    <row r="2016" spans="2:9" s="16" customFormat="1">
      <c r="B2016" s="33"/>
      <c r="C2016" s="34"/>
      <c r="D2016" s="33"/>
      <c r="E2016" s="33"/>
      <c r="F2016" s="33"/>
      <c r="G2016" s="33"/>
      <c r="H2016" s="33"/>
      <c r="I2016" s="33"/>
    </row>
    <row r="2017" spans="2:9" s="16" customFormat="1" ht="15.75">
      <c r="B2017" s="38" t="str">
        <f ca="1">IF(B2019="","",6)</f>
        <v/>
      </c>
      <c r="C2017" s="34"/>
      <c r="D2017" s="38" t="str">
        <f ca="1">IF(B2019="","",3)</f>
        <v/>
      </c>
      <c r="E2017" s="33"/>
      <c r="F2017" s="38" t="str">
        <f ca="1">IF(B2019="","",3)</f>
        <v/>
      </c>
      <c r="G2017" s="33"/>
      <c r="H2017" s="38" t="str">
        <f ca="1">IF(B2019="","",3)</f>
        <v/>
      </c>
      <c r="I2017" s="33"/>
    </row>
    <row r="2018" spans="2:9" s="16" customFormat="1" ht="15.75">
      <c r="B2018" s="39"/>
      <c r="C2018" s="33"/>
      <c r="D2018" s="33"/>
      <c r="E2018" s="33"/>
      <c r="F2018" s="33"/>
      <c r="G2018" s="33"/>
      <c r="H2018" s="33"/>
      <c r="I2018" s="33"/>
    </row>
    <row r="2019" spans="2:9" s="16" customFormat="1" ht="15.75">
      <c r="B2019" s="35" t="str">
        <f ca="1">IFERROR(IF(AND(INDEX(Tab_DaBa[],MATCH(CONCATENATE(Liste!$C$3,$B$1979,$B$2009),Data!$BO:$BO,0)-2,28)&lt;&gt;"",INDEX(Tab_DaBa[],MATCH(CONCATENATE(Liste!$C$3,$B$1979,$B$2009),Data!$BO:$BO,0)-2,33)=0),INDEX(Tab_DaBa[],MATCH(CONCATENATE(Liste!$C$3,$B$1979,$B$2009),Data!$BO:$BO,0)-2,14),IF(INDEX(Tab_DaBa[],MATCH(CONCATENATE(Liste!$C$3,$B$1979,$B$2009),Data!$BO:$BO,0)-2,28)&lt;&gt;"",INDEX(Tab_DaBa[],MATCH(CONCATENATE(Liste!$C$3,$B$1979,$B$2009),Data!$BO:$BO,0)-2,34),"")),"")</f>
        <v/>
      </c>
      <c r="C2019" s="39"/>
      <c r="D2019" s="35" t="str">
        <f ca="1">IFERROR(IF(AND(INDEX(Tab_DaBa[],MATCH(CONCATENATE(Liste!$C$3,$B$1979,$B$2009),Data!$BO:$BO,0)-2,33)&lt;&gt;"",INDEX(Tab_DaBa[],MATCH(CONCATENATE(Liste!$C$3,$B$1979,$B$2009),Data!$BO:$BO,0)-2,38)=0),INDEX(Tab_DaBa[],MATCH(CONCATENATE(Liste!$C$3,$B$1979,$B$2009),Data!$BO:$BO,0)-2,14),IF(INDEX(Tab_DaBa[],MATCH(CONCATENATE(Liste!$C$3,$B$1979,$B$2009),Data!$BO:$BO,0)-2,33)&lt;&gt;"",INDEX(Tab_DaBa[],MATCH(CONCATENATE(Liste!$C$3,$B$1979,$B$2009),Data!$BO:$BO,0)-2,39),"")),"")</f>
        <v/>
      </c>
      <c r="E2019" s="33"/>
      <c r="F2019" s="35" t="str">
        <f ca="1">IFERROR(IF(AND(INDEX(Tab_DaBa[],MATCH(CONCATENATE(Liste!$C$3,$B$1979,$B$2009),Data!$BO:$BO,0)-2,38)&lt;&gt;"",INDEX(Tab_DaBa[],MATCH(CONCATENATE(Liste!$C$3,$B$1979,$B$2009),Data!$BO:$BO,0)-2,43)=0),INDEX(Tab_DaBa[],MATCH(CONCATENATE(Liste!$C$3,$B$1979,$B$2009),Data!$BO:$BO,0)-2,14),IF(INDEX(Tab_DaBa[],MATCH(CONCATENATE(Liste!$C$3,$B$1979,$B$2009),Data!$BO:$BO,0)-2,38)&lt;&gt;"",INDEX(Tab_DaBa[],MATCH(CONCATENATE(Liste!$C$3,$B$1979,$B$2009),Data!$BO:$BO,0)-2,44),"")),"")</f>
        <v/>
      </c>
      <c r="G2019" s="39"/>
      <c r="H2019" s="35" t="str">
        <f ca="1">IFERROR(IF(AND(INDEX(Tab_DaBa[],MATCH(CONCATENATE(Liste!$C$3,$B$1979,$B$2009),Data!$BO:$BO,0)-2,43)&lt;&gt;"",INDEX(Tab_DaBa[],MATCH(CONCATENATE(Liste!$C$3,$B$1979,$B$2009),Data!$BO:$BO,0)-2,48)=0),INDEX(Tab_DaBa[],MATCH(CONCATENATE(Liste!$C$3,$B$1979,$B$2009),Data!$BO:$BO,0)-2,14),IF(INDEX(Tab_DaBa[],MATCH(CONCATENATE(Liste!$C$3,$B$1979,$B$2009),Data!$BO:$BO,0)-2,43)&lt;&gt;"",INDEX(Tab_DaBa[],MATCH(CONCATENATE(Liste!$C$3,$B$1979,$B$2009),Data!$BO:$BO,0)-2,49),"")),"")</f>
        <v/>
      </c>
      <c r="I2019" s="39"/>
    </row>
    <row r="2020" spans="2:9" s="16" customFormat="1" ht="15.75">
      <c r="B2020" s="35" t="str">
        <f ca="1">IFERROR(IF(AND(INDEX(Tab_DaBa[],MATCH(CONCATENATE(Liste!$C$3,$B$1979,$B$2009),Data!$BO:$BO,0)-2,28)&lt;&gt;"",INDEX(Tab_DaBa[],MATCH(CONCATENATE(Liste!$C$3,$B$1979,$B$2009),Data!$BO:$BO,0)-2,33)=0),INDEX(Tab_DaBa[],MATCH(CONCATENATE(Liste!$C$3,$B$1979,$B$2009),Data!$BO:$BO,0)-2,12),IF(INDEX(Tab_DaBa[],MATCH(CONCATENATE(Liste!$C$3,$B$1979,$B$2009),Data!$BO:$BO,0)-2,28)&lt;&gt;"",INDEX(Tab_DaBa[],MATCH(CONCATENATE(Liste!$C$3,$B$1979,$B$2009),Data!$BO:$BO,0)-2,32),"")),"")</f>
        <v/>
      </c>
      <c r="C2020" s="39"/>
      <c r="D2020" s="35" t="str">
        <f ca="1">IFERROR(IF(AND(INDEX(Tab_DaBa[],MATCH(CONCATENATE(Liste!$C$3,$B$1979,$B$2009),Data!$BO:$BO,0)-2,33)&lt;&gt;"",INDEX(Tab_DaBa[],MATCH(CONCATENATE(Liste!$C$3,$B$1979,$B$2009),Data!$BO:$BO,0)-2,38)=0),INDEX(Tab_DaBa[],MATCH(CONCATENATE(Liste!$C$3,$B$1979,$B$2009),Data!$BO:$BO,0)-2,12),IF(INDEX(Tab_DaBa[],MATCH(CONCATENATE(Liste!$C$3,$B$1979,$B$2009),Data!$BO:$BO,0)-2,33)&lt;&gt;"",INDEX(Tab_DaBa[],MATCH(CONCATENATE(Liste!$C$3,$B$1979,$B$2009),Data!$BO:$BO,0)-2,37),"")),"")</f>
        <v/>
      </c>
      <c r="E2020" s="37"/>
      <c r="F2020" s="35" t="str">
        <f ca="1">IFERROR(IF(AND(INDEX(Tab_DaBa[],MATCH(CONCATENATE(Liste!$C$3,$B$1979,$B$2009),Data!$BO:$BO,0)-2,38)&lt;&gt;"",INDEX(Tab_DaBa[],MATCH(CONCATENATE(Liste!$C$3,$B$1979,$B$2009),Data!$BO:$BO,0)-2,43)=0),INDEX(Tab_DaBa[],MATCH(CONCATENATE(Liste!$C$3,$B$1979,$B$2009),Data!$BO:$BO,0)-2,12),IF(INDEX(Tab_DaBa[],MATCH(CONCATENATE(Liste!$C$3,$B$1979,$B$2009),Data!$BO:$BO,0)-2,38)&lt;&gt;"",INDEX(Tab_DaBa[],MATCH(CONCATENATE(Liste!$C$3,$B$1979,$B$2009),Data!$BO:$BO,0)-2,42),"")),"")</f>
        <v/>
      </c>
      <c r="G2020" s="39"/>
      <c r="H2020" s="35" t="str">
        <f ca="1">IFERROR(IF(AND(INDEX(Tab_DaBa[],MATCH(CONCATENATE(Liste!$C$3,$B$1979,$B$2009),Data!$BO:$BO,0)-2,43)&lt;&gt;"",INDEX(Tab_DaBa[],MATCH(CONCATENATE(Liste!$C$3,$B$1979,$B$2009),Data!$BO:$BO,0)-2,48)=0),INDEX(Tab_DaBa[],MATCH(CONCATENATE(Liste!$C$3,$B$1979,$B$2009),Data!$BO:$BO,0)-2,12),IF(INDEX(Tab_DaBa[],MATCH(CONCATENATE(Liste!$C$3,$B$1979,$B$2009),Data!$BO:$BO,0)-2,43)&lt;&gt;"",INDEX(Tab_DaBa[],MATCH(CONCATENATE(Liste!$C$3,$B$1979,$B$2009),Data!$BO:$BO,0)-2,47),"")),"")</f>
        <v/>
      </c>
      <c r="I2020" s="39"/>
    </row>
    <row r="2021" spans="2:9" s="16" customFormat="1" ht="15.75">
      <c r="B2021" s="35" t="str">
        <f ca="1">IFERROR(IF(AND(INDEX(Tab_DaBa[],MATCH(CONCATENATE(Liste!$C$3,$B$1979,$B$2009),Data!$BO:$BO,0)-2,28)&lt;&gt;"",INDEX(Tab_DaBa[],MATCH(CONCATENATE(Liste!$C$3,$B$1979,$B$2009),Data!$BO:$BO,0)-2,33)=""),INDEX(Tab_DaBa[],MATCH(CONCATENATE(Liste!$C$3,$B$1979,$B$2009),Data!$BO:$BO,0)-2,13),IF(INDEX(Tab_DaBa[],MATCH(CONCATENATE(Liste!$C$3,$B$1979,$B$2009),Data!$BO:$BO,0)-2,28)&lt;&gt;"",INDEX(Tab_DaBa[],MATCH(CONCATENATE(Liste!$C$3,$B$1979,$B$2009),Data!$BO:$BO,0)-2,33),"")),"")</f>
        <v/>
      </c>
      <c r="C2021" s="38" t="str">
        <f ca="1">IF(D2019="","",4)</f>
        <v/>
      </c>
      <c r="D2021" s="35" t="str">
        <f ca="1">IFERROR(IF(AND(INDEX(Tab_DaBa[],MATCH(CONCATENATE(Liste!$C$3,$B$1979,$B$2009),Data!$BO:$BO,0)-2,33)&lt;&gt;"",INDEX(Tab_DaBa[],MATCH(CONCATENATE(Liste!$C$3,$B$1979,$B$2009),Data!$BO:$BO,0)-2,38)=""),INDEX(Tab_DaBa[],MATCH(CONCATENATE(Liste!$C$3,$B$1979,$B$2009),Data!$BO:$BO,0)-2,13),IF(INDEX(Tab_DaBa[],MATCH(CONCATENATE(Liste!$C$3,$B$1979,$B$2009),Data!$BO:$BO,0)-2,33)&lt;&gt;"",INDEX(Tab_DaBa[],MATCH(CONCATENATE(Liste!$C$3,$B$1979,$B$2009),Data!$BO:$BO,0)-2,38),"")),"")</f>
        <v/>
      </c>
      <c r="E2021" s="38" t="str">
        <f ca="1">IF(F2019="","",4)</f>
        <v/>
      </c>
      <c r="F2021" s="35" t="str">
        <f ca="1">IFERROR(IF(AND(INDEX(Tab_DaBa[],MATCH(CONCATENATE(Liste!$C$3,$B$1979,$B$2009),Data!$BO:$BO,0)-2,38)&lt;&gt;"",INDEX(Tab_DaBa[],MATCH(CONCATENATE(Liste!$C$3,$B$1979,$B$2009),Data!$BO:$BO,0)-2,43)=""),INDEX(Tab_DaBa[],MATCH(CONCATENATE(Liste!$C$3,$B$1979,$B$2009),Data!$BO:$BO,0)-2,13),IF(INDEX(Tab_DaBa[],MATCH(CONCATENATE(Liste!$C$3,$B$1979,$B$2009),Data!$BO:$BO,0)-2,38)&lt;&gt;"",INDEX(Tab_DaBa[],MATCH(CONCATENATE(Liste!$C$3,$B$1979,$B$2009),Data!$BO:$BO,0)-2,43),"")),"")</f>
        <v/>
      </c>
      <c r="G2021" s="38" t="str">
        <f ca="1">IF(H2019="","",4)</f>
        <v/>
      </c>
      <c r="H2021" s="35" t="str">
        <f ca="1">IFERROR(IF(AND(INDEX(Tab_DaBa[],MATCH(CONCATENATE(Liste!$C$3,$B$1979,$B$2009),Data!$BO:$BO,0)-2,43)&lt;&gt;"",INDEX(Tab_DaBa[],MATCH(CONCATENATE(Liste!$C$3,$B$1979,$B$2009),Data!$BO:$BO,0)-2,48)=""),INDEX(Tab_DaBa[],MATCH(CONCATENATE(Liste!$C$3,$B$1979,$B$2009),Data!$BO:$BO,0)-2,13),IF(INDEX(Tab_DaBa[],MATCH(CONCATENATE(Liste!$C$3,$B$1979,$B$2009),Data!$BO:$BO,0)-2,43)&lt;&gt;"",INDEX(Tab_DaBa[],MATCH(CONCATENATE(Liste!$C$3,$B$1979,$B$2009),Data!$BO:$BO,0)-2,48),"")),"")</f>
        <v/>
      </c>
      <c r="I2021" s="38" t="str">
        <f ca="1">IF(B2027="","",6)</f>
        <v/>
      </c>
    </row>
    <row r="2022" spans="2:9" s="16" customFormat="1" ht="15.75">
      <c r="B2022" s="35" t="str">
        <f ca="1">IFERROR(IF(AND(INDEX(Tab_DaBa[],MATCH(CONCATENATE(Liste!$C$3,$B$1979,$B$2009),Data!$BO:$BO,0)-2,28)&lt;&gt;"",INDEX(Tab_DaBa[],MATCH(CONCATENATE(Liste!$C$3,$B$1979,$B$2009),Data!$BO:$BO,0)-2,33)=""),"Performance Level: "&amp;INDEX(Tab_DaBa[],MATCH(CONCATENATE(Liste!$C$3,$B$1979,$B$2009),Data!$BO:$BO,0)-2,15),IF(INDEX(Tab_DaBa[],MATCH(CONCATENATE(Liste!$C$3,$B$1979,$B$2009),Data!$BO:$BO,0)-2,28)&lt;&gt;"","Performance Level: "&amp;INDEX(Tab_DaBa[],MATCH(CONCATENATE(Liste!$C$3,$B$1979,$B$2009),Data!$BO:$BO,0)-2,35),"")),"")</f>
        <v/>
      </c>
      <c r="C2022" s="39"/>
      <c r="D2022" s="35" t="str">
        <f ca="1">IFERROR(IF(AND(INDEX(Tab_DaBa[],MATCH(CONCATENATE(Liste!$C$3,$B$1979,$B$2009),Data!$BO:$BO,0)-2,33)&lt;&gt;"",INDEX(Tab_DaBa[],MATCH(CONCATENATE(Liste!$C$3,$B$1979,$B$2009),Data!$BO:$BO,0)-2,38)=""),"Performance Level: "&amp;INDEX(Tab_DaBa[],MATCH(CONCATENATE(Liste!$C$3,$B$1979,$B$2009),Data!$BO:$BO,0)-2,15),IF(INDEX(Tab_DaBa[],MATCH(CONCATENATE(Liste!$C$3,$B$1979,$B$2009),Data!$BO:$BO,0)-2,33)&lt;&gt;"","Performance Level: "&amp;INDEX(Tab_DaBa[],MATCH(CONCATENATE(Liste!$C$3,$B$1979,$B$2009),Data!$BO:$BO,0)-2,40),"")),"")</f>
        <v/>
      </c>
      <c r="E2022" s="37"/>
      <c r="F2022" s="35" t="str">
        <f ca="1">IFERROR(IF(AND(INDEX(Tab_DaBa[],MATCH(CONCATENATE(Liste!$C$3,$B$1979,$B$2009),Data!$BO:$BO,0)-2,38)&lt;&gt;"",INDEX(Tab_DaBa[],MATCH(CONCATENATE(Liste!$C$3,$B$1979,$B$2009),Data!$BO:$BO,0)-2,43)=""),"Performance Level: "&amp;INDEX(Tab_DaBa[],MATCH(CONCATENATE(Liste!$C$3,$B$1979,$B$2009),Data!$BO:$BO,0)-2,15),IF(INDEX(Tab_DaBa[],MATCH(CONCATENATE(Liste!$C$3,$B$1979,$B$2009),Data!$BO:$BO,0)-2,38)&lt;&gt;"","Performance Level: "&amp;INDEX(Tab_DaBa[],MATCH(CONCATENATE(Liste!$C$3,$B$1979,$B$2009),Data!$BO:$BO,0)-2,45),"")),"")</f>
        <v/>
      </c>
      <c r="G2022" s="39"/>
      <c r="H2022" s="35" t="str">
        <f ca="1">IFERROR(IF(AND(INDEX(Tab_DaBa[],MATCH(CONCATENATE(Liste!$C$3,$B$1979,$B$2009),Data!$BO:$BO,0)-2,43)&lt;&gt;"",INDEX(Tab_DaBa[],MATCH(CONCATENATE(Liste!$C$3,$B$1979,$B$2009),Data!$BO:$BO,0)-2,48)=""),"Performance Level: "&amp;INDEX(Tab_DaBa[],MATCH(CONCATENATE(Liste!$C$3,$B$1979,$B$2009),Data!$BO:$BO,0)-2,15),IF(INDEX(Tab_DaBa[],MATCH(CONCATENATE(Liste!$C$3,$B$1979,$B$2009),Data!$BO:$BO,0)-2,43)&lt;&gt;"","Performance Level: "&amp;INDEX(Tab_DaBa[],MATCH(CONCATENATE(Liste!$C$3,$B$1979,$B$2009),Data!$BO:$BO,0)-2,50),"")),"")</f>
        <v/>
      </c>
      <c r="I2022" s="39"/>
    </row>
    <row r="2023" spans="2:9" s="16" customFormat="1" ht="15.75">
      <c r="B2023" s="35" t="str">
        <f ca="1">IFERROR(IF(AND(INDEX(Tab_DaBa[],MATCH(CONCATENATE(Liste!$C$3,$B$1979,$B$2009),Data!$BO:$BO,0)-2,28)&lt;&gt;"",INDEX(Tab_DaBa[],MATCH(CONCATENATE(Liste!$C$3,$B$1979,$B$2009),Data!$BO:$BO,0)-2,33)=""),"PFH [1/h] = "&amp;10^9*INDEX(Tab_DaBa[],MATCH(CONCATENATE(Liste!$C$3,$B$1979,$B$2009),Data!$BO:$BO,0)-2,16)&amp;"E-9",IF(INDEX(Tab_DaBa[],MATCH(CONCATENATE(Liste!$C$3,$B$1979,$B$2009),Data!$BO:$BO,0)-2,28)&lt;&gt;"","PFH [1/h] = "&amp;10^9*INDEX(Tab_DaBa[],MATCH(CONCATENATE(Liste!$C$3,$B$1979,$B$2009),Data!$BO:$BO,0)-2,36)&amp;"E-9","")),"")</f>
        <v/>
      </c>
      <c r="C2023" s="39"/>
      <c r="D2023" s="35" t="str">
        <f ca="1">IFERROR(IF(AND(INDEX(Tab_DaBa[],MATCH(CONCATENATE(Liste!$C$3,$B$1979,$B$2009),Data!$BO:$BO,0)-2,33)&lt;&gt;"",INDEX(Tab_DaBa[],MATCH(CONCATENATE(Liste!$C$3,$B$1979,$B$2009),Data!$BO:$BO,0)-2,38)=""),"PFH [1/h] = "&amp;10^9*INDEX(Tab_DaBa[],MATCH(CONCATENATE(Liste!$C$3,$B$1979,$B$2009),Data!$BO:$BO,0)-2,16)&amp;"E-9",IF(INDEX(Tab_DaBa[],MATCH(CONCATENATE(Liste!$C$3,$B$1979,$B$2009),Data!$BO:$BO,0)-2,33)&lt;&gt;"","PFH [1/h] = "&amp;10^9*INDEX(Tab_DaBa[],MATCH(CONCATENATE(Liste!$C$3,$B$1979,$B$2009),Data!$BO:$BO,0)-2,41)&amp;"E-9","")),"")</f>
        <v/>
      </c>
      <c r="E2023" s="37"/>
      <c r="F2023" s="35" t="str">
        <f ca="1">IFERROR(IF(AND(INDEX(Tab_DaBa[],MATCH(CONCATENATE(Liste!$C$3,$B$1979,$B$2009),Data!$BO:$BO,0)-2,38)&lt;&gt;"",INDEX(Tab_DaBa[],MATCH(CONCATENATE(Liste!$C$3,$B$1979,$B$2009),Data!$BO:$BO,0)-2,43)=""),"PFH [1/h] = "&amp;10^9*INDEX(Tab_DaBa[],MATCH(CONCATENATE(Liste!$C$3,$B$1979,$B$2009),Data!$BO:$BO,0)-2,16)&amp;"E-9",IF(INDEX(Tab_DaBa[],MATCH(CONCATENATE(Liste!$C$3,$B$1979,$B$2009),Data!$BO:$BO,0)-2,38)&lt;&gt;"","PFH [1/h] = "&amp;10^9*INDEX(Tab_DaBa[],MATCH(CONCATENATE(Liste!$C$3,$B$1979,$B$2009),Data!$BO:$BO,0)-2,46)&amp;"E-9","")),"")</f>
        <v/>
      </c>
      <c r="G2023" s="39"/>
      <c r="H2023" s="35" t="str">
        <f ca="1">IFERROR(IF(AND(INDEX(Tab_DaBa[],MATCH(CONCATENATE(Liste!$C$3,$B$1979,$B$2009),Data!$BO:$BO,0)-2,43)&lt;&gt;"",INDEX(Tab_DaBa[],MATCH(CONCATENATE(Liste!$C$3,$B$1979,$B$2009),Data!$BO:$BO,0)-2,48)=""),"PFH [1/h] = "&amp;10^9*INDEX(Tab_DaBa[],MATCH(CONCATENATE(Liste!$C$3,$B$1979,$B$2009),Data!$BO:$BO,0)-2,16)&amp;"E-9",IF(INDEX(Tab_DaBa[],MATCH(CONCATENATE(Liste!$C$3,$B$1979,$B$2009),Data!$BO:$BO,0)-2,43)&lt;&gt;"","PFH [1/h] = "&amp;10^9*INDEX(Tab_DaBa[],MATCH(CONCATENATE(Liste!$C$3,$B$1979,$B$2009),Data!$BO:$BO,0)-2,51)&amp;"E-9","")),"")</f>
        <v/>
      </c>
      <c r="I2023" s="39"/>
    </row>
    <row r="2024" spans="2:9" s="16" customFormat="1">
      <c r="B2024" s="33"/>
      <c r="C2024" s="33"/>
      <c r="D2024" s="33"/>
      <c r="E2024" s="33"/>
      <c r="F2024" s="33"/>
      <c r="G2024" s="33"/>
      <c r="H2024" s="33"/>
      <c r="I2024" s="33"/>
    </row>
    <row r="2025" spans="2:9" s="16" customFormat="1" ht="15.75">
      <c r="B2025" s="38" t="str">
        <f ca="1">IF(B2027="","",6)</f>
        <v/>
      </c>
      <c r="C2025" s="33"/>
      <c r="D2025" s="38" t="str">
        <f ca="1">IF(B2027="","",3)</f>
        <v/>
      </c>
      <c r="E2025" s="33"/>
      <c r="F2025" s="38" t="str">
        <f ca="1">IF(B2027="","",3)</f>
        <v/>
      </c>
      <c r="G2025" s="33"/>
      <c r="H2025" s="38" t="str">
        <f ca="1">IF(B2027="","",3)</f>
        <v/>
      </c>
      <c r="I2025" s="33"/>
    </row>
    <row r="2026" spans="2:9" s="16" customFormat="1" ht="15.75">
      <c r="B2026" s="39"/>
      <c r="C2026" s="33"/>
      <c r="D2026" s="33"/>
      <c r="E2026" s="33"/>
      <c r="F2026" s="33"/>
      <c r="G2026" s="33"/>
      <c r="H2026" s="33"/>
      <c r="I2026" s="33"/>
    </row>
    <row r="2027" spans="2:9" s="16" customFormat="1" ht="15.75">
      <c r="B2027" s="35" t="str">
        <f ca="1">IFERROR(IF(AND(INDEX(Tab_DaBa[],MATCH(CONCATENATE(Liste!$C$3,$B$1979,$B$2009),Data!$BO:$BO,0)-2,48)&lt;&gt;"",INDEX(Tab_DaBa[],MATCH(CONCATENATE(Liste!$C$3,$B$1979,$B$2009),Data!$BO:$BO,0)-2,53)=0),INDEX(Tab_DaBa[],MATCH(CONCATENATE(Liste!$C$3,$B$1979,$B$2009),Data!$BO:$BO,0)-2,14),IF(INDEX(Tab_DaBa[],MATCH(CONCATENATE(Liste!$C$3,$B$1979,$B$2009),Data!$BO:$BO,0)-2,48)&lt;&gt;"",INDEX(Tab_DaBa[],MATCH(CONCATENATE(Liste!$C$3,$B$1979,$B$2009),Data!$BO:$BO,0)-2,54),"")),"")</f>
        <v/>
      </c>
      <c r="C2027" s="39"/>
      <c r="D2027" s="35" t="str">
        <f ca="1">IFERROR(IF(AND(INDEX(Tab_DaBa[],MATCH(CONCATENATE(Liste!$C$3,$B$1979,$B$2009),Data!$BO:$BO,0)-2,53)&lt;&gt;"",INDEX(Tab_DaBa[],MATCH(CONCATENATE(Liste!$C$3,$B$1979,$B$2009),Data!$BO:$BO,0)-2,58)=0),INDEX(Tab_DaBa[],MATCH(CONCATENATE(Liste!$C$3,$B$1979,$B$2009),Data!$BO:$BO,0)-2,14),IF(INDEX(Tab_DaBa[],MATCH(CONCATENATE(Liste!$C$3,$B$1979,$B$2009),Data!$BO:$BO,0)-2,53)&lt;&gt;"",INDEX(Tab_DaBa[],MATCH(CONCATENATE(Liste!$C$3,$B$1979,$B$2009),Data!$BO:$BO,0)-2,59),"")),"")</f>
        <v/>
      </c>
      <c r="E2027" s="33"/>
      <c r="F2027" s="35" t="str">
        <f ca="1">IFERROR(IF(AND(INDEX(Tab_DaBa[],MATCH(CONCATENATE(Liste!$C$3,$B$1979,$B$2009),Data!$BO:$BO,0)-2,58)&lt;&gt;"",INDEX(Tab_DaBa[],MATCH(CONCATENATE(Liste!$C$3,$B$1979,$B$2009),Data!$BO:$BO,0)-2,63)=0),INDEX(Tab_DaBa[],MATCH(CONCATENATE(Liste!$C$3,$B$1979,$B$2009),Data!$BO:$BO,0)-2,14),IF(INDEX(Tab_DaBa[],MATCH(CONCATENATE(Liste!$C$3,$B$1979,$B$2009),Data!$BO:$BO,0)-2,58)&lt;&gt;"",INDEX(Tab_DaBa[],MATCH(CONCATENATE(Liste!$C$3,$B$1979,$B$2009),Data!$BO:$BO,0)-2,64),"")),"")</f>
        <v/>
      </c>
      <c r="G2027" s="39"/>
      <c r="H2027" s="35" t="str">
        <f ca="1">IFERROR(IF(INDEX(Tab_DaBa[],MATCH(CONCATENATE(Liste!$C$3,$B$1979,$B$2009),Data!$BO:$BO,0)-2,63)&lt;&gt;"",INDEX(Tab_DaBa[],MATCH(CONCATENATE(Liste!$C$3,$B$1979,$B$2009),Data!$BO:$BO,0)-2,14),""),"")</f>
        <v/>
      </c>
    </row>
    <row r="2028" spans="2:9" s="16" customFormat="1" ht="15.75">
      <c r="B2028" s="35" t="str">
        <f ca="1">IFERROR(IF(AND(INDEX(Tab_DaBa[],MATCH(CONCATENATE(Liste!$C$3,$B$1979,$B$2009),Data!$BO:$BO,0)-2,48)&lt;&gt;"",INDEX(Tab_DaBa[],MATCH(CONCATENATE(Liste!$C$3,$B$1979,$B$2009),Data!$BO:$BO,0)-2,53)=0),INDEX(Tab_DaBa[],MATCH(CONCATENATE(Liste!$C$3,$B$1979,$B$2009),Data!$BO:$BO,0)-2,12),IF(INDEX(Tab_DaBa[],MATCH(CONCATENATE(Liste!$C$3,$B$1979,$B$2009),Data!$BO:$BO,0)-2,48)&lt;&gt;"",INDEX(Tab_DaBa[],MATCH(CONCATENATE(Liste!$C$3,$B$1979,$B$2009),Data!$BO:$BO,0)-2,52),"")),"")</f>
        <v/>
      </c>
      <c r="C2028" s="39"/>
      <c r="D2028" s="35" t="str">
        <f ca="1">IFERROR(IF(AND(INDEX(Tab_DaBa[],MATCH(CONCATENATE(Liste!$C$3,$B$1979,$B$2009),Data!$BO:$BO,0)-2,53)&lt;&gt;"",INDEX(Tab_DaBa[],MATCH(CONCATENATE(Liste!$C$3,$B$1979,$B$2009),Data!$BO:$BO,0)-2,58)=0),INDEX(Tab_DaBa[],MATCH(CONCATENATE(Liste!$C$3,$B$1979,$B$2009),Data!$BO:$BO,0)-2,12),IF(INDEX(Tab_DaBa[],MATCH(CONCATENATE(Liste!$C$3,$B$1979,$B$2009),Data!$BO:$BO,0)-2,53)&lt;&gt;"",INDEX(Tab_DaBa[],MATCH(CONCATENATE(Liste!$C$3,$B$1979,$B$2009),Data!$BO:$BO,0)-2,57),"")),"")</f>
        <v/>
      </c>
      <c r="E2028" s="37"/>
      <c r="F2028" s="35" t="str">
        <f ca="1">IFERROR(IF(AND(INDEX(Tab_DaBa[],MATCH(CONCATENATE(Liste!$C$3,$B$1979,$B$2009),Data!$BO:$BO,0)-2,58)&lt;&gt;"",INDEX(Tab_DaBa[],MATCH(CONCATENATE(Liste!$C$3,$B$1979,$B$2009),Data!$BO:$BO,0)-2,63)=0),INDEX(Tab_DaBa[],MATCH(CONCATENATE(Liste!$C$3,$B$1979,$B$2009),Data!$BO:$BO,0)-2,12),IF(INDEX(Tab_DaBa[],MATCH(CONCATENATE(Liste!$C$3,$B$1979,$B$2009),Data!$BO:$BO,0)-2,58)&lt;&gt;"",INDEX(Tab_DaBa[],MATCH(CONCATENATE(Liste!$C$3,$B$1979,$B$2009),Data!$BO:$BO,0)-2,62),"")),"")</f>
        <v/>
      </c>
      <c r="G2028" s="39"/>
      <c r="H2028" s="35" t="str">
        <f ca="1">IFERROR(IF(INDEX(Tab_DaBa[],MATCH(CONCATENATE(Liste!$C$3,$B$1979,$B$2009),Data!$BO:$BO,0)-2,63)&lt;&gt;"",INDEX(Tab_DaBa[],MATCH(CONCATENATE(Liste!$C$3,$B$1979,$B$2009),Data!$BO:$BO,0)-2,12),""),"")</f>
        <v/>
      </c>
    </row>
    <row r="2029" spans="2:9" s="16" customFormat="1" ht="15.75">
      <c r="B2029" s="35" t="str">
        <f ca="1">IFERROR(IF(AND(INDEX(Tab_DaBa[],MATCH(CONCATENATE(Liste!$C$3,$B$1979,$B$2009),Data!$BO:$BO,0)-2,48)&lt;&gt;"",INDEX(Tab_DaBa[],MATCH(CONCATENATE(Liste!$C$3,$B$1979,$B$2009),Data!$BO:$BO,0)-2,53)=""),INDEX(Tab_DaBa[],MATCH(CONCATENATE(Liste!$C$3,$B$1979,$B$2009),Data!$BO:$BO,0)-2,13),IF(INDEX(Tab_DaBa[],MATCH(CONCATENATE(Liste!$C$3,$B$1979,$B$2009),Data!$BO:$BO,0)-2,48)&lt;&gt;"",INDEX(Tab_DaBa[],MATCH(CONCATENATE(Liste!$C$3,$B$1979,$B$2009),Data!$BO:$BO,0)-2,53),"")),"")</f>
        <v/>
      </c>
      <c r="C2029" s="38" t="str">
        <f ca="1">IF(D2027="","",4)</f>
        <v/>
      </c>
      <c r="D2029" s="35" t="str">
        <f ca="1">IFERROR(IF(AND(INDEX(Tab_DaBa[],MATCH(CONCATENATE(Liste!$C$3,$B$1979,$B$2009),Data!$BO:$BO,0)-2,53)&lt;&gt;"",INDEX(Tab_DaBa[],MATCH(CONCATENATE(Liste!$C$3,$B$1979,$B$2009),Data!$BO:$BO,0)-2,58)=""),INDEX(Tab_DaBa[],MATCH(CONCATENATE(Liste!$C$3,$B$1979,$B$2009),Data!$BO:$BO,0)-2,13),IF(INDEX(Tab_DaBa[],MATCH(CONCATENATE(Liste!$C$3,$B$1979,$B$2009),Data!$BO:$BO,0)-2,53)&lt;&gt;"",INDEX(Tab_DaBa[],MATCH(CONCATENATE(Liste!$C$3,$B$1979,$B$2009),Data!$BO:$BO,0)-2,58),"")),"")</f>
        <v/>
      </c>
      <c r="E2029" s="38" t="str">
        <f ca="1">IF(F2027="","",4)</f>
        <v/>
      </c>
      <c r="F2029" s="35" t="str">
        <f ca="1">IFERROR(IF(AND(INDEX(Tab_DaBa[],MATCH(CONCATENATE(Liste!$C$3,$B$1979,$B$2009),Data!$BO:$BO,0)-2,58)&lt;&gt;"",INDEX(Tab_DaBa[],MATCH(CONCATENATE(Liste!$C$3,$B$1979,$B$2009),Data!$BO:$BO,0)-2,63)=""),INDEX(Tab_DaBa[],MATCH(CONCATENATE(Liste!$C$3,$B$1979,$B$2009),Data!$BO:$BO,0)-2,13),IF(INDEX(Tab_DaBa[],MATCH(CONCATENATE(Liste!$C$3,$B$1979,$B$2009),Data!$BO:$BO,0)-2,58)&lt;&gt;"",INDEX(Tab_DaBa[],MATCH(CONCATENATE(Liste!$C$3,$B$1979,$B$2009),Data!$BO:$BO,0)-2,63),"")),"")</f>
        <v/>
      </c>
      <c r="G2029" s="38" t="str">
        <f ca="1">IF(H2027="","",4)</f>
        <v/>
      </c>
      <c r="H2029" s="35" t="str">
        <f ca="1">IFERROR(IF(INDEX(Tab_DaBa[],MATCH(CONCATENATE(Liste!$C$3,$B$1979,$B$2009),Data!$BO:$BO,0)-2,63)&lt;&gt;"",INDEX(Tab_DaBa[],MATCH(CONCATENATE(Liste!$C$3,$B$1979,$B$2009),Data!$BO:$BO,0)-2,13),""),"")</f>
        <v/>
      </c>
    </row>
    <row r="2030" spans="2:9" s="16" customFormat="1" ht="15.75">
      <c r="B2030" s="35" t="str">
        <f ca="1">IFERROR(IF(AND(INDEX(Tab_DaBa[],MATCH(CONCATENATE(Liste!$C$3,$B$1979,$B$2009),Data!$BO:$BO,0)-2,48)&lt;&gt;"",INDEX(Tab_DaBa[],MATCH(CONCATENATE(Liste!$C$3,$B$1979,$B$2009),Data!$BO:$BO,0)-2,53)=""),"Performance Level: "&amp;INDEX(Tab_DaBa[],MATCH(CONCATENATE(Liste!$C$3,$B$1979,$B$2009),Data!$BO:$BO,0)-2,15),IF(INDEX(Tab_DaBa[],MATCH(CONCATENATE(Liste!$C$3,$B$1979,$B$2009),Data!$BO:$BO,0)-2,48)&lt;&gt;"","Performance Level: "&amp;INDEX(Tab_DaBa[],MATCH(CONCATENATE(Liste!$C$3,$B$1979,$B$2009),Data!$BO:$BO,0)-2,55),"")),"")</f>
        <v/>
      </c>
      <c r="C2030" s="39"/>
      <c r="D2030" s="35" t="str">
        <f ca="1">IFERROR(IF(AND(INDEX(Tab_DaBa[],MATCH(CONCATENATE(Liste!$C$3,$B$1979,$B$2009),Data!$BO:$BO,0)-2,53)&lt;&gt;"",INDEX(Tab_DaBa[],MATCH(CONCATENATE(Liste!$C$3,$B$1979,$B$2009),Data!$BO:$BO,0)-2,58)=""),"Performance Level: "&amp;INDEX(Tab_DaBa[],MATCH(CONCATENATE(Liste!$C$3,$B$1979,$B$2009),Data!$BO:$BO,0)-2,15),IF(INDEX(Tab_DaBa[],MATCH(CONCATENATE(Liste!$C$3,$B$1979,$B$2009),Data!$BO:$BO,0)-2,53)&lt;&gt;"","Performance Level: "&amp;INDEX(Tab_DaBa[],MATCH(CONCATENATE(Liste!$C$3,$B$1979,$B$2009),Data!$BO:$BO,0)-2,60),"")),"")</f>
        <v/>
      </c>
      <c r="E2030" s="37"/>
      <c r="F2030" s="35" t="str">
        <f ca="1">IFERROR(IF(AND(INDEX(Tab_DaBa[],MATCH(CONCATENATE(Liste!$C$3,$B$1979,$B$2009),Data!$BO:$BO,0)-2,58)&lt;&gt;"",INDEX(Tab_DaBa[],MATCH(CONCATENATE(Liste!$C$3,$B$1979,$B$2009),Data!$BO:$BO,0)-2,63)=""),"Performance Level: "&amp;INDEX(Tab_DaBa[],MATCH(CONCATENATE(Liste!$C$3,$B$1979,$B$2009),Data!$BO:$BO,0)-2,15),IF(INDEX(Tab_DaBa[],MATCH(CONCATENATE(Liste!$C$3,$B$1979,$B$2009),Data!$BO:$BO,0)-2,58)&lt;&gt;"","Performance Level: "&amp;INDEX(Tab_DaBa[],MATCH(CONCATENATE(Liste!$C$3,$B$1979,$B$2009),Data!$BO:$BO,0)-2,65),"")),"")</f>
        <v/>
      </c>
      <c r="G2030" s="39"/>
      <c r="H2030" s="35" t="str">
        <f ca="1">IFERROR(IF(INDEX(Tab_DaBa[],MATCH(CONCATENATE(Liste!$C$3,$B$1979,$B$2009),Data!$BO:$BO,0)-2,63)&lt;&gt;"","Performance Level: "&amp;INDEX(Tab_DaBa[],MATCH(CONCATENATE(Liste!$C$3,$B$1979,$B$2009),Data!$BO:$BO,0)-2,15),""),"")</f>
        <v/>
      </c>
    </row>
    <row r="2031" spans="2:9" s="16" customFormat="1" ht="15.75">
      <c r="B2031" s="35" t="str">
        <f ca="1">IFERROR(IF(AND(INDEX(Tab_DaBa[],MATCH(CONCATENATE(Liste!$C$3,$B$1979,$B$2009),Data!$BO:$BO,0)-2,48)&lt;&gt;"",INDEX(Tab_DaBa[],MATCH(CONCATENATE(Liste!$C$3,$B$1979,$B$2009),Data!$BO:$BO,0)-2,53)=""),"PFH [1/h] = "&amp;10^9*INDEX(Tab_DaBa[],MATCH(CONCATENATE(Liste!$C$3,$B$1979,$B$2009),Data!$BO:$BO,0)-2,16)&amp;"E-9",IF(INDEX(Tab_DaBa[],MATCH(CONCATENATE(Liste!$C$3,$B$1979,$B$2009),Data!$BO:$BO,0)-2,48)&lt;&gt;"","PFH [1/h] = "&amp;10^9*INDEX(Tab_DaBa[],MATCH(CONCATENATE(Liste!$C$3,$B$1979,$B$2009),Data!$BO:$BO,0)-2,56)&amp;"E-9","")),"")</f>
        <v/>
      </c>
      <c r="C2031" s="39"/>
      <c r="D2031" s="35" t="str">
        <f ca="1">IFERROR(IF(AND(INDEX(Tab_DaBa[],MATCH(CONCATENATE(Liste!$C$3,$B$1979,$B$2009),Data!$BO:$BO,0)-2,53)&lt;&gt;"",INDEX(Tab_DaBa[],MATCH(CONCATENATE(Liste!$C$3,$B$1979,$B$2009),Data!$BO:$BO,0)-2,58)=""),"PFH [1/h] = "&amp;10^9*INDEX(Tab_DaBa[],MATCH(CONCATENATE(Liste!$C$3,$B$1979,$B$2009),Data!$BO:$BO,0)-2,16)&amp;"E-9",IF(INDEX(Tab_DaBa[],MATCH(CONCATENATE(Liste!$C$3,$B$1979,$B$2009),Data!$BO:$BO,0)-2,53)&lt;&gt;"","PFH [1/h] = "&amp;10^9*INDEX(Tab_DaBa[],MATCH(CONCATENATE(Liste!$C$3,$B$1979,$B$2009),Data!$BO:$BO,0)-2,61)&amp;"E-9","")),"")</f>
        <v/>
      </c>
      <c r="E2031" s="37"/>
      <c r="F2031" s="35" t="str">
        <f ca="1">IFERROR(IF(AND(INDEX(Tab_DaBa[],MATCH(CONCATENATE(Liste!$C$3,$B$1979,$B$2009),Data!$BO:$BO,0)-2,58)&lt;&gt;"",INDEX(Tab_DaBa[],MATCH(CONCATENATE(Liste!$C$3,$B$1979,$B$2009),Data!$BO:$BO,0)-2,63)=""),"PFH [1/h] = "&amp;10^9*INDEX(Tab_DaBa[],MATCH(CONCATENATE(Liste!$C$3,$B$1979,$B$2009),Data!$BO:$BO,0)-2,16)&amp;"E-9",IF(INDEX(Tab_DaBa[],MATCH(CONCATENATE(Liste!$C$3,$B$1979,$B$2009),Data!$BO:$BO,0)-2,58)&lt;&gt;"","PFH [1/h] = "&amp;10^9*INDEX(Tab_DaBa[],MATCH(CONCATENATE(Liste!$C$3,$B$1979,$B$2009),Data!$BO:$BO,0)-2,66)&amp;"E-9","")),"")</f>
        <v/>
      </c>
      <c r="G2031" s="39"/>
      <c r="H2031" s="35" t="str">
        <f ca="1">IFERROR(IF(INDEX(Tab_DaBa[],MATCH(CONCATENATE(Liste!$C$3,$B$1979,$B$2009),Data!$BO:$BO,0)-2,63)&lt;&gt;"","PFH [1/h] = "&amp;10^9*INDEX(Tab_DaBa[],MATCH(CONCATENATE(Liste!$C$3,$B$1979,$B$2009),Data!$BO:$BO,0)-2,16)&amp;"E-9",""),"")</f>
        <v/>
      </c>
    </row>
    <row r="2032" spans="2:9" s="16" customFormat="1"/>
    <row r="2033" spans="2:9" s="16" customFormat="1">
      <c r="B2033" s="43" t="str">
        <f ca="1">IF(D2033="","","Erforderlich")</f>
        <v>Erforderlich</v>
      </c>
      <c r="D2033" s="44" t="str">
        <f ca="1">IFERROR("Performance Level: "&amp;INDEX(Tab_DaBa[],MATCH(CONCATENATE(Liste!$C$3,$B$1979,$B$2009),Data!$BO:$BO,0)-2,4),"")</f>
        <v>Performance Level: PLr_ges4_2</v>
      </c>
    </row>
    <row r="2034" spans="2:9" s="16" customFormat="1">
      <c r="B2034" s="45"/>
    </row>
    <row r="2035" spans="2:9" s="16" customFormat="1">
      <c r="B2035" s="46" t="str">
        <f ca="1">IF(D2035="","","Erreicht")</f>
        <v>Erreicht</v>
      </c>
      <c r="D2035" s="47" t="str">
        <f ca="1">IFERROR("Performance Level: "&amp;INDEX(Tab_DaBa[],MATCH(CONCATENATE(Liste!$C$3,$B$1979,$B$2009),Data!$BO:$BO,0)-2,5)&amp;"          PFH [1/h] = "&amp;10^9*INDEX(Tab_DaBa[],MATCH(CONCATENATE(Liste!$C$3,$B$1979,$B$2009),Data!$BO:$BO,0)-2,6)&amp;"E-9","")</f>
        <v>Performance Level: Pl_ges4_2          PFH [1/h] = 71,7E-9</v>
      </c>
    </row>
    <row r="2036" spans="2:9" s="16" customFormat="1"/>
    <row r="2037" spans="2:9" s="16" customFormat="1">
      <c r="B2037" s="42" t="str">
        <f ca="1">IFERROR(IF(3&gt;COUNTIF(Data!$BP:$BP,CONCATENATE(Liste!$C$3,$B$1979)),"",INDEX(Tab_DaBa[],MATCH(CONCATENATE(Liste!$C$3,$B$1979),Data!$BP:$BP,0),3)),"")</f>
        <v>8.3 Test08 (E+3L+A)</v>
      </c>
    </row>
    <row r="2038" spans="2:9" s="16" customFormat="1"/>
    <row r="2039" spans="2:9" s="16" customFormat="1" ht="15.75">
      <c r="B2039" s="35" t="str">
        <f ca="1">IFERROR(INDEX(Tab_DaBa[],MATCH(CONCATENATE(Liste!$C$3,$B$1979,$B$2037),Data!$BO:$BO,0)-2,9),"")</f>
        <v>Eingang</v>
      </c>
      <c r="C2039" s="54"/>
      <c r="D2039" s="35" t="str">
        <f ca="1">IFERROR(IF(INDEX(Tab_DaBa[],MATCH(CONCATENATE(Liste!$C$3,$B$1979,$B$2037),Data!$BO:$BO,0)-2,18)=0,INDEX(Tab_DaBa[],MATCH(CONCATENATE(Liste!$C$3,$B$1979,$B$2037),Data!$BO:$BO,0)-2,14),INDEX(Tab_DaBa[],MATCH(CONCATENATE(Liste!$C$3,$B$1979,$B$2037),Data!$BO:$BO,0)-2,19)),"")</f>
        <v>Logik 01</v>
      </c>
      <c r="E2039" s="33"/>
      <c r="F2039" s="35" t="str">
        <f ca="1">IFERROR(IF(AND(INDEX(Tab_DaBa[],MATCH(CONCATENATE(Liste!$C$3,$B$1979,$B$2037),Data!$BO:$BO,0)-2,18)&lt;&gt;"",INDEX(Tab_DaBa[],MATCH(CONCATENATE(Liste!$C$3,$B$1979,$B$2037),Data!$BO:$BO,0)-2,23)=0),INDEX(Tab_DaBa[],MATCH(CONCATENATE(Liste!$C$3,$B$1979,$B$2037),Data!$BO:$BO,0)-2,14),IF(INDEX(Tab_DaBa[],MATCH(CONCATENATE(Liste!$C$3,$B$1979,$B$2037),Data!$BO:$BO,0)-2,23)&lt;&gt;"",INDEX(Tab_DaBa[],MATCH(CONCATENATE(Liste!$C$3,$B$1979,$B$2037),Data!$BO:$BO,0)-2,24),"")),"")</f>
        <v>Logik 02</v>
      </c>
      <c r="G2039" s="39"/>
      <c r="H2039" s="35" t="str">
        <f ca="1">IFERROR(IF(AND(INDEX(Tab_DaBa[],MATCH(CONCATENATE(Liste!$C$3,$B$1979,$B$2037),Data!$BO:$BO,0)-2,23)&lt;&gt;"",INDEX(Tab_DaBa[],MATCH(CONCATENATE(Liste!$C$3,$B$1979,$B$2037),Data!$BO:$BO,0)-2,28)=0),INDEX(Tab_DaBa[],MATCH(CONCATENATE(Liste!$C$3,$B$1979,$B$2037),Data!$BO:$BO,0)-2,14),IF(INDEX(Tab_DaBa[],MATCH(CONCATENATE(Liste!$C$3,$B$1979,$B$2037),Data!$BO:$BO,0)-2,23)&lt;&gt;"",INDEX(Tab_DaBa[],MATCH(CONCATENATE(Liste!$C$3,$B$1979,$B$2037),Data!$BO:$BO,0)-2,29),"")),"")</f>
        <v>Logik 03</v>
      </c>
      <c r="I2039" s="39"/>
    </row>
    <row r="2040" spans="2:9" s="16" customFormat="1" ht="15.75">
      <c r="B2040" s="35" t="str">
        <f ca="1">IFERROR(INDEX(Tab_DaBa[],MATCH(CONCATENATE(Liste!$C$3,$B$1979,$B$2037),Data!$BO:$BO,0)-2,7),"")</f>
        <v>eeee-33_3</v>
      </c>
      <c r="C2040" s="54"/>
      <c r="D2040" s="35" t="str">
        <f ca="1">IFERROR(IF(INDEX(Tab_DaBa[],MATCH(CONCATENATE(Liste!$C$3,$B$1979,$B$2037),Data!$BO:$BO,0)-2,18)="",INDEX(Tab_DaBa[],MATCH(CONCATENATE(Liste!$C$3,$B$1979,$B$2037),Data!$BO:$BO,0)-2,12),INDEX(Tab_DaBa[],MATCH(CONCATENATE(Liste!$C$3,$B$1979,$B$2037),Data!$BO:$BO,0)-2,17)),"")</f>
        <v>Log01-04_03</v>
      </c>
      <c r="E2040" s="36"/>
      <c r="F2040" s="35" t="str">
        <f ca="1">IFERROR(IF(AND(INDEX(Tab_DaBa[],MATCH(CONCATENATE(Liste!$C$3,$B$1979,$B$2037),Data!$BO:$BO,0)-2,18)&lt;&gt;"",INDEX(Tab_DaBa[],MATCH(CONCATENATE(Liste!$C$3,$B$1979,$B$2037),Data!$BO:$BO,0)-2,23)=0),INDEX(Tab_DaBa[],MATCH(CONCATENATE(Liste!$C$3,$B$1979,$B$2037),Data!$BO:$BO,0)-2,12),IF(INDEX(Tab_DaBa[],MATCH(CONCATENATE(Liste!$C$3,$B$1979,$B$2037),Data!$BO:$BO,0)-2,23)&lt;&gt;"",INDEX(Tab_DaBa[],MATCH(CONCATENATE(Liste!$C$3,$B$1979,$B$2037),Data!$BO:$BO,0)-2,22),"")),"")</f>
        <v>Lo04-04_03</v>
      </c>
      <c r="G2040" s="39"/>
      <c r="H2040" s="35" t="str">
        <f ca="1">IFERROR(IF(AND(INDEX(Tab_DaBa[],MATCH(CONCATENATE(Liste!$C$3,$B$1979,$B$2037),Data!$BO:$BO,0)-2,23)&lt;&gt;"",INDEX(Tab_DaBa[],MATCH(CONCATENATE(Liste!$C$3,$B$1979,$B$2037),Data!$BO:$BO,0)-2,28)=0),INDEX(Tab_DaBa[],MATCH(CONCATENATE(Liste!$C$3,$B$1979,$B$2037),Data!$BO:$BO,0)-2,12),IF(INDEX(Tab_DaBa[],MATCH(CONCATENATE(Liste!$C$3,$B$1979,$B$2037),Data!$BO:$BO,0)-2,23)&lt;&gt;"",INDEX(Tab_DaBa[],MATCH(CONCATENATE(Liste!$C$3,$B$1979,$B$2037),Data!$BO:$BO,0)-2,27),"")),"")</f>
        <v>Lo04-44_03</v>
      </c>
      <c r="I2040" s="39"/>
    </row>
    <row r="2041" spans="2:9" s="16" customFormat="1" ht="15.75">
      <c r="B2041" s="35" t="str">
        <f ca="1">IFERROR(INDEX(Tab_DaBa[],MATCH(CONCATENATE(Liste!$C$3,$B$1979,$B$2037),Data!$BO:$BO,0)-2,8),"")</f>
        <v>Bez_Ein4_3</v>
      </c>
      <c r="C2041" s="40">
        <f ca="1">IF(D2039="","",4)</f>
        <v>4</v>
      </c>
      <c r="D2041" s="35" t="str">
        <f ca="1">IFERROR(IF(INDEX(Tab_DaBa[],MATCH(CONCATENATE(Liste!$C$3,$B$1979,$B$2037),Data!$BO:$BO,0)-2,18)="",INDEX(Tab_DaBa[],MATCH(CONCATENATE(Liste!$C$3,$B$1979,$B$2037),Data!$BO:$BO,0)-2,13),INDEX(Tab_DaBa[],MATCH(CONCATENATE(Liste!$C$3,$B$1979,$B$2037),Data!$BO:$BO,0)-2,18)),"")</f>
        <v>Bez_Log01_04_03</v>
      </c>
      <c r="E2041" s="40">
        <f ca="1">IF(F2039="","",4)</f>
        <v>4</v>
      </c>
      <c r="F2041" s="35" t="str">
        <f ca="1">IFERROR(IF(AND(INDEX(Tab_DaBa[],MATCH(CONCATENATE(Liste!$C$3,$B$1979,$B$2037),Data!$BO:$BO,0)-2,18)&lt;&gt;"",INDEX(Tab_DaBa[],MATCH(CONCATENATE(Liste!$C$3,$B$1979,$B$2037),Data!$BO:$BO,0)-2,23)=""),INDEX(Tab_DaBa[],MATCH(CONCATENATE(Liste!$C$3,$B$1979,$B$2037),Data!$BO:$BO,0)-2,13),IF(INDEX(Tab_DaBa[],MATCH(CONCATENATE(Liste!$C$3,$B$1979,$B$2037),Data!$BO:$BO,0)-2,23)&lt;&gt;"",INDEX(Tab_DaBa[],MATCH(CONCATENATE(Liste!$C$3,$B$1979,$B$2037),Data!$BO:$BO,0)-2,23),"")),"")</f>
        <v>Bez_Lo04_03</v>
      </c>
      <c r="G2041" s="38">
        <f ca="1">IF(H2039="","",4)</f>
        <v>4</v>
      </c>
      <c r="H2041" s="35" t="str">
        <f ca="1">IFERROR(IF(AND(INDEX(Tab_DaBa[],MATCH(CONCATENATE(Liste!$C$3,$B$1979,$B$2037),Data!$BO:$BO,0)-2,23)&lt;&gt;"",INDEX(Tab_DaBa[],MATCH(CONCATENATE(Liste!$C$3,$B$1979,$B$2037),Data!$BO:$BO,0)-2,28)=""),INDEX(Tab_DaBa[],MATCH(CONCATENATE(Liste!$C$3,$B$1979,$B$2037),Data!$BO:$BO,0)-2,13),IF(INDEX(Tab_DaBa[],MATCH(CONCATENATE(Liste!$C$3,$B$1979,$B$2037),Data!$BO:$BO,0)-2,23)&lt;&gt;"",INDEX(Tab_DaBa[],MATCH(CONCATENATE(Liste!$C$3,$B$1979,$B$2037),Data!$BO:$BO,0)-2,28),"")),"")</f>
        <v>Bez_Lo04_03</v>
      </c>
      <c r="I2041" s="38">
        <f ca="1">IF(B2047="","",6)</f>
        <v>6</v>
      </c>
    </row>
    <row r="2042" spans="2:9" s="16" customFormat="1" ht="15.75">
      <c r="B2042" s="35" t="str">
        <f ca="1">IFERROR("Performance Level: "&amp;INDEX(Tab_DaBa[],MATCH(CONCATENATE(Liste!$C$3,$B$1979,$B$2037),Data!$BO:$BO,0)-2,10),"")</f>
        <v>Performance Level: PL_Ein4_3</v>
      </c>
      <c r="C2042" s="54"/>
      <c r="D2042" s="35" t="str">
        <f ca="1">IFERROR(IF(INDEX(Tab_DaBa[],MATCH(CONCATENATE(Liste!$C$3,$B$1979,$B$2037),Data!$BO:$BO,0)-2,18)="","Performance Level: "&amp;INDEX(Tab_DaBa[],MATCH(CONCATENATE(Liste!$C$3,$B$1979,$B$2037),Data!$BO:$BO,0)-2,15),"Performance Level: "&amp;INDEX(Tab_DaBa[],MATCH(CONCATENATE(Liste!$C$3,$B$1979,$B$2037),Data!$BO:$BO,0)-2,20)),"")</f>
        <v>Performance Level: PL_Log01_04_03</v>
      </c>
      <c r="E2042" s="36"/>
      <c r="F2042" s="35" t="str">
        <f ca="1">IFERROR(IF(AND(INDEX(Tab_DaBa[],MATCH(CONCATENATE(Liste!$C$3,$B$1979,$B$2037),Data!$BO:$BO,0)-2,18)&lt;&gt;"",INDEX(Tab_DaBa[],MATCH(CONCATENATE(Liste!$C$3,$B$1979,$B$2037),Data!$BO:$BO,0)-2,23)=""),"Performance Level: "&amp;INDEX(Tab_DaBa[],MATCH(CONCATENATE(Liste!$C$3,$B$1979,$B$2037),Data!$BO:$BO,0)-2,15),IF(INDEX(Tab_DaBa[],MATCH(CONCATENATE(Liste!$C$3,$B$1979,$B$2037),Data!$BO:$BO,0)-2,23)&lt;&gt;"","Performance Level: "&amp;INDEX(Tab_DaBa[],MATCH(CONCATENATE(Liste!$C$3,$B$1979,$B$2037),Data!$BO:$BO,0)-2,25),"")),"")</f>
        <v>Performance Level: PL_Lo04_03</v>
      </c>
      <c r="G2042" s="39"/>
      <c r="H2042" s="35" t="str">
        <f ca="1">IFERROR(IF(AND(INDEX(Tab_DaBa[],MATCH(CONCATENATE(Liste!$C$3,$B$1979,$B$2037),Data!$BO:$BO,0)-2,23)&lt;&gt;"",INDEX(Tab_DaBa[],MATCH(CONCATENATE(Liste!$C$3,$B$1979,$B$2037),Data!$BO:$BO,0)-2,28)=""),"Performance Level: "&amp;INDEX(Tab_DaBa[],MATCH(CONCATENATE(Liste!$C$3,$B$1979,$B$2037),Data!$BO:$BO,0)-2,15),IF(INDEX(Tab_DaBa[],MATCH(CONCATENATE(Liste!$C$3,$B$1979,$B$2037),Data!$BO:$BO,0)-2,23)&lt;&gt;"","Performance Level: "&amp;INDEX(Tab_DaBa[],MATCH(CONCATENATE(Liste!$C$3,$B$1979,$B$2037),Data!$BO:$BO,0)-2,30),"")),"")</f>
        <v>Performance Level: PL_Lo04_03</v>
      </c>
      <c r="I2042" s="38"/>
    </row>
    <row r="2043" spans="2:9" s="16" customFormat="1" ht="15.75">
      <c r="B2043" s="53" t="str">
        <f ca="1">IFERROR("PFH [1/h] = "&amp;10^9*INDEX(Tab_DaBa[],MATCH(CONCATENATE(Liste!$C$3,$B$1979,$B$2037),Data!$BO:$BO,0)-2,11)&amp;"E-9","")</f>
        <v>PFH [1/h] = 42,9E-9</v>
      </c>
      <c r="C2043" s="54"/>
      <c r="D2043" s="35" t="str">
        <f ca="1">IFERROR(IF(INDEX(Tab_DaBa[],MATCH(CONCATENATE(Liste!$C$3,$B$1979,$B$2037),Data!$BO:$BO,0)-2,18)="","PFH [1/h] = "&amp;10^9*INDEX(Tab_DaBa[],MATCH(CONCATENATE(Liste!$C$3,$B$1979,$B$2037),Data!$BO:$BO,0)-2,16)&amp;"E-9","PFH [1/h] = "&amp;10^9*INDEX(Tab_DaBa[],MATCH(CONCATENATE(Liste!$C$3,$B$1979,$B$2037),Data!$BO:$BO,0)-2,21)&amp;"E-9"),"")</f>
        <v>PFH [1/h] = 4,19E-9</v>
      </c>
      <c r="E2043" s="36"/>
      <c r="F2043" s="35" t="str">
        <f ca="1">IFERROR(IF(AND(INDEX(Tab_DaBa[],MATCH(CONCATENATE(Liste!$C$3,$B$1979,$B$2037),Data!$BO:$BO,0)-2,18)&lt;&gt;"",INDEX(Tab_DaBa[],MATCH(CONCATENATE(Liste!$C$3,$B$1979,$B$2037),Data!$BO:$BO,0)-2,23)=""),"PFH [1/h] = "&amp;10^9*INDEX(Tab_DaBa[],MATCH(CONCATENATE(Liste!$C$3,$B$1979,$B$2037),Data!$BO:$BO,0)-2,16)&amp;"E-9",IF(INDEX(Tab_DaBa[],MATCH(CONCATENATE(Liste!$C$3,$B$1979,$B$2037),Data!$BO:$BO,0)-2,23)&lt;&gt;"","PFH [1/h] = "&amp;10^9*INDEX(Tab_DaBa[],MATCH(CONCATENATE(Liste!$C$3,$B$1979,$B$2037),Data!$BO:$BO,0)-2,26)&amp;"E-9","")),"")</f>
        <v>PFH [1/h] = 4,19E-9</v>
      </c>
      <c r="G2043" s="39"/>
      <c r="H2043" s="35" t="str">
        <f ca="1">IFERROR(IF(AND(INDEX(Tab_DaBa[],MATCH(CONCATENATE(Liste!$C$3,$B$1979,$B$2037),Data!$BO:$BO,0)-2,23)&lt;&gt;"",INDEX(Tab_DaBa[],MATCH(CONCATENATE(Liste!$C$3,$B$1979,$B$2037),Data!$BO:$BO,0)-2,28)=""),"PFH [1/h] = "&amp;10^9*INDEX(Tab_DaBa[],MATCH(CONCATENATE(Liste!$C$3,$B$1979,$B$2037),Data!$BO:$BO,0)-2,16)&amp;"E-9",IF(INDEX(Tab_DaBa[],MATCH(CONCATENATE(Liste!$C$3,$B$1979,$B$2037),Data!$BO:$BO,0)-2,23)&lt;&gt;"","PFH [1/h] = "&amp;10^9*INDEX(Tab_DaBa[],MATCH(CONCATENATE(Liste!$C$3,$B$1979,$B$2037),Data!$BO:$BO,0)-2,31)&amp;"E-9","")),"")</f>
        <v>PFH [1/h] = 4,19E-9</v>
      </c>
      <c r="I2043" s="39"/>
    </row>
    <row r="2044" spans="2:9" s="16" customFormat="1">
      <c r="B2044" s="33"/>
      <c r="C2044" s="34"/>
      <c r="D2044" s="33"/>
      <c r="E2044" s="33"/>
      <c r="F2044" s="33"/>
      <c r="G2044" s="33"/>
      <c r="H2044" s="33"/>
      <c r="I2044" s="33"/>
    </row>
    <row r="2045" spans="2:9" s="16" customFormat="1" ht="15.75">
      <c r="B2045" s="38">
        <f ca="1">IF(B2047="","",6)</f>
        <v>6</v>
      </c>
      <c r="C2045" s="34"/>
      <c r="D2045" s="38">
        <f ca="1">IF(B2047="","",3)</f>
        <v>3</v>
      </c>
      <c r="E2045" s="33"/>
      <c r="F2045" s="38">
        <f ca="1">IF(B2047="","",3)</f>
        <v>3</v>
      </c>
      <c r="G2045" s="33"/>
      <c r="H2045" s="38">
        <f ca="1">IF(B2047="","",3)</f>
        <v>3</v>
      </c>
      <c r="I2045" s="33"/>
    </row>
    <row r="2046" spans="2:9" s="16" customFormat="1" ht="15.75">
      <c r="B2046" s="39"/>
      <c r="C2046" s="33"/>
      <c r="D2046" s="33"/>
      <c r="E2046" s="33"/>
      <c r="F2046" s="33"/>
      <c r="G2046" s="33"/>
      <c r="H2046" s="33"/>
      <c r="I2046" s="33"/>
    </row>
    <row r="2047" spans="2:9" s="16" customFormat="1" ht="15.75">
      <c r="B2047" s="35" t="str">
        <f ca="1">IFERROR(IF(AND(INDEX(Tab_DaBa[],MATCH(CONCATENATE(Liste!$C$3,$B$1979,$B$2037),Data!$BO:$BO,0)-2,28)&lt;&gt;"",INDEX(Tab_DaBa[],MATCH(CONCATENATE(Liste!$C$3,$B$1979,$B$2037),Data!$BO:$BO,0)-2,33)=0),INDEX(Tab_DaBa[],MATCH(CONCATENATE(Liste!$C$3,$B$1979,$B$2037),Data!$BO:$BO,0)-2,14),IF(INDEX(Tab_DaBa[],MATCH(CONCATENATE(Liste!$C$3,$B$1979,$B$2037),Data!$BO:$BO,0)-2,28)&lt;&gt;"",INDEX(Tab_DaBa[],MATCH(CONCATENATE(Liste!$C$3,$B$1979,$B$2037),Data!$BO:$BO,0)-2,34),"")),"")</f>
        <v>Ausgang</v>
      </c>
      <c r="C2047" s="39"/>
      <c r="D2047" s="35" t="str">
        <f ca="1">IFERROR(IF(AND(INDEX(Tab_DaBa[],MATCH(CONCATENATE(Liste!$C$3,$B$1979,$B$2037),Data!$BO:$BO,0)-2,33)&lt;&gt;"",INDEX(Tab_DaBa[],MATCH(CONCATENATE(Liste!$C$3,$B$1979,$B$2037),Data!$BO:$BO,0)-2,38)=0),INDEX(Tab_DaBa[],MATCH(CONCATENATE(Liste!$C$3,$B$1979,$B$2037),Data!$BO:$BO,0)-2,14),IF(INDEX(Tab_DaBa[],MATCH(CONCATENATE(Liste!$C$3,$B$1979,$B$2037),Data!$BO:$BO,0)-2,33)&lt;&gt;"",INDEX(Tab_DaBa[],MATCH(CONCATENATE(Liste!$C$3,$B$1979,$B$2037),Data!$BO:$BO,0)-2,39),"")),"")</f>
        <v/>
      </c>
      <c r="E2047" s="33"/>
      <c r="F2047" s="35" t="str">
        <f ca="1">IFERROR(IF(AND(INDEX(Tab_DaBa[],MATCH(CONCATENATE(Liste!$C$3,$B$1979,$B$2037),Data!$BO:$BO,0)-2,38)&lt;&gt;"",INDEX(Tab_DaBa[],MATCH(CONCATENATE(Liste!$C$3,$B$1979,$B$2037),Data!$BO:$BO,0)-2,43)=0),INDEX(Tab_DaBa[],MATCH(CONCATENATE(Liste!$C$3,$B$1979,$B$2037),Data!$BO:$BO,0)-2,14),IF(INDEX(Tab_DaBa[],MATCH(CONCATENATE(Liste!$C$3,$B$1979,$B$2037),Data!$BO:$BO,0)-2,38)&lt;&gt;"",INDEX(Tab_DaBa[],MATCH(CONCATENATE(Liste!$C$3,$B$1979,$B$2037),Data!$BO:$BO,0)-2,44),"")),"")</f>
        <v/>
      </c>
      <c r="G2047" s="39"/>
      <c r="H2047" s="35" t="str">
        <f ca="1">IFERROR(IF(AND(INDEX(Tab_DaBa[],MATCH(CONCATENATE(Liste!$C$3,$B$1979,$B$2037),Data!$BO:$BO,0)-2,43)&lt;&gt;"",INDEX(Tab_DaBa[],MATCH(CONCATENATE(Liste!$C$3,$B$1979,$B$2037),Data!$BO:$BO,0)-2,48)=0),INDEX(Tab_DaBa[],MATCH(CONCATENATE(Liste!$C$3,$B$1979,$B$2037),Data!$BO:$BO,0)-2,14),IF(INDEX(Tab_DaBa[],MATCH(CONCATENATE(Liste!$C$3,$B$1979,$B$2037),Data!$BO:$BO,0)-2,43)&lt;&gt;"",INDEX(Tab_DaBa[],MATCH(CONCATENATE(Liste!$C$3,$B$1979,$B$2037),Data!$BO:$BO,0)-2,49),"")),"")</f>
        <v/>
      </c>
      <c r="I2047" s="39"/>
    </row>
    <row r="2048" spans="2:9" s="16" customFormat="1" ht="15.75">
      <c r="B2048" s="35" t="str">
        <f ca="1">IFERROR(IF(AND(INDEX(Tab_DaBa[],MATCH(CONCATENATE(Liste!$C$3,$B$1979,$B$2037),Data!$BO:$BO,0)-2,28)&lt;&gt;"",INDEX(Tab_DaBa[],MATCH(CONCATENATE(Liste!$C$3,$B$1979,$B$2037),Data!$BO:$BO,0)-2,33)=0),INDEX(Tab_DaBa[],MATCH(CONCATENATE(Liste!$C$3,$B$1979,$B$2037),Data!$BO:$BO,0)-2,12),IF(INDEX(Tab_DaBa[],MATCH(CONCATENATE(Liste!$C$3,$B$1979,$B$2037),Data!$BO:$BO,0)-2,28)&lt;&gt;"",INDEX(Tab_DaBa[],MATCH(CONCATENATE(Liste!$C$3,$B$1979,$B$2037),Data!$BO:$BO,0)-2,32),"")),"")</f>
        <v>aaaa-44_3</v>
      </c>
      <c r="C2048" s="39"/>
      <c r="D2048" s="35" t="str">
        <f ca="1">IFERROR(IF(AND(INDEX(Tab_DaBa[],MATCH(CONCATENATE(Liste!$C$3,$B$1979,$B$2037),Data!$BO:$BO,0)-2,33)&lt;&gt;"",INDEX(Tab_DaBa[],MATCH(CONCATENATE(Liste!$C$3,$B$1979,$B$2037),Data!$BO:$BO,0)-2,38)=0),INDEX(Tab_DaBa[],MATCH(CONCATENATE(Liste!$C$3,$B$1979,$B$2037),Data!$BO:$BO,0)-2,12),IF(INDEX(Tab_DaBa[],MATCH(CONCATENATE(Liste!$C$3,$B$1979,$B$2037),Data!$BO:$BO,0)-2,33)&lt;&gt;"",INDEX(Tab_DaBa[],MATCH(CONCATENATE(Liste!$C$3,$B$1979,$B$2037),Data!$BO:$BO,0)-2,37),"")),"")</f>
        <v/>
      </c>
      <c r="E2048" s="37"/>
      <c r="F2048" s="35" t="str">
        <f ca="1">IFERROR(IF(AND(INDEX(Tab_DaBa[],MATCH(CONCATENATE(Liste!$C$3,$B$1979,$B$2037),Data!$BO:$BO,0)-2,38)&lt;&gt;"",INDEX(Tab_DaBa[],MATCH(CONCATENATE(Liste!$C$3,$B$1979,$B$2037),Data!$BO:$BO,0)-2,43)=0),INDEX(Tab_DaBa[],MATCH(CONCATENATE(Liste!$C$3,$B$1979,$B$2037),Data!$BO:$BO,0)-2,12),IF(INDEX(Tab_DaBa[],MATCH(CONCATENATE(Liste!$C$3,$B$1979,$B$2037),Data!$BO:$BO,0)-2,38)&lt;&gt;"",INDEX(Tab_DaBa[],MATCH(CONCATENATE(Liste!$C$3,$B$1979,$B$2037),Data!$BO:$BO,0)-2,42),"")),"")</f>
        <v/>
      </c>
      <c r="G2048" s="39"/>
      <c r="H2048" s="35" t="str">
        <f ca="1">IFERROR(IF(AND(INDEX(Tab_DaBa[],MATCH(CONCATENATE(Liste!$C$3,$B$1979,$B$2037),Data!$BO:$BO,0)-2,43)&lt;&gt;"",INDEX(Tab_DaBa[],MATCH(CONCATENATE(Liste!$C$3,$B$1979,$B$2037),Data!$BO:$BO,0)-2,48)=0),INDEX(Tab_DaBa[],MATCH(CONCATENATE(Liste!$C$3,$B$1979,$B$2037),Data!$BO:$BO,0)-2,12),IF(INDEX(Tab_DaBa[],MATCH(CONCATENATE(Liste!$C$3,$B$1979,$B$2037),Data!$BO:$BO,0)-2,43)&lt;&gt;"",INDEX(Tab_DaBa[],MATCH(CONCATENATE(Liste!$C$3,$B$1979,$B$2037),Data!$BO:$BO,0)-2,47),"")),"")</f>
        <v/>
      </c>
      <c r="I2048" s="39"/>
    </row>
    <row r="2049" spans="2:9" s="16" customFormat="1" ht="15.75">
      <c r="B2049" s="35" t="str">
        <f ca="1">IFERROR(IF(AND(INDEX(Tab_DaBa[],MATCH(CONCATENATE(Liste!$C$3,$B$1979,$B$2037),Data!$BO:$BO,0)-2,28)&lt;&gt;"",INDEX(Tab_DaBa[],MATCH(CONCATENATE(Liste!$C$3,$B$1979,$B$2037),Data!$BO:$BO,0)-2,33)=""),INDEX(Tab_DaBa[],MATCH(CONCATENATE(Liste!$C$3,$B$1979,$B$2037),Data!$BO:$BO,0)-2,13),IF(INDEX(Tab_DaBa[],MATCH(CONCATENATE(Liste!$C$3,$B$1979,$B$2037),Data!$BO:$BO,0)-2,28)&lt;&gt;"",INDEX(Tab_DaBa[],MATCH(CONCATENATE(Liste!$C$3,$B$1979,$B$2037),Data!$BO:$BO,0)-2,33),"")),"")</f>
        <v>Bez_Aus4_3</v>
      </c>
      <c r="C2049" s="38" t="str">
        <f ca="1">IF(D2047="","",4)</f>
        <v/>
      </c>
      <c r="D2049" s="35" t="str">
        <f ca="1">IFERROR(IF(AND(INDEX(Tab_DaBa[],MATCH(CONCATENATE(Liste!$C$3,$B$1979,$B$2037),Data!$BO:$BO,0)-2,33)&lt;&gt;"",INDEX(Tab_DaBa[],MATCH(CONCATENATE(Liste!$C$3,$B$1979,$B$2037),Data!$BO:$BO,0)-2,38)=""),INDEX(Tab_DaBa[],MATCH(CONCATENATE(Liste!$C$3,$B$1979,$B$2037),Data!$BO:$BO,0)-2,13),IF(INDEX(Tab_DaBa[],MATCH(CONCATENATE(Liste!$C$3,$B$1979,$B$2037),Data!$BO:$BO,0)-2,33)&lt;&gt;"",INDEX(Tab_DaBa[],MATCH(CONCATENATE(Liste!$C$3,$B$1979,$B$2037),Data!$BO:$BO,0)-2,38),"")),"")</f>
        <v/>
      </c>
      <c r="E2049" s="38" t="str">
        <f ca="1">IF(F2047="","",4)</f>
        <v/>
      </c>
      <c r="F2049" s="35" t="str">
        <f ca="1">IFERROR(IF(AND(INDEX(Tab_DaBa[],MATCH(CONCATENATE(Liste!$C$3,$B$1979,$B$2037),Data!$BO:$BO,0)-2,38)&lt;&gt;"",INDEX(Tab_DaBa[],MATCH(CONCATENATE(Liste!$C$3,$B$1979,$B$2037),Data!$BO:$BO,0)-2,43)=""),INDEX(Tab_DaBa[],MATCH(CONCATENATE(Liste!$C$3,$B$1979,$B$2037),Data!$BO:$BO,0)-2,13),IF(INDEX(Tab_DaBa[],MATCH(CONCATENATE(Liste!$C$3,$B$1979,$B$2037),Data!$BO:$BO,0)-2,38)&lt;&gt;"",INDEX(Tab_DaBa[],MATCH(CONCATENATE(Liste!$C$3,$B$1979,$B$2037),Data!$BO:$BO,0)-2,43),"")),"")</f>
        <v/>
      </c>
      <c r="G2049" s="38" t="str">
        <f ca="1">IF(H2047="","",4)</f>
        <v/>
      </c>
      <c r="H2049" s="35" t="str">
        <f ca="1">IFERROR(IF(AND(INDEX(Tab_DaBa[],MATCH(CONCATENATE(Liste!$C$3,$B$1979,$B$2037),Data!$BO:$BO,0)-2,43)&lt;&gt;"",INDEX(Tab_DaBa[],MATCH(CONCATENATE(Liste!$C$3,$B$1979,$B$2037),Data!$BO:$BO,0)-2,48)=""),INDEX(Tab_DaBa[],MATCH(CONCATENATE(Liste!$C$3,$B$1979,$B$2037),Data!$BO:$BO,0)-2,13),IF(INDEX(Tab_DaBa[],MATCH(CONCATENATE(Liste!$C$3,$B$1979,$B$2037),Data!$BO:$BO,0)-2,43)&lt;&gt;"",INDEX(Tab_DaBa[],MATCH(CONCATENATE(Liste!$C$3,$B$1979,$B$2037),Data!$BO:$BO,0)-2,48),"")),"")</f>
        <v/>
      </c>
      <c r="I2049" s="38" t="str">
        <f ca="1">IF(B2055="","",6)</f>
        <v/>
      </c>
    </row>
    <row r="2050" spans="2:9" s="16" customFormat="1" ht="15.75">
      <c r="B2050" s="35" t="str">
        <f ca="1">IFERROR(IF(AND(INDEX(Tab_DaBa[],MATCH(CONCATENATE(Liste!$C$3,$B$1979,$B$2037),Data!$BO:$BO,0)-2,28)&lt;&gt;"",INDEX(Tab_DaBa[],MATCH(CONCATENATE(Liste!$C$3,$B$1979,$B$2037),Data!$BO:$BO,0)-2,33)=""),"Performance Level: "&amp;INDEX(Tab_DaBa[],MATCH(CONCATENATE(Liste!$C$3,$B$1979,$B$2037),Data!$BO:$BO,0)-2,15),IF(INDEX(Tab_DaBa[],MATCH(CONCATENATE(Liste!$C$3,$B$1979,$B$2037),Data!$BO:$BO,0)-2,28)&lt;&gt;"","Performance Level: "&amp;INDEX(Tab_DaBa[],MATCH(CONCATENATE(Liste!$C$3,$B$1979,$B$2037),Data!$BO:$BO,0)-2,35),"")),"")</f>
        <v>Performance Level: PL_Aus4_3</v>
      </c>
      <c r="C2050" s="39"/>
      <c r="D2050" s="35" t="str">
        <f ca="1">IFERROR(IF(AND(INDEX(Tab_DaBa[],MATCH(CONCATENATE(Liste!$C$3,$B$1979,$B$2037),Data!$BO:$BO,0)-2,33)&lt;&gt;"",INDEX(Tab_DaBa[],MATCH(CONCATENATE(Liste!$C$3,$B$1979,$B$2037),Data!$BO:$BO,0)-2,38)=""),"Performance Level: "&amp;INDEX(Tab_DaBa[],MATCH(CONCATENATE(Liste!$C$3,$B$1979,$B$2037),Data!$BO:$BO,0)-2,15),IF(INDEX(Tab_DaBa[],MATCH(CONCATENATE(Liste!$C$3,$B$1979,$B$2037),Data!$BO:$BO,0)-2,33)&lt;&gt;"","Performance Level: "&amp;INDEX(Tab_DaBa[],MATCH(CONCATENATE(Liste!$C$3,$B$1979,$B$2037),Data!$BO:$BO,0)-2,40),"")),"")</f>
        <v/>
      </c>
      <c r="E2050" s="37"/>
      <c r="F2050" s="35" t="str">
        <f ca="1">IFERROR(IF(AND(INDEX(Tab_DaBa[],MATCH(CONCATENATE(Liste!$C$3,$B$1979,$B$2037),Data!$BO:$BO,0)-2,38)&lt;&gt;"",INDEX(Tab_DaBa[],MATCH(CONCATENATE(Liste!$C$3,$B$1979,$B$2037),Data!$BO:$BO,0)-2,43)=""),"Performance Level: "&amp;INDEX(Tab_DaBa[],MATCH(CONCATENATE(Liste!$C$3,$B$1979,$B$2037),Data!$BO:$BO,0)-2,15),IF(INDEX(Tab_DaBa[],MATCH(CONCATENATE(Liste!$C$3,$B$1979,$B$2037),Data!$BO:$BO,0)-2,38)&lt;&gt;"","Performance Level: "&amp;INDEX(Tab_DaBa[],MATCH(CONCATENATE(Liste!$C$3,$B$1979,$B$2037),Data!$BO:$BO,0)-2,45),"")),"")</f>
        <v/>
      </c>
      <c r="G2050" s="39"/>
      <c r="H2050" s="35" t="str">
        <f ca="1">IFERROR(IF(AND(INDEX(Tab_DaBa[],MATCH(CONCATENATE(Liste!$C$3,$B$1979,$B$2037),Data!$BO:$BO,0)-2,43)&lt;&gt;"",INDEX(Tab_DaBa[],MATCH(CONCATENATE(Liste!$C$3,$B$1979,$B$2037),Data!$BO:$BO,0)-2,48)=""),"Performance Level: "&amp;INDEX(Tab_DaBa[],MATCH(CONCATENATE(Liste!$C$3,$B$1979,$B$2037),Data!$BO:$BO,0)-2,15),IF(INDEX(Tab_DaBa[],MATCH(CONCATENATE(Liste!$C$3,$B$1979,$B$2037),Data!$BO:$BO,0)-2,43)&lt;&gt;"","Performance Level: "&amp;INDEX(Tab_DaBa[],MATCH(CONCATENATE(Liste!$C$3,$B$1979,$B$2037),Data!$BO:$BO,0)-2,50),"")),"")</f>
        <v/>
      </c>
      <c r="I2050" s="39"/>
    </row>
    <row r="2051" spans="2:9" s="16" customFormat="1" ht="15.75">
      <c r="B2051" s="35" t="str">
        <f ca="1">IFERROR(IF(AND(INDEX(Tab_DaBa[],MATCH(CONCATENATE(Liste!$C$3,$B$1979,$B$2037),Data!$BO:$BO,0)-2,28)&lt;&gt;"",INDEX(Tab_DaBa[],MATCH(CONCATENATE(Liste!$C$3,$B$1979,$B$2037),Data!$BO:$BO,0)-2,33)=""),"PFH [1/h] = "&amp;10^9*INDEX(Tab_DaBa[],MATCH(CONCATENATE(Liste!$C$3,$B$1979,$B$2037),Data!$BO:$BO,0)-2,16)&amp;"E-9",IF(INDEX(Tab_DaBa[],MATCH(CONCATENATE(Liste!$C$3,$B$1979,$B$2037),Data!$BO:$BO,0)-2,28)&lt;&gt;"","PFH [1/h] = "&amp;10^9*INDEX(Tab_DaBa[],MATCH(CONCATENATE(Liste!$C$3,$B$1979,$B$2037),Data!$BO:$BO,0)-2,36)&amp;"E-9","")),"")</f>
        <v>PFH [1/h] = 24,7E-9</v>
      </c>
      <c r="C2051" s="39"/>
      <c r="D2051" s="35" t="str">
        <f ca="1">IFERROR(IF(AND(INDEX(Tab_DaBa[],MATCH(CONCATENATE(Liste!$C$3,$B$1979,$B$2037),Data!$BO:$BO,0)-2,33)&lt;&gt;"",INDEX(Tab_DaBa[],MATCH(CONCATENATE(Liste!$C$3,$B$1979,$B$2037),Data!$BO:$BO,0)-2,38)=""),"PFH [1/h] = "&amp;10^9*INDEX(Tab_DaBa[],MATCH(CONCATENATE(Liste!$C$3,$B$1979,$B$2037),Data!$BO:$BO,0)-2,16)&amp;"E-9",IF(INDEX(Tab_DaBa[],MATCH(CONCATENATE(Liste!$C$3,$B$1979,$B$2037),Data!$BO:$BO,0)-2,33)&lt;&gt;"","PFH [1/h] = "&amp;10^9*INDEX(Tab_DaBa[],MATCH(CONCATENATE(Liste!$C$3,$B$1979,$B$2037),Data!$BO:$BO,0)-2,41)&amp;"E-9","")),"")</f>
        <v/>
      </c>
      <c r="E2051" s="37"/>
      <c r="F2051" s="35" t="str">
        <f ca="1">IFERROR(IF(AND(INDEX(Tab_DaBa[],MATCH(CONCATENATE(Liste!$C$3,$B$1979,$B$2037),Data!$BO:$BO,0)-2,38)&lt;&gt;"",INDEX(Tab_DaBa[],MATCH(CONCATENATE(Liste!$C$3,$B$1979,$B$2037),Data!$BO:$BO,0)-2,43)=""),"PFH [1/h] = "&amp;10^9*INDEX(Tab_DaBa[],MATCH(CONCATENATE(Liste!$C$3,$B$1979,$B$2037),Data!$BO:$BO,0)-2,16)&amp;"E-9",IF(INDEX(Tab_DaBa[],MATCH(CONCATENATE(Liste!$C$3,$B$1979,$B$2037),Data!$BO:$BO,0)-2,38)&lt;&gt;"","PFH [1/h] = "&amp;10^9*INDEX(Tab_DaBa[],MATCH(CONCATENATE(Liste!$C$3,$B$1979,$B$2037),Data!$BO:$BO,0)-2,46)&amp;"E-9","")),"")</f>
        <v/>
      </c>
      <c r="G2051" s="39"/>
      <c r="H2051" s="35" t="str">
        <f ca="1">IFERROR(IF(AND(INDEX(Tab_DaBa[],MATCH(CONCATENATE(Liste!$C$3,$B$1979,$B$2037),Data!$BO:$BO,0)-2,43)&lt;&gt;"",INDEX(Tab_DaBa[],MATCH(CONCATENATE(Liste!$C$3,$B$1979,$B$2037),Data!$BO:$BO,0)-2,48)=""),"PFH [1/h] = "&amp;10^9*INDEX(Tab_DaBa[],MATCH(CONCATENATE(Liste!$C$3,$B$1979,$B$2037),Data!$BO:$BO,0)-2,16)&amp;"E-9",IF(INDEX(Tab_DaBa[],MATCH(CONCATENATE(Liste!$C$3,$B$1979,$B$2037),Data!$BO:$BO,0)-2,43)&lt;&gt;"","PFH [1/h] = "&amp;10^9*INDEX(Tab_DaBa[],MATCH(CONCATENATE(Liste!$C$3,$B$1979,$B$2037),Data!$BO:$BO,0)-2,51)&amp;"E-9","")),"")</f>
        <v/>
      </c>
      <c r="I2051" s="39"/>
    </row>
    <row r="2052" spans="2:9" s="16" customFormat="1">
      <c r="B2052" s="33"/>
      <c r="C2052" s="33"/>
      <c r="D2052" s="33"/>
      <c r="E2052" s="33"/>
      <c r="F2052" s="33"/>
      <c r="G2052" s="33"/>
      <c r="H2052" s="33"/>
      <c r="I2052" s="33"/>
    </row>
    <row r="2053" spans="2:9" s="16" customFormat="1" ht="15.75">
      <c r="B2053" s="38" t="str">
        <f ca="1">IF(B2055="","",6)</f>
        <v/>
      </c>
      <c r="C2053" s="33"/>
      <c r="D2053" s="38" t="str">
        <f ca="1">IF(B2055="","",3)</f>
        <v/>
      </c>
      <c r="E2053" s="33"/>
      <c r="F2053" s="38" t="str">
        <f ca="1">IF(B2055="","",3)</f>
        <v/>
      </c>
      <c r="G2053" s="33"/>
      <c r="H2053" s="38" t="str">
        <f ca="1">IF(B2055="","",3)</f>
        <v/>
      </c>
      <c r="I2053" s="33"/>
    </row>
    <row r="2054" spans="2:9" s="16" customFormat="1" ht="15.75">
      <c r="B2054" s="39"/>
      <c r="C2054" s="33"/>
      <c r="D2054" s="33"/>
      <c r="E2054" s="33"/>
      <c r="F2054" s="33"/>
      <c r="G2054" s="33"/>
      <c r="H2054" s="33"/>
      <c r="I2054" s="33"/>
    </row>
    <row r="2055" spans="2:9" s="16" customFormat="1" ht="15.75">
      <c r="B2055" s="35" t="str">
        <f ca="1">IFERROR(IF(AND(INDEX(Tab_DaBa[],MATCH(CONCATENATE(Liste!$C$3,$B$1979,$B$2037),Data!$BO:$BO,0)-2,48)&lt;&gt;"",INDEX(Tab_DaBa[],MATCH(CONCATENATE(Liste!$C$3,$B$1979,$B$2037),Data!$BO:$BO,0)-2,53)=0),INDEX(Tab_DaBa[],MATCH(CONCATENATE(Liste!$C$3,$B$1979,$B$2037),Data!$BO:$BO,0)-2,14),IF(INDEX(Tab_DaBa[],MATCH(CONCATENATE(Liste!$C$3,$B$1979,$B$2037),Data!$BO:$BO,0)-2,48)&lt;&gt;"",INDEX(Tab_DaBa[],MATCH(CONCATENATE(Liste!$C$3,$B$1979,$B$2037),Data!$BO:$BO,0)-2,54),"")),"")</f>
        <v/>
      </c>
      <c r="C2055" s="39"/>
      <c r="D2055" s="35" t="str">
        <f ca="1">IFERROR(IF(AND(INDEX(Tab_DaBa[],MATCH(CONCATENATE(Liste!$C$3,$B$1979,$B$2037),Data!$BO:$BO,0)-2,53)&lt;&gt;"",INDEX(Tab_DaBa[],MATCH(CONCATENATE(Liste!$C$3,$B$1979,$B$2037),Data!$BO:$BO,0)-2,58)=0),INDEX(Tab_DaBa[],MATCH(CONCATENATE(Liste!$C$3,$B$1979,$B$2037),Data!$BO:$BO,0)-2,14),IF(INDEX(Tab_DaBa[],MATCH(CONCATENATE(Liste!$C$3,$B$1979,$B$2037),Data!$BO:$BO,0)-2,53)&lt;&gt;"",INDEX(Tab_DaBa[],MATCH(CONCATENATE(Liste!$C$3,$B$1979,$B$2037),Data!$BO:$BO,0)-2,59),"")),"")</f>
        <v/>
      </c>
      <c r="E2055" s="33"/>
      <c r="F2055" s="35" t="str">
        <f ca="1">IFERROR(IF(AND(INDEX(Tab_DaBa[],MATCH(CONCATENATE(Liste!$C$3,$B$1979,$B$2037),Data!$BO:$BO,0)-2,58)&lt;&gt;"",INDEX(Tab_DaBa[],MATCH(CONCATENATE(Liste!$C$3,$B$1979,$B$2037),Data!$BO:$BO,0)-2,63)=0),INDEX(Tab_DaBa[],MATCH(CONCATENATE(Liste!$C$3,$B$1979,$B$2037),Data!$BO:$BO,0)-2,14),IF(INDEX(Tab_DaBa[],MATCH(CONCATENATE(Liste!$C$3,$B$1979,$B$2037),Data!$BO:$BO,0)-2,58)&lt;&gt;"",INDEX(Tab_DaBa[],MATCH(CONCATENATE(Liste!$C$3,$B$1979,$B$2037),Data!$BO:$BO,0)-2,64),"")),"")</f>
        <v/>
      </c>
      <c r="G2055" s="39"/>
      <c r="H2055" s="35" t="str">
        <f ca="1">IFERROR(IF(INDEX(Tab_DaBa[],MATCH(CONCATENATE(Liste!$C$3,$B$1979,$B$2037),Data!$BO:$BO,0)-2,63)&lt;&gt;"",INDEX(Tab_DaBa[],MATCH(CONCATENATE(Liste!$C$3,$B$1979,$B$2037),Data!$BO:$BO,0)-2,14),""),"")</f>
        <v/>
      </c>
    </row>
    <row r="2056" spans="2:9" s="16" customFormat="1" ht="15.75">
      <c r="B2056" s="35" t="str">
        <f ca="1">IFERROR(IF(AND(INDEX(Tab_DaBa[],MATCH(CONCATENATE(Liste!$C$3,$B$1979,$B$2037),Data!$BO:$BO,0)-2,48)&lt;&gt;"",INDEX(Tab_DaBa[],MATCH(CONCATENATE(Liste!$C$3,$B$1979,$B$2037),Data!$BO:$BO,0)-2,53)=0),INDEX(Tab_DaBa[],MATCH(CONCATENATE(Liste!$C$3,$B$1979,$B$2037),Data!$BO:$BO,0)-2,12),IF(INDEX(Tab_DaBa[],MATCH(CONCATENATE(Liste!$C$3,$B$1979,$B$2037),Data!$BO:$BO,0)-2,48)&lt;&gt;"",INDEX(Tab_DaBa[],MATCH(CONCATENATE(Liste!$C$3,$B$1979,$B$2037),Data!$BO:$BO,0)-2,52),"")),"")</f>
        <v/>
      </c>
      <c r="C2056" s="39"/>
      <c r="D2056" s="35" t="str">
        <f ca="1">IFERROR(IF(AND(INDEX(Tab_DaBa[],MATCH(CONCATENATE(Liste!$C$3,$B$1979,$B$2037),Data!$BO:$BO,0)-2,53)&lt;&gt;"",INDEX(Tab_DaBa[],MATCH(CONCATENATE(Liste!$C$3,$B$1979,$B$2037),Data!$BO:$BO,0)-2,58)=0),INDEX(Tab_DaBa[],MATCH(CONCATENATE(Liste!$C$3,$B$1979,$B$2037),Data!$BO:$BO,0)-2,12),IF(INDEX(Tab_DaBa[],MATCH(CONCATENATE(Liste!$C$3,$B$1979,$B$2037),Data!$BO:$BO,0)-2,53)&lt;&gt;"",INDEX(Tab_DaBa[],MATCH(CONCATENATE(Liste!$C$3,$B$1979,$B$2037),Data!$BO:$BO,0)-2,57),"")),"")</f>
        <v/>
      </c>
      <c r="E2056" s="37"/>
      <c r="F2056" s="35" t="str">
        <f ca="1">IFERROR(IF(AND(INDEX(Tab_DaBa[],MATCH(CONCATENATE(Liste!$C$3,$B$1979,$B$2037),Data!$BO:$BO,0)-2,58)&lt;&gt;"",INDEX(Tab_DaBa[],MATCH(CONCATENATE(Liste!$C$3,$B$1979,$B$2037),Data!$BO:$BO,0)-2,63)=0),INDEX(Tab_DaBa[],MATCH(CONCATENATE(Liste!$C$3,$B$1979,$B$2037),Data!$BO:$BO,0)-2,12),IF(INDEX(Tab_DaBa[],MATCH(CONCATENATE(Liste!$C$3,$B$1979,$B$2037),Data!$BO:$BO,0)-2,58)&lt;&gt;"",INDEX(Tab_DaBa[],MATCH(CONCATENATE(Liste!$C$3,$B$1979,$B$2037),Data!$BO:$BO,0)-2,62),"")),"")</f>
        <v/>
      </c>
      <c r="G2056" s="39"/>
      <c r="H2056" s="35" t="str">
        <f ca="1">IFERROR(IF(INDEX(Tab_DaBa[],MATCH(CONCATENATE(Liste!$C$3,$B$1979,$B$2037),Data!$BO:$BO,0)-2,63)&lt;&gt;"",INDEX(Tab_DaBa[],MATCH(CONCATENATE(Liste!$C$3,$B$1979,$B$2037),Data!$BO:$BO,0)-2,12),""),"")</f>
        <v/>
      </c>
    </row>
    <row r="2057" spans="2:9" s="16" customFormat="1" ht="15.75">
      <c r="B2057" s="35" t="str">
        <f ca="1">IFERROR(IF(AND(INDEX(Tab_DaBa[],MATCH(CONCATENATE(Liste!$C$3,$B$1979,$B$2037),Data!$BO:$BO,0)-2,48)&lt;&gt;"",INDEX(Tab_DaBa[],MATCH(CONCATENATE(Liste!$C$3,$B$1979,$B$2037),Data!$BO:$BO,0)-2,53)=""),INDEX(Tab_DaBa[],MATCH(CONCATENATE(Liste!$C$3,$B$1979,$B$2037),Data!$BO:$BO,0)-2,13),IF(INDEX(Tab_DaBa[],MATCH(CONCATENATE(Liste!$C$3,$B$1979,$B$2037),Data!$BO:$BO,0)-2,48)&lt;&gt;"",INDEX(Tab_DaBa[],MATCH(CONCATENATE(Liste!$C$3,$B$1979,$B$2037),Data!$BO:$BO,0)-2,53),"")),"")</f>
        <v/>
      </c>
      <c r="C2057" s="38" t="str">
        <f ca="1">IF(D2055="","",4)</f>
        <v/>
      </c>
      <c r="D2057" s="35" t="str">
        <f ca="1">IFERROR(IF(AND(INDEX(Tab_DaBa[],MATCH(CONCATENATE(Liste!$C$3,$B$1979,$B$2037),Data!$BO:$BO,0)-2,53)&lt;&gt;"",INDEX(Tab_DaBa[],MATCH(CONCATENATE(Liste!$C$3,$B$1979,$B$2037),Data!$BO:$BO,0)-2,58)=""),INDEX(Tab_DaBa[],MATCH(CONCATENATE(Liste!$C$3,$B$1979,$B$2037),Data!$BO:$BO,0)-2,13),IF(INDEX(Tab_DaBa[],MATCH(CONCATENATE(Liste!$C$3,$B$1979,$B$2037),Data!$BO:$BO,0)-2,53)&lt;&gt;"",INDEX(Tab_DaBa[],MATCH(CONCATENATE(Liste!$C$3,$B$1979,$B$2037),Data!$BO:$BO,0)-2,58),"")),"")</f>
        <v/>
      </c>
      <c r="E2057" s="38" t="str">
        <f ca="1">IF(F2055="","",4)</f>
        <v/>
      </c>
      <c r="F2057" s="35" t="str">
        <f ca="1">IFERROR(IF(AND(INDEX(Tab_DaBa[],MATCH(CONCATENATE(Liste!$C$3,$B$1979,$B$2037),Data!$BO:$BO,0)-2,58)&lt;&gt;"",INDEX(Tab_DaBa[],MATCH(CONCATENATE(Liste!$C$3,$B$1979,$B$2037),Data!$BO:$BO,0)-2,63)=""),INDEX(Tab_DaBa[],MATCH(CONCATENATE(Liste!$C$3,$B$1979,$B$2037),Data!$BO:$BO,0)-2,13),IF(INDEX(Tab_DaBa[],MATCH(CONCATENATE(Liste!$C$3,$B$1979,$B$2037),Data!$BO:$BO,0)-2,58)&lt;&gt;"",INDEX(Tab_DaBa[],MATCH(CONCATENATE(Liste!$C$3,$B$1979,$B$2037),Data!$BO:$BO,0)-2,63),"")),"")</f>
        <v/>
      </c>
      <c r="G2057" s="38" t="str">
        <f ca="1">IF(H2055="","",4)</f>
        <v/>
      </c>
      <c r="H2057" s="35" t="str">
        <f ca="1">IFERROR(IF(INDEX(Tab_DaBa[],MATCH(CONCATENATE(Liste!$C$3,$B$1979,$B$2037),Data!$BO:$BO,0)-2,63)&lt;&gt;"",INDEX(Tab_DaBa[],MATCH(CONCATENATE(Liste!$C$3,$B$1979,$B$2037),Data!$BO:$BO,0)-2,13),""),"")</f>
        <v/>
      </c>
    </row>
    <row r="2058" spans="2:9" s="16" customFormat="1" ht="15.75">
      <c r="B2058" s="35" t="str">
        <f ca="1">IFERROR(IF(AND(INDEX(Tab_DaBa[],MATCH(CONCATENATE(Liste!$C$3,$B$1979,$B$2037),Data!$BO:$BO,0)-2,48)&lt;&gt;"",INDEX(Tab_DaBa[],MATCH(CONCATENATE(Liste!$C$3,$B$1979,$B$2037),Data!$BO:$BO,0)-2,53)=""),"Performance Level: "&amp;INDEX(Tab_DaBa[],MATCH(CONCATENATE(Liste!$C$3,$B$1979,$B$2037),Data!$BO:$BO,0)-2,15),IF(INDEX(Tab_DaBa[],MATCH(CONCATENATE(Liste!$C$3,$B$1979,$B$2037),Data!$BO:$BO,0)-2,48)&lt;&gt;"","Performance Level: "&amp;INDEX(Tab_DaBa[],MATCH(CONCATENATE(Liste!$C$3,$B$1979,$B$2037),Data!$BO:$BO,0)-2,55),"")),"")</f>
        <v/>
      </c>
      <c r="C2058" s="39"/>
      <c r="D2058" s="35" t="str">
        <f ca="1">IFERROR(IF(AND(INDEX(Tab_DaBa[],MATCH(CONCATENATE(Liste!$C$3,$B$1979,$B$2037),Data!$BO:$BO,0)-2,53)&lt;&gt;"",INDEX(Tab_DaBa[],MATCH(CONCATENATE(Liste!$C$3,$B$1979,$B$2037),Data!$BO:$BO,0)-2,58)=""),"Performance Level: "&amp;INDEX(Tab_DaBa[],MATCH(CONCATENATE(Liste!$C$3,$B$1979,$B$2037),Data!$BO:$BO,0)-2,15),IF(INDEX(Tab_DaBa[],MATCH(CONCATENATE(Liste!$C$3,$B$1979,$B$2037),Data!$BO:$BO,0)-2,53)&lt;&gt;"","Performance Level: "&amp;INDEX(Tab_DaBa[],MATCH(CONCATENATE(Liste!$C$3,$B$1979,$B$2037),Data!$BO:$BO,0)-2,60),"")),"")</f>
        <v/>
      </c>
      <c r="E2058" s="37"/>
      <c r="F2058" s="35" t="str">
        <f ca="1">IFERROR(IF(AND(INDEX(Tab_DaBa[],MATCH(CONCATENATE(Liste!$C$3,$B$1979,$B$2037),Data!$BO:$BO,0)-2,58)&lt;&gt;"",INDEX(Tab_DaBa[],MATCH(CONCATENATE(Liste!$C$3,$B$1979,$B$2037),Data!$BO:$BO,0)-2,63)=""),"Performance Level: "&amp;INDEX(Tab_DaBa[],MATCH(CONCATENATE(Liste!$C$3,$B$1979,$B$2037),Data!$BO:$BO,0)-2,15),IF(INDEX(Tab_DaBa[],MATCH(CONCATENATE(Liste!$C$3,$B$1979,$B$2037),Data!$BO:$BO,0)-2,58)&lt;&gt;"","Performance Level: "&amp;INDEX(Tab_DaBa[],MATCH(CONCATENATE(Liste!$C$3,$B$1979,$B$2037),Data!$BO:$BO,0)-2,65),"")),"")</f>
        <v/>
      </c>
      <c r="G2058" s="39"/>
      <c r="H2058" s="35" t="str">
        <f ca="1">IFERROR(IF(INDEX(Tab_DaBa[],MATCH(CONCATENATE(Liste!$C$3,$B$1979,$B$2037),Data!$BO:$BO,0)-2,63)&lt;&gt;"","Performance Level: "&amp;INDEX(Tab_DaBa[],MATCH(CONCATENATE(Liste!$C$3,$B$1979,$B$2037),Data!$BO:$BO,0)-2,15),""),"")</f>
        <v/>
      </c>
    </row>
    <row r="2059" spans="2:9" s="16" customFormat="1" ht="15.75">
      <c r="B2059" s="35" t="str">
        <f ca="1">IFERROR(IF(AND(INDEX(Tab_DaBa[],MATCH(CONCATENATE(Liste!$C$3,$B$1979,$B$2037),Data!$BO:$BO,0)-2,48)&lt;&gt;"",INDEX(Tab_DaBa[],MATCH(CONCATENATE(Liste!$C$3,$B$1979,$B$2037),Data!$BO:$BO,0)-2,53)=""),"PFH [1/h] = "&amp;10^9*INDEX(Tab_DaBa[],MATCH(CONCATENATE(Liste!$C$3,$B$1979,$B$2037),Data!$BO:$BO,0)-2,16)&amp;"E-9",IF(INDEX(Tab_DaBa[],MATCH(CONCATENATE(Liste!$C$3,$B$1979,$B$2037),Data!$BO:$BO,0)-2,48)&lt;&gt;"","PFH [1/h] = "&amp;10^9*INDEX(Tab_DaBa[],MATCH(CONCATENATE(Liste!$C$3,$B$1979,$B$2037),Data!$BO:$BO,0)-2,56)&amp;"E-9","")),"")</f>
        <v/>
      </c>
      <c r="C2059" s="39"/>
      <c r="D2059" s="35" t="str">
        <f ca="1">IFERROR(IF(AND(INDEX(Tab_DaBa[],MATCH(CONCATENATE(Liste!$C$3,$B$1979,$B$2037),Data!$BO:$BO,0)-2,53)&lt;&gt;"",INDEX(Tab_DaBa[],MATCH(CONCATENATE(Liste!$C$3,$B$1979,$B$2037),Data!$BO:$BO,0)-2,58)=""),"PFH [1/h] = "&amp;10^9*INDEX(Tab_DaBa[],MATCH(CONCATENATE(Liste!$C$3,$B$1979,$B$2037),Data!$BO:$BO,0)-2,16)&amp;"E-9",IF(INDEX(Tab_DaBa[],MATCH(CONCATENATE(Liste!$C$3,$B$1979,$B$2037),Data!$BO:$BO,0)-2,53)&lt;&gt;"","PFH [1/h] = "&amp;10^9*INDEX(Tab_DaBa[],MATCH(CONCATENATE(Liste!$C$3,$B$1979,$B$2037),Data!$BO:$BO,0)-2,61)&amp;"E-9","")),"")</f>
        <v/>
      </c>
      <c r="E2059" s="37"/>
      <c r="F2059" s="35" t="str">
        <f ca="1">IFERROR(IF(AND(INDEX(Tab_DaBa[],MATCH(CONCATENATE(Liste!$C$3,$B$1979,$B$2037),Data!$BO:$BO,0)-2,58)&lt;&gt;"",INDEX(Tab_DaBa[],MATCH(CONCATENATE(Liste!$C$3,$B$1979,$B$2037),Data!$BO:$BO,0)-2,63)=""),"PFH [1/h] = "&amp;10^9*INDEX(Tab_DaBa[],MATCH(CONCATENATE(Liste!$C$3,$B$1979,$B$2037),Data!$BO:$BO,0)-2,16)&amp;"E-9",IF(INDEX(Tab_DaBa[],MATCH(CONCATENATE(Liste!$C$3,$B$1979,$B$2037),Data!$BO:$BO,0)-2,58)&lt;&gt;"","PFH [1/h] = "&amp;10^9*INDEX(Tab_DaBa[],MATCH(CONCATENATE(Liste!$C$3,$B$1979,$B$2037),Data!$BO:$BO,0)-2,66)&amp;"E-9","")),"")</f>
        <v/>
      </c>
      <c r="G2059" s="39"/>
      <c r="H2059" s="35" t="str">
        <f ca="1">IFERROR(IF(INDEX(Tab_DaBa[],MATCH(CONCATENATE(Liste!$C$3,$B$1979,$B$2037),Data!$BO:$BO,0)-2,63)&lt;&gt;"","PFH [1/h] = "&amp;10^9*INDEX(Tab_DaBa[],MATCH(CONCATENATE(Liste!$C$3,$B$1979,$B$2037),Data!$BO:$BO,0)-2,16)&amp;"E-9",""),"")</f>
        <v/>
      </c>
    </row>
    <row r="2060" spans="2:9" s="16" customFormat="1"/>
    <row r="2061" spans="2:9" s="16" customFormat="1">
      <c r="B2061" s="43" t="str">
        <f ca="1">IF(D2061="","","Erforderlich")</f>
        <v>Erforderlich</v>
      </c>
      <c r="D2061" s="44" t="str">
        <f ca="1">IFERROR("Performance Level: "&amp;INDEX(Tab_DaBa[],MATCH(CONCATENATE(Liste!$C$3,$B$1979,$B$2037),Data!$BO:$BO,0)-2,4),"")</f>
        <v>Performance Level: PLr_ges4_3</v>
      </c>
    </row>
    <row r="2062" spans="2:9" s="16" customFormat="1">
      <c r="B2062" s="45"/>
    </row>
    <row r="2063" spans="2:9" s="16" customFormat="1">
      <c r="B2063" s="46" t="str">
        <f ca="1">IF(D2063="","","Erreicht")</f>
        <v>Erreicht</v>
      </c>
      <c r="D2063" s="47" t="str">
        <f ca="1">IFERROR("Performance Level: "&amp;INDEX(Tab_DaBa[],MATCH(CONCATENATE(Liste!$C$3,$B$1979,$B$2037),Data!$BO:$BO,0)-2,5)&amp;"          PFH [1/h] = "&amp;10^9*INDEX(Tab_DaBa[],MATCH(CONCATENATE(Liste!$C$3,$B$1979,$B$2037),Data!$BO:$BO,0)-2,6)&amp;"E-9","")</f>
        <v>Performance Level: Pl_ges4_3          PFH [1/h] = 71,7E-9</v>
      </c>
    </row>
    <row r="2064" spans="2:9" s="16" customFormat="1"/>
    <row r="2065" spans="2:9" s="16" customFormat="1">
      <c r="B2065" s="42" t="str">
        <f ca="1">IFERROR(IF(4&gt;COUNTIF(Data!$BP:$BP,CONCATENATE(Liste!$C$3,$B$1979)),"",INDEX(Tab_DaBa[],MATCH(CONCATENATE(Liste!$C$3,$B$1979),Data!$BP:$BP,0)+1,3)),"")</f>
        <v>8.4 Test08 (E+4L+A)</v>
      </c>
    </row>
    <row r="2066" spans="2:9" s="16" customFormat="1"/>
    <row r="2067" spans="2:9" s="16" customFormat="1" ht="15.75">
      <c r="B2067" s="35" t="str">
        <f ca="1">IFERROR(INDEX(Tab_DaBa[],MATCH(CONCATENATE(Liste!$C$3,$B$1979,$B$2065),Data!$BO:$BO,0)-2,9),"")</f>
        <v>Eingang</v>
      </c>
      <c r="C2067" s="54"/>
      <c r="D2067" s="35" t="str">
        <f ca="1">IFERROR(IF(INDEX(Tab_DaBa[],MATCH(CONCATENATE(Liste!$C$3,$B$1979,$B$2065),Data!$BO:$BO,0)-2,18)=0,INDEX(Tab_DaBa[],MATCH(CONCATENATE(Liste!$C$3,$B$1979,$B$2065),Data!$BO:$BO,0)-2,14),INDEX(Tab_DaBa[],MATCH(CONCATENATE(Liste!$C$3,$B$1979,$B$2065),Data!$BO:$BO,0)-2,19)),"")</f>
        <v>Logik 01</v>
      </c>
      <c r="E2067" s="33"/>
      <c r="F2067" s="35" t="str">
        <f ca="1">IFERROR(IF(AND(INDEX(Tab_DaBa[],MATCH(CONCATENATE(Liste!$C$3,$B$1979,$B$2065),Data!$BO:$BO,0)-2,18)&lt;&gt;"",INDEX(Tab_DaBa[],MATCH(CONCATENATE(Liste!$C$3,$B$1979,$B$2065),Data!$BO:$BO,0)-2,23)=0),INDEX(Tab_DaBa[],MATCH(CONCATENATE(Liste!$C$3,$B$1979,$B$2065),Data!$BO:$BO,0)-2,14),IF(INDEX(Tab_DaBa[],MATCH(CONCATENATE(Liste!$C$3,$B$1979,$B$2065),Data!$BO:$BO,0)-2,23)&lt;&gt;"",INDEX(Tab_DaBa[],MATCH(CONCATENATE(Liste!$C$3,$B$1979,$B$2065),Data!$BO:$BO,0)-2,24),"")),"")</f>
        <v>Logik 02</v>
      </c>
      <c r="G2067" s="39"/>
      <c r="H2067" s="35" t="str">
        <f ca="1">IFERROR(IF(AND(INDEX(Tab_DaBa[],MATCH(CONCATENATE(Liste!$C$3,$B$1979,$B$2065),Data!$BO:$BO,0)-2,23)&lt;&gt;"",INDEX(Tab_DaBa[],MATCH(CONCATENATE(Liste!$C$3,$B$1979,$B$2065),Data!$BO:$BO,0)-2,28)=0),INDEX(Tab_DaBa[],MATCH(CONCATENATE(Liste!$C$3,$B$1979,$B$2065),Data!$BO:$BO,0)-2,14),IF(INDEX(Tab_DaBa[],MATCH(CONCATENATE(Liste!$C$3,$B$1979,$B$2065),Data!$BO:$BO,0)-2,23)&lt;&gt;"",INDEX(Tab_DaBa[],MATCH(CONCATENATE(Liste!$C$3,$B$1979,$B$2065),Data!$BO:$BO,0)-2,29),"")),"")</f>
        <v>Logik 03</v>
      </c>
      <c r="I2067" s="39"/>
    </row>
    <row r="2068" spans="2:9" s="16" customFormat="1" ht="15.75">
      <c r="B2068" s="35" t="str">
        <f ca="1">IFERROR(INDEX(Tab_DaBa[],MATCH(CONCATENATE(Liste!$C$3,$B$1979,$B$2065),Data!$BO:$BO,0)-2,7),"")</f>
        <v>eeee-33_4</v>
      </c>
      <c r="C2068" s="54"/>
      <c r="D2068" s="35" t="str">
        <f ca="1">IFERROR(IF(INDEX(Tab_DaBa[],MATCH(CONCATENATE(Liste!$C$3,$B$1979,$B$2065),Data!$BO:$BO,0)-2,18)="",INDEX(Tab_DaBa[],MATCH(CONCATENATE(Liste!$C$3,$B$1979,$B$2065),Data!$BO:$BO,0)-2,12),INDEX(Tab_DaBa[],MATCH(CONCATENATE(Liste!$C$3,$B$1979,$B$2065),Data!$BO:$BO,0)-2,17)),"")</f>
        <v>Log01-04_04</v>
      </c>
      <c r="E2068" s="36"/>
      <c r="F2068" s="35" t="str">
        <f ca="1">IFERROR(IF(AND(INDEX(Tab_DaBa[],MATCH(CONCATENATE(Liste!$C$3,$B$1979,$B$2065),Data!$BO:$BO,0)-2,18)&lt;&gt;"",INDEX(Tab_DaBa[],MATCH(CONCATENATE(Liste!$C$3,$B$1979,$B$2065),Data!$BO:$BO,0)-2,23)=0),INDEX(Tab_DaBa[],MATCH(CONCATENATE(Liste!$C$3,$B$1979,$B$2065),Data!$BO:$BO,0)-2,12),IF(INDEX(Tab_DaBa[],MATCH(CONCATENATE(Liste!$C$3,$B$1979,$B$2065),Data!$BO:$BO,0)-2,23)&lt;&gt;"",INDEX(Tab_DaBa[],MATCH(CONCATENATE(Liste!$C$3,$B$1979,$B$2065),Data!$BO:$BO,0)-2,22),"")),"")</f>
        <v>Lo04-04_04</v>
      </c>
      <c r="G2068" s="39"/>
      <c r="H2068" s="35" t="str">
        <f ca="1">IFERROR(IF(AND(INDEX(Tab_DaBa[],MATCH(CONCATENATE(Liste!$C$3,$B$1979,$B$2065),Data!$BO:$BO,0)-2,23)&lt;&gt;"",INDEX(Tab_DaBa[],MATCH(CONCATENATE(Liste!$C$3,$B$1979,$B$2065),Data!$BO:$BO,0)-2,28)=0),INDEX(Tab_DaBa[],MATCH(CONCATENATE(Liste!$C$3,$B$1979,$B$2065),Data!$BO:$BO,0)-2,12),IF(INDEX(Tab_DaBa[],MATCH(CONCATENATE(Liste!$C$3,$B$1979,$B$2065),Data!$BO:$BO,0)-2,23)&lt;&gt;"",INDEX(Tab_DaBa[],MATCH(CONCATENATE(Liste!$C$3,$B$1979,$B$2065),Data!$BO:$BO,0)-2,27),"")),"")</f>
        <v>Lo04-44_04</v>
      </c>
      <c r="I2068" s="39"/>
    </row>
    <row r="2069" spans="2:9" s="16" customFormat="1" ht="15.75">
      <c r="B2069" s="35" t="str">
        <f ca="1">IFERROR(INDEX(Tab_DaBa[],MATCH(CONCATENATE(Liste!$C$3,$B$1979,$B$2065),Data!$BO:$BO,0)-2,8),"")</f>
        <v>Bez_Ein4_4</v>
      </c>
      <c r="C2069" s="40">
        <f ca="1">IF(D2067="","",4)</f>
        <v>4</v>
      </c>
      <c r="D2069" s="35" t="str">
        <f ca="1">IFERROR(IF(INDEX(Tab_DaBa[],MATCH(CONCATENATE(Liste!$C$3,$B$1979,$B$2065),Data!$BO:$BO,0)-2,18)="",INDEX(Tab_DaBa[],MATCH(CONCATENATE(Liste!$C$3,$B$1979,$B$2065),Data!$BO:$BO,0)-2,13),INDEX(Tab_DaBa[],MATCH(CONCATENATE(Liste!$C$3,$B$1979,$B$2065),Data!$BO:$BO,0)-2,18)),"")</f>
        <v>Bez_Log01_04_04</v>
      </c>
      <c r="E2069" s="40">
        <f ca="1">IF(F2067="","",4)</f>
        <v>4</v>
      </c>
      <c r="F2069" s="35" t="str">
        <f ca="1">IFERROR(IF(AND(INDEX(Tab_DaBa[],MATCH(CONCATENATE(Liste!$C$3,$B$1979,$B$2065),Data!$BO:$BO,0)-2,18)&lt;&gt;"",INDEX(Tab_DaBa[],MATCH(CONCATENATE(Liste!$C$3,$B$1979,$B$2065),Data!$BO:$BO,0)-2,23)=""),INDEX(Tab_DaBa[],MATCH(CONCATENATE(Liste!$C$3,$B$1979,$B$2065),Data!$BO:$BO,0)-2,13),IF(INDEX(Tab_DaBa[],MATCH(CONCATENATE(Liste!$C$3,$B$1979,$B$2065),Data!$BO:$BO,0)-2,23)&lt;&gt;"",INDEX(Tab_DaBa[],MATCH(CONCATENATE(Liste!$C$3,$B$1979,$B$2065),Data!$BO:$BO,0)-2,23),"")),"")</f>
        <v>Bez_Lo04_04</v>
      </c>
      <c r="G2069" s="38">
        <f ca="1">IF(H2067="","",4)</f>
        <v>4</v>
      </c>
      <c r="H2069" s="35" t="str">
        <f ca="1">IFERROR(IF(AND(INDEX(Tab_DaBa[],MATCH(CONCATENATE(Liste!$C$3,$B$1979,$B$2065),Data!$BO:$BO,0)-2,23)&lt;&gt;"",INDEX(Tab_DaBa[],MATCH(CONCATENATE(Liste!$C$3,$B$1979,$B$2065),Data!$BO:$BO,0)-2,28)=""),INDEX(Tab_DaBa[],MATCH(CONCATENATE(Liste!$C$3,$B$1979,$B$2065),Data!$BO:$BO,0)-2,13),IF(INDEX(Tab_DaBa[],MATCH(CONCATENATE(Liste!$C$3,$B$1979,$B$2065),Data!$BO:$BO,0)-2,23)&lt;&gt;"",INDEX(Tab_DaBa[],MATCH(CONCATENATE(Liste!$C$3,$B$1979,$B$2065),Data!$BO:$BO,0)-2,28),"")),"")</f>
        <v>Bez_Lo04_04</v>
      </c>
      <c r="I2069" s="38">
        <f ca="1">IF(B2075="","",6)</f>
        <v>6</v>
      </c>
    </row>
    <row r="2070" spans="2:9" s="16" customFormat="1" ht="15.75">
      <c r="B2070" s="35" t="str">
        <f ca="1">IFERROR("Performance Level: "&amp;INDEX(Tab_DaBa[],MATCH(CONCATENATE(Liste!$C$3,$B$1979,$B$2065),Data!$BO:$BO,0)-2,10),"")</f>
        <v>Performance Level: PL_Ein4_4</v>
      </c>
      <c r="C2070" s="54"/>
      <c r="D2070" s="35" t="str">
        <f ca="1">IFERROR(IF(INDEX(Tab_DaBa[],MATCH(CONCATENATE(Liste!$C$3,$B$1979,$B$2065),Data!$BO:$BO,0)-2,18)="","Performance Level: "&amp;INDEX(Tab_DaBa[],MATCH(CONCATENATE(Liste!$C$3,$B$1979,$B$2065),Data!$BO:$BO,0)-2,15),"Performance Level: "&amp;INDEX(Tab_DaBa[],MATCH(CONCATENATE(Liste!$C$3,$B$1979,$B$2065),Data!$BO:$BO,0)-2,20)),"")</f>
        <v>Performance Level: PL_Log01_04_04</v>
      </c>
      <c r="E2070" s="36"/>
      <c r="F2070" s="35" t="str">
        <f ca="1">IFERROR(IF(AND(INDEX(Tab_DaBa[],MATCH(CONCATENATE(Liste!$C$3,$B$1979,$B$2065),Data!$BO:$BO,0)-2,18)&lt;&gt;"",INDEX(Tab_DaBa[],MATCH(CONCATENATE(Liste!$C$3,$B$1979,$B$2065),Data!$BO:$BO,0)-2,23)=""),"Performance Level: "&amp;INDEX(Tab_DaBa[],MATCH(CONCATENATE(Liste!$C$3,$B$1979,$B$2065),Data!$BO:$BO,0)-2,15),IF(INDEX(Tab_DaBa[],MATCH(CONCATENATE(Liste!$C$3,$B$1979,$B$2065),Data!$BO:$BO,0)-2,23)&lt;&gt;"","Performance Level: "&amp;INDEX(Tab_DaBa[],MATCH(CONCATENATE(Liste!$C$3,$B$1979,$B$2065),Data!$BO:$BO,0)-2,25),"")),"")</f>
        <v>Performance Level: PL_Lo04_04</v>
      </c>
      <c r="G2070" s="39"/>
      <c r="H2070" s="35" t="str">
        <f ca="1">IFERROR(IF(AND(INDEX(Tab_DaBa[],MATCH(CONCATENATE(Liste!$C$3,$B$1979,$B$2065),Data!$BO:$BO,0)-2,23)&lt;&gt;"",INDEX(Tab_DaBa[],MATCH(CONCATENATE(Liste!$C$3,$B$1979,$B$2065),Data!$BO:$BO,0)-2,28)=""),"Performance Level: "&amp;INDEX(Tab_DaBa[],MATCH(CONCATENATE(Liste!$C$3,$B$1979,$B$2065),Data!$BO:$BO,0)-2,15),IF(INDEX(Tab_DaBa[],MATCH(CONCATENATE(Liste!$C$3,$B$1979,$B$2065),Data!$BO:$BO,0)-2,23)&lt;&gt;"","Performance Level: "&amp;INDEX(Tab_DaBa[],MATCH(CONCATENATE(Liste!$C$3,$B$1979,$B$2065),Data!$BO:$BO,0)-2,30),"")),"")</f>
        <v>Performance Level: PL_Lo04_04</v>
      </c>
      <c r="I2070" s="38"/>
    </row>
    <row r="2071" spans="2:9" s="16" customFormat="1" ht="15.75">
      <c r="B2071" s="53" t="str">
        <f ca="1">IFERROR("PFH [1/h] = "&amp;10^9*INDEX(Tab_DaBa[],MATCH(CONCATENATE(Liste!$C$3,$B$1979,$B$2065),Data!$BO:$BO,0)-2,11)&amp;"E-9","")</f>
        <v>PFH [1/h] = 42,9E-9</v>
      </c>
      <c r="C2071" s="54"/>
      <c r="D2071" s="35" t="str">
        <f ca="1">IFERROR(IF(INDEX(Tab_DaBa[],MATCH(CONCATENATE(Liste!$C$3,$B$1979,$B$2065),Data!$BO:$BO,0)-2,18)="","PFH [1/h] = "&amp;10^9*INDEX(Tab_DaBa[],MATCH(CONCATENATE(Liste!$C$3,$B$1979,$B$2065),Data!$BO:$BO,0)-2,16)&amp;"E-9","PFH [1/h] = "&amp;10^9*INDEX(Tab_DaBa[],MATCH(CONCATENATE(Liste!$C$3,$B$1979,$B$2065),Data!$BO:$BO,0)-2,21)&amp;"E-9"),"")</f>
        <v>PFH [1/h] = 4,19E-9</v>
      </c>
      <c r="E2071" s="36"/>
      <c r="F2071" s="35" t="str">
        <f ca="1">IFERROR(IF(AND(INDEX(Tab_DaBa[],MATCH(CONCATENATE(Liste!$C$3,$B$1979,$B$2065),Data!$BO:$BO,0)-2,18)&lt;&gt;"",INDEX(Tab_DaBa[],MATCH(CONCATENATE(Liste!$C$3,$B$1979,$B$2065),Data!$BO:$BO,0)-2,23)=""),"PFH [1/h] = "&amp;10^9*INDEX(Tab_DaBa[],MATCH(CONCATENATE(Liste!$C$3,$B$1979,$B$2065),Data!$BO:$BO,0)-2,16)&amp;"E-9",IF(INDEX(Tab_DaBa[],MATCH(CONCATENATE(Liste!$C$3,$B$1979,$B$2065),Data!$BO:$BO,0)-2,23)&lt;&gt;"","PFH [1/h] = "&amp;10^9*INDEX(Tab_DaBa[],MATCH(CONCATENATE(Liste!$C$3,$B$1979,$B$2065),Data!$BO:$BO,0)-2,26)&amp;"E-9","")),"")</f>
        <v>PFH [1/h] = 4,19E-9</v>
      </c>
      <c r="G2071" s="39"/>
      <c r="H2071" s="35" t="str">
        <f ca="1">IFERROR(IF(AND(INDEX(Tab_DaBa[],MATCH(CONCATENATE(Liste!$C$3,$B$1979,$B$2065),Data!$BO:$BO,0)-2,23)&lt;&gt;"",INDEX(Tab_DaBa[],MATCH(CONCATENATE(Liste!$C$3,$B$1979,$B$2065),Data!$BO:$BO,0)-2,28)=""),"PFH [1/h] = "&amp;10^9*INDEX(Tab_DaBa[],MATCH(CONCATENATE(Liste!$C$3,$B$1979,$B$2065),Data!$BO:$BO,0)-2,16)&amp;"E-9",IF(INDEX(Tab_DaBa[],MATCH(CONCATENATE(Liste!$C$3,$B$1979,$B$2065),Data!$BO:$BO,0)-2,23)&lt;&gt;"","PFH [1/h] = "&amp;10^9*INDEX(Tab_DaBa[],MATCH(CONCATENATE(Liste!$C$3,$B$1979,$B$2065),Data!$BO:$BO,0)-2,31)&amp;"E-9","")),"")</f>
        <v>PFH [1/h] = 4,19E-9</v>
      </c>
      <c r="I2071" s="39"/>
    </row>
    <row r="2072" spans="2:9" s="16" customFormat="1">
      <c r="B2072" s="33"/>
      <c r="C2072" s="34"/>
      <c r="D2072" s="33"/>
      <c r="E2072" s="33"/>
      <c r="F2072" s="33"/>
      <c r="G2072" s="33"/>
      <c r="H2072" s="33"/>
      <c r="I2072" s="33"/>
    </row>
    <row r="2073" spans="2:9" s="16" customFormat="1" ht="15.75">
      <c r="B2073" s="38">
        <f ca="1">IF(B2075="","",6)</f>
        <v>6</v>
      </c>
      <c r="C2073" s="34"/>
      <c r="D2073" s="38">
        <f ca="1">IF(B2075="","",3)</f>
        <v>3</v>
      </c>
      <c r="E2073" s="33"/>
      <c r="F2073" s="38">
        <f ca="1">IF(B2075="","",3)</f>
        <v>3</v>
      </c>
      <c r="G2073" s="33"/>
      <c r="H2073" s="38">
        <f ca="1">IF(B2075="","",3)</f>
        <v>3</v>
      </c>
      <c r="I2073" s="33"/>
    </row>
    <row r="2074" spans="2:9" s="16" customFormat="1" ht="15.75">
      <c r="B2074" s="39"/>
      <c r="C2074" s="33"/>
      <c r="D2074" s="33"/>
      <c r="E2074" s="33"/>
      <c r="F2074" s="33"/>
      <c r="G2074" s="33"/>
      <c r="H2074" s="33"/>
      <c r="I2074" s="33"/>
    </row>
    <row r="2075" spans="2:9" s="16" customFormat="1" ht="15.75">
      <c r="B2075" s="35" t="str">
        <f ca="1">IFERROR(IF(AND(INDEX(Tab_DaBa[],MATCH(CONCATENATE(Liste!$C$3,$B$1979,$B$2065),Data!$BO:$BO,0)-2,28)&lt;&gt;"",INDEX(Tab_DaBa[],MATCH(CONCATENATE(Liste!$C$3,$B$1979,$B$2065),Data!$BO:$BO,0)-2,33)=0),INDEX(Tab_DaBa[],MATCH(CONCATENATE(Liste!$C$3,$B$1979,$B$2065),Data!$BO:$BO,0)-2,14),IF(INDEX(Tab_DaBa[],MATCH(CONCATENATE(Liste!$C$3,$B$1979,$B$2065),Data!$BO:$BO,0)-2,28)&lt;&gt;"",INDEX(Tab_DaBa[],MATCH(CONCATENATE(Liste!$C$3,$B$1979,$B$2065),Data!$BO:$BO,0)-2,34),"")),"")</f>
        <v>Logik 04</v>
      </c>
      <c r="C2075" s="39"/>
      <c r="D2075" s="35" t="str">
        <f ca="1">IFERROR(IF(AND(INDEX(Tab_DaBa[],MATCH(CONCATENATE(Liste!$C$3,$B$1979,$B$2065),Data!$BO:$BO,0)-2,33)&lt;&gt;"",INDEX(Tab_DaBa[],MATCH(CONCATENATE(Liste!$C$3,$B$1979,$B$2065),Data!$BO:$BO,0)-2,38)=0),INDEX(Tab_DaBa[],MATCH(CONCATENATE(Liste!$C$3,$B$1979,$B$2065),Data!$BO:$BO,0)-2,14),IF(INDEX(Tab_DaBa[],MATCH(CONCATENATE(Liste!$C$3,$B$1979,$B$2065),Data!$BO:$BO,0)-2,33)&lt;&gt;"",INDEX(Tab_DaBa[],MATCH(CONCATENATE(Liste!$C$3,$B$1979,$B$2065),Data!$BO:$BO,0)-2,39),"")),"")</f>
        <v>Ausgang</v>
      </c>
      <c r="E2075" s="33"/>
      <c r="F2075" s="35" t="str">
        <f ca="1">IFERROR(IF(AND(INDEX(Tab_DaBa[],MATCH(CONCATENATE(Liste!$C$3,$B$1979,$B$2065),Data!$BO:$BO,0)-2,38)&lt;&gt;"",INDEX(Tab_DaBa[],MATCH(CONCATENATE(Liste!$C$3,$B$1979,$B$2065),Data!$BO:$BO,0)-2,43)=0),INDEX(Tab_DaBa[],MATCH(CONCATENATE(Liste!$C$3,$B$1979,$B$2065),Data!$BO:$BO,0)-2,14),IF(INDEX(Tab_DaBa[],MATCH(CONCATENATE(Liste!$C$3,$B$1979,$B$2065),Data!$BO:$BO,0)-2,38)&lt;&gt;"",INDEX(Tab_DaBa[],MATCH(CONCATENATE(Liste!$C$3,$B$1979,$B$2065),Data!$BO:$BO,0)-2,44),"")),"")</f>
        <v/>
      </c>
      <c r="G2075" s="39"/>
      <c r="H2075" s="35" t="str">
        <f ca="1">IFERROR(IF(AND(INDEX(Tab_DaBa[],MATCH(CONCATENATE(Liste!$C$3,$B$1979,$B$2065),Data!$BO:$BO,0)-2,43)&lt;&gt;"",INDEX(Tab_DaBa[],MATCH(CONCATENATE(Liste!$C$3,$B$1979,$B$2065),Data!$BO:$BO,0)-2,48)=0),INDEX(Tab_DaBa[],MATCH(CONCATENATE(Liste!$C$3,$B$1979,$B$2065),Data!$BO:$BO,0)-2,14),IF(INDEX(Tab_DaBa[],MATCH(CONCATENATE(Liste!$C$3,$B$1979,$B$2065),Data!$BO:$BO,0)-2,43)&lt;&gt;"",INDEX(Tab_DaBa[],MATCH(CONCATENATE(Liste!$C$3,$B$1979,$B$2065),Data!$BO:$BO,0)-2,49),"")),"")</f>
        <v/>
      </c>
      <c r="I2075" s="39"/>
    </row>
    <row r="2076" spans="2:9" s="16" customFormat="1" ht="15.75">
      <c r="B2076" s="35" t="str">
        <f ca="1">IFERROR(IF(AND(INDEX(Tab_DaBa[],MATCH(CONCATENATE(Liste!$C$3,$B$1979,$B$2065),Data!$BO:$BO,0)-2,28)&lt;&gt;"",INDEX(Tab_DaBa[],MATCH(CONCATENATE(Liste!$C$3,$B$1979,$B$2065),Data!$BO:$BO,0)-2,33)=0),INDEX(Tab_DaBa[],MATCH(CONCATENATE(Liste!$C$3,$B$1979,$B$2065),Data!$BO:$BO,0)-2,12),IF(INDEX(Tab_DaBa[],MATCH(CONCATENATE(Liste!$C$3,$B$1979,$B$2065),Data!$BO:$BO,0)-2,28)&lt;&gt;"",INDEX(Tab_DaBa[],MATCH(CONCATENATE(Liste!$C$3,$B$1979,$B$2065),Data!$BO:$BO,0)-2,32),"")),"")</f>
        <v>Lo04-44_04</v>
      </c>
      <c r="C2076" s="39"/>
      <c r="D2076" s="35" t="str">
        <f ca="1">IFERROR(IF(AND(INDEX(Tab_DaBa[],MATCH(CONCATENATE(Liste!$C$3,$B$1979,$B$2065),Data!$BO:$BO,0)-2,33)&lt;&gt;"",INDEX(Tab_DaBa[],MATCH(CONCATENATE(Liste!$C$3,$B$1979,$B$2065),Data!$BO:$BO,0)-2,38)=0),INDEX(Tab_DaBa[],MATCH(CONCATENATE(Liste!$C$3,$B$1979,$B$2065),Data!$BO:$BO,0)-2,12),IF(INDEX(Tab_DaBa[],MATCH(CONCATENATE(Liste!$C$3,$B$1979,$B$2065),Data!$BO:$BO,0)-2,33)&lt;&gt;"",INDEX(Tab_DaBa[],MATCH(CONCATENATE(Liste!$C$3,$B$1979,$B$2065),Data!$BO:$BO,0)-2,37),"")),"")</f>
        <v>aaaa-44_4</v>
      </c>
      <c r="E2076" s="37"/>
      <c r="F2076" s="35" t="str">
        <f ca="1">IFERROR(IF(AND(INDEX(Tab_DaBa[],MATCH(CONCATENATE(Liste!$C$3,$B$1979,$B$2065),Data!$BO:$BO,0)-2,38)&lt;&gt;"",INDEX(Tab_DaBa[],MATCH(CONCATENATE(Liste!$C$3,$B$1979,$B$2065),Data!$BO:$BO,0)-2,43)=0),INDEX(Tab_DaBa[],MATCH(CONCATENATE(Liste!$C$3,$B$1979,$B$2065),Data!$BO:$BO,0)-2,12),IF(INDEX(Tab_DaBa[],MATCH(CONCATENATE(Liste!$C$3,$B$1979,$B$2065),Data!$BO:$BO,0)-2,38)&lt;&gt;"",INDEX(Tab_DaBa[],MATCH(CONCATENATE(Liste!$C$3,$B$1979,$B$2065),Data!$BO:$BO,0)-2,42),"")),"")</f>
        <v/>
      </c>
      <c r="G2076" s="39"/>
      <c r="H2076" s="35" t="str">
        <f ca="1">IFERROR(IF(AND(INDEX(Tab_DaBa[],MATCH(CONCATENATE(Liste!$C$3,$B$1979,$B$2065),Data!$BO:$BO,0)-2,43)&lt;&gt;"",INDEX(Tab_DaBa[],MATCH(CONCATENATE(Liste!$C$3,$B$1979,$B$2065),Data!$BO:$BO,0)-2,48)=0),INDEX(Tab_DaBa[],MATCH(CONCATENATE(Liste!$C$3,$B$1979,$B$2065),Data!$BO:$BO,0)-2,12),IF(INDEX(Tab_DaBa[],MATCH(CONCATENATE(Liste!$C$3,$B$1979,$B$2065),Data!$BO:$BO,0)-2,43)&lt;&gt;"",INDEX(Tab_DaBa[],MATCH(CONCATENATE(Liste!$C$3,$B$1979,$B$2065),Data!$BO:$BO,0)-2,47),"")),"")</f>
        <v/>
      </c>
      <c r="I2076" s="39"/>
    </row>
    <row r="2077" spans="2:9" s="16" customFormat="1" ht="15.75">
      <c r="B2077" s="35" t="str">
        <f ca="1">IFERROR(IF(AND(INDEX(Tab_DaBa[],MATCH(CONCATENATE(Liste!$C$3,$B$1979,$B$2065),Data!$BO:$BO,0)-2,28)&lt;&gt;"",INDEX(Tab_DaBa[],MATCH(CONCATENATE(Liste!$C$3,$B$1979,$B$2065),Data!$BO:$BO,0)-2,33)=""),INDEX(Tab_DaBa[],MATCH(CONCATENATE(Liste!$C$3,$B$1979,$B$2065),Data!$BO:$BO,0)-2,13),IF(INDEX(Tab_DaBa[],MATCH(CONCATENATE(Liste!$C$3,$B$1979,$B$2065),Data!$BO:$BO,0)-2,28)&lt;&gt;"",INDEX(Tab_DaBa[],MATCH(CONCATENATE(Liste!$C$3,$B$1979,$B$2065),Data!$BO:$BO,0)-2,33),"")),"")</f>
        <v>Bez_Lo04_04</v>
      </c>
      <c r="C2077" s="38">
        <f ca="1">IF(D2075="","",4)</f>
        <v>4</v>
      </c>
      <c r="D2077" s="35" t="str">
        <f ca="1">IFERROR(IF(AND(INDEX(Tab_DaBa[],MATCH(CONCATENATE(Liste!$C$3,$B$1979,$B$2065),Data!$BO:$BO,0)-2,33)&lt;&gt;"",INDEX(Tab_DaBa[],MATCH(CONCATENATE(Liste!$C$3,$B$1979,$B$2065),Data!$BO:$BO,0)-2,38)=""),INDEX(Tab_DaBa[],MATCH(CONCATENATE(Liste!$C$3,$B$1979,$B$2065),Data!$BO:$BO,0)-2,13),IF(INDEX(Tab_DaBa[],MATCH(CONCATENATE(Liste!$C$3,$B$1979,$B$2065),Data!$BO:$BO,0)-2,33)&lt;&gt;"",INDEX(Tab_DaBa[],MATCH(CONCATENATE(Liste!$C$3,$B$1979,$B$2065),Data!$BO:$BO,0)-2,38),"")),"")</f>
        <v>Bez_Aus4_4</v>
      </c>
      <c r="E2077" s="38" t="str">
        <f ca="1">IF(F2075="","",4)</f>
        <v/>
      </c>
      <c r="F2077" s="35" t="str">
        <f ca="1">IFERROR(IF(AND(INDEX(Tab_DaBa[],MATCH(CONCATENATE(Liste!$C$3,$B$1979,$B$2065),Data!$BO:$BO,0)-2,38)&lt;&gt;"",INDEX(Tab_DaBa[],MATCH(CONCATENATE(Liste!$C$3,$B$1979,$B$2065),Data!$BO:$BO,0)-2,43)=""),INDEX(Tab_DaBa[],MATCH(CONCATENATE(Liste!$C$3,$B$1979,$B$2065),Data!$BO:$BO,0)-2,13),IF(INDEX(Tab_DaBa[],MATCH(CONCATENATE(Liste!$C$3,$B$1979,$B$2065),Data!$BO:$BO,0)-2,38)&lt;&gt;"",INDEX(Tab_DaBa[],MATCH(CONCATENATE(Liste!$C$3,$B$1979,$B$2065),Data!$BO:$BO,0)-2,43),"")),"")</f>
        <v/>
      </c>
      <c r="G2077" s="38" t="str">
        <f ca="1">IF(H2075="","",4)</f>
        <v/>
      </c>
      <c r="H2077" s="35" t="str">
        <f ca="1">IFERROR(IF(AND(INDEX(Tab_DaBa[],MATCH(CONCATENATE(Liste!$C$3,$B$1979,$B$2065),Data!$BO:$BO,0)-2,43)&lt;&gt;"",INDEX(Tab_DaBa[],MATCH(CONCATENATE(Liste!$C$3,$B$1979,$B$2065),Data!$BO:$BO,0)-2,48)=""),INDEX(Tab_DaBa[],MATCH(CONCATENATE(Liste!$C$3,$B$1979,$B$2065),Data!$BO:$BO,0)-2,13),IF(INDEX(Tab_DaBa[],MATCH(CONCATENATE(Liste!$C$3,$B$1979,$B$2065),Data!$BO:$BO,0)-2,43)&lt;&gt;"",INDEX(Tab_DaBa[],MATCH(CONCATENATE(Liste!$C$3,$B$1979,$B$2065),Data!$BO:$BO,0)-2,48),"")),"")</f>
        <v/>
      </c>
      <c r="I2077" s="38" t="str">
        <f ca="1">IF(B2083="","",6)</f>
        <v/>
      </c>
    </row>
    <row r="2078" spans="2:9" s="16" customFormat="1" ht="15.75">
      <c r="B2078" s="35" t="str">
        <f ca="1">IFERROR(IF(AND(INDEX(Tab_DaBa[],MATCH(CONCATENATE(Liste!$C$3,$B$1979,$B$2065),Data!$BO:$BO,0)-2,28)&lt;&gt;"",INDEX(Tab_DaBa[],MATCH(CONCATENATE(Liste!$C$3,$B$1979,$B$2065),Data!$BO:$BO,0)-2,33)=""),"Performance Level: "&amp;INDEX(Tab_DaBa[],MATCH(CONCATENATE(Liste!$C$3,$B$1979,$B$2065),Data!$BO:$BO,0)-2,15),IF(INDEX(Tab_DaBa[],MATCH(CONCATENATE(Liste!$C$3,$B$1979,$B$2065),Data!$BO:$BO,0)-2,28)&lt;&gt;"","Performance Level: "&amp;INDEX(Tab_DaBa[],MATCH(CONCATENATE(Liste!$C$3,$B$1979,$B$2065),Data!$BO:$BO,0)-2,35),"")),"")</f>
        <v>Performance Level: PL_Lo04_04</v>
      </c>
      <c r="C2078" s="39"/>
      <c r="D2078" s="35" t="str">
        <f ca="1">IFERROR(IF(AND(INDEX(Tab_DaBa[],MATCH(CONCATENATE(Liste!$C$3,$B$1979,$B$2065),Data!$BO:$BO,0)-2,33)&lt;&gt;"",INDEX(Tab_DaBa[],MATCH(CONCATENATE(Liste!$C$3,$B$1979,$B$2065),Data!$BO:$BO,0)-2,38)=""),"Performance Level: "&amp;INDEX(Tab_DaBa[],MATCH(CONCATENATE(Liste!$C$3,$B$1979,$B$2065),Data!$BO:$BO,0)-2,15),IF(INDEX(Tab_DaBa[],MATCH(CONCATENATE(Liste!$C$3,$B$1979,$B$2065),Data!$BO:$BO,0)-2,33)&lt;&gt;"","Performance Level: "&amp;INDEX(Tab_DaBa[],MATCH(CONCATENATE(Liste!$C$3,$B$1979,$B$2065),Data!$BO:$BO,0)-2,40),"")),"")</f>
        <v>Performance Level: PL_Aus4_4</v>
      </c>
      <c r="E2078" s="37"/>
      <c r="F2078" s="35" t="str">
        <f ca="1">IFERROR(IF(AND(INDEX(Tab_DaBa[],MATCH(CONCATENATE(Liste!$C$3,$B$1979,$B$2065),Data!$BO:$BO,0)-2,38)&lt;&gt;"",INDEX(Tab_DaBa[],MATCH(CONCATENATE(Liste!$C$3,$B$1979,$B$2065),Data!$BO:$BO,0)-2,43)=""),"Performance Level: "&amp;INDEX(Tab_DaBa[],MATCH(CONCATENATE(Liste!$C$3,$B$1979,$B$2065),Data!$BO:$BO,0)-2,15),IF(INDEX(Tab_DaBa[],MATCH(CONCATENATE(Liste!$C$3,$B$1979,$B$2065),Data!$BO:$BO,0)-2,38)&lt;&gt;"","Performance Level: "&amp;INDEX(Tab_DaBa[],MATCH(CONCATENATE(Liste!$C$3,$B$1979,$B$2065),Data!$BO:$BO,0)-2,45),"")),"")</f>
        <v/>
      </c>
      <c r="G2078" s="39"/>
      <c r="H2078" s="35" t="str">
        <f ca="1">IFERROR(IF(AND(INDEX(Tab_DaBa[],MATCH(CONCATENATE(Liste!$C$3,$B$1979,$B$2065),Data!$BO:$BO,0)-2,43)&lt;&gt;"",INDEX(Tab_DaBa[],MATCH(CONCATENATE(Liste!$C$3,$B$1979,$B$2065),Data!$BO:$BO,0)-2,48)=""),"Performance Level: "&amp;INDEX(Tab_DaBa[],MATCH(CONCATENATE(Liste!$C$3,$B$1979,$B$2065),Data!$BO:$BO,0)-2,15),IF(INDEX(Tab_DaBa[],MATCH(CONCATENATE(Liste!$C$3,$B$1979,$B$2065),Data!$BO:$BO,0)-2,43)&lt;&gt;"","Performance Level: "&amp;INDEX(Tab_DaBa[],MATCH(CONCATENATE(Liste!$C$3,$B$1979,$B$2065),Data!$BO:$BO,0)-2,50),"")),"")</f>
        <v/>
      </c>
      <c r="I2078" s="39"/>
    </row>
    <row r="2079" spans="2:9" s="16" customFormat="1" ht="15.75">
      <c r="B2079" s="35" t="str">
        <f ca="1">IFERROR(IF(AND(INDEX(Tab_DaBa[],MATCH(CONCATENATE(Liste!$C$3,$B$1979,$B$2065),Data!$BO:$BO,0)-2,28)&lt;&gt;"",INDEX(Tab_DaBa[],MATCH(CONCATENATE(Liste!$C$3,$B$1979,$B$2065),Data!$BO:$BO,0)-2,33)=""),"PFH [1/h] = "&amp;10^9*INDEX(Tab_DaBa[],MATCH(CONCATENATE(Liste!$C$3,$B$1979,$B$2065),Data!$BO:$BO,0)-2,16)&amp;"E-9",IF(INDEX(Tab_DaBa[],MATCH(CONCATENATE(Liste!$C$3,$B$1979,$B$2065),Data!$BO:$BO,0)-2,28)&lt;&gt;"","PFH [1/h] = "&amp;10^9*INDEX(Tab_DaBa[],MATCH(CONCATENATE(Liste!$C$3,$B$1979,$B$2065),Data!$BO:$BO,0)-2,36)&amp;"E-9","")),"")</f>
        <v>PFH [1/h] = 4,19E-9</v>
      </c>
      <c r="C2079" s="39"/>
      <c r="D2079" s="35" t="str">
        <f ca="1">IFERROR(IF(AND(INDEX(Tab_DaBa[],MATCH(CONCATENATE(Liste!$C$3,$B$1979,$B$2065),Data!$BO:$BO,0)-2,33)&lt;&gt;"",INDEX(Tab_DaBa[],MATCH(CONCATENATE(Liste!$C$3,$B$1979,$B$2065),Data!$BO:$BO,0)-2,38)=""),"PFH [1/h] = "&amp;10^9*INDEX(Tab_DaBa[],MATCH(CONCATENATE(Liste!$C$3,$B$1979,$B$2065),Data!$BO:$BO,0)-2,16)&amp;"E-9",IF(INDEX(Tab_DaBa[],MATCH(CONCATENATE(Liste!$C$3,$B$1979,$B$2065),Data!$BO:$BO,0)-2,33)&lt;&gt;"","PFH [1/h] = "&amp;10^9*INDEX(Tab_DaBa[],MATCH(CONCATENATE(Liste!$C$3,$B$1979,$B$2065),Data!$BO:$BO,0)-2,41)&amp;"E-9","")),"")</f>
        <v>PFH [1/h] = 24,7E-9</v>
      </c>
      <c r="E2079" s="37"/>
      <c r="F2079" s="35" t="str">
        <f ca="1">IFERROR(IF(AND(INDEX(Tab_DaBa[],MATCH(CONCATENATE(Liste!$C$3,$B$1979,$B$2065),Data!$BO:$BO,0)-2,38)&lt;&gt;"",INDEX(Tab_DaBa[],MATCH(CONCATENATE(Liste!$C$3,$B$1979,$B$2065),Data!$BO:$BO,0)-2,43)=""),"PFH [1/h] = "&amp;10^9*INDEX(Tab_DaBa[],MATCH(CONCATENATE(Liste!$C$3,$B$1979,$B$2065),Data!$BO:$BO,0)-2,16)&amp;"E-9",IF(INDEX(Tab_DaBa[],MATCH(CONCATENATE(Liste!$C$3,$B$1979,$B$2065),Data!$BO:$BO,0)-2,38)&lt;&gt;"","PFH [1/h] = "&amp;10^9*INDEX(Tab_DaBa[],MATCH(CONCATENATE(Liste!$C$3,$B$1979,$B$2065),Data!$BO:$BO,0)-2,46)&amp;"E-9","")),"")</f>
        <v/>
      </c>
      <c r="G2079" s="39"/>
      <c r="H2079" s="35" t="str">
        <f ca="1">IFERROR(IF(AND(INDEX(Tab_DaBa[],MATCH(CONCATENATE(Liste!$C$3,$B$1979,$B$2065),Data!$BO:$BO,0)-2,43)&lt;&gt;"",INDEX(Tab_DaBa[],MATCH(CONCATENATE(Liste!$C$3,$B$1979,$B$2065),Data!$BO:$BO,0)-2,48)=""),"PFH [1/h] = "&amp;10^9*INDEX(Tab_DaBa[],MATCH(CONCATENATE(Liste!$C$3,$B$1979,$B$2065),Data!$BO:$BO,0)-2,16)&amp;"E-9",IF(INDEX(Tab_DaBa[],MATCH(CONCATENATE(Liste!$C$3,$B$1979,$B$2065),Data!$BO:$BO,0)-2,43)&lt;&gt;"","PFH [1/h] = "&amp;10^9*INDEX(Tab_DaBa[],MATCH(CONCATENATE(Liste!$C$3,$B$1979,$B$2065),Data!$BO:$BO,0)-2,51)&amp;"E-9","")),"")</f>
        <v/>
      </c>
      <c r="I2079" s="39"/>
    </row>
    <row r="2080" spans="2:9" s="16" customFormat="1">
      <c r="B2080" s="33"/>
      <c r="C2080" s="33"/>
      <c r="D2080" s="33"/>
      <c r="E2080" s="33"/>
      <c r="F2080" s="33"/>
      <c r="G2080" s="33"/>
      <c r="H2080" s="33"/>
      <c r="I2080" s="33"/>
    </row>
    <row r="2081" spans="2:9" s="16" customFormat="1" ht="15.75">
      <c r="B2081" s="38" t="str">
        <f ca="1">IF(B2083="","",6)</f>
        <v/>
      </c>
      <c r="C2081" s="33"/>
      <c r="D2081" s="38" t="str">
        <f ca="1">IF(B2083="","",3)</f>
        <v/>
      </c>
      <c r="E2081" s="33"/>
      <c r="F2081" s="38" t="str">
        <f ca="1">IF(B2083="","",3)</f>
        <v/>
      </c>
      <c r="G2081" s="33"/>
      <c r="H2081" s="38" t="str">
        <f ca="1">IF(B2083="","",3)</f>
        <v/>
      </c>
      <c r="I2081" s="33"/>
    </row>
    <row r="2082" spans="2:9" s="16" customFormat="1" ht="15.75">
      <c r="B2082" s="39"/>
      <c r="C2082" s="33"/>
      <c r="D2082" s="33"/>
      <c r="E2082" s="33"/>
      <c r="F2082" s="33"/>
      <c r="G2082" s="33"/>
      <c r="H2082" s="33"/>
      <c r="I2082" s="33"/>
    </row>
    <row r="2083" spans="2:9" s="16" customFormat="1" ht="15.75">
      <c r="B2083" s="35" t="str">
        <f ca="1">IFERROR(IF(AND(INDEX(Tab_DaBa[],MATCH(CONCATENATE(Liste!$C$3,$B$1979,$B$2065),Data!$BO:$BO,0)-2,48)&lt;&gt;"",INDEX(Tab_DaBa[],MATCH(CONCATENATE(Liste!$C$3,$B$1979,$B$2065),Data!$BO:$BO,0)-2,53)=0),INDEX(Tab_DaBa[],MATCH(CONCATENATE(Liste!$C$3,$B$1979,$B$2065),Data!$BO:$BO,0)-2,14),IF(INDEX(Tab_DaBa[],MATCH(CONCATENATE(Liste!$C$3,$B$1979,$B$2065),Data!$BO:$BO,0)-2,48)&lt;&gt;"",INDEX(Tab_DaBa[],MATCH(CONCATENATE(Liste!$C$3,$B$1979,$B$2065),Data!$BO:$BO,0)-2,54),"")),"")</f>
        <v/>
      </c>
      <c r="C2083" s="39"/>
      <c r="D2083" s="35" t="str">
        <f ca="1">IFERROR(IF(AND(INDEX(Tab_DaBa[],MATCH(CONCATENATE(Liste!$C$3,$B$1979,$B$2065),Data!$BO:$BO,0)-2,53)&lt;&gt;"",INDEX(Tab_DaBa[],MATCH(CONCATENATE(Liste!$C$3,$B$1979,$B$2065),Data!$BO:$BO,0)-2,58)=0),INDEX(Tab_DaBa[],MATCH(CONCATENATE(Liste!$C$3,$B$1979,$B$2065),Data!$BO:$BO,0)-2,14),IF(INDEX(Tab_DaBa[],MATCH(CONCATENATE(Liste!$C$3,$B$1979,$B$2065),Data!$BO:$BO,0)-2,53)&lt;&gt;"",INDEX(Tab_DaBa[],MATCH(CONCATENATE(Liste!$C$3,$B$1979,$B$2065),Data!$BO:$BO,0)-2,59),"")),"")</f>
        <v/>
      </c>
      <c r="E2083" s="33"/>
      <c r="F2083" s="35" t="str">
        <f ca="1">IFERROR(IF(AND(INDEX(Tab_DaBa[],MATCH(CONCATENATE(Liste!$C$3,$B$1979,$B$2065),Data!$BO:$BO,0)-2,58)&lt;&gt;"",INDEX(Tab_DaBa[],MATCH(CONCATENATE(Liste!$C$3,$B$1979,$B$2065),Data!$BO:$BO,0)-2,63)=0),INDEX(Tab_DaBa[],MATCH(CONCATENATE(Liste!$C$3,$B$1979,$B$2065),Data!$BO:$BO,0)-2,14),IF(INDEX(Tab_DaBa[],MATCH(CONCATENATE(Liste!$C$3,$B$1979,$B$2065),Data!$BO:$BO,0)-2,58)&lt;&gt;"",INDEX(Tab_DaBa[],MATCH(CONCATENATE(Liste!$C$3,$B$1979,$B$2065),Data!$BO:$BO,0)-2,64),"")),"")</f>
        <v/>
      </c>
      <c r="G2083" s="39"/>
      <c r="H2083" s="35" t="str">
        <f ca="1">IFERROR(IF(INDEX(Tab_DaBa[],MATCH(CONCATENATE(Liste!$C$3,$B$1979,$B$2065),Data!$BO:$BO,0)-2,63)&lt;&gt;"",INDEX(Tab_DaBa[],MATCH(CONCATENATE(Liste!$C$3,$B$1979,$B$2065),Data!$BO:$BO,0)-2,14),""),"")</f>
        <v/>
      </c>
    </row>
    <row r="2084" spans="2:9" s="16" customFormat="1" ht="15.75">
      <c r="B2084" s="35" t="str">
        <f ca="1">IFERROR(IF(AND(INDEX(Tab_DaBa[],MATCH(CONCATENATE(Liste!$C$3,$B$1979,$B$2065),Data!$BO:$BO,0)-2,48)&lt;&gt;"",INDEX(Tab_DaBa[],MATCH(CONCATENATE(Liste!$C$3,$B$1979,$B$2065),Data!$BO:$BO,0)-2,53)=0),INDEX(Tab_DaBa[],MATCH(CONCATENATE(Liste!$C$3,$B$1979,$B$2065),Data!$BO:$BO,0)-2,12),IF(INDEX(Tab_DaBa[],MATCH(CONCATENATE(Liste!$C$3,$B$1979,$B$2065),Data!$BO:$BO,0)-2,48)&lt;&gt;"",INDEX(Tab_DaBa[],MATCH(CONCATENATE(Liste!$C$3,$B$1979,$B$2065),Data!$BO:$BO,0)-2,52),"")),"")</f>
        <v/>
      </c>
      <c r="C2084" s="39"/>
      <c r="D2084" s="35" t="str">
        <f ca="1">IFERROR(IF(AND(INDEX(Tab_DaBa[],MATCH(CONCATENATE(Liste!$C$3,$B$1979,$B$2065),Data!$BO:$BO,0)-2,53)&lt;&gt;"",INDEX(Tab_DaBa[],MATCH(CONCATENATE(Liste!$C$3,$B$1979,$B$2065),Data!$BO:$BO,0)-2,58)=0),INDEX(Tab_DaBa[],MATCH(CONCATENATE(Liste!$C$3,$B$1979,$B$2065),Data!$BO:$BO,0)-2,12),IF(INDEX(Tab_DaBa[],MATCH(CONCATENATE(Liste!$C$3,$B$1979,$B$2065),Data!$BO:$BO,0)-2,53)&lt;&gt;"",INDEX(Tab_DaBa[],MATCH(CONCATENATE(Liste!$C$3,$B$1979,$B$2065),Data!$BO:$BO,0)-2,57),"")),"")</f>
        <v/>
      </c>
      <c r="E2084" s="37"/>
      <c r="F2084" s="35" t="str">
        <f ca="1">IFERROR(IF(AND(INDEX(Tab_DaBa[],MATCH(CONCATENATE(Liste!$C$3,$B$1979,$B$2065),Data!$BO:$BO,0)-2,58)&lt;&gt;"",INDEX(Tab_DaBa[],MATCH(CONCATENATE(Liste!$C$3,$B$1979,$B$2065),Data!$BO:$BO,0)-2,63)=0),INDEX(Tab_DaBa[],MATCH(CONCATENATE(Liste!$C$3,$B$1979,$B$2065),Data!$BO:$BO,0)-2,12),IF(INDEX(Tab_DaBa[],MATCH(CONCATENATE(Liste!$C$3,$B$1979,$B$2065),Data!$BO:$BO,0)-2,58)&lt;&gt;"",INDEX(Tab_DaBa[],MATCH(CONCATENATE(Liste!$C$3,$B$1979,$B$2065),Data!$BO:$BO,0)-2,62),"")),"")</f>
        <v/>
      </c>
      <c r="G2084" s="39"/>
      <c r="H2084" s="35" t="str">
        <f ca="1">IFERROR(IF(INDEX(Tab_DaBa[],MATCH(CONCATENATE(Liste!$C$3,$B$1979,$B$2065),Data!$BO:$BO,0)-2,63)&lt;&gt;"",INDEX(Tab_DaBa[],MATCH(CONCATENATE(Liste!$C$3,$B$1979,$B$2065),Data!$BO:$BO,0)-2,12),""),"")</f>
        <v/>
      </c>
    </row>
    <row r="2085" spans="2:9" s="16" customFormat="1" ht="15.75">
      <c r="B2085" s="35" t="str">
        <f ca="1">IFERROR(IF(AND(INDEX(Tab_DaBa[],MATCH(CONCATENATE(Liste!$C$3,$B$1979,$B$2065),Data!$BO:$BO,0)-2,48)&lt;&gt;"",INDEX(Tab_DaBa[],MATCH(CONCATENATE(Liste!$C$3,$B$1979,$B$2065),Data!$BO:$BO,0)-2,53)=""),INDEX(Tab_DaBa[],MATCH(CONCATENATE(Liste!$C$3,$B$1979,$B$2065),Data!$BO:$BO,0)-2,13),IF(INDEX(Tab_DaBa[],MATCH(CONCATENATE(Liste!$C$3,$B$1979,$B$2065),Data!$BO:$BO,0)-2,48)&lt;&gt;"",INDEX(Tab_DaBa[],MATCH(CONCATENATE(Liste!$C$3,$B$1979,$B$2065),Data!$BO:$BO,0)-2,53),"")),"")</f>
        <v/>
      </c>
      <c r="C2085" s="38" t="str">
        <f ca="1">IF(D2083="","",4)</f>
        <v/>
      </c>
      <c r="D2085" s="35" t="str">
        <f ca="1">IFERROR(IF(AND(INDEX(Tab_DaBa[],MATCH(CONCATENATE(Liste!$C$3,$B$1979,$B$2065),Data!$BO:$BO,0)-2,53)&lt;&gt;"",INDEX(Tab_DaBa[],MATCH(CONCATENATE(Liste!$C$3,$B$1979,$B$2065),Data!$BO:$BO,0)-2,58)=""),INDEX(Tab_DaBa[],MATCH(CONCATENATE(Liste!$C$3,$B$1979,$B$2065),Data!$BO:$BO,0)-2,13),IF(INDEX(Tab_DaBa[],MATCH(CONCATENATE(Liste!$C$3,$B$1979,$B$2065),Data!$BO:$BO,0)-2,53)&lt;&gt;"",INDEX(Tab_DaBa[],MATCH(CONCATENATE(Liste!$C$3,$B$1979,$B$2065),Data!$BO:$BO,0)-2,58),"")),"")</f>
        <v/>
      </c>
      <c r="E2085" s="38" t="str">
        <f ca="1">IF(F2083="","",4)</f>
        <v/>
      </c>
      <c r="F2085" s="35" t="str">
        <f ca="1">IFERROR(IF(AND(INDEX(Tab_DaBa[],MATCH(CONCATENATE(Liste!$C$3,$B$1979,$B$2065),Data!$BO:$BO,0)-2,58)&lt;&gt;"",INDEX(Tab_DaBa[],MATCH(CONCATENATE(Liste!$C$3,$B$1979,$B$2065),Data!$BO:$BO,0)-2,63)=""),INDEX(Tab_DaBa[],MATCH(CONCATENATE(Liste!$C$3,$B$1979,$B$2065),Data!$BO:$BO,0)-2,13),IF(INDEX(Tab_DaBa[],MATCH(CONCATENATE(Liste!$C$3,$B$1979,$B$2065),Data!$BO:$BO,0)-2,58)&lt;&gt;"",INDEX(Tab_DaBa[],MATCH(CONCATENATE(Liste!$C$3,$B$1979,$B$2065),Data!$BO:$BO,0)-2,63),"")),"")</f>
        <v/>
      </c>
      <c r="G2085" s="38" t="str">
        <f ca="1">IF(H2083="","",4)</f>
        <v/>
      </c>
      <c r="H2085" s="35" t="str">
        <f ca="1">IFERROR(IF(INDEX(Tab_DaBa[],MATCH(CONCATENATE(Liste!$C$3,$B$1979,$B$2065),Data!$BO:$BO,0)-2,63)&lt;&gt;"",INDEX(Tab_DaBa[],MATCH(CONCATENATE(Liste!$C$3,$B$1979,$B$2065),Data!$BO:$BO,0)-2,13),""),"")</f>
        <v/>
      </c>
    </row>
    <row r="2086" spans="2:9" s="16" customFormat="1" ht="15.75">
      <c r="B2086" s="35" t="str">
        <f ca="1">IFERROR(IF(AND(INDEX(Tab_DaBa[],MATCH(CONCATENATE(Liste!$C$3,$B$1979,$B$2065),Data!$BO:$BO,0)-2,48)&lt;&gt;"",INDEX(Tab_DaBa[],MATCH(CONCATENATE(Liste!$C$3,$B$1979,$B$2065),Data!$BO:$BO,0)-2,53)=""),"Performance Level: "&amp;INDEX(Tab_DaBa[],MATCH(CONCATENATE(Liste!$C$3,$B$1979,$B$2065),Data!$BO:$BO,0)-2,15),IF(INDEX(Tab_DaBa[],MATCH(CONCATENATE(Liste!$C$3,$B$1979,$B$2065),Data!$BO:$BO,0)-2,48)&lt;&gt;"","Performance Level: "&amp;INDEX(Tab_DaBa[],MATCH(CONCATENATE(Liste!$C$3,$B$1979,$B$2065),Data!$BO:$BO,0)-2,55),"")),"")</f>
        <v/>
      </c>
      <c r="C2086" s="39"/>
      <c r="D2086" s="35" t="str">
        <f ca="1">IFERROR(IF(AND(INDEX(Tab_DaBa[],MATCH(CONCATENATE(Liste!$C$3,$B$1979,$B$2065),Data!$BO:$BO,0)-2,53)&lt;&gt;"",INDEX(Tab_DaBa[],MATCH(CONCATENATE(Liste!$C$3,$B$1979,$B$2065),Data!$BO:$BO,0)-2,58)=""),"Performance Level: "&amp;INDEX(Tab_DaBa[],MATCH(CONCATENATE(Liste!$C$3,$B$1979,$B$2065),Data!$BO:$BO,0)-2,15),IF(INDEX(Tab_DaBa[],MATCH(CONCATENATE(Liste!$C$3,$B$1979,$B$2065),Data!$BO:$BO,0)-2,53)&lt;&gt;"","Performance Level: "&amp;INDEX(Tab_DaBa[],MATCH(CONCATENATE(Liste!$C$3,$B$1979,$B$2065),Data!$BO:$BO,0)-2,60),"")),"")</f>
        <v/>
      </c>
      <c r="E2086" s="37"/>
      <c r="F2086" s="35" t="str">
        <f ca="1">IFERROR(IF(AND(INDEX(Tab_DaBa[],MATCH(CONCATENATE(Liste!$C$3,$B$1979,$B$2065),Data!$BO:$BO,0)-2,58)&lt;&gt;"",INDEX(Tab_DaBa[],MATCH(CONCATENATE(Liste!$C$3,$B$1979,$B$2065),Data!$BO:$BO,0)-2,63)=""),"Performance Level: "&amp;INDEX(Tab_DaBa[],MATCH(CONCATENATE(Liste!$C$3,$B$1979,$B$2065),Data!$BO:$BO,0)-2,15),IF(INDEX(Tab_DaBa[],MATCH(CONCATENATE(Liste!$C$3,$B$1979,$B$2065),Data!$BO:$BO,0)-2,58)&lt;&gt;"","Performance Level: "&amp;INDEX(Tab_DaBa[],MATCH(CONCATENATE(Liste!$C$3,$B$1979,$B$2065),Data!$BO:$BO,0)-2,65),"")),"")</f>
        <v/>
      </c>
      <c r="G2086" s="39"/>
      <c r="H2086" s="35" t="str">
        <f ca="1">IFERROR(IF(INDEX(Tab_DaBa[],MATCH(CONCATENATE(Liste!$C$3,$B$1979,$B$2065),Data!$BO:$BO,0)-2,63)&lt;&gt;"","Performance Level: "&amp;INDEX(Tab_DaBa[],MATCH(CONCATENATE(Liste!$C$3,$B$1979,$B$2065),Data!$BO:$BO,0)-2,15),""),"")</f>
        <v/>
      </c>
    </row>
    <row r="2087" spans="2:9" s="16" customFormat="1" ht="15.75">
      <c r="B2087" s="35" t="str">
        <f ca="1">IFERROR(IF(AND(INDEX(Tab_DaBa[],MATCH(CONCATENATE(Liste!$C$3,$B$1979,$B$2065),Data!$BO:$BO,0)-2,48)&lt;&gt;"",INDEX(Tab_DaBa[],MATCH(CONCATENATE(Liste!$C$3,$B$1979,$B$2065),Data!$BO:$BO,0)-2,53)=""),"PFH [1/h] = "&amp;10^9*INDEX(Tab_DaBa[],MATCH(CONCATENATE(Liste!$C$3,$B$1979,$B$2065),Data!$BO:$BO,0)-2,16)&amp;"E-9",IF(INDEX(Tab_DaBa[],MATCH(CONCATENATE(Liste!$C$3,$B$1979,$B$2065),Data!$BO:$BO,0)-2,48)&lt;&gt;"","PFH [1/h] = "&amp;10^9*INDEX(Tab_DaBa[],MATCH(CONCATENATE(Liste!$C$3,$B$1979,$B$2065),Data!$BO:$BO,0)-2,56)&amp;"E-9","")),"")</f>
        <v/>
      </c>
      <c r="C2087" s="39"/>
      <c r="D2087" s="35" t="str">
        <f ca="1">IFERROR(IF(AND(INDEX(Tab_DaBa[],MATCH(CONCATENATE(Liste!$C$3,$B$1979,$B$2065),Data!$BO:$BO,0)-2,53)&lt;&gt;"",INDEX(Tab_DaBa[],MATCH(CONCATENATE(Liste!$C$3,$B$1979,$B$2065),Data!$BO:$BO,0)-2,58)=""),"PFH [1/h] = "&amp;10^9*INDEX(Tab_DaBa[],MATCH(CONCATENATE(Liste!$C$3,$B$1979,$B$2065),Data!$BO:$BO,0)-2,16)&amp;"E-9",IF(INDEX(Tab_DaBa[],MATCH(CONCATENATE(Liste!$C$3,$B$1979,$B$2065),Data!$BO:$BO,0)-2,53)&lt;&gt;"","PFH [1/h] = "&amp;10^9*INDEX(Tab_DaBa[],MATCH(CONCATENATE(Liste!$C$3,$B$1979,$B$2065),Data!$BO:$BO,0)-2,61)&amp;"E-9","")),"")</f>
        <v/>
      </c>
      <c r="E2087" s="37"/>
      <c r="F2087" s="35" t="str">
        <f ca="1">IFERROR(IF(AND(INDEX(Tab_DaBa[],MATCH(CONCATENATE(Liste!$C$3,$B$1979,$B$2065),Data!$BO:$BO,0)-2,58)&lt;&gt;"",INDEX(Tab_DaBa[],MATCH(CONCATENATE(Liste!$C$3,$B$1979,$B$2065),Data!$BO:$BO,0)-2,63)=""),"PFH [1/h] = "&amp;10^9*INDEX(Tab_DaBa[],MATCH(CONCATENATE(Liste!$C$3,$B$1979,$B$2065),Data!$BO:$BO,0)-2,16)&amp;"E-9",IF(INDEX(Tab_DaBa[],MATCH(CONCATENATE(Liste!$C$3,$B$1979,$B$2065),Data!$BO:$BO,0)-2,58)&lt;&gt;"","PFH [1/h] = "&amp;10^9*INDEX(Tab_DaBa[],MATCH(CONCATENATE(Liste!$C$3,$B$1979,$B$2065),Data!$BO:$BO,0)-2,66)&amp;"E-9","")),"")</f>
        <v/>
      </c>
      <c r="G2087" s="39"/>
      <c r="H2087" s="35" t="str">
        <f ca="1">IFERROR(IF(INDEX(Tab_DaBa[],MATCH(CONCATENATE(Liste!$C$3,$B$1979,$B$2065),Data!$BO:$BO,0)-2,63)&lt;&gt;"","PFH [1/h] = "&amp;10^9*INDEX(Tab_DaBa[],MATCH(CONCATENATE(Liste!$C$3,$B$1979,$B$2065),Data!$BO:$BO,0)-2,16)&amp;"E-9",""),"")</f>
        <v/>
      </c>
    </row>
    <row r="2088" spans="2:9" s="16" customFormat="1"/>
    <row r="2089" spans="2:9" s="16" customFormat="1">
      <c r="B2089" s="43" t="str">
        <f ca="1">IF(D2089="","","Erforderlich")</f>
        <v>Erforderlich</v>
      </c>
      <c r="D2089" s="44" t="str">
        <f ca="1">IFERROR("Performance Level: "&amp;INDEX(Tab_DaBa[],MATCH(CONCATENATE(Liste!$C$3,$B$1979,$B$2065),Data!$BO:$BO,0)-2,4),"")</f>
        <v>Performance Level: PLr_ges4_4</v>
      </c>
    </row>
    <row r="2090" spans="2:9" s="16" customFormat="1">
      <c r="B2090" s="45"/>
    </row>
    <row r="2091" spans="2:9" s="16" customFormat="1">
      <c r="B2091" s="46" t="str">
        <f ca="1">IF(D2091="","","Erreicht")</f>
        <v>Erreicht</v>
      </c>
      <c r="D2091" s="47" t="str">
        <f ca="1">IFERROR("Performance Level: "&amp;INDEX(Tab_DaBa[],MATCH(CONCATENATE(Liste!$C$3,$B$1979,$B$2065),Data!$BO:$BO,0)-2,5)&amp;"          PFH [1/h] = "&amp;10^9*INDEX(Tab_DaBa[],MATCH(CONCATENATE(Liste!$C$3,$B$1979,$B$2065),Data!$BO:$BO,0)-2,6)&amp;"E-9","")</f>
        <v>Performance Level: Pl_ges4_4          PFH [1/h] = 71,7E-9</v>
      </c>
    </row>
    <row r="2092" spans="2:9" s="16" customFormat="1"/>
    <row r="2093" spans="2:9" s="16" customFormat="1">
      <c r="B2093" s="42" t="str">
        <f ca="1">IFERROR(IF(5&gt;COUNTIF(Data!$BP:$BP,CONCATENATE(Liste!$C$3,$B$1979)),"",INDEX(Tab_DaBa[],MATCH(CONCATENATE(Liste!$C$3,$B$1979),Data!$BP:$BP,0)+2,3)),"")</f>
        <v>8.5 Test08 (E+5L+A)</v>
      </c>
    </row>
    <row r="2094" spans="2:9" s="16" customFormat="1"/>
    <row r="2095" spans="2:9" s="16" customFormat="1" ht="15.75">
      <c r="B2095" s="35" t="str">
        <f ca="1">IFERROR(INDEX(Tab_DaBa[],MATCH(CONCATENATE(Liste!$C$3,$B$1979,$B$2093),Data!$BO:$BO,0)-2,9),"")</f>
        <v>Eingang</v>
      </c>
      <c r="C2095" s="54"/>
      <c r="D2095" s="35" t="str">
        <f ca="1">IFERROR(IF(INDEX(Tab_DaBa[],MATCH(CONCATENATE(Liste!$C$3,$B$1979,$B$2093),Data!$BO:$BO,0)-2,18)=0,INDEX(Tab_DaBa[],MATCH(CONCATENATE(Liste!$C$3,$B$1979,$B$2093),Data!$BO:$BO,0)-2,14),INDEX(Tab_DaBa[],MATCH(CONCATENATE(Liste!$C$3,$B$1979,$B$2093),Data!$BO:$BO,0)-2,19)),"")</f>
        <v>Logik 01</v>
      </c>
      <c r="E2095" s="33"/>
      <c r="F2095" s="35" t="str">
        <f ca="1">IFERROR(IF(AND(INDEX(Tab_DaBa[],MATCH(CONCATENATE(Liste!$C$3,$B$1979,$B$2093),Data!$BO:$BO,0)-2,18)&lt;&gt;"",INDEX(Tab_DaBa[],MATCH(CONCATENATE(Liste!$C$3,$B$1979,$B$2093),Data!$BO:$BO,0)-2,23)=0),INDEX(Tab_DaBa[],MATCH(CONCATENATE(Liste!$C$3,$B$1979,$B$2093),Data!$BO:$BO,0)-2,14),IF(INDEX(Tab_DaBa[],MATCH(CONCATENATE(Liste!$C$3,$B$1979,$B$2093),Data!$BO:$BO,0)-2,23)&lt;&gt;"",INDEX(Tab_DaBa[],MATCH(CONCATENATE(Liste!$C$3,$B$1979,$B$2093),Data!$BO:$BO,0)-2,24),"")),"")</f>
        <v>Logik 02</v>
      </c>
      <c r="G2095" s="39"/>
      <c r="H2095" s="35" t="str">
        <f ca="1">IFERROR(IF(AND(INDEX(Tab_DaBa[],MATCH(CONCATENATE(Liste!$C$3,$B$1979,$B$2093),Data!$BO:$BO,0)-2,23)&lt;&gt;"",INDEX(Tab_DaBa[],MATCH(CONCATENATE(Liste!$C$3,$B$1979,$B$2093),Data!$BO:$BO,0)-2,28)=0),INDEX(Tab_DaBa[],MATCH(CONCATENATE(Liste!$C$3,$B$1979,$B$2093),Data!$BO:$BO,0)-2,14),IF(INDEX(Tab_DaBa[],MATCH(CONCATENATE(Liste!$C$3,$B$1979,$B$2093),Data!$BO:$BO,0)-2,23)&lt;&gt;"",INDEX(Tab_DaBa[],MATCH(CONCATENATE(Liste!$C$3,$B$1979,$B$2093),Data!$BO:$BO,0)-2,29),"")),"")</f>
        <v>Logik 03</v>
      </c>
      <c r="I2095" s="39"/>
    </row>
    <row r="2096" spans="2:9" s="16" customFormat="1" ht="15.75">
      <c r="B2096" s="35" t="str">
        <f ca="1">IFERROR(INDEX(Tab_DaBa[],MATCH(CONCATENATE(Liste!$C$3,$B$1979,$B$2093),Data!$BO:$BO,0)-2,7),"")</f>
        <v>eeee-33_5</v>
      </c>
      <c r="C2096" s="54"/>
      <c r="D2096" s="35" t="str">
        <f ca="1">IFERROR(IF(INDEX(Tab_DaBa[],MATCH(CONCATENATE(Liste!$C$3,$B$1979,$B$2093),Data!$BO:$BO,0)-2,18)="",INDEX(Tab_DaBa[],MATCH(CONCATENATE(Liste!$C$3,$B$1979,$B$2093),Data!$BO:$BO,0)-2,12),INDEX(Tab_DaBa[],MATCH(CONCATENATE(Liste!$C$3,$B$1979,$B$2093),Data!$BO:$BO,0)-2,17)),"")</f>
        <v>Log01-04_05</v>
      </c>
      <c r="E2096" s="36"/>
      <c r="F2096" s="35" t="str">
        <f ca="1">IFERROR(IF(AND(INDEX(Tab_DaBa[],MATCH(CONCATENATE(Liste!$C$3,$B$1979,$B$2093),Data!$BO:$BO,0)-2,18)&lt;&gt;"",INDEX(Tab_DaBa[],MATCH(CONCATENATE(Liste!$C$3,$B$1979,$B$2093),Data!$BO:$BO,0)-2,23)=0),INDEX(Tab_DaBa[],MATCH(CONCATENATE(Liste!$C$3,$B$1979,$B$2093),Data!$BO:$BO,0)-2,12),IF(INDEX(Tab_DaBa[],MATCH(CONCATENATE(Liste!$C$3,$B$1979,$B$2093),Data!$BO:$BO,0)-2,23)&lt;&gt;"",INDEX(Tab_DaBa[],MATCH(CONCATENATE(Liste!$C$3,$B$1979,$B$2093),Data!$BO:$BO,0)-2,22),"")),"")</f>
        <v>Lo04-04_05</v>
      </c>
      <c r="G2096" s="39"/>
      <c r="H2096" s="35" t="str">
        <f ca="1">IFERROR(IF(AND(INDEX(Tab_DaBa[],MATCH(CONCATENATE(Liste!$C$3,$B$1979,$B$2093),Data!$BO:$BO,0)-2,23)&lt;&gt;"",INDEX(Tab_DaBa[],MATCH(CONCATENATE(Liste!$C$3,$B$1979,$B$2093),Data!$BO:$BO,0)-2,28)=0),INDEX(Tab_DaBa[],MATCH(CONCATENATE(Liste!$C$3,$B$1979,$B$2093),Data!$BO:$BO,0)-2,12),IF(INDEX(Tab_DaBa[],MATCH(CONCATENATE(Liste!$C$3,$B$1979,$B$2093),Data!$BO:$BO,0)-2,23)&lt;&gt;"",INDEX(Tab_DaBa[],MATCH(CONCATENATE(Liste!$C$3,$B$1979,$B$2093),Data!$BO:$BO,0)-2,27),"")),"")</f>
        <v>Lo04-44_05</v>
      </c>
      <c r="I2096" s="39"/>
    </row>
    <row r="2097" spans="2:9" s="16" customFormat="1" ht="15.75">
      <c r="B2097" s="35" t="str">
        <f ca="1">IFERROR(INDEX(Tab_DaBa[],MATCH(CONCATENATE(Liste!$C$3,$B$1979,$B$2093),Data!$BO:$BO,0)-2,8),"")</f>
        <v>Bez_Ein4_5</v>
      </c>
      <c r="C2097" s="40">
        <f ca="1">IF(D2095="","",4)</f>
        <v>4</v>
      </c>
      <c r="D2097" s="35" t="str">
        <f ca="1">IFERROR(IF(INDEX(Tab_DaBa[],MATCH(CONCATENATE(Liste!$C$3,$B$1979,$B$2093),Data!$BO:$BO,0)-2,18)="",INDEX(Tab_DaBa[],MATCH(CONCATENATE(Liste!$C$3,$B$1979,$B$2093),Data!$BO:$BO,0)-2,13),INDEX(Tab_DaBa[],MATCH(CONCATENATE(Liste!$C$3,$B$1979,$B$2093),Data!$BO:$BO,0)-2,18)),"")</f>
        <v>Bez_Log01_04_05</v>
      </c>
      <c r="E2097" s="40">
        <f ca="1">IF(F2095="","",4)</f>
        <v>4</v>
      </c>
      <c r="F2097" s="35" t="str">
        <f ca="1">IFERROR(IF(AND(INDEX(Tab_DaBa[],MATCH(CONCATENATE(Liste!$C$3,$B$1979,$B$2093),Data!$BO:$BO,0)-2,18)&lt;&gt;"",INDEX(Tab_DaBa[],MATCH(CONCATENATE(Liste!$C$3,$B$1979,$B$2093),Data!$BO:$BO,0)-2,23)=""),INDEX(Tab_DaBa[],MATCH(CONCATENATE(Liste!$C$3,$B$1979,$B$2093),Data!$BO:$BO,0)-2,13),IF(INDEX(Tab_DaBa[],MATCH(CONCATENATE(Liste!$C$3,$B$1979,$B$2093),Data!$BO:$BO,0)-2,23)&lt;&gt;"",INDEX(Tab_DaBa[],MATCH(CONCATENATE(Liste!$C$3,$B$1979,$B$2093),Data!$BO:$BO,0)-2,23),"")),"")</f>
        <v>Bez_Lo04_05</v>
      </c>
      <c r="G2097" s="38">
        <f ca="1">IF(H2095="","",4)</f>
        <v>4</v>
      </c>
      <c r="H2097" s="35" t="str">
        <f ca="1">IFERROR(IF(AND(INDEX(Tab_DaBa[],MATCH(CONCATENATE(Liste!$C$3,$B$1979,$B$2093),Data!$BO:$BO,0)-2,23)&lt;&gt;"",INDEX(Tab_DaBa[],MATCH(CONCATENATE(Liste!$C$3,$B$1979,$B$2093),Data!$BO:$BO,0)-2,28)=""),INDEX(Tab_DaBa[],MATCH(CONCATENATE(Liste!$C$3,$B$1979,$B$2093),Data!$BO:$BO,0)-2,13),IF(INDEX(Tab_DaBa[],MATCH(CONCATENATE(Liste!$C$3,$B$1979,$B$2093),Data!$BO:$BO,0)-2,23)&lt;&gt;"",INDEX(Tab_DaBa[],MATCH(CONCATENATE(Liste!$C$3,$B$1979,$B$2093),Data!$BO:$BO,0)-2,28),"")),"")</f>
        <v>Bez_Lo04_05</v>
      </c>
      <c r="I2097" s="38">
        <f ca="1">IF(B2103="","",6)</f>
        <v>6</v>
      </c>
    </row>
    <row r="2098" spans="2:9" s="16" customFormat="1" ht="15.75">
      <c r="B2098" s="35" t="str">
        <f ca="1">IFERROR("Performance Level: "&amp;INDEX(Tab_DaBa[],MATCH(CONCATENATE(Liste!$C$3,$B$1979,$B$2093),Data!$BO:$BO,0)-2,10),"")</f>
        <v>Performance Level: PL_Ein4_5</v>
      </c>
      <c r="C2098" s="54"/>
      <c r="D2098" s="35" t="str">
        <f ca="1">IFERROR(IF(INDEX(Tab_DaBa[],MATCH(CONCATENATE(Liste!$C$3,$B$1979,$B$2093),Data!$BO:$BO,0)-2,18)="","Performance Level: "&amp;INDEX(Tab_DaBa[],MATCH(CONCATENATE(Liste!$C$3,$B$1979,$B$2093),Data!$BO:$BO,0)-2,15),"Performance Level: "&amp;INDEX(Tab_DaBa[],MATCH(CONCATENATE(Liste!$C$3,$B$1979,$B$2093),Data!$BO:$BO,0)-2,20)),"")</f>
        <v>Performance Level: PL_Log01_04_05</v>
      </c>
      <c r="E2098" s="36"/>
      <c r="F2098" s="35" t="str">
        <f ca="1">IFERROR(IF(AND(INDEX(Tab_DaBa[],MATCH(CONCATENATE(Liste!$C$3,$B$1979,$B$2093),Data!$BO:$BO,0)-2,18)&lt;&gt;"",INDEX(Tab_DaBa[],MATCH(CONCATENATE(Liste!$C$3,$B$1979,$B$2093),Data!$BO:$BO,0)-2,23)=""),"Performance Level: "&amp;INDEX(Tab_DaBa[],MATCH(CONCATENATE(Liste!$C$3,$B$1979,$B$2093),Data!$BO:$BO,0)-2,15),IF(INDEX(Tab_DaBa[],MATCH(CONCATENATE(Liste!$C$3,$B$1979,$B$2093),Data!$BO:$BO,0)-2,23)&lt;&gt;"","Performance Level: "&amp;INDEX(Tab_DaBa[],MATCH(CONCATENATE(Liste!$C$3,$B$1979,$B$2093),Data!$BO:$BO,0)-2,25),"")),"")</f>
        <v>Performance Level: PL_Lo04_05</v>
      </c>
      <c r="G2098" s="39"/>
      <c r="H2098" s="35" t="str">
        <f ca="1">IFERROR(IF(AND(INDEX(Tab_DaBa[],MATCH(CONCATENATE(Liste!$C$3,$B$1979,$B$2093),Data!$BO:$BO,0)-2,23)&lt;&gt;"",INDEX(Tab_DaBa[],MATCH(CONCATENATE(Liste!$C$3,$B$1979,$B$2093),Data!$BO:$BO,0)-2,28)=""),"Performance Level: "&amp;INDEX(Tab_DaBa[],MATCH(CONCATENATE(Liste!$C$3,$B$1979,$B$2093),Data!$BO:$BO,0)-2,15),IF(INDEX(Tab_DaBa[],MATCH(CONCATENATE(Liste!$C$3,$B$1979,$B$2093),Data!$BO:$BO,0)-2,23)&lt;&gt;"","Performance Level: "&amp;INDEX(Tab_DaBa[],MATCH(CONCATENATE(Liste!$C$3,$B$1979,$B$2093),Data!$BO:$BO,0)-2,30),"")),"")</f>
        <v>Performance Level: PL_Lo04_05</v>
      </c>
      <c r="I2098" s="38"/>
    </row>
    <row r="2099" spans="2:9" s="16" customFormat="1" ht="15.75">
      <c r="B2099" s="53" t="str">
        <f ca="1">IFERROR("PFH [1/h] = "&amp;10^9*INDEX(Tab_DaBa[],MATCH(CONCATENATE(Liste!$C$3,$B$1979,$B$2093),Data!$BO:$BO,0)-2,11)&amp;"E-9","")</f>
        <v>PFH [1/h] = 42,9E-9</v>
      </c>
      <c r="C2099" s="54"/>
      <c r="D2099" s="35" t="str">
        <f ca="1">IFERROR(IF(INDEX(Tab_DaBa[],MATCH(CONCATENATE(Liste!$C$3,$B$1979,$B$2093),Data!$BO:$BO,0)-2,18)="","PFH [1/h] = "&amp;10^9*INDEX(Tab_DaBa[],MATCH(CONCATENATE(Liste!$C$3,$B$1979,$B$2093),Data!$BO:$BO,0)-2,16)&amp;"E-9","PFH [1/h] = "&amp;10^9*INDEX(Tab_DaBa[],MATCH(CONCATENATE(Liste!$C$3,$B$1979,$B$2093),Data!$BO:$BO,0)-2,21)&amp;"E-9"),"")</f>
        <v>PFH [1/h] = 4,19E-9</v>
      </c>
      <c r="E2099" s="36"/>
      <c r="F2099" s="35" t="str">
        <f ca="1">IFERROR(IF(AND(INDEX(Tab_DaBa[],MATCH(CONCATENATE(Liste!$C$3,$B$1979,$B$2093),Data!$BO:$BO,0)-2,18)&lt;&gt;"",INDEX(Tab_DaBa[],MATCH(CONCATENATE(Liste!$C$3,$B$1979,$B$2093),Data!$BO:$BO,0)-2,23)=""),"PFH [1/h] = "&amp;10^9*INDEX(Tab_DaBa[],MATCH(CONCATENATE(Liste!$C$3,$B$1979,$B$2093),Data!$BO:$BO,0)-2,16)&amp;"E-9",IF(INDEX(Tab_DaBa[],MATCH(CONCATENATE(Liste!$C$3,$B$1979,$B$2093),Data!$BO:$BO,0)-2,23)&lt;&gt;"","PFH [1/h] = "&amp;10^9*INDEX(Tab_DaBa[],MATCH(CONCATENATE(Liste!$C$3,$B$1979,$B$2093),Data!$BO:$BO,0)-2,26)&amp;"E-9","")),"")</f>
        <v>PFH [1/h] = 4,19E-9</v>
      </c>
      <c r="G2099" s="39"/>
      <c r="H2099" s="35" t="str">
        <f ca="1">IFERROR(IF(AND(INDEX(Tab_DaBa[],MATCH(CONCATENATE(Liste!$C$3,$B$1979,$B$2093),Data!$BO:$BO,0)-2,23)&lt;&gt;"",INDEX(Tab_DaBa[],MATCH(CONCATENATE(Liste!$C$3,$B$1979,$B$2093),Data!$BO:$BO,0)-2,28)=""),"PFH [1/h] = "&amp;10^9*INDEX(Tab_DaBa[],MATCH(CONCATENATE(Liste!$C$3,$B$1979,$B$2093),Data!$BO:$BO,0)-2,16)&amp;"E-9",IF(INDEX(Tab_DaBa[],MATCH(CONCATENATE(Liste!$C$3,$B$1979,$B$2093),Data!$BO:$BO,0)-2,23)&lt;&gt;"","PFH [1/h] = "&amp;10^9*INDEX(Tab_DaBa[],MATCH(CONCATENATE(Liste!$C$3,$B$1979,$B$2093),Data!$BO:$BO,0)-2,31)&amp;"E-9","")),"")</f>
        <v>PFH [1/h] = 4,19E-9</v>
      </c>
      <c r="I2099" s="39"/>
    </row>
    <row r="2100" spans="2:9" s="16" customFormat="1">
      <c r="B2100" s="33"/>
      <c r="C2100" s="34"/>
      <c r="D2100" s="33"/>
      <c r="E2100" s="33"/>
      <c r="F2100" s="33"/>
      <c r="G2100" s="33"/>
      <c r="H2100" s="33"/>
      <c r="I2100" s="33"/>
    </row>
    <row r="2101" spans="2:9" s="16" customFormat="1" ht="15.75">
      <c r="B2101" s="38">
        <f ca="1">IF(B2103="","",6)</f>
        <v>6</v>
      </c>
      <c r="C2101" s="34"/>
      <c r="D2101" s="38">
        <f ca="1">IF(B2103="","",3)</f>
        <v>3</v>
      </c>
      <c r="E2101" s="33"/>
      <c r="F2101" s="38">
        <f ca="1">IF(B2103="","",3)</f>
        <v>3</v>
      </c>
      <c r="G2101" s="33"/>
      <c r="H2101" s="38">
        <f ca="1">IF(B2103="","",3)</f>
        <v>3</v>
      </c>
      <c r="I2101" s="33"/>
    </row>
    <row r="2102" spans="2:9" s="16" customFormat="1" ht="15.75">
      <c r="B2102" s="39"/>
      <c r="C2102" s="33"/>
      <c r="D2102" s="33"/>
      <c r="E2102" s="33"/>
      <c r="F2102" s="33"/>
      <c r="G2102" s="33"/>
      <c r="H2102" s="33"/>
      <c r="I2102" s="33"/>
    </row>
    <row r="2103" spans="2:9" s="16" customFormat="1" ht="15.75">
      <c r="B2103" s="35" t="str">
        <f ca="1">IFERROR(IF(AND(INDEX(Tab_DaBa[],MATCH(CONCATENATE(Liste!$C$3,$B$1979,$B$2093),Data!$BO:$BO,0)-2,28)&lt;&gt;"",INDEX(Tab_DaBa[],MATCH(CONCATENATE(Liste!$C$3,$B$1979,$B$2093),Data!$BO:$BO,0)-2,33)=0),INDEX(Tab_DaBa[],MATCH(CONCATENATE(Liste!$C$3,$B$1979,$B$2093),Data!$BO:$BO,0)-2,14),IF(INDEX(Tab_DaBa[],MATCH(CONCATENATE(Liste!$C$3,$B$1979,$B$2093),Data!$BO:$BO,0)-2,28)&lt;&gt;"",INDEX(Tab_DaBa[],MATCH(CONCATENATE(Liste!$C$3,$B$1979,$B$2093),Data!$BO:$BO,0)-2,34),"")),"")</f>
        <v>Logik 04</v>
      </c>
      <c r="C2103" s="39"/>
      <c r="D2103" s="35" t="str">
        <f ca="1">IFERROR(IF(AND(INDEX(Tab_DaBa[],MATCH(CONCATENATE(Liste!$C$3,$B$1979,$B$2093),Data!$BO:$BO,0)-2,33)&lt;&gt;"",INDEX(Tab_DaBa[],MATCH(CONCATENATE(Liste!$C$3,$B$1979,$B$2093),Data!$BO:$BO,0)-2,38)=0),INDEX(Tab_DaBa[],MATCH(CONCATENATE(Liste!$C$3,$B$1979,$B$2093),Data!$BO:$BO,0)-2,14),IF(INDEX(Tab_DaBa[],MATCH(CONCATENATE(Liste!$C$3,$B$1979,$B$2093),Data!$BO:$BO,0)-2,33)&lt;&gt;"",INDEX(Tab_DaBa[],MATCH(CONCATENATE(Liste!$C$3,$B$1979,$B$2093),Data!$BO:$BO,0)-2,39),"")),"")</f>
        <v>Logik 05</v>
      </c>
      <c r="E2103" s="33"/>
      <c r="F2103" s="35" t="str">
        <f ca="1">IFERROR(IF(AND(INDEX(Tab_DaBa[],MATCH(CONCATENATE(Liste!$C$3,$B$1979,$B$2093),Data!$BO:$BO,0)-2,38)&lt;&gt;"",INDEX(Tab_DaBa[],MATCH(CONCATENATE(Liste!$C$3,$B$1979,$B$2093),Data!$BO:$BO,0)-2,43)=0),INDEX(Tab_DaBa[],MATCH(CONCATENATE(Liste!$C$3,$B$1979,$B$2093),Data!$BO:$BO,0)-2,14),IF(INDEX(Tab_DaBa[],MATCH(CONCATENATE(Liste!$C$3,$B$1979,$B$2093),Data!$BO:$BO,0)-2,38)&lt;&gt;"",INDEX(Tab_DaBa[],MATCH(CONCATENATE(Liste!$C$3,$B$1979,$B$2093),Data!$BO:$BO,0)-2,44),"")),"")</f>
        <v>Ausgang</v>
      </c>
      <c r="G2103" s="39"/>
      <c r="H2103" s="35" t="str">
        <f ca="1">IFERROR(IF(AND(INDEX(Tab_DaBa[],MATCH(CONCATENATE(Liste!$C$3,$B$1979,$B$2093),Data!$BO:$BO,0)-2,43)&lt;&gt;"",INDEX(Tab_DaBa[],MATCH(CONCATENATE(Liste!$C$3,$B$1979,$B$2093),Data!$BO:$BO,0)-2,48)=0),INDEX(Tab_DaBa[],MATCH(CONCATENATE(Liste!$C$3,$B$1979,$B$2093),Data!$BO:$BO,0)-2,14),IF(INDEX(Tab_DaBa[],MATCH(CONCATENATE(Liste!$C$3,$B$1979,$B$2093),Data!$BO:$BO,0)-2,43)&lt;&gt;"",INDEX(Tab_DaBa[],MATCH(CONCATENATE(Liste!$C$3,$B$1979,$B$2093),Data!$BO:$BO,0)-2,49),"")),"")</f>
        <v/>
      </c>
      <c r="I2103" s="39"/>
    </row>
    <row r="2104" spans="2:9" s="16" customFormat="1" ht="15.75">
      <c r="B2104" s="35" t="str">
        <f ca="1">IFERROR(IF(AND(INDEX(Tab_DaBa[],MATCH(CONCATENATE(Liste!$C$3,$B$1979,$B$2093),Data!$BO:$BO,0)-2,28)&lt;&gt;"",INDEX(Tab_DaBa[],MATCH(CONCATENATE(Liste!$C$3,$B$1979,$B$2093),Data!$BO:$BO,0)-2,33)=0),INDEX(Tab_DaBa[],MATCH(CONCATENATE(Liste!$C$3,$B$1979,$B$2093),Data!$BO:$BO,0)-2,12),IF(INDEX(Tab_DaBa[],MATCH(CONCATENATE(Liste!$C$3,$B$1979,$B$2093),Data!$BO:$BO,0)-2,28)&lt;&gt;"",INDEX(Tab_DaBa[],MATCH(CONCATENATE(Liste!$C$3,$B$1979,$B$2093),Data!$BO:$BO,0)-2,32),"")),"")</f>
        <v>Lo04-44_05</v>
      </c>
      <c r="C2104" s="39"/>
      <c r="D2104" s="35" t="str">
        <f ca="1">IFERROR(IF(AND(INDEX(Tab_DaBa[],MATCH(CONCATENATE(Liste!$C$3,$B$1979,$B$2093),Data!$BO:$BO,0)-2,33)&lt;&gt;"",INDEX(Tab_DaBa[],MATCH(CONCATENATE(Liste!$C$3,$B$1979,$B$2093),Data!$BO:$BO,0)-2,38)=0),INDEX(Tab_DaBa[],MATCH(CONCATENATE(Liste!$C$3,$B$1979,$B$2093),Data!$BO:$BO,0)-2,12),IF(INDEX(Tab_DaBa[],MATCH(CONCATENATE(Liste!$C$3,$B$1979,$B$2093),Data!$BO:$BO,0)-2,33)&lt;&gt;"",INDEX(Tab_DaBa[],MATCH(CONCATENATE(Liste!$C$3,$B$1979,$B$2093),Data!$BO:$BO,0)-2,37),"")),"")</f>
        <v>Lo04-44_05</v>
      </c>
      <c r="E2104" s="37"/>
      <c r="F2104" s="35" t="str">
        <f ca="1">IFERROR(IF(AND(INDEX(Tab_DaBa[],MATCH(CONCATENATE(Liste!$C$3,$B$1979,$B$2093),Data!$BO:$BO,0)-2,38)&lt;&gt;"",INDEX(Tab_DaBa[],MATCH(CONCATENATE(Liste!$C$3,$B$1979,$B$2093),Data!$BO:$BO,0)-2,43)=0),INDEX(Tab_DaBa[],MATCH(CONCATENATE(Liste!$C$3,$B$1979,$B$2093),Data!$BO:$BO,0)-2,12),IF(INDEX(Tab_DaBa[],MATCH(CONCATENATE(Liste!$C$3,$B$1979,$B$2093),Data!$BO:$BO,0)-2,38)&lt;&gt;"",INDEX(Tab_DaBa[],MATCH(CONCATENATE(Liste!$C$3,$B$1979,$B$2093),Data!$BO:$BO,0)-2,42),"")),"")</f>
        <v>aaaa-44_5</v>
      </c>
      <c r="G2104" s="39"/>
      <c r="H2104" s="35" t="str">
        <f ca="1">IFERROR(IF(AND(INDEX(Tab_DaBa[],MATCH(CONCATENATE(Liste!$C$3,$B$1979,$B$2093),Data!$BO:$BO,0)-2,43)&lt;&gt;"",INDEX(Tab_DaBa[],MATCH(CONCATENATE(Liste!$C$3,$B$1979,$B$2093),Data!$BO:$BO,0)-2,48)=0),INDEX(Tab_DaBa[],MATCH(CONCATENATE(Liste!$C$3,$B$1979,$B$2093),Data!$BO:$BO,0)-2,12),IF(INDEX(Tab_DaBa[],MATCH(CONCATENATE(Liste!$C$3,$B$1979,$B$2093),Data!$BO:$BO,0)-2,43)&lt;&gt;"",INDEX(Tab_DaBa[],MATCH(CONCATENATE(Liste!$C$3,$B$1979,$B$2093),Data!$BO:$BO,0)-2,47),"")),"")</f>
        <v/>
      </c>
      <c r="I2104" s="39"/>
    </row>
    <row r="2105" spans="2:9" s="16" customFormat="1" ht="15.75">
      <c r="B2105" s="35" t="str">
        <f ca="1">IFERROR(IF(AND(INDEX(Tab_DaBa[],MATCH(CONCATENATE(Liste!$C$3,$B$1979,$B$2093),Data!$BO:$BO,0)-2,28)&lt;&gt;"",INDEX(Tab_DaBa[],MATCH(CONCATENATE(Liste!$C$3,$B$1979,$B$2093),Data!$BO:$BO,0)-2,33)=""),INDEX(Tab_DaBa[],MATCH(CONCATENATE(Liste!$C$3,$B$1979,$B$2093),Data!$BO:$BO,0)-2,13),IF(INDEX(Tab_DaBa[],MATCH(CONCATENATE(Liste!$C$3,$B$1979,$B$2093),Data!$BO:$BO,0)-2,28)&lt;&gt;"",INDEX(Tab_DaBa[],MATCH(CONCATENATE(Liste!$C$3,$B$1979,$B$2093),Data!$BO:$BO,0)-2,33),"")),"")</f>
        <v>Bez_Lo04_05</v>
      </c>
      <c r="C2105" s="38">
        <f ca="1">IF(D2103="","",4)</f>
        <v>4</v>
      </c>
      <c r="D2105" s="35" t="str">
        <f ca="1">IFERROR(IF(AND(INDEX(Tab_DaBa[],MATCH(CONCATENATE(Liste!$C$3,$B$1979,$B$2093),Data!$BO:$BO,0)-2,33)&lt;&gt;"",INDEX(Tab_DaBa[],MATCH(CONCATENATE(Liste!$C$3,$B$1979,$B$2093),Data!$BO:$BO,0)-2,38)=""),INDEX(Tab_DaBa[],MATCH(CONCATENATE(Liste!$C$3,$B$1979,$B$2093),Data!$BO:$BO,0)-2,13),IF(INDEX(Tab_DaBa[],MATCH(CONCATENATE(Liste!$C$3,$B$1979,$B$2093),Data!$BO:$BO,0)-2,33)&lt;&gt;"",INDEX(Tab_DaBa[],MATCH(CONCATENATE(Liste!$C$3,$B$1979,$B$2093),Data!$BO:$BO,0)-2,38),"")),"")</f>
        <v>Bez_Lo05_05</v>
      </c>
      <c r="E2105" s="38">
        <f ca="1">IF(F2103="","",4)</f>
        <v>4</v>
      </c>
      <c r="F2105" s="35" t="str">
        <f ca="1">IFERROR(IF(AND(INDEX(Tab_DaBa[],MATCH(CONCATENATE(Liste!$C$3,$B$1979,$B$2093),Data!$BO:$BO,0)-2,38)&lt;&gt;"",INDEX(Tab_DaBa[],MATCH(CONCATENATE(Liste!$C$3,$B$1979,$B$2093),Data!$BO:$BO,0)-2,43)=""),INDEX(Tab_DaBa[],MATCH(CONCATENATE(Liste!$C$3,$B$1979,$B$2093),Data!$BO:$BO,0)-2,13),IF(INDEX(Tab_DaBa[],MATCH(CONCATENATE(Liste!$C$3,$B$1979,$B$2093),Data!$BO:$BO,0)-2,38)&lt;&gt;"",INDEX(Tab_DaBa[],MATCH(CONCATENATE(Liste!$C$3,$B$1979,$B$2093),Data!$BO:$BO,0)-2,43),"")),"")</f>
        <v>Bez_Aus4_5</v>
      </c>
      <c r="G2105" s="38" t="str">
        <f ca="1">IF(H2103="","",4)</f>
        <v/>
      </c>
      <c r="H2105" s="35" t="str">
        <f ca="1">IFERROR(IF(AND(INDEX(Tab_DaBa[],MATCH(CONCATENATE(Liste!$C$3,$B$1979,$B$2093),Data!$BO:$BO,0)-2,43)&lt;&gt;"",INDEX(Tab_DaBa[],MATCH(CONCATENATE(Liste!$C$3,$B$1979,$B$2093),Data!$BO:$BO,0)-2,48)=""),INDEX(Tab_DaBa[],MATCH(CONCATENATE(Liste!$C$3,$B$1979,$B$2093),Data!$BO:$BO,0)-2,13),IF(INDEX(Tab_DaBa[],MATCH(CONCATENATE(Liste!$C$3,$B$1979,$B$2093),Data!$BO:$BO,0)-2,43)&lt;&gt;"",INDEX(Tab_DaBa[],MATCH(CONCATENATE(Liste!$C$3,$B$1979,$B$2093),Data!$BO:$BO,0)-2,48),"")),"")</f>
        <v/>
      </c>
      <c r="I2105" s="38" t="str">
        <f ca="1">IF(B2111="","",6)</f>
        <v/>
      </c>
    </row>
    <row r="2106" spans="2:9" s="16" customFormat="1" ht="15.75">
      <c r="B2106" s="35" t="str">
        <f ca="1">IFERROR(IF(AND(INDEX(Tab_DaBa[],MATCH(CONCATENATE(Liste!$C$3,$B$1979,$B$2093),Data!$BO:$BO,0)-2,28)&lt;&gt;"",INDEX(Tab_DaBa[],MATCH(CONCATENATE(Liste!$C$3,$B$1979,$B$2093),Data!$BO:$BO,0)-2,33)=""),"Performance Level: "&amp;INDEX(Tab_DaBa[],MATCH(CONCATENATE(Liste!$C$3,$B$1979,$B$2093),Data!$BO:$BO,0)-2,15),IF(INDEX(Tab_DaBa[],MATCH(CONCATENATE(Liste!$C$3,$B$1979,$B$2093),Data!$BO:$BO,0)-2,28)&lt;&gt;"","Performance Level: "&amp;INDEX(Tab_DaBa[],MATCH(CONCATENATE(Liste!$C$3,$B$1979,$B$2093),Data!$BO:$BO,0)-2,35),"")),"")</f>
        <v>Performance Level: PL_Lo04_05</v>
      </c>
      <c r="C2106" s="39"/>
      <c r="D2106" s="35" t="str">
        <f ca="1">IFERROR(IF(AND(INDEX(Tab_DaBa[],MATCH(CONCATENATE(Liste!$C$3,$B$1979,$B$2093),Data!$BO:$BO,0)-2,33)&lt;&gt;"",INDEX(Tab_DaBa[],MATCH(CONCATENATE(Liste!$C$3,$B$1979,$B$2093),Data!$BO:$BO,0)-2,38)=""),"Performance Level: "&amp;INDEX(Tab_DaBa[],MATCH(CONCATENATE(Liste!$C$3,$B$1979,$B$2093),Data!$BO:$BO,0)-2,15),IF(INDEX(Tab_DaBa[],MATCH(CONCATENATE(Liste!$C$3,$B$1979,$B$2093),Data!$BO:$BO,0)-2,33)&lt;&gt;"","Performance Level: "&amp;INDEX(Tab_DaBa[],MATCH(CONCATENATE(Liste!$C$3,$B$1979,$B$2093),Data!$BO:$BO,0)-2,40),"")),"")</f>
        <v>Performance Level: PL_Lo03_5</v>
      </c>
      <c r="E2106" s="37"/>
      <c r="F2106" s="35" t="str">
        <f ca="1">IFERROR(IF(AND(INDEX(Tab_DaBa[],MATCH(CONCATENATE(Liste!$C$3,$B$1979,$B$2093),Data!$BO:$BO,0)-2,38)&lt;&gt;"",INDEX(Tab_DaBa[],MATCH(CONCATENATE(Liste!$C$3,$B$1979,$B$2093),Data!$BO:$BO,0)-2,43)=""),"Performance Level: "&amp;INDEX(Tab_DaBa[],MATCH(CONCATENATE(Liste!$C$3,$B$1979,$B$2093),Data!$BO:$BO,0)-2,15),IF(INDEX(Tab_DaBa[],MATCH(CONCATENATE(Liste!$C$3,$B$1979,$B$2093),Data!$BO:$BO,0)-2,38)&lt;&gt;"","Performance Level: "&amp;INDEX(Tab_DaBa[],MATCH(CONCATENATE(Liste!$C$3,$B$1979,$B$2093),Data!$BO:$BO,0)-2,45),"")),"")</f>
        <v>Performance Level: PL_Aus4_5</v>
      </c>
      <c r="G2106" s="39"/>
      <c r="H2106" s="35" t="str">
        <f ca="1">IFERROR(IF(AND(INDEX(Tab_DaBa[],MATCH(CONCATENATE(Liste!$C$3,$B$1979,$B$2093),Data!$BO:$BO,0)-2,43)&lt;&gt;"",INDEX(Tab_DaBa[],MATCH(CONCATENATE(Liste!$C$3,$B$1979,$B$2093),Data!$BO:$BO,0)-2,48)=""),"Performance Level: "&amp;INDEX(Tab_DaBa[],MATCH(CONCATENATE(Liste!$C$3,$B$1979,$B$2093),Data!$BO:$BO,0)-2,15),IF(INDEX(Tab_DaBa[],MATCH(CONCATENATE(Liste!$C$3,$B$1979,$B$2093),Data!$BO:$BO,0)-2,43)&lt;&gt;"","Performance Level: "&amp;INDEX(Tab_DaBa[],MATCH(CONCATENATE(Liste!$C$3,$B$1979,$B$2093),Data!$BO:$BO,0)-2,50),"")),"")</f>
        <v/>
      </c>
      <c r="I2106" s="39"/>
    </row>
    <row r="2107" spans="2:9" s="16" customFormat="1" ht="15.75">
      <c r="B2107" s="35" t="str">
        <f ca="1">IFERROR(IF(AND(INDEX(Tab_DaBa[],MATCH(CONCATENATE(Liste!$C$3,$B$1979,$B$2093),Data!$BO:$BO,0)-2,28)&lt;&gt;"",INDEX(Tab_DaBa[],MATCH(CONCATENATE(Liste!$C$3,$B$1979,$B$2093),Data!$BO:$BO,0)-2,33)=""),"PFH [1/h] = "&amp;10^9*INDEX(Tab_DaBa[],MATCH(CONCATENATE(Liste!$C$3,$B$1979,$B$2093),Data!$BO:$BO,0)-2,16)&amp;"E-9",IF(INDEX(Tab_DaBa[],MATCH(CONCATENATE(Liste!$C$3,$B$1979,$B$2093),Data!$BO:$BO,0)-2,28)&lt;&gt;"","PFH [1/h] = "&amp;10^9*INDEX(Tab_DaBa[],MATCH(CONCATENATE(Liste!$C$3,$B$1979,$B$2093),Data!$BO:$BO,0)-2,36)&amp;"E-9","")),"")</f>
        <v>PFH [1/h] = 4,19E-9</v>
      </c>
      <c r="C2107" s="39"/>
      <c r="D2107" s="35" t="str">
        <f ca="1">IFERROR(IF(AND(INDEX(Tab_DaBa[],MATCH(CONCATENATE(Liste!$C$3,$B$1979,$B$2093),Data!$BO:$BO,0)-2,33)&lt;&gt;"",INDEX(Tab_DaBa[],MATCH(CONCATENATE(Liste!$C$3,$B$1979,$B$2093),Data!$BO:$BO,0)-2,38)=""),"PFH [1/h] = "&amp;10^9*INDEX(Tab_DaBa[],MATCH(CONCATENATE(Liste!$C$3,$B$1979,$B$2093),Data!$BO:$BO,0)-2,16)&amp;"E-9",IF(INDEX(Tab_DaBa[],MATCH(CONCATENATE(Liste!$C$3,$B$1979,$B$2093),Data!$BO:$BO,0)-2,33)&lt;&gt;"","PFH [1/h] = "&amp;10^9*INDEX(Tab_DaBa[],MATCH(CONCATENATE(Liste!$C$3,$B$1979,$B$2093),Data!$BO:$BO,0)-2,41)&amp;"E-9","")),"")</f>
        <v>PFH [1/h] = 4,19E-9</v>
      </c>
      <c r="E2107" s="37"/>
      <c r="F2107" s="35" t="str">
        <f ca="1">IFERROR(IF(AND(INDEX(Tab_DaBa[],MATCH(CONCATENATE(Liste!$C$3,$B$1979,$B$2093),Data!$BO:$BO,0)-2,38)&lt;&gt;"",INDEX(Tab_DaBa[],MATCH(CONCATENATE(Liste!$C$3,$B$1979,$B$2093),Data!$BO:$BO,0)-2,43)=""),"PFH [1/h] = "&amp;10^9*INDEX(Tab_DaBa[],MATCH(CONCATENATE(Liste!$C$3,$B$1979,$B$2093),Data!$BO:$BO,0)-2,16)&amp;"E-9",IF(INDEX(Tab_DaBa[],MATCH(CONCATENATE(Liste!$C$3,$B$1979,$B$2093),Data!$BO:$BO,0)-2,38)&lt;&gt;"","PFH [1/h] = "&amp;10^9*INDEX(Tab_DaBa[],MATCH(CONCATENATE(Liste!$C$3,$B$1979,$B$2093),Data!$BO:$BO,0)-2,46)&amp;"E-9","")),"")</f>
        <v>PFH [1/h] = 24,7E-9</v>
      </c>
      <c r="G2107" s="39"/>
      <c r="H2107" s="35" t="str">
        <f ca="1">IFERROR(IF(AND(INDEX(Tab_DaBa[],MATCH(CONCATENATE(Liste!$C$3,$B$1979,$B$2093),Data!$BO:$BO,0)-2,43)&lt;&gt;"",INDEX(Tab_DaBa[],MATCH(CONCATENATE(Liste!$C$3,$B$1979,$B$2093),Data!$BO:$BO,0)-2,48)=""),"PFH [1/h] = "&amp;10^9*INDEX(Tab_DaBa[],MATCH(CONCATENATE(Liste!$C$3,$B$1979,$B$2093),Data!$BO:$BO,0)-2,16)&amp;"E-9",IF(INDEX(Tab_DaBa[],MATCH(CONCATENATE(Liste!$C$3,$B$1979,$B$2093),Data!$BO:$BO,0)-2,43)&lt;&gt;"","PFH [1/h] = "&amp;10^9*INDEX(Tab_DaBa[],MATCH(CONCATENATE(Liste!$C$3,$B$1979,$B$2093),Data!$BO:$BO,0)-2,51)&amp;"E-9","")),"")</f>
        <v/>
      </c>
      <c r="I2107" s="39"/>
    </row>
    <row r="2108" spans="2:9" s="16" customFormat="1">
      <c r="B2108" s="33"/>
      <c r="C2108" s="33"/>
      <c r="D2108" s="33"/>
      <c r="E2108" s="33"/>
      <c r="F2108" s="33"/>
      <c r="G2108" s="33"/>
      <c r="H2108" s="33"/>
      <c r="I2108" s="33"/>
    </row>
    <row r="2109" spans="2:9" s="16" customFormat="1" ht="15.75">
      <c r="B2109" s="38" t="str">
        <f ca="1">IF(B2111="","",6)</f>
        <v/>
      </c>
      <c r="C2109" s="33"/>
      <c r="D2109" s="38" t="str">
        <f ca="1">IF(B2111="","",3)</f>
        <v/>
      </c>
      <c r="E2109" s="33"/>
      <c r="F2109" s="38" t="str">
        <f ca="1">IF(B2111="","",3)</f>
        <v/>
      </c>
      <c r="G2109" s="33"/>
      <c r="H2109" s="38" t="str">
        <f ca="1">IF(B2111="","",3)</f>
        <v/>
      </c>
      <c r="I2109" s="33"/>
    </row>
    <row r="2110" spans="2:9" s="16" customFormat="1" ht="15.75">
      <c r="B2110" s="39"/>
      <c r="C2110" s="33"/>
      <c r="D2110" s="33"/>
      <c r="E2110" s="33"/>
      <c r="F2110" s="33"/>
      <c r="G2110" s="33"/>
      <c r="H2110" s="33"/>
      <c r="I2110" s="33"/>
    </row>
    <row r="2111" spans="2:9" s="16" customFormat="1" ht="15.75">
      <c r="B2111" s="35" t="str">
        <f ca="1">IFERROR(IF(AND(INDEX(Tab_DaBa[],MATCH(CONCATENATE(Liste!$C$3,$B$1979,$B$2093),Data!$BO:$BO,0)-2,48)&lt;&gt;"",INDEX(Tab_DaBa[],MATCH(CONCATENATE(Liste!$C$3,$B$1979,$B$2093),Data!$BO:$BO,0)-2,53)=0),INDEX(Tab_DaBa[],MATCH(CONCATENATE(Liste!$C$3,$B$1979,$B$2093),Data!$BO:$BO,0)-2,14),IF(INDEX(Tab_DaBa[],MATCH(CONCATENATE(Liste!$C$3,$B$1979,$B$2093),Data!$BO:$BO,0)-2,48)&lt;&gt;"",INDEX(Tab_DaBa[],MATCH(CONCATENATE(Liste!$C$3,$B$1979,$B$2093),Data!$BO:$BO,0)-2,54),"")),"")</f>
        <v/>
      </c>
      <c r="C2111" s="39"/>
      <c r="D2111" s="35" t="str">
        <f ca="1">IFERROR(IF(AND(INDEX(Tab_DaBa[],MATCH(CONCATENATE(Liste!$C$3,$B$1979,$B$2093),Data!$BO:$BO,0)-2,53)&lt;&gt;"",INDEX(Tab_DaBa[],MATCH(CONCATENATE(Liste!$C$3,$B$1979,$B$2093),Data!$BO:$BO,0)-2,58)=0),INDEX(Tab_DaBa[],MATCH(CONCATENATE(Liste!$C$3,$B$1979,$B$2093),Data!$BO:$BO,0)-2,14),IF(INDEX(Tab_DaBa[],MATCH(CONCATENATE(Liste!$C$3,$B$1979,$B$2093),Data!$BO:$BO,0)-2,53)&lt;&gt;"",INDEX(Tab_DaBa[],MATCH(CONCATENATE(Liste!$C$3,$B$1979,$B$2093),Data!$BO:$BO,0)-2,59),"")),"")</f>
        <v/>
      </c>
      <c r="E2111" s="33"/>
      <c r="F2111" s="35" t="str">
        <f ca="1">IFERROR(IF(AND(INDEX(Tab_DaBa[],MATCH(CONCATENATE(Liste!$C$3,$B$1979,$B$2093),Data!$BO:$BO,0)-2,58)&lt;&gt;"",INDEX(Tab_DaBa[],MATCH(CONCATENATE(Liste!$C$3,$B$1979,$B$2093),Data!$BO:$BO,0)-2,63)=0),INDEX(Tab_DaBa[],MATCH(CONCATENATE(Liste!$C$3,$B$1979,$B$2093),Data!$BO:$BO,0)-2,14),IF(INDEX(Tab_DaBa[],MATCH(CONCATENATE(Liste!$C$3,$B$1979,$B$2093),Data!$BO:$BO,0)-2,58)&lt;&gt;"",INDEX(Tab_DaBa[],MATCH(CONCATENATE(Liste!$C$3,$B$1979,$B$2093),Data!$BO:$BO,0)-2,64),"")),"")</f>
        <v/>
      </c>
      <c r="G2111" s="39"/>
      <c r="H2111" s="35" t="str">
        <f ca="1">IFERROR(IF(INDEX(Tab_DaBa[],MATCH(CONCATENATE(Liste!$C$3,$B$1979,$B$2093),Data!$BO:$BO,0)-2,63)&lt;&gt;"",INDEX(Tab_DaBa[],MATCH(CONCATENATE(Liste!$C$3,$B$1979,$B$2093),Data!$BO:$BO,0)-2,14),""),"")</f>
        <v/>
      </c>
    </row>
    <row r="2112" spans="2:9" s="16" customFormat="1" ht="15.75">
      <c r="B2112" s="35" t="str">
        <f ca="1">IFERROR(IF(AND(INDEX(Tab_DaBa[],MATCH(CONCATENATE(Liste!$C$3,$B$1979,$B$2093),Data!$BO:$BO,0)-2,48)&lt;&gt;"",INDEX(Tab_DaBa[],MATCH(CONCATENATE(Liste!$C$3,$B$1979,$B$2093),Data!$BO:$BO,0)-2,53)=0),INDEX(Tab_DaBa[],MATCH(CONCATENATE(Liste!$C$3,$B$1979,$B$2093),Data!$BO:$BO,0)-2,12),IF(INDEX(Tab_DaBa[],MATCH(CONCATENATE(Liste!$C$3,$B$1979,$B$2093),Data!$BO:$BO,0)-2,48)&lt;&gt;"",INDEX(Tab_DaBa[],MATCH(CONCATENATE(Liste!$C$3,$B$1979,$B$2093),Data!$BO:$BO,0)-2,52),"")),"")</f>
        <v/>
      </c>
      <c r="C2112" s="39"/>
      <c r="D2112" s="35" t="str">
        <f ca="1">IFERROR(IF(AND(INDEX(Tab_DaBa[],MATCH(CONCATENATE(Liste!$C$3,$B$1979,$B$2093),Data!$BO:$BO,0)-2,53)&lt;&gt;"",INDEX(Tab_DaBa[],MATCH(CONCATENATE(Liste!$C$3,$B$1979,$B$2093),Data!$BO:$BO,0)-2,58)=0),INDEX(Tab_DaBa[],MATCH(CONCATENATE(Liste!$C$3,$B$1979,$B$2093),Data!$BO:$BO,0)-2,12),IF(INDEX(Tab_DaBa[],MATCH(CONCATENATE(Liste!$C$3,$B$1979,$B$2093),Data!$BO:$BO,0)-2,53)&lt;&gt;"",INDEX(Tab_DaBa[],MATCH(CONCATENATE(Liste!$C$3,$B$1979,$B$2093),Data!$BO:$BO,0)-2,57),"")),"")</f>
        <v/>
      </c>
      <c r="E2112" s="37"/>
      <c r="F2112" s="35" t="str">
        <f ca="1">IFERROR(IF(AND(INDEX(Tab_DaBa[],MATCH(CONCATENATE(Liste!$C$3,$B$1979,$B$2093),Data!$BO:$BO,0)-2,58)&lt;&gt;"",INDEX(Tab_DaBa[],MATCH(CONCATENATE(Liste!$C$3,$B$1979,$B$2093),Data!$BO:$BO,0)-2,63)=0),INDEX(Tab_DaBa[],MATCH(CONCATENATE(Liste!$C$3,$B$1979,$B$2093),Data!$BO:$BO,0)-2,12),IF(INDEX(Tab_DaBa[],MATCH(CONCATENATE(Liste!$C$3,$B$1979,$B$2093),Data!$BO:$BO,0)-2,58)&lt;&gt;"",INDEX(Tab_DaBa[],MATCH(CONCATENATE(Liste!$C$3,$B$1979,$B$2093),Data!$BO:$BO,0)-2,62),"")),"")</f>
        <v/>
      </c>
      <c r="G2112" s="39"/>
      <c r="H2112" s="35" t="str">
        <f ca="1">IFERROR(IF(INDEX(Tab_DaBa[],MATCH(CONCATENATE(Liste!$C$3,$B$1979,$B$2093),Data!$BO:$BO,0)-2,63)&lt;&gt;"",INDEX(Tab_DaBa[],MATCH(CONCATENATE(Liste!$C$3,$B$1979,$B$2093),Data!$BO:$BO,0)-2,12),""),"")</f>
        <v/>
      </c>
    </row>
    <row r="2113" spans="2:9" s="16" customFormat="1" ht="15.75">
      <c r="B2113" s="35" t="str">
        <f ca="1">IFERROR(IF(AND(INDEX(Tab_DaBa[],MATCH(CONCATENATE(Liste!$C$3,$B$1979,$B$2093),Data!$BO:$BO,0)-2,48)&lt;&gt;"",INDEX(Tab_DaBa[],MATCH(CONCATENATE(Liste!$C$3,$B$1979,$B$2093),Data!$BO:$BO,0)-2,53)=""),INDEX(Tab_DaBa[],MATCH(CONCATENATE(Liste!$C$3,$B$1979,$B$2093),Data!$BO:$BO,0)-2,13),IF(INDEX(Tab_DaBa[],MATCH(CONCATENATE(Liste!$C$3,$B$1979,$B$2093),Data!$BO:$BO,0)-2,48)&lt;&gt;"",INDEX(Tab_DaBa[],MATCH(CONCATENATE(Liste!$C$3,$B$1979,$B$2093),Data!$BO:$BO,0)-2,53),"")),"")</f>
        <v/>
      </c>
      <c r="C2113" s="38" t="str">
        <f ca="1">IF(D2111="","",4)</f>
        <v/>
      </c>
      <c r="D2113" s="35" t="str">
        <f ca="1">IFERROR(IF(AND(INDEX(Tab_DaBa[],MATCH(CONCATENATE(Liste!$C$3,$B$1979,$B$2093),Data!$BO:$BO,0)-2,53)&lt;&gt;"",INDEX(Tab_DaBa[],MATCH(CONCATENATE(Liste!$C$3,$B$1979,$B$2093),Data!$BO:$BO,0)-2,58)=""),INDEX(Tab_DaBa[],MATCH(CONCATENATE(Liste!$C$3,$B$1979,$B$2093),Data!$BO:$BO,0)-2,13),IF(INDEX(Tab_DaBa[],MATCH(CONCATENATE(Liste!$C$3,$B$1979,$B$2093),Data!$BO:$BO,0)-2,53)&lt;&gt;"",INDEX(Tab_DaBa[],MATCH(CONCATENATE(Liste!$C$3,$B$1979,$B$2093),Data!$BO:$BO,0)-2,58),"")),"")</f>
        <v/>
      </c>
      <c r="E2113" s="38" t="str">
        <f ca="1">IF(F2111="","",4)</f>
        <v/>
      </c>
      <c r="F2113" s="35" t="str">
        <f ca="1">IFERROR(IF(AND(INDEX(Tab_DaBa[],MATCH(CONCATENATE(Liste!$C$3,$B$1979,$B$2093),Data!$BO:$BO,0)-2,58)&lt;&gt;"",INDEX(Tab_DaBa[],MATCH(CONCATENATE(Liste!$C$3,$B$1979,$B$2093),Data!$BO:$BO,0)-2,63)=""),INDEX(Tab_DaBa[],MATCH(CONCATENATE(Liste!$C$3,$B$1979,$B$2093),Data!$BO:$BO,0)-2,13),IF(INDEX(Tab_DaBa[],MATCH(CONCATENATE(Liste!$C$3,$B$1979,$B$2093),Data!$BO:$BO,0)-2,58)&lt;&gt;"",INDEX(Tab_DaBa[],MATCH(CONCATENATE(Liste!$C$3,$B$1979,$B$2093),Data!$BO:$BO,0)-2,63),"")),"")</f>
        <v/>
      </c>
      <c r="G2113" s="38" t="str">
        <f ca="1">IF(H2111="","",4)</f>
        <v/>
      </c>
      <c r="H2113" s="35" t="str">
        <f ca="1">IFERROR(IF(INDEX(Tab_DaBa[],MATCH(CONCATENATE(Liste!$C$3,$B$1979,$B$2093),Data!$BO:$BO,0)-2,63)&lt;&gt;"",INDEX(Tab_DaBa[],MATCH(CONCATENATE(Liste!$C$3,$B$1979,$B$2093),Data!$BO:$BO,0)-2,13),""),"")</f>
        <v/>
      </c>
    </row>
    <row r="2114" spans="2:9" s="16" customFormat="1" ht="15.75">
      <c r="B2114" s="35" t="str">
        <f ca="1">IFERROR(IF(AND(INDEX(Tab_DaBa[],MATCH(CONCATENATE(Liste!$C$3,$B$1979,$B$2093),Data!$BO:$BO,0)-2,48)&lt;&gt;"",INDEX(Tab_DaBa[],MATCH(CONCATENATE(Liste!$C$3,$B$1979,$B$2093),Data!$BO:$BO,0)-2,53)=""),"Performance Level: "&amp;INDEX(Tab_DaBa[],MATCH(CONCATENATE(Liste!$C$3,$B$1979,$B$2093),Data!$BO:$BO,0)-2,15),IF(INDEX(Tab_DaBa[],MATCH(CONCATENATE(Liste!$C$3,$B$1979,$B$2093),Data!$BO:$BO,0)-2,48)&lt;&gt;"","Performance Level: "&amp;INDEX(Tab_DaBa[],MATCH(CONCATENATE(Liste!$C$3,$B$1979,$B$2093),Data!$BO:$BO,0)-2,55),"")),"")</f>
        <v/>
      </c>
      <c r="C2114" s="39"/>
      <c r="D2114" s="35" t="str">
        <f ca="1">IFERROR(IF(AND(INDEX(Tab_DaBa[],MATCH(CONCATENATE(Liste!$C$3,$B$1979,$B$2093),Data!$BO:$BO,0)-2,53)&lt;&gt;"",INDEX(Tab_DaBa[],MATCH(CONCATENATE(Liste!$C$3,$B$1979,$B$2093),Data!$BO:$BO,0)-2,58)=""),"Performance Level: "&amp;INDEX(Tab_DaBa[],MATCH(CONCATENATE(Liste!$C$3,$B$1979,$B$2093),Data!$BO:$BO,0)-2,15),IF(INDEX(Tab_DaBa[],MATCH(CONCATENATE(Liste!$C$3,$B$1979,$B$2093),Data!$BO:$BO,0)-2,53)&lt;&gt;"","Performance Level: "&amp;INDEX(Tab_DaBa[],MATCH(CONCATENATE(Liste!$C$3,$B$1979,$B$2093),Data!$BO:$BO,0)-2,60),"")),"")</f>
        <v/>
      </c>
      <c r="E2114" s="37"/>
      <c r="F2114" s="35" t="str">
        <f ca="1">IFERROR(IF(AND(INDEX(Tab_DaBa[],MATCH(CONCATENATE(Liste!$C$3,$B$1979,$B$2093),Data!$BO:$BO,0)-2,58)&lt;&gt;"",INDEX(Tab_DaBa[],MATCH(CONCATENATE(Liste!$C$3,$B$1979,$B$2093),Data!$BO:$BO,0)-2,63)=""),"Performance Level: "&amp;INDEX(Tab_DaBa[],MATCH(CONCATENATE(Liste!$C$3,$B$1979,$B$2093),Data!$BO:$BO,0)-2,15),IF(INDEX(Tab_DaBa[],MATCH(CONCATENATE(Liste!$C$3,$B$1979,$B$2093),Data!$BO:$BO,0)-2,58)&lt;&gt;"","Performance Level: "&amp;INDEX(Tab_DaBa[],MATCH(CONCATENATE(Liste!$C$3,$B$1979,$B$2093),Data!$BO:$BO,0)-2,65),"")),"")</f>
        <v/>
      </c>
      <c r="G2114" s="39"/>
      <c r="H2114" s="35" t="str">
        <f ca="1">IFERROR(IF(INDEX(Tab_DaBa[],MATCH(CONCATENATE(Liste!$C$3,$B$1979,$B$2093),Data!$BO:$BO,0)-2,63)&lt;&gt;"","Performance Level: "&amp;INDEX(Tab_DaBa[],MATCH(CONCATENATE(Liste!$C$3,$B$1979,$B$2093),Data!$BO:$BO,0)-2,15),""),"")</f>
        <v/>
      </c>
    </row>
    <row r="2115" spans="2:9" s="16" customFormat="1" ht="15.75">
      <c r="B2115" s="35" t="str">
        <f ca="1">IFERROR(IF(AND(INDEX(Tab_DaBa[],MATCH(CONCATENATE(Liste!$C$3,$B$1979,$B$2093),Data!$BO:$BO,0)-2,48)&lt;&gt;"",INDEX(Tab_DaBa[],MATCH(CONCATENATE(Liste!$C$3,$B$1979,$B$2093),Data!$BO:$BO,0)-2,53)=""),"PFH [1/h] = "&amp;10^9*INDEX(Tab_DaBa[],MATCH(CONCATENATE(Liste!$C$3,$B$1979,$B$2093),Data!$BO:$BO,0)-2,16)&amp;"E-9",IF(INDEX(Tab_DaBa[],MATCH(CONCATENATE(Liste!$C$3,$B$1979,$B$2093),Data!$BO:$BO,0)-2,48)&lt;&gt;"","PFH [1/h] = "&amp;10^9*INDEX(Tab_DaBa[],MATCH(CONCATENATE(Liste!$C$3,$B$1979,$B$2093),Data!$BO:$BO,0)-2,56)&amp;"E-9","")),"")</f>
        <v/>
      </c>
      <c r="C2115" s="39"/>
      <c r="D2115" s="35" t="str">
        <f ca="1">IFERROR(IF(AND(INDEX(Tab_DaBa[],MATCH(CONCATENATE(Liste!$C$3,$B$1979,$B$2093),Data!$BO:$BO,0)-2,53)&lt;&gt;"",INDEX(Tab_DaBa[],MATCH(CONCATENATE(Liste!$C$3,$B$1979,$B$2093),Data!$BO:$BO,0)-2,58)=""),"PFH [1/h] = "&amp;10^9*INDEX(Tab_DaBa[],MATCH(CONCATENATE(Liste!$C$3,$B$1979,$B$2093),Data!$BO:$BO,0)-2,16)&amp;"E-9",IF(INDEX(Tab_DaBa[],MATCH(CONCATENATE(Liste!$C$3,$B$1979,$B$2093),Data!$BO:$BO,0)-2,53)&lt;&gt;"","PFH [1/h] = "&amp;10^9*INDEX(Tab_DaBa[],MATCH(CONCATENATE(Liste!$C$3,$B$1979,$B$2093),Data!$BO:$BO,0)-2,61)&amp;"E-9","")),"")</f>
        <v/>
      </c>
      <c r="E2115" s="37"/>
      <c r="F2115" s="35" t="str">
        <f ca="1">IFERROR(IF(AND(INDEX(Tab_DaBa[],MATCH(CONCATENATE(Liste!$C$3,$B$1979,$B$2093),Data!$BO:$BO,0)-2,58)&lt;&gt;"",INDEX(Tab_DaBa[],MATCH(CONCATENATE(Liste!$C$3,$B$1979,$B$2093),Data!$BO:$BO,0)-2,63)=""),"PFH [1/h] = "&amp;10^9*INDEX(Tab_DaBa[],MATCH(CONCATENATE(Liste!$C$3,$B$1979,$B$2093),Data!$BO:$BO,0)-2,16)&amp;"E-9",IF(INDEX(Tab_DaBa[],MATCH(CONCATENATE(Liste!$C$3,$B$1979,$B$2093),Data!$BO:$BO,0)-2,58)&lt;&gt;"","PFH [1/h] = "&amp;10^9*INDEX(Tab_DaBa[],MATCH(CONCATENATE(Liste!$C$3,$B$1979,$B$2093),Data!$BO:$BO,0)-2,66)&amp;"E-9","")),"")</f>
        <v/>
      </c>
      <c r="G2115" s="39"/>
      <c r="H2115" s="35" t="str">
        <f ca="1">IFERROR(IF(INDEX(Tab_DaBa[],MATCH(CONCATENATE(Liste!$C$3,$B$1979,$B$2093),Data!$BO:$BO,0)-2,63)&lt;&gt;"","PFH [1/h] = "&amp;10^9*INDEX(Tab_DaBa[],MATCH(CONCATENATE(Liste!$C$3,$B$1979,$B$2093),Data!$BO:$BO,0)-2,16)&amp;"E-9",""),"")</f>
        <v/>
      </c>
    </row>
    <row r="2116" spans="2:9" s="16" customFormat="1"/>
    <row r="2117" spans="2:9" s="16" customFormat="1">
      <c r="B2117" s="43" t="str">
        <f ca="1">IF(D2117="","","Erforderlich")</f>
        <v>Erforderlich</v>
      </c>
      <c r="D2117" s="44" t="str">
        <f ca="1">IFERROR("Performance Level: "&amp;INDEX(Tab_DaBa[],MATCH(CONCATENATE(Liste!$C$3,$B$1979,$B$2093),Data!$BO:$BO,0)-2,4),"")</f>
        <v>Performance Level: PLr_ges4_5</v>
      </c>
    </row>
    <row r="2118" spans="2:9" s="16" customFormat="1">
      <c r="B2118" s="45"/>
    </row>
    <row r="2119" spans="2:9" s="16" customFormat="1">
      <c r="B2119" s="46" t="str">
        <f ca="1">IF(D2119="","","Erreicht")</f>
        <v>Erreicht</v>
      </c>
      <c r="D2119" s="47" t="str">
        <f ca="1">IFERROR("Performance Level: "&amp;INDEX(Tab_DaBa[],MATCH(CONCATENATE(Liste!$C$3,$B$1979,$B$2093),Data!$BO:$BO,0)-2,5)&amp;"          PFH [1/h] = "&amp;10^9*INDEX(Tab_DaBa[],MATCH(CONCATENATE(Liste!$C$3,$B$1979,$B$2093),Data!$BO:$BO,0)-2,6)&amp;"E-9","")</f>
        <v>Performance Level: Pl_ges4_5          PFH [1/h] = 71,7E-9</v>
      </c>
    </row>
    <row r="2120" spans="2:9" s="16" customFormat="1"/>
    <row r="2121" spans="2:9" s="16" customFormat="1">
      <c r="B2121" s="42" t="str">
        <f ca="1">IFERROR(IF(6&gt;COUNTIF(Data!$BP:$BP,CONCATENATE(Liste!$C$3,$B$1979)),"",INDEX(Tab_DaBa[],MATCH(CONCATENATE(Liste!$C$3,$B$1979),Data!$BP:$BP,0)+3,3)),"")</f>
        <v>8.6 Test08 (E+6L+A)</v>
      </c>
    </row>
    <row r="2122" spans="2:9" s="16" customFormat="1"/>
    <row r="2123" spans="2:9" s="16" customFormat="1" ht="15.75">
      <c r="B2123" s="35" t="str">
        <f ca="1">IFERROR(INDEX(Tab_DaBa[],MATCH(CONCATENATE(Liste!$C$3,$B$1979,$B$2121),Data!$BO:$BO,0)-2,9),"")</f>
        <v>Eingang</v>
      </c>
      <c r="C2123" s="54"/>
      <c r="D2123" s="35" t="str">
        <f ca="1">IFERROR(IF(INDEX(Tab_DaBa[],MATCH(CONCATENATE(Liste!$C$3,$B$1979,$B$2121),Data!$BO:$BO,0)-2,18)=0,INDEX(Tab_DaBa[],MATCH(CONCATENATE(Liste!$C$3,$B$1979,$B$2121),Data!$BO:$BO,0)-2,14),INDEX(Tab_DaBa[],MATCH(CONCATENATE(Liste!$C$3,$B$1979,$B$2121),Data!$BO:$BO,0)-2,19)),"")</f>
        <v>Logik 01</v>
      </c>
      <c r="E2123" s="33"/>
      <c r="F2123" s="35" t="str">
        <f ca="1">IFERROR(IF(AND(INDEX(Tab_DaBa[],MATCH(CONCATENATE(Liste!$C$3,$B$1979,$B$2121),Data!$BO:$BO,0)-2,18)&lt;&gt;"",INDEX(Tab_DaBa[],MATCH(CONCATENATE(Liste!$C$3,$B$1979,$B$2121),Data!$BO:$BO,0)-2,23)=0),INDEX(Tab_DaBa[],MATCH(CONCATENATE(Liste!$C$3,$B$1979,$B$2121),Data!$BO:$BO,0)-2,14),IF(INDEX(Tab_DaBa[],MATCH(CONCATENATE(Liste!$C$3,$B$1979,$B$2121),Data!$BO:$BO,0)-2,23)&lt;&gt;"",INDEX(Tab_DaBa[],MATCH(CONCATENATE(Liste!$C$3,$B$1979,$B$2121),Data!$BO:$BO,0)-2,24),"")),"")</f>
        <v>Logik 02</v>
      </c>
      <c r="G2123" s="39"/>
      <c r="H2123" s="35" t="str">
        <f ca="1">IFERROR(IF(AND(INDEX(Tab_DaBa[],MATCH(CONCATENATE(Liste!$C$3,$B$1979,$B$2121),Data!$BO:$BO,0)-2,23)&lt;&gt;"",INDEX(Tab_DaBa[],MATCH(CONCATENATE(Liste!$C$3,$B$1979,$B$2121),Data!$BO:$BO,0)-2,28)=0),INDEX(Tab_DaBa[],MATCH(CONCATENATE(Liste!$C$3,$B$1979,$B$2121),Data!$BO:$BO,0)-2,14),IF(INDEX(Tab_DaBa[],MATCH(CONCATENATE(Liste!$C$3,$B$1979,$B$2121),Data!$BO:$BO,0)-2,23)&lt;&gt;"",INDEX(Tab_DaBa[],MATCH(CONCATENATE(Liste!$C$3,$B$1979,$B$2121),Data!$BO:$BO,0)-2,29),"")),"")</f>
        <v>Logik 03</v>
      </c>
      <c r="I2123" s="39"/>
    </row>
    <row r="2124" spans="2:9" s="16" customFormat="1" ht="15.75">
      <c r="B2124" s="35" t="str">
        <f ca="1">IFERROR(INDEX(Tab_DaBa[],MATCH(CONCATENATE(Liste!$C$3,$B$1979,$B$2121),Data!$BO:$BO,0)-2,7),"")</f>
        <v>eeee-33_6</v>
      </c>
      <c r="C2124" s="54"/>
      <c r="D2124" s="35" t="str">
        <f ca="1">IFERROR(IF(INDEX(Tab_DaBa[],MATCH(CONCATENATE(Liste!$C$3,$B$1979,$B$2121),Data!$BO:$BO,0)-2,18)="",INDEX(Tab_DaBa[],MATCH(CONCATENATE(Liste!$C$3,$B$1979,$B$2121),Data!$BO:$BO,0)-2,12),INDEX(Tab_DaBa[],MATCH(CONCATENATE(Liste!$C$3,$B$1979,$B$2121),Data!$BO:$BO,0)-2,17)),"")</f>
        <v>Log01-04_06</v>
      </c>
      <c r="E2124" s="36"/>
      <c r="F2124" s="35" t="str">
        <f ca="1">IFERROR(IF(AND(INDEX(Tab_DaBa[],MATCH(CONCATENATE(Liste!$C$3,$B$1979,$B$2121),Data!$BO:$BO,0)-2,18)&lt;&gt;"",INDEX(Tab_DaBa[],MATCH(CONCATENATE(Liste!$C$3,$B$1979,$B$2121),Data!$BO:$BO,0)-2,23)=0),INDEX(Tab_DaBa[],MATCH(CONCATENATE(Liste!$C$3,$B$1979,$B$2121),Data!$BO:$BO,0)-2,12),IF(INDEX(Tab_DaBa[],MATCH(CONCATENATE(Liste!$C$3,$B$1979,$B$2121),Data!$BO:$BO,0)-2,23)&lt;&gt;"",INDEX(Tab_DaBa[],MATCH(CONCATENATE(Liste!$C$3,$B$1979,$B$2121),Data!$BO:$BO,0)-2,22),"")),"")</f>
        <v>Lo04-04_06</v>
      </c>
      <c r="G2124" s="39"/>
      <c r="H2124" s="35" t="str">
        <f ca="1">IFERROR(IF(AND(INDEX(Tab_DaBa[],MATCH(CONCATENATE(Liste!$C$3,$B$1979,$B$2121),Data!$BO:$BO,0)-2,23)&lt;&gt;"",INDEX(Tab_DaBa[],MATCH(CONCATENATE(Liste!$C$3,$B$1979,$B$2121),Data!$BO:$BO,0)-2,28)=0),INDEX(Tab_DaBa[],MATCH(CONCATENATE(Liste!$C$3,$B$1979,$B$2121),Data!$BO:$BO,0)-2,12),IF(INDEX(Tab_DaBa[],MATCH(CONCATENATE(Liste!$C$3,$B$1979,$B$2121),Data!$BO:$BO,0)-2,23)&lt;&gt;"",INDEX(Tab_DaBa[],MATCH(CONCATENATE(Liste!$C$3,$B$1979,$B$2121),Data!$BO:$BO,0)-2,27),"")),"")</f>
        <v>Lo04-44_06</v>
      </c>
      <c r="I2124" s="39"/>
    </row>
    <row r="2125" spans="2:9" s="16" customFormat="1" ht="15.75">
      <c r="B2125" s="35" t="str">
        <f ca="1">IFERROR(INDEX(Tab_DaBa[],MATCH(CONCATENATE(Liste!$C$3,$B$1979,$B$2121),Data!$BO:$BO,0)-2,8),"")</f>
        <v>Bez_Ein4_6</v>
      </c>
      <c r="C2125" s="40">
        <f ca="1">IF(D2123="","",4)</f>
        <v>4</v>
      </c>
      <c r="D2125" s="35" t="str">
        <f ca="1">IFERROR(IF(INDEX(Tab_DaBa[],MATCH(CONCATENATE(Liste!$C$3,$B$1979,$B$2121),Data!$BO:$BO,0)-2,18)="",INDEX(Tab_DaBa[],MATCH(CONCATENATE(Liste!$C$3,$B$1979,$B$2121),Data!$BO:$BO,0)-2,13),INDEX(Tab_DaBa[],MATCH(CONCATENATE(Liste!$C$3,$B$1979,$B$2121),Data!$BO:$BO,0)-2,18)),"")</f>
        <v>Bez_Log01_04_06</v>
      </c>
      <c r="E2125" s="40">
        <f ca="1">IF(F2123="","",4)</f>
        <v>4</v>
      </c>
      <c r="F2125" s="35" t="str">
        <f ca="1">IFERROR(IF(AND(INDEX(Tab_DaBa[],MATCH(CONCATENATE(Liste!$C$3,$B$1979,$B$2121),Data!$BO:$BO,0)-2,18)&lt;&gt;"",INDEX(Tab_DaBa[],MATCH(CONCATENATE(Liste!$C$3,$B$1979,$B$2121),Data!$BO:$BO,0)-2,23)=""),INDEX(Tab_DaBa[],MATCH(CONCATENATE(Liste!$C$3,$B$1979,$B$2121),Data!$BO:$BO,0)-2,13),IF(INDEX(Tab_DaBa[],MATCH(CONCATENATE(Liste!$C$3,$B$1979,$B$2121),Data!$BO:$BO,0)-2,23)&lt;&gt;"",INDEX(Tab_DaBa[],MATCH(CONCATENATE(Liste!$C$3,$B$1979,$B$2121),Data!$BO:$BO,0)-2,23),"")),"")</f>
        <v>Bez_Lo04_06</v>
      </c>
      <c r="G2125" s="38">
        <f ca="1">IF(H2123="","",4)</f>
        <v>4</v>
      </c>
      <c r="H2125" s="35" t="str">
        <f ca="1">IFERROR(IF(AND(INDEX(Tab_DaBa[],MATCH(CONCATENATE(Liste!$C$3,$B$1979,$B$2121),Data!$BO:$BO,0)-2,23)&lt;&gt;"",INDEX(Tab_DaBa[],MATCH(CONCATENATE(Liste!$C$3,$B$1979,$B$2121),Data!$BO:$BO,0)-2,28)=""),INDEX(Tab_DaBa[],MATCH(CONCATENATE(Liste!$C$3,$B$1979,$B$2121),Data!$BO:$BO,0)-2,13),IF(INDEX(Tab_DaBa[],MATCH(CONCATENATE(Liste!$C$3,$B$1979,$B$2121),Data!$BO:$BO,0)-2,23)&lt;&gt;"",INDEX(Tab_DaBa[],MATCH(CONCATENATE(Liste!$C$3,$B$1979,$B$2121),Data!$BO:$BO,0)-2,28),"")),"")</f>
        <v>Bez_Lo04_06</v>
      </c>
      <c r="I2125" s="38">
        <f ca="1">IF(B2131="","",6)</f>
        <v>6</v>
      </c>
    </row>
    <row r="2126" spans="2:9" s="16" customFormat="1" ht="15.75">
      <c r="B2126" s="35" t="str">
        <f ca="1">IFERROR("Performance Level: "&amp;INDEX(Tab_DaBa[],MATCH(CONCATENATE(Liste!$C$3,$B$1979,$B$2121),Data!$BO:$BO,0)-2,10),"")</f>
        <v>Performance Level: PL_Ein4_6</v>
      </c>
      <c r="C2126" s="54"/>
      <c r="D2126" s="35" t="str">
        <f ca="1">IFERROR(IF(INDEX(Tab_DaBa[],MATCH(CONCATENATE(Liste!$C$3,$B$1979,$B$2121),Data!$BO:$BO,0)-2,18)="","Performance Level: "&amp;INDEX(Tab_DaBa[],MATCH(CONCATENATE(Liste!$C$3,$B$1979,$B$2121),Data!$BO:$BO,0)-2,15),"Performance Level: "&amp;INDEX(Tab_DaBa[],MATCH(CONCATENATE(Liste!$C$3,$B$1979,$B$2121),Data!$BO:$BO,0)-2,20)),"")</f>
        <v>Performance Level: PL_Log01_04_06</v>
      </c>
      <c r="E2126" s="36"/>
      <c r="F2126" s="35" t="str">
        <f ca="1">IFERROR(IF(AND(INDEX(Tab_DaBa[],MATCH(CONCATENATE(Liste!$C$3,$B$1979,$B$2121),Data!$BO:$BO,0)-2,18)&lt;&gt;"",INDEX(Tab_DaBa[],MATCH(CONCATENATE(Liste!$C$3,$B$1979,$B$2121),Data!$BO:$BO,0)-2,23)=""),"Performance Level: "&amp;INDEX(Tab_DaBa[],MATCH(CONCATENATE(Liste!$C$3,$B$1979,$B$2121),Data!$BO:$BO,0)-2,15),IF(INDEX(Tab_DaBa[],MATCH(CONCATENATE(Liste!$C$3,$B$1979,$B$2121),Data!$BO:$BO,0)-2,23)&lt;&gt;"","Performance Level: "&amp;INDEX(Tab_DaBa[],MATCH(CONCATENATE(Liste!$C$3,$B$1979,$B$2121),Data!$BO:$BO,0)-2,25),"")),"")</f>
        <v>Performance Level: PL_Lo04_06</v>
      </c>
      <c r="G2126" s="39"/>
      <c r="H2126" s="35" t="str">
        <f ca="1">IFERROR(IF(AND(INDEX(Tab_DaBa[],MATCH(CONCATENATE(Liste!$C$3,$B$1979,$B$2121),Data!$BO:$BO,0)-2,23)&lt;&gt;"",INDEX(Tab_DaBa[],MATCH(CONCATENATE(Liste!$C$3,$B$1979,$B$2121),Data!$BO:$BO,0)-2,28)=""),"Performance Level: "&amp;INDEX(Tab_DaBa[],MATCH(CONCATENATE(Liste!$C$3,$B$1979,$B$2121),Data!$BO:$BO,0)-2,15),IF(INDEX(Tab_DaBa[],MATCH(CONCATENATE(Liste!$C$3,$B$1979,$B$2121),Data!$BO:$BO,0)-2,23)&lt;&gt;"","Performance Level: "&amp;INDEX(Tab_DaBa[],MATCH(CONCATENATE(Liste!$C$3,$B$1979,$B$2121),Data!$BO:$BO,0)-2,30),"")),"")</f>
        <v>Performance Level: PL_Lo04_06</v>
      </c>
      <c r="I2126" s="38"/>
    </row>
    <row r="2127" spans="2:9" s="16" customFormat="1" ht="15.75">
      <c r="B2127" s="53" t="str">
        <f ca="1">IFERROR("PFH [1/h] = "&amp;10^9*INDEX(Tab_DaBa[],MATCH(CONCATENATE(Liste!$C$3,$B$1979,$B$2121),Data!$BO:$BO,0)-2,11)&amp;"E-9","")</f>
        <v>PFH [1/h] = 42,9E-9</v>
      </c>
      <c r="C2127" s="54"/>
      <c r="D2127" s="35" t="str">
        <f ca="1">IFERROR(IF(INDEX(Tab_DaBa[],MATCH(CONCATENATE(Liste!$C$3,$B$1979,$B$2121),Data!$BO:$BO,0)-2,18)="","PFH [1/h] = "&amp;10^9*INDEX(Tab_DaBa[],MATCH(CONCATENATE(Liste!$C$3,$B$1979,$B$2121),Data!$BO:$BO,0)-2,16)&amp;"E-9","PFH [1/h] = "&amp;10^9*INDEX(Tab_DaBa[],MATCH(CONCATENATE(Liste!$C$3,$B$1979,$B$2121),Data!$BO:$BO,0)-2,21)&amp;"E-9"),"")</f>
        <v>PFH [1/h] = 4,19E-9</v>
      </c>
      <c r="E2127" s="36"/>
      <c r="F2127" s="35" t="str">
        <f ca="1">IFERROR(IF(AND(INDEX(Tab_DaBa[],MATCH(CONCATENATE(Liste!$C$3,$B$1979,$B$2121),Data!$BO:$BO,0)-2,18)&lt;&gt;"",INDEX(Tab_DaBa[],MATCH(CONCATENATE(Liste!$C$3,$B$1979,$B$2121),Data!$BO:$BO,0)-2,23)=""),"PFH [1/h] = "&amp;10^9*INDEX(Tab_DaBa[],MATCH(CONCATENATE(Liste!$C$3,$B$1979,$B$2121),Data!$BO:$BO,0)-2,16)&amp;"E-9",IF(INDEX(Tab_DaBa[],MATCH(CONCATENATE(Liste!$C$3,$B$1979,$B$2121),Data!$BO:$BO,0)-2,23)&lt;&gt;"","PFH [1/h] = "&amp;10^9*INDEX(Tab_DaBa[],MATCH(CONCATENATE(Liste!$C$3,$B$1979,$B$2121),Data!$BO:$BO,0)-2,26)&amp;"E-9","")),"")</f>
        <v>PFH [1/h] = 4,19E-9</v>
      </c>
      <c r="G2127" s="39"/>
      <c r="H2127" s="35" t="str">
        <f ca="1">IFERROR(IF(AND(INDEX(Tab_DaBa[],MATCH(CONCATENATE(Liste!$C$3,$B$1979,$B$2121),Data!$BO:$BO,0)-2,23)&lt;&gt;"",INDEX(Tab_DaBa[],MATCH(CONCATENATE(Liste!$C$3,$B$1979,$B$2121),Data!$BO:$BO,0)-2,28)=""),"PFH [1/h] = "&amp;10^9*INDEX(Tab_DaBa[],MATCH(CONCATENATE(Liste!$C$3,$B$1979,$B$2121),Data!$BO:$BO,0)-2,16)&amp;"E-9",IF(INDEX(Tab_DaBa[],MATCH(CONCATENATE(Liste!$C$3,$B$1979,$B$2121),Data!$BO:$BO,0)-2,23)&lt;&gt;"","PFH [1/h] = "&amp;10^9*INDEX(Tab_DaBa[],MATCH(CONCATENATE(Liste!$C$3,$B$1979,$B$2121),Data!$BO:$BO,0)-2,31)&amp;"E-9","")),"")</f>
        <v>PFH [1/h] = 4,19E-9</v>
      </c>
      <c r="I2127" s="39"/>
    </row>
    <row r="2128" spans="2:9" s="16" customFormat="1">
      <c r="B2128" s="33"/>
      <c r="C2128" s="34"/>
      <c r="D2128" s="33"/>
      <c r="E2128" s="33"/>
      <c r="F2128" s="33"/>
      <c r="G2128" s="33"/>
      <c r="H2128" s="33"/>
      <c r="I2128" s="33"/>
    </row>
    <row r="2129" spans="2:9" s="16" customFormat="1" ht="15.75">
      <c r="B2129" s="38">
        <f ca="1">IF(B2131="","",6)</f>
        <v>6</v>
      </c>
      <c r="C2129" s="34"/>
      <c r="D2129" s="38">
        <f ca="1">IF(B2131="","",3)</f>
        <v>3</v>
      </c>
      <c r="E2129" s="33"/>
      <c r="F2129" s="38">
        <f ca="1">IF(B2131="","",3)</f>
        <v>3</v>
      </c>
      <c r="G2129" s="33"/>
      <c r="H2129" s="38">
        <f ca="1">IF(B2131="","",3)</f>
        <v>3</v>
      </c>
      <c r="I2129" s="33"/>
    </row>
    <row r="2130" spans="2:9" s="16" customFormat="1" ht="15.75">
      <c r="B2130" s="39"/>
      <c r="C2130" s="33"/>
      <c r="D2130" s="33"/>
      <c r="E2130" s="33"/>
      <c r="F2130" s="33"/>
      <c r="G2130" s="33"/>
      <c r="H2130" s="33"/>
      <c r="I2130" s="33"/>
    </row>
    <row r="2131" spans="2:9" s="16" customFormat="1" ht="15.75">
      <c r="B2131" s="35" t="str">
        <f ca="1">IFERROR(IF(AND(INDEX(Tab_DaBa[],MATCH(CONCATENATE(Liste!$C$3,$B$1979,$B$2121),Data!$BO:$BO,0)-2,28)&lt;&gt;"",INDEX(Tab_DaBa[],MATCH(CONCATENATE(Liste!$C$3,$B$1979,$B$2121),Data!$BO:$BO,0)-2,33)=0),INDEX(Tab_DaBa[],MATCH(CONCATENATE(Liste!$C$3,$B$1979,$B$2121),Data!$BO:$BO,0)-2,14),IF(INDEX(Tab_DaBa[],MATCH(CONCATENATE(Liste!$C$3,$B$1979,$B$2121),Data!$BO:$BO,0)-2,28)&lt;&gt;"",INDEX(Tab_DaBa[],MATCH(CONCATENATE(Liste!$C$3,$B$1979,$B$2121),Data!$BO:$BO,0)-2,34),"")),"")</f>
        <v>Logik 04</v>
      </c>
      <c r="C2131" s="39"/>
      <c r="D2131" s="35" t="str">
        <f ca="1">IFERROR(IF(AND(INDEX(Tab_DaBa[],MATCH(CONCATENATE(Liste!$C$3,$B$1979,$B$2121),Data!$BO:$BO,0)-2,33)&lt;&gt;"",INDEX(Tab_DaBa[],MATCH(CONCATENATE(Liste!$C$3,$B$1979,$B$2121),Data!$BO:$BO,0)-2,38)=0),INDEX(Tab_DaBa[],MATCH(CONCATENATE(Liste!$C$3,$B$1979,$B$2121),Data!$BO:$BO,0)-2,14),IF(INDEX(Tab_DaBa[],MATCH(CONCATENATE(Liste!$C$3,$B$1979,$B$2121),Data!$BO:$BO,0)-2,33)&lt;&gt;"",INDEX(Tab_DaBa[],MATCH(CONCATENATE(Liste!$C$3,$B$1979,$B$2121),Data!$BO:$BO,0)-2,39),"")),"")</f>
        <v>Logik 05</v>
      </c>
      <c r="E2131" s="33"/>
      <c r="F2131" s="35" t="str">
        <f ca="1">IFERROR(IF(AND(INDEX(Tab_DaBa[],MATCH(CONCATENATE(Liste!$C$3,$B$1979,$B$2121),Data!$BO:$BO,0)-2,38)&lt;&gt;"",INDEX(Tab_DaBa[],MATCH(CONCATENATE(Liste!$C$3,$B$1979,$B$2121),Data!$BO:$BO,0)-2,43)=0),INDEX(Tab_DaBa[],MATCH(CONCATENATE(Liste!$C$3,$B$1979,$B$2121),Data!$BO:$BO,0)-2,14),IF(INDEX(Tab_DaBa[],MATCH(CONCATENATE(Liste!$C$3,$B$1979,$B$2121),Data!$BO:$BO,0)-2,38)&lt;&gt;"",INDEX(Tab_DaBa[],MATCH(CONCATENATE(Liste!$C$3,$B$1979,$B$2121),Data!$BO:$BO,0)-2,44),"")),"")</f>
        <v>Logik 06</v>
      </c>
      <c r="G2131" s="39"/>
      <c r="H2131" s="35" t="str">
        <f ca="1">IFERROR(IF(AND(INDEX(Tab_DaBa[],MATCH(CONCATENATE(Liste!$C$3,$B$1979,$B$2121),Data!$BO:$BO,0)-2,43)&lt;&gt;"",INDEX(Tab_DaBa[],MATCH(CONCATENATE(Liste!$C$3,$B$1979,$B$2121),Data!$BO:$BO,0)-2,48)=0),INDEX(Tab_DaBa[],MATCH(CONCATENATE(Liste!$C$3,$B$1979,$B$2121),Data!$BO:$BO,0)-2,14),IF(INDEX(Tab_DaBa[],MATCH(CONCATENATE(Liste!$C$3,$B$1979,$B$2121),Data!$BO:$BO,0)-2,43)&lt;&gt;"",INDEX(Tab_DaBa[],MATCH(CONCATENATE(Liste!$C$3,$B$1979,$B$2121),Data!$BO:$BO,0)-2,49),"")),"")</f>
        <v>Ausgang</v>
      </c>
      <c r="I2131" s="39"/>
    </row>
    <row r="2132" spans="2:9" s="16" customFormat="1" ht="15.75">
      <c r="B2132" s="35" t="str">
        <f ca="1">IFERROR(IF(AND(INDEX(Tab_DaBa[],MATCH(CONCATENATE(Liste!$C$3,$B$1979,$B$2121),Data!$BO:$BO,0)-2,28)&lt;&gt;"",INDEX(Tab_DaBa[],MATCH(CONCATENATE(Liste!$C$3,$B$1979,$B$2121),Data!$BO:$BO,0)-2,33)=0),INDEX(Tab_DaBa[],MATCH(CONCATENATE(Liste!$C$3,$B$1979,$B$2121),Data!$BO:$BO,0)-2,12),IF(INDEX(Tab_DaBa[],MATCH(CONCATENATE(Liste!$C$3,$B$1979,$B$2121),Data!$BO:$BO,0)-2,28)&lt;&gt;"",INDEX(Tab_DaBa[],MATCH(CONCATENATE(Liste!$C$3,$B$1979,$B$2121),Data!$BO:$BO,0)-2,32),"")),"")</f>
        <v>Lo04-44_06</v>
      </c>
      <c r="C2132" s="39"/>
      <c r="D2132" s="35" t="str">
        <f ca="1">IFERROR(IF(AND(INDEX(Tab_DaBa[],MATCH(CONCATENATE(Liste!$C$3,$B$1979,$B$2121),Data!$BO:$BO,0)-2,33)&lt;&gt;"",INDEX(Tab_DaBa[],MATCH(CONCATENATE(Liste!$C$3,$B$1979,$B$2121),Data!$BO:$BO,0)-2,38)=0),INDEX(Tab_DaBa[],MATCH(CONCATENATE(Liste!$C$3,$B$1979,$B$2121),Data!$BO:$BO,0)-2,12),IF(INDEX(Tab_DaBa[],MATCH(CONCATENATE(Liste!$C$3,$B$1979,$B$2121),Data!$BO:$BO,0)-2,33)&lt;&gt;"",INDEX(Tab_DaBa[],MATCH(CONCATENATE(Liste!$C$3,$B$1979,$B$2121),Data!$BO:$BO,0)-2,37),"")),"")</f>
        <v>Lo04-44_06</v>
      </c>
      <c r="E2132" s="37"/>
      <c r="F2132" s="35" t="str">
        <f ca="1">IFERROR(IF(AND(INDEX(Tab_DaBa[],MATCH(CONCATENATE(Liste!$C$3,$B$1979,$B$2121),Data!$BO:$BO,0)-2,38)&lt;&gt;"",INDEX(Tab_DaBa[],MATCH(CONCATENATE(Liste!$C$3,$B$1979,$B$2121),Data!$BO:$BO,0)-2,43)=0),INDEX(Tab_DaBa[],MATCH(CONCATENATE(Liste!$C$3,$B$1979,$B$2121),Data!$BO:$BO,0)-2,12),IF(INDEX(Tab_DaBa[],MATCH(CONCATENATE(Liste!$C$3,$B$1979,$B$2121),Data!$BO:$BO,0)-2,38)&lt;&gt;"",INDEX(Tab_DaBa[],MATCH(CONCATENATE(Liste!$C$3,$B$1979,$B$2121),Data!$BO:$BO,0)-2,42),"")),"")</f>
        <v>Lo03-33_06</v>
      </c>
      <c r="G2132" s="39"/>
      <c r="H2132" s="35" t="str">
        <f ca="1">IFERROR(IF(AND(INDEX(Tab_DaBa[],MATCH(CONCATENATE(Liste!$C$3,$B$1979,$B$2121),Data!$BO:$BO,0)-2,43)&lt;&gt;"",INDEX(Tab_DaBa[],MATCH(CONCATENATE(Liste!$C$3,$B$1979,$B$2121),Data!$BO:$BO,0)-2,48)=0),INDEX(Tab_DaBa[],MATCH(CONCATENATE(Liste!$C$3,$B$1979,$B$2121),Data!$BO:$BO,0)-2,12),IF(INDEX(Tab_DaBa[],MATCH(CONCATENATE(Liste!$C$3,$B$1979,$B$2121),Data!$BO:$BO,0)-2,43)&lt;&gt;"",INDEX(Tab_DaBa[],MATCH(CONCATENATE(Liste!$C$3,$B$1979,$B$2121),Data!$BO:$BO,0)-2,47),"")),"")</f>
        <v>aaaa-44_6</v>
      </c>
      <c r="I2132" s="39"/>
    </row>
    <row r="2133" spans="2:9" s="16" customFormat="1" ht="15.75">
      <c r="B2133" s="35" t="str">
        <f ca="1">IFERROR(IF(AND(INDEX(Tab_DaBa[],MATCH(CONCATENATE(Liste!$C$3,$B$1979,$B$2121),Data!$BO:$BO,0)-2,28)&lt;&gt;"",INDEX(Tab_DaBa[],MATCH(CONCATENATE(Liste!$C$3,$B$1979,$B$2121),Data!$BO:$BO,0)-2,33)=""),INDEX(Tab_DaBa[],MATCH(CONCATENATE(Liste!$C$3,$B$1979,$B$2121),Data!$BO:$BO,0)-2,13),IF(INDEX(Tab_DaBa[],MATCH(CONCATENATE(Liste!$C$3,$B$1979,$B$2121),Data!$BO:$BO,0)-2,28)&lt;&gt;"",INDEX(Tab_DaBa[],MATCH(CONCATENATE(Liste!$C$3,$B$1979,$B$2121),Data!$BO:$BO,0)-2,33),"")),"")</f>
        <v>Bez_Lo04_06</v>
      </c>
      <c r="C2133" s="38">
        <f ca="1">IF(D2131="","",4)</f>
        <v>4</v>
      </c>
      <c r="D2133" s="35" t="str">
        <f ca="1">IFERROR(IF(AND(INDEX(Tab_DaBa[],MATCH(CONCATENATE(Liste!$C$3,$B$1979,$B$2121),Data!$BO:$BO,0)-2,33)&lt;&gt;"",INDEX(Tab_DaBa[],MATCH(CONCATENATE(Liste!$C$3,$B$1979,$B$2121),Data!$BO:$BO,0)-2,38)=""),INDEX(Tab_DaBa[],MATCH(CONCATENATE(Liste!$C$3,$B$1979,$B$2121),Data!$BO:$BO,0)-2,13),IF(INDEX(Tab_DaBa[],MATCH(CONCATENATE(Liste!$C$3,$B$1979,$B$2121),Data!$BO:$BO,0)-2,33)&lt;&gt;"",INDEX(Tab_DaBa[],MATCH(CONCATENATE(Liste!$C$3,$B$1979,$B$2121),Data!$BO:$BO,0)-2,38),"")),"")</f>
        <v>Bez_Lo03_06</v>
      </c>
      <c r="E2133" s="38">
        <f ca="1">IF(F2131="","",4)</f>
        <v>4</v>
      </c>
      <c r="F2133" s="35" t="str">
        <f ca="1">IFERROR(IF(AND(INDEX(Tab_DaBa[],MATCH(CONCATENATE(Liste!$C$3,$B$1979,$B$2121),Data!$BO:$BO,0)-2,38)&lt;&gt;"",INDEX(Tab_DaBa[],MATCH(CONCATENATE(Liste!$C$3,$B$1979,$B$2121),Data!$BO:$BO,0)-2,43)=""),INDEX(Tab_DaBa[],MATCH(CONCATENATE(Liste!$C$3,$B$1979,$B$2121),Data!$BO:$BO,0)-2,13),IF(INDEX(Tab_DaBa[],MATCH(CONCATENATE(Liste!$C$3,$B$1979,$B$2121),Data!$BO:$BO,0)-2,38)&lt;&gt;"",INDEX(Tab_DaBa[],MATCH(CONCATENATE(Liste!$C$3,$B$1979,$B$2121),Data!$BO:$BO,0)-2,43),"")),"")</f>
        <v>Bez_Lo03_06</v>
      </c>
      <c r="G2133" s="38">
        <f ca="1">IF(H2131="","",4)</f>
        <v>4</v>
      </c>
      <c r="H2133" s="35" t="str">
        <f ca="1">IFERROR(IF(AND(INDEX(Tab_DaBa[],MATCH(CONCATENATE(Liste!$C$3,$B$1979,$B$2121),Data!$BO:$BO,0)-2,43)&lt;&gt;"",INDEX(Tab_DaBa[],MATCH(CONCATENATE(Liste!$C$3,$B$1979,$B$2121),Data!$BO:$BO,0)-2,48)=""),INDEX(Tab_DaBa[],MATCH(CONCATENATE(Liste!$C$3,$B$1979,$B$2121),Data!$BO:$BO,0)-2,13),IF(INDEX(Tab_DaBa[],MATCH(CONCATENATE(Liste!$C$3,$B$1979,$B$2121),Data!$BO:$BO,0)-2,43)&lt;&gt;"",INDEX(Tab_DaBa[],MATCH(CONCATENATE(Liste!$C$3,$B$1979,$B$2121),Data!$BO:$BO,0)-2,48),"")),"")</f>
        <v>Bez_Aus4_6</v>
      </c>
      <c r="I2133" s="38" t="str">
        <f ca="1">IF(B2139="","",6)</f>
        <v/>
      </c>
    </row>
    <row r="2134" spans="2:9" s="16" customFormat="1" ht="15.75">
      <c r="B2134" s="35" t="str">
        <f ca="1">IFERROR(IF(AND(INDEX(Tab_DaBa[],MATCH(CONCATENATE(Liste!$C$3,$B$1979,$B$2121),Data!$BO:$BO,0)-2,28)&lt;&gt;"",INDEX(Tab_DaBa[],MATCH(CONCATENATE(Liste!$C$3,$B$1979,$B$2121),Data!$BO:$BO,0)-2,33)=""),"Performance Level: "&amp;INDEX(Tab_DaBa[],MATCH(CONCATENATE(Liste!$C$3,$B$1979,$B$2121),Data!$BO:$BO,0)-2,15),IF(INDEX(Tab_DaBa[],MATCH(CONCATENATE(Liste!$C$3,$B$1979,$B$2121),Data!$BO:$BO,0)-2,28)&lt;&gt;"","Performance Level: "&amp;INDEX(Tab_DaBa[],MATCH(CONCATENATE(Liste!$C$3,$B$1979,$B$2121),Data!$BO:$BO,0)-2,35),"")),"")</f>
        <v>Performance Level: PL_Lo04_06</v>
      </c>
      <c r="C2134" s="39"/>
      <c r="D2134" s="35" t="str">
        <f ca="1">IFERROR(IF(AND(INDEX(Tab_DaBa[],MATCH(CONCATENATE(Liste!$C$3,$B$1979,$B$2121),Data!$BO:$BO,0)-2,33)&lt;&gt;"",INDEX(Tab_DaBa[],MATCH(CONCATENATE(Liste!$C$3,$B$1979,$B$2121),Data!$BO:$BO,0)-2,38)=""),"Performance Level: "&amp;INDEX(Tab_DaBa[],MATCH(CONCATENATE(Liste!$C$3,$B$1979,$B$2121),Data!$BO:$BO,0)-2,15),IF(INDEX(Tab_DaBa[],MATCH(CONCATENATE(Liste!$C$3,$B$1979,$B$2121),Data!$BO:$BO,0)-2,33)&lt;&gt;"","Performance Level: "&amp;INDEX(Tab_DaBa[],MATCH(CONCATENATE(Liste!$C$3,$B$1979,$B$2121),Data!$BO:$BO,0)-2,40),"")),"")</f>
        <v>Performance Level: PL_Lo03_6</v>
      </c>
      <c r="E2134" s="37"/>
      <c r="F2134" s="35" t="str">
        <f ca="1">IFERROR(IF(AND(INDEX(Tab_DaBa[],MATCH(CONCATENATE(Liste!$C$3,$B$1979,$B$2121),Data!$BO:$BO,0)-2,38)&lt;&gt;"",INDEX(Tab_DaBa[],MATCH(CONCATENATE(Liste!$C$3,$B$1979,$B$2121),Data!$BO:$BO,0)-2,43)=""),"Performance Level: "&amp;INDEX(Tab_DaBa[],MATCH(CONCATENATE(Liste!$C$3,$B$1979,$B$2121),Data!$BO:$BO,0)-2,15),IF(INDEX(Tab_DaBa[],MATCH(CONCATENATE(Liste!$C$3,$B$1979,$B$2121),Data!$BO:$BO,0)-2,38)&lt;&gt;"","Performance Level: "&amp;INDEX(Tab_DaBa[],MATCH(CONCATENATE(Liste!$C$3,$B$1979,$B$2121),Data!$BO:$BO,0)-2,45),"")),"")</f>
        <v>Performance Level: PL_Lo03_06</v>
      </c>
      <c r="G2134" s="39"/>
      <c r="H2134" s="35" t="str">
        <f ca="1">IFERROR(IF(AND(INDEX(Tab_DaBa[],MATCH(CONCATENATE(Liste!$C$3,$B$1979,$B$2121),Data!$BO:$BO,0)-2,43)&lt;&gt;"",INDEX(Tab_DaBa[],MATCH(CONCATENATE(Liste!$C$3,$B$1979,$B$2121),Data!$BO:$BO,0)-2,48)=""),"Performance Level: "&amp;INDEX(Tab_DaBa[],MATCH(CONCATENATE(Liste!$C$3,$B$1979,$B$2121),Data!$BO:$BO,0)-2,15),IF(INDEX(Tab_DaBa[],MATCH(CONCATENATE(Liste!$C$3,$B$1979,$B$2121),Data!$BO:$BO,0)-2,43)&lt;&gt;"","Performance Level: "&amp;INDEX(Tab_DaBa[],MATCH(CONCATENATE(Liste!$C$3,$B$1979,$B$2121),Data!$BO:$BO,0)-2,50),"")),"")</f>
        <v>Performance Level: PL_Aus4_6</v>
      </c>
      <c r="I2134" s="39"/>
    </row>
    <row r="2135" spans="2:9" s="16" customFormat="1" ht="15.75">
      <c r="B2135" s="35" t="str">
        <f ca="1">IFERROR(IF(AND(INDEX(Tab_DaBa[],MATCH(CONCATENATE(Liste!$C$3,$B$1979,$B$2121),Data!$BO:$BO,0)-2,28)&lt;&gt;"",INDEX(Tab_DaBa[],MATCH(CONCATENATE(Liste!$C$3,$B$1979,$B$2121),Data!$BO:$BO,0)-2,33)=""),"PFH [1/h] = "&amp;10^9*INDEX(Tab_DaBa[],MATCH(CONCATENATE(Liste!$C$3,$B$1979,$B$2121),Data!$BO:$BO,0)-2,16)&amp;"E-9",IF(INDEX(Tab_DaBa[],MATCH(CONCATENATE(Liste!$C$3,$B$1979,$B$2121),Data!$BO:$BO,0)-2,28)&lt;&gt;"","PFH [1/h] = "&amp;10^9*INDEX(Tab_DaBa[],MATCH(CONCATENATE(Liste!$C$3,$B$1979,$B$2121),Data!$BO:$BO,0)-2,36)&amp;"E-9","")),"")</f>
        <v>PFH [1/h] = 4,19E-9</v>
      </c>
      <c r="C2135" s="39"/>
      <c r="D2135" s="35" t="str">
        <f ca="1">IFERROR(IF(AND(INDEX(Tab_DaBa[],MATCH(CONCATENATE(Liste!$C$3,$B$1979,$B$2121),Data!$BO:$BO,0)-2,33)&lt;&gt;"",INDEX(Tab_DaBa[],MATCH(CONCATENATE(Liste!$C$3,$B$1979,$B$2121),Data!$BO:$BO,0)-2,38)=""),"PFH [1/h] = "&amp;10^9*INDEX(Tab_DaBa[],MATCH(CONCATENATE(Liste!$C$3,$B$1979,$B$2121),Data!$BO:$BO,0)-2,16)&amp;"E-9",IF(INDEX(Tab_DaBa[],MATCH(CONCATENATE(Liste!$C$3,$B$1979,$B$2121),Data!$BO:$BO,0)-2,33)&lt;&gt;"","PFH [1/h] = "&amp;10^9*INDEX(Tab_DaBa[],MATCH(CONCATENATE(Liste!$C$3,$B$1979,$B$2121),Data!$BO:$BO,0)-2,41)&amp;"E-9","")),"")</f>
        <v>PFH [1/h] = 4,19E-9</v>
      </c>
      <c r="E2135" s="37"/>
      <c r="F2135" s="35" t="str">
        <f ca="1">IFERROR(IF(AND(INDEX(Tab_DaBa[],MATCH(CONCATENATE(Liste!$C$3,$B$1979,$B$2121),Data!$BO:$BO,0)-2,38)&lt;&gt;"",INDEX(Tab_DaBa[],MATCH(CONCATENATE(Liste!$C$3,$B$1979,$B$2121),Data!$BO:$BO,0)-2,43)=""),"PFH [1/h] = "&amp;10^9*INDEX(Tab_DaBa[],MATCH(CONCATENATE(Liste!$C$3,$B$1979,$B$2121),Data!$BO:$BO,0)-2,16)&amp;"E-9",IF(INDEX(Tab_DaBa[],MATCH(CONCATENATE(Liste!$C$3,$B$1979,$B$2121),Data!$BO:$BO,0)-2,38)&lt;&gt;"","PFH [1/h] = "&amp;10^9*INDEX(Tab_DaBa[],MATCH(CONCATENATE(Liste!$C$3,$B$1979,$B$2121),Data!$BO:$BO,0)-2,46)&amp;"E-9","")),"")</f>
        <v>PFH [1/h] = 4,19E-9</v>
      </c>
      <c r="G2135" s="39"/>
      <c r="H2135" s="35" t="str">
        <f ca="1">IFERROR(IF(AND(INDEX(Tab_DaBa[],MATCH(CONCATENATE(Liste!$C$3,$B$1979,$B$2121),Data!$BO:$BO,0)-2,43)&lt;&gt;"",INDEX(Tab_DaBa[],MATCH(CONCATENATE(Liste!$C$3,$B$1979,$B$2121),Data!$BO:$BO,0)-2,48)=""),"PFH [1/h] = "&amp;10^9*INDEX(Tab_DaBa[],MATCH(CONCATENATE(Liste!$C$3,$B$1979,$B$2121),Data!$BO:$BO,0)-2,16)&amp;"E-9",IF(INDEX(Tab_DaBa[],MATCH(CONCATENATE(Liste!$C$3,$B$1979,$B$2121),Data!$BO:$BO,0)-2,43)&lt;&gt;"","PFH [1/h] = "&amp;10^9*INDEX(Tab_DaBa[],MATCH(CONCATENATE(Liste!$C$3,$B$1979,$B$2121),Data!$BO:$BO,0)-2,51)&amp;"E-9","")),"")</f>
        <v>PFH [1/h] = 24,7E-9</v>
      </c>
      <c r="I2135" s="39"/>
    </row>
    <row r="2136" spans="2:9" s="16" customFormat="1">
      <c r="B2136" s="33"/>
      <c r="C2136" s="33"/>
      <c r="D2136" s="33"/>
      <c r="E2136" s="33"/>
      <c r="F2136" s="33"/>
      <c r="G2136" s="33"/>
      <c r="H2136" s="33"/>
      <c r="I2136" s="33"/>
    </row>
    <row r="2137" spans="2:9" s="16" customFormat="1" ht="15.75">
      <c r="B2137" s="38" t="str">
        <f ca="1">IF(B2139="","",6)</f>
        <v/>
      </c>
      <c r="C2137" s="33"/>
      <c r="D2137" s="38" t="str">
        <f ca="1">IF(B2139="","",3)</f>
        <v/>
      </c>
      <c r="E2137" s="33"/>
      <c r="F2137" s="38" t="str">
        <f ca="1">IF(B2139="","",3)</f>
        <v/>
      </c>
      <c r="G2137" s="33"/>
      <c r="H2137" s="38" t="str">
        <f ca="1">IF(B2139="","",3)</f>
        <v/>
      </c>
      <c r="I2137" s="33"/>
    </row>
    <row r="2138" spans="2:9" s="16" customFormat="1" ht="15.75">
      <c r="B2138" s="39"/>
      <c r="C2138" s="33"/>
      <c r="D2138" s="33"/>
      <c r="E2138" s="33"/>
      <c r="F2138" s="33"/>
      <c r="G2138" s="33"/>
      <c r="H2138" s="33"/>
      <c r="I2138" s="33"/>
    </row>
    <row r="2139" spans="2:9" s="16" customFormat="1" ht="15.75">
      <c r="B2139" s="35" t="str">
        <f ca="1">IFERROR(IF(AND(INDEX(Tab_DaBa[],MATCH(CONCATENATE(Liste!$C$3,$B$1979,$B$2121),Data!$BO:$BO,0)-2,48)&lt;&gt;"",INDEX(Tab_DaBa[],MATCH(CONCATENATE(Liste!$C$3,$B$1979,$B$2121),Data!$BO:$BO,0)-2,53)=0),INDEX(Tab_DaBa[],MATCH(CONCATENATE(Liste!$C$3,$B$1979,$B$2121),Data!$BO:$BO,0)-2,14),IF(INDEX(Tab_DaBa[],MATCH(CONCATENATE(Liste!$C$3,$B$1979,$B$2121),Data!$BO:$BO,0)-2,48)&lt;&gt;"",INDEX(Tab_DaBa[],MATCH(CONCATENATE(Liste!$C$3,$B$1979,$B$2121),Data!$BO:$BO,0)-2,54),"")),"")</f>
        <v/>
      </c>
      <c r="C2139" s="39"/>
      <c r="D2139" s="35" t="str">
        <f ca="1">IFERROR(IF(AND(INDEX(Tab_DaBa[],MATCH(CONCATENATE(Liste!$C$3,$B$1979,$B$2121),Data!$BO:$BO,0)-2,53)&lt;&gt;"",INDEX(Tab_DaBa[],MATCH(CONCATENATE(Liste!$C$3,$B$1979,$B$2121),Data!$BO:$BO,0)-2,58)=0),INDEX(Tab_DaBa[],MATCH(CONCATENATE(Liste!$C$3,$B$1979,$B$2121),Data!$BO:$BO,0)-2,14),IF(INDEX(Tab_DaBa[],MATCH(CONCATENATE(Liste!$C$3,$B$1979,$B$2121),Data!$BO:$BO,0)-2,53)&lt;&gt;"",INDEX(Tab_DaBa[],MATCH(CONCATENATE(Liste!$C$3,$B$1979,$B$2121),Data!$BO:$BO,0)-2,59),"")),"")</f>
        <v/>
      </c>
      <c r="E2139" s="33"/>
      <c r="F2139" s="35" t="str">
        <f ca="1">IFERROR(IF(AND(INDEX(Tab_DaBa[],MATCH(CONCATENATE(Liste!$C$3,$B$1979,$B$2121),Data!$BO:$BO,0)-2,58)&lt;&gt;"",INDEX(Tab_DaBa[],MATCH(CONCATENATE(Liste!$C$3,$B$1979,$B$2121),Data!$BO:$BO,0)-2,63)=0),INDEX(Tab_DaBa[],MATCH(CONCATENATE(Liste!$C$3,$B$1979,$B$2121),Data!$BO:$BO,0)-2,14),IF(INDEX(Tab_DaBa[],MATCH(CONCATENATE(Liste!$C$3,$B$1979,$B$2121),Data!$BO:$BO,0)-2,58)&lt;&gt;"",INDEX(Tab_DaBa[],MATCH(CONCATENATE(Liste!$C$3,$B$1979,$B$2121),Data!$BO:$BO,0)-2,64),"")),"")</f>
        <v/>
      </c>
      <c r="G2139" s="39"/>
      <c r="H2139" s="35" t="str">
        <f ca="1">IFERROR(IF(INDEX(Tab_DaBa[],MATCH(CONCATENATE(Liste!$C$3,$B$1979,$B$2121),Data!$BO:$BO,0)-2,63)&lt;&gt;"",INDEX(Tab_DaBa[],MATCH(CONCATENATE(Liste!$C$3,$B$1979,$B$2121),Data!$BO:$BO,0)-2,14),""),"")</f>
        <v/>
      </c>
    </row>
    <row r="2140" spans="2:9" s="16" customFormat="1" ht="15.75">
      <c r="B2140" s="35" t="str">
        <f ca="1">IFERROR(IF(AND(INDEX(Tab_DaBa[],MATCH(CONCATENATE(Liste!$C$3,$B$1979,$B$2121),Data!$BO:$BO,0)-2,48)&lt;&gt;"",INDEX(Tab_DaBa[],MATCH(CONCATENATE(Liste!$C$3,$B$1979,$B$2121),Data!$BO:$BO,0)-2,53)=0),INDEX(Tab_DaBa[],MATCH(CONCATENATE(Liste!$C$3,$B$1979,$B$2121),Data!$BO:$BO,0)-2,12),IF(INDEX(Tab_DaBa[],MATCH(CONCATENATE(Liste!$C$3,$B$1979,$B$2121),Data!$BO:$BO,0)-2,48)&lt;&gt;"",INDEX(Tab_DaBa[],MATCH(CONCATENATE(Liste!$C$3,$B$1979,$B$2121),Data!$BO:$BO,0)-2,52),"")),"")</f>
        <v/>
      </c>
      <c r="C2140" s="39"/>
      <c r="D2140" s="35" t="str">
        <f ca="1">IFERROR(IF(AND(INDEX(Tab_DaBa[],MATCH(CONCATENATE(Liste!$C$3,$B$1979,$B$2121),Data!$BO:$BO,0)-2,53)&lt;&gt;"",INDEX(Tab_DaBa[],MATCH(CONCATENATE(Liste!$C$3,$B$1979,$B$2121),Data!$BO:$BO,0)-2,58)=0),INDEX(Tab_DaBa[],MATCH(CONCATENATE(Liste!$C$3,$B$1979,$B$2121),Data!$BO:$BO,0)-2,12),IF(INDEX(Tab_DaBa[],MATCH(CONCATENATE(Liste!$C$3,$B$1979,$B$2121),Data!$BO:$BO,0)-2,53)&lt;&gt;"",INDEX(Tab_DaBa[],MATCH(CONCATENATE(Liste!$C$3,$B$1979,$B$2121),Data!$BO:$BO,0)-2,57),"")),"")</f>
        <v/>
      </c>
      <c r="E2140" s="37"/>
      <c r="F2140" s="35" t="str">
        <f ca="1">IFERROR(IF(AND(INDEX(Tab_DaBa[],MATCH(CONCATENATE(Liste!$C$3,$B$1979,$B$2121),Data!$BO:$BO,0)-2,58)&lt;&gt;"",INDEX(Tab_DaBa[],MATCH(CONCATENATE(Liste!$C$3,$B$1979,$B$2121),Data!$BO:$BO,0)-2,63)=0),INDEX(Tab_DaBa[],MATCH(CONCATENATE(Liste!$C$3,$B$1979,$B$2121),Data!$BO:$BO,0)-2,12),IF(INDEX(Tab_DaBa[],MATCH(CONCATENATE(Liste!$C$3,$B$1979,$B$2121),Data!$BO:$BO,0)-2,58)&lt;&gt;"",INDEX(Tab_DaBa[],MATCH(CONCATENATE(Liste!$C$3,$B$1979,$B$2121),Data!$BO:$BO,0)-2,62),"")),"")</f>
        <v/>
      </c>
      <c r="G2140" s="39"/>
      <c r="H2140" s="35" t="str">
        <f ca="1">IFERROR(IF(INDEX(Tab_DaBa[],MATCH(CONCATENATE(Liste!$C$3,$B$1979,$B$2121),Data!$BO:$BO,0)-2,63)&lt;&gt;"",INDEX(Tab_DaBa[],MATCH(CONCATENATE(Liste!$C$3,$B$1979,$B$2121),Data!$BO:$BO,0)-2,12),""),"")</f>
        <v/>
      </c>
    </row>
    <row r="2141" spans="2:9" s="16" customFormat="1" ht="15.75">
      <c r="B2141" s="35" t="str">
        <f ca="1">IFERROR(IF(AND(INDEX(Tab_DaBa[],MATCH(CONCATENATE(Liste!$C$3,$B$1979,$B$2121),Data!$BO:$BO,0)-2,48)&lt;&gt;"",INDEX(Tab_DaBa[],MATCH(CONCATENATE(Liste!$C$3,$B$1979,$B$2121),Data!$BO:$BO,0)-2,53)=""),INDEX(Tab_DaBa[],MATCH(CONCATENATE(Liste!$C$3,$B$1979,$B$2121),Data!$BO:$BO,0)-2,13),IF(INDEX(Tab_DaBa[],MATCH(CONCATENATE(Liste!$C$3,$B$1979,$B$2121),Data!$BO:$BO,0)-2,48)&lt;&gt;"",INDEX(Tab_DaBa[],MATCH(CONCATENATE(Liste!$C$3,$B$1979,$B$2121),Data!$BO:$BO,0)-2,53),"")),"")</f>
        <v/>
      </c>
      <c r="C2141" s="38" t="str">
        <f ca="1">IF(D2139="","",4)</f>
        <v/>
      </c>
      <c r="D2141" s="35" t="str">
        <f ca="1">IFERROR(IF(AND(INDEX(Tab_DaBa[],MATCH(CONCATENATE(Liste!$C$3,$B$1979,$B$2121),Data!$BO:$BO,0)-2,53)&lt;&gt;"",INDEX(Tab_DaBa[],MATCH(CONCATENATE(Liste!$C$3,$B$1979,$B$2121),Data!$BO:$BO,0)-2,58)=""),INDEX(Tab_DaBa[],MATCH(CONCATENATE(Liste!$C$3,$B$1979,$B$2121),Data!$BO:$BO,0)-2,13),IF(INDEX(Tab_DaBa[],MATCH(CONCATENATE(Liste!$C$3,$B$1979,$B$2121),Data!$BO:$BO,0)-2,53)&lt;&gt;"",INDEX(Tab_DaBa[],MATCH(CONCATENATE(Liste!$C$3,$B$1979,$B$2121),Data!$BO:$BO,0)-2,58),"")),"")</f>
        <v/>
      </c>
      <c r="E2141" s="38" t="str">
        <f ca="1">IF(F2139="","",4)</f>
        <v/>
      </c>
      <c r="F2141" s="35" t="str">
        <f ca="1">IFERROR(IF(AND(INDEX(Tab_DaBa[],MATCH(CONCATENATE(Liste!$C$3,$B$1979,$B$2121),Data!$BO:$BO,0)-2,58)&lt;&gt;"",INDEX(Tab_DaBa[],MATCH(CONCATENATE(Liste!$C$3,$B$1979,$B$2121),Data!$BO:$BO,0)-2,63)=""),INDEX(Tab_DaBa[],MATCH(CONCATENATE(Liste!$C$3,$B$1979,$B$2121),Data!$BO:$BO,0)-2,13),IF(INDEX(Tab_DaBa[],MATCH(CONCATENATE(Liste!$C$3,$B$1979,$B$2121),Data!$BO:$BO,0)-2,58)&lt;&gt;"",INDEX(Tab_DaBa[],MATCH(CONCATENATE(Liste!$C$3,$B$1979,$B$2121),Data!$BO:$BO,0)-2,63),"")),"")</f>
        <v/>
      </c>
      <c r="G2141" s="38" t="str">
        <f ca="1">IF(H2139="","",4)</f>
        <v/>
      </c>
      <c r="H2141" s="35" t="str">
        <f ca="1">IFERROR(IF(INDEX(Tab_DaBa[],MATCH(CONCATENATE(Liste!$C$3,$B$1979,$B$2121),Data!$BO:$BO,0)-2,63)&lt;&gt;"",INDEX(Tab_DaBa[],MATCH(CONCATENATE(Liste!$C$3,$B$1979,$B$2121),Data!$BO:$BO,0)-2,13),""),"")</f>
        <v/>
      </c>
    </row>
    <row r="2142" spans="2:9" s="16" customFormat="1" ht="15.75">
      <c r="B2142" s="35" t="str">
        <f ca="1">IFERROR(IF(AND(INDEX(Tab_DaBa[],MATCH(CONCATENATE(Liste!$C$3,$B$1979,$B$2121),Data!$BO:$BO,0)-2,48)&lt;&gt;"",INDEX(Tab_DaBa[],MATCH(CONCATENATE(Liste!$C$3,$B$1979,$B$2121),Data!$BO:$BO,0)-2,53)=""),"Performance Level: "&amp;INDEX(Tab_DaBa[],MATCH(CONCATENATE(Liste!$C$3,$B$1979,$B$2121),Data!$BO:$BO,0)-2,15),IF(INDEX(Tab_DaBa[],MATCH(CONCATENATE(Liste!$C$3,$B$1979,$B$2121),Data!$BO:$BO,0)-2,48)&lt;&gt;"","Performance Level: "&amp;INDEX(Tab_DaBa[],MATCH(CONCATENATE(Liste!$C$3,$B$1979,$B$2121),Data!$BO:$BO,0)-2,55),"")),"")</f>
        <v/>
      </c>
      <c r="C2142" s="39"/>
      <c r="D2142" s="35" t="str">
        <f ca="1">IFERROR(IF(AND(INDEX(Tab_DaBa[],MATCH(CONCATENATE(Liste!$C$3,$B$1979,$B$2121),Data!$BO:$BO,0)-2,53)&lt;&gt;"",INDEX(Tab_DaBa[],MATCH(CONCATENATE(Liste!$C$3,$B$1979,$B$2121),Data!$BO:$BO,0)-2,58)=""),"Performance Level: "&amp;INDEX(Tab_DaBa[],MATCH(CONCATENATE(Liste!$C$3,$B$1979,$B$2121),Data!$BO:$BO,0)-2,15),IF(INDEX(Tab_DaBa[],MATCH(CONCATENATE(Liste!$C$3,$B$1979,$B$2121),Data!$BO:$BO,0)-2,53)&lt;&gt;"","Performance Level: "&amp;INDEX(Tab_DaBa[],MATCH(CONCATENATE(Liste!$C$3,$B$1979,$B$2121),Data!$BO:$BO,0)-2,60),"")),"")</f>
        <v/>
      </c>
      <c r="E2142" s="37"/>
      <c r="F2142" s="35" t="str">
        <f ca="1">IFERROR(IF(AND(INDEX(Tab_DaBa[],MATCH(CONCATENATE(Liste!$C$3,$B$1979,$B$2121),Data!$BO:$BO,0)-2,58)&lt;&gt;"",INDEX(Tab_DaBa[],MATCH(CONCATENATE(Liste!$C$3,$B$1979,$B$2121),Data!$BO:$BO,0)-2,63)=""),"Performance Level: "&amp;INDEX(Tab_DaBa[],MATCH(CONCATENATE(Liste!$C$3,$B$1979,$B$2121),Data!$BO:$BO,0)-2,15),IF(INDEX(Tab_DaBa[],MATCH(CONCATENATE(Liste!$C$3,$B$1979,$B$2121),Data!$BO:$BO,0)-2,58)&lt;&gt;"","Performance Level: "&amp;INDEX(Tab_DaBa[],MATCH(CONCATENATE(Liste!$C$3,$B$1979,$B$2121),Data!$BO:$BO,0)-2,65),"")),"")</f>
        <v/>
      </c>
      <c r="G2142" s="39"/>
      <c r="H2142" s="35" t="str">
        <f ca="1">IFERROR(IF(INDEX(Tab_DaBa[],MATCH(CONCATENATE(Liste!$C$3,$B$1979,$B$2121),Data!$BO:$BO,0)-2,63)&lt;&gt;"","Performance Level: "&amp;INDEX(Tab_DaBa[],MATCH(CONCATENATE(Liste!$C$3,$B$1979,$B$2121),Data!$BO:$BO,0)-2,15),""),"")</f>
        <v/>
      </c>
    </row>
    <row r="2143" spans="2:9" s="16" customFormat="1" ht="15.75">
      <c r="B2143" s="35" t="str">
        <f ca="1">IFERROR(IF(AND(INDEX(Tab_DaBa[],MATCH(CONCATENATE(Liste!$C$3,$B$1979,$B$2121),Data!$BO:$BO,0)-2,48)&lt;&gt;"",INDEX(Tab_DaBa[],MATCH(CONCATENATE(Liste!$C$3,$B$1979,$B$2121),Data!$BO:$BO,0)-2,53)=""),"PFH [1/h] = "&amp;10^9*INDEX(Tab_DaBa[],MATCH(CONCATENATE(Liste!$C$3,$B$1979,$B$2121),Data!$BO:$BO,0)-2,16)&amp;"E-9",IF(INDEX(Tab_DaBa[],MATCH(CONCATENATE(Liste!$C$3,$B$1979,$B$2121),Data!$BO:$BO,0)-2,48)&lt;&gt;"","PFH [1/h] = "&amp;10^9*INDEX(Tab_DaBa[],MATCH(CONCATENATE(Liste!$C$3,$B$1979,$B$2121),Data!$BO:$BO,0)-2,56)&amp;"E-9","")),"")</f>
        <v/>
      </c>
      <c r="C2143" s="39"/>
      <c r="D2143" s="35" t="str">
        <f ca="1">IFERROR(IF(AND(INDEX(Tab_DaBa[],MATCH(CONCATENATE(Liste!$C$3,$B$1979,$B$2121),Data!$BO:$BO,0)-2,53)&lt;&gt;"",INDEX(Tab_DaBa[],MATCH(CONCATENATE(Liste!$C$3,$B$1979,$B$2121),Data!$BO:$BO,0)-2,58)=""),"PFH [1/h] = "&amp;10^9*INDEX(Tab_DaBa[],MATCH(CONCATENATE(Liste!$C$3,$B$1979,$B$2121),Data!$BO:$BO,0)-2,16)&amp;"E-9",IF(INDEX(Tab_DaBa[],MATCH(CONCATENATE(Liste!$C$3,$B$1979,$B$2121),Data!$BO:$BO,0)-2,53)&lt;&gt;"","PFH [1/h] = "&amp;10^9*INDEX(Tab_DaBa[],MATCH(CONCATENATE(Liste!$C$3,$B$1979,$B$2121),Data!$BO:$BO,0)-2,61)&amp;"E-9","")),"")</f>
        <v/>
      </c>
      <c r="E2143" s="37"/>
      <c r="F2143" s="35" t="str">
        <f ca="1">IFERROR(IF(AND(INDEX(Tab_DaBa[],MATCH(CONCATENATE(Liste!$C$3,$B$1979,$B$2121),Data!$BO:$BO,0)-2,58)&lt;&gt;"",INDEX(Tab_DaBa[],MATCH(CONCATENATE(Liste!$C$3,$B$1979,$B$2121),Data!$BO:$BO,0)-2,63)=""),"PFH [1/h] = "&amp;10^9*INDEX(Tab_DaBa[],MATCH(CONCATENATE(Liste!$C$3,$B$1979,$B$2121),Data!$BO:$BO,0)-2,16)&amp;"E-9",IF(INDEX(Tab_DaBa[],MATCH(CONCATENATE(Liste!$C$3,$B$1979,$B$2121),Data!$BO:$BO,0)-2,58)&lt;&gt;"","PFH [1/h] = "&amp;10^9*INDEX(Tab_DaBa[],MATCH(CONCATENATE(Liste!$C$3,$B$1979,$B$2121),Data!$BO:$BO,0)-2,66)&amp;"E-9","")),"")</f>
        <v/>
      </c>
      <c r="G2143" s="39"/>
      <c r="H2143" s="35" t="str">
        <f ca="1">IFERROR(IF(INDEX(Tab_DaBa[],MATCH(CONCATENATE(Liste!$C$3,$B$1979,$B$2121),Data!$BO:$BO,0)-2,63)&lt;&gt;"","PFH [1/h] = "&amp;10^9*INDEX(Tab_DaBa[],MATCH(CONCATENATE(Liste!$C$3,$B$1979,$B$2121),Data!$BO:$BO,0)-2,16)&amp;"E-9",""),"")</f>
        <v/>
      </c>
    </row>
    <row r="2144" spans="2:9" s="16" customFormat="1"/>
    <row r="2145" spans="2:9" s="16" customFormat="1">
      <c r="B2145" s="43" t="str">
        <f ca="1">IF(D2145="","","Erforderlich")</f>
        <v>Erforderlich</v>
      </c>
      <c r="D2145" s="44" t="str">
        <f ca="1">IFERROR("Performance Level: "&amp;INDEX(Tab_DaBa[],MATCH(CONCATENATE(Liste!$C$3,$B$1979,$B$2121),Data!$BO:$BO,0)-2,4),"")</f>
        <v>Performance Level: PLr_ges4_6</v>
      </c>
    </row>
    <row r="2146" spans="2:9" s="16" customFormat="1">
      <c r="B2146" s="45"/>
    </row>
    <row r="2147" spans="2:9" s="16" customFormat="1">
      <c r="B2147" s="46" t="str">
        <f ca="1">IF(D2147="","","Erreicht")</f>
        <v>Erreicht</v>
      </c>
      <c r="D2147" s="47" t="str">
        <f ca="1">IFERROR("Performance Level: "&amp;INDEX(Tab_DaBa[],MATCH(CONCATENATE(Liste!$C$3,$B$1979,$B$2121),Data!$BO:$BO,0)-2,5)&amp;"          PFH [1/h] = "&amp;10^9*INDEX(Tab_DaBa[],MATCH(CONCATENATE(Liste!$C$3,$B$1979,$B$2121),Data!$BO:$BO,0)-2,6)&amp;"E-9","")</f>
        <v>Performance Level: Pl_ges4_6          PFH [1/h] = 71,7E-9</v>
      </c>
    </row>
    <row r="2148" spans="2:9" s="16" customFormat="1"/>
    <row r="2149" spans="2:9" s="16" customFormat="1">
      <c r="B2149" s="42" t="str">
        <f ca="1">IFERROR(IF(7&gt;COUNTIF(Data!$BP:$BP,CONCATENATE(Liste!$C$3,$B$1979)),"",INDEX(Tab_DaBa[],MATCH(CONCATENATE(Liste!$C$3,$B$1979),Data!$BP:$BP,0)+4,3)),"")</f>
        <v>8.7 Test08 (E+7L+A)</v>
      </c>
    </row>
    <row r="2150" spans="2:9" s="16" customFormat="1"/>
    <row r="2151" spans="2:9" s="16" customFormat="1" ht="15.75">
      <c r="B2151" s="35" t="str">
        <f ca="1">IFERROR(INDEX(Tab_DaBa[],MATCH(CONCATENATE(Liste!$C$3,$B$1979,$B$2149),Data!$BO:$BO,0)-2,9),"")</f>
        <v>Eingang</v>
      </c>
      <c r="C2151" s="54"/>
      <c r="D2151" s="35" t="str">
        <f ca="1">IFERROR(IF(INDEX(Tab_DaBa[],MATCH(CONCATENATE(Liste!$C$3,$B$1979,$B$2149),Data!$BO:$BO,0)-2,18)=0,INDEX(Tab_DaBa[],MATCH(CONCATENATE(Liste!$C$3,$B$1979,$B$2149),Data!$BO:$BO,0)-2,14),INDEX(Tab_DaBa[],MATCH(CONCATENATE(Liste!$C$3,$B$1979,$B$2149),Data!$BO:$BO,0)-2,19)),"")</f>
        <v>Logik 01</v>
      </c>
      <c r="E2151" s="33"/>
      <c r="F2151" s="35" t="str">
        <f ca="1">IFERROR(IF(AND(INDEX(Tab_DaBa[],MATCH(CONCATENATE(Liste!$C$3,$B$1979,$B$2149),Data!$BO:$BO,0)-2,18)&lt;&gt;"",INDEX(Tab_DaBa[],MATCH(CONCATENATE(Liste!$C$3,$B$1979,$B$2149),Data!$BO:$BO,0)-2,23)=0),INDEX(Tab_DaBa[],MATCH(CONCATENATE(Liste!$C$3,$B$1979,$B$2149),Data!$BO:$BO,0)-2,14),IF(INDEX(Tab_DaBa[],MATCH(CONCATENATE(Liste!$C$3,$B$1979,$B$2149),Data!$BO:$BO,0)-2,23)&lt;&gt;"",INDEX(Tab_DaBa[],MATCH(CONCATENATE(Liste!$C$3,$B$1979,$B$2149),Data!$BO:$BO,0)-2,24),"")),"")</f>
        <v>Logik 02</v>
      </c>
      <c r="G2151" s="39"/>
      <c r="H2151" s="35" t="str">
        <f ca="1">IFERROR(IF(AND(INDEX(Tab_DaBa[],MATCH(CONCATENATE(Liste!$C$3,$B$1979,$B$2149),Data!$BO:$BO,0)-2,23)&lt;&gt;"",INDEX(Tab_DaBa[],MATCH(CONCATENATE(Liste!$C$3,$B$1979,$B$2149),Data!$BO:$BO,0)-2,28)=0),INDEX(Tab_DaBa[],MATCH(CONCATENATE(Liste!$C$3,$B$1979,$B$2149),Data!$BO:$BO,0)-2,14),IF(INDEX(Tab_DaBa[],MATCH(CONCATENATE(Liste!$C$3,$B$1979,$B$2149),Data!$BO:$BO,0)-2,23)&lt;&gt;"",INDEX(Tab_DaBa[],MATCH(CONCATENATE(Liste!$C$3,$B$1979,$B$2149),Data!$BO:$BO,0)-2,29),"")),"")</f>
        <v>Logik 03</v>
      </c>
      <c r="I2151" s="39"/>
    </row>
    <row r="2152" spans="2:9" s="16" customFormat="1" ht="15.75">
      <c r="B2152" s="35" t="str">
        <f ca="1">IFERROR(INDEX(Tab_DaBa[],MATCH(CONCATENATE(Liste!$C$3,$B$1979,$B$2149),Data!$BO:$BO,0)-2,7),"")</f>
        <v>eeee-33_7</v>
      </c>
      <c r="C2152" s="54"/>
      <c r="D2152" s="35" t="str">
        <f ca="1">IFERROR(IF(INDEX(Tab_DaBa[],MATCH(CONCATENATE(Liste!$C$3,$B$1979,$B$2149),Data!$BO:$BO,0)-2,18)="",INDEX(Tab_DaBa[],MATCH(CONCATENATE(Liste!$C$3,$B$1979,$B$2149),Data!$BO:$BO,0)-2,12),INDEX(Tab_DaBa[],MATCH(CONCATENATE(Liste!$C$3,$B$1979,$B$2149),Data!$BO:$BO,0)-2,17)),"")</f>
        <v>Log01-04_07</v>
      </c>
      <c r="E2152" s="36"/>
      <c r="F2152" s="35" t="str">
        <f ca="1">IFERROR(IF(AND(INDEX(Tab_DaBa[],MATCH(CONCATENATE(Liste!$C$3,$B$1979,$B$2149),Data!$BO:$BO,0)-2,18)&lt;&gt;"",INDEX(Tab_DaBa[],MATCH(CONCATENATE(Liste!$C$3,$B$1979,$B$2149),Data!$BO:$BO,0)-2,23)=0),INDEX(Tab_DaBa[],MATCH(CONCATENATE(Liste!$C$3,$B$1979,$B$2149),Data!$BO:$BO,0)-2,12),IF(INDEX(Tab_DaBa[],MATCH(CONCATENATE(Liste!$C$3,$B$1979,$B$2149),Data!$BO:$BO,0)-2,23)&lt;&gt;"",INDEX(Tab_DaBa[],MATCH(CONCATENATE(Liste!$C$3,$B$1979,$B$2149),Data!$BO:$BO,0)-2,22),"")),"")</f>
        <v>Lo04-04_07</v>
      </c>
      <c r="G2152" s="39"/>
      <c r="H2152" s="35" t="str">
        <f ca="1">IFERROR(IF(AND(INDEX(Tab_DaBa[],MATCH(CONCATENATE(Liste!$C$3,$B$1979,$B$2149),Data!$BO:$BO,0)-2,23)&lt;&gt;"",INDEX(Tab_DaBa[],MATCH(CONCATENATE(Liste!$C$3,$B$1979,$B$2149),Data!$BO:$BO,0)-2,28)=0),INDEX(Tab_DaBa[],MATCH(CONCATENATE(Liste!$C$3,$B$1979,$B$2149),Data!$BO:$BO,0)-2,12),IF(INDEX(Tab_DaBa[],MATCH(CONCATENATE(Liste!$C$3,$B$1979,$B$2149),Data!$BO:$BO,0)-2,23)&lt;&gt;"",INDEX(Tab_DaBa[],MATCH(CONCATENATE(Liste!$C$3,$B$1979,$B$2149),Data!$BO:$BO,0)-2,27),"")),"")</f>
        <v>Lo04-44_07</v>
      </c>
      <c r="I2152" s="39"/>
    </row>
    <row r="2153" spans="2:9" s="16" customFormat="1" ht="15.75">
      <c r="B2153" s="35" t="str">
        <f ca="1">IFERROR(INDEX(Tab_DaBa[],MATCH(CONCATENATE(Liste!$C$3,$B$1979,$B$2149),Data!$BO:$BO,0)-2,8),"")</f>
        <v>Bez_Ein4_7</v>
      </c>
      <c r="C2153" s="40">
        <f ca="1">IF(D2151="","",4)</f>
        <v>4</v>
      </c>
      <c r="D2153" s="35" t="str">
        <f ca="1">IFERROR(IF(INDEX(Tab_DaBa[],MATCH(CONCATENATE(Liste!$C$3,$B$1979,$B$2149),Data!$BO:$BO,0)-2,18)="",INDEX(Tab_DaBa[],MATCH(CONCATENATE(Liste!$C$3,$B$1979,$B$2149),Data!$BO:$BO,0)-2,13),INDEX(Tab_DaBa[],MATCH(CONCATENATE(Liste!$C$3,$B$1979,$B$2149),Data!$BO:$BO,0)-2,18)),"")</f>
        <v>Bez_Log01_04_07</v>
      </c>
      <c r="E2153" s="40">
        <f ca="1">IF(F2151="","",4)</f>
        <v>4</v>
      </c>
      <c r="F2153" s="35" t="str">
        <f ca="1">IFERROR(IF(AND(INDEX(Tab_DaBa[],MATCH(CONCATENATE(Liste!$C$3,$B$1979,$B$2149),Data!$BO:$BO,0)-2,18)&lt;&gt;"",INDEX(Tab_DaBa[],MATCH(CONCATENATE(Liste!$C$3,$B$1979,$B$2149),Data!$BO:$BO,0)-2,23)=""),INDEX(Tab_DaBa[],MATCH(CONCATENATE(Liste!$C$3,$B$1979,$B$2149),Data!$BO:$BO,0)-2,13),IF(INDEX(Tab_DaBa[],MATCH(CONCATENATE(Liste!$C$3,$B$1979,$B$2149),Data!$BO:$BO,0)-2,23)&lt;&gt;"",INDEX(Tab_DaBa[],MATCH(CONCATENATE(Liste!$C$3,$B$1979,$B$2149),Data!$BO:$BO,0)-2,23),"")),"")</f>
        <v>Bez_Lo04_07</v>
      </c>
      <c r="G2153" s="38">
        <f ca="1">IF(H2151="","",4)</f>
        <v>4</v>
      </c>
      <c r="H2153" s="35" t="str">
        <f ca="1">IFERROR(IF(AND(INDEX(Tab_DaBa[],MATCH(CONCATENATE(Liste!$C$3,$B$1979,$B$2149),Data!$BO:$BO,0)-2,23)&lt;&gt;"",INDEX(Tab_DaBa[],MATCH(CONCATENATE(Liste!$C$3,$B$1979,$B$2149),Data!$BO:$BO,0)-2,28)=""),INDEX(Tab_DaBa[],MATCH(CONCATENATE(Liste!$C$3,$B$1979,$B$2149),Data!$BO:$BO,0)-2,13),IF(INDEX(Tab_DaBa[],MATCH(CONCATENATE(Liste!$C$3,$B$1979,$B$2149),Data!$BO:$BO,0)-2,23)&lt;&gt;"",INDEX(Tab_DaBa[],MATCH(CONCATENATE(Liste!$C$3,$B$1979,$B$2149),Data!$BO:$BO,0)-2,28),"")),"")</f>
        <v>Bez_Lo04_07</v>
      </c>
      <c r="I2153" s="38">
        <f ca="1">IF(B2159="","",6)</f>
        <v>6</v>
      </c>
    </row>
    <row r="2154" spans="2:9" s="16" customFormat="1" ht="15.75">
      <c r="B2154" s="35" t="str">
        <f ca="1">IFERROR("Performance Level: "&amp;INDEX(Tab_DaBa[],MATCH(CONCATENATE(Liste!$C$3,$B$1979,$B$2149),Data!$BO:$BO,0)-2,10),"")</f>
        <v>Performance Level: PL_Ein4_7</v>
      </c>
      <c r="C2154" s="54"/>
      <c r="D2154" s="35" t="str">
        <f ca="1">IFERROR(IF(INDEX(Tab_DaBa[],MATCH(CONCATENATE(Liste!$C$3,$B$1979,$B$2149),Data!$BO:$BO,0)-2,18)="","Performance Level: "&amp;INDEX(Tab_DaBa[],MATCH(CONCATENATE(Liste!$C$3,$B$1979,$B$2149),Data!$BO:$BO,0)-2,15),"Performance Level: "&amp;INDEX(Tab_DaBa[],MATCH(CONCATENATE(Liste!$C$3,$B$1979,$B$2149),Data!$BO:$BO,0)-2,20)),"")</f>
        <v>Performance Level: PL_Log01_04_07</v>
      </c>
      <c r="E2154" s="36"/>
      <c r="F2154" s="35" t="str">
        <f ca="1">IFERROR(IF(AND(INDEX(Tab_DaBa[],MATCH(CONCATENATE(Liste!$C$3,$B$1979,$B$2149),Data!$BO:$BO,0)-2,18)&lt;&gt;"",INDEX(Tab_DaBa[],MATCH(CONCATENATE(Liste!$C$3,$B$1979,$B$2149),Data!$BO:$BO,0)-2,23)=""),"Performance Level: "&amp;INDEX(Tab_DaBa[],MATCH(CONCATENATE(Liste!$C$3,$B$1979,$B$2149),Data!$BO:$BO,0)-2,15),IF(INDEX(Tab_DaBa[],MATCH(CONCATENATE(Liste!$C$3,$B$1979,$B$2149),Data!$BO:$BO,0)-2,23)&lt;&gt;"","Performance Level: "&amp;INDEX(Tab_DaBa[],MATCH(CONCATENATE(Liste!$C$3,$B$1979,$B$2149),Data!$BO:$BO,0)-2,25),"")),"")</f>
        <v>Performance Level: PL_Lo04_07</v>
      </c>
      <c r="G2154" s="39"/>
      <c r="H2154" s="35" t="str">
        <f ca="1">IFERROR(IF(AND(INDEX(Tab_DaBa[],MATCH(CONCATENATE(Liste!$C$3,$B$1979,$B$2149),Data!$BO:$BO,0)-2,23)&lt;&gt;"",INDEX(Tab_DaBa[],MATCH(CONCATENATE(Liste!$C$3,$B$1979,$B$2149),Data!$BO:$BO,0)-2,28)=""),"Performance Level: "&amp;INDEX(Tab_DaBa[],MATCH(CONCATENATE(Liste!$C$3,$B$1979,$B$2149),Data!$BO:$BO,0)-2,15),IF(INDEX(Tab_DaBa[],MATCH(CONCATENATE(Liste!$C$3,$B$1979,$B$2149),Data!$BO:$BO,0)-2,23)&lt;&gt;"","Performance Level: "&amp;INDEX(Tab_DaBa[],MATCH(CONCATENATE(Liste!$C$3,$B$1979,$B$2149),Data!$BO:$BO,0)-2,30),"")),"")</f>
        <v>Performance Level: PL_Lo04_07</v>
      </c>
      <c r="I2154" s="38"/>
    </row>
    <row r="2155" spans="2:9" s="16" customFormat="1" ht="15.75">
      <c r="B2155" s="53" t="str">
        <f ca="1">IFERROR("PFH [1/h] = "&amp;10^9*INDEX(Tab_DaBa[],MATCH(CONCATENATE(Liste!$C$3,$B$1979,$B$2149),Data!$BO:$BO,0)-2,11)&amp;"E-9","")</f>
        <v>PFH [1/h] = 42,9E-9</v>
      </c>
      <c r="C2155" s="54"/>
      <c r="D2155" s="35" t="str">
        <f ca="1">IFERROR(IF(INDEX(Tab_DaBa[],MATCH(CONCATENATE(Liste!$C$3,$B$1979,$B$2149),Data!$BO:$BO,0)-2,18)="","PFH [1/h] = "&amp;10^9*INDEX(Tab_DaBa[],MATCH(CONCATENATE(Liste!$C$3,$B$1979,$B$2149),Data!$BO:$BO,0)-2,16)&amp;"E-9","PFH [1/h] = "&amp;10^9*INDEX(Tab_DaBa[],MATCH(CONCATENATE(Liste!$C$3,$B$1979,$B$2149),Data!$BO:$BO,0)-2,21)&amp;"E-9"),"")</f>
        <v>PFH [1/h] = 4,19E-9</v>
      </c>
      <c r="E2155" s="36"/>
      <c r="F2155" s="35" t="str">
        <f ca="1">IFERROR(IF(AND(INDEX(Tab_DaBa[],MATCH(CONCATENATE(Liste!$C$3,$B$1979,$B$2149),Data!$BO:$BO,0)-2,18)&lt;&gt;"",INDEX(Tab_DaBa[],MATCH(CONCATENATE(Liste!$C$3,$B$1979,$B$2149),Data!$BO:$BO,0)-2,23)=""),"PFH [1/h] = "&amp;10^9*INDEX(Tab_DaBa[],MATCH(CONCATENATE(Liste!$C$3,$B$1979,$B$2149),Data!$BO:$BO,0)-2,16)&amp;"E-9",IF(INDEX(Tab_DaBa[],MATCH(CONCATENATE(Liste!$C$3,$B$1979,$B$2149),Data!$BO:$BO,0)-2,23)&lt;&gt;"","PFH [1/h] = "&amp;10^9*INDEX(Tab_DaBa[],MATCH(CONCATENATE(Liste!$C$3,$B$1979,$B$2149),Data!$BO:$BO,0)-2,26)&amp;"E-9","")),"")</f>
        <v>PFH [1/h] = 4,19E-9</v>
      </c>
      <c r="G2155" s="39"/>
      <c r="H2155" s="35" t="str">
        <f ca="1">IFERROR(IF(AND(INDEX(Tab_DaBa[],MATCH(CONCATENATE(Liste!$C$3,$B$1979,$B$2149),Data!$BO:$BO,0)-2,23)&lt;&gt;"",INDEX(Tab_DaBa[],MATCH(CONCATENATE(Liste!$C$3,$B$1979,$B$2149),Data!$BO:$BO,0)-2,28)=""),"PFH [1/h] = "&amp;10^9*INDEX(Tab_DaBa[],MATCH(CONCATENATE(Liste!$C$3,$B$1979,$B$2149),Data!$BO:$BO,0)-2,16)&amp;"E-9",IF(INDEX(Tab_DaBa[],MATCH(CONCATENATE(Liste!$C$3,$B$1979,$B$2149),Data!$BO:$BO,0)-2,23)&lt;&gt;"","PFH [1/h] = "&amp;10^9*INDEX(Tab_DaBa[],MATCH(CONCATENATE(Liste!$C$3,$B$1979,$B$2149),Data!$BO:$BO,0)-2,31)&amp;"E-9","")),"")</f>
        <v>PFH [1/h] = 4,19E-9</v>
      </c>
      <c r="I2155" s="39"/>
    </row>
    <row r="2156" spans="2:9" s="16" customFormat="1">
      <c r="B2156" s="33"/>
      <c r="C2156" s="34"/>
      <c r="D2156" s="33"/>
      <c r="E2156" s="33"/>
      <c r="F2156" s="33"/>
      <c r="G2156" s="33"/>
      <c r="H2156" s="33"/>
      <c r="I2156" s="33"/>
    </row>
    <row r="2157" spans="2:9" s="16" customFormat="1" ht="15.75">
      <c r="B2157" s="38">
        <f ca="1">IF(B2159="","",6)</f>
        <v>6</v>
      </c>
      <c r="C2157" s="34"/>
      <c r="D2157" s="38">
        <f ca="1">IF(B2159="","",3)</f>
        <v>3</v>
      </c>
      <c r="E2157" s="33"/>
      <c r="F2157" s="38">
        <f ca="1">IF(B2159="","",3)</f>
        <v>3</v>
      </c>
      <c r="G2157" s="33"/>
      <c r="H2157" s="38">
        <f ca="1">IF(B2159="","",3)</f>
        <v>3</v>
      </c>
      <c r="I2157" s="33"/>
    </row>
    <row r="2158" spans="2:9" s="16" customFormat="1" ht="15.75">
      <c r="B2158" s="39"/>
      <c r="C2158" s="33"/>
      <c r="D2158" s="33"/>
      <c r="E2158" s="33"/>
      <c r="F2158" s="33"/>
      <c r="G2158" s="33"/>
      <c r="H2158" s="33"/>
      <c r="I2158" s="33"/>
    </row>
    <row r="2159" spans="2:9" s="16" customFormat="1" ht="15.75">
      <c r="B2159" s="35" t="str">
        <f ca="1">IFERROR(IF(AND(INDEX(Tab_DaBa[],MATCH(CONCATENATE(Liste!$C$3,$B$1979,$B$2149),Data!$BO:$BO,0)-2,28)&lt;&gt;"",INDEX(Tab_DaBa[],MATCH(CONCATENATE(Liste!$C$3,$B$1979,$B$2149),Data!$BO:$BO,0)-2,33)=0),INDEX(Tab_DaBa[],MATCH(CONCATENATE(Liste!$C$3,$B$1979,$B$2149),Data!$BO:$BO,0)-2,14),IF(INDEX(Tab_DaBa[],MATCH(CONCATENATE(Liste!$C$3,$B$1979,$B$2149),Data!$BO:$BO,0)-2,28)&lt;&gt;"",INDEX(Tab_DaBa[],MATCH(CONCATENATE(Liste!$C$3,$B$1979,$B$2149),Data!$BO:$BO,0)-2,34),"")),"")</f>
        <v>Logik 04</v>
      </c>
      <c r="C2159" s="39"/>
      <c r="D2159" s="35" t="str">
        <f ca="1">IFERROR(IF(AND(INDEX(Tab_DaBa[],MATCH(CONCATENATE(Liste!$C$3,$B$1979,$B$2149),Data!$BO:$BO,0)-2,33)&lt;&gt;"",INDEX(Tab_DaBa[],MATCH(CONCATENATE(Liste!$C$3,$B$1979,$B$2149),Data!$BO:$BO,0)-2,38)=0),INDEX(Tab_DaBa[],MATCH(CONCATENATE(Liste!$C$3,$B$1979,$B$2149),Data!$BO:$BO,0)-2,14),IF(INDEX(Tab_DaBa[],MATCH(CONCATENATE(Liste!$C$3,$B$1979,$B$2149),Data!$BO:$BO,0)-2,33)&lt;&gt;"",INDEX(Tab_DaBa[],MATCH(CONCATENATE(Liste!$C$3,$B$1979,$B$2149),Data!$BO:$BO,0)-2,39),"")),"")</f>
        <v>Logik 05</v>
      </c>
      <c r="E2159" s="33"/>
      <c r="F2159" s="35" t="str">
        <f ca="1">IFERROR(IF(AND(INDEX(Tab_DaBa[],MATCH(CONCATENATE(Liste!$C$3,$B$1979,$B$2149),Data!$BO:$BO,0)-2,38)&lt;&gt;"",INDEX(Tab_DaBa[],MATCH(CONCATENATE(Liste!$C$3,$B$1979,$B$2149),Data!$BO:$BO,0)-2,43)=0),INDEX(Tab_DaBa[],MATCH(CONCATENATE(Liste!$C$3,$B$1979,$B$2149),Data!$BO:$BO,0)-2,14),IF(INDEX(Tab_DaBa[],MATCH(CONCATENATE(Liste!$C$3,$B$1979,$B$2149),Data!$BO:$BO,0)-2,38)&lt;&gt;"",INDEX(Tab_DaBa[],MATCH(CONCATENATE(Liste!$C$3,$B$1979,$B$2149),Data!$BO:$BO,0)-2,44),"")),"")</f>
        <v>Logik 06</v>
      </c>
      <c r="G2159" s="39"/>
      <c r="H2159" s="35" t="str">
        <f ca="1">IFERROR(IF(AND(INDEX(Tab_DaBa[],MATCH(CONCATENATE(Liste!$C$3,$B$1979,$B$2149),Data!$BO:$BO,0)-2,43)&lt;&gt;"",INDEX(Tab_DaBa[],MATCH(CONCATENATE(Liste!$C$3,$B$1979,$B$2149),Data!$BO:$BO,0)-2,48)=0),INDEX(Tab_DaBa[],MATCH(CONCATENATE(Liste!$C$3,$B$1979,$B$2149),Data!$BO:$BO,0)-2,14),IF(INDEX(Tab_DaBa[],MATCH(CONCATENATE(Liste!$C$3,$B$1979,$B$2149),Data!$BO:$BO,0)-2,43)&lt;&gt;"",INDEX(Tab_DaBa[],MATCH(CONCATENATE(Liste!$C$3,$B$1979,$B$2149),Data!$BO:$BO,0)-2,49),"")),"")</f>
        <v>Logik 07</v>
      </c>
      <c r="I2159" s="39"/>
    </row>
    <row r="2160" spans="2:9" s="16" customFormat="1" ht="15.75">
      <c r="B2160" s="35" t="str">
        <f ca="1">IFERROR(IF(AND(INDEX(Tab_DaBa[],MATCH(CONCATENATE(Liste!$C$3,$B$1979,$B$2149),Data!$BO:$BO,0)-2,28)&lt;&gt;"",INDEX(Tab_DaBa[],MATCH(CONCATENATE(Liste!$C$3,$B$1979,$B$2149),Data!$BO:$BO,0)-2,33)=0),INDEX(Tab_DaBa[],MATCH(CONCATENATE(Liste!$C$3,$B$1979,$B$2149),Data!$BO:$BO,0)-2,12),IF(INDEX(Tab_DaBa[],MATCH(CONCATENATE(Liste!$C$3,$B$1979,$B$2149),Data!$BO:$BO,0)-2,28)&lt;&gt;"",INDEX(Tab_DaBa[],MATCH(CONCATENATE(Liste!$C$3,$B$1979,$B$2149),Data!$BO:$BO,0)-2,32),"")),"")</f>
        <v>Lo04-44_07</v>
      </c>
      <c r="C2160" s="39"/>
      <c r="D2160" s="35" t="str">
        <f ca="1">IFERROR(IF(AND(INDEX(Tab_DaBa[],MATCH(CONCATENATE(Liste!$C$3,$B$1979,$B$2149),Data!$BO:$BO,0)-2,33)&lt;&gt;"",INDEX(Tab_DaBa[],MATCH(CONCATENATE(Liste!$C$3,$B$1979,$B$2149),Data!$BO:$BO,0)-2,38)=0),INDEX(Tab_DaBa[],MATCH(CONCATENATE(Liste!$C$3,$B$1979,$B$2149),Data!$BO:$BO,0)-2,12),IF(INDEX(Tab_DaBa[],MATCH(CONCATENATE(Liste!$C$3,$B$1979,$B$2149),Data!$BO:$BO,0)-2,33)&lt;&gt;"",INDEX(Tab_DaBa[],MATCH(CONCATENATE(Liste!$C$3,$B$1979,$B$2149),Data!$BO:$BO,0)-2,37),"")),"")</f>
        <v>Lo04-44_07</v>
      </c>
      <c r="E2160" s="37"/>
      <c r="F2160" s="35" t="str">
        <f ca="1">IFERROR(IF(AND(INDEX(Tab_DaBa[],MATCH(CONCATENATE(Liste!$C$3,$B$1979,$B$2149),Data!$BO:$BO,0)-2,38)&lt;&gt;"",INDEX(Tab_DaBa[],MATCH(CONCATENATE(Liste!$C$3,$B$1979,$B$2149),Data!$BO:$BO,0)-2,43)=0),INDEX(Tab_DaBa[],MATCH(CONCATENATE(Liste!$C$3,$B$1979,$B$2149),Data!$BO:$BO,0)-2,12),IF(INDEX(Tab_DaBa[],MATCH(CONCATENATE(Liste!$C$3,$B$1979,$B$2149),Data!$BO:$BO,0)-2,38)&lt;&gt;"",INDEX(Tab_DaBa[],MATCH(CONCATENATE(Liste!$C$3,$B$1979,$B$2149),Data!$BO:$BO,0)-2,42),"")),"")</f>
        <v>Lo03-33_07</v>
      </c>
      <c r="G2160" s="39"/>
      <c r="H2160" s="35" t="str">
        <f ca="1">IFERROR(IF(AND(INDEX(Tab_DaBa[],MATCH(CONCATENATE(Liste!$C$3,$B$1979,$B$2149),Data!$BO:$BO,0)-2,43)&lt;&gt;"",INDEX(Tab_DaBa[],MATCH(CONCATENATE(Liste!$C$3,$B$1979,$B$2149),Data!$BO:$BO,0)-2,48)=0),INDEX(Tab_DaBa[],MATCH(CONCATENATE(Liste!$C$3,$B$1979,$B$2149),Data!$BO:$BO,0)-2,12),IF(INDEX(Tab_DaBa[],MATCH(CONCATENATE(Liste!$C$3,$B$1979,$B$2149),Data!$BO:$BO,0)-2,43)&lt;&gt;"",INDEX(Tab_DaBa[],MATCH(CONCATENATE(Liste!$C$3,$B$1979,$B$2149),Data!$BO:$BO,0)-2,47),"")),"")</f>
        <v>Lo03-33_07</v>
      </c>
      <c r="I2160" s="39"/>
    </row>
    <row r="2161" spans="2:9" s="16" customFormat="1" ht="15.75">
      <c r="B2161" s="35" t="str">
        <f ca="1">IFERROR(IF(AND(INDEX(Tab_DaBa[],MATCH(CONCATENATE(Liste!$C$3,$B$1979,$B$2149),Data!$BO:$BO,0)-2,28)&lt;&gt;"",INDEX(Tab_DaBa[],MATCH(CONCATENATE(Liste!$C$3,$B$1979,$B$2149),Data!$BO:$BO,0)-2,33)=""),INDEX(Tab_DaBa[],MATCH(CONCATENATE(Liste!$C$3,$B$1979,$B$2149),Data!$BO:$BO,0)-2,13),IF(INDEX(Tab_DaBa[],MATCH(CONCATENATE(Liste!$C$3,$B$1979,$B$2149),Data!$BO:$BO,0)-2,28)&lt;&gt;"",INDEX(Tab_DaBa[],MATCH(CONCATENATE(Liste!$C$3,$B$1979,$B$2149),Data!$BO:$BO,0)-2,33),"")),"")</f>
        <v>Bez_Lo04_07</v>
      </c>
      <c r="C2161" s="38">
        <f ca="1">IF(D2159="","",4)</f>
        <v>4</v>
      </c>
      <c r="D2161" s="35" t="str">
        <f ca="1">IFERROR(IF(AND(INDEX(Tab_DaBa[],MATCH(CONCATENATE(Liste!$C$3,$B$1979,$B$2149),Data!$BO:$BO,0)-2,33)&lt;&gt;"",INDEX(Tab_DaBa[],MATCH(CONCATENATE(Liste!$C$3,$B$1979,$B$2149),Data!$BO:$BO,0)-2,38)=""),INDEX(Tab_DaBa[],MATCH(CONCATENATE(Liste!$C$3,$B$1979,$B$2149),Data!$BO:$BO,0)-2,13),IF(INDEX(Tab_DaBa[],MATCH(CONCATENATE(Liste!$C$3,$B$1979,$B$2149),Data!$BO:$BO,0)-2,33)&lt;&gt;"",INDEX(Tab_DaBa[],MATCH(CONCATENATE(Liste!$C$3,$B$1979,$B$2149),Data!$BO:$BO,0)-2,38),"")),"")</f>
        <v>Bez_Lo03_07</v>
      </c>
      <c r="E2161" s="38">
        <f ca="1">IF(F2159="","",4)</f>
        <v>4</v>
      </c>
      <c r="F2161" s="35" t="str">
        <f ca="1">IFERROR(IF(AND(INDEX(Tab_DaBa[],MATCH(CONCATENATE(Liste!$C$3,$B$1979,$B$2149),Data!$BO:$BO,0)-2,38)&lt;&gt;"",INDEX(Tab_DaBa[],MATCH(CONCATENATE(Liste!$C$3,$B$1979,$B$2149),Data!$BO:$BO,0)-2,43)=""),INDEX(Tab_DaBa[],MATCH(CONCATENATE(Liste!$C$3,$B$1979,$B$2149),Data!$BO:$BO,0)-2,13),IF(INDEX(Tab_DaBa[],MATCH(CONCATENATE(Liste!$C$3,$B$1979,$B$2149),Data!$BO:$BO,0)-2,38)&lt;&gt;"",INDEX(Tab_DaBa[],MATCH(CONCATENATE(Liste!$C$3,$B$1979,$B$2149),Data!$BO:$BO,0)-2,43),"")),"")</f>
        <v>Bez_Lo03_07</v>
      </c>
      <c r="G2161" s="38">
        <f ca="1">IF(H2159="","",4)</f>
        <v>4</v>
      </c>
      <c r="H2161" s="35" t="str">
        <f ca="1">IFERROR(IF(AND(INDEX(Tab_DaBa[],MATCH(CONCATENATE(Liste!$C$3,$B$1979,$B$2149),Data!$BO:$BO,0)-2,43)&lt;&gt;"",INDEX(Tab_DaBa[],MATCH(CONCATENATE(Liste!$C$3,$B$1979,$B$2149),Data!$BO:$BO,0)-2,48)=""),INDEX(Tab_DaBa[],MATCH(CONCATENATE(Liste!$C$3,$B$1979,$B$2149),Data!$BO:$BO,0)-2,13),IF(INDEX(Tab_DaBa[],MATCH(CONCATENATE(Liste!$C$3,$B$1979,$B$2149),Data!$BO:$BO,0)-2,43)&lt;&gt;"",INDEX(Tab_DaBa[],MATCH(CONCATENATE(Liste!$C$3,$B$1979,$B$2149),Data!$BO:$BO,0)-2,48),"")),"")</f>
        <v>Bez_Lo03_07</v>
      </c>
      <c r="I2161" s="38">
        <f ca="1">IF(B2167="","",6)</f>
        <v>6</v>
      </c>
    </row>
    <row r="2162" spans="2:9" s="16" customFormat="1" ht="15.75">
      <c r="B2162" s="35" t="str">
        <f ca="1">IFERROR(IF(AND(INDEX(Tab_DaBa[],MATCH(CONCATENATE(Liste!$C$3,$B$1979,$B$2149),Data!$BO:$BO,0)-2,28)&lt;&gt;"",INDEX(Tab_DaBa[],MATCH(CONCATENATE(Liste!$C$3,$B$1979,$B$2149),Data!$BO:$BO,0)-2,33)=""),"Performance Level: "&amp;INDEX(Tab_DaBa[],MATCH(CONCATENATE(Liste!$C$3,$B$1979,$B$2149),Data!$BO:$BO,0)-2,15),IF(INDEX(Tab_DaBa[],MATCH(CONCATENATE(Liste!$C$3,$B$1979,$B$2149),Data!$BO:$BO,0)-2,28)&lt;&gt;"","Performance Level: "&amp;INDEX(Tab_DaBa[],MATCH(CONCATENATE(Liste!$C$3,$B$1979,$B$2149),Data!$BO:$BO,0)-2,35),"")),"")</f>
        <v>Performance Level: PL_Lo04_07</v>
      </c>
      <c r="C2162" s="39"/>
      <c r="D2162" s="35" t="str">
        <f ca="1">IFERROR(IF(AND(INDEX(Tab_DaBa[],MATCH(CONCATENATE(Liste!$C$3,$B$1979,$B$2149),Data!$BO:$BO,0)-2,33)&lt;&gt;"",INDEX(Tab_DaBa[],MATCH(CONCATENATE(Liste!$C$3,$B$1979,$B$2149),Data!$BO:$BO,0)-2,38)=""),"Performance Level: "&amp;INDEX(Tab_DaBa[],MATCH(CONCATENATE(Liste!$C$3,$B$1979,$B$2149),Data!$BO:$BO,0)-2,15),IF(INDEX(Tab_DaBa[],MATCH(CONCATENATE(Liste!$C$3,$B$1979,$B$2149),Data!$BO:$BO,0)-2,33)&lt;&gt;"","Performance Level: "&amp;INDEX(Tab_DaBa[],MATCH(CONCATENATE(Liste!$C$3,$B$1979,$B$2149),Data!$BO:$BO,0)-2,40),"")),"")</f>
        <v>Performance Level: PL_Lo03_7</v>
      </c>
      <c r="E2162" s="37"/>
      <c r="F2162" s="35" t="str">
        <f ca="1">IFERROR(IF(AND(INDEX(Tab_DaBa[],MATCH(CONCATENATE(Liste!$C$3,$B$1979,$B$2149),Data!$BO:$BO,0)-2,38)&lt;&gt;"",INDEX(Tab_DaBa[],MATCH(CONCATENATE(Liste!$C$3,$B$1979,$B$2149),Data!$BO:$BO,0)-2,43)=""),"Performance Level: "&amp;INDEX(Tab_DaBa[],MATCH(CONCATENATE(Liste!$C$3,$B$1979,$B$2149),Data!$BO:$BO,0)-2,15),IF(INDEX(Tab_DaBa[],MATCH(CONCATENATE(Liste!$C$3,$B$1979,$B$2149),Data!$BO:$BO,0)-2,38)&lt;&gt;"","Performance Level: "&amp;INDEX(Tab_DaBa[],MATCH(CONCATENATE(Liste!$C$3,$B$1979,$B$2149),Data!$BO:$BO,0)-2,45),"")),"")</f>
        <v>Performance Level: PL_Lo03_07</v>
      </c>
      <c r="G2162" s="39"/>
      <c r="H2162" s="35" t="str">
        <f ca="1">IFERROR(IF(AND(INDEX(Tab_DaBa[],MATCH(CONCATENATE(Liste!$C$3,$B$1979,$B$2149),Data!$BO:$BO,0)-2,43)&lt;&gt;"",INDEX(Tab_DaBa[],MATCH(CONCATENATE(Liste!$C$3,$B$1979,$B$2149),Data!$BO:$BO,0)-2,48)=""),"Performance Level: "&amp;INDEX(Tab_DaBa[],MATCH(CONCATENATE(Liste!$C$3,$B$1979,$B$2149),Data!$BO:$BO,0)-2,15),IF(INDEX(Tab_DaBa[],MATCH(CONCATENATE(Liste!$C$3,$B$1979,$B$2149),Data!$BO:$BO,0)-2,43)&lt;&gt;"","Performance Level: "&amp;INDEX(Tab_DaBa[],MATCH(CONCATENATE(Liste!$C$3,$B$1979,$B$2149),Data!$BO:$BO,0)-2,50),"")),"")</f>
        <v>Performance Level: PL_Lo03_07</v>
      </c>
      <c r="I2162" s="39"/>
    </row>
    <row r="2163" spans="2:9" s="16" customFormat="1" ht="15.75">
      <c r="B2163" s="35" t="str">
        <f ca="1">IFERROR(IF(AND(INDEX(Tab_DaBa[],MATCH(CONCATENATE(Liste!$C$3,$B$1979,$B$2149),Data!$BO:$BO,0)-2,28)&lt;&gt;"",INDEX(Tab_DaBa[],MATCH(CONCATENATE(Liste!$C$3,$B$1979,$B$2149),Data!$BO:$BO,0)-2,33)=""),"PFH [1/h] = "&amp;10^9*INDEX(Tab_DaBa[],MATCH(CONCATENATE(Liste!$C$3,$B$1979,$B$2149),Data!$BO:$BO,0)-2,16)&amp;"E-9",IF(INDEX(Tab_DaBa[],MATCH(CONCATENATE(Liste!$C$3,$B$1979,$B$2149),Data!$BO:$BO,0)-2,28)&lt;&gt;"","PFH [1/h] = "&amp;10^9*INDEX(Tab_DaBa[],MATCH(CONCATENATE(Liste!$C$3,$B$1979,$B$2149),Data!$BO:$BO,0)-2,36)&amp;"E-9","")),"")</f>
        <v>PFH [1/h] = 4,19E-9</v>
      </c>
      <c r="C2163" s="39"/>
      <c r="D2163" s="35" t="str">
        <f ca="1">IFERROR(IF(AND(INDEX(Tab_DaBa[],MATCH(CONCATENATE(Liste!$C$3,$B$1979,$B$2149),Data!$BO:$BO,0)-2,33)&lt;&gt;"",INDEX(Tab_DaBa[],MATCH(CONCATENATE(Liste!$C$3,$B$1979,$B$2149),Data!$BO:$BO,0)-2,38)=""),"PFH [1/h] = "&amp;10^9*INDEX(Tab_DaBa[],MATCH(CONCATENATE(Liste!$C$3,$B$1979,$B$2149),Data!$BO:$BO,0)-2,16)&amp;"E-9",IF(INDEX(Tab_DaBa[],MATCH(CONCATENATE(Liste!$C$3,$B$1979,$B$2149),Data!$BO:$BO,0)-2,33)&lt;&gt;"","PFH [1/h] = "&amp;10^9*INDEX(Tab_DaBa[],MATCH(CONCATENATE(Liste!$C$3,$B$1979,$B$2149),Data!$BO:$BO,0)-2,41)&amp;"E-9","")),"")</f>
        <v>PFH [1/h] = 4,19E-9</v>
      </c>
      <c r="E2163" s="37"/>
      <c r="F2163" s="35" t="str">
        <f ca="1">IFERROR(IF(AND(INDEX(Tab_DaBa[],MATCH(CONCATENATE(Liste!$C$3,$B$1979,$B$2149),Data!$BO:$BO,0)-2,38)&lt;&gt;"",INDEX(Tab_DaBa[],MATCH(CONCATENATE(Liste!$C$3,$B$1979,$B$2149),Data!$BO:$BO,0)-2,43)=""),"PFH [1/h] = "&amp;10^9*INDEX(Tab_DaBa[],MATCH(CONCATENATE(Liste!$C$3,$B$1979,$B$2149),Data!$BO:$BO,0)-2,16)&amp;"E-9",IF(INDEX(Tab_DaBa[],MATCH(CONCATENATE(Liste!$C$3,$B$1979,$B$2149),Data!$BO:$BO,0)-2,38)&lt;&gt;"","PFH [1/h] = "&amp;10^9*INDEX(Tab_DaBa[],MATCH(CONCATENATE(Liste!$C$3,$B$1979,$B$2149),Data!$BO:$BO,0)-2,46)&amp;"E-9","")),"")</f>
        <v>PFH [1/h] = 4,19E-9</v>
      </c>
      <c r="G2163" s="39"/>
      <c r="H2163" s="35" t="str">
        <f ca="1">IFERROR(IF(AND(INDEX(Tab_DaBa[],MATCH(CONCATENATE(Liste!$C$3,$B$1979,$B$2149),Data!$BO:$BO,0)-2,43)&lt;&gt;"",INDEX(Tab_DaBa[],MATCH(CONCATENATE(Liste!$C$3,$B$1979,$B$2149),Data!$BO:$BO,0)-2,48)=""),"PFH [1/h] = "&amp;10^9*INDEX(Tab_DaBa[],MATCH(CONCATENATE(Liste!$C$3,$B$1979,$B$2149),Data!$BO:$BO,0)-2,16)&amp;"E-9",IF(INDEX(Tab_DaBa[],MATCH(CONCATENATE(Liste!$C$3,$B$1979,$B$2149),Data!$BO:$BO,0)-2,43)&lt;&gt;"","PFH [1/h] = "&amp;10^9*INDEX(Tab_DaBa[],MATCH(CONCATENATE(Liste!$C$3,$B$1979,$B$2149),Data!$BO:$BO,0)-2,51)&amp;"E-9","")),"")</f>
        <v>PFH [1/h] = 4,19E-9</v>
      </c>
      <c r="I2163" s="39"/>
    </row>
    <row r="2164" spans="2:9" s="16" customFormat="1">
      <c r="B2164" s="33"/>
      <c r="C2164" s="33"/>
      <c r="D2164" s="33"/>
      <c r="E2164" s="33"/>
      <c r="F2164" s="33"/>
      <c r="G2164" s="33"/>
      <c r="H2164" s="33"/>
      <c r="I2164" s="33"/>
    </row>
    <row r="2165" spans="2:9" s="16" customFormat="1" ht="15.75">
      <c r="B2165" s="38">
        <f ca="1">IF(B2167="","",6)</f>
        <v>6</v>
      </c>
      <c r="C2165" s="33"/>
      <c r="D2165" s="38">
        <f ca="1">IF(B2167="","",3)</f>
        <v>3</v>
      </c>
      <c r="E2165" s="33"/>
      <c r="F2165" s="38">
        <f ca="1">IF(B2167="","",3)</f>
        <v>3</v>
      </c>
      <c r="G2165" s="33"/>
      <c r="H2165" s="38">
        <f ca="1">IF(B2167="","",3)</f>
        <v>3</v>
      </c>
      <c r="I2165" s="33"/>
    </row>
    <row r="2166" spans="2:9" s="16" customFormat="1" ht="15.75">
      <c r="B2166" s="39"/>
      <c r="C2166" s="33"/>
      <c r="D2166" s="33"/>
      <c r="E2166" s="33"/>
      <c r="F2166" s="33"/>
      <c r="G2166" s="33"/>
      <c r="H2166" s="33"/>
      <c r="I2166" s="33"/>
    </row>
    <row r="2167" spans="2:9" s="16" customFormat="1" ht="15.75">
      <c r="B2167" s="35" t="str">
        <f ca="1">IFERROR(IF(AND(INDEX(Tab_DaBa[],MATCH(CONCATENATE(Liste!$C$3,$B$1979,$B$2149),Data!$BO:$BO,0)-2,48)&lt;&gt;"",INDEX(Tab_DaBa[],MATCH(CONCATENATE(Liste!$C$3,$B$1979,$B$2149),Data!$BO:$BO,0)-2,53)=0),INDEX(Tab_DaBa[],MATCH(CONCATENATE(Liste!$C$3,$B$1979,$B$2149),Data!$BO:$BO,0)-2,14),IF(INDEX(Tab_DaBa[],MATCH(CONCATENATE(Liste!$C$3,$B$1979,$B$2149),Data!$BO:$BO,0)-2,48)&lt;&gt;"",INDEX(Tab_DaBa[],MATCH(CONCATENATE(Liste!$C$3,$B$1979,$B$2149),Data!$BO:$BO,0)-2,54),"")),"")</f>
        <v>Ausgang</v>
      </c>
      <c r="C2167" s="39"/>
      <c r="D2167" s="35" t="str">
        <f ca="1">IFERROR(IF(AND(INDEX(Tab_DaBa[],MATCH(CONCATENATE(Liste!$C$3,$B$1979,$B$2149),Data!$BO:$BO,0)-2,53)&lt;&gt;"",INDEX(Tab_DaBa[],MATCH(CONCATENATE(Liste!$C$3,$B$1979,$B$2149),Data!$BO:$BO,0)-2,58)=0),INDEX(Tab_DaBa[],MATCH(CONCATENATE(Liste!$C$3,$B$1979,$B$2149),Data!$BO:$BO,0)-2,14),IF(INDEX(Tab_DaBa[],MATCH(CONCATENATE(Liste!$C$3,$B$1979,$B$2149),Data!$BO:$BO,0)-2,53)&lt;&gt;"",INDEX(Tab_DaBa[],MATCH(CONCATENATE(Liste!$C$3,$B$1979,$B$2149),Data!$BO:$BO,0)-2,59),"")),"")</f>
        <v/>
      </c>
      <c r="E2167" s="33"/>
      <c r="F2167" s="35" t="str">
        <f ca="1">IFERROR(IF(AND(INDEX(Tab_DaBa[],MATCH(CONCATENATE(Liste!$C$3,$B$1979,$B$2149),Data!$BO:$BO,0)-2,58)&lt;&gt;"",INDEX(Tab_DaBa[],MATCH(CONCATENATE(Liste!$C$3,$B$1979,$B$2149),Data!$BO:$BO,0)-2,63)=0),INDEX(Tab_DaBa[],MATCH(CONCATENATE(Liste!$C$3,$B$1979,$B$2149),Data!$BO:$BO,0)-2,14),IF(INDEX(Tab_DaBa[],MATCH(CONCATENATE(Liste!$C$3,$B$1979,$B$2149),Data!$BO:$BO,0)-2,58)&lt;&gt;"",INDEX(Tab_DaBa[],MATCH(CONCATENATE(Liste!$C$3,$B$1979,$B$2149),Data!$BO:$BO,0)-2,64),"")),"")</f>
        <v/>
      </c>
      <c r="G2167" s="39"/>
      <c r="H2167" s="35" t="str">
        <f ca="1">IFERROR(IF(INDEX(Tab_DaBa[],MATCH(CONCATENATE(Liste!$C$3,$B$1979,$B$2149),Data!$BO:$BO,0)-2,63)&lt;&gt;"",INDEX(Tab_DaBa[],MATCH(CONCATENATE(Liste!$C$3,$B$1979,$B$2149),Data!$BO:$BO,0)-2,14),""),"")</f>
        <v/>
      </c>
    </row>
    <row r="2168" spans="2:9" s="16" customFormat="1" ht="15.75">
      <c r="B2168" s="35" t="str">
        <f ca="1">IFERROR(IF(AND(INDEX(Tab_DaBa[],MATCH(CONCATENATE(Liste!$C$3,$B$1979,$B$2149),Data!$BO:$BO,0)-2,48)&lt;&gt;"",INDEX(Tab_DaBa[],MATCH(CONCATENATE(Liste!$C$3,$B$1979,$B$2149),Data!$BO:$BO,0)-2,53)=0),INDEX(Tab_DaBa[],MATCH(CONCATENATE(Liste!$C$3,$B$1979,$B$2149),Data!$BO:$BO,0)-2,12),IF(INDEX(Tab_DaBa[],MATCH(CONCATENATE(Liste!$C$3,$B$1979,$B$2149),Data!$BO:$BO,0)-2,48)&lt;&gt;"",INDEX(Tab_DaBa[],MATCH(CONCATENATE(Liste!$C$3,$B$1979,$B$2149),Data!$BO:$BO,0)-2,52),"")),"")</f>
        <v>aaaa-44_7</v>
      </c>
      <c r="C2168" s="39"/>
      <c r="D2168" s="35" t="str">
        <f ca="1">IFERROR(IF(AND(INDEX(Tab_DaBa[],MATCH(CONCATENATE(Liste!$C$3,$B$1979,$B$2149),Data!$BO:$BO,0)-2,53)&lt;&gt;"",INDEX(Tab_DaBa[],MATCH(CONCATENATE(Liste!$C$3,$B$1979,$B$2149),Data!$BO:$BO,0)-2,58)=0),INDEX(Tab_DaBa[],MATCH(CONCATENATE(Liste!$C$3,$B$1979,$B$2149),Data!$BO:$BO,0)-2,12),IF(INDEX(Tab_DaBa[],MATCH(CONCATENATE(Liste!$C$3,$B$1979,$B$2149),Data!$BO:$BO,0)-2,53)&lt;&gt;"",INDEX(Tab_DaBa[],MATCH(CONCATENATE(Liste!$C$3,$B$1979,$B$2149),Data!$BO:$BO,0)-2,57),"")),"")</f>
        <v/>
      </c>
      <c r="E2168" s="37"/>
      <c r="F2168" s="35" t="str">
        <f ca="1">IFERROR(IF(AND(INDEX(Tab_DaBa[],MATCH(CONCATENATE(Liste!$C$3,$B$1979,$B$2149),Data!$BO:$BO,0)-2,58)&lt;&gt;"",INDEX(Tab_DaBa[],MATCH(CONCATENATE(Liste!$C$3,$B$1979,$B$2149),Data!$BO:$BO,0)-2,63)=0),INDEX(Tab_DaBa[],MATCH(CONCATENATE(Liste!$C$3,$B$1979,$B$2149),Data!$BO:$BO,0)-2,12),IF(INDEX(Tab_DaBa[],MATCH(CONCATENATE(Liste!$C$3,$B$1979,$B$2149),Data!$BO:$BO,0)-2,58)&lt;&gt;"",INDEX(Tab_DaBa[],MATCH(CONCATENATE(Liste!$C$3,$B$1979,$B$2149),Data!$BO:$BO,0)-2,62),"")),"")</f>
        <v/>
      </c>
      <c r="G2168" s="39"/>
      <c r="H2168" s="35" t="str">
        <f ca="1">IFERROR(IF(INDEX(Tab_DaBa[],MATCH(CONCATENATE(Liste!$C$3,$B$1979,$B$2149),Data!$BO:$BO,0)-2,63)&lt;&gt;"",INDEX(Tab_DaBa[],MATCH(CONCATENATE(Liste!$C$3,$B$1979,$B$2149),Data!$BO:$BO,0)-2,12),""),"")</f>
        <v/>
      </c>
    </row>
    <row r="2169" spans="2:9" s="16" customFormat="1" ht="15.75">
      <c r="B2169" s="35" t="str">
        <f ca="1">IFERROR(IF(AND(INDEX(Tab_DaBa[],MATCH(CONCATENATE(Liste!$C$3,$B$1979,$B$2149),Data!$BO:$BO,0)-2,48)&lt;&gt;"",INDEX(Tab_DaBa[],MATCH(CONCATENATE(Liste!$C$3,$B$1979,$B$2149),Data!$BO:$BO,0)-2,53)=""),INDEX(Tab_DaBa[],MATCH(CONCATENATE(Liste!$C$3,$B$1979,$B$2149),Data!$BO:$BO,0)-2,13),IF(INDEX(Tab_DaBa[],MATCH(CONCATENATE(Liste!$C$3,$B$1979,$B$2149),Data!$BO:$BO,0)-2,48)&lt;&gt;"",INDEX(Tab_DaBa[],MATCH(CONCATENATE(Liste!$C$3,$B$1979,$B$2149),Data!$BO:$BO,0)-2,53),"")),"")</f>
        <v>Bez_Aus4_7</v>
      </c>
      <c r="C2169" s="38" t="str">
        <f ca="1">IF(D2167="","",4)</f>
        <v/>
      </c>
      <c r="D2169" s="35" t="str">
        <f ca="1">IFERROR(IF(AND(INDEX(Tab_DaBa[],MATCH(CONCATENATE(Liste!$C$3,$B$1979,$B$2149),Data!$BO:$BO,0)-2,53)&lt;&gt;"",INDEX(Tab_DaBa[],MATCH(CONCATENATE(Liste!$C$3,$B$1979,$B$2149),Data!$BO:$BO,0)-2,58)=""),INDEX(Tab_DaBa[],MATCH(CONCATENATE(Liste!$C$3,$B$1979,$B$2149),Data!$BO:$BO,0)-2,13),IF(INDEX(Tab_DaBa[],MATCH(CONCATENATE(Liste!$C$3,$B$1979,$B$2149),Data!$BO:$BO,0)-2,53)&lt;&gt;"",INDEX(Tab_DaBa[],MATCH(CONCATENATE(Liste!$C$3,$B$1979,$B$2149),Data!$BO:$BO,0)-2,58),"")),"")</f>
        <v/>
      </c>
      <c r="E2169" s="38" t="str">
        <f ca="1">IF(F2167="","",4)</f>
        <v/>
      </c>
      <c r="F2169" s="35" t="str">
        <f ca="1">IFERROR(IF(AND(INDEX(Tab_DaBa[],MATCH(CONCATENATE(Liste!$C$3,$B$1979,$B$2149),Data!$BO:$BO,0)-2,58)&lt;&gt;"",INDEX(Tab_DaBa[],MATCH(CONCATENATE(Liste!$C$3,$B$1979,$B$2149),Data!$BO:$BO,0)-2,63)=""),INDEX(Tab_DaBa[],MATCH(CONCATENATE(Liste!$C$3,$B$1979,$B$2149),Data!$BO:$BO,0)-2,13),IF(INDEX(Tab_DaBa[],MATCH(CONCATENATE(Liste!$C$3,$B$1979,$B$2149),Data!$BO:$BO,0)-2,58)&lt;&gt;"",INDEX(Tab_DaBa[],MATCH(CONCATENATE(Liste!$C$3,$B$1979,$B$2149),Data!$BO:$BO,0)-2,63),"")),"")</f>
        <v/>
      </c>
      <c r="G2169" s="38" t="str">
        <f ca="1">IF(H2167="","",4)</f>
        <v/>
      </c>
      <c r="H2169" s="35" t="str">
        <f ca="1">IFERROR(IF(INDEX(Tab_DaBa[],MATCH(CONCATENATE(Liste!$C$3,$B$1979,$B$2149),Data!$BO:$BO,0)-2,63)&lt;&gt;"",INDEX(Tab_DaBa[],MATCH(CONCATENATE(Liste!$C$3,$B$1979,$B$2149),Data!$BO:$BO,0)-2,13),""),"")</f>
        <v/>
      </c>
    </row>
    <row r="2170" spans="2:9" s="16" customFormat="1" ht="15.75">
      <c r="B2170" s="35" t="str">
        <f ca="1">IFERROR(IF(AND(INDEX(Tab_DaBa[],MATCH(CONCATENATE(Liste!$C$3,$B$1979,$B$2149),Data!$BO:$BO,0)-2,48)&lt;&gt;"",INDEX(Tab_DaBa[],MATCH(CONCATENATE(Liste!$C$3,$B$1979,$B$2149),Data!$BO:$BO,0)-2,53)=""),"Performance Level: "&amp;INDEX(Tab_DaBa[],MATCH(CONCATENATE(Liste!$C$3,$B$1979,$B$2149),Data!$BO:$BO,0)-2,15),IF(INDEX(Tab_DaBa[],MATCH(CONCATENATE(Liste!$C$3,$B$1979,$B$2149),Data!$BO:$BO,0)-2,48)&lt;&gt;"","Performance Level: "&amp;INDEX(Tab_DaBa[],MATCH(CONCATENATE(Liste!$C$3,$B$1979,$B$2149),Data!$BO:$BO,0)-2,55),"")),"")</f>
        <v>Performance Level: PL_Aus4_7</v>
      </c>
      <c r="C2170" s="39"/>
      <c r="D2170" s="35" t="str">
        <f ca="1">IFERROR(IF(AND(INDEX(Tab_DaBa[],MATCH(CONCATENATE(Liste!$C$3,$B$1979,$B$2149),Data!$BO:$BO,0)-2,53)&lt;&gt;"",INDEX(Tab_DaBa[],MATCH(CONCATENATE(Liste!$C$3,$B$1979,$B$2149),Data!$BO:$BO,0)-2,58)=""),"Performance Level: "&amp;INDEX(Tab_DaBa[],MATCH(CONCATENATE(Liste!$C$3,$B$1979,$B$2149),Data!$BO:$BO,0)-2,15),IF(INDEX(Tab_DaBa[],MATCH(CONCATENATE(Liste!$C$3,$B$1979,$B$2149),Data!$BO:$BO,0)-2,53)&lt;&gt;"","Performance Level: "&amp;INDEX(Tab_DaBa[],MATCH(CONCATENATE(Liste!$C$3,$B$1979,$B$2149),Data!$BO:$BO,0)-2,60),"")),"")</f>
        <v/>
      </c>
      <c r="E2170" s="37"/>
      <c r="F2170" s="35" t="str">
        <f ca="1">IFERROR(IF(AND(INDEX(Tab_DaBa[],MATCH(CONCATENATE(Liste!$C$3,$B$1979,$B$2149),Data!$BO:$BO,0)-2,58)&lt;&gt;"",INDEX(Tab_DaBa[],MATCH(CONCATENATE(Liste!$C$3,$B$1979,$B$2149),Data!$BO:$BO,0)-2,63)=""),"Performance Level: "&amp;INDEX(Tab_DaBa[],MATCH(CONCATENATE(Liste!$C$3,$B$1979,$B$2149),Data!$BO:$BO,0)-2,15),IF(INDEX(Tab_DaBa[],MATCH(CONCATENATE(Liste!$C$3,$B$1979,$B$2149),Data!$BO:$BO,0)-2,58)&lt;&gt;"","Performance Level: "&amp;INDEX(Tab_DaBa[],MATCH(CONCATENATE(Liste!$C$3,$B$1979,$B$2149),Data!$BO:$BO,0)-2,65),"")),"")</f>
        <v/>
      </c>
      <c r="G2170" s="39"/>
      <c r="H2170" s="35" t="str">
        <f ca="1">IFERROR(IF(INDEX(Tab_DaBa[],MATCH(CONCATENATE(Liste!$C$3,$B$1979,$B$2149),Data!$BO:$BO,0)-2,63)&lt;&gt;"","Performance Level: "&amp;INDEX(Tab_DaBa[],MATCH(CONCATENATE(Liste!$C$3,$B$1979,$B$2149),Data!$BO:$BO,0)-2,15),""),"")</f>
        <v/>
      </c>
    </row>
    <row r="2171" spans="2:9" s="16" customFormat="1" ht="15.75">
      <c r="B2171" s="35" t="str">
        <f ca="1">IFERROR(IF(AND(INDEX(Tab_DaBa[],MATCH(CONCATENATE(Liste!$C$3,$B$1979,$B$2149),Data!$BO:$BO,0)-2,48)&lt;&gt;"",INDEX(Tab_DaBa[],MATCH(CONCATENATE(Liste!$C$3,$B$1979,$B$2149),Data!$BO:$BO,0)-2,53)=""),"PFH [1/h] = "&amp;10^9*INDEX(Tab_DaBa[],MATCH(CONCATENATE(Liste!$C$3,$B$1979,$B$2149),Data!$BO:$BO,0)-2,16)&amp;"E-9",IF(INDEX(Tab_DaBa[],MATCH(CONCATENATE(Liste!$C$3,$B$1979,$B$2149),Data!$BO:$BO,0)-2,48)&lt;&gt;"","PFH [1/h] = "&amp;10^9*INDEX(Tab_DaBa[],MATCH(CONCATENATE(Liste!$C$3,$B$1979,$B$2149),Data!$BO:$BO,0)-2,56)&amp;"E-9","")),"")</f>
        <v>PFH [1/h] = 24,7E-9</v>
      </c>
      <c r="C2171" s="39"/>
      <c r="D2171" s="35" t="str">
        <f ca="1">IFERROR(IF(AND(INDEX(Tab_DaBa[],MATCH(CONCATENATE(Liste!$C$3,$B$1979,$B$2149),Data!$BO:$BO,0)-2,53)&lt;&gt;"",INDEX(Tab_DaBa[],MATCH(CONCATENATE(Liste!$C$3,$B$1979,$B$2149),Data!$BO:$BO,0)-2,58)=""),"PFH [1/h] = "&amp;10^9*INDEX(Tab_DaBa[],MATCH(CONCATENATE(Liste!$C$3,$B$1979,$B$2149),Data!$BO:$BO,0)-2,16)&amp;"E-9",IF(INDEX(Tab_DaBa[],MATCH(CONCATENATE(Liste!$C$3,$B$1979,$B$2149),Data!$BO:$BO,0)-2,53)&lt;&gt;"","PFH [1/h] = "&amp;10^9*INDEX(Tab_DaBa[],MATCH(CONCATENATE(Liste!$C$3,$B$1979,$B$2149),Data!$BO:$BO,0)-2,61)&amp;"E-9","")),"")</f>
        <v/>
      </c>
      <c r="E2171" s="37"/>
      <c r="F2171" s="35" t="str">
        <f ca="1">IFERROR(IF(AND(INDEX(Tab_DaBa[],MATCH(CONCATENATE(Liste!$C$3,$B$1979,$B$2149),Data!$BO:$BO,0)-2,58)&lt;&gt;"",INDEX(Tab_DaBa[],MATCH(CONCATENATE(Liste!$C$3,$B$1979,$B$2149),Data!$BO:$BO,0)-2,63)=""),"PFH [1/h] = "&amp;10^9*INDEX(Tab_DaBa[],MATCH(CONCATENATE(Liste!$C$3,$B$1979,$B$2149),Data!$BO:$BO,0)-2,16)&amp;"E-9",IF(INDEX(Tab_DaBa[],MATCH(CONCATENATE(Liste!$C$3,$B$1979,$B$2149),Data!$BO:$BO,0)-2,58)&lt;&gt;"","PFH [1/h] = "&amp;10^9*INDEX(Tab_DaBa[],MATCH(CONCATENATE(Liste!$C$3,$B$1979,$B$2149),Data!$BO:$BO,0)-2,66)&amp;"E-9","")),"")</f>
        <v/>
      </c>
      <c r="G2171" s="39"/>
      <c r="H2171" s="35" t="str">
        <f ca="1">IFERROR(IF(INDEX(Tab_DaBa[],MATCH(CONCATENATE(Liste!$C$3,$B$1979,$B$2149),Data!$BO:$BO,0)-2,63)&lt;&gt;"","PFH [1/h] = "&amp;10^9*INDEX(Tab_DaBa[],MATCH(CONCATENATE(Liste!$C$3,$B$1979,$B$2149),Data!$BO:$BO,0)-2,16)&amp;"E-9",""),"")</f>
        <v/>
      </c>
    </row>
    <row r="2172" spans="2:9" s="16" customFormat="1"/>
    <row r="2173" spans="2:9" s="16" customFormat="1">
      <c r="B2173" s="43" t="str">
        <f ca="1">IF(D2173="","","Erforderlich")</f>
        <v>Erforderlich</v>
      </c>
      <c r="D2173" s="44" t="str">
        <f ca="1">IFERROR("Performance Level: "&amp;INDEX(Tab_DaBa[],MATCH(CONCATENATE(Liste!$C$3,$B$1979,$B$2149),Data!$BO:$BO,0)-2,4),"")</f>
        <v>Performance Level: PLr_ges4_7</v>
      </c>
    </row>
    <row r="2174" spans="2:9" s="16" customFormat="1">
      <c r="B2174" s="45"/>
    </row>
    <row r="2175" spans="2:9" s="16" customFormat="1">
      <c r="B2175" s="46" t="str">
        <f ca="1">IF(D2175="","","Erreicht")</f>
        <v>Erreicht</v>
      </c>
      <c r="D2175" s="47" t="str">
        <f ca="1">IFERROR("Performance Level: "&amp;INDEX(Tab_DaBa[],MATCH(CONCATENATE(Liste!$C$3,$B$1979,$B$2149),Data!$BO:$BO,0)-2,5)&amp;"          PFH [1/h] = "&amp;10^9*INDEX(Tab_DaBa[],MATCH(CONCATENATE(Liste!$C$3,$B$1979,$B$2149),Data!$BO:$BO,0)-2,6)&amp;"E-9","")</f>
        <v>Performance Level: Pl_ges4_7          PFH [1/h] = 71,7E-9</v>
      </c>
    </row>
    <row r="2176" spans="2:9" s="16" customFormat="1"/>
    <row r="2177" spans="2:9" s="16" customFormat="1">
      <c r="B2177" s="42" t="str">
        <f ca="1">IFERROR(IF(8&gt;COUNTIF(Data!$BP:$BP,CONCATENATE(Liste!$C$3,$B$1979)),"",INDEX(Tab_DaBa[],MATCH(CONCATENATE(Liste!$C$3,$B$1979),Data!$BP:$BP,0)+5,3)),"")</f>
        <v>8.8 Test08 (E+8L+A)</v>
      </c>
    </row>
    <row r="2178" spans="2:9" s="16" customFormat="1"/>
    <row r="2179" spans="2:9" s="16" customFormat="1" ht="15.75">
      <c r="B2179" s="35" t="str">
        <f ca="1">IFERROR(INDEX(Tab_DaBa[],MATCH(CONCATENATE(Liste!$C$3,$B$1979,$B$2177),Data!$BO:$BO,0)-2,9),"")</f>
        <v>Eingang</v>
      </c>
      <c r="C2179" s="54"/>
      <c r="D2179" s="35" t="str">
        <f ca="1">IFERROR(IF(INDEX(Tab_DaBa[],MATCH(CONCATENATE(Liste!$C$3,$B$1979,$B$2177),Data!$BO:$BO,0)-2,18)=0,INDEX(Tab_DaBa[],MATCH(CONCATENATE(Liste!$C$3,$B$1979,$B$2177),Data!$BO:$BO,0)-2,14),INDEX(Tab_DaBa[],MATCH(CONCATENATE(Liste!$C$3,$B$1979,$B$2177),Data!$BO:$BO,0)-2,19)),"")</f>
        <v>Logik 01</v>
      </c>
      <c r="E2179" s="33"/>
      <c r="F2179" s="35" t="str">
        <f ca="1">IFERROR(IF(AND(INDEX(Tab_DaBa[],MATCH(CONCATENATE(Liste!$C$3,$B$1979,$B$2177),Data!$BO:$BO,0)-2,18)&lt;&gt;"",INDEX(Tab_DaBa[],MATCH(CONCATENATE(Liste!$C$3,$B$1979,$B$2177),Data!$BO:$BO,0)-2,23)=0),INDEX(Tab_DaBa[],MATCH(CONCATENATE(Liste!$C$3,$B$1979,$B$2177),Data!$BO:$BO,0)-2,14),IF(INDEX(Tab_DaBa[],MATCH(CONCATENATE(Liste!$C$3,$B$1979,$B$2177),Data!$BO:$BO,0)-2,23)&lt;&gt;"",INDEX(Tab_DaBa[],MATCH(CONCATENATE(Liste!$C$3,$B$1979,$B$2177),Data!$BO:$BO,0)-2,24),"")),"")</f>
        <v>Logik 02</v>
      </c>
      <c r="G2179" s="39"/>
      <c r="H2179" s="35" t="str">
        <f ca="1">IFERROR(IF(AND(INDEX(Tab_DaBa[],MATCH(CONCATENATE(Liste!$C$3,$B$1979,$B$2177),Data!$BO:$BO,0)-2,23)&lt;&gt;"",INDEX(Tab_DaBa[],MATCH(CONCATENATE(Liste!$C$3,$B$1979,$B$2177),Data!$BO:$BO,0)-2,28)=0),INDEX(Tab_DaBa[],MATCH(CONCATENATE(Liste!$C$3,$B$1979,$B$2177),Data!$BO:$BO,0)-2,14),IF(INDEX(Tab_DaBa[],MATCH(CONCATENATE(Liste!$C$3,$B$1979,$B$2177),Data!$BO:$BO,0)-2,23)&lt;&gt;"",INDEX(Tab_DaBa[],MATCH(CONCATENATE(Liste!$C$3,$B$1979,$B$2177),Data!$BO:$BO,0)-2,29),"")),"")</f>
        <v>Logik 03</v>
      </c>
      <c r="I2179" s="39"/>
    </row>
    <row r="2180" spans="2:9" s="16" customFormat="1" ht="15.75">
      <c r="B2180" s="35" t="str">
        <f ca="1">IFERROR(INDEX(Tab_DaBa[],MATCH(CONCATENATE(Liste!$C$3,$B$1979,$B$2177),Data!$BO:$BO,0)-2,7),"")</f>
        <v>eeee-33_8</v>
      </c>
      <c r="C2180" s="54"/>
      <c r="D2180" s="35" t="str">
        <f ca="1">IFERROR(IF(INDEX(Tab_DaBa[],MATCH(CONCATENATE(Liste!$C$3,$B$1979,$B$2177),Data!$BO:$BO,0)-2,18)="",INDEX(Tab_DaBa[],MATCH(CONCATENATE(Liste!$C$3,$B$1979,$B$2177),Data!$BO:$BO,0)-2,12),INDEX(Tab_DaBa[],MATCH(CONCATENATE(Liste!$C$3,$B$1979,$B$2177),Data!$BO:$BO,0)-2,17)),"")</f>
        <v>Log01-04_08</v>
      </c>
      <c r="E2180" s="36"/>
      <c r="F2180" s="35" t="str">
        <f ca="1">IFERROR(IF(AND(INDEX(Tab_DaBa[],MATCH(CONCATENATE(Liste!$C$3,$B$1979,$B$2177),Data!$BO:$BO,0)-2,18)&lt;&gt;"",INDEX(Tab_DaBa[],MATCH(CONCATENATE(Liste!$C$3,$B$1979,$B$2177),Data!$BO:$BO,0)-2,23)=0),INDEX(Tab_DaBa[],MATCH(CONCATENATE(Liste!$C$3,$B$1979,$B$2177),Data!$BO:$BO,0)-2,12),IF(INDEX(Tab_DaBa[],MATCH(CONCATENATE(Liste!$C$3,$B$1979,$B$2177),Data!$BO:$BO,0)-2,23)&lt;&gt;"",INDEX(Tab_DaBa[],MATCH(CONCATENATE(Liste!$C$3,$B$1979,$B$2177),Data!$BO:$BO,0)-2,22),"")),"")</f>
        <v>Lo04-04_08</v>
      </c>
      <c r="G2180" s="39"/>
      <c r="H2180" s="35" t="str">
        <f ca="1">IFERROR(IF(AND(INDEX(Tab_DaBa[],MATCH(CONCATENATE(Liste!$C$3,$B$1979,$B$2177),Data!$BO:$BO,0)-2,23)&lt;&gt;"",INDEX(Tab_DaBa[],MATCH(CONCATENATE(Liste!$C$3,$B$1979,$B$2177),Data!$BO:$BO,0)-2,28)=0),INDEX(Tab_DaBa[],MATCH(CONCATENATE(Liste!$C$3,$B$1979,$B$2177),Data!$BO:$BO,0)-2,12),IF(INDEX(Tab_DaBa[],MATCH(CONCATENATE(Liste!$C$3,$B$1979,$B$2177),Data!$BO:$BO,0)-2,23)&lt;&gt;"",INDEX(Tab_DaBa[],MATCH(CONCATENATE(Liste!$C$3,$B$1979,$B$2177),Data!$BO:$BO,0)-2,27),"")),"")</f>
        <v>Lo04-44_08</v>
      </c>
      <c r="I2180" s="39"/>
    </row>
    <row r="2181" spans="2:9" s="16" customFormat="1" ht="15.75">
      <c r="B2181" s="35" t="str">
        <f ca="1">IFERROR(INDEX(Tab_DaBa[],MATCH(CONCATENATE(Liste!$C$3,$B$1979,$B$2177),Data!$BO:$BO,0)-2,8),"")</f>
        <v>Bez_Ein4_8</v>
      </c>
      <c r="C2181" s="40">
        <f ca="1">IF(D2179="","",4)</f>
        <v>4</v>
      </c>
      <c r="D2181" s="35" t="str">
        <f ca="1">IFERROR(IF(INDEX(Tab_DaBa[],MATCH(CONCATENATE(Liste!$C$3,$B$1979,$B$2177),Data!$BO:$BO,0)-2,18)="",INDEX(Tab_DaBa[],MATCH(CONCATENATE(Liste!$C$3,$B$1979,$B$2177),Data!$BO:$BO,0)-2,13),INDEX(Tab_DaBa[],MATCH(CONCATENATE(Liste!$C$3,$B$1979,$B$2177),Data!$BO:$BO,0)-2,18)),"")</f>
        <v>Bez_Log01_04_08</v>
      </c>
      <c r="E2181" s="40">
        <f ca="1">IF(F2179="","",4)</f>
        <v>4</v>
      </c>
      <c r="F2181" s="35" t="str">
        <f ca="1">IFERROR(IF(AND(INDEX(Tab_DaBa[],MATCH(CONCATENATE(Liste!$C$3,$B$1979,$B$2177),Data!$BO:$BO,0)-2,18)&lt;&gt;"",INDEX(Tab_DaBa[],MATCH(CONCATENATE(Liste!$C$3,$B$1979,$B$2177),Data!$BO:$BO,0)-2,23)=""),INDEX(Tab_DaBa[],MATCH(CONCATENATE(Liste!$C$3,$B$1979,$B$2177),Data!$BO:$BO,0)-2,13),IF(INDEX(Tab_DaBa[],MATCH(CONCATENATE(Liste!$C$3,$B$1979,$B$2177),Data!$BO:$BO,0)-2,23)&lt;&gt;"",INDEX(Tab_DaBa[],MATCH(CONCATENATE(Liste!$C$3,$B$1979,$B$2177),Data!$BO:$BO,0)-2,23),"")),"")</f>
        <v>Bez_Lo04_08</v>
      </c>
      <c r="G2181" s="38">
        <f ca="1">IF(H2179="","",4)</f>
        <v>4</v>
      </c>
      <c r="H2181" s="35" t="str">
        <f ca="1">IFERROR(IF(AND(INDEX(Tab_DaBa[],MATCH(CONCATENATE(Liste!$C$3,$B$1979,$B$2177),Data!$BO:$BO,0)-2,23)&lt;&gt;"",INDEX(Tab_DaBa[],MATCH(CONCATENATE(Liste!$C$3,$B$1979,$B$2177),Data!$BO:$BO,0)-2,28)=""),INDEX(Tab_DaBa[],MATCH(CONCATENATE(Liste!$C$3,$B$1979,$B$2177),Data!$BO:$BO,0)-2,13),IF(INDEX(Tab_DaBa[],MATCH(CONCATENATE(Liste!$C$3,$B$1979,$B$2177),Data!$BO:$BO,0)-2,23)&lt;&gt;"",INDEX(Tab_DaBa[],MATCH(CONCATENATE(Liste!$C$3,$B$1979,$B$2177),Data!$BO:$BO,0)-2,28),"")),"")</f>
        <v>Bez_Lo04_08</v>
      </c>
      <c r="I2181" s="38">
        <f ca="1">IF(B2187="","",6)</f>
        <v>6</v>
      </c>
    </row>
    <row r="2182" spans="2:9" s="16" customFormat="1" ht="15.75">
      <c r="B2182" s="35" t="str">
        <f ca="1">IFERROR("Performance Level: "&amp;INDEX(Tab_DaBa[],MATCH(CONCATENATE(Liste!$C$3,$B$1979,$B$2177),Data!$BO:$BO,0)-2,10),"")</f>
        <v>Performance Level: PL_Ein4_8</v>
      </c>
      <c r="C2182" s="54"/>
      <c r="D2182" s="35" t="str">
        <f ca="1">IFERROR(IF(INDEX(Tab_DaBa[],MATCH(CONCATENATE(Liste!$C$3,$B$1979,$B$2177),Data!$BO:$BO,0)-2,18)="","Performance Level: "&amp;INDEX(Tab_DaBa[],MATCH(CONCATENATE(Liste!$C$3,$B$1979,$B$2177),Data!$BO:$BO,0)-2,15),"Performance Level: "&amp;INDEX(Tab_DaBa[],MATCH(CONCATENATE(Liste!$C$3,$B$1979,$B$2177),Data!$BO:$BO,0)-2,20)),"")</f>
        <v>Performance Level: PL_Log01_04_08</v>
      </c>
      <c r="E2182" s="36"/>
      <c r="F2182" s="35" t="str">
        <f ca="1">IFERROR(IF(AND(INDEX(Tab_DaBa[],MATCH(CONCATENATE(Liste!$C$3,$B$1979,$B$2177),Data!$BO:$BO,0)-2,18)&lt;&gt;"",INDEX(Tab_DaBa[],MATCH(CONCATENATE(Liste!$C$3,$B$1979,$B$2177),Data!$BO:$BO,0)-2,23)=""),"Performance Level: "&amp;INDEX(Tab_DaBa[],MATCH(CONCATENATE(Liste!$C$3,$B$1979,$B$2177),Data!$BO:$BO,0)-2,15),IF(INDEX(Tab_DaBa[],MATCH(CONCATENATE(Liste!$C$3,$B$1979,$B$2177),Data!$BO:$BO,0)-2,23)&lt;&gt;"","Performance Level: "&amp;INDEX(Tab_DaBa[],MATCH(CONCATENATE(Liste!$C$3,$B$1979,$B$2177),Data!$BO:$BO,0)-2,25),"")),"")</f>
        <v>Performance Level: PL_Lo04_08</v>
      </c>
      <c r="G2182" s="39"/>
      <c r="H2182" s="35" t="str">
        <f ca="1">IFERROR(IF(AND(INDEX(Tab_DaBa[],MATCH(CONCATENATE(Liste!$C$3,$B$1979,$B$2177),Data!$BO:$BO,0)-2,23)&lt;&gt;"",INDEX(Tab_DaBa[],MATCH(CONCATENATE(Liste!$C$3,$B$1979,$B$2177),Data!$BO:$BO,0)-2,28)=""),"Performance Level: "&amp;INDEX(Tab_DaBa[],MATCH(CONCATENATE(Liste!$C$3,$B$1979,$B$2177),Data!$BO:$BO,0)-2,15),IF(INDEX(Tab_DaBa[],MATCH(CONCATENATE(Liste!$C$3,$B$1979,$B$2177),Data!$BO:$BO,0)-2,23)&lt;&gt;"","Performance Level: "&amp;INDEX(Tab_DaBa[],MATCH(CONCATENATE(Liste!$C$3,$B$1979,$B$2177),Data!$BO:$BO,0)-2,30),"")),"")</f>
        <v>Performance Level: PL_Lo04_08</v>
      </c>
      <c r="I2182" s="38"/>
    </row>
    <row r="2183" spans="2:9" s="16" customFormat="1" ht="15.75">
      <c r="B2183" s="53" t="str">
        <f ca="1">IFERROR("PFH [1/h] = "&amp;10^9*INDEX(Tab_DaBa[],MATCH(CONCATENATE(Liste!$C$3,$B$1979,$B$2177),Data!$BO:$BO,0)-2,11)&amp;"E-9","")</f>
        <v>PFH [1/h] = 42,9E-9</v>
      </c>
      <c r="C2183" s="54"/>
      <c r="D2183" s="35" t="str">
        <f ca="1">IFERROR(IF(INDEX(Tab_DaBa[],MATCH(CONCATENATE(Liste!$C$3,$B$1979,$B$2177),Data!$BO:$BO,0)-2,18)="","PFH [1/h] = "&amp;10^9*INDEX(Tab_DaBa[],MATCH(CONCATENATE(Liste!$C$3,$B$1979,$B$2177),Data!$BO:$BO,0)-2,16)&amp;"E-9","PFH [1/h] = "&amp;10^9*INDEX(Tab_DaBa[],MATCH(CONCATENATE(Liste!$C$3,$B$1979,$B$2177),Data!$BO:$BO,0)-2,21)&amp;"E-9"),"")</f>
        <v>PFH [1/h] = 4,19E-9</v>
      </c>
      <c r="E2183" s="36"/>
      <c r="F2183" s="35" t="str">
        <f ca="1">IFERROR(IF(AND(INDEX(Tab_DaBa[],MATCH(CONCATENATE(Liste!$C$3,$B$1979,$B$2177),Data!$BO:$BO,0)-2,18)&lt;&gt;"",INDEX(Tab_DaBa[],MATCH(CONCATENATE(Liste!$C$3,$B$1979,$B$2177),Data!$BO:$BO,0)-2,23)=""),"PFH [1/h] = "&amp;10^9*INDEX(Tab_DaBa[],MATCH(CONCATENATE(Liste!$C$3,$B$1979,$B$2177),Data!$BO:$BO,0)-2,16)&amp;"E-9",IF(INDEX(Tab_DaBa[],MATCH(CONCATENATE(Liste!$C$3,$B$1979,$B$2177),Data!$BO:$BO,0)-2,23)&lt;&gt;"","PFH [1/h] = "&amp;10^9*INDEX(Tab_DaBa[],MATCH(CONCATENATE(Liste!$C$3,$B$1979,$B$2177),Data!$BO:$BO,0)-2,26)&amp;"E-9","")),"")</f>
        <v>PFH [1/h] = 4,19E-9</v>
      </c>
      <c r="G2183" s="39"/>
      <c r="H2183" s="35" t="str">
        <f ca="1">IFERROR(IF(AND(INDEX(Tab_DaBa[],MATCH(CONCATENATE(Liste!$C$3,$B$1979,$B$2177),Data!$BO:$BO,0)-2,23)&lt;&gt;"",INDEX(Tab_DaBa[],MATCH(CONCATENATE(Liste!$C$3,$B$1979,$B$2177),Data!$BO:$BO,0)-2,28)=""),"PFH [1/h] = "&amp;10^9*INDEX(Tab_DaBa[],MATCH(CONCATENATE(Liste!$C$3,$B$1979,$B$2177),Data!$BO:$BO,0)-2,16)&amp;"E-9",IF(INDEX(Tab_DaBa[],MATCH(CONCATENATE(Liste!$C$3,$B$1979,$B$2177),Data!$BO:$BO,0)-2,23)&lt;&gt;"","PFH [1/h] = "&amp;10^9*INDEX(Tab_DaBa[],MATCH(CONCATENATE(Liste!$C$3,$B$1979,$B$2177),Data!$BO:$BO,0)-2,31)&amp;"E-9","")),"")</f>
        <v>PFH [1/h] = 4,19E-9</v>
      </c>
      <c r="I2183" s="39"/>
    </row>
    <row r="2184" spans="2:9" s="16" customFormat="1">
      <c r="B2184" s="33"/>
      <c r="C2184" s="34"/>
      <c r="D2184" s="33"/>
      <c r="E2184" s="33"/>
      <c r="F2184" s="33"/>
      <c r="G2184" s="33"/>
      <c r="H2184" s="33"/>
      <c r="I2184" s="33"/>
    </row>
    <row r="2185" spans="2:9" s="16" customFormat="1" ht="15.75">
      <c r="B2185" s="38">
        <f ca="1">IF(B2187="","",6)</f>
        <v>6</v>
      </c>
      <c r="C2185" s="34"/>
      <c r="D2185" s="38">
        <f ca="1">IF(B2187="","",3)</f>
        <v>3</v>
      </c>
      <c r="E2185" s="33"/>
      <c r="F2185" s="38">
        <f ca="1">IF(B2187="","",3)</f>
        <v>3</v>
      </c>
      <c r="G2185" s="33"/>
      <c r="H2185" s="38">
        <f ca="1">IF(B2187="","",3)</f>
        <v>3</v>
      </c>
      <c r="I2185" s="33"/>
    </row>
    <row r="2186" spans="2:9" s="16" customFormat="1" ht="15.75">
      <c r="B2186" s="39"/>
      <c r="C2186" s="33"/>
      <c r="D2186" s="33"/>
      <c r="E2186" s="33"/>
      <c r="F2186" s="33"/>
      <c r="G2186" s="33"/>
      <c r="H2186" s="33"/>
      <c r="I2186" s="33"/>
    </row>
    <row r="2187" spans="2:9" s="16" customFormat="1" ht="15.75">
      <c r="B2187" s="35" t="str">
        <f ca="1">IFERROR(IF(AND(INDEX(Tab_DaBa[],MATCH(CONCATENATE(Liste!$C$3,$B$1979,$B$2177),Data!$BO:$BO,0)-2,28)&lt;&gt;"",INDEX(Tab_DaBa[],MATCH(CONCATENATE(Liste!$C$3,$B$1979,$B$2177),Data!$BO:$BO,0)-2,33)=0),INDEX(Tab_DaBa[],MATCH(CONCATENATE(Liste!$C$3,$B$1979,$B$2177),Data!$BO:$BO,0)-2,14),IF(INDEX(Tab_DaBa[],MATCH(CONCATENATE(Liste!$C$3,$B$1979,$B$2177),Data!$BO:$BO,0)-2,28)&lt;&gt;"",INDEX(Tab_DaBa[],MATCH(CONCATENATE(Liste!$C$3,$B$1979,$B$2177),Data!$BO:$BO,0)-2,34),"")),"")</f>
        <v>Logik 04</v>
      </c>
      <c r="C2187" s="39"/>
      <c r="D2187" s="35" t="str">
        <f ca="1">IFERROR(IF(AND(INDEX(Tab_DaBa[],MATCH(CONCATENATE(Liste!$C$3,$B$1979,$B$2177),Data!$BO:$BO,0)-2,33)&lt;&gt;"",INDEX(Tab_DaBa[],MATCH(CONCATENATE(Liste!$C$3,$B$1979,$B$2177),Data!$BO:$BO,0)-2,38)=0),INDEX(Tab_DaBa[],MATCH(CONCATENATE(Liste!$C$3,$B$1979,$B$2177),Data!$BO:$BO,0)-2,14),IF(INDEX(Tab_DaBa[],MATCH(CONCATENATE(Liste!$C$3,$B$1979,$B$2177),Data!$BO:$BO,0)-2,33)&lt;&gt;"",INDEX(Tab_DaBa[],MATCH(CONCATENATE(Liste!$C$3,$B$1979,$B$2177),Data!$BO:$BO,0)-2,39),"")),"")</f>
        <v>Logik 06</v>
      </c>
      <c r="E2187" s="33"/>
      <c r="F2187" s="35" t="str">
        <f ca="1">IFERROR(IF(AND(INDEX(Tab_DaBa[],MATCH(CONCATENATE(Liste!$C$3,$B$1979,$B$2177),Data!$BO:$BO,0)-2,38)&lt;&gt;"",INDEX(Tab_DaBa[],MATCH(CONCATENATE(Liste!$C$3,$B$1979,$B$2177),Data!$BO:$BO,0)-2,43)=0),INDEX(Tab_DaBa[],MATCH(CONCATENATE(Liste!$C$3,$B$1979,$B$2177),Data!$BO:$BO,0)-2,14),IF(INDEX(Tab_DaBa[],MATCH(CONCATENATE(Liste!$C$3,$B$1979,$B$2177),Data!$BO:$BO,0)-2,38)&lt;&gt;"",INDEX(Tab_DaBa[],MATCH(CONCATENATE(Liste!$C$3,$B$1979,$B$2177),Data!$BO:$BO,0)-2,44),"")),"")</f>
        <v>Logik 06</v>
      </c>
      <c r="G2187" s="39"/>
      <c r="H2187" s="35" t="str">
        <f ca="1">IFERROR(IF(AND(INDEX(Tab_DaBa[],MATCH(CONCATENATE(Liste!$C$3,$B$1979,$B$2177),Data!$BO:$BO,0)-2,43)&lt;&gt;"",INDEX(Tab_DaBa[],MATCH(CONCATENATE(Liste!$C$3,$B$1979,$B$2177),Data!$BO:$BO,0)-2,48)=0),INDEX(Tab_DaBa[],MATCH(CONCATENATE(Liste!$C$3,$B$1979,$B$2177),Data!$BO:$BO,0)-2,14),IF(INDEX(Tab_DaBa[],MATCH(CONCATENATE(Liste!$C$3,$B$1979,$B$2177),Data!$BO:$BO,0)-2,43)&lt;&gt;"",INDEX(Tab_DaBa[],MATCH(CONCATENATE(Liste!$C$3,$B$1979,$B$2177),Data!$BO:$BO,0)-2,49),"")),"")</f>
        <v>Logik 07</v>
      </c>
      <c r="I2187" s="39"/>
    </row>
    <row r="2188" spans="2:9" s="16" customFormat="1" ht="15.75">
      <c r="B2188" s="35" t="str">
        <f ca="1">IFERROR(IF(AND(INDEX(Tab_DaBa[],MATCH(CONCATENATE(Liste!$C$3,$B$1979,$B$2177),Data!$BO:$BO,0)-2,28)&lt;&gt;"",INDEX(Tab_DaBa[],MATCH(CONCATENATE(Liste!$C$3,$B$1979,$B$2177),Data!$BO:$BO,0)-2,33)=0),INDEX(Tab_DaBa[],MATCH(CONCATENATE(Liste!$C$3,$B$1979,$B$2177),Data!$BO:$BO,0)-2,12),IF(INDEX(Tab_DaBa[],MATCH(CONCATENATE(Liste!$C$3,$B$1979,$B$2177),Data!$BO:$BO,0)-2,28)&lt;&gt;"",INDEX(Tab_DaBa[],MATCH(CONCATENATE(Liste!$C$3,$B$1979,$B$2177),Data!$BO:$BO,0)-2,32),"")),"")</f>
        <v>Lo04-44_08</v>
      </c>
      <c r="C2188" s="39"/>
      <c r="D2188" s="35" t="str">
        <f ca="1">IFERROR(IF(AND(INDEX(Tab_DaBa[],MATCH(CONCATENATE(Liste!$C$3,$B$1979,$B$2177),Data!$BO:$BO,0)-2,33)&lt;&gt;"",INDEX(Tab_DaBa[],MATCH(CONCATENATE(Liste!$C$3,$B$1979,$B$2177),Data!$BO:$BO,0)-2,38)=0),INDEX(Tab_DaBa[],MATCH(CONCATENATE(Liste!$C$3,$B$1979,$B$2177),Data!$BO:$BO,0)-2,12),IF(INDEX(Tab_DaBa[],MATCH(CONCATENATE(Liste!$C$3,$B$1979,$B$2177),Data!$BO:$BO,0)-2,33)&lt;&gt;"",INDEX(Tab_DaBa[],MATCH(CONCATENATE(Liste!$C$3,$B$1979,$B$2177),Data!$BO:$BO,0)-2,37),"")),"")</f>
        <v>Lo04-44_08</v>
      </c>
      <c r="E2188" s="37"/>
      <c r="F2188" s="35" t="str">
        <f ca="1">IFERROR(IF(AND(INDEX(Tab_DaBa[],MATCH(CONCATENATE(Liste!$C$3,$B$1979,$B$2177),Data!$BO:$BO,0)-2,38)&lt;&gt;"",INDEX(Tab_DaBa[],MATCH(CONCATENATE(Liste!$C$3,$B$1979,$B$2177),Data!$BO:$BO,0)-2,43)=0),INDEX(Tab_DaBa[],MATCH(CONCATENATE(Liste!$C$3,$B$1979,$B$2177),Data!$BO:$BO,0)-2,12),IF(INDEX(Tab_DaBa[],MATCH(CONCATENATE(Liste!$C$3,$B$1979,$B$2177),Data!$BO:$BO,0)-2,38)&lt;&gt;"",INDEX(Tab_DaBa[],MATCH(CONCATENATE(Liste!$C$3,$B$1979,$B$2177),Data!$BO:$BO,0)-2,42),"")),"")</f>
        <v>Lo03-33_08</v>
      </c>
      <c r="G2188" s="39"/>
      <c r="H2188" s="35" t="str">
        <f ca="1">IFERROR(IF(AND(INDEX(Tab_DaBa[],MATCH(CONCATENATE(Liste!$C$3,$B$1979,$B$2177),Data!$BO:$BO,0)-2,43)&lt;&gt;"",INDEX(Tab_DaBa[],MATCH(CONCATENATE(Liste!$C$3,$B$1979,$B$2177),Data!$BO:$BO,0)-2,48)=0),INDEX(Tab_DaBa[],MATCH(CONCATENATE(Liste!$C$3,$B$1979,$B$2177),Data!$BO:$BO,0)-2,12),IF(INDEX(Tab_DaBa[],MATCH(CONCATENATE(Liste!$C$3,$B$1979,$B$2177),Data!$BO:$BO,0)-2,43)&lt;&gt;"",INDEX(Tab_DaBa[],MATCH(CONCATENATE(Liste!$C$3,$B$1979,$B$2177),Data!$BO:$BO,0)-2,47),"")),"")</f>
        <v>Lo03-33_08</v>
      </c>
      <c r="I2188" s="39"/>
    </row>
    <row r="2189" spans="2:9" s="16" customFormat="1" ht="15.75">
      <c r="B2189" s="35" t="str">
        <f ca="1">IFERROR(IF(AND(INDEX(Tab_DaBa[],MATCH(CONCATENATE(Liste!$C$3,$B$1979,$B$2177),Data!$BO:$BO,0)-2,28)&lt;&gt;"",INDEX(Tab_DaBa[],MATCH(CONCATENATE(Liste!$C$3,$B$1979,$B$2177),Data!$BO:$BO,0)-2,33)=""),INDEX(Tab_DaBa[],MATCH(CONCATENATE(Liste!$C$3,$B$1979,$B$2177),Data!$BO:$BO,0)-2,13),IF(INDEX(Tab_DaBa[],MATCH(CONCATENATE(Liste!$C$3,$B$1979,$B$2177),Data!$BO:$BO,0)-2,28)&lt;&gt;"",INDEX(Tab_DaBa[],MATCH(CONCATENATE(Liste!$C$3,$B$1979,$B$2177),Data!$BO:$BO,0)-2,33),"")),"")</f>
        <v>Bez_Lo04_08</v>
      </c>
      <c r="C2189" s="38">
        <f ca="1">IF(D2187="","",4)</f>
        <v>4</v>
      </c>
      <c r="D2189" s="35" t="str">
        <f ca="1">IFERROR(IF(AND(INDEX(Tab_DaBa[],MATCH(CONCATENATE(Liste!$C$3,$B$1979,$B$2177),Data!$BO:$BO,0)-2,33)&lt;&gt;"",INDEX(Tab_DaBa[],MATCH(CONCATENATE(Liste!$C$3,$B$1979,$B$2177),Data!$BO:$BO,0)-2,38)=""),INDEX(Tab_DaBa[],MATCH(CONCATENATE(Liste!$C$3,$B$1979,$B$2177),Data!$BO:$BO,0)-2,13),IF(INDEX(Tab_DaBa[],MATCH(CONCATENATE(Liste!$C$3,$B$1979,$B$2177),Data!$BO:$BO,0)-2,33)&lt;&gt;"",INDEX(Tab_DaBa[],MATCH(CONCATENATE(Liste!$C$3,$B$1979,$B$2177),Data!$BO:$BO,0)-2,38),"")),"")</f>
        <v>Bez_Lo03_08</v>
      </c>
      <c r="E2189" s="38">
        <f ca="1">IF(F2187="","",4)</f>
        <v>4</v>
      </c>
      <c r="F2189" s="35" t="str">
        <f ca="1">IFERROR(IF(AND(INDEX(Tab_DaBa[],MATCH(CONCATENATE(Liste!$C$3,$B$1979,$B$2177),Data!$BO:$BO,0)-2,38)&lt;&gt;"",INDEX(Tab_DaBa[],MATCH(CONCATENATE(Liste!$C$3,$B$1979,$B$2177),Data!$BO:$BO,0)-2,43)=""),INDEX(Tab_DaBa[],MATCH(CONCATENATE(Liste!$C$3,$B$1979,$B$2177),Data!$BO:$BO,0)-2,13),IF(INDEX(Tab_DaBa[],MATCH(CONCATENATE(Liste!$C$3,$B$1979,$B$2177),Data!$BO:$BO,0)-2,38)&lt;&gt;"",INDEX(Tab_DaBa[],MATCH(CONCATENATE(Liste!$C$3,$B$1979,$B$2177),Data!$BO:$BO,0)-2,43),"")),"")</f>
        <v>Bez_Lo03_08</v>
      </c>
      <c r="G2189" s="38">
        <f ca="1">IF(H2187="","",4)</f>
        <v>4</v>
      </c>
      <c r="H2189" s="35" t="str">
        <f ca="1">IFERROR(IF(AND(INDEX(Tab_DaBa[],MATCH(CONCATENATE(Liste!$C$3,$B$1979,$B$2177),Data!$BO:$BO,0)-2,43)&lt;&gt;"",INDEX(Tab_DaBa[],MATCH(CONCATENATE(Liste!$C$3,$B$1979,$B$2177),Data!$BO:$BO,0)-2,48)=""),INDEX(Tab_DaBa[],MATCH(CONCATENATE(Liste!$C$3,$B$1979,$B$2177),Data!$BO:$BO,0)-2,13),IF(INDEX(Tab_DaBa[],MATCH(CONCATENATE(Liste!$C$3,$B$1979,$B$2177),Data!$BO:$BO,0)-2,43)&lt;&gt;"",INDEX(Tab_DaBa[],MATCH(CONCATENATE(Liste!$C$3,$B$1979,$B$2177),Data!$BO:$BO,0)-2,48),"")),"")</f>
        <v>Bez_Lo03_08</v>
      </c>
      <c r="I2189" s="38">
        <f ca="1">IF(B2195="","",6)</f>
        <v>6</v>
      </c>
    </row>
    <row r="2190" spans="2:9" s="16" customFormat="1" ht="15.75">
      <c r="B2190" s="35" t="str">
        <f ca="1">IFERROR(IF(AND(INDEX(Tab_DaBa[],MATCH(CONCATENATE(Liste!$C$3,$B$1979,$B$2177),Data!$BO:$BO,0)-2,28)&lt;&gt;"",INDEX(Tab_DaBa[],MATCH(CONCATENATE(Liste!$C$3,$B$1979,$B$2177),Data!$BO:$BO,0)-2,33)=""),"Performance Level: "&amp;INDEX(Tab_DaBa[],MATCH(CONCATENATE(Liste!$C$3,$B$1979,$B$2177),Data!$BO:$BO,0)-2,15),IF(INDEX(Tab_DaBa[],MATCH(CONCATENATE(Liste!$C$3,$B$1979,$B$2177),Data!$BO:$BO,0)-2,28)&lt;&gt;"","Performance Level: "&amp;INDEX(Tab_DaBa[],MATCH(CONCATENATE(Liste!$C$3,$B$1979,$B$2177),Data!$BO:$BO,0)-2,35),"")),"")</f>
        <v>Performance Level: PL_Lo04_08</v>
      </c>
      <c r="C2190" s="39"/>
      <c r="D2190" s="35" t="str">
        <f ca="1">IFERROR(IF(AND(INDEX(Tab_DaBa[],MATCH(CONCATENATE(Liste!$C$3,$B$1979,$B$2177),Data!$BO:$BO,0)-2,33)&lt;&gt;"",INDEX(Tab_DaBa[],MATCH(CONCATENATE(Liste!$C$3,$B$1979,$B$2177),Data!$BO:$BO,0)-2,38)=""),"Performance Level: "&amp;INDEX(Tab_DaBa[],MATCH(CONCATENATE(Liste!$C$3,$B$1979,$B$2177),Data!$BO:$BO,0)-2,15),IF(INDEX(Tab_DaBa[],MATCH(CONCATENATE(Liste!$C$3,$B$1979,$B$2177),Data!$BO:$BO,0)-2,33)&lt;&gt;"","Performance Level: "&amp;INDEX(Tab_DaBa[],MATCH(CONCATENATE(Liste!$C$3,$B$1979,$B$2177),Data!$BO:$BO,0)-2,40),"")),"")</f>
        <v>Performance Level: PL_Lo03_8</v>
      </c>
      <c r="E2190" s="37"/>
      <c r="F2190" s="35" t="str">
        <f ca="1">IFERROR(IF(AND(INDEX(Tab_DaBa[],MATCH(CONCATENATE(Liste!$C$3,$B$1979,$B$2177),Data!$BO:$BO,0)-2,38)&lt;&gt;"",INDEX(Tab_DaBa[],MATCH(CONCATENATE(Liste!$C$3,$B$1979,$B$2177),Data!$BO:$BO,0)-2,43)=""),"Performance Level: "&amp;INDEX(Tab_DaBa[],MATCH(CONCATENATE(Liste!$C$3,$B$1979,$B$2177),Data!$BO:$BO,0)-2,15),IF(INDEX(Tab_DaBa[],MATCH(CONCATENATE(Liste!$C$3,$B$1979,$B$2177),Data!$BO:$BO,0)-2,38)&lt;&gt;"","Performance Level: "&amp;INDEX(Tab_DaBa[],MATCH(CONCATENATE(Liste!$C$3,$B$1979,$B$2177),Data!$BO:$BO,0)-2,45),"")),"")</f>
        <v>Performance Level: PL_Lo03_08</v>
      </c>
      <c r="G2190" s="39"/>
      <c r="H2190" s="35" t="str">
        <f ca="1">IFERROR(IF(AND(INDEX(Tab_DaBa[],MATCH(CONCATENATE(Liste!$C$3,$B$1979,$B$2177),Data!$BO:$BO,0)-2,43)&lt;&gt;"",INDEX(Tab_DaBa[],MATCH(CONCATENATE(Liste!$C$3,$B$1979,$B$2177),Data!$BO:$BO,0)-2,48)=""),"Performance Level: "&amp;INDEX(Tab_DaBa[],MATCH(CONCATENATE(Liste!$C$3,$B$1979,$B$2177),Data!$BO:$BO,0)-2,15),IF(INDEX(Tab_DaBa[],MATCH(CONCATENATE(Liste!$C$3,$B$1979,$B$2177),Data!$BO:$BO,0)-2,43)&lt;&gt;"","Performance Level: "&amp;INDEX(Tab_DaBa[],MATCH(CONCATENATE(Liste!$C$3,$B$1979,$B$2177),Data!$BO:$BO,0)-2,50),"")),"")</f>
        <v>Performance Level: PL_Lo03_08</v>
      </c>
      <c r="I2190" s="39"/>
    </row>
    <row r="2191" spans="2:9" s="16" customFormat="1" ht="15.75">
      <c r="B2191" s="35" t="str">
        <f ca="1">IFERROR(IF(AND(INDEX(Tab_DaBa[],MATCH(CONCATENATE(Liste!$C$3,$B$1979,$B$2177),Data!$BO:$BO,0)-2,28)&lt;&gt;"",INDEX(Tab_DaBa[],MATCH(CONCATENATE(Liste!$C$3,$B$1979,$B$2177),Data!$BO:$BO,0)-2,33)=""),"PFH [1/h] = "&amp;10^9*INDEX(Tab_DaBa[],MATCH(CONCATENATE(Liste!$C$3,$B$1979,$B$2177),Data!$BO:$BO,0)-2,16)&amp;"E-9",IF(INDEX(Tab_DaBa[],MATCH(CONCATENATE(Liste!$C$3,$B$1979,$B$2177),Data!$BO:$BO,0)-2,28)&lt;&gt;"","PFH [1/h] = "&amp;10^9*INDEX(Tab_DaBa[],MATCH(CONCATENATE(Liste!$C$3,$B$1979,$B$2177),Data!$BO:$BO,0)-2,36)&amp;"E-9","")),"")</f>
        <v>PFH [1/h] = 4,19E-9</v>
      </c>
      <c r="C2191" s="39"/>
      <c r="D2191" s="35" t="str">
        <f ca="1">IFERROR(IF(AND(INDEX(Tab_DaBa[],MATCH(CONCATENATE(Liste!$C$3,$B$1979,$B$2177),Data!$BO:$BO,0)-2,33)&lt;&gt;"",INDEX(Tab_DaBa[],MATCH(CONCATENATE(Liste!$C$3,$B$1979,$B$2177),Data!$BO:$BO,0)-2,38)=""),"PFH [1/h] = "&amp;10^9*INDEX(Tab_DaBa[],MATCH(CONCATENATE(Liste!$C$3,$B$1979,$B$2177),Data!$BO:$BO,0)-2,16)&amp;"E-9",IF(INDEX(Tab_DaBa[],MATCH(CONCATENATE(Liste!$C$3,$B$1979,$B$2177),Data!$BO:$BO,0)-2,33)&lt;&gt;"","PFH [1/h] = "&amp;10^9*INDEX(Tab_DaBa[],MATCH(CONCATENATE(Liste!$C$3,$B$1979,$B$2177),Data!$BO:$BO,0)-2,41)&amp;"E-9","")),"")</f>
        <v>PFH [1/h] = 4,19E-9</v>
      </c>
      <c r="E2191" s="37"/>
      <c r="F2191" s="35" t="str">
        <f ca="1">IFERROR(IF(AND(INDEX(Tab_DaBa[],MATCH(CONCATENATE(Liste!$C$3,$B$1979,$B$2177),Data!$BO:$BO,0)-2,38)&lt;&gt;"",INDEX(Tab_DaBa[],MATCH(CONCATENATE(Liste!$C$3,$B$1979,$B$2177),Data!$BO:$BO,0)-2,43)=""),"PFH [1/h] = "&amp;10^9*INDEX(Tab_DaBa[],MATCH(CONCATENATE(Liste!$C$3,$B$1979,$B$2177),Data!$BO:$BO,0)-2,16)&amp;"E-9",IF(INDEX(Tab_DaBa[],MATCH(CONCATENATE(Liste!$C$3,$B$1979,$B$2177),Data!$BO:$BO,0)-2,38)&lt;&gt;"","PFH [1/h] = "&amp;10^9*INDEX(Tab_DaBa[],MATCH(CONCATENATE(Liste!$C$3,$B$1979,$B$2177),Data!$BO:$BO,0)-2,46)&amp;"E-9","")),"")</f>
        <v>PFH [1/h] = 4,19E-9</v>
      </c>
      <c r="G2191" s="39"/>
      <c r="H2191" s="35" t="str">
        <f ca="1">IFERROR(IF(AND(INDEX(Tab_DaBa[],MATCH(CONCATENATE(Liste!$C$3,$B$1979,$B$2177),Data!$BO:$BO,0)-2,43)&lt;&gt;"",INDEX(Tab_DaBa[],MATCH(CONCATENATE(Liste!$C$3,$B$1979,$B$2177),Data!$BO:$BO,0)-2,48)=""),"PFH [1/h] = "&amp;10^9*INDEX(Tab_DaBa[],MATCH(CONCATENATE(Liste!$C$3,$B$1979,$B$2177),Data!$BO:$BO,0)-2,16)&amp;"E-9",IF(INDEX(Tab_DaBa[],MATCH(CONCATENATE(Liste!$C$3,$B$1979,$B$2177),Data!$BO:$BO,0)-2,43)&lt;&gt;"","PFH [1/h] = "&amp;10^9*INDEX(Tab_DaBa[],MATCH(CONCATENATE(Liste!$C$3,$B$1979,$B$2177),Data!$BO:$BO,0)-2,51)&amp;"E-9","")),"")</f>
        <v>PFH [1/h] = 4,19E-9</v>
      </c>
      <c r="I2191" s="39"/>
    </row>
    <row r="2192" spans="2:9" s="16" customFormat="1">
      <c r="B2192" s="33"/>
      <c r="C2192" s="33"/>
      <c r="D2192" s="33"/>
      <c r="E2192" s="33"/>
      <c r="F2192" s="33"/>
      <c r="G2192" s="33"/>
      <c r="H2192" s="33"/>
      <c r="I2192" s="33"/>
    </row>
    <row r="2193" spans="2:9" s="16" customFormat="1" ht="15.75">
      <c r="B2193" s="38">
        <f ca="1">IF(B2195="","",6)</f>
        <v>6</v>
      </c>
      <c r="C2193" s="33"/>
      <c r="D2193" s="38">
        <f ca="1">IF(B2195="","",3)</f>
        <v>3</v>
      </c>
      <c r="E2193" s="33"/>
      <c r="F2193" s="38">
        <f ca="1">IF(B2195="","",3)</f>
        <v>3</v>
      </c>
      <c r="G2193" s="33"/>
      <c r="H2193" s="38">
        <f ca="1">IF(B2195="","",3)</f>
        <v>3</v>
      </c>
      <c r="I2193" s="33"/>
    </row>
    <row r="2194" spans="2:9" s="16" customFormat="1" ht="15.75">
      <c r="B2194" s="39"/>
      <c r="C2194" s="33"/>
      <c r="D2194" s="33"/>
      <c r="E2194" s="33"/>
      <c r="F2194" s="33"/>
      <c r="G2194" s="33"/>
      <c r="H2194" s="33"/>
      <c r="I2194" s="33"/>
    </row>
    <row r="2195" spans="2:9" s="16" customFormat="1" ht="15.75">
      <c r="B2195" s="35" t="str">
        <f ca="1">IFERROR(IF(AND(INDEX(Tab_DaBa[],MATCH(CONCATENATE(Liste!$C$3,$B$1979,$B$2177),Data!$BO:$BO,0)-2,48)&lt;&gt;"",INDEX(Tab_DaBa[],MATCH(CONCATENATE(Liste!$C$3,$B$1979,$B$2177),Data!$BO:$BO,0)-2,53)=0),INDEX(Tab_DaBa[],MATCH(CONCATENATE(Liste!$C$3,$B$1979,$B$2177),Data!$BO:$BO,0)-2,14),IF(INDEX(Tab_DaBa[],MATCH(CONCATENATE(Liste!$C$3,$B$1979,$B$2177),Data!$BO:$BO,0)-2,48)&lt;&gt;"",INDEX(Tab_DaBa[],MATCH(CONCATENATE(Liste!$C$3,$B$1979,$B$2177),Data!$BO:$BO,0)-2,54),"")),"")</f>
        <v>Logik 08</v>
      </c>
      <c r="C2195" s="39"/>
      <c r="D2195" s="35" t="str">
        <f ca="1">IFERROR(IF(AND(INDEX(Tab_DaBa[],MATCH(CONCATENATE(Liste!$C$3,$B$1979,$B$2177),Data!$BO:$BO,0)-2,53)&lt;&gt;"",INDEX(Tab_DaBa[],MATCH(CONCATENATE(Liste!$C$3,$B$1979,$B$2177),Data!$BO:$BO,0)-2,58)=0),INDEX(Tab_DaBa[],MATCH(CONCATENATE(Liste!$C$3,$B$1979,$B$2177),Data!$BO:$BO,0)-2,14),IF(INDEX(Tab_DaBa[],MATCH(CONCATENATE(Liste!$C$3,$B$1979,$B$2177),Data!$BO:$BO,0)-2,53)&lt;&gt;"",INDEX(Tab_DaBa[],MATCH(CONCATENATE(Liste!$C$3,$B$1979,$B$2177),Data!$BO:$BO,0)-2,59),"")),"")</f>
        <v>Ausgang</v>
      </c>
      <c r="E2195" s="33"/>
      <c r="F2195" s="35" t="str">
        <f ca="1">IFERROR(IF(AND(INDEX(Tab_DaBa[],MATCH(CONCATENATE(Liste!$C$3,$B$1979,$B$2177),Data!$BO:$BO,0)-2,58)&lt;&gt;"",INDEX(Tab_DaBa[],MATCH(CONCATENATE(Liste!$C$3,$B$1979,$B$2177),Data!$BO:$BO,0)-2,63)=0),INDEX(Tab_DaBa[],MATCH(CONCATENATE(Liste!$C$3,$B$1979,$B$2177),Data!$BO:$BO,0)-2,14),IF(INDEX(Tab_DaBa[],MATCH(CONCATENATE(Liste!$C$3,$B$1979,$B$2177),Data!$BO:$BO,0)-2,58)&lt;&gt;"",INDEX(Tab_DaBa[],MATCH(CONCATENATE(Liste!$C$3,$B$1979,$B$2177),Data!$BO:$BO,0)-2,64),"")),"")</f>
        <v/>
      </c>
      <c r="G2195" s="39"/>
      <c r="H2195" s="35" t="str">
        <f ca="1">IFERROR(IF(INDEX(Tab_DaBa[],MATCH(CONCATENATE(Liste!$C$3,$B$1979,$B$2177),Data!$BO:$BO,0)-2,63)&lt;&gt;"",INDEX(Tab_DaBa[],MATCH(CONCATENATE(Liste!$C$3,$B$1979,$B$2177),Data!$BO:$BO,0)-2,14),""),"")</f>
        <v/>
      </c>
    </row>
    <row r="2196" spans="2:9" s="16" customFormat="1" ht="15.75">
      <c r="B2196" s="35" t="str">
        <f ca="1">IFERROR(IF(AND(INDEX(Tab_DaBa[],MATCH(CONCATENATE(Liste!$C$3,$B$1979,$B$2177),Data!$BO:$BO,0)-2,48)&lt;&gt;"",INDEX(Tab_DaBa[],MATCH(CONCATENATE(Liste!$C$3,$B$1979,$B$2177),Data!$BO:$BO,0)-2,53)=0),INDEX(Tab_DaBa[],MATCH(CONCATENATE(Liste!$C$3,$B$1979,$B$2177),Data!$BO:$BO,0)-2,12),IF(INDEX(Tab_DaBa[],MATCH(CONCATENATE(Liste!$C$3,$B$1979,$B$2177),Data!$BO:$BO,0)-2,48)&lt;&gt;"",INDEX(Tab_DaBa[],MATCH(CONCATENATE(Liste!$C$3,$B$1979,$B$2177),Data!$BO:$BO,0)-2,52),"")),"")</f>
        <v>Lo03-88_08</v>
      </c>
      <c r="C2196" s="39"/>
      <c r="D2196" s="35" t="str">
        <f ca="1">IFERROR(IF(AND(INDEX(Tab_DaBa[],MATCH(CONCATENATE(Liste!$C$3,$B$1979,$B$2177),Data!$BO:$BO,0)-2,53)&lt;&gt;"",INDEX(Tab_DaBa[],MATCH(CONCATENATE(Liste!$C$3,$B$1979,$B$2177),Data!$BO:$BO,0)-2,58)=0),INDEX(Tab_DaBa[],MATCH(CONCATENATE(Liste!$C$3,$B$1979,$B$2177),Data!$BO:$BO,0)-2,12),IF(INDEX(Tab_DaBa[],MATCH(CONCATENATE(Liste!$C$3,$B$1979,$B$2177),Data!$BO:$BO,0)-2,53)&lt;&gt;"",INDEX(Tab_DaBa[],MATCH(CONCATENATE(Liste!$C$3,$B$1979,$B$2177),Data!$BO:$BO,0)-2,57),"")),"")</f>
        <v>aaaa-44_8</v>
      </c>
      <c r="E2196" s="37"/>
      <c r="F2196" s="35" t="str">
        <f ca="1">IFERROR(IF(AND(INDEX(Tab_DaBa[],MATCH(CONCATENATE(Liste!$C$3,$B$1979,$B$2177),Data!$BO:$BO,0)-2,58)&lt;&gt;"",INDEX(Tab_DaBa[],MATCH(CONCATENATE(Liste!$C$3,$B$1979,$B$2177),Data!$BO:$BO,0)-2,63)=0),INDEX(Tab_DaBa[],MATCH(CONCATENATE(Liste!$C$3,$B$1979,$B$2177),Data!$BO:$BO,0)-2,12),IF(INDEX(Tab_DaBa[],MATCH(CONCATENATE(Liste!$C$3,$B$1979,$B$2177),Data!$BO:$BO,0)-2,58)&lt;&gt;"",INDEX(Tab_DaBa[],MATCH(CONCATENATE(Liste!$C$3,$B$1979,$B$2177),Data!$BO:$BO,0)-2,62),"")),"")</f>
        <v/>
      </c>
      <c r="G2196" s="39"/>
      <c r="H2196" s="35" t="str">
        <f ca="1">IFERROR(IF(INDEX(Tab_DaBa[],MATCH(CONCATENATE(Liste!$C$3,$B$1979,$B$2177),Data!$BO:$BO,0)-2,63)&lt;&gt;"",INDEX(Tab_DaBa[],MATCH(CONCATENATE(Liste!$C$3,$B$1979,$B$2177),Data!$BO:$BO,0)-2,12),""),"")</f>
        <v/>
      </c>
    </row>
    <row r="2197" spans="2:9" s="16" customFormat="1" ht="15.75">
      <c r="B2197" s="35" t="str">
        <f ca="1">IFERROR(IF(AND(INDEX(Tab_DaBa[],MATCH(CONCATENATE(Liste!$C$3,$B$1979,$B$2177),Data!$BO:$BO,0)-2,48)&lt;&gt;"",INDEX(Tab_DaBa[],MATCH(CONCATENATE(Liste!$C$3,$B$1979,$B$2177),Data!$BO:$BO,0)-2,53)=""),INDEX(Tab_DaBa[],MATCH(CONCATENATE(Liste!$C$3,$B$1979,$B$2177),Data!$BO:$BO,0)-2,13),IF(INDEX(Tab_DaBa[],MATCH(CONCATENATE(Liste!$C$3,$B$1979,$B$2177),Data!$BO:$BO,0)-2,48)&lt;&gt;"",INDEX(Tab_DaBa[],MATCH(CONCATENATE(Liste!$C$3,$B$1979,$B$2177),Data!$BO:$BO,0)-2,53),"")),"")</f>
        <v>Bez_Lo03_08</v>
      </c>
      <c r="C2197" s="38">
        <f ca="1">IF(D2195="","",4)</f>
        <v>4</v>
      </c>
      <c r="D2197" s="35" t="str">
        <f ca="1">IFERROR(IF(AND(INDEX(Tab_DaBa[],MATCH(CONCATENATE(Liste!$C$3,$B$1979,$B$2177),Data!$BO:$BO,0)-2,53)&lt;&gt;"",INDEX(Tab_DaBa[],MATCH(CONCATENATE(Liste!$C$3,$B$1979,$B$2177),Data!$BO:$BO,0)-2,58)=""),INDEX(Tab_DaBa[],MATCH(CONCATENATE(Liste!$C$3,$B$1979,$B$2177),Data!$BO:$BO,0)-2,13),IF(INDEX(Tab_DaBa[],MATCH(CONCATENATE(Liste!$C$3,$B$1979,$B$2177),Data!$BO:$BO,0)-2,53)&lt;&gt;"",INDEX(Tab_DaBa[],MATCH(CONCATENATE(Liste!$C$3,$B$1979,$B$2177),Data!$BO:$BO,0)-2,58),"")),"")</f>
        <v>Bez_Aus4_8</v>
      </c>
      <c r="E2197" s="38" t="str">
        <f ca="1">IF(F2195="","",4)</f>
        <v/>
      </c>
      <c r="F2197" s="35" t="str">
        <f ca="1">IFERROR(IF(AND(INDEX(Tab_DaBa[],MATCH(CONCATENATE(Liste!$C$3,$B$1979,$B$2177),Data!$BO:$BO,0)-2,58)&lt;&gt;"",INDEX(Tab_DaBa[],MATCH(CONCATENATE(Liste!$C$3,$B$1979,$B$2177),Data!$BO:$BO,0)-2,63)=""),INDEX(Tab_DaBa[],MATCH(CONCATENATE(Liste!$C$3,$B$1979,$B$2177),Data!$BO:$BO,0)-2,13),IF(INDEX(Tab_DaBa[],MATCH(CONCATENATE(Liste!$C$3,$B$1979,$B$2177),Data!$BO:$BO,0)-2,58)&lt;&gt;"",INDEX(Tab_DaBa[],MATCH(CONCATENATE(Liste!$C$3,$B$1979,$B$2177),Data!$BO:$BO,0)-2,63),"")),"")</f>
        <v/>
      </c>
      <c r="G2197" s="38" t="str">
        <f ca="1">IF(H2195="","",4)</f>
        <v/>
      </c>
      <c r="H2197" s="35" t="str">
        <f ca="1">IFERROR(IF(INDEX(Tab_DaBa[],MATCH(CONCATENATE(Liste!$C$3,$B$1979,$B$2177),Data!$BO:$BO,0)-2,63)&lt;&gt;"",INDEX(Tab_DaBa[],MATCH(CONCATENATE(Liste!$C$3,$B$1979,$B$2177),Data!$BO:$BO,0)-2,13),""),"")</f>
        <v/>
      </c>
    </row>
    <row r="2198" spans="2:9" s="16" customFormat="1" ht="15.75">
      <c r="B2198" s="35" t="str">
        <f ca="1">IFERROR(IF(AND(INDEX(Tab_DaBa[],MATCH(CONCATENATE(Liste!$C$3,$B$1979,$B$2177),Data!$BO:$BO,0)-2,48)&lt;&gt;"",INDEX(Tab_DaBa[],MATCH(CONCATENATE(Liste!$C$3,$B$1979,$B$2177),Data!$BO:$BO,0)-2,53)=""),"Performance Level: "&amp;INDEX(Tab_DaBa[],MATCH(CONCATENATE(Liste!$C$3,$B$1979,$B$2177),Data!$BO:$BO,0)-2,15),IF(INDEX(Tab_DaBa[],MATCH(CONCATENATE(Liste!$C$3,$B$1979,$B$2177),Data!$BO:$BO,0)-2,48)&lt;&gt;"","Performance Level: "&amp;INDEX(Tab_DaBa[],MATCH(CONCATENATE(Liste!$C$3,$B$1979,$B$2177),Data!$BO:$BO,0)-2,55),"")),"")</f>
        <v>Performance Level: PL_Lo03_08</v>
      </c>
      <c r="C2198" s="39"/>
      <c r="D2198" s="35" t="str">
        <f ca="1">IFERROR(IF(AND(INDEX(Tab_DaBa[],MATCH(CONCATENATE(Liste!$C$3,$B$1979,$B$2177),Data!$BO:$BO,0)-2,53)&lt;&gt;"",INDEX(Tab_DaBa[],MATCH(CONCATENATE(Liste!$C$3,$B$1979,$B$2177),Data!$BO:$BO,0)-2,58)=""),"Performance Level: "&amp;INDEX(Tab_DaBa[],MATCH(CONCATENATE(Liste!$C$3,$B$1979,$B$2177),Data!$BO:$BO,0)-2,15),IF(INDEX(Tab_DaBa[],MATCH(CONCATENATE(Liste!$C$3,$B$1979,$B$2177),Data!$BO:$BO,0)-2,53)&lt;&gt;"","Performance Level: "&amp;INDEX(Tab_DaBa[],MATCH(CONCATENATE(Liste!$C$3,$B$1979,$B$2177),Data!$BO:$BO,0)-2,60),"")),"")</f>
        <v>Performance Level: PL_Aus4_8</v>
      </c>
      <c r="E2198" s="37"/>
      <c r="F2198" s="35" t="str">
        <f ca="1">IFERROR(IF(AND(INDEX(Tab_DaBa[],MATCH(CONCATENATE(Liste!$C$3,$B$1979,$B$2177),Data!$BO:$BO,0)-2,58)&lt;&gt;"",INDEX(Tab_DaBa[],MATCH(CONCATENATE(Liste!$C$3,$B$1979,$B$2177),Data!$BO:$BO,0)-2,63)=""),"Performance Level: "&amp;INDEX(Tab_DaBa[],MATCH(CONCATENATE(Liste!$C$3,$B$1979,$B$2177),Data!$BO:$BO,0)-2,15),IF(INDEX(Tab_DaBa[],MATCH(CONCATENATE(Liste!$C$3,$B$1979,$B$2177),Data!$BO:$BO,0)-2,58)&lt;&gt;"","Performance Level: "&amp;INDEX(Tab_DaBa[],MATCH(CONCATENATE(Liste!$C$3,$B$1979,$B$2177),Data!$BO:$BO,0)-2,65),"")),"")</f>
        <v/>
      </c>
      <c r="G2198" s="39"/>
      <c r="H2198" s="35" t="str">
        <f ca="1">IFERROR(IF(INDEX(Tab_DaBa[],MATCH(CONCATENATE(Liste!$C$3,$B$1979,$B$2177),Data!$BO:$BO,0)-2,63)&lt;&gt;"","Performance Level: "&amp;INDEX(Tab_DaBa[],MATCH(CONCATENATE(Liste!$C$3,$B$1979,$B$2177),Data!$BO:$BO,0)-2,15),""),"")</f>
        <v/>
      </c>
    </row>
    <row r="2199" spans="2:9" s="16" customFormat="1" ht="15.75">
      <c r="B2199" s="35" t="str">
        <f ca="1">IFERROR(IF(AND(INDEX(Tab_DaBa[],MATCH(CONCATENATE(Liste!$C$3,$B$1979,$B$2177),Data!$BO:$BO,0)-2,48)&lt;&gt;"",INDEX(Tab_DaBa[],MATCH(CONCATENATE(Liste!$C$3,$B$1979,$B$2177),Data!$BO:$BO,0)-2,53)=""),"PFH [1/h] = "&amp;10^9*INDEX(Tab_DaBa[],MATCH(CONCATENATE(Liste!$C$3,$B$1979,$B$2177),Data!$BO:$BO,0)-2,16)&amp;"E-9",IF(INDEX(Tab_DaBa[],MATCH(CONCATENATE(Liste!$C$3,$B$1979,$B$2177),Data!$BO:$BO,0)-2,48)&lt;&gt;"","PFH [1/h] = "&amp;10^9*INDEX(Tab_DaBa[],MATCH(CONCATENATE(Liste!$C$3,$B$1979,$B$2177),Data!$BO:$BO,0)-2,56)&amp;"E-9","")),"")</f>
        <v>PFH [1/h] = 4,19E-9</v>
      </c>
      <c r="C2199" s="39"/>
      <c r="D2199" s="35" t="str">
        <f ca="1">IFERROR(IF(AND(INDEX(Tab_DaBa[],MATCH(CONCATENATE(Liste!$C$3,$B$1979,$B$2177),Data!$BO:$BO,0)-2,53)&lt;&gt;"",INDEX(Tab_DaBa[],MATCH(CONCATENATE(Liste!$C$3,$B$1979,$B$2177),Data!$BO:$BO,0)-2,58)=""),"PFH [1/h] = "&amp;10^9*INDEX(Tab_DaBa[],MATCH(CONCATENATE(Liste!$C$3,$B$1979,$B$2177),Data!$BO:$BO,0)-2,16)&amp;"E-9",IF(INDEX(Tab_DaBa[],MATCH(CONCATENATE(Liste!$C$3,$B$1979,$B$2177),Data!$BO:$BO,0)-2,53)&lt;&gt;"","PFH [1/h] = "&amp;10^9*INDEX(Tab_DaBa[],MATCH(CONCATENATE(Liste!$C$3,$B$1979,$B$2177),Data!$BO:$BO,0)-2,61)&amp;"E-9","")),"")</f>
        <v>PFH [1/h] = 24,7E-9</v>
      </c>
      <c r="E2199" s="37"/>
      <c r="F2199" s="35" t="str">
        <f ca="1">IFERROR(IF(AND(INDEX(Tab_DaBa[],MATCH(CONCATENATE(Liste!$C$3,$B$1979,$B$2177),Data!$BO:$BO,0)-2,58)&lt;&gt;"",INDEX(Tab_DaBa[],MATCH(CONCATENATE(Liste!$C$3,$B$1979,$B$2177),Data!$BO:$BO,0)-2,63)=""),"PFH [1/h] = "&amp;10^9*INDEX(Tab_DaBa[],MATCH(CONCATENATE(Liste!$C$3,$B$1979,$B$2177),Data!$BO:$BO,0)-2,16)&amp;"E-9",IF(INDEX(Tab_DaBa[],MATCH(CONCATENATE(Liste!$C$3,$B$1979,$B$2177),Data!$BO:$BO,0)-2,58)&lt;&gt;"","PFH [1/h] = "&amp;10^9*INDEX(Tab_DaBa[],MATCH(CONCATENATE(Liste!$C$3,$B$1979,$B$2177),Data!$BO:$BO,0)-2,66)&amp;"E-9","")),"")</f>
        <v/>
      </c>
      <c r="G2199" s="39"/>
      <c r="H2199" s="35" t="str">
        <f ca="1">IFERROR(IF(INDEX(Tab_DaBa[],MATCH(CONCATENATE(Liste!$C$3,$B$1979,$B$2177),Data!$BO:$BO,0)-2,63)&lt;&gt;"","PFH [1/h] = "&amp;10^9*INDEX(Tab_DaBa[],MATCH(CONCATENATE(Liste!$C$3,$B$1979,$B$2177),Data!$BO:$BO,0)-2,16)&amp;"E-9",""),"")</f>
        <v/>
      </c>
    </row>
    <row r="2200" spans="2:9" s="16" customFormat="1"/>
    <row r="2201" spans="2:9" s="16" customFormat="1">
      <c r="B2201" s="43" t="str">
        <f ca="1">IF(D2201="","","Erforderlich")</f>
        <v>Erforderlich</v>
      </c>
      <c r="D2201" s="44" t="str">
        <f ca="1">IFERROR("Performance Level: "&amp;INDEX(Tab_DaBa[],MATCH(CONCATENATE(Liste!$C$3,$B$1979,$B$2177),Data!$BO:$BO,0)-2,4),"")</f>
        <v>Performance Level: PLr_ges4_8</v>
      </c>
    </row>
    <row r="2202" spans="2:9" s="16" customFormat="1">
      <c r="B2202" s="45"/>
    </row>
    <row r="2203" spans="2:9" s="16" customFormat="1">
      <c r="B2203" s="46" t="str">
        <f ca="1">IF(D2203="","","Erreicht")</f>
        <v>Erreicht</v>
      </c>
      <c r="D2203" s="47" t="str">
        <f ca="1">IFERROR("Performance Level: "&amp;INDEX(Tab_DaBa[],MATCH(CONCATENATE(Liste!$C$3,$B$1979,$B$2177),Data!$BO:$BO,0)-2,5)&amp;"          PFH [1/h] = "&amp;10^9*INDEX(Tab_DaBa[],MATCH(CONCATENATE(Liste!$C$3,$B$1979,$B$2177),Data!$BO:$BO,0)-2,6)&amp;"E-9","")</f>
        <v>Performance Level: Pl_ges4_8          PFH [1/h] = 71,7E-9</v>
      </c>
    </row>
    <row r="2204" spans="2:9" s="16" customFormat="1">
      <c r="B2204" s="50"/>
      <c r="C2204" s="49"/>
      <c r="D2204" s="49"/>
    </row>
    <row r="2205" spans="2:9" s="16" customFormat="1">
      <c r="B2205" s="42" t="str">
        <f ca="1">IFERROR(IF(9&gt;COUNTIF(Data!$BP:$BP,CONCATENATE(Liste!$C$3,$B$1979)),"",INDEX(Tab_DaBa[],MATCH(CONCATENATE(Liste!$C$3,$B$1979),Data!$BP:$BP,0)+6,3)),"")</f>
        <v>8.9 Test08 (E+9L+A)</v>
      </c>
    </row>
    <row r="2206" spans="2:9" s="16" customFormat="1"/>
    <row r="2207" spans="2:9" s="16" customFormat="1" ht="15.75">
      <c r="B2207" s="35" t="str">
        <f ca="1">IFERROR(INDEX(Tab_DaBa[],MATCH(CONCATENATE(Liste!$C$3,$B$1979,$B$2205),Data!$BO:$BO,0)-2,9),"")</f>
        <v>Eingang</v>
      </c>
      <c r="C2207" s="54"/>
      <c r="D2207" s="35" t="str">
        <f ca="1">IFERROR(IF(INDEX(Tab_DaBa[],MATCH(CONCATENATE(Liste!$C$3,$B$1979,$B$2205),Data!$BO:$BO,0)-2,18)=0,INDEX(Tab_DaBa[],MATCH(CONCATENATE(Liste!$C$3,$B$1979,$B$2205),Data!$BO:$BO,0)-2,14),INDEX(Tab_DaBa[],MATCH(CONCATENATE(Liste!$C$3,$B$1979,$B$2205),Data!$BO:$BO,0)-2,19)),"")</f>
        <v>Logik 01</v>
      </c>
      <c r="E2207" s="33"/>
      <c r="F2207" s="35" t="str">
        <f ca="1">IFERROR(IF(AND(INDEX(Tab_DaBa[],MATCH(CONCATENATE(Liste!$C$3,$B$1979,$B$2205),Data!$BO:$BO,0)-2,18)&lt;&gt;"",INDEX(Tab_DaBa[],MATCH(CONCATENATE(Liste!$C$3,$B$1979,$B$2205),Data!$BO:$BO,0)-2,23)=0),INDEX(Tab_DaBa[],MATCH(CONCATENATE(Liste!$C$3,$B$1979,$B$2205),Data!$BO:$BO,0)-2,14),IF(INDEX(Tab_DaBa[],MATCH(CONCATENATE(Liste!$C$3,$B$1979,$B$2205),Data!$BO:$BO,0)-2,23)&lt;&gt;"",INDEX(Tab_DaBa[],MATCH(CONCATENATE(Liste!$C$3,$B$1979,$B$2205),Data!$BO:$BO,0)-2,24),"")),"")</f>
        <v>Logik 02</v>
      </c>
      <c r="G2207" s="39"/>
      <c r="H2207" s="35" t="str">
        <f ca="1">IFERROR(IF(AND(INDEX(Tab_DaBa[],MATCH(CONCATENATE(Liste!$C$3,$B$1979,$B$2205),Data!$BO:$BO,0)-2,23)&lt;&gt;"",INDEX(Tab_DaBa[],MATCH(CONCATENATE(Liste!$C$3,$B$1979,$B$2205),Data!$BO:$BO,0)-2,28)=0),INDEX(Tab_DaBa[],MATCH(CONCATENATE(Liste!$C$3,$B$1979,$B$2205),Data!$BO:$BO,0)-2,14),IF(INDEX(Tab_DaBa[],MATCH(CONCATENATE(Liste!$C$3,$B$1979,$B$2205),Data!$BO:$BO,0)-2,23)&lt;&gt;"",INDEX(Tab_DaBa[],MATCH(CONCATENATE(Liste!$C$3,$B$1979,$B$2205),Data!$BO:$BO,0)-2,29),"")),"")</f>
        <v>Logik 03</v>
      </c>
      <c r="I2207" s="39"/>
    </row>
    <row r="2208" spans="2:9" s="16" customFormat="1" ht="15.75">
      <c r="B2208" s="35" t="str">
        <f ca="1">IFERROR(INDEX(Tab_DaBa[],MATCH(CONCATENATE(Liste!$C$3,$B$1979,$B$2205),Data!$BO:$BO,0)-2,7),"")</f>
        <v>eeee-33_9</v>
      </c>
      <c r="C2208" s="54"/>
      <c r="D2208" s="35" t="str">
        <f ca="1">IFERROR(IF(INDEX(Tab_DaBa[],MATCH(CONCATENATE(Liste!$C$3,$B$1979,$B$2205),Data!$BO:$BO,0)-2,18)="",INDEX(Tab_DaBa[],MATCH(CONCATENATE(Liste!$C$3,$B$1979,$B$2205),Data!$BO:$BO,0)-2,12),INDEX(Tab_DaBa[],MATCH(CONCATENATE(Liste!$C$3,$B$1979,$B$2205),Data!$BO:$BO,0)-2,17)),"")</f>
        <v>Log01-04_09</v>
      </c>
      <c r="E2208" s="36"/>
      <c r="F2208" s="35" t="str">
        <f ca="1">IFERROR(IF(AND(INDEX(Tab_DaBa[],MATCH(CONCATENATE(Liste!$C$3,$B$1979,$B$2205),Data!$BO:$BO,0)-2,18)&lt;&gt;"",INDEX(Tab_DaBa[],MATCH(CONCATENATE(Liste!$C$3,$B$1979,$B$2205),Data!$BO:$BO,0)-2,23)=0),INDEX(Tab_DaBa[],MATCH(CONCATENATE(Liste!$C$3,$B$1979,$B$2205),Data!$BO:$BO,0)-2,12),IF(INDEX(Tab_DaBa[],MATCH(CONCATENATE(Liste!$C$3,$B$1979,$B$2205),Data!$BO:$BO,0)-2,23)&lt;&gt;"",INDEX(Tab_DaBa[],MATCH(CONCATENATE(Liste!$C$3,$B$1979,$B$2205),Data!$BO:$BO,0)-2,22),"")),"")</f>
        <v>Lo04-04_09</v>
      </c>
      <c r="G2208" s="39"/>
      <c r="H2208" s="35" t="str">
        <f ca="1">IFERROR(IF(AND(INDEX(Tab_DaBa[],MATCH(CONCATENATE(Liste!$C$3,$B$1979,$B$2205),Data!$BO:$BO,0)-2,23)&lt;&gt;"",INDEX(Tab_DaBa[],MATCH(CONCATENATE(Liste!$C$3,$B$1979,$B$2205),Data!$BO:$BO,0)-2,28)=0),INDEX(Tab_DaBa[],MATCH(CONCATENATE(Liste!$C$3,$B$1979,$B$2205),Data!$BO:$BO,0)-2,12),IF(INDEX(Tab_DaBa[],MATCH(CONCATENATE(Liste!$C$3,$B$1979,$B$2205),Data!$BO:$BO,0)-2,23)&lt;&gt;"",INDEX(Tab_DaBa[],MATCH(CONCATENATE(Liste!$C$3,$B$1979,$B$2205),Data!$BO:$BO,0)-2,27),"")),"")</f>
        <v>Lo04-44_09</v>
      </c>
      <c r="I2208" s="39"/>
    </row>
    <row r="2209" spans="2:9" s="16" customFormat="1" ht="15.75">
      <c r="B2209" s="35" t="str">
        <f ca="1">IFERROR(INDEX(Tab_DaBa[],MATCH(CONCATENATE(Liste!$C$3,$B$1979,$B$2205),Data!$BO:$BO,0)-2,8),"")</f>
        <v>Bez_Ein4_9</v>
      </c>
      <c r="C2209" s="40">
        <f ca="1">IF(D2207="","",4)</f>
        <v>4</v>
      </c>
      <c r="D2209" s="35" t="str">
        <f ca="1">IFERROR(IF(INDEX(Tab_DaBa[],MATCH(CONCATENATE(Liste!$C$3,$B$1979,$B$2205),Data!$BO:$BO,0)-2,18)="",INDEX(Tab_DaBa[],MATCH(CONCATENATE(Liste!$C$3,$B$1979,$B$2205),Data!$BO:$BO,0)-2,13),INDEX(Tab_DaBa[],MATCH(CONCATENATE(Liste!$C$3,$B$1979,$B$2205),Data!$BO:$BO,0)-2,18)),"")</f>
        <v>Bez_Log01_04_09</v>
      </c>
      <c r="E2209" s="40">
        <f ca="1">IF(F2207="","",4)</f>
        <v>4</v>
      </c>
      <c r="F2209" s="35" t="str">
        <f ca="1">IFERROR(IF(AND(INDEX(Tab_DaBa[],MATCH(CONCATENATE(Liste!$C$3,$B$1979,$B$2205),Data!$BO:$BO,0)-2,18)&lt;&gt;"",INDEX(Tab_DaBa[],MATCH(CONCATENATE(Liste!$C$3,$B$1979,$B$2205),Data!$BO:$BO,0)-2,23)=""),INDEX(Tab_DaBa[],MATCH(CONCATENATE(Liste!$C$3,$B$1979,$B$2205),Data!$BO:$BO,0)-2,13),IF(INDEX(Tab_DaBa[],MATCH(CONCATENATE(Liste!$C$3,$B$1979,$B$2205),Data!$BO:$BO,0)-2,23)&lt;&gt;"",INDEX(Tab_DaBa[],MATCH(CONCATENATE(Liste!$C$3,$B$1979,$B$2205),Data!$BO:$BO,0)-2,23),"")),"")</f>
        <v>Bez_Lo04_09</v>
      </c>
      <c r="G2209" s="38">
        <f ca="1">IF(H2207="","",4)</f>
        <v>4</v>
      </c>
      <c r="H2209" s="35" t="str">
        <f ca="1">IFERROR(IF(AND(INDEX(Tab_DaBa[],MATCH(CONCATENATE(Liste!$C$3,$B$1979,$B$2205),Data!$BO:$BO,0)-2,23)&lt;&gt;"",INDEX(Tab_DaBa[],MATCH(CONCATENATE(Liste!$C$3,$B$1979,$B$2205),Data!$BO:$BO,0)-2,28)=""),INDEX(Tab_DaBa[],MATCH(CONCATENATE(Liste!$C$3,$B$1979,$B$2205),Data!$BO:$BO,0)-2,13),IF(INDEX(Tab_DaBa[],MATCH(CONCATENATE(Liste!$C$3,$B$1979,$B$2205),Data!$BO:$BO,0)-2,23)&lt;&gt;"",INDEX(Tab_DaBa[],MATCH(CONCATENATE(Liste!$C$3,$B$1979,$B$2205),Data!$BO:$BO,0)-2,28),"")),"")</f>
        <v>Bez_Lo04_09</v>
      </c>
      <c r="I2209" s="38">
        <f ca="1">IF(B2215="","",6)</f>
        <v>6</v>
      </c>
    </row>
    <row r="2210" spans="2:9" s="16" customFormat="1" ht="15.75">
      <c r="B2210" s="35" t="str">
        <f ca="1">IFERROR("Performance Level: "&amp;INDEX(Tab_DaBa[],MATCH(CONCATENATE(Liste!$C$3,$B$1979,$B$2205),Data!$BO:$BO,0)-2,10),"")</f>
        <v>Performance Level: PL_Ein4_9</v>
      </c>
      <c r="C2210" s="54"/>
      <c r="D2210" s="35" t="str">
        <f ca="1">IFERROR(IF(INDEX(Tab_DaBa[],MATCH(CONCATENATE(Liste!$C$3,$B$1979,$B$2205),Data!$BO:$BO,0)-2,18)="","Performance Level: "&amp;INDEX(Tab_DaBa[],MATCH(CONCATENATE(Liste!$C$3,$B$1979,$B$2205),Data!$BO:$BO,0)-2,15),"Performance Level: "&amp;INDEX(Tab_DaBa[],MATCH(CONCATENATE(Liste!$C$3,$B$1979,$B$2205),Data!$BO:$BO,0)-2,20)),"")</f>
        <v>Performance Level: PL_Log01_04_09</v>
      </c>
      <c r="E2210" s="36"/>
      <c r="F2210" s="35" t="str">
        <f ca="1">IFERROR(IF(AND(INDEX(Tab_DaBa[],MATCH(CONCATENATE(Liste!$C$3,$B$1979,$B$2205),Data!$BO:$BO,0)-2,18)&lt;&gt;"",INDEX(Tab_DaBa[],MATCH(CONCATENATE(Liste!$C$3,$B$1979,$B$2205),Data!$BO:$BO,0)-2,23)=""),"Performance Level: "&amp;INDEX(Tab_DaBa[],MATCH(CONCATENATE(Liste!$C$3,$B$1979,$B$2205),Data!$BO:$BO,0)-2,15),IF(INDEX(Tab_DaBa[],MATCH(CONCATENATE(Liste!$C$3,$B$1979,$B$2205),Data!$BO:$BO,0)-2,23)&lt;&gt;"","Performance Level: "&amp;INDEX(Tab_DaBa[],MATCH(CONCATENATE(Liste!$C$3,$B$1979,$B$2205),Data!$BO:$BO,0)-2,25),"")),"")</f>
        <v>Performance Level: PL_Lo04_09</v>
      </c>
      <c r="G2210" s="39"/>
      <c r="H2210" s="35" t="str">
        <f ca="1">IFERROR(IF(AND(INDEX(Tab_DaBa[],MATCH(CONCATENATE(Liste!$C$3,$B$1979,$B$2205),Data!$BO:$BO,0)-2,23)&lt;&gt;"",INDEX(Tab_DaBa[],MATCH(CONCATENATE(Liste!$C$3,$B$1979,$B$2205),Data!$BO:$BO,0)-2,28)=""),"Performance Level: "&amp;INDEX(Tab_DaBa[],MATCH(CONCATENATE(Liste!$C$3,$B$1979,$B$2205),Data!$BO:$BO,0)-2,15),IF(INDEX(Tab_DaBa[],MATCH(CONCATENATE(Liste!$C$3,$B$1979,$B$2205),Data!$BO:$BO,0)-2,23)&lt;&gt;"","Performance Level: "&amp;INDEX(Tab_DaBa[],MATCH(CONCATENATE(Liste!$C$3,$B$1979,$B$2205),Data!$BO:$BO,0)-2,30),"")),"")</f>
        <v>Performance Level: PL_Lo04_09</v>
      </c>
      <c r="I2210" s="38"/>
    </row>
    <row r="2211" spans="2:9" s="16" customFormat="1" ht="15.75">
      <c r="B2211" s="53" t="str">
        <f ca="1">IFERROR("PFH [1/h] = "&amp;10^9*INDEX(Tab_DaBa[],MATCH(CONCATENATE(Liste!$C$3,$B$1979,$B$2205),Data!$BO:$BO,0)-2,11)&amp;"E-9","")</f>
        <v>PFH [1/h] = 42,9E-9</v>
      </c>
      <c r="C2211" s="54"/>
      <c r="D2211" s="35" t="str">
        <f ca="1">IFERROR(IF(INDEX(Tab_DaBa[],MATCH(CONCATENATE(Liste!$C$3,$B$1979,$B$2205),Data!$BO:$BO,0)-2,18)="","PFH [1/h] = "&amp;10^9*INDEX(Tab_DaBa[],MATCH(CONCATENATE(Liste!$C$3,$B$1979,$B$2205),Data!$BO:$BO,0)-2,16)&amp;"E-9","PFH [1/h] = "&amp;10^9*INDEX(Tab_DaBa[],MATCH(CONCATENATE(Liste!$C$3,$B$1979,$B$2205),Data!$BO:$BO,0)-2,21)&amp;"E-9"),"")</f>
        <v>PFH [1/h] = 4,19E-9</v>
      </c>
      <c r="E2211" s="36"/>
      <c r="F2211" s="35" t="str">
        <f ca="1">IFERROR(IF(AND(INDEX(Tab_DaBa[],MATCH(CONCATENATE(Liste!$C$3,$B$1979,$B$2205),Data!$BO:$BO,0)-2,18)&lt;&gt;"",INDEX(Tab_DaBa[],MATCH(CONCATENATE(Liste!$C$3,$B$1979,$B$2205),Data!$BO:$BO,0)-2,23)=""),"PFH [1/h] = "&amp;10^9*INDEX(Tab_DaBa[],MATCH(CONCATENATE(Liste!$C$3,$B$1979,$B$2205),Data!$BO:$BO,0)-2,16)&amp;"E-9",IF(INDEX(Tab_DaBa[],MATCH(CONCATENATE(Liste!$C$3,$B$1979,$B$2205),Data!$BO:$BO,0)-2,23)&lt;&gt;"","PFH [1/h] = "&amp;10^9*INDEX(Tab_DaBa[],MATCH(CONCATENATE(Liste!$C$3,$B$1979,$B$2205),Data!$BO:$BO,0)-2,26)&amp;"E-9","")),"")</f>
        <v>PFH [1/h] = 4,19E-9</v>
      </c>
      <c r="G2211" s="39"/>
      <c r="H2211" s="35" t="str">
        <f ca="1">IFERROR(IF(AND(INDEX(Tab_DaBa[],MATCH(CONCATENATE(Liste!$C$3,$B$1979,$B$2205),Data!$BO:$BO,0)-2,23)&lt;&gt;"",INDEX(Tab_DaBa[],MATCH(CONCATENATE(Liste!$C$3,$B$1979,$B$2205),Data!$BO:$BO,0)-2,28)=""),"PFH [1/h] = "&amp;10^9*INDEX(Tab_DaBa[],MATCH(CONCATENATE(Liste!$C$3,$B$1979,$B$2205),Data!$BO:$BO,0)-2,16)&amp;"E-9",IF(INDEX(Tab_DaBa[],MATCH(CONCATENATE(Liste!$C$3,$B$1979,$B$2205),Data!$BO:$BO,0)-2,23)&lt;&gt;"","PFH [1/h] = "&amp;10^9*INDEX(Tab_DaBa[],MATCH(CONCATENATE(Liste!$C$3,$B$1979,$B$2205),Data!$BO:$BO,0)-2,31)&amp;"E-9","")),"")</f>
        <v>PFH [1/h] = 4,19E-9</v>
      </c>
      <c r="I2211" s="39"/>
    </row>
    <row r="2212" spans="2:9" s="16" customFormat="1">
      <c r="B2212" s="33"/>
      <c r="C2212" s="34"/>
      <c r="D2212" s="33"/>
      <c r="E2212" s="33"/>
      <c r="F2212" s="33"/>
      <c r="G2212" s="33"/>
      <c r="H2212" s="33"/>
      <c r="I2212" s="33"/>
    </row>
    <row r="2213" spans="2:9" s="16" customFormat="1" ht="15.75">
      <c r="B2213" s="38">
        <f ca="1">IF(B2215="","",6)</f>
        <v>6</v>
      </c>
      <c r="C2213" s="34"/>
      <c r="D2213" s="38">
        <f ca="1">IF(B2215="","",3)</f>
        <v>3</v>
      </c>
      <c r="E2213" s="33"/>
      <c r="F2213" s="38">
        <f ca="1">IF(B2215="","",3)</f>
        <v>3</v>
      </c>
      <c r="G2213" s="33"/>
      <c r="H2213" s="38">
        <f ca="1">IF(B2215="","",3)</f>
        <v>3</v>
      </c>
      <c r="I2213" s="33"/>
    </row>
    <row r="2214" spans="2:9" s="16" customFormat="1" ht="15.75">
      <c r="B2214" s="39"/>
      <c r="C2214" s="33"/>
      <c r="D2214" s="33"/>
      <c r="E2214" s="33"/>
      <c r="F2214" s="33"/>
      <c r="G2214" s="33"/>
      <c r="H2214" s="33"/>
      <c r="I2214" s="33"/>
    </row>
    <row r="2215" spans="2:9" s="16" customFormat="1" ht="15.75">
      <c r="B2215" s="35" t="str">
        <f ca="1">IFERROR(IF(AND(INDEX(Tab_DaBa[],MATCH(CONCATENATE(Liste!$C$3,$B$1979,$B$2205),Data!$BO:$BO,0)-2,28)&lt;&gt;"",INDEX(Tab_DaBa[],MATCH(CONCATENATE(Liste!$C$3,$B$1979,$B$2205),Data!$BO:$BO,0)-2,33)=0),INDEX(Tab_DaBa[],MATCH(CONCATENATE(Liste!$C$3,$B$1979,$B$2205),Data!$BO:$BO,0)-2,14),IF(INDEX(Tab_DaBa[],MATCH(CONCATENATE(Liste!$C$3,$B$1979,$B$2205),Data!$BO:$BO,0)-2,28)&lt;&gt;"",INDEX(Tab_DaBa[],MATCH(CONCATENATE(Liste!$C$3,$B$1979,$B$2205),Data!$BO:$BO,0)-2,34),"")),"")</f>
        <v>Logik 04</v>
      </c>
      <c r="C2215" s="39"/>
      <c r="D2215" s="35" t="str">
        <f ca="1">IFERROR(IF(AND(INDEX(Tab_DaBa[],MATCH(CONCATENATE(Liste!$C$3,$B$1979,$B$2205),Data!$BO:$BO,0)-2,33)&lt;&gt;"",INDEX(Tab_DaBa[],MATCH(CONCATENATE(Liste!$C$3,$B$1979,$B$2205),Data!$BO:$BO,0)-2,38)=0),INDEX(Tab_DaBa[],MATCH(CONCATENATE(Liste!$C$3,$B$1979,$B$2205),Data!$BO:$BO,0)-2,14),IF(INDEX(Tab_DaBa[],MATCH(CONCATENATE(Liste!$C$3,$B$1979,$B$2205),Data!$BO:$BO,0)-2,33)&lt;&gt;"",INDEX(Tab_DaBa[],MATCH(CONCATENATE(Liste!$C$3,$B$1979,$B$2205),Data!$BO:$BO,0)-2,39),"")),"")</f>
        <v>Logik 07</v>
      </c>
      <c r="E2215" s="33"/>
      <c r="F2215" s="35" t="str">
        <f ca="1">IFERROR(IF(AND(INDEX(Tab_DaBa[],MATCH(CONCATENATE(Liste!$C$3,$B$1979,$B$2205),Data!$BO:$BO,0)-2,38)&lt;&gt;"",INDEX(Tab_DaBa[],MATCH(CONCATENATE(Liste!$C$3,$B$1979,$B$2205),Data!$BO:$BO,0)-2,43)=0),INDEX(Tab_DaBa[],MATCH(CONCATENATE(Liste!$C$3,$B$1979,$B$2205),Data!$BO:$BO,0)-2,14),IF(INDEX(Tab_DaBa[],MATCH(CONCATENATE(Liste!$C$3,$B$1979,$B$2205),Data!$BO:$BO,0)-2,38)&lt;&gt;"",INDEX(Tab_DaBa[],MATCH(CONCATENATE(Liste!$C$3,$B$1979,$B$2205),Data!$BO:$BO,0)-2,44),"")),"")</f>
        <v>Logik 06</v>
      </c>
      <c r="G2215" s="39"/>
      <c r="H2215" s="35" t="str">
        <f ca="1">IFERROR(IF(AND(INDEX(Tab_DaBa[],MATCH(CONCATENATE(Liste!$C$3,$B$1979,$B$2205),Data!$BO:$BO,0)-2,43)&lt;&gt;"",INDEX(Tab_DaBa[],MATCH(CONCATENATE(Liste!$C$3,$B$1979,$B$2205),Data!$BO:$BO,0)-2,48)=0),INDEX(Tab_DaBa[],MATCH(CONCATENATE(Liste!$C$3,$B$1979,$B$2205),Data!$BO:$BO,0)-2,14),IF(INDEX(Tab_DaBa[],MATCH(CONCATENATE(Liste!$C$3,$B$1979,$B$2205),Data!$BO:$BO,0)-2,43)&lt;&gt;"",INDEX(Tab_DaBa[],MATCH(CONCATENATE(Liste!$C$3,$B$1979,$B$2205),Data!$BO:$BO,0)-2,49),"")),"")</f>
        <v>Logik 07</v>
      </c>
      <c r="I2215" s="39"/>
    </row>
    <row r="2216" spans="2:9" s="16" customFormat="1" ht="15.75">
      <c r="B2216" s="35" t="str">
        <f ca="1">IFERROR(IF(AND(INDEX(Tab_DaBa[],MATCH(CONCATENATE(Liste!$C$3,$B$1979,$B$2205),Data!$BO:$BO,0)-2,28)&lt;&gt;"",INDEX(Tab_DaBa[],MATCH(CONCATENATE(Liste!$C$3,$B$1979,$B$2205),Data!$BO:$BO,0)-2,33)=0),INDEX(Tab_DaBa[],MATCH(CONCATENATE(Liste!$C$3,$B$1979,$B$2205),Data!$BO:$BO,0)-2,12),IF(INDEX(Tab_DaBa[],MATCH(CONCATENATE(Liste!$C$3,$B$1979,$B$2205),Data!$BO:$BO,0)-2,28)&lt;&gt;"",INDEX(Tab_DaBa[],MATCH(CONCATENATE(Liste!$C$3,$B$1979,$B$2205),Data!$BO:$BO,0)-2,32),"")),"")</f>
        <v>Lo04-44_09</v>
      </c>
      <c r="C2216" s="39"/>
      <c r="D2216" s="35" t="str">
        <f ca="1">IFERROR(IF(AND(INDEX(Tab_DaBa[],MATCH(CONCATENATE(Liste!$C$3,$B$1979,$B$2205),Data!$BO:$BO,0)-2,33)&lt;&gt;"",INDEX(Tab_DaBa[],MATCH(CONCATENATE(Liste!$C$3,$B$1979,$B$2205),Data!$BO:$BO,0)-2,38)=0),INDEX(Tab_DaBa[],MATCH(CONCATENATE(Liste!$C$3,$B$1979,$B$2205),Data!$BO:$BO,0)-2,12),IF(INDEX(Tab_DaBa[],MATCH(CONCATENATE(Liste!$C$3,$B$1979,$B$2205),Data!$BO:$BO,0)-2,33)&lt;&gt;"",INDEX(Tab_DaBa[],MATCH(CONCATENATE(Liste!$C$3,$B$1979,$B$2205),Data!$BO:$BO,0)-2,37),"")),"")</f>
        <v>Lo04-44_09</v>
      </c>
      <c r="E2216" s="37"/>
      <c r="F2216" s="35" t="str">
        <f ca="1">IFERROR(IF(AND(INDEX(Tab_DaBa[],MATCH(CONCATENATE(Liste!$C$3,$B$1979,$B$2205),Data!$BO:$BO,0)-2,38)&lt;&gt;"",INDEX(Tab_DaBa[],MATCH(CONCATENATE(Liste!$C$3,$B$1979,$B$2205),Data!$BO:$BO,0)-2,43)=0),INDEX(Tab_DaBa[],MATCH(CONCATENATE(Liste!$C$3,$B$1979,$B$2205),Data!$BO:$BO,0)-2,12),IF(INDEX(Tab_DaBa[],MATCH(CONCATENATE(Liste!$C$3,$B$1979,$B$2205),Data!$BO:$BO,0)-2,38)&lt;&gt;"",INDEX(Tab_DaBa[],MATCH(CONCATENATE(Liste!$C$3,$B$1979,$B$2205),Data!$BO:$BO,0)-2,42),"")),"")</f>
        <v>Lo03-33_09</v>
      </c>
      <c r="G2216" s="39"/>
      <c r="H2216" s="35" t="str">
        <f ca="1">IFERROR(IF(AND(INDEX(Tab_DaBa[],MATCH(CONCATENATE(Liste!$C$3,$B$1979,$B$2205),Data!$BO:$BO,0)-2,43)&lt;&gt;"",INDEX(Tab_DaBa[],MATCH(CONCATENATE(Liste!$C$3,$B$1979,$B$2205),Data!$BO:$BO,0)-2,48)=0),INDEX(Tab_DaBa[],MATCH(CONCATENATE(Liste!$C$3,$B$1979,$B$2205),Data!$BO:$BO,0)-2,12),IF(INDEX(Tab_DaBa[],MATCH(CONCATENATE(Liste!$C$3,$B$1979,$B$2205),Data!$BO:$BO,0)-2,43)&lt;&gt;"",INDEX(Tab_DaBa[],MATCH(CONCATENATE(Liste!$C$3,$B$1979,$B$2205),Data!$BO:$BO,0)-2,47),"")),"")</f>
        <v>Lo03-33_09</v>
      </c>
      <c r="I2216" s="39"/>
    </row>
    <row r="2217" spans="2:9" s="16" customFormat="1" ht="15.75">
      <c r="B2217" s="35" t="str">
        <f ca="1">IFERROR(IF(AND(INDEX(Tab_DaBa[],MATCH(CONCATENATE(Liste!$C$3,$B$1979,$B$2205),Data!$BO:$BO,0)-2,28)&lt;&gt;"",INDEX(Tab_DaBa[],MATCH(CONCATENATE(Liste!$C$3,$B$1979,$B$2205),Data!$BO:$BO,0)-2,33)=""),INDEX(Tab_DaBa[],MATCH(CONCATENATE(Liste!$C$3,$B$1979,$B$2205),Data!$BO:$BO,0)-2,13),IF(INDEX(Tab_DaBa[],MATCH(CONCATENATE(Liste!$C$3,$B$1979,$B$2205),Data!$BO:$BO,0)-2,28)&lt;&gt;"",INDEX(Tab_DaBa[],MATCH(CONCATENATE(Liste!$C$3,$B$1979,$B$2205),Data!$BO:$BO,0)-2,33),"")),"")</f>
        <v>Bez_Lo04_09</v>
      </c>
      <c r="C2217" s="38">
        <f ca="1">IF(D2215="","",4)</f>
        <v>4</v>
      </c>
      <c r="D2217" s="35" t="str">
        <f ca="1">IFERROR(IF(AND(INDEX(Tab_DaBa[],MATCH(CONCATENATE(Liste!$C$3,$B$1979,$B$2205),Data!$BO:$BO,0)-2,33)&lt;&gt;"",INDEX(Tab_DaBa[],MATCH(CONCATENATE(Liste!$C$3,$B$1979,$B$2205),Data!$BO:$BO,0)-2,38)=""),INDEX(Tab_DaBa[],MATCH(CONCATENATE(Liste!$C$3,$B$1979,$B$2205),Data!$BO:$BO,0)-2,13),IF(INDEX(Tab_DaBa[],MATCH(CONCATENATE(Liste!$C$3,$B$1979,$B$2205),Data!$BO:$BO,0)-2,33)&lt;&gt;"",INDEX(Tab_DaBa[],MATCH(CONCATENATE(Liste!$C$3,$B$1979,$B$2205),Data!$BO:$BO,0)-2,38),"")),"")</f>
        <v>Bez_Lo03_09</v>
      </c>
      <c r="E2217" s="38">
        <f ca="1">IF(F2215="","",4)</f>
        <v>4</v>
      </c>
      <c r="F2217" s="35" t="str">
        <f ca="1">IFERROR(IF(AND(INDEX(Tab_DaBa[],MATCH(CONCATENATE(Liste!$C$3,$B$1979,$B$2205),Data!$BO:$BO,0)-2,38)&lt;&gt;"",INDEX(Tab_DaBa[],MATCH(CONCATENATE(Liste!$C$3,$B$1979,$B$2205),Data!$BO:$BO,0)-2,43)=""),INDEX(Tab_DaBa[],MATCH(CONCATENATE(Liste!$C$3,$B$1979,$B$2205),Data!$BO:$BO,0)-2,13),IF(INDEX(Tab_DaBa[],MATCH(CONCATENATE(Liste!$C$3,$B$1979,$B$2205),Data!$BO:$BO,0)-2,38)&lt;&gt;"",INDEX(Tab_DaBa[],MATCH(CONCATENATE(Liste!$C$3,$B$1979,$B$2205),Data!$BO:$BO,0)-2,43),"")),"")</f>
        <v>Bez_Lo03_09</v>
      </c>
      <c r="G2217" s="38">
        <f ca="1">IF(H2215="","",4)</f>
        <v>4</v>
      </c>
      <c r="H2217" s="35" t="str">
        <f ca="1">IFERROR(IF(AND(INDEX(Tab_DaBa[],MATCH(CONCATENATE(Liste!$C$3,$B$1979,$B$2205),Data!$BO:$BO,0)-2,43)&lt;&gt;"",INDEX(Tab_DaBa[],MATCH(CONCATENATE(Liste!$C$3,$B$1979,$B$2205),Data!$BO:$BO,0)-2,48)=""),INDEX(Tab_DaBa[],MATCH(CONCATENATE(Liste!$C$3,$B$1979,$B$2205),Data!$BO:$BO,0)-2,13),IF(INDEX(Tab_DaBa[],MATCH(CONCATENATE(Liste!$C$3,$B$1979,$B$2205),Data!$BO:$BO,0)-2,43)&lt;&gt;"",INDEX(Tab_DaBa[],MATCH(CONCATENATE(Liste!$C$3,$B$1979,$B$2205),Data!$BO:$BO,0)-2,48),"")),"")</f>
        <v>Bez_Lo03_09</v>
      </c>
      <c r="I2217" s="38">
        <f ca="1">IF(B2223="","",6)</f>
        <v>6</v>
      </c>
    </row>
    <row r="2218" spans="2:9" s="16" customFormat="1" ht="15.75">
      <c r="B2218" s="35" t="str">
        <f ca="1">IFERROR(IF(AND(INDEX(Tab_DaBa[],MATCH(CONCATENATE(Liste!$C$3,$B$1979,$B$2205),Data!$BO:$BO,0)-2,28)&lt;&gt;"",INDEX(Tab_DaBa[],MATCH(CONCATENATE(Liste!$C$3,$B$1979,$B$2205),Data!$BO:$BO,0)-2,33)=""),"Performance Level: "&amp;INDEX(Tab_DaBa[],MATCH(CONCATENATE(Liste!$C$3,$B$1979,$B$2205),Data!$BO:$BO,0)-2,15),IF(INDEX(Tab_DaBa[],MATCH(CONCATENATE(Liste!$C$3,$B$1979,$B$2205),Data!$BO:$BO,0)-2,28)&lt;&gt;"","Performance Level: "&amp;INDEX(Tab_DaBa[],MATCH(CONCATENATE(Liste!$C$3,$B$1979,$B$2205),Data!$BO:$BO,0)-2,35),"")),"")</f>
        <v>Performance Level: PL_Lo04_09</v>
      </c>
      <c r="C2218" s="39"/>
      <c r="D2218" s="35" t="str">
        <f ca="1">IFERROR(IF(AND(INDEX(Tab_DaBa[],MATCH(CONCATENATE(Liste!$C$3,$B$1979,$B$2205),Data!$BO:$BO,0)-2,33)&lt;&gt;"",INDEX(Tab_DaBa[],MATCH(CONCATENATE(Liste!$C$3,$B$1979,$B$2205),Data!$BO:$BO,0)-2,38)=""),"Performance Level: "&amp;INDEX(Tab_DaBa[],MATCH(CONCATENATE(Liste!$C$3,$B$1979,$B$2205),Data!$BO:$BO,0)-2,15),IF(INDEX(Tab_DaBa[],MATCH(CONCATENATE(Liste!$C$3,$B$1979,$B$2205),Data!$BO:$BO,0)-2,33)&lt;&gt;"","Performance Level: "&amp;INDEX(Tab_DaBa[],MATCH(CONCATENATE(Liste!$C$3,$B$1979,$B$2205),Data!$BO:$BO,0)-2,40),"")),"")</f>
        <v>Performance Level: PL_Lo03_9</v>
      </c>
      <c r="E2218" s="37"/>
      <c r="F2218" s="35" t="str">
        <f ca="1">IFERROR(IF(AND(INDEX(Tab_DaBa[],MATCH(CONCATENATE(Liste!$C$3,$B$1979,$B$2205),Data!$BO:$BO,0)-2,38)&lt;&gt;"",INDEX(Tab_DaBa[],MATCH(CONCATENATE(Liste!$C$3,$B$1979,$B$2205),Data!$BO:$BO,0)-2,43)=""),"Performance Level: "&amp;INDEX(Tab_DaBa[],MATCH(CONCATENATE(Liste!$C$3,$B$1979,$B$2205),Data!$BO:$BO,0)-2,15),IF(INDEX(Tab_DaBa[],MATCH(CONCATENATE(Liste!$C$3,$B$1979,$B$2205),Data!$BO:$BO,0)-2,38)&lt;&gt;"","Performance Level: "&amp;INDEX(Tab_DaBa[],MATCH(CONCATENATE(Liste!$C$3,$B$1979,$B$2205),Data!$BO:$BO,0)-2,45),"")),"")</f>
        <v>Performance Level: PL_Lo03_09</v>
      </c>
      <c r="G2218" s="39"/>
      <c r="H2218" s="35" t="str">
        <f ca="1">IFERROR(IF(AND(INDEX(Tab_DaBa[],MATCH(CONCATENATE(Liste!$C$3,$B$1979,$B$2205),Data!$BO:$BO,0)-2,43)&lt;&gt;"",INDEX(Tab_DaBa[],MATCH(CONCATENATE(Liste!$C$3,$B$1979,$B$2205),Data!$BO:$BO,0)-2,48)=""),"Performance Level: "&amp;INDEX(Tab_DaBa[],MATCH(CONCATENATE(Liste!$C$3,$B$1979,$B$2205),Data!$BO:$BO,0)-2,15),IF(INDEX(Tab_DaBa[],MATCH(CONCATENATE(Liste!$C$3,$B$1979,$B$2205),Data!$BO:$BO,0)-2,43)&lt;&gt;"","Performance Level: "&amp;INDEX(Tab_DaBa[],MATCH(CONCATENATE(Liste!$C$3,$B$1979,$B$2205),Data!$BO:$BO,0)-2,50),"")),"")</f>
        <v>Performance Level: PL_Lo03_09</v>
      </c>
      <c r="I2218" s="39"/>
    </row>
    <row r="2219" spans="2:9" s="16" customFormat="1" ht="15.75">
      <c r="B2219" s="35" t="str">
        <f ca="1">IFERROR(IF(AND(INDEX(Tab_DaBa[],MATCH(CONCATENATE(Liste!$C$3,$B$1979,$B$2205),Data!$BO:$BO,0)-2,28)&lt;&gt;"",INDEX(Tab_DaBa[],MATCH(CONCATENATE(Liste!$C$3,$B$1979,$B$2205),Data!$BO:$BO,0)-2,33)=""),"PFH [1/h] = "&amp;10^9*INDEX(Tab_DaBa[],MATCH(CONCATENATE(Liste!$C$3,$B$1979,$B$2205),Data!$BO:$BO,0)-2,16)&amp;"E-9",IF(INDEX(Tab_DaBa[],MATCH(CONCATENATE(Liste!$C$3,$B$1979,$B$2205),Data!$BO:$BO,0)-2,28)&lt;&gt;"","PFH [1/h] = "&amp;10^9*INDEX(Tab_DaBa[],MATCH(CONCATENATE(Liste!$C$3,$B$1979,$B$2205),Data!$BO:$BO,0)-2,36)&amp;"E-9","")),"")</f>
        <v>PFH [1/h] = 4,19E-9</v>
      </c>
      <c r="C2219" s="39"/>
      <c r="D2219" s="35" t="str">
        <f ca="1">IFERROR(IF(AND(INDEX(Tab_DaBa[],MATCH(CONCATENATE(Liste!$C$3,$B$1979,$B$2205),Data!$BO:$BO,0)-2,33)&lt;&gt;"",INDEX(Tab_DaBa[],MATCH(CONCATENATE(Liste!$C$3,$B$1979,$B$2205),Data!$BO:$BO,0)-2,38)=""),"PFH [1/h] = "&amp;10^9*INDEX(Tab_DaBa[],MATCH(CONCATENATE(Liste!$C$3,$B$1979,$B$2205),Data!$BO:$BO,0)-2,16)&amp;"E-9",IF(INDEX(Tab_DaBa[],MATCH(CONCATENATE(Liste!$C$3,$B$1979,$B$2205),Data!$BO:$BO,0)-2,33)&lt;&gt;"","PFH [1/h] = "&amp;10^9*INDEX(Tab_DaBa[],MATCH(CONCATENATE(Liste!$C$3,$B$1979,$B$2205),Data!$BO:$BO,0)-2,41)&amp;"E-9","")),"")</f>
        <v>PFH [1/h] = 4,19E-9</v>
      </c>
      <c r="E2219" s="37"/>
      <c r="F2219" s="35" t="str">
        <f ca="1">IFERROR(IF(AND(INDEX(Tab_DaBa[],MATCH(CONCATENATE(Liste!$C$3,$B$1979,$B$2205),Data!$BO:$BO,0)-2,38)&lt;&gt;"",INDEX(Tab_DaBa[],MATCH(CONCATENATE(Liste!$C$3,$B$1979,$B$2205),Data!$BO:$BO,0)-2,43)=""),"PFH [1/h] = "&amp;10^9*INDEX(Tab_DaBa[],MATCH(CONCATENATE(Liste!$C$3,$B$1979,$B$2205),Data!$BO:$BO,0)-2,16)&amp;"E-9",IF(INDEX(Tab_DaBa[],MATCH(CONCATENATE(Liste!$C$3,$B$1979,$B$2205),Data!$BO:$BO,0)-2,38)&lt;&gt;"","PFH [1/h] = "&amp;10^9*INDEX(Tab_DaBa[],MATCH(CONCATENATE(Liste!$C$3,$B$1979,$B$2205),Data!$BO:$BO,0)-2,46)&amp;"E-9","")),"")</f>
        <v>PFH [1/h] = 4,19E-9</v>
      </c>
      <c r="G2219" s="39"/>
      <c r="H2219" s="35" t="str">
        <f ca="1">IFERROR(IF(AND(INDEX(Tab_DaBa[],MATCH(CONCATENATE(Liste!$C$3,$B$1979,$B$2205),Data!$BO:$BO,0)-2,43)&lt;&gt;"",INDEX(Tab_DaBa[],MATCH(CONCATENATE(Liste!$C$3,$B$1979,$B$2205),Data!$BO:$BO,0)-2,48)=""),"PFH [1/h] = "&amp;10^9*INDEX(Tab_DaBa[],MATCH(CONCATENATE(Liste!$C$3,$B$1979,$B$2205),Data!$BO:$BO,0)-2,16)&amp;"E-9",IF(INDEX(Tab_DaBa[],MATCH(CONCATENATE(Liste!$C$3,$B$1979,$B$2205),Data!$BO:$BO,0)-2,43)&lt;&gt;"","PFH [1/h] = "&amp;10^9*INDEX(Tab_DaBa[],MATCH(CONCATENATE(Liste!$C$3,$B$1979,$B$2205),Data!$BO:$BO,0)-2,51)&amp;"E-9","")),"")</f>
        <v>PFH [1/h] = 4,19E-9</v>
      </c>
      <c r="I2219" s="39"/>
    </row>
    <row r="2220" spans="2:9" s="16" customFormat="1">
      <c r="B2220" s="33"/>
      <c r="C2220" s="33"/>
      <c r="D2220" s="33"/>
      <c r="E2220" s="33"/>
      <c r="F2220" s="33"/>
      <c r="G2220" s="33"/>
      <c r="H2220" s="33"/>
      <c r="I2220" s="33"/>
    </row>
    <row r="2221" spans="2:9" s="16" customFormat="1" ht="15.75">
      <c r="B2221" s="38">
        <f ca="1">IF(B2223="","",6)</f>
        <v>6</v>
      </c>
      <c r="C2221" s="33"/>
      <c r="D2221" s="38">
        <f ca="1">IF(B2223="","",3)</f>
        <v>3</v>
      </c>
      <c r="E2221" s="33"/>
      <c r="F2221" s="38">
        <f ca="1">IF(B2223="","",3)</f>
        <v>3</v>
      </c>
      <c r="G2221" s="33"/>
      <c r="H2221" s="38">
        <f ca="1">IF(B2223="","",3)</f>
        <v>3</v>
      </c>
      <c r="I2221" s="33"/>
    </row>
    <row r="2222" spans="2:9" s="16" customFormat="1" ht="15.75">
      <c r="B2222" s="39"/>
      <c r="C2222" s="33"/>
      <c r="D2222" s="33"/>
      <c r="E2222" s="33"/>
      <c r="F2222" s="33"/>
      <c r="G2222" s="33"/>
      <c r="H2222" s="33"/>
      <c r="I2222" s="33"/>
    </row>
    <row r="2223" spans="2:9" s="16" customFormat="1" ht="15.75">
      <c r="B2223" s="35" t="str">
        <f ca="1">IFERROR(IF(AND(INDEX(Tab_DaBa[],MATCH(CONCATENATE(Liste!$C$3,$B$1979,$B$2205),Data!$BO:$BO,0)-2,48)&lt;&gt;"",INDEX(Tab_DaBa[],MATCH(CONCATENATE(Liste!$C$3,$B$1979,$B$2205),Data!$BO:$BO,0)-2,53)=0),INDEX(Tab_DaBa[],MATCH(CONCATENATE(Liste!$C$3,$B$1979,$B$2205),Data!$BO:$BO,0)-2,14),IF(INDEX(Tab_DaBa[],MATCH(CONCATENATE(Liste!$C$3,$B$1979,$B$2205),Data!$BO:$BO,0)-2,48)&lt;&gt;"",INDEX(Tab_DaBa[],MATCH(CONCATENATE(Liste!$C$3,$B$1979,$B$2205),Data!$BO:$BO,0)-2,54),"")),"")</f>
        <v>Logik 08</v>
      </c>
      <c r="C2223" s="39"/>
      <c r="D2223" s="35" t="str">
        <f ca="1">IFERROR(IF(AND(INDEX(Tab_DaBa[],MATCH(CONCATENATE(Liste!$C$3,$B$1979,$B$2205),Data!$BO:$BO,0)-2,53)&lt;&gt;"",INDEX(Tab_DaBa[],MATCH(CONCATENATE(Liste!$C$3,$B$1979,$B$2205),Data!$BO:$BO,0)-2,58)=0),INDEX(Tab_DaBa[],MATCH(CONCATENATE(Liste!$C$3,$B$1979,$B$2205),Data!$BO:$BO,0)-2,14),IF(INDEX(Tab_DaBa[],MATCH(CONCATENATE(Liste!$C$3,$B$1979,$B$2205),Data!$BO:$BO,0)-2,53)&lt;&gt;"",INDEX(Tab_DaBa[],MATCH(CONCATENATE(Liste!$C$3,$B$1979,$B$2205),Data!$BO:$BO,0)-2,59),"")),"")</f>
        <v>Logik 09</v>
      </c>
      <c r="E2223" s="33"/>
      <c r="F2223" s="35" t="str">
        <f ca="1">IFERROR(IF(AND(INDEX(Tab_DaBa[],MATCH(CONCATENATE(Liste!$C$3,$B$1979,$B$2205),Data!$BO:$BO,0)-2,58)&lt;&gt;"",INDEX(Tab_DaBa[],MATCH(CONCATENATE(Liste!$C$3,$B$1979,$B$2205),Data!$BO:$BO,0)-2,63)=0),INDEX(Tab_DaBa[],MATCH(CONCATENATE(Liste!$C$3,$B$1979,$B$2205),Data!$BO:$BO,0)-2,14),IF(INDEX(Tab_DaBa[],MATCH(CONCATENATE(Liste!$C$3,$B$1979,$B$2205),Data!$BO:$BO,0)-2,58)&lt;&gt;"",INDEX(Tab_DaBa[],MATCH(CONCATENATE(Liste!$C$3,$B$1979,$B$2205),Data!$BO:$BO,0)-2,64),"")),"")</f>
        <v>Ausgang</v>
      </c>
      <c r="G2223" s="39"/>
      <c r="H2223" s="35" t="str">
        <f ca="1">IFERROR(IF(INDEX(Tab_DaBa[],MATCH(CONCATENATE(Liste!$C$3,$B$1979,$B$2205),Data!$BO:$BO,0)-2,63)&lt;&gt;"",INDEX(Tab_DaBa[],MATCH(CONCATENATE(Liste!$C$3,$B$1979,$B$2205),Data!$BO:$BO,0)-2,14),""),"")</f>
        <v/>
      </c>
    </row>
    <row r="2224" spans="2:9" s="16" customFormat="1" ht="15.75">
      <c r="B2224" s="35" t="str">
        <f ca="1">IFERROR(IF(AND(INDEX(Tab_DaBa[],MATCH(CONCATENATE(Liste!$C$3,$B$1979,$B$2205),Data!$BO:$BO,0)-2,48)&lt;&gt;"",INDEX(Tab_DaBa[],MATCH(CONCATENATE(Liste!$C$3,$B$1979,$B$2205),Data!$BO:$BO,0)-2,53)=0),INDEX(Tab_DaBa[],MATCH(CONCATENATE(Liste!$C$3,$B$1979,$B$2205),Data!$BO:$BO,0)-2,12),IF(INDEX(Tab_DaBa[],MATCH(CONCATENATE(Liste!$C$3,$B$1979,$B$2205),Data!$BO:$BO,0)-2,48)&lt;&gt;"",INDEX(Tab_DaBa[],MATCH(CONCATENATE(Liste!$C$3,$B$1979,$B$2205),Data!$BO:$BO,0)-2,52),"")),"")</f>
        <v>Lo03-88_09</v>
      </c>
      <c r="C2224" s="39"/>
      <c r="D2224" s="35" t="str">
        <f ca="1">IFERROR(IF(AND(INDEX(Tab_DaBa[],MATCH(CONCATENATE(Liste!$C$3,$B$1979,$B$2205),Data!$BO:$BO,0)-2,53)&lt;&gt;"",INDEX(Tab_DaBa[],MATCH(CONCATENATE(Liste!$C$3,$B$1979,$B$2205),Data!$BO:$BO,0)-2,58)=0),INDEX(Tab_DaBa[],MATCH(CONCATENATE(Liste!$C$3,$B$1979,$B$2205),Data!$BO:$BO,0)-2,12),IF(INDEX(Tab_DaBa[],MATCH(CONCATENATE(Liste!$C$3,$B$1979,$B$2205),Data!$BO:$BO,0)-2,53)&lt;&gt;"",INDEX(Tab_DaBa[],MATCH(CONCATENATE(Liste!$C$3,$B$1979,$B$2205),Data!$BO:$BO,0)-2,57),"")),"")</f>
        <v>Lo03-33_09</v>
      </c>
      <c r="E2224" s="37"/>
      <c r="F2224" s="35" t="str">
        <f ca="1">IFERROR(IF(AND(INDEX(Tab_DaBa[],MATCH(CONCATENATE(Liste!$C$3,$B$1979,$B$2205),Data!$BO:$BO,0)-2,58)&lt;&gt;"",INDEX(Tab_DaBa[],MATCH(CONCATENATE(Liste!$C$3,$B$1979,$B$2205),Data!$BO:$BO,0)-2,63)=0),INDEX(Tab_DaBa[],MATCH(CONCATENATE(Liste!$C$3,$B$1979,$B$2205),Data!$BO:$BO,0)-2,12),IF(INDEX(Tab_DaBa[],MATCH(CONCATENATE(Liste!$C$3,$B$1979,$B$2205),Data!$BO:$BO,0)-2,58)&lt;&gt;"",INDEX(Tab_DaBa[],MATCH(CONCATENATE(Liste!$C$3,$B$1979,$B$2205),Data!$BO:$BO,0)-2,62),"")),"")</f>
        <v>aaaa-44_9</v>
      </c>
      <c r="G2224" s="39"/>
      <c r="H2224" s="35" t="str">
        <f ca="1">IFERROR(IF(INDEX(Tab_DaBa[],MATCH(CONCATENATE(Liste!$C$3,$B$1979,$B$2205),Data!$BO:$BO,0)-2,63)&lt;&gt;"",INDEX(Tab_DaBa[],MATCH(CONCATENATE(Liste!$C$3,$B$1979,$B$2205),Data!$BO:$BO,0)-2,12),""),"")</f>
        <v/>
      </c>
    </row>
    <row r="2225" spans="2:9" s="16" customFormat="1" ht="15.75">
      <c r="B2225" s="35" t="str">
        <f ca="1">IFERROR(IF(AND(INDEX(Tab_DaBa[],MATCH(CONCATENATE(Liste!$C$3,$B$1979,$B$2205),Data!$BO:$BO,0)-2,48)&lt;&gt;"",INDEX(Tab_DaBa[],MATCH(CONCATENATE(Liste!$C$3,$B$1979,$B$2205),Data!$BO:$BO,0)-2,53)=""),INDEX(Tab_DaBa[],MATCH(CONCATENATE(Liste!$C$3,$B$1979,$B$2205),Data!$BO:$BO,0)-2,13),IF(INDEX(Tab_DaBa[],MATCH(CONCATENATE(Liste!$C$3,$B$1979,$B$2205),Data!$BO:$BO,0)-2,48)&lt;&gt;"",INDEX(Tab_DaBa[],MATCH(CONCATENATE(Liste!$C$3,$B$1979,$B$2205),Data!$BO:$BO,0)-2,53),"")),"")</f>
        <v>Bez_Lo03_09</v>
      </c>
      <c r="C2225" s="38">
        <f ca="1">IF(D2223="","",4)</f>
        <v>4</v>
      </c>
      <c r="D2225" s="35" t="str">
        <f ca="1">IFERROR(IF(AND(INDEX(Tab_DaBa[],MATCH(CONCATENATE(Liste!$C$3,$B$1979,$B$2205),Data!$BO:$BO,0)-2,53)&lt;&gt;"",INDEX(Tab_DaBa[],MATCH(CONCATENATE(Liste!$C$3,$B$1979,$B$2205),Data!$BO:$BO,0)-2,58)=""),INDEX(Tab_DaBa[],MATCH(CONCATENATE(Liste!$C$3,$B$1979,$B$2205),Data!$BO:$BO,0)-2,13),IF(INDEX(Tab_DaBa[],MATCH(CONCATENATE(Liste!$C$3,$B$1979,$B$2205),Data!$BO:$BO,0)-2,53)&lt;&gt;"",INDEX(Tab_DaBa[],MATCH(CONCATENATE(Liste!$C$3,$B$1979,$B$2205),Data!$BO:$BO,0)-2,58),"")),"")</f>
        <v>Bez_Lo03_09</v>
      </c>
      <c r="E2225" s="38">
        <f ca="1">IF(F2223="","",4)</f>
        <v>4</v>
      </c>
      <c r="F2225" s="35" t="str">
        <f ca="1">IFERROR(IF(AND(INDEX(Tab_DaBa[],MATCH(CONCATENATE(Liste!$C$3,$B$1979,$B$2205),Data!$BO:$BO,0)-2,58)&lt;&gt;"",INDEX(Tab_DaBa[],MATCH(CONCATENATE(Liste!$C$3,$B$1979,$B$2205),Data!$BO:$BO,0)-2,63)=""),INDEX(Tab_DaBa[],MATCH(CONCATENATE(Liste!$C$3,$B$1979,$B$2205),Data!$BO:$BO,0)-2,13),IF(INDEX(Tab_DaBa[],MATCH(CONCATENATE(Liste!$C$3,$B$1979,$B$2205),Data!$BO:$BO,0)-2,58)&lt;&gt;"",INDEX(Tab_DaBa[],MATCH(CONCATENATE(Liste!$C$3,$B$1979,$B$2205),Data!$BO:$BO,0)-2,63),"")),"")</f>
        <v>Bez_Aus4_9</v>
      </c>
      <c r="G2225" s="38" t="str">
        <f ca="1">IF(H2223="","",4)</f>
        <v/>
      </c>
      <c r="H2225" s="35" t="str">
        <f ca="1">IFERROR(IF(INDEX(Tab_DaBa[],MATCH(CONCATENATE(Liste!$C$3,$B$1979,$B$2205),Data!$BO:$BO,0)-2,63)&lt;&gt;"",INDEX(Tab_DaBa[],MATCH(CONCATENATE(Liste!$C$3,$B$1979,$B$2205),Data!$BO:$BO,0)-2,13),""),"")</f>
        <v/>
      </c>
    </row>
    <row r="2226" spans="2:9" s="16" customFormat="1" ht="15.75">
      <c r="B2226" s="35" t="str">
        <f ca="1">IFERROR(IF(AND(INDEX(Tab_DaBa[],MATCH(CONCATENATE(Liste!$C$3,$B$1979,$B$2205),Data!$BO:$BO,0)-2,48)&lt;&gt;"",INDEX(Tab_DaBa[],MATCH(CONCATENATE(Liste!$C$3,$B$1979,$B$2205),Data!$BO:$BO,0)-2,53)=""),"Performance Level: "&amp;INDEX(Tab_DaBa[],MATCH(CONCATENATE(Liste!$C$3,$B$1979,$B$2205),Data!$BO:$BO,0)-2,15),IF(INDEX(Tab_DaBa[],MATCH(CONCATENATE(Liste!$C$3,$B$1979,$B$2205),Data!$BO:$BO,0)-2,48)&lt;&gt;"","Performance Level: "&amp;INDEX(Tab_DaBa[],MATCH(CONCATENATE(Liste!$C$3,$B$1979,$B$2205),Data!$BO:$BO,0)-2,55),"")),"")</f>
        <v>Performance Level: PL_Lo03_09</v>
      </c>
      <c r="C2226" s="39"/>
      <c r="D2226" s="35" t="str">
        <f ca="1">IFERROR(IF(AND(INDEX(Tab_DaBa[],MATCH(CONCATENATE(Liste!$C$3,$B$1979,$B$2205),Data!$BO:$BO,0)-2,53)&lt;&gt;"",INDEX(Tab_DaBa[],MATCH(CONCATENATE(Liste!$C$3,$B$1979,$B$2205),Data!$BO:$BO,0)-2,58)=""),"Performance Level: "&amp;INDEX(Tab_DaBa[],MATCH(CONCATENATE(Liste!$C$3,$B$1979,$B$2205),Data!$BO:$BO,0)-2,15),IF(INDEX(Tab_DaBa[],MATCH(CONCATENATE(Liste!$C$3,$B$1979,$B$2205),Data!$BO:$BO,0)-2,53)&lt;&gt;"","Performance Level: "&amp;INDEX(Tab_DaBa[],MATCH(CONCATENATE(Liste!$C$3,$B$1979,$B$2205),Data!$BO:$BO,0)-2,60),"")),"")</f>
        <v>Performance Level: PL_Lo03_09</v>
      </c>
      <c r="E2226" s="37"/>
      <c r="F2226" s="35" t="str">
        <f ca="1">IFERROR(IF(AND(INDEX(Tab_DaBa[],MATCH(CONCATENATE(Liste!$C$3,$B$1979,$B$2205),Data!$BO:$BO,0)-2,58)&lt;&gt;"",INDEX(Tab_DaBa[],MATCH(CONCATENATE(Liste!$C$3,$B$1979,$B$2205),Data!$BO:$BO,0)-2,63)=""),"Performance Level: "&amp;INDEX(Tab_DaBa[],MATCH(CONCATENATE(Liste!$C$3,$B$1979,$B$2205),Data!$BO:$BO,0)-2,15),IF(INDEX(Tab_DaBa[],MATCH(CONCATENATE(Liste!$C$3,$B$1979,$B$2205),Data!$BO:$BO,0)-2,58)&lt;&gt;"","Performance Level: "&amp;INDEX(Tab_DaBa[],MATCH(CONCATENATE(Liste!$C$3,$B$1979,$B$2205),Data!$BO:$BO,0)-2,65),"")),"")</f>
        <v>Performance Level: PL_Aus4_9</v>
      </c>
      <c r="G2226" s="39"/>
      <c r="H2226" s="35" t="str">
        <f ca="1">IFERROR(IF(INDEX(Tab_DaBa[],MATCH(CONCATENATE(Liste!$C$3,$B$1979,$B$2205),Data!$BO:$BO,0)-2,63)&lt;&gt;"","Performance Level: "&amp;INDEX(Tab_DaBa[],MATCH(CONCATENATE(Liste!$C$3,$B$1979,$B$2205),Data!$BO:$BO,0)-2,15),""),"")</f>
        <v/>
      </c>
    </row>
    <row r="2227" spans="2:9" s="16" customFormat="1" ht="15.75">
      <c r="B2227" s="35" t="str">
        <f ca="1">IFERROR(IF(AND(INDEX(Tab_DaBa[],MATCH(CONCATENATE(Liste!$C$3,$B$1979,$B$2205),Data!$BO:$BO,0)-2,48)&lt;&gt;"",INDEX(Tab_DaBa[],MATCH(CONCATENATE(Liste!$C$3,$B$1979,$B$2205),Data!$BO:$BO,0)-2,53)=""),"PFH [1/h] = "&amp;10^9*INDEX(Tab_DaBa[],MATCH(CONCATENATE(Liste!$C$3,$B$1979,$B$2205),Data!$BO:$BO,0)-2,16)&amp;"E-9",IF(INDEX(Tab_DaBa[],MATCH(CONCATENATE(Liste!$C$3,$B$1979,$B$2205),Data!$BO:$BO,0)-2,48)&lt;&gt;"","PFH [1/h] = "&amp;10^9*INDEX(Tab_DaBa[],MATCH(CONCATENATE(Liste!$C$3,$B$1979,$B$2205),Data!$BO:$BO,0)-2,56)&amp;"E-9","")),"")</f>
        <v>PFH [1/h] = 4,19E-9</v>
      </c>
      <c r="C2227" s="39"/>
      <c r="D2227" s="35" t="str">
        <f ca="1">IFERROR(IF(AND(INDEX(Tab_DaBa[],MATCH(CONCATENATE(Liste!$C$3,$B$1979,$B$2205),Data!$BO:$BO,0)-2,53)&lt;&gt;"",INDEX(Tab_DaBa[],MATCH(CONCATENATE(Liste!$C$3,$B$1979,$B$2205),Data!$BO:$BO,0)-2,58)=""),"PFH [1/h] = "&amp;10^9*INDEX(Tab_DaBa[],MATCH(CONCATENATE(Liste!$C$3,$B$1979,$B$2205),Data!$BO:$BO,0)-2,16)&amp;"E-9",IF(INDEX(Tab_DaBa[],MATCH(CONCATENATE(Liste!$C$3,$B$1979,$B$2205),Data!$BO:$BO,0)-2,53)&lt;&gt;"","PFH [1/h] = "&amp;10^9*INDEX(Tab_DaBa[],MATCH(CONCATENATE(Liste!$C$3,$B$1979,$B$2205),Data!$BO:$BO,0)-2,61)&amp;"E-9","")),"")</f>
        <v>PFH [1/h] = 4,19E-9</v>
      </c>
      <c r="E2227" s="37"/>
      <c r="F2227" s="35" t="str">
        <f ca="1">IFERROR(IF(AND(INDEX(Tab_DaBa[],MATCH(CONCATENATE(Liste!$C$3,$B$1979,$B$2205),Data!$BO:$BO,0)-2,58)&lt;&gt;"",INDEX(Tab_DaBa[],MATCH(CONCATENATE(Liste!$C$3,$B$1979,$B$2205),Data!$BO:$BO,0)-2,63)=""),"PFH [1/h] = "&amp;10^9*INDEX(Tab_DaBa[],MATCH(CONCATENATE(Liste!$C$3,$B$1979,$B$2205),Data!$BO:$BO,0)-2,16)&amp;"E-9",IF(INDEX(Tab_DaBa[],MATCH(CONCATENATE(Liste!$C$3,$B$1979,$B$2205),Data!$BO:$BO,0)-2,58)&lt;&gt;"","PFH [1/h] = "&amp;10^9*INDEX(Tab_DaBa[],MATCH(CONCATENATE(Liste!$C$3,$B$1979,$B$2205),Data!$BO:$BO,0)-2,66)&amp;"E-9","")),"")</f>
        <v>PFH [1/h] = 24,7E-9</v>
      </c>
      <c r="G2227" s="39"/>
      <c r="H2227" s="35" t="str">
        <f ca="1">IFERROR(IF(INDEX(Tab_DaBa[],MATCH(CONCATENATE(Liste!$C$3,$B$1979,$B$2205),Data!$BO:$BO,0)-2,63)&lt;&gt;"","PFH [1/h] = "&amp;10^9*INDEX(Tab_DaBa[],MATCH(CONCATENATE(Liste!$C$3,$B$1979,$B$2205),Data!$BO:$BO,0)-2,16)&amp;"E-9",""),"")</f>
        <v/>
      </c>
    </row>
    <row r="2228" spans="2:9" s="16" customFormat="1"/>
    <row r="2229" spans="2:9" s="16" customFormat="1">
      <c r="B2229" s="43" t="str">
        <f ca="1">IF(D2229="","","Erforderlich")</f>
        <v>Erforderlich</v>
      </c>
      <c r="D2229" s="44" t="str">
        <f ca="1">IFERROR("Performance Level: "&amp;INDEX(Tab_DaBa[],MATCH(CONCATENATE(Liste!$C$3,$B$1979,$B$2205),Data!$BO:$BO,0)-2,4),"")</f>
        <v>Performance Level: PLr_ges4_9</v>
      </c>
    </row>
    <row r="2230" spans="2:9" s="16" customFormat="1">
      <c r="B2230" s="45"/>
    </row>
    <row r="2231" spans="2:9" s="16" customFormat="1">
      <c r="B2231" s="46" t="str">
        <f ca="1">IF(D2231="","","Erreicht")</f>
        <v>Erreicht</v>
      </c>
      <c r="D2231" s="47" t="str">
        <f ca="1">IFERROR("Performance Level: "&amp;INDEX(Tab_DaBa[],MATCH(CONCATENATE(Liste!$C$3,$B$1979,$B$2205),Data!$BO:$BO,0)-2,5)&amp;"          PFH [1/h] = "&amp;10^9*INDEX(Tab_DaBa[],MATCH(CONCATENATE(Liste!$C$3,$B$1979,$B$2205),Data!$BO:$BO,0)-2,6)&amp;"E-9","")</f>
        <v>Performance Level: Pl_ges4_9          PFH [1/h] = 71,7E-9</v>
      </c>
    </row>
    <row r="2232" spans="2:9" s="16" customFormat="1">
      <c r="B2232" s="50"/>
      <c r="C2232" s="49"/>
      <c r="D2232" s="49"/>
    </row>
    <row r="2233" spans="2:9" s="16" customFormat="1">
      <c r="B2233" s="42" t="str">
        <f ca="1">IFERROR(IF(10&gt;COUNTIF(Data!$BP:$BP,CONCATENATE(Liste!$C$3,$B$1979)),"",INDEX(Tab_DaBa[],MATCH(CONCATENATE(Liste!$C$3,$B$1979),Data!$BP:$BP,0)+7,3)),"")</f>
        <v>8.10 Test08 (E+10L+A)</v>
      </c>
    </row>
    <row r="2234" spans="2:9" s="16" customFormat="1"/>
    <row r="2235" spans="2:9" s="16" customFormat="1" ht="15.75">
      <c r="B2235" s="35" t="str">
        <f ca="1">IFERROR(INDEX(Tab_DaBa[],MATCH(CONCATENATE(Liste!$C$3,$B$1979,$B$2233),Data!$BO:$BO,0)-2,9),"")</f>
        <v>Eingang</v>
      </c>
      <c r="C2235" s="54"/>
      <c r="D2235" s="35" t="str">
        <f ca="1">IFERROR(IF(INDEX(Tab_DaBa[],MATCH(CONCATENATE(Liste!$C$3,$B$1979,$B$2233),Data!$BO:$BO,0)-2,18)=0,INDEX(Tab_DaBa[],MATCH(CONCATENATE(Liste!$C$3,$B$1979,$B$2233),Data!$BO:$BO,0)-2,14),INDEX(Tab_DaBa[],MATCH(CONCATENATE(Liste!$C$3,$B$1979,$B$2233),Data!$BO:$BO,0)-2,19)),"")</f>
        <v>Logik 01</v>
      </c>
      <c r="E2235" s="33"/>
      <c r="F2235" s="35" t="str">
        <f ca="1">IFERROR(IF(AND(INDEX(Tab_DaBa[],MATCH(CONCATENATE(Liste!$C$3,$B$1979,$B$2233),Data!$BO:$BO,0)-2,18)&lt;&gt;"",INDEX(Tab_DaBa[],MATCH(CONCATENATE(Liste!$C$3,$B$1979,$B$2233),Data!$BO:$BO,0)-2,23)=0),INDEX(Tab_DaBa[],MATCH(CONCATENATE(Liste!$C$3,$B$1979,$B$2233),Data!$BO:$BO,0)-2,14),IF(INDEX(Tab_DaBa[],MATCH(CONCATENATE(Liste!$C$3,$B$1979,$B$2233),Data!$BO:$BO,0)-2,23)&lt;&gt;"",INDEX(Tab_DaBa[],MATCH(CONCATENATE(Liste!$C$3,$B$1979,$B$2233),Data!$BO:$BO,0)-2,24),"")),"")</f>
        <v>Logik 02</v>
      </c>
      <c r="G2235" s="39"/>
      <c r="H2235" s="35" t="str">
        <f ca="1">IFERROR(IF(AND(INDEX(Tab_DaBa[],MATCH(CONCATENATE(Liste!$C$3,$B$1979,$B$2233),Data!$BO:$BO,0)-2,23)&lt;&gt;"",INDEX(Tab_DaBa[],MATCH(CONCATENATE(Liste!$C$3,$B$1979,$B$2233),Data!$BO:$BO,0)-2,28)=0),INDEX(Tab_DaBa[],MATCH(CONCATENATE(Liste!$C$3,$B$1979,$B$2233),Data!$BO:$BO,0)-2,14),IF(INDEX(Tab_DaBa[],MATCH(CONCATENATE(Liste!$C$3,$B$1979,$B$2233),Data!$BO:$BO,0)-2,23)&lt;&gt;"",INDEX(Tab_DaBa[],MATCH(CONCATENATE(Liste!$C$3,$B$1979,$B$2233),Data!$BO:$BO,0)-2,29),"")),"")</f>
        <v>Logik 03</v>
      </c>
      <c r="I2235" s="39"/>
    </row>
    <row r="2236" spans="2:9" s="16" customFormat="1" ht="15.75">
      <c r="B2236" s="35" t="str">
        <f ca="1">IFERROR(INDEX(Tab_DaBa[],MATCH(CONCATENATE(Liste!$C$3,$B$1979,$B$2233),Data!$BO:$BO,0)-2,7),"")</f>
        <v>eeee-33_10</v>
      </c>
      <c r="C2236" s="54"/>
      <c r="D2236" s="35" t="str">
        <f ca="1">IFERROR(IF(INDEX(Tab_DaBa[],MATCH(CONCATENATE(Liste!$C$3,$B$1979,$B$2233),Data!$BO:$BO,0)-2,18)="",INDEX(Tab_DaBa[],MATCH(CONCATENATE(Liste!$C$3,$B$1979,$B$2233),Data!$BO:$BO,0)-2,12),INDEX(Tab_DaBa[],MATCH(CONCATENATE(Liste!$C$3,$B$1979,$B$2233),Data!$BO:$BO,0)-2,17)),"")</f>
        <v>Log01-04_10</v>
      </c>
      <c r="E2236" s="36"/>
      <c r="F2236" s="35" t="str">
        <f ca="1">IFERROR(IF(AND(INDEX(Tab_DaBa[],MATCH(CONCATENATE(Liste!$C$3,$B$1979,$B$2233),Data!$BO:$BO,0)-2,18)&lt;&gt;"",INDEX(Tab_DaBa[],MATCH(CONCATENATE(Liste!$C$3,$B$1979,$B$2233),Data!$BO:$BO,0)-2,23)=0),INDEX(Tab_DaBa[],MATCH(CONCATENATE(Liste!$C$3,$B$1979,$B$2233),Data!$BO:$BO,0)-2,12),IF(INDEX(Tab_DaBa[],MATCH(CONCATENATE(Liste!$C$3,$B$1979,$B$2233),Data!$BO:$BO,0)-2,23)&lt;&gt;"",INDEX(Tab_DaBa[],MATCH(CONCATENATE(Liste!$C$3,$B$1979,$B$2233),Data!$BO:$BO,0)-2,22),"")),"")</f>
        <v>Lo04-04_10</v>
      </c>
      <c r="G2236" s="39"/>
      <c r="H2236" s="35" t="str">
        <f ca="1">IFERROR(IF(AND(INDEX(Tab_DaBa[],MATCH(CONCATENATE(Liste!$C$3,$B$1979,$B$2233),Data!$BO:$BO,0)-2,23)&lt;&gt;"",INDEX(Tab_DaBa[],MATCH(CONCATENATE(Liste!$C$3,$B$1979,$B$2233),Data!$BO:$BO,0)-2,28)=0),INDEX(Tab_DaBa[],MATCH(CONCATENATE(Liste!$C$3,$B$1979,$B$2233),Data!$BO:$BO,0)-2,12),IF(INDEX(Tab_DaBa[],MATCH(CONCATENATE(Liste!$C$3,$B$1979,$B$2233),Data!$BO:$BO,0)-2,23)&lt;&gt;"",INDEX(Tab_DaBa[],MATCH(CONCATENATE(Liste!$C$3,$B$1979,$B$2233),Data!$BO:$BO,0)-2,27),"")),"")</f>
        <v>Lo04-44_10</v>
      </c>
      <c r="I2236" s="39"/>
    </row>
    <row r="2237" spans="2:9" s="16" customFormat="1" ht="15.75">
      <c r="B2237" s="35" t="str">
        <f ca="1">IFERROR(INDEX(Tab_DaBa[],MATCH(CONCATENATE(Liste!$C$3,$B$1979,$B$2233),Data!$BO:$BO,0)-2,8),"")</f>
        <v>Bez_Ein4_10</v>
      </c>
      <c r="C2237" s="40">
        <f ca="1">IF(D2235="","",4)</f>
        <v>4</v>
      </c>
      <c r="D2237" s="35" t="str">
        <f ca="1">IFERROR(IF(INDEX(Tab_DaBa[],MATCH(CONCATENATE(Liste!$C$3,$B$1979,$B$2233),Data!$BO:$BO,0)-2,18)="",INDEX(Tab_DaBa[],MATCH(CONCATENATE(Liste!$C$3,$B$1979,$B$2233),Data!$BO:$BO,0)-2,13),INDEX(Tab_DaBa[],MATCH(CONCATENATE(Liste!$C$3,$B$1979,$B$2233),Data!$BO:$BO,0)-2,18)),"")</f>
        <v>Bez_Log01_04_10</v>
      </c>
      <c r="E2237" s="40">
        <f ca="1">IF(F2235="","",4)</f>
        <v>4</v>
      </c>
      <c r="F2237" s="35" t="str">
        <f ca="1">IFERROR(IF(AND(INDEX(Tab_DaBa[],MATCH(CONCATENATE(Liste!$C$3,$B$1979,$B$2233),Data!$BO:$BO,0)-2,18)&lt;&gt;"",INDEX(Tab_DaBa[],MATCH(CONCATENATE(Liste!$C$3,$B$1979,$B$2233),Data!$BO:$BO,0)-2,23)=""),INDEX(Tab_DaBa[],MATCH(CONCATENATE(Liste!$C$3,$B$1979,$B$2233),Data!$BO:$BO,0)-2,13),IF(INDEX(Tab_DaBa[],MATCH(CONCATENATE(Liste!$C$3,$B$1979,$B$2233),Data!$BO:$BO,0)-2,23)&lt;&gt;"",INDEX(Tab_DaBa[],MATCH(CONCATENATE(Liste!$C$3,$B$1979,$B$2233),Data!$BO:$BO,0)-2,23),"")),"")</f>
        <v>Bez_Lo04_10</v>
      </c>
      <c r="G2237" s="38">
        <f ca="1">IF(H2235="","",4)</f>
        <v>4</v>
      </c>
      <c r="H2237" s="35" t="str">
        <f ca="1">IFERROR(IF(AND(INDEX(Tab_DaBa[],MATCH(CONCATENATE(Liste!$C$3,$B$1979,$B$2233),Data!$BO:$BO,0)-2,23)&lt;&gt;"",INDEX(Tab_DaBa[],MATCH(CONCATENATE(Liste!$C$3,$B$1979,$B$2233),Data!$BO:$BO,0)-2,28)=""),INDEX(Tab_DaBa[],MATCH(CONCATENATE(Liste!$C$3,$B$1979,$B$2233),Data!$BO:$BO,0)-2,13),IF(INDEX(Tab_DaBa[],MATCH(CONCATENATE(Liste!$C$3,$B$1979,$B$2233),Data!$BO:$BO,0)-2,23)&lt;&gt;"",INDEX(Tab_DaBa[],MATCH(CONCATENATE(Liste!$C$3,$B$1979,$B$2233),Data!$BO:$BO,0)-2,28),"")),"")</f>
        <v>Bez_Lo04_10</v>
      </c>
      <c r="I2237" s="38">
        <f ca="1">IF(B2243="","",6)</f>
        <v>6</v>
      </c>
    </row>
    <row r="2238" spans="2:9" s="16" customFormat="1" ht="15.75">
      <c r="B2238" s="35" t="str">
        <f ca="1">IFERROR("Performance Level: "&amp;INDEX(Tab_DaBa[],MATCH(CONCATENATE(Liste!$C$3,$B$1979,$B$2233),Data!$BO:$BO,0)-2,10),"")</f>
        <v>Performance Level: PL_Ein4_10</v>
      </c>
      <c r="C2238" s="54"/>
      <c r="D2238" s="35" t="str">
        <f ca="1">IFERROR(IF(INDEX(Tab_DaBa[],MATCH(CONCATENATE(Liste!$C$3,$B$1979,$B$2233),Data!$BO:$BO,0)-2,18)="","Performance Level: "&amp;INDEX(Tab_DaBa[],MATCH(CONCATENATE(Liste!$C$3,$B$1979,$B$2233),Data!$BO:$BO,0)-2,15),"Performance Level: "&amp;INDEX(Tab_DaBa[],MATCH(CONCATENATE(Liste!$C$3,$B$1979,$B$2233),Data!$BO:$BO,0)-2,20)),"")</f>
        <v>Performance Level: PL_Log01_04_10</v>
      </c>
      <c r="E2238" s="36"/>
      <c r="F2238" s="35" t="str">
        <f ca="1">IFERROR(IF(AND(INDEX(Tab_DaBa[],MATCH(CONCATENATE(Liste!$C$3,$B$1979,$B$2233),Data!$BO:$BO,0)-2,18)&lt;&gt;"",INDEX(Tab_DaBa[],MATCH(CONCATENATE(Liste!$C$3,$B$1979,$B$2233),Data!$BO:$BO,0)-2,23)=""),"Performance Level: "&amp;INDEX(Tab_DaBa[],MATCH(CONCATENATE(Liste!$C$3,$B$1979,$B$2233),Data!$BO:$BO,0)-2,15),IF(INDEX(Tab_DaBa[],MATCH(CONCATENATE(Liste!$C$3,$B$1979,$B$2233),Data!$BO:$BO,0)-2,23)&lt;&gt;"","Performance Level: "&amp;INDEX(Tab_DaBa[],MATCH(CONCATENATE(Liste!$C$3,$B$1979,$B$2233),Data!$BO:$BO,0)-2,25),"")),"")</f>
        <v>Performance Level: PL_Lo04_10</v>
      </c>
      <c r="G2238" s="39"/>
      <c r="H2238" s="35" t="str">
        <f ca="1">IFERROR(IF(AND(INDEX(Tab_DaBa[],MATCH(CONCATENATE(Liste!$C$3,$B$1979,$B$2233),Data!$BO:$BO,0)-2,23)&lt;&gt;"",INDEX(Tab_DaBa[],MATCH(CONCATENATE(Liste!$C$3,$B$1979,$B$2233),Data!$BO:$BO,0)-2,28)=""),"Performance Level: "&amp;INDEX(Tab_DaBa[],MATCH(CONCATENATE(Liste!$C$3,$B$1979,$B$2233),Data!$BO:$BO,0)-2,15),IF(INDEX(Tab_DaBa[],MATCH(CONCATENATE(Liste!$C$3,$B$1979,$B$2233),Data!$BO:$BO,0)-2,23)&lt;&gt;"","Performance Level: "&amp;INDEX(Tab_DaBa[],MATCH(CONCATENATE(Liste!$C$3,$B$1979,$B$2233),Data!$BO:$BO,0)-2,30),"")),"")</f>
        <v>Performance Level: PL_Lo04_10</v>
      </c>
      <c r="I2238" s="38"/>
    </row>
    <row r="2239" spans="2:9" s="16" customFormat="1" ht="15.75">
      <c r="B2239" s="53" t="str">
        <f ca="1">IFERROR("PFH [1/h] = "&amp;10^9*INDEX(Tab_DaBa[],MATCH(CONCATENATE(Liste!$C$3,$B$1979,$B$2233),Data!$BO:$BO,0)-2,11)&amp;"E-9","")</f>
        <v>PFH [1/h] = 42,9E-9</v>
      </c>
      <c r="C2239" s="54"/>
      <c r="D2239" s="35" t="str">
        <f ca="1">IFERROR(IF(INDEX(Tab_DaBa[],MATCH(CONCATENATE(Liste!$C$3,$B$1979,$B$2233),Data!$BO:$BO,0)-2,18)="","PFH [1/h] = "&amp;10^9*INDEX(Tab_DaBa[],MATCH(CONCATENATE(Liste!$C$3,$B$1979,$B$2233),Data!$BO:$BO,0)-2,16)&amp;"E-9","PFH [1/h] = "&amp;10^9*INDEX(Tab_DaBa[],MATCH(CONCATENATE(Liste!$C$3,$B$1979,$B$2233),Data!$BO:$BO,0)-2,21)&amp;"E-9"),"")</f>
        <v>PFH [1/h] = 4,19E-9</v>
      </c>
      <c r="E2239" s="36"/>
      <c r="F2239" s="35" t="str">
        <f ca="1">IFERROR(IF(AND(INDEX(Tab_DaBa[],MATCH(CONCATENATE(Liste!$C$3,$B$1979,$B$2233),Data!$BO:$BO,0)-2,18)&lt;&gt;"",INDEX(Tab_DaBa[],MATCH(CONCATENATE(Liste!$C$3,$B$1979,$B$2233),Data!$BO:$BO,0)-2,23)=""),"PFH [1/h] = "&amp;10^9*INDEX(Tab_DaBa[],MATCH(CONCATENATE(Liste!$C$3,$B$1979,$B$2233),Data!$BO:$BO,0)-2,16)&amp;"E-9",IF(INDEX(Tab_DaBa[],MATCH(CONCATENATE(Liste!$C$3,$B$1979,$B$2233),Data!$BO:$BO,0)-2,23)&lt;&gt;"","PFH [1/h] = "&amp;10^9*INDEX(Tab_DaBa[],MATCH(CONCATENATE(Liste!$C$3,$B$1979,$B$2233),Data!$BO:$BO,0)-2,26)&amp;"E-9","")),"")</f>
        <v>PFH [1/h] = 4,19E-9</v>
      </c>
      <c r="G2239" s="39"/>
      <c r="H2239" s="35" t="str">
        <f ca="1">IFERROR(IF(AND(INDEX(Tab_DaBa[],MATCH(CONCATENATE(Liste!$C$3,$B$1979,$B$2233),Data!$BO:$BO,0)-2,23)&lt;&gt;"",INDEX(Tab_DaBa[],MATCH(CONCATENATE(Liste!$C$3,$B$1979,$B$2233),Data!$BO:$BO,0)-2,28)=""),"PFH [1/h] = "&amp;10^9*INDEX(Tab_DaBa[],MATCH(CONCATENATE(Liste!$C$3,$B$1979,$B$2233),Data!$BO:$BO,0)-2,16)&amp;"E-9",IF(INDEX(Tab_DaBa[],MATCH(CONCATENATE(Liste!$C$3,$B$1979,$B$2233),Data!$BO:$BO,0)-2,23)&lt;&gt;"","PFH [1/h] = "&amp;10^9*INDEX(Tab_DaBa[],MATCH(CONCATENATE(Liste!$C$3,$B$1979,$B$2233),Data!$BO:$BO,0)-2,31)&amp;"E-9","")),"")</f>
        <v>PFH [1/h] = 4,19E-9</v>
      </c>
      <c r="I2239" s="39"/>
    </row>
    <row r="2240" spans="2:9" s="16" customFormat="1">
      <c r="B2240" s="33"/>
      <c r="C2240" s="34"/>
      <c r="D2240" s="33"/>
      <c r="E2240" s="33"/>
      <c r="F2240" s="33"/>
      <c r="G2240" s="33"/>
      <c r="H2240" s="33"/>
      <c r="I2240" s="33"/>
    </row>
    <row r="2241" spans="2:9" s="16" customFormat="1" ht="15.75">
      <c r="B2241" s="38">
        <f ca="1">IF(B2243="","",6)</f>
        <v>6</v>
      </c>
      <c r="C2241" s="34"/>
      <c r="D2241" s="38">
        <f ca="1">IF(B2243="","",3)</f>
        <v>3</v>
      </c>
      <c r="E2241" s="33"/>
      <c r="F2241" s="38">
        <f ca="1">IF(B2243="","",3)</f>
        <v>3</v>
      </c>
      <c r="G2241" s="33"/>
      <c r="H2241" s="38">
        <f ca="1">IF(B2243="","",3)</f>
        <v>3</v>
      </c>
      <c r="I2241" s="33"/>
    </row>
    <row r="2242" spans="2:9" s="16" customFormat="1" ht="15.75">
      <c r="B2242" s="39"/>
      <c r="C2242" s="33"/>
      <c r="D2242" s="33"/>
      <c r="E2242" s="33"/>
      <c r="F2242" s="33"/>
      <c r="G2242" s="33"/>
      <c r="H2242" s="33"/>
      <c r="I2242" s="33"/>
    </row>
    <row r="2243" spans="2:9" s="16" customFormat="1" ht="15.75">
      <c r="B2243" s="35" t="str">
        <f ca="1">IFERROR(IF(AND(INDEX(Tab_DaBa[],MATCH(CONCATENATE(Liste!$C$3,$B$1979,$B$2233),Data!$BO:$BO,0)-2,28)&lt;&gt;"",INDEX(Tab_DaBa[],MATCH(CONCATENATE(Liste!$C$3,$B$1979,$B$2233),Data!$BO:$BO,0)-2,33)=0),INDEX(Tab_DaBa[],MATCH(CONCATENATE(Liste!$C$3,$B$1979,$B$2233),Data!$BO:$BO,0)-2,14),IF(INDEX(Tab_DaBa[],MATCH(CONCATENATE(Liste!$C$3,$B$1979,$B$2233),Data!$BO:$BO,0)-2,28)&lt;&gt;"",INDEX(Tab_DaBa[],MATCH(CONCATENATE(Liste!$C$3,$B$1979,$B$2233),Data!$BO:$BO,0)-2,34),"")),"")</f>
        <v>Logik 04</v>
      </c>
      <c r="C2243" s="39"/>
      <c r="D2243" s="35" t="str">
        <f ca="1">IFERROR(IF(AND(INDEX(Tab_DaBa[],MATCH(CONCATENATE(Liste!$C$3,$B$1979,$B$2233),Data!$BO:$BO,0)-2,33)&lt;&gt;"",INDEX(Tab_DaBa[],MATCH(CONCATENATE(Liste!$C$3,$B$1979,$B$2233),Data!$BO:$BO,0)-2,38)=0),INDEX(Tab_DaBa[],MATCH(CONCATENATE(Liste!$C$3,$B$1979,$B$2233),Data!$BO:$BO,0)-2,14),IF(INDEX(Tab_DaBa[],MATCH(CONCATENATE(Liste!$C$3,$B$1979,$B$2233),Data!$BO:$BO,0)-2,33)&lt;&gt;"",INDEX(Tab_DaBa[],MATCH(CONCATENATE(Liste!$C$3,$B$1979,$B$2233),Data!$BO:$BO,0)-2,39),"")),"")</f>
        <v>Logik 08</v>
      </c>
      <c r="E2243" s="33"/>
      <c r="F2243" s="35" t="str">
        <f ca="1">IFERROR(IF(AND(INDEX(Tab_DaBa[],MATCH(CONCATENATE(Liste!$C$3,$B$1979,$B$2233),Data!$BO:$BO,0)-2,38)&lt;&gt;"",INDEX(Tab_DaBa[],MATCH(CONCATENATE(Liste!$C$3,$B$1979,$B$2233),Data!$BO:$BO,0)-2,43)=0),INDEX(Tab_DaBa[],MATCH(CONCATENATE(Liste!$C$3,$B$1979,$B$2233),Data!$BO:$BO,0)-2,14),IF(INDEX(Tab_DaBa[],MATCH(CONCATENATE(Liste!$C$3,$B$1979,$B$2233),Data!$BO:$BO,0)-2,38)&lt;&gt;"",INDEX(Tab_DaBa[],MATCH(CONCATENATE(Liste!$C$3,$B$1979,$B$2233),Data!$BO:$BO,0)-2,44),"")),"")</f>
        <v>Logik 06</v>
      </c>
      <c r="G2243" s="39"/>
      <c r="H2243" s="35" t="str">
        <f ca="1">IFERROR(IF(AND(INDEX(Tab_DaBa[],MATCH(CONCATENATE(Liste!$C$3,$B$1979,$B$2233),Data!$BO:$BO,0)-2,43)&lt;&gt;"",INDEX(Tab_DaBa[],MATCH(CONCATENATE(Liste!$C$3,$B$1979,$B$2233),Data!$BO:$BO,0)-2,48)=0),INDEX(Tab_DaBa[],MATCH(CONCATENATE(Liste!$C$3,$B$1979,$B$2233),Data!$BO:$BO,0)-2,14),IF(INDEX(Tab_DaBa[],MATCH(CONCATENATE(Liste!$C$3,$B$1979,$B$2233),Data!$BO:$BO,0)-2,43)&lt;&gt;"",INDEX(Tab_DaBa[],MATCH(CONCATENATE(Liste!$C$3,$B$1979,$B$2233),Data!$BO:$BO,0)-2,49),"")),"")</f>
        <v>Logik 07</v>
      </c>
      <c r="I2243" s="39"/>
    </row>
    <row r="2244" spans="2:9" s="16" customFormat="1" ht="15.75">
      <c r="B2244" s="35" t="str">
        <f ca="1">IFERROR(IF(AND(INDEX(Tab_DaBa[],MATCH(CONCATENATE(Liste!$C$3,$B$1979,$B$2233),Data!$BO:$BO,0)-2,28)&lt;&gt;"",INDEX(Tab_DaBa[],MATCH(CONCATENATE(Liste!$C$3,$B$1979,$B$2233),Data!$BO:$BO,0)-2,33)=0),INDEX(Tab_DaBa[],MATCH(CONCATENATE(Liste!$C$3,$B$1979,$B$2233),Data!$BO:$BO,0)-2,12),IF(INDEX(Tab_DaBa[],MATCH(CONCATENATE(Liste!$C$3,$B$1979,$B$2233),Data!$BO:$BO,0)-2,28)&lt;&gt;"",INDEX(Tab_DaBa[],MATCH(CONCATENATE(Liste!$C$3,$B$1979,$B$2233),Data!$BO:$BO,0)-2,32),"")),"")</f>
        <v>Lo04-44_10</v>
      </c>
      <c r="C2244" s="39"/>
      <c r="D2244" s="35" t="str">
        <f ca="1">IFERROR(IF(AND(INDEX(Tab_DaBa[],MATCH(CONCATENATE(Liste!$C$3,$B$1979,$B$2233),Data!$BO:$BO,0)-2,33)&lt;&gt;"",INDEX(Tab_DaBa[],MATCH(CONCATENATE(Liste!$C$3,$B$1979,$B$2233),Data!$BO:$BO,0)-2,38)=0),INDEX(Tab_DaBa[],MATCH(CONCATENATE(Liste!$C$3,$B$1979,$B$2233),Data!$BO:$BO,0)-2,12),IF(INDEX(Tab_DaBa[],MATCH(CONCATENATE(Liste!$C$3,$B$1979,$B$2233),Data!$BO:$BO,0)-2,33)&lt;&gt;"",INDEX(Tab_DaBa[],MATCH(CONCATENATE(Liste!$C$3,$B$1979,$B$2233),Data!$BO:$BO,0)-2,37),"")),"")</f>
        <v>Lo04-44_10</v>
      </c>
      <c r="E2244" s="37"/>
      <c r="F2244" s="35" t="str">
        <f ca="1">IFERROR(IF(AND(INDEX(Tab_DaBa[],MATCH(CONCATENATE(Liste!$C$3,$B$1979,$B$2233),Data!$BO:$BO,0)-2,38)&lt;&gt;"",INDEX(Tab_DaBa[],MATCH(CONCATENATE(Liste!$C$3,$B$1979,$B$2233),Data!$BO:$BO,0)-2,43)=0),INDEX(Tab_DaBa[],MATCH(CONCATENATE(Liste!$C$3,$B$1979,$B$2233),Data!$BO:$BO,0)-2,12),IF(INDEX(Tab_DaBa[],MATCH(CONCATENATE(Liste!$C$3,$B$1979,$B$2233),Data!$BO:$BO,0)-2,38)&lt;&gt;"",INDEX(Tab_DaBa[],MATCH(CONCATENATE(Liste!$C$3,$B$1979,$B$2233),Data!$BO:$BO,0)-2,42),"")),"")</f>
        <v>Lo03-33_10</v>
      </c>
      <c r="G2244" s="39"/>
      <c r="H2244" s="35" t="str">
        <f ca="1">IFERROR(IF(AND(INDEX(Tab_DaBa[],MATCH(CONCATENATE(Liste!$C$3,$B$1979,$B$2233),Data!$BO:$BO,0)-2,43)&lt;&gt;"",INDEX(Tab_DaBa[],MATCH(CONCATENATE(Liste!$C$3,$B$1979,$B$2233),Data!$BO:$BO,0)-2,48)=0),INDEX(Tab_DaBa[],MATCH(CONCATENATE(Liste!$C$3,$B$1979,$B$2233),Data!$BO:$BO,0)-2,12),IF(INDEX(Tab_DaBa[],MATCH(CONCATENATE(Liste!$C$3,$B$1979,$B$2233),Data!$BO:$BO,0)-2,43)&lt;&gt;"",INDEX(Tab_DaBa[],MATCH(CONCATENATE(Liste!$C$3,$B$1979,$B$2233),Data!$BO:$BO,0)-2,47),"")),"")</f>
        <v>Lo03-33_10</v>
      </c>
      <c r="I2244" s="39"/>
    </row>
    <row r="2245" spans="2:9" s="16" customFormat="1" ht="15.75">
      <c r="B2245" s="35" t="str">
        <f ca="1">IFERROR(IF(AND(INDEX(Tab_DaBa[],MATCH(CONCATENATE(Liste!$C$3,$B$1979,$B$2233),Data!$BO:$BO,0)-2,28)&lt;&gt;"",INDEX(Tab_DaBa[],MATCH(CONCATENATE(Liste!$C$3,$B$1979,$B$2233),Data!$BO:$BO,0)-2,33)=""),INDEX(Tab_DaBa[],MATCH(CONCATENATE(Liste!$C$3,$B$1979,$B$2233),Data!$BO:$BO,0)-2,13),IF(INDEX(Tab_DaBa[],MATCH(CONCATENATE(Liste!$C$3,$B$1979,$B$2233),Data!$BO:$BO,0)-2,28)&lt;&gt;"",INDEX(Tab_DaBa[],MATCH(CONCATENATE(Liste!$C$3,$B$1979,$B$2233),Data!$BO:$BO,0)-2,33),"")),"")</f>
        <v>Bez_Lo04_10</v>
      </c>
      <c r="C2245" s="38">
        <f ca="1">IF(D2243="","",4)</f>
        <v>4</v>
      </c>
      <c r="D2245" s="35" t="str">
        <f ca="1">IFERROR(IF(AND(INDEX(Tab_DaBa[],MATCH(CONCATENATE(Liste!$C$3,$B$1979,$B$2233),Data!$BO:$BO,0)-2,33)&lt;&gt;"",INDEX(Tab_DaBa[],MATCH(CONCATENATE(Liste!$C$3,$B$1979,$B$2233),Data!$BO:$BO,0)-2,38)=""),INDEX(Tab_DaBa[],MATCH(CONCATENATE(Liste!$C$3,$B$1979,$B$2233),Data!$BO:$BO,0)-2,13),IF(INDEX(Tab_DaBa[],MATCH(CONCATENATE(Liste!$C$3,$B$1979,$B$2233),Data!$BO:$BO,0)-2,33)&lt;&gt;"",INDEX(Tab_DaBa[],MATCH(CONCATENATE(Liste!$C$3,$B$1979,$B$2233),Data!$BO:$BO,0)-2,38),"")),"")</f>
        <v>Bez_Lo03_10</v>
      </c>
      <c r="E2245" s="38">
        <f ca="1">IF(F2243="","",4)</f>
        <v>4</v>
      </c>
      <c r="F2245" s="35" t="str">
        <f ca="1">IFERROR(IF(AND(INDEX(Tab_DaBa[],MATCH(CONCATENATE(Liste!$C$3,$B$1979,$B$2233),Data!$BO:$BO,0)-2,38)&lt;&gt;"",INDEX(Tab_DaBa[],MATCH(CONCATENATE(Liste!$C$3,$B$1979,$B$2233),Data!$BO:$BO,0)-2,43)=""),INDEX(Tab_DaBa[],MATCH(CONCATENATE(Liste!$C$3,$B$1979,$B$2233),Data!$BO:$BO,0)-2,13),IF(INDEX(Tab_DaBa[],MATCH(CONCATENATE(Liste!$C$3,$B$1979,$B$2233),Data!$BO:$BO,0)-2,38)&lt;&gt;"",INDEX(Tab_DaBa[],MATCH(CONCATENATE(Liste!$C$3,$B$1979,$B$2233),Data!$BO:$BO,0)-2,43),"")),"")</f>
        <v>Bez_Lo03_10</v>
      </c>
      <c r="G2245" s="38">
        <f ca="1">IF(H2243="","",4)</f>
        <v>4</v>
      </c>
      <c r="H2245" s="35" t="str">
        <f ca="1">IFERROR(IF(AND(INDEX(Tab_DaBa[],MATCH(CONCATENATE(Liste!$C$3,$B$1979,$B$2233),Data!$BO:$BO,0)-2,43)&lt;&gt;"",INDEX(Tab_DaBa[],MATCH(CONCATENATE(Liste!$C$3,$B$1979,$B$2233),Data!$BO:$BO,0)-2,48)=""),INDEX(Tab_DaBa[],MATCH(CONCATENATE(Liste!$C$3,$B$1979,$B$2233),Data!$BO:$BO,0)-2,13),IF(INDEX(Tab_DaBa[],MATCH(CONCATENATE(Liste!$C$3,$B$1979,$B$2233),Data!$BO:$BO,0)-2,43)&lt;&gt;"",INDEX(Tab_DaBa[],MATCH(CONCATENATE(Liste!$C$3,$B$1979,$B$2233),Data!$BO:$BO,0)-2,48),"")),"")</f>
        <v>Bez_Lo03_10</v>
      </c>
      <c r="I2245" s="38">
        <f ca="1">IF(B2251="","",6)</f>
        <v>6</v>
      </c>
    </row>
    <row r="2246" spans="2:9" s="16" customFormat="1" ht="15.75">
      <c r="B2246" s="35" t="str">
        <f ca="1">IFERROR(IF(AND(INDEX(Tab_DaBa[],MATCH(CONCATENATE(Liste!$C$3,$B$1979,$B$2233),Data!$BO:$BO,0)-2,28)&lt;&gt;"",INDEX(Tab_DaBa[],MATCH(CONCATENATE(Liste!$C$3,$B$1979,$B$2233),Data!$BO:$BO,0)-2,33)=""),"Performance Level: "&amp;INDEX(Tab_DaBa[],MATCH(CONCATENATE(Liste!$C$3,$B$1979,$B$2233),Data!$BO:$BO,0)-2,15),IF(INDEX(Tab_DaBa[],MATCH(CONCATENATE(Liste!$C$3,$B$1979,$B$2233),Data!$BO:$BO,0)-2,28)&lt;&gt;"","Performance Level: "&amp;INDEX(Tab_DaBa[],MATCH(CONCATENATE(Liste!$C$3,$B$1979,$B$2233),Data!$BO:$BO,0)-2,35),"")),"")</f>
        <v>Performance Level: PL_Lo04_10</v>
      </c>
      <c r="C2246" s="39"/>
      <c r="D2246" s="35" t="str">
        <f ca="1">IFERROR(IF(AND(INDEX(Tab_DaBa[],MATCH(CONCATENATE(Liste!$C$3,$B$1979,$B$2233),Data!$BO:$BO,0)-2,33)&lt;&gt;"",INDEX(Tab_DaBa[],MATCH(CONCATENATE(Liste!$C$3,$B$1979,$B$2233),Data!$BO:$BO,0)-2,38)=""),"Performance Level: "&amp;INDEX(Tab_DaBa[],MATCH(CONCATENATE(Liste!$C$3,$B$1979,$B$2233),Data!$BO:$BO,0)-2,15),IF(INDEX(Tab_DaBa[],MATCH(CONCATENATE(Liste!$C$3,$B$1979,$B$2233),Data!$BO:$BO,0)-2,33)&lt;&gt;"","Performance Level: "&amp;INDEX(Tab_DaBa[],MATCH(CONCATENATE(Liste!$C$3,$B$1979,$B$2233),Data!$BO:$BO,0)-2,40),"")),"")</f>
        <v>Performance Level: PL_Lo03_10</v>
      </c>
      <c r="E2246" s="37"/>
      <c r="F2246" s="35" t="str">
        <f ca="1">IFERROR(IF(AND(INDEX(Tab_DaBa[],MATCH(CONCATENATE(Liste!$C$3,$B$1979,$B$2233),Data!$BO:$BO,0)-2,38)&lt;&gt;"",INDEX(Tab_DaBa[],MATCH(CONCATENATE(Liste!$C$3,$B$1979,$B$2233),Data!$BO:$BO,0)-2,43)=""),"Performance Level: "&amp;INDEX(Tab_DaBa[],MATCH(CONCATENATE(Liste!$C$3,$B$1979,$B$2233),Data!$BO:$BO,0)-2,15),IF(INDEX(Tab_DaBa[],MATCH(CONCATENATE(Liste!$C$3,$B$1979,$B$2233),Data!$BO:$BO,0)-2,38)&lt;&gt;"","Performance Level: "&amp;INDEX(Tab_DaBa[],MATCH(CONCATENATE(Liste!$C$3,$B$1979,$B$2233),Data!$BO:$BO,0)-2,45),"")),"")</f>
        <v>Performance Level: PL_Lo03_10</v>
      </c>
      <c r="G2246" s="39"/>
      <c r="H2246" s="35" t="str">
        <f ca="1">IFERROR(IF(AND(INDEX(Tab_DaBa[],MATCH(CONCATENATE(Liste!$C$3,$B$1979,$B$2233),Data!$BO:$BO,0)-2,43)&lt;&gt;"",INDEX(Tab_DaBa[],MATCH(CONCATENATE(Liste!$C$3,$B$1979,$B$2233),Data!$BO:$BO,0)-2,48)=""),"Performance Level: "&amp;INDEX(Tab_DaBa[],MATCH(CONCATENATE(Liste!$C$3,$B$1979,$B$2233),Data!$BO:$BO,0)-2,15),IF(INDEX(Tab_DaBa[],MATCH(CONCATENATE(Liste!$C$3,$B$1979,$B$2233),Data!$BO:$BO,0)-2,43)&lt;&gt;"","Performance Level: "&amp;INDEX(Tab_DaBa[],MATCH(CONCATENATE(Liste!$C$3,$B$1979,$B$2233),Data!$BO:$BO,0)-2,50),"")),"")</f>
        <v>Performance Level: PL_Lo03_10</v>
      </c>
      <c r="I2246" s="39"/>
    </row>
    <row r="2247" spans="2:9" s="16" customFormat="1" ht="15.75">
      <c r="B2247" s="35" t="str">
        <f ca="1">IFERROR(IF(AND(INDEX(Tab_DaBa[],MATCH(CONCATENATE(Liste!$C$3,$B$1979,$B$2233),Data!$BO:$BO,0)-2,28)&lt;&gt;"",INDEX(Tab_DaBa[],MATCH(CONCATENATE(Liste!$C$3,$B$1979,$B$2233),Data!$BO:$BO,0)-2,33)=""),"PFH [1/h] = "&amp;10^9*INDEX(Tab_DaBa[],MATCH(CONCATENATE(Liste!$C$3,$B$1979,$B$2233),Data!$BO:$BO,0)-2,16)&amp;"E-9",IF(INDEX(Tab_DaBa[],MATCH(CONCATENATE(Liste!$C$3,$B$1979,$B$2233),Data!$BO:$BO,0)-2,28)&lt;&gt;"","PFH [1/h] = "&amp;10^9*INDEX(Tab_DaBa[],MATCH(CONCATENATE(Liste!$C$3,$B$1979,$B$2233),Data!$BO:$BO,0)-2,36)&amp;"E-9","")),"")</f>
        <v>PFH [1/h] = 4,19E-9</v>
      </c>
      <c r="C2247" s="39"/>
      <c r="D2247" s="35" t="str">
        <f ca="1">IFERROR(IF(AND(INDEX(Tab_DaBa[],MATCH(CONCATENATE(Liste!$C$3,$B$1979,$B$2233),Data!$BO:$BO,0)-2,33)&lt;&gt;"",INDEX(Tab_DaBa[],MATCH(CONCATENATE(Liste!$C$3,$B$1979,$B$2233),Data!$BO:$BO,0)-2,38)=""),"PFH [1/h] = "&amp;10^9*INDEX(Tab_DaBa[],MATCH(CONCATENATE(Liste!$C$3,$B$1979,$B$2233),Data!$BO:$BO,0)-2,16)&amp;"E-9",IF(INDEX(Tab_DaBa[],MATCH(CONCATENATE(Liste!$C$3,$B$1979,$B$2233),Data!$BO:$BO,0)-2,33)&lt;&gt;"","PFH [1/h] = "&amp;10^9*INDEX(Tab_DaBa[],MATCH(CONCATENATE(Liste!$C$3,$B$1979,$B$2233),Data!$BO:$BO,0)-2,41)&amp;"E-9","")),"")</f>
        <v>PFH [1/h] = 4,19E-9</v>
      </c>
      <c r="E2247" s="37"/>
      <c r="F2247" s="35" t="str">
        <f ca="1">IFERROR(IF(AND(INDEX(Tab_DaBa[],MATCH(CONCATENATE(Liste!$C$3,$B$1979,$B$2233),Data!$BO:$BO,0)-2,38)&lt;&gt;"",INDEX(Tab_DaBa[],MATCH(CONCATENATE(Liste!$C$3,$B$1979,$B$2233),Data!$BO:$BO,0)-2,43)=""),"PFH [1/h] = "&amp;10^9*INDEX(Tab_DaBa[],MATCH(CONCATENATE(Liste!$C$3,$B$1979,$B$2233),Data!$BO:$BO,0)-2,16)&amp;"E-9",IF(INDEX(Tab_DaBa[],MATCH(CONCATENATE(Liste!$C$3,$B$1979,$B$2233),Data!$BO:$BO,0)-2,38)&lt;&gt;"","PFH [1/h] = "&amp;10^9*INDEX(Tab_DaBa[],MATCH(CONCATENATE(Liste!$C$3,$B$1979,$B$2233),Data!$BO:$BO,0)-2,46)&amp;"E-9","")),"")</f>
        <v>PFH [1/h] = 4,19E-9</v>
      </c>
      <c r="G2247" s="39"/>
      <c r="H2247" s="35" t="str">
        <f ca="1">IFERROR(IF(AND(INDEX(Tab_DaBa[],MATCH(CONCATENATE(Liste!$C$3,$B$1979,$B$2233),Data!$BO:$BO,0)-2,43)&lt;&gt;"",INDEX(Tab_DaBa[],MATCH(CONCATENATE(Liste!$C$3,$B$1979,$B$2233),Data!$BO:$BO,0)-2,48)=""),"PFH [1/h] = "&amp;10^9*INDEX(Tab_DaBa[],MATCH(CONCATENATE(Liste!$C$3,$B$1979,$B$2233),Data!$BO:$BO,0)-2,16)&amp;"E-9",IF(INDEX(Tab_DaBa[],MATCH(CONCATENATE(Liste!$C$3,$B$1979,$B$2233),Data!$BO:$BO,0)-2,43)&lt;&gt;"","PFH [1/h] = "&amp;10^9*INDEX(Tab_DaBa[],MATCH(CONCATENATE(Liste!$C$3,$B$1979,$B$2233),Data!$BO:$BO,0)-2,51)&amp;"E-9","")),"")</f>
        <v>PFH [1/h] = 4,19E-9</v>
      </c>
      <c r="I2247" s="39"/>
    </row>
    <row r="2248" spans="2:9" s="16" customFormat="1">
      <c r="B2248" s="33"/>
      <c r="C2248" s="33"/>
      <c r="D2248" s="33"/>
      <c r="E2248" s="33"/>
      <c r="F2248" s="33"/>
      <c r="G2248" s="33"/>
      <c r="H2248" s="33"/>
      <c r="I2248" s="33"/>
    </row>
    <row r="2249" spans="2:9" s="16" customFormat="1" ht="15.75">
      <c r="B2249" s="38">
        <f ca="1">IF(B2251="","",6)</f>
        <v>6</v>
      </c>
      <c r="C2249" s="33"/>
      <c r="D2249" s="38">
        <f ca="1">IF(B2251="","",3)</f>
        <v>3</v>
      </c>
      <c r="E2249" s="33"/>
      <c r="F2249" s="38">
        <f ca="1">IF(B2251="","",3)</f>
        <v>3</v>
      </c>
      <c r="G2249" s="33"/>
      <c r="H2249" s="38">
        <f ca="1">IF(B2251="","",3)</f>
        <v>3</v>
      </c>
      <c r="I2249" s="33"/>
    </row>
    <row r="2250" spans="2:9" s="16" customFormat="1" ht="15.75">
      <c r="B2250" s="39"/>
      <c r="C2250" s="33"/>
      <c r="D2250" s="33"/>
      <c r="E2250" s="33"/>
      <c r="F2250" s="33"/>
      <c r="G2250" s="33"/>
      <c r="H2250" s="33"/>
      <c r="I2250" s="33"/>
    </row>
    <row r="2251" spans="2:9" s="16" customFormat="1" ht="15.75">
      <c r="B2251" s="35" t="str">
        <f ca="1">IFERROR(IF(AND(INDEX(Tab_DaBa[],MATCH(CONCATENATE(Liste!$C$3,$B$1979,$B$2233),Data!$BO:$BO,0)-2,48)&lt;&gt;"",INDEX(Tab_DaBa[],MATCH(CONCATENATE(Liste!$C$3,$B$1979,$B$2233),Data!$BO:$BO,0)-2,53)=0),INDEX(Tab_DaBa[],MATCH(CONCATENATE(Liste!$C$3,$B$1979,$B$2233),Data!$BO:$BO,0)-2,14),IF(INDEX(Tab_DaBa[],MATCH(CONCATENATE(Liste!$C$3,$B$1979,$B$2233),Data!$BO:$BO,0)-2,48)&lt;&gt;"",INDEX(Tab_DaBa[],MATCH(CONCATENATE(Liste!$C$3,$B$1979,$B$2233),Data!$BO:$BO,0)-2,54),"")),"")</f>
        <v>Logik 08</v>
      </c>
      <c r="C2251" s="39"/>
      <c r="D2251" s="35" t="str">
        <f ca="1">IFERROR(IF(AND(INDEX(Tab_DaBa[],MATCH(CONCATENATE(Liste!$C$3,$B$1979,$B$2233),Data!$BO:$BO,0)-2,53)&lt;&gt;"",INDEX(Tab_DaBa[],MATCH(CONCATENATE(Liste!$C$3,$B$1979,$B$2233),Data!$BO:$BO,0)-2,58)=0),INDEX(Tab_DaBa[],MATCH(CONCATENATE(Liste!$C$3,$B$1979,$B$2233),Data!$BO:$BO,0)-2,14),IF(INDEX(Tab_DaBa[],MATCH(CONCATENATE(Liste!$C$3,$B$1979,$B$2233),Data!$BO:$BO,0)-2,53)&lt;&gt;"",INDEX(Tab_DaBa[],MATCH(CONCATENATE(Liste!$C$3,$B$1979,$B$2233),Data!$BO:$BO,0)-2,59),"")),"")</f>
        <v>Logik 09</v>
      </c>
      <c r="E2251" s="33"/>
      <c r="F2251" s="35" t="str">
        <f ca="1">IFERROR(IF(AND(INDEX(Tab_DaBa[],MATCH(CONCATENATE(Liste!$C$3,$B$1979,$B$2233),Data!$BO:$BO,0)-2,58)&lt;&gt;"",INDEX(Tab_DaBa[],MATCH(CONCATENATE(Liste!$C$3,$B$1979,$B$2233),Data!$BO:$BO,0)-2,63)=0),INDEX(Tab_DaBa[],MATCH(CONCATENATE(Liste!$C$3,$B$1979,$B$2233),Data!$BO:$BO,0)-2,14),IF(INDEX(Tab_DaBa[],MATCH(CONCATENATE(Liste!$C$3,$B$1979,$B$2233),Data!$BO:$BO,0)-2,58)&lt;&gt;"",INDEX(Tab_DaBa[],MATCH(CONCATENATE(Liste!$C$3,$B$1979,$B$2233),Data!$BO:$BO,0)-2,64),"")),"")</f>
        <v>Logik 10</v>
      </c>
      <c r="G2251" s="39"/>
      <c r="H2251" s="35" t="str">
        <f ca="1">IFERROR(IF(INDEX(Tab_DaBa[],MATCH(CONCATENATE(Liste!$C$3,$B$1979,$B$2233),Data!$BO:$BO,0)-2,63)&lt;&gt;"",INDEX(Tab_DaBa[],MATCH(CONCATENATE(Liste!$C$3,$B$1979,$B$2233),Data!$BO:$BO,0)-2,14),""),"")</f>
        <v>Ausgang</v>
      </c>
    </row>
    <row r="2252" spans="2:9" s="16" customFormat="1" ht="15.75">
      <c r="B2252" s="35" t="str">
        <f ca="1">IFERROR(IF(AND(INDEX(Tab_DaBa[],MATCH(CONCATENATE(Liste!$C$3,$B$1979,$B$2233),Data!$BO:$BO,0)-2,48)&lt;&gt;"",INDEX(Tab_DaBa[],MATCH(CONCATENATE(Liste!$C$3,$B$1979,$B$2233),Data!$BO:$BO,0)-2,53)=0),INDEX(Tab_DaBa[],MATCH(CONCATENATE(Liste!$C$3,$B$1979,$B$2233),Data!$BO:$BO,0)-2,12),IF(INDEX(Tab_DaBa[],MATCH(CONCATENATE(Liste!$C$3,$B$1979,$B$2233),Data!$BO:$BO,0)-2,48)&lt;&gt;"",INDEX(Tab_DaBa[],MATCH(CONCATENATE(Liste!$C$3,$B$1979,$B$2233),Data!$BO:$BO,0)-2,52),"")),"")</f>
        <v>Lo03-88_10</v>
      </c>
      <c r="C2252" s="39"/>
      <c r="D2252" s="35" t="str">
        <f ca="1">IFERROR(IF(AND(INDEX(Tab_DaBa[],MATCH(CONCATENATE(Liste!$C$3,$B$1979,$B$2233),Data!$BO:$BO,0)-2,53)&lt;&gt;"",INDEX(Tab_DaBa[],MATCH(CONCATENATE(Liste!$C$3,$B$1979,$B$2233),Data!$BO:$BO,0)-2,58)=0),INDEX(Tab_DaBa[],MATCH(CONCATENATE(Liste!$C$3,$B$1979,$B$2233),Data!$BO:$BO,0)-2,12),IF(INDEX(Tab_DaBa[],MATCH(CONCATENATE(Liste!$C$3,$B$1979,$B$2233),Data!$BO:$BO,0)-2,53)&lt;&gt;"",INDEX(Tab_DaBa[],MATCH(CONCATENATE(Liste!$C$3,$B$1979,$B$2233),Data!$BO:$BO,0)-2,57),"")),"")</f>
        <v>Lo03-33_10</v>
      </c>
      <c r="E2252" s="37"/>
      <c r="F2252" s="35" t="str">
        <f ca="1">IFERROR(IF(AND(INDEX(Tab_DaBa[],MATCH(CONCATENATE(Liste!$C$3,$B$1979,$B$2233),Data!$BO:$BO,0)-2,58)&lt;&gt;"",INDEX(Tab_DaBa[],MATCH(CONCATENATE(Liste!$C$3,$B$1979,$B$2233),Data!$BO:$BO,0)-2,63)=0),INDEX(Tab_DaBa[],MATCH(CONCATENATE(Liste!$C$3,$B$1979,$B$2233),Data!$BO:$BO,0)-2,12),IF(INDEX(Tab_DaBa[],MATCH(CONCATENATE(Liste!$C$3,$B$1979,$B$2233),Data!$BO:$BO,0)-2,58)&lt;&gt;"",INDEX(Tab_DaBa[],MATCH(CONCATENATE(Liste!$C$3,$B$1979,$B$2233),Data!$BO:$BO,0)-2,62),"")),"")</f>
        <v>Lo03-10_10</v>
      </c>
      <c r="G2252" s="39"/>
      <c r="H2252" s="35" t="str">
        <f ca="1">IFERROR(IF(INDEX(Tab_DaBa[],MATCH(CONCATENATE(Liste!$C$3,$B$1979,$B$2233),Data!$BO:$BO,0)-2,63)&lt;&gt;"",INDEX(Tab_DaBa[],MATCH(CONCATENATE(Liste!$C$3,$B$1979,$B$2233),Data!$BO:$BO,0)-2,12),""),"")</f>
        <v>aaaa-44_10</v>
      </c>
    </row>
    <row r="2253" spans="2:9" s="16" customFormat="1" ht="15.75">
      <c r="B2253" s="35" t="str">
        <f ca="1">IFERROR(IF(AND(INDEX(Tab_DaBa[],MATCH(CONCATENATE(Liste!$C$3,$B$1979,$B$2233),Data!$BO:$BO,0)-2,48)&lt;&gt;"",INDEX(Tab_DaBa[],MATCH(CONCATENATE(Liste!$C$3,$B$1979,$B$2233),Data!$BO:$BO,0)-2,53)=""),INDEX(Tab_DaBa[],MATCH(CONCATENATE(Liste!$C$3,$B$1979,$B$2233),Data!$BO:$BO,0)-2,13),IF(INDEX(Tab_DaBa[],MATCH(CONCATENATE(Liste!$C$3,$B$1979,$B$2233),Data!$BO:$BO,0)-2,48)&lt;&gt;"",INDEX(Tab_DaBa[],MATCH(CONCATENATE(Liste!$C$3,$B$1979,$B$2233),Data!$BO:$BO,0)-2,53),"")),"")</f>
        <v>Bez_Lo03_10</v>
      </c>
      <c r="C2253" s="38">
        <f ca="1">IF(D2251="","",4)</f>
        <v>4</v>
      </c>
      <c r="D2253" s="35" t="str">
        <f ca="1">IFERROR(IF(AND(INDEX(Tab_DaBa[],MATCH(CONCATENATE(Liste!$C$3,$B$1979,$B$2233),Data!$BO:$BO,0)-2,53)&lt;&gt;"",INDEX(Tab_DaBa[],MATCH(CONCATENATE(Liste!$C$3,$B$1979,$B$2233),Data!$BO:$BO,0)-2,58)=""),INDEX(Tab_DaBa[],MATCH(CONCATENATE(Liste!$C$3,$B$1979,$B$2233),Data!$BO:$BO,0)-2,13),IF(INDEX(Tab_DaBa[],MATCH(CONCATENATE(Liste!$C$3,$B$1979,$B$2233),Data!$BO:$BO,0)-2,53)&lt;&gt;"",INDEX(Tab_DaBa[],MATCH(CONCATENATE(Liste!$C$3,$B$1979,$B$2233),Data!$BO:$BO,0)-2,58),"")),"")</f>
        <v>Bez_Lo03_10</v>
      </c>
      <c r="E2253" s="38">
        <f ca="1">IF(F2251="","",4)</f>
        <v>4</v>
      </c>
      <c r="F2253" s="35" t="str">
        <f ca="1">IFERROR(IF(AND(INDEX(Tab_DaBa[],MATCH(CONCATENATE(Liste!$C$3,$B$1979,$B$2233),Data!$BO:$BO,0)-2,58)&lt;&gt;"",INDEX(Tab_DaBa[],MATCH(CONCATENATE(Liste!$C$3,$B$1979,$B$2233),Data!$BO:$BO,0)-2,63)=""),INDEX(Tab_DaBa[],MATCH(CONCATENATE(Liste!$C$3,$B$1979,$B$2233),Data!$BO:$BO,0)-2,13),IF(INDEX(Tab_DaBa[],MATCH(CONCATENATE(Liste!$C$3,$B$1979,$B$2233),Data!$BO:$BO,0)-2,58)&lt;&gt;"",INDEX(Tab_DaBa[],MATCH(CONCATENATE(Liste!$C$3,$B$1979,$B$2233),Data!$BO:$BO,0)-2,63),"")),"")</f>
        <v>Bez_Lo03_10</v>
      </c>
      <c r="G2253" s="38">
        <f ca="1">IF(H2251="","",4)</f>
        <v>4</v>
      </c>
      <c r="H2253" s="35" t="str">
        <f ca="1">IFERROR(IF(INDEX(Tab_DaBa[],MATCH(CONCATENATE(Liste!$C$3,$B$1979,$B$2233),Data!$BO:$BO,0)-2,63)&lt;&gt;"",INDEX(Tab_DaBa[],MATCH(CONCATENATE(Liste!$C$3,$B$1979,$B$2233),Data!$BO:$BO,0)-2,13),""),"")</f>
        <v>Bez_Aus4_10</v>
      </c>
    </row>
    <row r="2254" spans="2:9" s="16" customFormat="1" ht="15.75">
      <c r="B2254" s="35" t="str">
        <f ca="1">IFERROR(IF(AND(INDEX(Tab_DaBa[],MATCH(CONCATENATE(Liste!$C$3,$B$1979,$B$2233),Data!$BO:$BO,0)-2,48)&lt;&gt;"",INDEX(Tab_DaBa[],MATCH(CONCATENATE(Liste!$C$3,$B$1979,$B$2233),Data!$BO:$BO,0)-2,53)=""),"Performance Level: "&amp;INDEX(Tab_DaBa[],MATCH(CONCATENATE(Liste!$C$3,$B$1979,$B$2233),Data!$BO:$BO,0)-2,15),IF(INDEX(Tab_DaBa[],MATCH(CONCATENATE(Liste!$C$3,$B$1979,$B$2233),Data!$BO:$BO,0)-2,48)&lt;&gt;"","Performance Level: "&amp;INDEX(Tab_DaBa[],MATCH(CONCATENATE(Liste!$C$3,$B$1979,$B$2233),Data!$BO:$BO,0)-2,55),"")),"")</f>
        <v>Performance Level: PL_Lo03_10</v>
      </c>
      <c r="C2254" s="39"/>
      <c r="D2254" s="35" t="str">
        <f ca="1">IFERROR(IF(AND(INDEX(Tab_DaBa[],MATCH(CONCATENATE(Liste!$C$3,$B$1979,$B$2233),Data!$BO:$BO,0)-2,53)&lt;&gt;"",INDEX(Tab_DaBa[],MATCH(CONCATENATE(Liste!$C$3,$B$1979,$B$2233),Data!$BO:$BO,0)-2,58)=""),"Performance Level: "&amp;INDEX(Tab_DaBa[],MATCH(CONCATENATE(Liste!$C$3,$B$1979,$B$2233),Data!$BO:$BO,0)-2,15),IF(INDEX(Tab_DaBa[],MATCH(CONCATENATE(Liste!$C$3,$B$1979,$B$2233),Data!$BO:$BO,0)-2,53)&lt;&gt;"","Performance Level: "&amp;INDEX(Tab_DaBa[],MATCH(CONCATENATE(Liste!$C$3,$B$1979,$B$2233),Data!$BO:$BO,0)-2,60),"")),"")</f>
        <v>Performance Level: PL_Lo03_10</v>
      </c>
      <c r="E2254" s="37"/>
      <c r="F2254" s="35" t="str">
        <f ca="1">IFERROR(IF(AND(INDEX(Tab_DaBa[],MATCH(CONCATENATE(Liste!$C$3,$B$1979,$B$2233),Data!$BO:$BO,0)-2,58)&lt;&gt;"",INDEX(Tab_DaBa[],MATCH(CONCATENATE(Liste!$C$3,$B$1979,$B$2233),Data!$BO:$BO,0)-2,63)=""),"Performance Level: "&amp;INDEX(Tab_DaBa[],MATCH(CONCATENATE(Liste!$C$3,$B$1979,$B$2233),Data!$BO:$BO,0)-2,15),IF(INDEX(Tab_DaBa[],MATCH(CONCATENATE(Liste!$C$3,$B$1979,$B$2233),Data!$BO:$BO,0)-2,58)&lt;&gt;"","Performance Level: "&amp;INDEX(Tab_DaBa[],MATCH(CONCATENATE(Liste!$C$3,$B$1979,$B$2233),Data!$BO:$BO,0)-2,65),"")),"")</f>
        <v>Performance Level: PL_Lo03_10</v>
      </c>
      <c r="G2254" s="39"/>
      <c r="H2254" s="35" t="str">
        <f ca="1">IFERROR(IF(INDEX(Tab_DaBa[],MATCH(CONCATENATE(Liste!$C$3,$B$1979,$B$2233),Data!$BO:$BO,0)-2,63)&lt;&gt;"","Performance Level: "&amp;INDEX(Tab_DaBa[],MATCH(CONCATENATE(Liste!$C$3,$B$1979,$B$2233),Data!$BO:$BO,0)-2,15),""),"")</f>
        <v>Performance Level: PL_Aus4_10</v>
      </c>
    </row>
    <row r="2255" spans="2:9" s="16" customFormat="1" ht="15.75">
      <c r="B2255" s="35" t="str">
        <f ca="1">IFERROR(IF(AND(INDEX(Tab_DaBa[],MATCH(CONCATENATE(Liste!$C$3,$B$1979,$B$2233),Data!$BO:$BO,0)-2,48)&lt;&gt;"",INDEX(Tab_DaBa[],MATCH(CONCATENATE(Liste!$C$3,$B$1979,$B$2233),Data!$BO:$BO,0)-2,53)=""),"PFH [1/h] = "&amp;10^9*INDEX(Tab_DaBa[],MATCH(CONCATENATE(Liste!$C$3,$B$1979,$B$2233),Data!$BO:$BO,0)-2,16)&amp;"E-9",IF(INDEX(Tab_DaBa[],MATCH(CONCATENATE(Liste!$C$3,$B$1979,$B$2233),Data!$BO:$BO,0)-2,48)&lt;&gt;"","PFH [1/h] = "&amp;10^9*INDEX(Tab_DaBa[],MATCH(CONCATENATE(Liste!$C$3,$B$1979,$B$2233),Data!$BO:$BO,0)-2,56)&amp;"E-9","")),"")</f>
        <v>PFH [1/h] = 4,19E-9</v>
      </c>
      <c r="C2255" s="39"/>
      <c r="D2255" s="35" t="str">
        <f ca="1">IFERROR(IF(AND(INDEX(Tab_DaBa[],MATCH(CONCATENATE(Liste!$C$3,$B$1979,$B$2233),Data!$BO:$BO,0)-2,53)&lt;&gt;"",INDEX(Tab_DaBa[],MATCH(CONCATENATE(Liste!$C$3,$B$1979,$B$2233),Data!$BO:$BO,0)-2,58)=""),"PFH [1/h] = "&amp;10^9*INDEX(Tab_DaBa[],MATCH(CONCATENATE(Liste!$C$3,$B$1979,$B$2233),Data!$BO:$BO,0)-2,16)&amp;"E-9",IF(INDEX(Tab_DaBa[],MATCH(CONCATENATE(Liste!$C$3,$B$1979,$B$2233),Data!$BO:$BO,0)-2,53)&lt;&gt;"","PFH [1/h] = "&amp;10^9*INDEX(Tab_DaBa[],MATCH(CONCATENATE(Liste!$C$3,$B$1979,$B$2233),Data!$BO:$BO,0)-2,61)&amp;"E-9","")),"")</f>
        <v>PFH [1/h] = 4,19E-9</v>
      </c>
      <c r="E2255" s="37"/>
      <c r="F2255" s="35" t="str">
        <f ca="1">IFERROR(IF(AND(INDEX(Tab_DaBa[],MATCH(CONCATENATE(Liste!$C$3,$B$1979,$B$2233),Data!$BO:$BO,0)-2,58)&lt;&gt;"",INDEX(Tab_DaBa[],MATCH(CONCATENATE(Liste!$C$3,$B$1979,$B$2233),Data!$BO:$BO,0)-2,63)=""),"PFH [1/h] = "&amp;10^9*INDEX(Tab_DaBa[],MATCH(CONCATENATE(Liste!$C$3,$B$1979,$B$2233),Data!$BO:$BO,0)-2,16)&amp;"E-9",IF(INDEX(Tab_DaBa[],MATCH(CONCATENATE(Liste!$C$3,$B$1979,$B$2233),Data!$BO:$BO,0)-2,58)&lt;&gt;"","PFH [1/h] = "&amp;10^9*INDEX(Tab_DaBa[],MATCH(CONCATENATE(Liste!$C$3,$B$1979,$B$2233),Data!$BO:$BO,0)-2,66)&amp;"E-9","")),"")</f>
        <v>PFH [1/h] = 4,19E-9</v>
      </c>
      <c r="G2255" s="39"/>
      <c r="H2255" s="35" t="str">
        <f ca="1">IFERROR(IF(INDEX(Tab_DaBa[],MATCH(CONCATENATE(Liste!$C$3,$B$1979,$B$2233),Data!$BO:$BO,0)-2,63)&lt;&gt;"","PFH [1/h] = "&amp;10^9*INDEX(Tab_DaBa[],MATCH(CONCATENATE(Liste!$C$3,$B$1979,$B$2233),Data!$BO:$BO,0)-2,16)&amp;"E-9",""),"")</f>
        <v>PFH [1/h] = 24,7E-9</v>
      </c>
    </row>
    <row r="2256" spans="2:9" s="16" customFormat="1"/>
    <row r="2257" spans="2:9" s="16" customFormat="1">
      <c r="B2257" s="43" t="str">
        <f ca="1">IF(D2257="","","Erforderlich")</f>
        <v>Erforderlich</v>
      </c>
      <c r="D2257" s="44" t="str">
        <f ca="1">IFERROR("Performance Level: "&amp;INDEX(Tab_DaBa[],MATCH(CONCATENATE(Liste!$C$3,$B$1979,$B$2233),Data!$BO:$BO,0)-2,4),"")</f>
        <v>Performance Level: PLr_ges4_10</v>
      </c>
    </row>
    <row r="2258" spans="2:9" s="16" customFormat="1">
      <c r="B2258" s="45"/>
    </row>
    <row r="2259" spans="2:9" s="16" customFormat="1">
      <c r="B2259" s="46" t="str">
        <f ca="1">IF(D2259="","","Erreicht")</f>
        <v>Erreicht</v>
      </c>
      <c r="D2259" s="47" t="str">
        <f ca="1">IFERROR("Performance Level: "&amp;INDEX(Tab_DaBa[],MATCH(CONCATENATE(Liste!$C$3,$B$1979,$B$2233),Data!$BO:$BO,0)-2,5)&amp;"          PFH [1/h] = "&amp;10^9*INDEX(Tab_DaBa[],MATCH(CONCATENATE(Liste!$C$3,$B$1979,$B$2233),Data!$BO:$BO,0)-2,6)&amp;"E-9","")</f>
        <v>Performance Level: Pl_ges4_10          PFH [1/h] = 71,7E-9</v>
      </c>
    </row>
    <row r="2260" spans="2:9" s="16" customFormat="1"/>
    <row r="2261" spans="2:9" s="16" customFormat="1">
      <c r="B2261" s="55" t="str">
        <f ca="1">Liste!$D$12</f>
        <v>9. Test09</v>
      </c>
    </row>
    <row r="2262" spans="2:9" s="16" customFormat="1"/>
    <row r="2263" spans="2:9" s="16" customFormat="1">
      <c r="B2263" s="42" t="str">
        <f ca="1">IFERROR(IF(1&gt;COUNTIF(Data!$BP:$BP,CONCATENATE(Liste!$C$3,$B$2261)),"",INDEX(Tab_DaBa[],MATCH(CONCATENATE(Liste!$C$3,$B$2261),Data!$BP:$BP,0)-2,3)),"")</f>
        <v>9.1 Test09 (E+1L+A)</v>
      </c>
    </row>
    <row r="2264" spans="2:9" s="16" customFormat="1"/>
    <row r="2265" spans="2:9" s="16" customFormat="1" ht="15.75">
      <c r="B2265" s="35" t="str">
        <f ca="1">IFERROR(INDEX(Tab_DaBa[],MATCH(CONCATENATE(Liste!$C$3,$B$2261,$B$2263),Data!$BO:$BO,0)-2,9),"")</f>
        <v>Eingang</v>
      </c>
      <c r="C2265" s="54"/>
      <c r="D2265" s="35" t="str">
        <f ca="1">IFERROR(IF(INDEX(Tab_DaBa[],MATCH(CONCATENATE(Liste!$C$3,$B$2261,$B$2263),Data!$BO:$BO,0)-2,18)=0,INDEX(Tab_DaBa[],MATCH(CONCATENATE(Liste!$C$3,$B$2261,$B$2263),Data!$BO:$BO,0)-2,14),INDEX(Tab_DaBa[],MATCH(CONCATENATE(Liste!$C$3,$B$2261,$B$2263),Data!$BO:$BO,0)-2,19)),"")</f>
        <v>Logik 01</v>
      </c>
      <c r="E2265" s="33"/>
      <c r="F2265" s="35" t="str">
        <f ca="1">IFERROR(IF(AND(INDEX(Tab_DaBa[],MATCH(CONCATENATE(Liste!$C$3,$B$2261,$B$2263),Data!$BO:$BO,0)-2,18)&lt;&gt;"",INDEX(Tab_DaBa[],MATCH(CONCATENATE(Liste!$C$3,$B$2261,$B$2263),Data!$BO:$BO,0)-2,23)=0),INDEX(Tab_DaBa[],MATCH(CONCATENATE(Liste!$C$3,$B$2261,$B$2263),Data!$BO:$BO,0)-2,14),IF(INDEX(Tab_DaBa[],MATCH(CONCATENATE(Liste!$C$3,$B$2261,$B$2263),Data!$BO:$BO,0)-2,23)&lt;&gt;"",INDEX(Tab_DaBa[],MATCH(CONCATENATE(Liste!$C$3,$B$2261,$B$2263),Data!$BO:$BO,0)-2,24),"")),"")</f>
        <v>Ausgang</v>
      </c>
      <c r="G2265" s="39"/>
      <c r="H2265" s="35" t="str">
        <f ca="1">IFERROR(IF(AND(INDEX(Tab_DaBa[],MATCH(CONCATENATE(Liste!$C$3,$B$2261,$B$2263),Data!$BO:$BO,0)-2,23)&lt;&gt;"",INDEX(Tab_DaBa[],MATCH(CONCATENATE(Liste!$C$3,$B$2261,$B$2263),Data!$BO:$BO,0)-2,28)=0),INDEX(Tab_DaBa[],MATCH(CONCATENATE(Liste!$C$3,$B$2261,$B$2263),Data!$BO:$BO,0)-2,14),IF(INDEX(Tab_DaBa[],MATCH(CONCATENATE(Liste!$C$3,$B$2261,$B$2263),Data!$BO:$BO,0)-2,23)&lt;&gt;"",INDEX(Tab_DaBa[],MATCH(CONCATENATE(Liste!$C$3,$B$2261,$B$2263),Data!$BO:$BO,0)-2,29),"")),"")</f>
        <v/>
      </c>
      <c r="I2265" s="39"/>
    </row>
    <row r="2266" spans="2:9" s="16" customFormat="1" ht="15.75">
      <c r="B2266" s="35" t="str">
        <f ca="1">IFERROR(INDEX(Tab_DaBa[],MATCH(CONCATENATE(Liste!$C$3,$B$2261,$B$2263),Data!$BO:$BO,0)-2,7),"")</f>
        <v>eeee-33_1</v>
      </c>
      <c r="C2266" s="54"/>
      <c r="D2266" s="35" t="str">
        <f ca="1">IFERROR(IF(INDEX(Tab_DaBa[],MATCH(CONCATENATE(Liste!$C$3,$B$2261,$B$2263),Data!$BO:$BO,0)-2,18)="",INDEX(Tab_DaBa[],MATCH(CONCATENATE(Liste!$C$3,$B$2261,$B$2263),Data!$BO:$BO,0)-2,12),INDEX(Tab_DaBa[],MATCH(CONCATENATE(Liste!$C$3,$B$2261,$B$2263),Data!$BO:$BO,0)-2,17)),"")</f>
        <v>Log01-04_01</v>
      </c>
      <c r="E2266" s="36"/>
      <c r="F2266" s="35" t="str">
        <f ca="1">IFERROR(IF(AND(INDEX(Tab_DaBa[],MATCH(CONCATENATE(Liste!$C$3,$B$2261,$B$2263),Data!$BO:$BO,0)-2,18)&lt;&gt;"",INDEX(Tab_DaBa[],MATCH(CONCATENATE(Liste!$C$3,$B$2261,$B$2263),Data!$BO:$BO,0)-2,23)=0),INDEX(Tab_DaBa[],MATCH(CONCATENATE(Liste!$C$3,$B$2261,$B$2263),Data!$BO:$BO,0)-2,12),IF(INDEX(Tab_DaBa[],MATCH(CONCATENATE(Liste!$C$3,$B$2261,$B$2263),Data!$BO:$BO,0)-2,23)&lt;&gt;"",INDEX(Tab_DaBa[],MATCH(CONCATENATE(Liste!$C$3,$B$2261,$B$2263),Data!$BO:$BO,0)-2,22),"")),"")</f>
        <v>aaaa-44_1</v>
      </c>
      <c r="G2266" s="39"/>
      <c r="H2266" s="35" t="str">
        <f ca="1">IFERROR(IF(AND(INDEX(Tab_DaBa[],MATCH(CONCATENATE(Liste!$C$3,$B$2261,$B$2263),Data!$BO:$BO,0)-2,23)&lt;&gt;"",INDEX(Tab_DaBa[],MATCH(CONCATENATE(Liste!$C$3,$B$2261,$B$2263),Data!$BO:$BO,0)-2,28)=0),INDEX(Tab_DaBa[],MATCH(CONCATENATE(Liste!$C$3,$B$2261,$B$2263),Data!$BO:$BO,0)-2,12),IF(INDEX(Tab_DaBa[],MATCH(CONCATENATE(Liste!$C$3,$B$2261,$B$2263),Data!$BO:$BO,0)-2,23)&lt;&gt;"",INDEX(Tab_DaBa[],MATCH(CONCATENATE(Liste!$C$3,$B$2261,$B$2263),Data!$BO:$BO,0)-2,27),"")),"")</f>
        <v/>
      </c>
      <c r="I2266" s="39"/>
    </row>
    <row r="2267" spans="2:9" s="16" customFormat="1" ht="15.75">
      <c r="B2267" s="35" t="str">
        <f ca="1">IFERROR(INDEX(Tab_DaBa[],MATCH(CONCATENATE(Liste!$C$3,$B$2261,$B$2263),Data!$BO:$BO,0)-2,8),"")</f>
        <v>Bez_Ein4_1</v>
      </c>
      <c r="C2267" s="40">
        <f ca="1">IF(D2265="","",4)</f>
        <v>4</v>
      </c>
      <c r="D2267" s="35" t="str">
        <f ca="1">IFERROR(IF(INDEX(Tab_DaBa[],MATCH(CONCATENATE(Liste!$C$3,$B$2261,$B$2263),Data!$BO:$BO,0)-2,18)="",INDEX(Tab_DaBa[],MATCH(CONCATENATE(Liste!$C$3,$B$2261,$B$2263),Data!$BO:$BO,0)-2,13),INDEX(Tab_DaBa[],MATCH(CONCATENATE(Liste!$C$3,$B$2261,$B$2263),Data!$BO:$BO,0)-2,18)),"")</f>
        <v>Bez_Log01_04_01</v>
      </c>
      <c r="E2267" s="40">
        <f ca="1">IF(F2265="","",4)</f>
        <v>4</v>
      </c>
      <c r="F2267" s="35" t="str">
        <f ca="1">IFERROR(IF(AND(INDEX(Tab_DaBa[],MATCH(CONCATENATE(Liste!$C$3,$B$2261,$B$2263),Data!$BO:$BO,0)-2,18)&lt;&gt;"",INDEX(Tab_DaBa[],MATCH(CONCATENATE(Liste!$C$3,$B$2261,$B$2263),Data!$BO:$BO,0)-2,23)=""),INDEX(Tab_DaBa[],MATCH(CONCATENATE(Liste!$C$3,$B$2261,$B$2263),Data!$BO:$BO,0)-2,13),IF(INDEX(Tab_DaBa[],MATCH(CONCATENATE(Liste!$C$3,$B$2261,$B$2263),Data!$BO:$BO,0)-2,23)&lt;&gt;"",INDEX(Tab_DaBa[],MATCH(CONCATENATE(Liste!$C$3,$B$2261,$B$2263),Data!$BO:$BO,0)-2,23),"")),"")</f>
        <v>Bez_Aus4_1</v>
      </c>
      <c r="G2267" s="38" t="str">
        <f ca="1">IF(H2265="","",4)</f>
        <v/>
      </c>
      <c r="H2267" s="35" t="str">
        <f ca="1">IFERROR(IF(AND(INDEX(Tab_DaBa[],MATCH(CONCATENATE(Liste!$C$3,$B$2261,$B$2263),Data!$BO:$BO,0)-2,23)&lt;&gt;"",INDEX(Tab_DaBa[],MATCH(CONCATENATE(Liste!$C$3,$B$2261,$B$2263),Data!$BO:$BO,0)-2,28)=""),INDEX(Tab_DaBa[],MATCH(CONCATENATE(Liste!$C$3,$B$2261,$B$2263),Data!$BO:$BO,0)-2,13),IF(INDEX(Tab_DaBa[],MATCH(CONCATENATE(Liste!$C$3,$B$2261,$B$2263),Data!$BO:$BO,0)-2,23)&lt;&gt;"",INDEX(Tab_DaBa[],MATCH(CONCATENATE(Liste!$C$3,$B$2261,$B$2263),Data!$BO:$BO,0)-2,28),"")),"")</f>
        <v/>
      </c>
      <c r="I2267" s="38" t="str">
        <f ca="1">IF(B2273="","",6)</f>
        <v/>
      </c>
    </row>
    <row r="2268" spans="2:9" s="16" customFormat="1" ht="15.75">
      <c r="B2268" s="35" t="str">
        <f ca="1">IFERROR("Performance Level: "&amp;INDEX(Tab_DaBa[],MATCH(CONCATENATE(Liste!$C$3,$B$2261,$B$2263),Data!$BO:$BO,0)-2,10),"")</f>
        <v>Performance Level: PL_Ein4_1</v>
      </c>
      <c r="C2268" s="54"/>
      <c r="D2268" s="35" t="str">
        <f ca="1">IFERROR(IF(INDEX(Tab_DaBa[],MATCH(CONCATENATE(Liste!$C$3,$B$2261,$B$2263),Data!$BO:$BO,0)-2,18)="","Performance Level: "&amp;INDEX(Tab_DaBa[],MATCH(CONCATENATE(Liste!$C$3,$B$2261,$B$2263),Data!$BO:$BO,0)-2,15),"Performance Level: "&amp;INDEX(Tab_DaBa[],MATCH(CONCATENATE(Liste!$C$3,$B$2261,$B$2263),Data!$BO:$BO,0)-2,20)),"")</f>
        <v>Performance Level: PL_Log01_04_01</v>
      </c>
      <c r="E2268" s="36"/>
      <c r="F2268" s="35" t="str">
        <f ca="1">IFERROR(IF(AND(INDEX(Tab_DaBa[],MATCH(CONCATENATE(Liste!$C$3,$B$2261,$B$2263),Data!$BO:$BO,0)-2,18)&lt;&gt;"",INDEX(Tab_DaBa[],MATCH(CONCATENATE(Liste!$C$3,$B$2261,$B$2263),Data!$BO:$BO,0)-2,23)=""),"Performance Level: "&amp;INDEX(Tab_DaBa[],MATCH(CONCATENATE(Liste!$C$3,$B$2261,$B$2263),Data!$BO:$BO,0)-2,15),IF(INDEX(Tab_DaBa[],MATCH(CONCATENATE(Liste!$C$3,$B$2261,$B$2263),Data!$BO:$BO,0)-2,23)&lt;&gt;"","Performance Level: "&amp;INDEX(Tab_DaBa[],MATCH(CONCATENATE(Liste!$C$3,$B$2261,$B$2263),Data!$BO:$BO,0)-2,25),"")),"")</f>
        <v>Performance Level: PL_Aus4_1</v>
      </c>
      <c r="G2268" s="39"/>
      <c r="H2268" s="35" t="str">
        <f ca="1">IFERROR(IF(AND(INDEX(Tab_DaBa[],MATCH(CONCATENATE(Liste!$C$3,$B$2261,$B$2263),Data!$BO:$BO,0)-2,23)&lt;&gt;"",INDEX(Tab_DaBa[],MATCH(CONCATENATE(Liste!$C$3,$B$2261,$B$2263),Data!$BO:$BO,0)-2,28)=""),"Performance Level: "&amp;INDEX(Tab_DaBa[],MATCH(CONCATENATE(Liste!$C$3,$B$2261,$B$2263),Data!$BO:$BO,0)-2,15),IF(INDEX(Tab_DaBa[],MATCH(CONCATENATE(Liste!$C$3,$B$2261,$B$2263),Data!$BO:$BO,0)-2,23)&lt;&gt;"","Performance Level: "&amp;INDEX(Tab_DaBa[],MATCH(CONCATENATE(Liste!$C$3,$B$2261,$B$2263),Data!$BO:$BO,0)-2,30),"")),"")</f>
        <v/>
      </c>
      <c r="I2268" s="38"/>
    </row>
    <row r="2269" spans="2:9" s="16" customFormat="1" ht="15.75">
      <c r="B2269" s="53" t="str">
        <f ca="1">IFERROR("PFH [1/h] = "&amp;10^9*INDEX(Tab_DaBa[],MATCH(CONCATENATE(Liste!$C$3,$B$2261,$B$2263),Data!$BO:$BO,0)-2,11)&amp;"E-9","")</f>
        <v>PFH [1/h] = 42,9E-9</v>
      </c>
      <c r="C2269" s="54"/>
      <c r="D2269" s="35" t="str">
        <f ca="1">IFERROR(IF(INDEX(Tab_DaBa[],MATCH(CONCATENATE(Liste!$C$3,$B$2261,$B$2263),Data!$BO:$BO,0)-2,18)="","PFH [1/h] = "&amp;10^9*INDEX(Tab_DaBa[],MATCH(CONCATENATE(Liste!$C$3,$B$2261,$B$2263),Data!$BO:$BO,0)-2,16)&amp;"E-9","PFH [1/h] = "&amp;10^9*INDEX(Tab_DaBa[],MATCH(CONCATENATE(Liste!$C$3,$B$2261,$B$2263),Data!$BO:$BO,0)-2,21)&amp;"E-9"),"")</f>
        <v>PFH [1/h] = 4,19E-9</v>
      </c>
      <c r="E2269" s="36"/>
      <c r="F2269" s="35" t="str">
        <f ca="1">IFERROR(IF(AND(INDEX(Tab_DaBa[],MATCH(CONCATENATE(Liste!$C$3,$B$2261,$B$2263),Data!$BO:$BO,0)-2,18)&lt;&gt;"",INDEX(Tab_DaBa[],MATCH(CONCATENATE(Liste!$C$3,$B$2261,$B$2263),Data!$BO:$BO,0)-2,23)=""),"PFH [1/h] = "&amp;10^9*INDEX(Tab_DaBa[],MATCH(CONCATENATE(Liste!$C$3,$B$2261,$B$2263),Data!$BO:$BO,0)-2,16)&amp;"E-9",IF(INDEX(Tab_DaBa[],MATCH(CONCATENATE(Liste!$C$3,$B$2261,$B$2263),Data!$BO:$BO,0)-2,23)&lt;&gt;"","PFH [1/h] = "&amp;10^9*INDEX(Tab_DaBa[],MATCH(CONCATENATE(Liste!$C$3,$B$2261,$B$2263),Data!$BO:$BO,0)-2,26)&amp;"E-9","")),"")</f>
        <v>PFH [1/h] = 24,7E-9</v>
      </c>
      <c r="G2269" s="39"/>
      <c r="H2269" s="35" t="str">
        <f ca="1">IFERROR(IF(AND(INDEX(Tab_DaBa[],MATCH(CONCATENATE(Liste!$C$3,$B$2261,$B$2263),Data!$BO:$BO,0)-2,23)&lt;&gt;"",INDEX(Tab_DaBa[],MATCH(CONCATENATE(Liste!$C$3,$B$2261,$B$2263),Data!$BO:$BO,0)-2,28)=""),"PFH [1/h] = "&amp;10^9*INDEX(Tab_DaBa[],MATCH(CONCATENATE(Liste!$C$3,$B$2261,$B$2263),Data!$BO:$BO,0)-2,16)&amp;"E-9",IF(INDEX(Tab_DaBa[],MATCH(CONCATENATE(Liste!$C$3,$B$2261,$B$2263),Data!$BO:$BO,0)-2,23)&lt;&gt;"","PFH [1/h] = "&amp;10^9*INDEX(Tab_DaBa[],MATCH(CONCATENATE(Liste!$C$3,$B$2261,$B$2263),Data!$BO:$BO,0)-2,31)&amp;"E-9","")),"")</f>
        <v/>
      </c>
      <c r="I2269" s="39"/>
    </row>
    <row r="2270" spans="2:9" s="16" customFormat="1">
      <c r="B2270" s="33"/>
      <c r="C2270" s="34"/>
      <c r="D2270" s="33"/>
      <c r="E2270" s="33"/>
      <c r="F2270" s="33"/>
      <c r="G2270" s="33"/>
      <c r="H2270" s="33"/>
      <c r="I2270" s="33"/>
    </row>
    <row r="2271" spans="2:9" s="16" customFormat="1" ht="15.75">
      <c r="B2271" s="38" t="str">
        <f ca="1">IF(B2273="","",6)</f>
        <v/>
      </c>
      <c r="C2271" s="34"/>
      <c r="D2271" s="38" t="str">
        <f ca="1">IF(B2273="","",3)</f>
        <v/>
      </c>
      <c r="E2271" s="33"/>
      <c r="F2271" s="38" t="str">
        <f ca="1">IF(B2273="","",3)</f>
        <v/>
      </c>
      <c r="G2271" s="33"/>
      <c r="H2271" s="38" t="str">
        <f ca="1">IF(B2273="","",3)</f>
        <v/>
      </c>
      <c r="I2271" s="33"/>
    </row>
    <row r="2272" spans="2:9" s="16" customFormat="1" ht="15.75">
      <c r="B2272" s="39"/>
      <c r="C2272" s="33"/>
      <c r="D2272" s="33"/>
      <c r="E2272" s="33"/>
      <c r="F2272" s="33"/>
      <c r="G2272" s="33"/>
      <c r="H2272" s="33"/>
      <c r="I2272" s="33"/>
    </row>
    <row r="2273" spans="2:9" s="16" customFormat="1" ht="15.75">
      <c r="B2273" s="35" t="str">
        <f ca="1">IFERROR(IF(AND(INDEX(Tab_DaBa[],MATCH(CONCATENATE(Liste!$C$3,$B$2261,$B$2263),Data!$BO:$BO,0)-2,28)&lt;&gt;"",INDEX(Tab_DaBa[],MATCH(CONCATENATE(Liste!$C$3,$B$2261,$B$2263),Data!$BO:$BO,0)-2,33)=0),INDEX(Tab_DaBa[],MATCH(CONCATENATE(Liste!$C$3,$B$2261,$B$2263),Data!$BO:$BO,0)-2,14),IF(INDEX(Tab_DaBa[],MATCH(CONCATENATE(Liste!$C$3,$B$2261,$B$2263),Data!$BO:$BO,0)-2,28)&lt;&gt;"",INDEX(Tab_DaBa[],MATCH(CONCATENATE(Liste!$C$3,$B$2261,$B$2263),Data!$BO:$BO,0)-2,34),"")),"")</f>
        <v/>
      </c>
      <c r="C2273" s="39"/>
      <c r="D2273" s="35" t="str">
        <f ca="1">IFERROR(IF(AND(INDEX(Tab_DaBa[],MATCH(CONCATENATE(Liste!$C$3,$B$2261,$B$2263),Data!$BO:$BO,0)-2,33)&lt;&gt;"",INDEX(Tab_DaBa[],MATCH(CONCATENATE(Liste!$C$3,$B$2261,$B$2263),Data!$BO:$BO,0)-2,38)=0),INDEX(Tab_DaBa[],MATCH(CONCATENATE(Liste!$C$3,$B$2261,$B$2263),Data!$BO:$BO,0)-2,14),IF(INDEX(Tab_DaBa[],MATCH(CONCATENATE(Liste!$C$3,$B$2261,$B$2263),Data!$BO:$BO,0)-2,33)&lt;&gt;"",INDEX(Tab_DaBa[],MATCH(CONCATENATE(Liste!$C$3,$B$2261,$B$2263),Data!$BO:$BO,0)-2,39),"")),"")</f>
        <v/>
      </c>
      <c r="E2273" s="33"/>
      <c r="F2273" s="35" t="str">
        <f ca="1">IFERROR(IF(AND(INDEX(Tab_DaBa[],MATCH(CONCATENATE(Liste!$C$3,$B$2261,$B$2263),Data!$BO:$BO,0)-2,38)&lt;&gt;"",INDEX(Tab_DaBa[],MATCH(CONCATENATE(Liste!$C$3,$B$2261,$B$2263),Data!$BO:$BO,0)-2,43)=0),INDEX(Tab_DaBa[],MATCH(CONCATENATE(Liste!$C$3,$B$2261,$B$2263),Data!$BO:$BO,0)-2,14),IF(INDEX(Tab_DaBa[],MATCH(CONCATENATE(Liste!$C$3,$B$2261,$B$2263),Data!$BO:$BO,0)-2,38)&lt;&gt;"",INDEX(Tab_DaBa[],MATCH(CONCATENATE(Liste!$C$3,$B$2261,$B$2263),Data!$BO:$BO,0)-2,44),"")),"")</f>
        <v/>
      </c>
      <c r="G2273" s="39"/>
      <c r="H2273" s="35" t="str">
        <f ca="1">IFERROR(IF(AND(INDEX(Tab_DaBa[],MATCH(CONCATENATE(Liste!$C$3,$B$2261,$B$2263),Data!$BO:$BO,0)-2,43)&lt;&gt;"",INDEX(Tab_DaBa[],MATCH(CONCATENATE(Liste!$C$3,$B$2261,$B$2263),Data!$BO:$BO,0)-2,48)=0),INDEX(Tab_DaBa[],MATCH(CONCATENATE(Liste!$C$3,$B$2261,$B$2263),Data!$BO:$BO,0)-2,14),IF(INDEX(Tab_DaBa[],MATCH(CONCATENATE(Liste!$C$3,$B$2261,$B$2263),Data!$BO:$BO,0)-2,43)&lt;&gt;"",INDEX(Tab_DaBa[],MATCH(CONCATENATE(Liste!$C$3,$B$2261,$B$2263),Data!$BO:$BO,0)-2,49),"")),"")</f>
        <v/>
      </c>
      <c r="I2273" s="39"/>
    </row>
    <row r="2274" spans="2:9" s="16" customFormat="1" ht="15.75">
      <c r="B2274" s="35" t="str">
        <f ca="1">IFERROR(IF(AND(INDEX(Tab_DaBa[],MATCH(CONCATENATE(Liste!$C$3,$B$2261,$B$2263),Data!$BO:$BO,0)-2,28)&lt;&gt;"",INDEX(Tab_DaBa[],MATCH(CONCATENATE(Liste!$C$3,$B$2261,$B$2263),Data!$BO:$BO,0)-2,33)=0),INDEX(Tab_DaBa[],MATCH(CONCATENATE(Liste!$C$3,$B$2261,$B$2263),Data!$BO:$BO,0)-2,12),IF(INDEX(Tab_DaBa[],MATCH(CONCATENATE(Liste!$C$3,$B$2261,$B$2263),Data!$BO:$BO,0)-2,28)&lt;&gt;"",INDEX(Tab_DaBa[],MATCH(CONCATENATE(Liste!$C$3,$B$2261,$B$2263),Data!$BO:$BO,0)-2,32),"")),"")</f>
        <v/>
      </c>
      <c r="C2274" s="39"/>
      <c r="D2274" s="35" t="str">
        <f ca="1">IFERROR(IF(AND(INDEX(Tab_DaBa[],MATCH(CONCATENATE(Liste!$C$3,$B$2261,$B$2263),Data!$BO:$BO,0)-2,33)&lt;&gt;"",INDEX(Tab_DaBa[],MATCH(CONCATENATE(Liste!$C$3,$B$2261,$B$2263),Data!$BO:$BO,0)-2,38)=0),INDEX(Tab_DaBa[],MATCH(CONCATENATE(Liste!$C$3,$B$2261,$B$2263),Data!$BO:$BO,0)-2,12),IF(INDEX(Tab_DaBa[],MATCH(CONCATENATE(Liste!$C$3,$B$2261,$B$2263),Data!$BO:$BO,0)-2,33)&lt;&gt;"",INDEX(Tab_DaBa[],MATCH(CONCATENATE(Liste!$C$3,$B$2261,$B$2263),Data!$BO:$BO,0)-2,37),"")),"")</f>
        <v/>
      </c>
      <c r="E2274" s="37"/>
      <c r="F2274" s="35" t="str">
        <f ca="1">IFERROR(IF(AND(INDEX(Tab_DaBa[],MATCH(CONCATENATE(Liste!$C$3,$B$2261,$B$2263),Data!$BO:$BO,0)-2,38)&lt;&gt;"",INDEX(Tab_DaBa[],MATCH(CONCATENATE(Liste!$C$3,$B$2261,$B$2263),Data!$BO:$BO,0)-2,43)=0),INDEX(Tab_DaBa[],MATCH(CONCATENATE(Liste!$C$3,$B$2261,$B$2263),Data!$BO:$BO,0)-2,12),IF(INDEX(Tab_DaBa[],MATCH(CONCATENATE(Liste!$C$3,$B$2261,$B$2263),Data!$BO:$BO,0)-2,38)&lt;&gt;"",INDEX(Tab_DaBa[],MATCH(CONCATENATE(Liste!$C$3,$B$2261,$B$2263),Data!$BO:$BO,0)-2,42),"")),"")</f>
        <v/>
      </c>
      <c r="G2274" s="39"/>
      <c r="H2274" s="35" t="str">
        <f ca="1">IFERROR(IF(AND(INDEX(Tab_DaBa[],MATCH(CONCATENATE(Liste!$C$3,$B$2261,$B$2263),Data!$BO:$BO,0)-2,43)&lt;&gt;"",INDEX(Tab_DaBa[],MATCH(CONCATENATE(Liste!$C$3,$B$2261,$B$2263),Data!$BO:$BO,0)-2,48)=0),INDEX(Tab_DaBa[],MATCH(CONCATENATE(Liste!$C$3,$B$2261,$B$2263),Data!$BO:$BO,0)-2,12),IF(INDEX(Tab_DaBa[],MATCH(CONCATENATE(Liste!$C$3,$B$2261,$B$2263),Data!$BO:$BO,0)-2,43)&lt;&gt;"",INDEX(Tab_DaBa[],MATCH(CONCATENATE(Liste!$C$3,$B$2261,$B$2263),Data!$BO:$BO,0)-2,47),"")),"")</f>
        <v/>
      </c>
      <c r="I2274" s="39"/>
    </row>
    <row r="2275" spans="2:9" s="16" customFormat="1" ht="15.75">
      <c r="B2275" s="35" t="str">
        <f ca="1">IFERROR(IF(AND(INDEX(Tab_DaBa[],MATCH(CONCATENATE(Liste!$C$3,$B$2261,$B$2263),Data!$BO:$BO,0)-2,28)&lt;&gt;"",INDEX(Tab_DaBa[],MATCH(CONCATENATE(Liste!$C$3,$B$2261,$B$2263),Data!$BO:$BO,0)-2,33)=""),INDEX(Tab_DaBa[],MATCH(CONCATENATE(Liste!$C$3,$B$2261,$B$2263),Data!$BO:$BO,0)-2,13),IF(INDEX(Tab_DaBa[],MATCH(CONCATENATE(Liste!$C$3,$B$2261,$B$2263),Data!$BO:$BO,0)-2,28)&lt;&gt;"",INDEX(Tab_DaBa[],MATCH(CONCATENATE(Liste!$C$3,$B$2261,$B$2263),Data!$BO:$BO,0)-2,33),"")),"")</f>
        <v/>
      </c>
      <c r="C2275" s="38" t="str">
        <f ca="1">IF(D2273="","",4)</f>
        <v/>
      </c>
      <c r="D2275" s="35" t="str">
        <f ca="1">IFERROR(IF(AND(INDEX(Tab_DaBa[],MATCH(CONCATENATE(Liste!$C$3,$B$2261,$B$2263),Data!$BO:$BO,0)-2,33)&lt;&gt;"",INDEX(Tab_DaBa[],MATCH(CONCATENATE(Liste!$C$3,$B$2261,$B$2263),Data!$BO:$BO,0)-2,38)=""),INDEX(Tab_DaBa[],MATCH(CONCATENATE(Liste!$C$3,$B$2261,$B$2263),Data!$BO:$BO,0)-2,13),IF(INDEX(Tab_DaBa[],MATCH(CONCATENATE(Liste!$C$3,$B$2261,$B$2263),Data!$BO:$BO,0)-2,33)&lt;&gt;"",INDEX(Tab_DaBa[],MATCH(CONCATENATE(Liste!$C$3,$B$2261,$B$2263),Data!$BO:$BO,0)-2,38),"")),"")</f>
        <v/>
      </c>
      <c r="E2275" s="38" t="str">
        <f ca="1">IF(F2273="","",4)</f>
        <v/>
      </c>
      <c r="F2275" s="35" t="str">
        <f ca="1">IFERROR(IF(AND(INDEX(Tab_DaBa[],MATCH(CONCATENATE(Liste!$C$3,$B$2261,$B$2263),Data!$BO:$BO,0)-2,38)&lt;&gt;"",INDEX(Tab_DaBa[],MATCH(CONCATENATE(Liste!$C$3,$B$2261,$B$2263),Data!$BO:$BO,0)-2,43)=""),INDEX(Tab_DaBa[],MATCH(CONCATENATE(Liste!$C$3,$B$2261,$B$2263),Data!$BO:$BO,0)-2,13),IF(INDEX(Tab_DaBa[],MATCH(CONCATENATE(Liste!$C$3,$B$2261,$B$2263),Data!$BO:$BO,0)-2,38)&lt;&gt;"",INDEX(Tab_DaBa[],MATCH(CONCATENATE(Liste!$C$3,$B$2261,$B$2263),Data!$BO:$BO,0)-2,43),"")),"")</f>
        <v/>
      </c>
      <c r="G2275" s="38" t="str">
        <f ca="1">IF(H2273="","",4)</f>
        <v/>
      </c>
      <c r="H2275" s="35" t="str">
        <f ca="1">IFERROR(IF(AND(INDEX(Tab_DaBa[],MATCH(CONCATENATE(Liste!$C$3,$B$2261,$B$2263),Data!$BO:$BO,0)-2,43)&lt;&gt;"",INDEX(Tab_DaBa[],MATCH(CONCATENATE(Liste!$C$3,$B$2261,$B$2263),Data!$BO:$BO,0)-2,48)=""),INDEX(Tab_DaBa[],MATCH(CONCATENATE(Liste!$C$3,$B$2261,$B$2263),Data!$BO:$BO,0)-2,13),IF(INDEX(Tab_DaBa[],MATCH(CONCATENATE(Liste!$C$3,$B$2261,$B$2263),Data!$BO:$BO,0)-2,43)&lt;&gt;"",INDEX(Tab_DaBa[],MATCH(CONCATENATE(Liste!$C$3,$B$2261,$B$2263),Data!$BO:$BO,0)-2,48),"")),"")</f>
        <v/>
      </c>
      <c r="I2275" s="38" t="str">
        <f ca="1">IF(B2281="","",6)</f>
        <v/>
      </c>
    </row>
    <row r="2276" spans="2:9" s="16" customFormat="1" ht="15.75">
      <c r="B2276" s="35" t="str">
        <f ca="1">IFERROR(IF(AND(INDEX(Tab_DaBa[],MATCH(CONCATENATE(Liste!$C$3,$B$2261,$B$2263),Data!$BO:$BO,0)-2,28)&lt;&gt;"",INDEX(Tab_DaBa[],MATCH(CONCATENATE(Liste!$C$3,$B$2261,$B$2263),Data!$BO:$BO,0)-2,33)=""),"Performance Level: "&amp;INDEX(Tab_DaBa[],MATCH(CONCATENATE(Liste!$C$3,$B$2261,$B$2263),Data!$BO:$BO,0)-2,15),IF(INDEX(Tab_DaBa[],MATCH(CONCATENATE(Liste!$C$3,$B$2261,$B$2263),Data!$BO:$BO,0)-2,28)&lt;&gt;"","Performance Level: "&amp;INDEX(Tab_DaBa[],MATCH(CONCATENATE(Liste!$C$3,$B$2261,$B$2263),Data!$BO:$BO,0)-2,35),"")),"")</f>
        <v/>
      </c>
      <c r="C2276" s="39"/>
      <c r="D2276" s="35" t="str">
        <f ca="1">IFERROR(IF(AND(INDEX(Tab_DaBa[],MATCH(CONCATENATE(Liste!$C$3,$B$2261,$B$2263),Data!$BO:$BO,0)-2,33)&lt;&gt;"",INDEX(Tab_DaBa[],MATCH(CONCATENATE(Liste!$C$3,$B$2261,$B$2263),Data!$BO:$BO,0)-2,38)=""),"Performance Level: "&amp;INDEX(Tab_DaBa[],MATCH(CONCATENATE(Liste!$C$3,$B$2261,$B$2263),Data!$BO:$BO,0)-2,15),IF(INDEX(Tab_DaBa[],MATCH(CONCATENATE(Liste!$C$3,$B$2261,$B$2263),Data!$BO:$BO,0)-2,33)&lt;&gt;"","Performance Level: "&amp;INDEX(Tab_DaBa[],MATCH(CONCATENATE(Liste!$C$3,$B$2261,$B$2263),Data!$BO:$BO,0)-2,40),"")),"")</f>
        <v/>
      </c>
      <c r="E2276" s="37"/>
      <c r="F2276" s="35" t="str">
        <f ca="1">IFERROR(IF(AND(INDEX(Tab_DaBa[],MATCH(CONCATENATE(Liste!$C$3,$B$2261,$B$2263),Data!$BO:$BO,0)-2,38)&lt;&gt;"",INDEX(Tab_DaBa[],MATCH(CONCATENATE(Liste!$C$3,$B$2261,$B$2263),Data!$BO:$BO,0)-2,43)=""),"Performance Level: "&amp;INDEX(Tab_DaBa[],MATCH(CONCATENATE(Liste!$C$3,$B$2261,$B$2263),Data!$BO:$BO,0)-2,15),IF(INDEX(Tab_DaBa[],MATCH(CONCATENATE(Liste!$C$3,$B$2261,$B$2263),Data!$BO:$BO,0)-2,38)&lt;&gt;"","Performance Level: "&amp;INDEX(Tab_DaBa[],MATCH(CONCATENATE(Liste!$C$3,$B$2261,$B$2263),Data!$BO:$BO,0)-2,45),"")),"")</f>
        <v/>
      </c>
      <c r="G2276" s="39"/>
      <c r="H2276" s="35" t="str">
        <f ca="1">IFERROR(IF(AND(INDEX(Tab_DaBa[],MATCH(CONCATENATE(Liste!$C$3,$B$2261,$B$2263),Data!$BO:$BO,0)-2,43)&lt;&gt;"",INDEX(Tab_DaBa[],MATCH(CONCATENATE(Liste!$C$3,$B$2261,$B$2263),Data!$BO:$BO,0)-2,48)=""),"Performance Level: "&amp;INDEX(Tab_DaBa[],MATCH(CONCATENATE(Liste!$C$3,$B$2261,$B$2263),Data!$BO:$BO,0)-2,15),IF(INDEX(Tab_DaBa[],MATCH(CONCATENATE(Liste!$C$3,$B$2261,$B$2263),Data!$BO:$BO,0)-2,43)&lt;&gt;"","Performance Level: "&amp;INDEX(Tab_DaBa[],MATCH(CONCATENATE(Liste!$C$3,$B$2261,$B$2263),Data!$BO:$BO,0)-2,50),"")),"")</f>
        <v/>
      </c>
      <c r="I2276" s="39"/>
    </row>
    <row r="2277" spans="2:9" s="16" customFormat="1" ht="15.75">
      <c r="B2277" s="35" t="str">
        <f ca="1">IFERROR(IF(AND(INDEX(Tab_DaBa[],MATCH(CONCATENATE(Liste!$C$3,$B$2261,$B$2263),Data!$BO:$BO,0)-2,28)&lt;&gt;"",INDEX(Tab_DaBa[],MATCH(CONCATENATE(Liste!$C$3,$B$2261,$B$2263),Data!$BO:$BO,0)-2,33)=""),"PFH [1/h] = "&amp;10^9*INDEX(Tab_DaBa[],MATCH(CONCATENATE(Liste!$C$3,$B$2261,$B$2263),Data!$BO:$BO,0)-2,16)&amp;"E-9",IF(INDEX(Tab_DaBa[],MATCH(CONCATENATE(Liste!$C$3,$B$2261,$B$2263),Data!$BO:$BO,0)-2,28)&lt;&gt;"","PFH [1/h] = "&amp;10^9*INDEX(Tab_DaBa[],MATCH(CONCATENATE(Liste!$C$3,$B$2261,$B$2263),Data!$BO:$BO,0)-2,36)&amp;"E-9","")),"")</f>
        <v/>
      </c>
      <c r="C2277" s="39"/>
      <c r="D2277" s="35" t="str">
        <f ca="1">IFERROR(IF(AND(INDEX(Tab_DaBa[],MATCH(CONCATENATE(Liste!$C$3,$B$2261,$B$2263),Data!$BO:$BO,0)-2,33)&lt;&gt;"",INDEX(Tab_DaBa[],MATCH(CONCATENATE(Liste!$C$3,$B$2261,$B$2263),Data!$BO:$BO,0)-2,38)=""),"PFH [1/h] = "&amp;10^9*INDEX(Tab_DaBa[],MATCH(CONCATENATE(Liste!$C$3,$B$2261,$B$2263),Data!$BO:$BO,0)-2,16)&amp;"E-9",IF(INDEX(Tab_DaBa[],MATCH(CONCATENATE(Liste!$C$3,$B$2261,$B$2263),Data!$BO:$BO,0)-2,33)&lt;&gt;"","PFH [1/h] = "&amp;10^9*INDEX(Tab_DaBa[],MATCH(CONCATENATE(Liste!$C$3,$B$2261,$B$2263),Data!$BO:$BO,0)-2,41)&amp;"E-9","")),"")</f>
        <v/>
      </c>
      <c r="E2277" s="37"/>
      <c r="F2277" s="35" t="str">
        <f ca="1">IFERROR(IF(AND(INDEX(Tab_DaBa[],MATCH(CONCATENATE(Liste!$C$3,$B$2261,$B$2263),Data!$BO:$BO,0)-2,38)&lt;&gt;"",INDEX(Tab_DaBa[],MATCH(CONCATENATE(Liste!$C$3,$B$2261,$B$2263),Data!$BO:$BO,0)-2,43)=""),"PFH [1/h] = "&amp;10^9*INDEX(Tab_DaBa[],MATCH(CONCATENATE(Liste!$C$3,$B$2261,$B$2263),Data!$BO:$BO,0)-2,16)&amp;"E-9",IF(INDEX(Tab_DaBa[],MATCH(CONCATENATE(Liste!$C$3,$B$2261,$B$2263),Data!$BO:$BO,0)-2,38)&lt;&gt;"","PFH [1/h] = "&amp;10^9*INDEX(Tab_DaBa[],MATCH(CONCATENATE(Liste!$C$3,$B$2261,$B$2263),Data!$BO:$BO,0)-2,46)&amp;"E-9","")),"")</f>
        <v/>
      </c>
      <c r="G2277" s="39"/>
      <c r="H2277" s="35" t="str">
        <f ca="1">IFERROR(IF(AND(INDEX(Tab_DaBa[],MATCH(CONCATENATE(Liste!$C$3,$B$2261,$B$2263),Data!$BO:$BO,0)-2,43)&lt;&gt;"",INDEX(Tab_DaBa[],MATCH(CONCATENATE(Liste!$C$3,$B$2261,$B$2263),Data!$BO:$BO,0)-2,48)=""),"PFH [1/h] = "&amp;10^9*INDEX(Tab_DaBa[],MATCH(CONCATENATE(Liste!$C$3,$B$2261,$B$2263),Data!$BO:$BO,0)-2,16)&amp;"E-9",IF(INDEX(Tab_DaBa[],MATCH(CONCATENATE(Liste!$C$3,$B$2261,$B$2263),Data!$BO:$BO,0)-2,43)&lt;&gt;"","PFH [1/h] = "&amp;10^9*INDEX(Tab_DaBa[],MATCH(CONCATENATE(Liste!$C$3,$B$2261,$B$2263),Data!$BO:$BO,0)-2,51)&amp;"E-9","")),"")</f>
        <v/>
      </c>
      <c r="I2277" s="39"/>
    </row>
    <row r="2278" spans="2:9" s="16" customFormat="1">
      <c r="B2278" s="33"/>
      <c r="C2278" s="33"/>
      <c r="D2278" s="33"/>
      <c r="E2278" s="33"/>
      <c r="F2278" s="33"/>
      <c r="G2278" s="33"/>
      <c r="H2278" s="33"/>
      <c r="I2278" s="33"/>
    </row>
    <row r="2279" spans="2:9" s="16" customFormat="1" ht="15.75">
      <c r="B2279" s="38" t="str">
        <f ca="1">IF(B2281="","",6)</f>
        <v/>
      </c>
      <c r="C2279" s="33"/>
      <c r="D2279" s="38" t="str">
        <f ca="1">IF(B2281="","",3)</f>
        <v/>
      </c>
      <c r="E2279" s="33"/>
      <c r="F2279" s="38" t="str">
        <f ca="1">IF(B2281="","",3)</f>
        <v/>
      </c>
      <c r="G2279" s="33"/>
      <c r="H2279" s="38" t="str">
        <f ca="1">IF(B2281="","",3)</f>
        <v/>
      </c>
      <c r="I2279" s="33"/>
    </row>
    <row r="2280" spans="2:9" s="16" customFormat="1" ht="15.75">
      <c r="B2280" s="39"/>
      <c r="C2280" s="33"/>
      <c r="D2280" s="33"/>
      <c r="E2280" s="33"/>
      <c r="F2280" s="33"/>
      <c r="G2280" s="33"/>
      <c r="H2280" s="33"/>
      <c r="I2280" s="33"/>
    </row>
    <row r="2281" spans="2:9" s="16" customFormat="1" ht="15.75">
      <c r="B2281" s="35" t="str">
        <f ca="1">IFERROR(IF(AND(INDEX(Tab_DaBa[],MATCH(CONCATENATE(Liste!$C$3,$B$2261,$B$2263),Data!$BO:$BO,0)-2,48)&lt;&gt;"",INDEX(Tab_DaBa[],MATCH(CONCATENATE(Liste!$C$3,$B$2261,$B$2263),Data!$BO:$BO,0)-2,53)=0),INDEX(Tab_DaBa[],MATCH(CONCATENATE(Liste!$C$3,$B$2261,$B$2263),Data!$BO:$BO,0)-2,14),IF(INDEX(Tab_DaBa[],MATCH(CONCATENATE(Liste!$C$3,$B$2261,$B$2263),Data!$BO:$BO,0)-2,48)&lt;&gt;"",INDEX(Tab_DaBa[],MATCH(CONCATENATE(Liste!$C$3,$B$2261,$B$2263),Data!$BO:$BO,0)-2,54),"")),"")</f>
        <v/>
      </c>
      <c r="C2281" s="39"/>
      <c r="D2281" s="35" t="str">
        <f ca="1">IFERROR(IF(AND(INDEX(Tab_DaBa[],MATCH(CONCATENATE(Liste!$C$3,$B$2261,$B$2263),Data!$BO:$BO,0)-2,53)&lt;&gt;"",INDEX(Tab_DaBa[],MATCH(CONCATENATE(Liste!$C$3,$B$2261,$B$2263),Data!$BO:$BO,0)-2,58)=0),INDEX(Tab_DaBa[],MATCH(CONCATENATE(Liste!$C$3,$B$2261,$B$2263),Data!$BO:$BO,0)-2,14),IF(INDEX(Tab_DaBa[],MATCH(CONCATENATE(Liste!$C$3,$B$2261,$B$2263),Data!$BO:$BO,0)-2,53)&lt;&gt;"",INDEX(Tab_DaBa[],MATCH(CONCATENATE(Liste!$C$3,$B$2261,$B$2263),Data!$BO:$BO,0)-2,59),"")),"")</f>
        <v/>
      </c>
      <c r="E2281" s="33"/>
      <c r="F2281" s="35" t="str">
        <f ca="1">IFERROR(IF(AND(INDEX(Tab_DaBa[],MATCH(CONCATENATE(Liste!$C$3,$B$2261,$B$2263),Data!$BO:$BO,0)-2,58)&lt;&gt;"",INDEX(Tab_DaBa[],MATCH(CONCATENATE(Liste!$C$3,$B$2261,$B$2263),Data!$BO:$BO,0)-2,63)=0),INDEX(Tab_DaBa[],MATCH(CONCATENATE(Liste!$C$3,$B$2261,$B$2263),Data!$BO:$BO,0)-2,14),IF(INDEX(Tab_DaBa[],MATCH(CONCATENATE(Liste!$C$3,$B$2261,$B$2263),Data!$BO:$BO,0)-2,58)&lt;&gt;"",INDEX(Tab_DaBa[],MATCH(CONCATENATE(Liste!$C$3,$B$2261,$B$2263),Data!$BO:$BO,0)-2,64),"")),"")</f>
        <v/>
      </c>
      <c r="G2281" s="39"/>
      <c r="H2281" s="35" t="str">
        <f ca="1">IFERROR(IF(INDEX(Tab_DaBa[],MATCH(CONCATENATE(Liste!$C$3,$B$2261,$B$2263),Data!$BO:$BO,0)-2,63)&lt;&gt;"",INDEX(Tab_DaBa[],MATCH(CONCATENATE(Liste!$C$3,$B$2261,$B$2263),Data!$BO:$BO,0)-2,14),""),"")</f>
        <v/>
      </c>
    </row>
    <row r="2282" spans="2:9" s="16" customFormat="1" ht="15.75">
      <c r="B2282" s="35" t="str">
        <f ca="1">IFERROR(IF(AND(INDEX(Tab_DaBa[],MATCH(CONCATENATE(Liste!$C$3,$B$2261,$B$2263),Data!$BO:$BO,0)-2,48)&lt;&gt;"",INDEX(Tab_DaBa[],MATCH(CONCATENATE(Liste!$C$3,$B$2261,$B$2263),Data!$BO:$BO,0)-2,53)=0),INDEX(Tab_DaBa[],MATCH(CONCATENATE(Liste!$C$3,$B$2261,$B$2263),Data!$BO:$BO,0)-2,12),IF(INDEX(Tab_DaBa[],MATCH(CONCATENATE(Liste!$C$3,$B$2261,$B$2263),Data!$BO:$BO,0)-2,48)&lt;&gt;"",INDEX(Tab_DaBa[],MATCH(CONCATENATE(Liste!$C$3,$B$2261,$B$2263),Data!$BO:$BO,0)-2,52),"")),"")</f>
        <v/>
      </c>
      <c r="C2282" s="39"/>
      <c r="D2282" s="35" t="str">
        <f ca="1">IFERROR(IF(AND(INDEX(Tab_DaBa[],MATCH(CONCATENATE(Liste!$C$3,$B$2261,$B$2263),Data!$BO:$BO,0)-2,53)&lt;&gt;"",INDEX(Tab_DaBa[],MATCH(CONCATENATE(Liste!$C$3,$B$2261,$B$2263),Data!$BO:$BO,0)-2,58)=0),INDEX(Tab_DaBa[],MATCH(CONCATENATE(Liste!$C$3,$B$2261,$B$2263),Data!$BO:$BO,0)-2,12),IF(INDEX(Tab_DaBa[],MATCH(CONCATENATE(Liste!$C$3,$B$2261,$B$2263),Data!$BO:$BO,0)-2,53)&lt;&gt;"",INDEX(Tab_DaBa[],MATCH(CONCATENATE(Liste!$C$3,$B$2261,$B$2263),Data!$BO:$BO,0)-2,57),"")),"")</f>
        <v/>
      </c>
      <c r="E2282" s="37"/>
      <c r="F2282" s="35" t="str">
        <f ca="1">IFERROR(IF(AND(INDEX(Tab_DaBa[],MATCH(CONCATENATE(Liste!$C$3,$B$2261,$B$2263),Data!$BO:$BO,0)-2,58)&lt;&gt;"",INDEX(Tab_DaBa[],MATCH(CONCATENATE(Liste!$C$3,$B$2261,$B$2263),Data!$BO:$BO,0)-2,63)=0),INDEX(Tab_DaBa[],MATCH(CONCATENATE(Liste!$C$3,$B$2261,$B$2263),Data!$BO:$BO,0)-2,12),IF(INDEX(Tab_DaBa[],MATCH(CONCATENATE(Liste!$C$3,$B$2261,$B$2263),Data!$BO:$BO,0)-2,58)&lt;&gt;"",INDEX(Tab_DaBa[],MATCH(CONCATENATE(Liste!$C$3,$B$2261,$B$2263),Data!$BO:$BO,0)-2,62),"")),"")</f>
        <v/>
      </c>
      <c r="G2282" s="39"/>
      <c r="H2282" s="35" t="str">
        <f ca="1">IFERROR(IF(INDEX(Tab_DaBa[],MATCH(CONCATENATE(Liste!$C$3,$B$2261,$B$2263),Data!$BO:$BO,0)-2,63)&lt;&gt;"",INDEX(Tab_DaBa[],MATCH(CONCATENATE(Liste!$C$3,$B$2261,$B$2263),Data!$BO:$BO,0)-2,12),""),"")</f>
        <v/>
      </c>
    </row>
    <row r="2283" spans="2:9" s="16" customFormat="1" ht="15.75">
      <c r="B2283" s="35" t="str">
        <f ca="1">IFERROR(IF(AND(INDEX(Tab_DaBa[],MATCH(CONCATENATE(Liste!$C$3,$B$2261,$B$2263),Data!$BO:$BO,0)-2,48)&lt;&gt;"",INDEX(Tab_DaBa[],MATCH(CONCATENATE(Liste!$C$3,$B$2261,$B$2263),Data!$BO:$BO,0)-2,53)=""),INDEX(Tab_DaBa[],MATCH(CONCATENATE(Liste!$C$3,$B$2261,$B$2263),Data!$BO:$BO,0)-2,13),IF(INDEX(Tab_DaBa[],MATCH(CONCATENATE(Liste!$C$3,$B$2261,$B$2263),Data!$BO:$BO,0)-2,48)&lt;&gt;"",INDEX(Tab_DaBa[],MATCH(CONCATENATE(Liste!$C$3,$B$2261,$B$2263),Data!$BO:$BO,0)-2,53),"")),"")</f>
        <v/>
      </c>
      <c r="C2283" s="38" t="str">
        <f ca="1">IF(D2281="","",4)</f>
        <v/>
      </c>
      <c r="D2283" s="35" t="str">
        <f ca="1">IFERROR(IF(AND(INDEX(Tab_DaBa[],MATCH(CONCATENATE(Liste!$C$3,$B$2261,$B$2263),Data!$BO:$BO,0)-2,53)&lt;&gt;"",INDEX(Tab_DaBa[],MATCH(CONCATENATE(Liste!$C$3,$B$2261,$B$2263),Data!$BO:$BO,0)-2,58)=""),INDEX(Tab_DaBa[],MATCH(CONCATENATE(Liste!$C$3,$B$2261,$B$2263),Data!$BO:$BO,0)-2,13),IF(INDEX(Tab_DaBa[],MATCH(CONCATENATE(Liste!$C$3,$B$2261,$B$2263),Data!$BO:$BO,0)-2,53)&lt;&gt;"",INDEX(Tab_DaBa[],MATCH(CONCATENATE(Liste!$C$3,$B$2261,$B$2263),Data!$BO:$BO,0)-2,58),"")),"")</f>
        <v/>
      </c>
      <c r="E2283" s="38" t="str">
        <f ca="1">IF(F2281="","",4)</f>
        <v/>
      </c>
      <c r="F2283" s="35" t="str">
        <f ca="1">IFERROR(IF(AND(INDEX(Tab_DaBa[],MATCH(CONCATENATE(Liste!$C$3,$B$2261,$B$2263),Data!$BO:$BO,0)-2,58)&lt;&gt;"",INDEX(Tab_DaBa[],MATCH(CONCATENATE(Liste!$C$3,$B$2261,$B$2263),Data!$BO:$BO,0)-2,63)=""),INDEX(Tab_DaBa[],MATCH(CONCATENATE(Liste!$C$3,$B$2261,$B$2263),Data!$BO:$BO,0)-2,13),IF(INDEX(Tab_DaBa[],MATCH(CONCATENATE(Liste!$C$3,$B$2261,$B$2263),Data!$BO:$BO,0)-2,58)&lt;&gt;"",INDEX(Tab_DaBa[],MATCH(CONCATENATE(Liste!$C$3,$B$2261,$B$2263),Data!$BO:$BO,0)-2,63),"")),"")</f>
        <v/>
      </c>
      <c r="G2283" s="38" t="str">
        <f ca="1">IF(H2281="","",4)</f>
        <v/>
      </c>
      <c r="H2283" s="35" t="str">
        <f ca="1">IFERROR(IF(INDEX(Tab_DaBa[],MATCH(CONCATENATE(Liste!$C$3,$B$2261,$B$2263),Data!$BO:$BO,0)-2,63)&lt;&gt;"",INDEX(Tab_DaBa[],MATCH(CONCATENATE(Liste!$C$3,$B$2261,$B$2263),Data!$BO:$BO,0)-2,13),""),"")</f>
        <v/>
      </c>
    </row>
    <row r="2284" spans="2:9" s="16" customFormat="1" ht="15.75">
      <c r="B2284" s="35" t="str">
        <f ca="1">IFERROR(IF(AND(INDEX(Tab_DaBa[],MATCH(CONCATENATE(Liste!$C$3,$B$2261,$B$2263),Data!$BO:$BO,0)-2,48)&lt;&gt;"",INDEX(Tab_DaBa[],MATCH(CONCATENATE(Liste!$C$3,$B$2261,$B$2263),Data!$BO:$BO,0)-2,53)=""),"Performance Level: "&amp;INDEX(Tab_DaBa[],MATCH(CONCATENATE(Liste!$C$3,$B$2261,$B$2263),Data!$BO:$BO,0)-2,15),IF(INDEX(Tab_DaBa[],MATCH(CONCATENATE(Liste!$C$3,$B$2261,$B$2263),Data!$BO:$BO,0)-2,48)&lt;&gt;"","Performance Level: "&amp;INDEX(Tab_DaBa[],MATCH(CONCATENATE(Liste!$C$3,$B$2261,$B$2263),Data!$BO:$BO,0)-2,55),"")),"")</f>
        <v/>
      </c>
      <c r="C2284" s="39"/>
      <c r="D2284" s="35" t="str">
        <f ca="1">IFERROR(IF(AND(INDEX(Tab_DaBa[],MATCH(CONCATENATE(Liste!$C$3,$B$2261,$B$2263),Data!$BO:$BO,0)-2,53)&lt;&gt;"",INDEX(Tab_DaBa[],MATCH(CONCATENATE(Liste!$C$3,$B$2261,$B$2263),Data!$BO:$BO,0)-2,58)=""),"Performance Level: "&amp;INDEX(Tab_DaBa[],MATCH(CONCATENATE(Liste!$C$3,$B$2261,$B$2263),Data!$BO:$BO,0)-2,15),IF(INDEX(Tab_DaBa[],MATCH(CONCATENATE(Liste!$C$3,$B$2261,$B$2263),Data!$BO:$BO,0)-2,53)&lt;&gt;"","Performance Level: "&amp;INDEX(Tab_DaBa[],MATCH(CONCATENATE(Liste!$C$3,$B$2261,$B$2263),Data!$BO:$BO,0)-2,60),"")),"")</f>
        <v/>
      </c>
      <c r="E2284" s="37"/>
      <c r="F2284" s="35" t="str">
        <f ca="1">IFERROR(IF(AND(INDEX(Tab_DaBa[],MATCH(CONCATENATE(Liste!$C$3,$B$2261,$B$2263),Data!$BO:$BO,0)-2,58)&lt;&gt;"",INDEX(Tab_DaBa[],MATCH(CONCATENATE(Liste!$C$3,$B$2261,$B$2263),Data!$BO:$BO,0)-2,63)=""),"Performance Level: "&amp;INDEX(Tab_DaBa[],MATCH(CONCATENATE(Liste!$C$3,$B$2261,$B$2263),Data!$BO:$BO,0)-2,15),IF(INDEX(Tab_DaBa[],MATCH(CONCATENATE(Liste!$C$3,$B$2261,$B$2263),Data!$BO:$BO,0)-2,58)&lt;&gt;"","Performance Level: "&amp;INDEX(Tab_DaBa[],MATCH(CONCATENATE(Liste!$C$3,$B$2261,$B$2263),Data!$BO:$BO,0)-2,65),"")),"")</f>
        <v/>
      </c>
      <c r="G2284" s="39"/>
      <c r="H2284" s="35" t="str">
        <f ca="1">IFERROR(IF(INDEX(Tab_DaBa[],MATCH(CONCATENATE(Liste!$C$3,$B$2261,$B$2263),Data!$BO:$BO,0)-2,63)&lt;&gt;"","Performance Level: "&amp;INDEX(Tab_DaBa[],MATCH(CONCATENATE(Liste!$C$3,$B$2261,$B$2263),Data!$BO:$BO,0)-2,15),""),"")</f>
        <v/>
      </c>
    </row>
    <row r="2285" spans="2:9" s="16" customFormat="1" ht="15.75">
      <c r="B2285" s="35" t="str">
        <f ca="1">IFERROR(IF(AND(INDEX(Tab_DaBa[],MATCH(CONCATENATE(Liste!$C$3,$B$2261,$B$2263),Data!$BO:$BO,0)-2,48)&lt;&gt;"",INDEX(Tab_DaBa[],MATCH(CONCATENATE(Liste!$C$3,$B$2261,$B$2263),Data!$BO:$BO,0)-2,53)=""),"PFH [1/h] = "&amp;10^9*INDEX(Tab_DaBa[],MATCH(CONCATENATE(Liste!$C$3,$B$2261,$B$2263),Data!$BO:$BO,0)-2,16)&amp;"E-9",IF(INDEX(Tab_DaBa[],MATCH(CONCATENATE(Liste!$C$3,$B$2261,$B$2263),Data!$BO:$BO,0)-2,48)&lt;&gt;"","PFH [1/h] = "&amp;10^9*INDEX(Tab_DaBa[],MATCH(CONCATENATE(Liste!$C$3,$B$2261,$B$2263),Data!$BO:$BO,0)-2,56)&amp;"E-9","")),"")</f>
        <v/>
      </c>
      <c r="C2285" s="39"/>
      <c r="D2285" s="35" t="str">
        <f ca="1">IFERROR(IF(AND(INDEX(Tab_DaBa[],MATCH(CONCATENATE(Liste!$C$3,$B$2261,$B$2263),Data!$BO:$BO,0)-2,53)&lt;&gt;"",INDEX(Tab_DaBa[],MATCH(CONCATENATE(Liste!$C$3,$B$2261,$B$2263),Data!$BO:$BO,0)-2,58)=""),"PFH [1/h] = "&amp;10^9*INDEX(Tab_DaBa[],MATCH(CONCATENATE(Liste!$C$3,$B$2261,$B$2263),Data!$BO:$BO,0)-2,16)&amp;"E-9",IF(INDEX(Tab_DaBa[],MATCH(CONCATENATE(Liste!$C$3,$B$2261,$B$2263),Data!$BO:$BO,0)-2,53)&lt;&gt;"","PFH [1/h] = "&amp;10^9*INDEX(Tab_DaBa[],MATCH(CONCATENATE(Liste!$C$3,$B$2261,$B$2263),Data!$BO:$BO,0)-2,61)&amp;"E-9","")),"")</f>
        <v/>
      </c>
      <c r="E2285" s="37"/>
      <c r="F2285" s="35" t="str">
        <f ca="1">IFERROR(IF(AND(INDEX(Tab_DaBa[],MATCH(CONCATENATE(Liste!$C$3,$B$2261,$B$2263),Data!$BO:$BO,0)-2,58)&lt;&gt;"",INDEX(Tab_DaBa[],MATCH(CONCATENATE(Liste!$C$3,$B$2261,$B$2263),Data!$BO:$BO,0)-2,63)=""),"PFH [1/h] = "&amp;10^9*INDEX(Tab_DaBa[],MATCH(CONCATENATE(Liste!$C$3,$B$2261,$B$2263),Data!$BO:$BO,0)-2,16)&amp;"E-9",IF(INDEX(Tab_DaBa[],MATCH(CONCATENATE(Liste!$C$3,$B$2261,$B$2263),Data!$BO:$BO,0)-2,58)&lt;&gt;"","PFH [1/h] = "&amp;10^9*INDEX(Tab_DaBa[],MATCH(CONCATENATE(Liste!$C$3,$B$2261,$B$2263),Data!$BO:$BO,0)-2,66)&amp;"E-9","")),"")</f>
        <v/>
      </c>
      <c r="G2285" s="39"/>
      <c r="H2285" s="35" t="str">
        <f ca="1">IFERROR(IF(INDEX(Tab_DaBa[],MATCH(CONCATENATE(Liste!$C$3,$B$2261,$B$2263),Data!$BO:$BO,0)-2,63)&lt;&gt;"","PFH [1/h] = "&amp;10^9*INDEX(Tab_DaBa[],MATCH(CONCATENATE(Liste!$C$3,$B$2261,$B$2263),Data!$BO:$BO,0)-2,16)&amp;"E-9",""),"")</f>
        <v/>
      </c>
    </row>
    <row r="2286" spans="2:9" s="16" customFormat="1"/>
    <row r="2287" spans="2:9" s="16" customFormat="1">
      <c r="B2287" s="43" t="str">
        <f ca="1">IF(D2287="","","Erforderlich")</f>
        <v>Erforderlich</v>
      </c>
      <c r="D2287" s="44" t="str">
        <f ca="1">IFERROR("Performance Level: "&amp;INDEX(Tab_DaBa[],MATCH(CONCATENATE(Liste!$C$3,$B$2261,$B$2263),Data!$BO:$BO,0)-2,4),"")</f>
        <v>Performance Level: PLr_ges4_1</v>
      </c>
    </row>
    <row r="2288" spans="2:9" s="16" customFormat="1">
      <c r="B2288" s="45"/>
    </row>
    <row r="2289" spans="2:9" s="16" customFormat="1">
      <c r="B2289" s="46" t="str">
        <f ca="1">IF(D2289="","","Erreicht")</f>
        <v>Erreicht</v>
      </c>
      <c r="D2289" s="47" t="str">
        <f ca="1">IFERROR("Performance Level: "&amp;INDEX(Tab_DaBa[],MATCH(CONCATENATE(Liste!$C$3,$B$2261,$B$2263),Data!$BO:$BO,0)-2,5)&amp;"          PFH [1/h] = "&amp;10^9*INDEX(Tab_DaBa[],MATCH(CONCATENATE(Liste!$C$3,$B$2261,$B$2263),Data!$BO:$BO,0)-2,6)&amp;"E-9","")</f>
        <v>Performance Level: Pl_ges4_1          PFH [1/h] = 71,7E-9</v>
      </c>
    </row>
    <row r="2290" spans="2:9" s="16" customFormat="1"/>
    <row r="2291" spans="2:9" s="16" customFormat="1">
      <c r="B2291" s="42" t="str">
        <f ca="1">IFERROR(IF(2&gt;COUNTIF(Data!$BP:$BP,CONCATENATE(Liste!$C$3,$B$2261)),"",INDEX(Tab_DaBa[],MATCH(CONCATENATE(Liste!$C$3,$B$2261),Data!$BP:$BP,0)-1,3)),"")</f>
        <v>9.2 Test09 (E+2L+A)</v>
      </c>
    </row>
    <row r="2292" spans="2:9" s="16" customFormat="1"/>
    <row r="2293" spans="2:9" s="16" customFormat="1" ht="15.75">
      <c r="B2293" s="35" t="str">
        <f ca="1">IFERROR(INDEX(Tab_DaBa[],MATCH(CONCATENATE(Liste!$C$3,$B$2261,$B$2291),Data!$BO:$BO,0)-2,9),"")</f>
        <v>Eingang</v>
      </c>
      <c r="C2293" s="54"/>
      <c r="D2293" s="35" t="str">
        <f ca="1">IFERROR(IF(INDEX(Tab_DaBa[],MATCH(CONCATENATE(Liste!$C$3,$B$2261,$B$2291),Data!$BO:$BO,0)-2,18)=0,INDEX(Tab_DaBa[],MATCH(CONCATENATE(Liste!$C$3,$B$2261,$B$2291),Data!$BO:$BO,0)-2,14),INDEX(Tab_DaBa[],MATCH(CONCATENATE(Liste!$C$3,$B$2261,$B$2291),Data!$BO:$BO,0)-2,19)),"")</f>
        <v>Logik 01</v>
      </c>
      <c r="E2293" s="33"/>
      <c r="F2293" s="35" t="str">
        <f ca="1">IFERROR(IF(AND(INDEX(Tab_DaBa[],MATCH(CONCATENATE(Liste!$C$3,$B$2261,$B$2291),Data!$BO:$BO,0)-2,18)&lt;&gt;"",INDEX(Tab_DaBa[],MATCH(CONCATENATE(Liste!$C$3,$B$2261,$B$2291),Data!$BO:$BO,0)-2,23)=0),INDEX(Tab_DaBa[],MATCH(CONCATENATE(Liste!$C$3,$B$2261,$B$2291),Data!$BO:$BO,0)-2,14),IF(INDEX(Tab_DaBa[],MATCH(CONCATENATE(Liste!$C$3,$B$2261,$B$2291),Data!$BO:$BO,0)-2,23)&lt;&gt;"",INDEX(Tab_DaBa[],MATCH(CONCATENATE(Liste!$C$3,$B$2261,$B$2291),Data!$BO:$BO,0)-2,24),"")),"")</f>
        <v>Logik 02</v>
      </c>
      <c r="G2293" s="39"/>
      <c r="H2293" s="35" t="str">
        <f ca="1">IFERROR(IF(AND(INDEX(Tab_DaBa[],MATCH(CONCATENATE(Liste!$C$3,$B$2261,$B$2291),Data!$BO:$BO,0)-2,23)&lt;&gt;"",INDEX(Tab_DaBa[],MATCH(CONCATENATE(Liste!$C$3,$B$2261,$B$2291),Data!$BO:$BO,0)-2,28)=0),INDEX(Tab_DaBa[],MATCH(CONCATENATE(Liste!$C$3,$B$2261,$B$2291),Data!$BO:$BO,0)-2,14),IF(INDEX(Tab_DaBa[],MATCH(CONCATENATE(Liste!$C$3,$B$2261,$B$2291),Data!$BO:$BO,0)-2,23)&lt;&gt;"",INDEX(Tab_DaBa[],MATCH(CONCATENATE(Liste!$C$3,$B$2261,$B$2291),Data!$BO:$BO,0)-2,29),"")),"")</f>
        <v>Ausgang</v>
      </c>
      <c r="I2293" s="39"/>
    </row>
    <row r="2294" spans="2:9" s="16" customFormat="1" ht="15.75">
      <c r="B2294" s="35" t="str">
        <f ca="1">IFERROR(INDEX(Tab_DaBa[],MATCH(CONCATENATE(Liste!$C$3,$B$2261,$B$2291),Data!$BO:$BO,0)-2,7),"")</f>
        <v>eeee-33_2</v>
      </c>
      <c r="C2294" s="54"/>
      <c r="D2294" s="35" t="str">
        <f ca="1">IFERROR(IF(INDEX(Tab_DaBa[],MATCH(CONCATENATE(Liste!$C$3,$B$2261,$B$2291),Data!$BO:$BO,0)-2,18)="",INDEX(Tab_DaBa[],MATCH(CONCATENATE(Liste!$C$3,$B$2261,$B$2291),Data!$BO:$BO,0)-2,12),INDEX(Tab_DaBa[],MATCH(CONCATENATE(Liste!$C$3,$B$2261,$B$2291),Data!$BO:$BO,0)-2,17)),"")</f>
        <v>Log01-04_02</v>
      </c>
      <c r="E2294" s="36"/>
      <c r="F2294" s="35" t="str">
        <f ca="1">IFERROR(IF(AND(INDEX(Tab_DaBa[],MATCH(CONCATENATE(Liste!$C$3,$B$2261,$B$2291),Data!$BO:$BO,0)-2,18)&lt;&gt;"",INDEX(Tab_DaBa[],MATCH(CONCATENATE(Liste!$C$3,$B$2261,$B$2291),Data!$BO:$BO,0)-2,23)=0),INDEX(Tab_DaBa[],MATCH(CONCATENATE(Liste!$C$3,$B$2261,$B$2291),Data!$BO:$BO,0)-2,12),IF(INDEX(Tab_DaBa[],MATCH(CONCATENATE(Liste!$C$3,$B$2261,$B$2291),Data!$BO:$BO,0)-2,23)&lt;&gt;"",INDEX(Tab_DaBa[],MATCH(CONCATENATE(Liste!$C$3,$B$2261,$B$2291),Data!$BO:$BO,0)-2,22),"")),"")</f>
        <v>Lo04-04_02</v>
      </c>
      <c r="G2294" s="39"/>
      <c r="H2294" s="35" t="str">
        <f ca="1">IFERROR(IF(AND(INDEX(Tab_DaBa[],MATCH(CONCATENATE(Liste!$C$3,$B$2261,$B$2291),Data!$BO:$BO,0)-2,23)&lt;&gt;"",INDEX(Tab_DaBa[],MATCH(CONCATENATE(Liste!$C$3,$B$2261,$B$2291),Data!$BO:$BO,0)-2,28)=0),INDEX(Tab_DaBa[],MATCH(CONCATENATE(Liste!$C$3,$B$2261,$B$2291),Data!$BO:$BO,0)-2,12),IF(INDEX(Tab_DaBa[],MATCH(CONCATENATE(Liste!$C$3,$B$2261,$B$2291),Data!$BO:$BO,0)-2,23)&lt;&gt;"",INDEX(Tab_DaBa[],MATCH(CONCATENATE(Liste!$C$3,$B$2261,$B$2291),Data!$BO:$BO,0)-2,27),"")),"")</f>
        <v>aaaa-44_2</v>
      </c>
      <c r="I2294" s="39"/>
    </row>
    <row r="2295" spans="2:9" s="16" customFormat="1" ht="15.75">
      <c r="B2295" s="35" t="str">
        <f ca="1">IFERROR(INDEX(Tab_DaBa[],MATCH(CONCATENATE(Liste!$C$3,$B$2261,$B$2291),Data!$BO:$BO,0)-2,8),"")</f>
        <v>Bez_Ein4_2</v>
      </c>
      <c r="C2295" s="40">
        <f ca="1">IF(D2293="","",4)</f>
        <v>4</v>
      </c>
      <c r="D2295" s="35" t="str">
        <f ca="1">IFERROR(IF(INDEX(Tab_DaBa[],MATCH(CONCATENATE(Liste!$C$3,$B$2261,$B$2291),Data!$BO:$BO,0)-2,18)="",INDEX(Tab_DaBa[],MATCH(CONCATENATE(Liste!$C$3,$B$2261,$B$2291),Data!$BO:$BO,0)-2,13),INDEX(Tab_DaBa[],MATCH(CONCATENATE(Liste!$C$3,$B$2261,$B$2291),Data!$BO:$BO,0)-2,18)),"")</f>
        <v>Bez_Log01_04_02</v>
      </c>
      <c r="E2295" s="40">
        <f ca="1">IF(F2293="","",4)</f>
        <v>4</v>
      </c>
      <c r="F2295" s="35" t="str">
        <f ca="1">IFERROR(IF(AND(INDEX(Tab_DaBa[],MATCH(CONCATENATE(Liste!$C$3,$B$2261,$B$2291),Data!$BO:$BO,0)-2,18)&lt;&gt;"",INDEX(Tab_DaBa[],MATCH(CONCATENATE(Liste!$C$3,$B$2261,$B$2291),Data!$BO:$BO,0)-2,23)=""),INDEX(Tab_DaBa[],MATCH(CONCATENATE(Liste!$C$3,$B$2261,$B$2291),Data!$BO:$BO,0)-2,13),IF(INDEX(Tab_DaBa[],MATCH(CONCATENATE(Liste!$C$3,$B$2261,$B$2291),Data!$BO:$BO,0)-2,23)&lt;&gt;"",INDEX(Tab_DaBa[],MATCH(CONCATENATE(Liste!$C$3,$B$2261,$B$2291),Data!$BO:$BO,0)-2,23),"")),"")</f>
        <v>Bez_Lo04_02</v>
      </c>
      <c r="G2295" s="38">
        <f ca="1">IF(H2293="","",4)</f>
        <v>4</v>
      </c>
      <c r="H2295" s="35" t="str">
        <f ca="1">IFERROR(IF(AND(INDEX(Tab_DaBa[],MATCH(CONCATENATE(Liste!$C$3,$B$2261,$B$2291),Data!$BO:$BO,0)-2,23)&lt;&gt;"",INDEX(Tab_DaBa[],MATCH(CONCATENATE(Liste!$C$3,$B$2261,$B$2291),Data!$BO:$BO,0)-2,28)=""),INDEX(Tab_DaBa[],MATCH(CONCATENATE(Liste!$C$3,$B$2261,$B$2291),Data!$BO:$BO,0)-2,13),IF(INDEX(Tab_DaBa[],MATCH(CONCATENATE(Liste!$C$3,$B$2261,$B$2291),Data!$BO:$BO,0)-2,23)&lt;&gt;"",INDEX(Tab_DaBa[],MATCH(CONCATENATE(Liste!$C$3,$B$2261,$B$2291),Data!$BO:$BO,0)-2,28),"")),"")</f>
        <v>Bez_Aus4_2</v>
      </c>
      <c r="I2295" s="38" t="str">
        <f ca="1">IF(B2301="","",6)</f>
        <v/>
      </c>
    </row>
    <row r="2296" spans="2:9" s="16" customFormat="1" ht="15.75">
      <c r="B2296" s="35" t="str">
        <f ca="1">IFERROR("Performance Level: "&amp;INDEX(Tab_DaBa[],MATCH(CONCATENATE(Liste!$C$3,$B$2261,$B$2291),Data!$BO:$BO,0)-2,10),"")</f>
        <v>Performance Level: PL_Ein4_2</v>
      </c>
      <c r="C2296" s="54"/>
      <c r="D2296" s="35" t="str">
        <f ca="1">IFERROR(IF(INDEX(Tab_DaBa[],MATCH(CONCATENATE(Liste!$C$3,$B$2261,$B$2291),Data!$BO:$BO,0)-2,18)="","Performance Level: "&amp;INDEX(Tab_DaBa[],MATCH(CONCATENATE(Liste!$C$3,$B$2261,$B$2291),Data!$BO:$BO,0)-2,15),"Performance Level: "&amp;INDEX(Tab_DaBa[],MATCH(CONCATENATE(Liste!$C$3,$B$2261,$B$2291),Data!$BO:$BO,0)-2,20)),"")</f>
        <v>Performance Level: PL_Log01_04_02</v>
      </c>
      <c r="E2296" s="36"/>
      <c r="F2296" s="35" t="str">
        <f ca="1">IFERROR(IF(AND(INDEX(Tab_DaBa[],MATCH(CONCATENATE(Liste!$C$3,$B$2261,$B$2291),Data!$BO:$BO,0)-2,18)&lt;&gt;"",INDEX(Tab_DaBa[],MATCH(CONCATENATE(Liste!$C$3,$B$2261,$B$2291),Data!$BO:$BO,0)-2,23)=""),"Performance Level: "&amp;INDEX(Tab_DaBa[],MATCH(CONCATENATE(Liste!$C$3,$B$2261,$B$2291),Data!$BO:$BO,0)-2,15),IF(INDEX(Tab_DaBa[],MATCH(CONCATENATE(Liste!$C$3,$B$2261,$B$2291),Data!$BO:$BO,0)-2,23)&lt;&gt;"","Performance Level: "&amp;INDEX(Tab_DaBa[],MATCH(CONCATENATE(Liste!$C$3,$B$2261,$B$2291),Data!$BO:$BO,0)-2,25),"")),"")</f>
        <v>Performance Level: PL_Lo04_02</v>
      </c>
      <c r="G2296" s="39"/>
      <c r="H2296" s="35" t="str">
        <f ca="1">IFERROR(IF(AND(INDEX(Tab_DaBa[],MATCH(CONCATENATE(Liste!$C$3,$B$2261,$B$2291),Data!$BO:$BO,0)-2,23)&lt;&gt;"",INDEX(Tab_DaBa[],MATCH(CONCATENATE(Liste!$C$3,$B$2261,$B$2291),Data!$BO:$BO,0)-2,28)=""),"Performance Level: "&amp;INDEX(Tab_DaBa[],MATCH(CONCATENATE(Liste!$C$3,$B$2261,$B$2291),Data!$BO:$BO,0)-2,15),IF(INDEX(Tab_DaBa[],MATCH(CONCATENATE(Liste!$C$3,$B$2261,$B$2291),Data!$BO:$BO,0)-2,23)&lt;&gt;"","Performance Level: "&amp;INDEX(Tab_DaBa[],MATCH(CONCATENATE(Liste!$C$3,$B$2261,$B$2291),Data!$BO:$BO,0)-2,30),"")),"")</f>
        <v>Performance Level: PL_Aus4_2</v>
      </c>
      <c r="I2296" s="38"/>
    </row>
    <row r="2297" spans="2:9" s="16" customFormat="1" ht="15.75">
      <c r="B2297" s="53" t="str">
        <f ca="1">IFERROR("PFH [1/h] = "&amp;10^9*INDEX(Tab_DaBa[],MATCH(CONCATENATE(Liste!$C$3,$B$2261,$B$2291),Data!$BO:$BO,0)-2,11)&amp;"E-9","")</f>
        <v>PFH [1/h] = 42,9E-9</v>
      </c>
      <c r="C2297" s="54"/>
      <c r="D2297" s="35" t="str">
        <f ca="1">IFERROR(IF(INDEX(Tab_DaBa[],MATCH(CONCATENATE(Liste!$C$3,$B$2261,$B$2291),Data!$BO:$BO,0)-2,18)="","PFH [1/h] = "&amp;10^9*INDEX(Tab_DaBa[],MATCH(CONCATENATE(Liste!$C$3,$B$2261,$B$2291),Data!$BO:$BO,0)-2,16)&amp;"E-9","PFH [1/h] = "&amp;10^9*INDEX(Tab_DaBa[],MATCH(CONCATENATE(Liste!$C$3,$B$2261,$B$2291),Data!$BO:$BO,0)-2,21)&amp;"E-9"),"")</f>
        <v>PFH [1/h] = 4,19E-9</v>
      </c>
      <c r="E2297" s="36"/>
      <c r="F2297" s="35" t="str">
        <f ca="1">IFERROR(IF(AND(INDEX(Tab_DaBa[],MATCH(CONCATENATE(Liste!$C$3,$B$2261,$B$2291),Data!$BO:$BO,0)-2,18)&lt;&gt;"",INDEX(Tab_DaBa[],MATCH(CONCATENATE(Liste!$C$3,$B$2261,$B$2291),Data!$BO:$BO,0)-2,23)=""),"PFH [1/h] = "&amp;10^9*INDEX(Tab_DaBa[],MATCH(CONCATENATE(Liste!$C$3,$B$2261,$B$2291),Data!$BO:$BO,0)-2,16)&amp;"E-9",IF(INDEX(Tab_DaBa[],MATCH(CONCATENATE(Liste!$C$3,$B$2261,$B$2291),Data!$BO:$BO,0)-2,23)&lt;&gt;"","PFH [1/h] = "&amp;10^9*INDEX(Tab_DaBa[],MATCH(CONCATENATE(Liste!$C$3,$B$2261,$B$2291),Data!$BO:$BO,0)-2,26)&amp;"E-9","")),"")</f>
        <v>PFH [1/h] = 4,19E-9</v>
      </c>
      <c r="G2297" s="39"/>
      <c r="H2297" s="35" t="str">
        <f ca="1">IFERROR(IF(AND(INDEX(Tab_DaBa[],MATCH(CONCATENATE(Liste!$C$3,$B$2261,$B$2291),Data!$BO:$BO,0)-2,23)&lt;&gt;"",INDEX(Tab_DaBa[],MATCH(CONCATENATE(Liste!$C$3,$B$2261,$B$2291),Data!$BO:$BO,0)-2,28)=""),"PFH [1/h] = "&amp;10^9*INDEX(Tab_DaBa[],MATCH(CONCATENATE(Liste!$C$3,$B$2261,$B$2291),Data!$BO:$BO,0)-2,16)&amp;"E-9",IF(INDEX(Tab_DaBa[],MATCH(CONCATENATE(Liste!$C$3,$B$2261,$B$2291),Data!$BO:$BO,0)-2,23)&lt;&gt;"","PFH [1/h] = "&amp;10^9*INDEX(Tab_DaBa[],MATCH(CONCATENATE(Liste!$C$3,$B$2261,$B$2291),Data!$BO:$BO,0)-2,31)&amp;"E-9","")),"")</f>
        <v>PFH [1/h] = 24,7E-9</v>
      </c>
      <c r="I2297" s="39"/>
    </row>
    <row r="2298" spans="2:9" s="16" customFormat="1">
      <c r="B2298" s="33"/>
      <c r="C2298" s="34"/>
      <c r="D2298" s="33"/>
      <c r="E2298" s="33"/>
      <c r="F2298" s="33"/>
      <c r="G2298" s="33"/>
      <c r="H2298" s="33"/>
      <c r="I2298" s="33"/>
    </row>
    <row r="2299" spans="2:9" s="16" customFormat="1" ht="15.75">
      <c r="B2299" s="38" t="str">
        <f ca="1">IF(B2301="","",6)</f>
        <v/>
      </c>
      <c r="C2299" s="34"/>
      <c r="D2299" s="38" t="str">
        <f ca="1">IF(B2301="","",3)</f>
        <v/>
      </c>
      <c r="E2299" s="33"/>
      <c r="F2299" s="38" t="str">
        <f ca="1">IF(B2301="","",3)</f>
        <v/>
      </c>
      <c r="G2299" s="33"/>
      <c r="H2299" s="38" t="str">
        <f ca="1">IF(B2301="","",3)</f>
        <v/>
      </c>
      <c r="I2299" s="33"/>
    </row>
    <row r="2300" spans="2:9" s="16" customFormat="1" ht="15.75">
      <c r="B2300" s="39"/>
      <c r="C2300" s="33"/>
      <c r="D2300" s="33"/>
      <c r="E2300" s="33"/>
      <c r="F2300" s="33"/>
      <c r="G2300" s="33"/>
      <c r="H2300" s="33"/>
      <c r="I2300" s="33"/>
    </row>
    <row r="2301" spans="2:9" s="16" customFormat="1" ht="15.75">
      <c r="B2301" s="35" t="str">
        <f ca="1">IFERROR(IF(AND(INDEX(Tab_DaBa[],MATCH(CONCATENATE(Liste!$C$3,$B$2261,$B$2291),Data!$BO:$BO,0)-2,28)&lt;&gt;"",INDEX(Tab_DaBa[],MATCH(CONCATENATE(Liste!$C$3,$B$2261,$B$2291),Data!$BO:$BO,0)-2,33)=0),INDEX(Tab_DaBa[],MATCH(CONCATENATE(Liste!$C$3,$B$2261,$B$2291),Data!$BO:$BO,0)-2,14),IF(INDEX(Tab_DaBa[],MATCH(CONCATENATE(Liste!$C$3,$B$2261,$B$2291),Data!$BO:$BO,0)-2,28)&lt;&gt;"",INDEX(Tab_DaBa[],MATCH(CONCATENATE(Liste!$C$3,$B$2261,$B$2291),Data!$BO:$BO,0)-2,34),"")),"")</f>
        <v/>
      </c>
      <c r="C2301" s="39"/>
      <c r="D2301" s="35" t="str">
        <f ca="1">IFERROR(IF(AND(INDEX(Tab_DaBa[],MATCH(CONCATENATE(Liste!$C$3,$B$2261,$B$2291),Data!$BO:$BO,0)-2,33)&lt;&gt;"",INDEX(Tab_DaBa[],MATCH(CONCATENATE(Liste!$C$3,$B$2261,$B$2291),Data!$BO:$BO,0)-2,38)=0),INDEX(Tab_DaBa[],MATCH(CONCATENATE(Liste!$C$3,$B$2261,$B$2291),Data!$BO:$BO,0)-2,14),IF(INDEX(Tab_DaBa[],MATCH(CONCATENATE(Liste!$C$3,$B$2261,$B$2291),Data!$BO:$BO,0)-2,33)&lt;&gt;"",INDEX(Tab_DaBa[],MATCH(CONCATENATE(Liste!$C$3,$B$2261,$B$2291),Data!$BO:$BO,0)-2,39),"")),"")</f>
        <v/>
      </c>
      <c r="E2301" s="33"/>
      <c r="F2301" s="35" t="str">
        <f ca="1">IFERROR(IF(AND(INDEX(Tab_DaBa[],MATCH(CONCATENATE(Liste!$C$3,$B$2261,$B$2291),Data!$BO:$BO,0)-2,38)&lt;&gt;"",INDEX(Tab_DaBa[],MATCH(CONCATENATE(Liste!$C$3,$B$2261,$B$2291),Data!$BO:$BO,0)-2,43)=0),INDEX(Tab_DaBa[],MATCH(CONCATENATE(Liste!$C$3,$B$2261,$B$2291),Data!$BO:$BO,0)-2,14),IF(INDEX(Tab_DaBa[],MATCH(CONCATENATE(Liste!$C$3,$B$2261,$B$2291),Data!$BO:$BO,0)-2,38)&lt;&gt;"",INDEX(Tab_DaBa[],MATCH(CONCATENATE(Liste!$C$3,$B$2261,$B$2291),Data!$BO:$BO,0)-2,44),"")),"")</f>
        <v/>
      </c>
      <c r="G2301" s="39"/>
      <c r="H2301" s="35" t="str">
        <f ca="1">IFERROR(IF(AND(INDEX(Tab_DaBa[],MATCH(CONCATENATE(Liste!$C$3,$B$2261,$B$2291),Data!$BO:$BO,0)-2,43)&lt;&gt;"",INDEX(Tab_DaBa[],MATCH(CONCATENATE(Liste!$C$3,$B$2261,$B$2291),Data!$BO:$BO,0)-2,48)=0),INDEX(Tab_DaBa[],MATCH(CONCATENATE(Liste!$C$3,$B$2261,$B$2291),Data!$BO:$BO,0)-2,14),IF(INDEX(Tab_DaBa[],MATCH(CONCATENATE(Liste!$C$3,$B$2261,$B$2291),Data!$BO:$BO,0)-2,43)&lt;&gt;"",INDEX(Tab_DaBa[],MATCH(CONCATENATE(Liste!$C$3,$B$2261,$B$2291),Data!$BO:$BO,0)-2,49),"")),"")</f>
        <v/>
      </c>
      <c r="I2301" s="39"/>
    </row>
    <row r="2302" spans="2:9" s="16" customFormat="1" ht="15.75">
      <c r="B2302" s="35" t="str">
        <f ca="1">IFERROR(IF(AND(INDEX(Tab_DaBa[],MATCH(CONCATENATE(Liste!$C$3,$B$2261,$B$2291),Data!$BO:$BO,0)-2,28)&lt;&gt;"",INDEX(Tab_DaBa[],MATCH(CONCATENATE(Liste!$C$3,$B$2261,$B$2291),Data!$BO:$BO,0)-2,33)=0),INDEX(Tab_DaBa[],MATCH(CONCATENATE(Liste!$C$3,$B$2261,$B$2291),Data!$BO:$BO,0)-2,12),IF(INDEX(Tab_DaBa[],MATCH(CONCATENATE(Liste!$C$3,$B$2261,$B$2291),Data!$BO:$BO,0)-2,28)&lt;&gt;"",INDEX(Tab_DaBa[],MATCH(CONCATENATE(Liste!$C$3,$B$2261,$B$2291),Data!$BO:$BO,0)-2,32),"")),"")</f>
        <v/>
      </c>
      <c r="C2302" s="39"/>
      <c r="D2302" s="35" t="str">
        <f ca="1">IFERROR(IF(AND(INDEX(Tab_DaBa[],MATCH(CONCATENATE(Liste!$C$3,$B$2261,$B$2291),Data!$BO:$BO,0)-2,33)&lt;&gt;"",INDEX(Tab_DaBa[],MATCH(CONCATENATE(Liste!$C$3,$B$2261,$B$2291),Data!$BO:$BO,0)-2,38)=0),INDEX(Tab_DaBa[],MATCH(CONCATENATE(Liste!$C$3,$B$2261,$B$2291),Data!$BO:$BO,0)-2,12),IF(INDEX(Tab_DaBa[],MATCH(CONCATENATE(Liste!$C$3,$B$2261,$B$2291),Data!$BO:$BO,0)-2,33)&lt;&gt;"",INDEX(Tab_DaBa[],MATCH(CONCATENATE(Liste!$C$3,$B$2261,$B$2291),Data!$BO:$BO,0)-2,37),"")),"")</f>
        <v/>
      </c>
      <c r="E2302" s="37"/>
      <c r="F2302" s="35" t="str">
        <f ca="1">IFERROR(IF(AND(INDEX(Tab_DaBa[],MATCH(CONCATENATE(Liste!$C$3,$B$2261,$B$2291),Data!$BO:$BO,0)-2,38)&lt;&gt;"",INDEX(Tab_DaBa[],MATCH(CONCATENATE(Liste!$C$3,$B$2261,$B$2291),Data!$BO:$BO,0)-2,43)=0),INDEX(Tab_DaBa[],MATCH(CONCATENATE(Liste!$C$3,$B$2261,$B$2291),Data!$BO:$BO,0)-2,12),IF(INDEX(Tab_DaBa[],MATCH(CONCATENATE(Liste!$C$3,$B$2261,$B$2291),Data!$BO:$BO,0)-2,38)&lt;&gt;"",INDEX(Tab_DaBa[],MATCH(CONCATENATE(Liste!$C$3,$B$2261,$B$2291),Data!$BO:$BO,0)-2,42),"")),"")</f>
        <v/>
      </c>
      <c r="G2302" s="39"/>
      <c r="H2302" s="35" t="str">
        <f ca="1">IFERROR(IF(AND(INDEX(Tab_DaBa[],MATCH(CONCATENATE(Liste!$C$3,$B$2261,$B$2291),Data!$BO:$BO,0)-2,43)&lt;&gt;"",INDEX(Tab_DaBa[],MATCH(CONCATENATE(Liste!$C$3,$B$2261,$B$2291),Data!$BO:$BO,0)-2,48)=0),INDEX(Tab_DaBa[],MATCH(CONCATENATE(Liste!$C$3,$B$2261,$B$2291),Data!$BO:$BO,0)-2,12),IF(INDEX(Tab_DaBa[],MATCH(CONCATENATE(Liste!$C$3,$B$2261,$B$2291),Data!$BO:$BO,0)-2,43)&lt;&gt;"",INDEX(Tab_DaBa[],MATCH(CONCATENATE(Liste!$C$3,$B$2261,$B$2291),Data!$BO:$BO,0)-2,47),"")),"")</f>
        <v/>
      </c>
      <c r="I2302" s="39"/>
    </row>
    <row r="2303" spans="2:9" s="16" customFormat="1" ht="15.75">
      <c r="B2303" s="35" t="str">
        <f ca="1">IFERROR(IF(AND(INDEX(Tab_DaBa[],MATCH(CONCATENATE(Liste!$C$3,$B$2261,$B$2291),Data!$BO:$BO,0)-2,28)&lt;&gt;"",INDEX(Tab_DaBa[],MATCH(CONCATENATE(Liste!$C$3,$B$2261,$B$2291),Data!$BO:$BO,0)-2,33)=""),INDEX(Tab_DaBa[],MATCH(CONCATENATE(Liste!$C$3,$B$2261,$B$2291),Data!$BO:$BO,0)-2,13),IF(INDEX(Tab_DaBa[],MATCH(CONCATENATE(Liste!$C$3,$B$2261,$B$2291),Data!$BO:$BO,0)-2,28)&lt;&gt;"",INDEX(Tab_DaBa[],MATCH(CONCATENATE(Liste!$C$3,$B$2261,$B$2291),Data!$BO:$BO,0)-2,33),"")),"")</f>
        <v/>
      </c>
      <c r="C2303" s="38" t="str">
        <f ca="1">IF(D2301="","",4)</f>
        <v/>
      </c>
      <c r="D2303" s="35" t="str">
        <f ca="1">IFERROR(IF(AND(INDEX(Tab_DaBa[],MATCH(CONCATENATE(Liste!$C$3,$B$2261,$B$2291),Data!$BO:$BO,0)-2,33)&lt;&gt;"",INDEX(Tab_DaBa[],MATCH(CONCATENATE(Liste!$C$3,$B$2261,$B$2291),Data!$BO:$BO,0)-2,38)=""),INDEX(Tab_DaBa[],MATCH(CONCATENATE(Liste!$C$3,$B$2261,$B$2291),Data!$BO:$BO,0)-2,13),IF(INDEX(Tab_DaBa[],MATCH(CONCATENATE(Liste!$C$3,$B$2261,$B$2291),Data!$BO:$BO,0)-2,33)&lt;&gt;"",INDEX(Tab_DaBa[],MATCH(CONCATENATE(Liste!$C$3,$B$2261,$B$2291),Data!$BO:$BO,0)-2,38),"")),"")</f>
        <v/>
      </c>
      <c r="E2303" s="38" t="str">
        <f ca="1">IF(F2301="","",4)</f>
        <v/>
      </c>
      <c r="F2303" s="35" t="str">
        <f ca="1">IFERROR(IF(AND(INDEX(Tab_DaBa[],MATCH(CONCATENATE(Liste!$C$3,$B$2261,$B$2291),Data!$BO:$BO,0)-2,38)&lt;&gt;"",INDEX(Tab_DaBa[],MATCH(CONCATENATE(Liste!$C$3,$B$2261,$B$2291),Data!$BO:$BO,0)-2,43)=""),INDEX(Tab_DaBa[],MATCH(CONCATENATE(Liste!$C$3,$B$2261,$B$2291),Data!$BO:$BO,0)-2,13),IF(INDEX(Tab_DaBa[],MATCH(CONCATENATE(Liste!$C$3,$B$2261,$B$2291),Data!$BO:$BO,0)-2,38)&lt;&gt;"",INDEX(Tab_DaBa[],MATCH(CONCATENATE(Liste!$C$3,$B$2261,$B$2291),Data!$BO:$BO,0)-2,43),"")),"")</f>
        <v/>
      </c>
      <c r="G2303" s="38" t="str">
        <f ca="1">IF(H2301="","",4)</f>
        <v/>
      </c>
      <c r="H2303" s="35" t="str">
        <f ca="1">IFERROR(IF(AND(INDEX(Tab_DaBa[],MATCH(CONCATENATE(Liste!$C$3,$B$2261,$B$2291),Data!$BO:$BO,0)-2,43)&lt;&gt;"",INDEX(Tab_DaBa[],MATCH(CONCATENATE(Liste!$C$3,$B$2261,$B$2291),Data!$BO:$BO,0)-2,48)=""),INDEX(Tab_DaBa[],MATCH(CONCATENATE(Liste!$C$3,$B$2261,$B$2291),Data!$BO:$BO,0)-2,13),IF(INDEX(Tab_DaBa[],MATCH(CONCATENATE(Liste!$C$3,$B$2261,$B$2291),Data!$BO:$BO,0)-2,43)&lt;&gt;"",INDEX(Tab_DaBa[],MATCH(CONCATENATE(Liste!$C$3,$B$2261,$B$2291),Data!$BO:$BO,0)-2,48),"")),"")</f>
        <v/>
      </c>
      <c r="I2303" s="38" t="str">
        <f ca="1">IF(B2309="","",6)</f>
        <v/>
      </c>
    </row>
    <row r="2304" spans="2:9" s="16" customFormat="1" ht="15.75">
      <c r="B2304" s="35" t="str">
        <f ca="1">IFERROR(IF(AND(INDEX(Tab_DaBa[],MATCH(CONCATENATE(Liste!$C$3,$B$2261,$B$2291),Data!$BO:$BO,0)-2,28)&lt;&gt;"",INDEX(Tab_DaBa[],MATCH(CONCATENATE(Liste!$C$3,$B$2261,$B$2291),Data!$BO:$BO,0)-2,33)=""),"Performance Level: "&amp;INDEX(Tab_DaBa[],MATCH(CONCATENATE(Liste!$C$3,$B$2261,$B$2291),Data!$BO:$BO,0)-2,15),IF(INDEX(Tab_DaBa[],MATCH(CONCATENATE(Liste!$C$3,$B$2261,$B$2291),Data!$BO:$BO,0)-2,28)&lt;&gt;"","Performance Level: "&amp;INDEX(Tab_DaBa[],MATCH(CONCATENATE(Liste!$C$3,$B$2261,$B$2291),Data!$BO:$BO,0)-2,35),"")),"")</f>
        <v/>
      </c>
      <c r="C2304" s="39"/>
      <c r="D2304" s="35" t="str">
        <f ca="1">IFERROR(IF(AND(INDEX(Tab_DaBa[],MATCH(CONCATENATE(Liste!$C$3,$B$2261,$B$2291),Data!$BO:$BO,0)-2,33)&lt;&gt;"",INDEX(Tab_DaBa[],MATCH(CONCATENATE(Liste!$C$3,$B$2261,$B$2291),Data!$BO:$BO,0)-2,38)=""),"Performance Level: "&amp;INDEX(Tab_DaBa[],MATCH(CONCATENATE(Liste!$C$3,$B$2261,$B$2291),Data!$BO:$BO,0)-2,15),IF(INDEX(Tab_DaBa[],MATCH(CONCATENATE(Liste!$C$3,$B$2261,$B$2291),Data!$BO:$BO,0)-2,33)&lt;&gt;"","Performance Level: "&amp;INDEX(Tab_DaBa[],MATCH(CONCATENATE(Liste!$C$3,$B$2261,$B$2291),Data!$BO:$BO,0)-2,40),"")),"")</f>
        <v/>
      </c>
      <c r="E2304" s="37"/>
      <c r="F2304" s="35" t="str">
        <f ca="1">IFERROR(IF(AND(INDEX(Tab_DaBa[],MATCH(CONCATENATE(Liste!$C$3,$B$2261,$B$2291),Data!$BO:$BO,0)-2,38)&lt;&gt;"",INDEX(Tab_DaBa[],MATCH(CONCATENATE(Liste!$C$3,$B$2261,$B$2291),Data!$BO:$BO,0)-2,43)=""),"Performance Level: "&amp;INDEX(Tab_DaBa[],MATCH(CONCATENATE(Liste!$C$3,$B$2261,$B$2291),Data!$BO:$BO,0)-2,15),IF(INDEX(Tab_DaBa[],MATCH(CONCATENATE(Liste!$C$3,$B$2261,$B$2291),Data!$BO:$BO,0)-2,38)&lt;&gt;"","Performance Level: "&amp;INDEX(Tab_DaBa[],MATCH(CONCATENATE(Liste!$C$3,$B$2261,$B$2291),Data!$BO:$BO,0)-2,45),"")),"")</f>
        <v/>
      </c>
      <c r="G2304" s="39"/>
      <c r="H2304" s="35" t="str">
        <f ca="1">IFERROR(IF(AND(INDEX(Tab_DaBa[],MATCH(CONCATENATE(Liste!$C$3,$B$2261,$B$2291),Data!$BO:$BO,0)-2,43)&lt;&gt;"",INDEX(Tab_DaBa[],MATCH(CONCATENATE(Liste!$C$3,$B$2261,$B$2291),Data!$BO:$BO,0)-2,48)=""),"Performance Level: "&amp;INDEX(Tab_DaBa[],MATCH(CONCATENATE(Liste!$C$3,$B$2261,$B$2291),Data!$BO:$BO,0)-2,15),IF(INDEX(Tab_DaBa[],MATCH(CONCATENATE(Liste!$C$3,$B$2261,$B$2291),Data!$BO:$BO,0)-2,43)&lt;&gt;"","Performance Level: "&amp;INDEX(Tab_DaBa[],MATCH(CONCATENATE(Liste!$C$3,$B$2261,$B$2291),Data!$BO:$BO,0)-2,50),"")),"")</f>
        <v/>
      </c>
      <c r="I2304" s="39"/>
    </row>
    <row r="2305" spans="2:9" s="16" customFormat="1" ht="15.75">
      <c r="B2305" s="35" t="str">
        <f ca="1">IFERROR(IF(AND(INDEX(Tab_DaBa[],MATCH(CONCATENATE(Liste!$C$3,$B$2261,$B$2291),Data!$BO:$BO,0)-2,28)&lt;&gt;"",INDEX(Tab_DaBa[],MATCH(CONCATENATE(Liste!$C$3,$B$2261,$B$2291),Data!$BO:$BO,0)-2,33)=""),"PFH [1/h] = "&amp;10^9*INDEX(Tab_DaBa[],MATCH(CONCATENATE(Liste!$C$3,$B$2261,$B$2291),Data!$BO:$BO,0)-2,16)&amp;"E-9",IF(INDEX(Tab_DaBa[],MATCH(CONCATENATE(Liste!$C$3,$B$2261,$B$2291),Data!$BO:$BO,0)-2,28)&lt;&gt;"","PFH [1/h] = "&amp;10^9*INDEX(Tab_DaBa[],MATCH(CONCATENATE(Liste!$C$3,$B$2261,$B$2291),Data!$BO:$BO,0)-2,36)&amp;"E-9","")),"")</f>
        <v/>
      </c>
      <c r="C2305" s="39"/>
      <c r="D2305" s="35" t="str">
        <f ca="1">IFERROR(IF(AND(INDEX(Tab_DaBa[],MATCH(CONCATENATE(Liste!$C$3,$B$2261,$B$2291),Data!$BO:$BO,0)-2,33)&lt;&gt;"",INDEX(Tab_DaBa[],MATCH(CONCATENATE(Liste!$C$3,$B$2261,$B$2291),Data!$BO:$BO,0)-2,38)=""),"PFH [1/h] = "&amp;10^9*INDEX(Tab_DaBa[],MATCH(CONCATENATE(Liste!$C$3,$B$2261,$B$2291),Data!$BO:$BO,0)-2,16)&amp;"E-9",IF(INDEX(Tab_DaBa[],MATCH(CONCATENATE(Liste!$C$3,$B$2261,$B$2291),Data!$BO:$BO,0)-2,33)&lt;&gt;"","PFH [1/h] = "&amp;10^9*INDEX(Tab_DaBa[],MATCH(CONCATENATE(Liste!$C$3,$B$2261,$B$2291),Data!$BO:$BO,0)-2,41)&amp;"E-9","")),"")</f>
        <v/>
      </c>
      <c r="E2305" s="37"/>
      <c r="F2305" s="35" t="str">
        <f ca="1">IFERROR(IF(AND(INDEX(Tab_DaBa[],MATCH(CONCATENATE(Liste!$C$3,$B$2261,$B$2291),Data!$BO:$BO,0)-2,38)&lt;&gt;"",INDEX(Tab_DaBa[],MATCH(CONCATENATE(Liste!$C$3,$B$2261,$B$2291),Data!$BO:$BO,0)-2,43)=""),"PFH [1/h] = "&amp;10^9*INDEX(Tab_DaBa[],MATCH(CONCATENATE(Liste!$C$3,$B$2261,$B$2291),Data!$BO:$BO,0)-2,16)&amp;"E-9",IF(INDEX(Tab_DaBa[],MATCH(CONCATENATE(Liste!$C$3,$B$2261,$B$2291),Data!$BO:$BO,0)-2,38)&lt;&gt;"","PFH [1/h] = "&amp;10^9*INDEX(Tab_DaBa[],MATCH(CONCATENATE(Liste!$C$3,$B$2261,$B$2291),Data!$BO:$BO,0)-2,46)&amp;"E-9","")),"")</f>
        <v/>
      </c>
      <c r="G2305" s="39"/>
      <c r="H2305" s="35" t="str">
        <f ca="1">IFERROR(IF(AND(INDEX(Tab_DaBa[],MATCH(CONCATENATE(Liste!$C$3,$B$2261,$B$2291),Data!$BO:$BO,0)-2,43)&lt;&gt;"",INDEX(Tab_DaBa[],MATCH(CONCATENATE(Liste!$C$3,$B$2261,$B$2291),Data!$BO:$BO,0)-2,48)=""),"PFH [1/h] = "&amp;10^9*INDEX(Tab_DaBa[],MATCH(CONCATENATE(Liste!$C$3,$B$2261,$B$2291),Data!$BO:$BO,0)-2,16)&amp;"E-9",IF(INDEX(Tab_DaBa[],MATCH(CONCATENATE(Liste!$C$3,$B$2261,$B$2291),Data!$BO:$BO,0)-2,43)&lt;&gt;"","PFH [1/h] = "&amp;10^9*INDEX(Tab_DaBa[],MATCH(CONCATENATE(Liste!$C$3,$B$2261,$B$2291),Data!$BO:$BO,0)-2,51)&amp;"E-9","")),"")</f>
        <v/>
      </c>
      <c r="I2305" s="39"/>
    </row>
    <row r="2306" spans="2:9" s="16" customFormat="1">
      <c r="B2306" s="33"/>
      <c r="C2306" s="33"/>
      <c r="D2306" s="33"/>
      <c r="E2306" s="33"/>
      <c r="F2306" s="33"/>
      <c r="G2306" s="33"/>
      <c r="H2306" s="33"/>
      <c r="I2306" s="33"/>
    </row>
    <row r="2307" spans="2:9" s="16" customFormat="1" ht="15.75">
      <c r="B2307" s="38" t="str">
        <f ca="1">IF(B2309="","",6)</f>
        <v/>
      </c>
      <c r="C2307" s="33"/>
      <c r="D2307" s="38" t="str">
        <f ca="1">IF(B2309="","",3)</f>
        <v/>
      </c>
      <c r="E2307" s="33"/>
      <c r="F2307" s="38" t="str">
        <f ca="1">IF(B2309="","",3)</f>
        <v/>
      </c>
      <c r="G2307" s="33"/>
      <c r="H2307" s="38" t="str">
        <f ca="1">IF(B2309="","",3)</f>
        <v/>
      </c>
      <c r="I2307" s="33"/>
    </row>
    <row r="2308" spans="2:9" s="16" customFormat="1" ht="15.75">
      <c r="B2308" s="39"/>
      <c r="C2308" s="33"/>
      <c r="D2308" s="33"/>
      <c r="E2308" s="33"/>
      <c r="F2308" s="33"/>
      <c r="G2308" s="33"/>
      <c r="H2308" s="33"/>
      <c r="I2308" s="33"/>
    </row>
    <row r="2309" spans="2:9" s="16" customFormat="1" ht="15.75">
      <c r="B2309" s="35" t="str">
        <f ca="1">IFERROR(IF(AND(INDEX(Tab_DaBa[],MATCH(CONCATENATE(Liste!$C$3,$B$2261,$B$2291),Data!$BO:$BO,0)-2,48)&lt;&gt;"",INDEX(Tab_DaBa[],MATCH(CONCATENATE(Liste!$C$3,$B$2261,$B$2291),Data!$BO:$BO,0)-2,53)=0),INDEX(Tab_DaBa[],MATCH(CONCATENATE(Liste!$C$3,$B$2261,$B$2291),Data!$BO:$BO,0)-2,14),IF(INDEX(Tab_DaBa[],MATCH(CONCATENATE(Liste!$C$3,$B$2261,$B$2291),Data!$BO:$BO,0)-2,48)&lt;&gt;"",INDEX(Tab_DaBa[],MATCH(CONCATENATE(Liste!$C$3,$B$2261,$B$2291),Data!$BO:$BO,0)-2,54),"")),"")</f>
        <v/>
      </c>
      <c r="C2309" s="39"/>
      <c r="D2309" s="35" t="str">
        <f ca="1">IFERROR(IF(AND(INDEX(Tab_DaBa[],MATCH(CONCATENATE(Liste!$C$3,$B$2261,$B$2291),Data!$BO:$BO,0)-2,53)&lt;&gt;"",INDEX(Tab_DaBa[],MATCH(CONCATENATE(Liste!$C$3,$B$2261,$B$2291),Data!$BO:$BO,0)-2,58)=0),INDEX(Tab_DaBa[],MATCH(CONCATENATE(Liste!$C$3,$B$2261,$B$2291),Data!$BO:$BO,0)-2,14),IF(INDEX(Tab_DaBa[],MATCH(CONCATENATE(Liste!$C$3,$B$2261,$B$2291),Data!$BO:$BO,0)-2,53)&lt;&gt;"",INDEX(Tab_DaBa[],MATCH(CONCATENATE(Liste!$C$3,$B$2261,$B$2291),Data!$BO:$BO,0)-2,59),"")),"")</f>
        <v/>
      </c>
      <c r="E2309" s="33"/>
      <c r="F2309" s="35" t="str">
        <f ca="1">IFERROR(IF(AND(INDEX(Tab_DaBa[],MATCH(CONCATENATE(Liste!$C$3,$B$2261,$B$2291),Data!$BO:$BO,0)-2,58)&lt;&gt;"",INDEX(Tab_DaBa[],MATCH(CONCATENATE(Liste!$C$3,$B$2261,$B$2291),Data!$BO:$BO,0)-2,63)=0),INDEX(Tab_DaBa[],MATCH(CONCATENATE(Liste!$C$3,$B$2261,$B$2291),Data!$BO:$BO,0)-2,14),IF(INDEX(Tab_DaBa[],MATCH(CONCATENATE(Liste!$C$3,$B$2261,$B$2291),Data!$BO:$BO,0)-2,58)&lt;&gt;"",INDEX(Tab_DaBa[],MATCH(CONCATENATE(Liste!$C$3,$B$2261,$B$2291),Data!$BO:$BO,0)-2,64),"")),"")</f>
        <v/>
      </c>
      <c r="G2309" s="39"/>
      <c r="H2309" s="35" t="str">
        <f ca="1">IFERROR(IF(INDEX(Tab_DaBa[],MATCH(CONCATENATE(Liste!$C$3,$B$2261,$B$2291),Data!$BO:$BO,0)-2,63)&lt;&gt;"",INDEX(Tab_DaBa[],MATCH(CONCATENATE(Liste!$C$3,$B$2261,$B$2291),Data!$BO:$BO,0)-2,14),""),"")</f>
        <v/>
      </c>
    </row>
    <row r="2310" spans="2:9" s="16" customFormat="1" ht="15.75">
      <c r="B2310" s="35" t="str">
        <f ca="1">IFERROR(IF(AND(INDEX(Tab_DaBa[],MATCH(CONCATENATE(Liste!$C$3,$B$2261,$B$2291),Data!$BO:$BO,0)-2,48)&lt;&gt;"",INDEX(Tab_DaBa[],MATCH(CONCATENATE(Liste!$C$3,$B$2261,$B$2291),Data!$BO:$BO,0)-2,53)=0),INDEX(Tab_DaBa[],MATCH(CONCATENATE(Liste!$C$3,$B$2261,$B$2291),Data!$BO:$BO,0)-2,12),IF(INDEX(Tab_DaBa[],MATCH(CONCATENATE(Liste!$C$3,$B$2261,$B$2291),Data!$BO:$BO,0)-2,48)&lt;&gt;"",INDEX(Tab_DaBa[],MATCH(CONCATENATE(Liste!$C$3,$B$2261,$B$2291),Data!$BO:$BO,0)-2,52),"")),"")</f>
        <v/>
      </c>
      <c r="C2310" s="39"/>
      <c r="D2310" s="35" t="str">
        <f ca="1">IFERROR(IF(AND(INDEX(Tab_DaBa[],MATCH(CONCATENATE(Liste!$C$3,$B$2261,$B$2291),Data!$BO:$BO,0)-2,53)&lt;&gt;"",INDEX(Tab_DaBa[],MATCH(CONCATENATE(Liste!$C$3,$B$2261,$B$2291),Data!$BO:$BO,0)-2,58)=0),INDEX(Tab_DaBa[],MATCH(CONCATENATE(Liste!$C$3,$B$2261,$B$2291),Data!$BO:$BO,0)-2,12),IF(INDEX(Tab_DaBa[],MATCH(CONCATENATE(Liste!$C$3,$B$2261,$B$2291),Data!$BO:$BO,0)-2,53)&lt;&gt;"",INDEX(Tab_DaBa[],MATCH(CONCATENATE(Liste!$C$3,$B$2261,$B$2291),Data!$BO:$BO,0)-2,57),"")),"")</f>
        <v/>
      </c>
      <c r="E2310" s="37"/>
      <c r="F2310" s="35" t="str">
        <f ca="1">IFERROR(IF(AND(INDEX(Tab_DaBa[],MATCH(CONCATENATE(Liste!$C$3,$B$2261,$B$2291),Data!$BO:$BO,0)-2,58)&lt;&gt;"",INDEX(Tab_DaBa[],MATCH(CONCATENATE(Liste!$C$3,$B$2261,$B$2291),Data!$BO:$BO,0)-2,63)=0),INDEX(Tab_DaBa[],MATCH(CONCATENATE(Liste!$C$3,$B$2261,$B$2291),Data!$BO:$BO,0)-2,12),IF(INDEX(Tab_DaBa[],MATCH(CONCATENATE(Liste!$C$3,$B$2261,$B$2291),Data!$BO:$BO,0)-2,58)&lt;&gt;"",INDEX(Tab_DaBa[],MATCH(CONCATENATE(Liste!$C$3,$B$2261,$B$2291),Data!$BO:$BO,0)-2,62),"")),"")</f>
        <v/>
      </c>
      <c r="G2310" s="39"/>
      <c r="H2310" s="35" t="str">
        <f ca="1">IFERROR(IF(INDEX(Tab_DaBa[],MATCH(CONCATENATE(Liste!$C$3,$B$2261,$B$2291),Data!$BO:$BO,0)-2,63)&lt;&gt;"",INDEX(Tab_DaBa[],MATCH(CONCATENATE(Liste!$C$3,$B$2261,$B$2291),Data!$BO:$BO,0)-2,12),""),"")</f>
        <v/>
      </c>
    </row>
    <row r="2311" spans="2:9" s="16" customFormat="1" ht="15.75">
      <c r="B2311" s="35" t="str">
        <f ca="1">IFERROR(IF(AND(INDEX(Tab_DaBa[],MATCH(CONCATENATE(Liste!$C$3,$B$2261,$B$2291),Data!$BO:$BO,0)-2,48)&lt;&gt;"",INDEX(Tab_DaBa[],MATCH(CONCATENATE(Liste!$C$3,$B$2261,$B$2291),Data!$BO:$BO,0)-2,53)=""),INDEX(Tab_DaBa[],MATCH(CONCATENATE(Liste!$C$3,$B$2261,$B$2291),Data!$BO:$BO,0)-2,13),IF(INDEX(Tab_DaBa[],MATCH(CONCATENATE(Liste!$C$3,$B$2261,$B$2291),Data!$BO:$BO,0)-2,48)&lt;&gt;"",INDEX(Tab_DaBa[],MATCH(CONCATENATE(Liste!$C$3,$B$2261,$B$2291),Data!$BO:$BO,0)-2,53),"")),"")</f>
        <v/>
      </c>
      <c r="C2311" s="38" t="str">
        <f ca="1">IF(D2309="","",4)</f>
        <v/>
      </c>
      <c r="D2311" s="35" t="str">
        <f ca="1">IFERROR(IF(AND(INDEX(Tab_DaBa[],MATCH(CONCATENATE(Liste!$C$3,$B$2261,$B$2291),Data!$BO:$BO,0)-2,53)&lt;&gt;"",INDEX(Tab_DaBa[],MATCH(CONCATENATE(Liste!$C$3,$B$2261,$B$2291),Data!$BO:$BO,0)-2,58)=""),INDEX(Tab_DaBa[],MATCH(CONCATENATE(Liste!$C$3,$B$2261,$B$2291),Data!$BO:$BO,0)-2,13),IF(INDEX(Tab_DaBa[],MATCH(CONCATENATE(Liste!$C$3,$B$2261,$B$2291),Data!$BO:$BO,0)-2,53)&lt;&gt;"",INDEX(Tab_DaBa[],MATCH(CONCATENATE(Liste!$C$3,$B$2261,$B$2291),Data!$BO:$BO,0)-2,58),"")),"")</f>
        <v/>
      </c>
      <c r="E2311" s="38" t="str">
        <f ca="1">IF(F2309="","",4)</f>
        <v/>
      </c>
      <c r="F2311" s="35" t="str">
        <f ca="1">IFERROR(IF(AND(INDEX(Tab_DaBa[],MATCH(CONCATENATE(Liste!$C$3,$B$2261,$B$2291),Data!$BO:$BO,0)-2,58)&lt;&gt;"",INDEX(Tab_DaBa[],MATCH(CONCATENATE(Liste!$C$3,$B$2261,$B$2291),Data!$BO:$BO,0)-2,63)=""),INDEX(Tab_DaBa[],MATCH(CONCATENATE(Liste!$C$3,$B$2261,$B$2291),Data!$BO:$BO,0)-2,13),IF(INDEX(Tab_DaBa[],MATCH(CONCATENATE(Liste!$C$3,$B$2261,$B$2291),Data!$BO:$BO,0)-2,58)&lt;&gt;"",INDEX(Tab_DaBa[],MATCH(CONCATENATE(Liste!$C$3,$B$2261,$B$2291),Data!$BO:$BO,0)-2,63),"")),"")</f>
        <v/>
      </c>
      <c r="G2311" s="38" t="str">
        <f ca="1">IF(H2309="","",4)</f>
        <v/>
      </c>
      <c r="H2311" s="35" t="str">
        <f ca="1">IFERROR(IF(INDEX(Tab_DaBa[],MATCH(CONCATENATE(Liste!$C$3,$B$2261,$B$2291),Data!$BO:$BO,0)-2,63)&lt;&gt;"",INDEX(Tab_DaBa[],MATCH(CONCATENATE(Liste!$C$3,$B$2261,$B$2291),Data!$BO:$BO,0)-2,13),""),"")</f>
        <v/>
      </c>
    </row>
    <row r="2312" spans="2:9" s="16" customFormat="1" ht="15.75">
      <c r="B2312" s="35" t="str">
        <f ca="1">IFERROR(IF(AND(INDEX(Tab_DaBa[],MATCH(CONCATENATE(Liste!$C$3,$B$2261,$B$2291),Data!$BO:$BO,0)-2,48)&lt;&gt;"",INDEX(Tab_DaBa[],MATCH(CONCATENATE(Liste!$C$3,$B$2261,$B$2291),Data!$BO:$BO,0)-2,53)=""),"Performance Level: "&amp;INDEX(Tab_DaBa[],MATCH(CONCATENATE(Liste!$C$3,$B$2261,$B$2291),Data!$BO:$BO,0)-2,15),IF(INDEX(Tab_DaBa[],MATCH(CONCATENATE(Liste!$C$3,$B$2261,$B$2291),Data!$BO:$BO,0)-2,48)&lt;&gt;"","Performance Level: "&amp;INDEX(Tab_DaBa[],MATCH(CONCATENATE(Liste!$C$3,$B$2261,$B$2291),Data!$BO:$BO,0)-2,55),"")),"")</f>
        <v/>
      </c>
      <c r="C2312" s="39"/>
      <c r="D2312" s="35" t="str">
        <f ca="1">IFERROR(IF(AND(INDEX(Tab_DaBa[],MATCH(CONCATENATE(Liste!$C$3,$B$2261,$B$2291),Data!$BO:$BO,0)-2,53)&lt;&gt;"",INDEX(Tab_DaBa[],MATCH(CONCATENATE(Liste!$C$3,$B$2261,$B$2291),Data!$BO:$BO,0)-2,58)=""),"Performance Level: "&amp;INDEX(Tab_DaBa[],MATCH(CONCATENATE(Liste!$C$3,$B$2261,$B$2291),Data!$BO:$BO,0)-2,15),IF(INDEX(Tab_DaBa[],MATCH(CONCATENATE(Liste!$C$3,$B$2261,$B$2291),Data!$BO:$BO,0)-2,53)&lt;&gt;"","Performance Level: "&amp;INDEX(Tab_DaBa[],MATCH(CONCATENATE(Liste!$C$3,$B$2261,$B$2291),Data!$BO:$BO,0)-2,60),"")),"")</f>
        <v/>
      </c>
      <c r="E2312" s="37"/>
      <c r="F2312" s="35" t="str">
        <f ca="1">IFERROR(IF(AND(INDEX(Tab_DaBa[],MATCH(CONCATENATE(Liste!$C$3,$B$2261,$B$2291),Data!$BO:$BO,0)-2,58)&lt;&gt;"",INDEX(Tab_DaBa[],MATCH(CONCATENATE(Liste!$C$3,$B$2261,$B$2291),Data!$BO:$BO,0)-2,63)=""),"Performance Level: "&amp;INDEX(Tab_DaBa[],MATCH(CONCATENATE(Liste!$C$3,$B$2261,$B$2291),Data!$BO:$BO,0)-2,15),IF(INDEX(Tab_DaBa[],MATCH(CONCATENATE(Liste!$C$3,$B$2261,$B$2291),Data!$BO:$BO,0)-2,58)&lt;&gt;"","Performance Level: "&amp;INDEX(Tab_DaBa[],MATCH(CONCATENATE(Liste!$C$3,$B$2261,$B$2291),Data!$BO:$BO,0)-2,65),"")),"")</f>
        <v/>
      </c>
      <c r="G2312" s="39"/>
      <c r="H2312" s="35" t="str">
        <f ca="1">IFERROR(IF(INDEX(Tab_DaBa[],MATCH(CONCATENATE(Liste!$C$3,$B$2261,$B$2291),Data!$BO:$BO,0)-2,63)&lt;&gt;"","Performance Level: "&amp;INDEX(Tab_DaBa[],MATCH(CONCATENATE(Liste!$C$3,$B$2261,$B$2291),Data!$BO:$BO,0)-2,15),""),"")</f>
        <v/>
      </c>
    </row>
    <row r="2313" spans="2:9" s="16" customFormat="1" ht="15.75">
      <c r="B2313" s="35" t="str">
        <f ca="1">IFERROR(IF(AND(INDEX(Tab_DaBa[],MATCH(CONCATENATE(Liste!$C$3,$B$2261,$B$2291),Data!$BO:$BO,0)-2,48)&lt;&gt;"",INDEX(Tab_DaBa[],MATCH(CONCATENATE(Liste!$C$3,$B$2261,$B$2291),Data!$BO:$BO,0)-2,53)=""),"PFH [1/h] = "&amp;10^9*INDEX(Tab_DaBa[],MATCH(CONCATENATE(Liste!$C$3,$B$2261,$B$2291),Data!$BO:$BO,0)-2,16)&amp;"E-9",IF(INDEX(Tab_DaBa[],MATCH(CONCATENATE(Liste!$C$3,$B$2261,$B$2291),Data!$BO:$BO,0)-2,48)&lt;&gt;"","PFH [1/h] = "&amp;10^9*INDEX(Tab_DaBa[],MATCH(CONCATENATE(Liste!$C$3,$B$2261,$B$2291),Data!$BO:$BO,0)-2,56)&amp;"E-9","")),"")</f>
        <v/>
      </c>
      <c r="C2313" s="39"/>
      <c r="D2313" s="35" t="str">
        <f ca="1">IFERROR(IF(AND(INDEX(Tab_DaBa[],MATCH(CONCATENATE(Liste!$C$3,$B$2261,$B$2291),Data!$BO:$BO,0)-2,53)&lt;&gt;"",INDEX(Tab_DaBa[],MATCH(CONCATENATE(Liste!$C$3,$B$2261,$B$2291),Data!$BO:$BO,0)-2,58)=""),"PFH [1/h] = "&amp;10^9*INDEX(Tab_DaBa[],MATCH(CONCATENATE(Liste!$C$3,$B$2261,$B$2291),Data!$BO:$BO,0)-2,16)&amp;"E-9",IF(INDEX(Tab_DaBa[],MATCH(CONCATENATE(Liste!$C$3,$B$2261,$B$2291),Data!$BO:$BO,0)-2,53)&lt;&gt;"","PFH [1/h] = "&amp;10^9*INDEX(Tab_DaBa[],MATCH(CONCATENATE(Liste!$C$3,$B$2261,$B$2291),Data!$BO:$BO,0)-2,61)&amp;"E-9","")),"")</f>
        <v/>
      </c>
      <c r="E2313" s="37"/>
      <c r="F2313" s="35" t="str">
        <f ca="1">IFERROR(IF(AND(INDEX(Tab_DaBa[],MATCH(CONCATENATE(Liste!$C$3,$B$2261,$B$2291),Data!$BO:$BO,0)-2,58)&lt;&gt;"",INDEX(Tab_DaBa[],MATCH(CONCATENATE(Liste!$C$3,$B$2261,$B$2291),Data!$BO:$BO,0)-2,63)=""),"PFH [1/h] = "&amp;10^9*INDEX(Tab_DaBa[],MATCH(CONCATENATE(Liste!$C$3,$B$2261,$B$2291),Data!$BO:$BO,0)-2,16)&amp;"E-9",IF(INDEX(Tab_DaBa[],MATCH(CONCATENATE(Liste!$C$3,$B$2261,$B$2291),Data!$BO:$BO,0)-2,58)&lt;&gt;"","PFH [1/h] = "&amp;10^9*INDEX(Tab_DaBa[],MATCH(CONCATENATE(Liste!$C$3,$B$2261,$B$2291),Data!$BO:$BO,0)-2,66)&amp;"E-9","")),"")</f>
        <v/>
      </c>
      <c r="G2313" s="39"/>
      <c r="H2313" s="35" t="str">
        <f ca="1">IFERROR(IF(INDEX(Tab_DaBa[],MATCH(CONCATENATE(Liste!$C$3,$B$2261,$B$2291),Data!$BO:$BO,0)-2,63)&lt;&gt;"","PFH [1/h] = "&amp;10^9*INDEX(Tab_DaBa[],MATCH(CONCATENATE(Liste!$C$3,$B$2261,$B$2291),Data!$BO:$BO,0)-2,16)&amp;"E-9",""),"")</f>
        <v/>
      </c>
    </row>
    <row r="2314" spans="2:9" s="16" customFormat="1"/>
    <row r="2315" spans="2:9" s="16" customFormat="1">
      <c r="B2315" s="43" t="str">
        <f ca="1">IF(D2315="","","Erforderlich")</f>
        <v>Erforderlich</v>
      </c>
      <c r="D2315" s="44" t="str">
        <f ca="1">IFERROR("Performance Level: "&amp;INDEX(Tab_DaBa[],MATCH(CONCATENATE(Liste!$C$3,$B$2261,$B$2291),Data!$BO:$BO,0)-2,4),"")</f>
        <v>Performance Level: PLr_ges4_2</v>
      </c>
    </row>
    <row r="2316" spans="2:9" s="16" customFormat="1">
      <c r="B2316" s="45"/>
    </row>
    <row r="2317" spans="2:9" s="16" customFormat="1">
      <c r="B2317" s="46" t="str">
        <f ca="1">IF(D2317="","","Erreicht")</f>
        <v>Erreicht</v>
      </c>
      <c r="D2317" s="47" t="str">
        <f ca="1">IFERROR("Performance Level: "&amp;INDEX(Tab_DaBa[],MATCH(CONCATENATE(Liste!$C$3,$B$2261,$B$2291),Data!$BO:$BO,0)-2,5)&amp;"          PFH [1/h] = "&amp;10^9*INDEX(Tab_DaBa[],MATCH(CONCATENATE(Liste!$C$3,$B$2261,$B$2291),Data!$BO:$BO,0)-2,6)&amp;"E-9","")</f>
        <v>Performance Level: Pl_ges4_2          PFH [1/h] = 71,7E-9</v>
      </c>
    </row>
    <row r="2318" spans="2:9" s="16" customFormat="1"/>
    <row r="2319" spans="2:9" s="16" customFormat="1">
      <c r="B2319" s="42" t="str">
        <f ca="1">IFERROR(IF(3&gt;COUNTIF(Data!$BP:$BP,CONCATENATE(Liste!$C$3,$B$2261)),"",INDEX(Tab_DaBa[],MATCH(CONCATENATE(Liste!$C$3,$B$2261),Data!$BP:$BP,0),3)),"")</f>
        <v>9.3 Test09 (E+3L+A)</v>
      </c>
    </row>
    <row r="2320" spans="2:9" s="16" customFormat="1"/>
    <row r="2321" spans="2:9" s="16" customFormat="1" ht="15.75">
      <c r="B2321" s="35" t="str">
        <f ca="1">IFERROR(INDEX(Tab_DaBa[],MATCH(CONCATENATE(Liste!$C$3,$B$2261,$B$2319),Data!$BO:$BO,0)-2,9),"")</f>
        <v>Eingang</v>
      </c>
      <c r="C2321" s="54"/>
      <c r="D2321" s="35" t="str">
        <f ca="1">IFERROR(IF(INDEX(Tab_DaBa[],MATCH(CONCATENATE(Liste!$C$3,$B$2261,$B$2319),Data!$BO:$BO,0)-2,18)=0,INDEX(Tab_DaBa[],MATCH(CONCATENATE(Liste!$C$3,$B$2261,$B$2319),Data!$BO:$BO,0)-2,14),INDEX(Tab_DaBa[],MATCH(CONCATENATE(Liste!$C$3,$B$2261,$B$2319),Data!$BO:$BO,0)-2,19)),"")</f>
        <v>Logik 01</v>
      </c>
      <c r="E2321" s="33"/>
      <c r="F2321" s="35" t="str">
        <f ca="1">IFERROR(IF(AND(INDEX(Tab_DaBa[],MATCH(CONCATENATE(Liste!$C$3,$B$2261,$B$2319),Data!$BO:$BO,0)-2,18)&lt;&gt;"",INDEX(Tab_DaBa[],MATCH(CONCATENATE(Liste!$C$3,$B$2261,$B$2319),Data!$BO:$BO,0)-2,23)=0),INDEX(Tab_DaBa[],MATCH(CONCATENATE(Liste!$C$3,$B$2261,$B$2319),Data!$BO:$BO,0)-2,14),IF(INDEX(Tab_DaBa[],MATCH(CONCATENATE(Liste!$C$3,$B$2261,$B$2319),Data!$BO:$BO,0)-2,23)&lt;&gt;"",INDEX(Tab_DaBa[],MATCH(CONCATENATE(Liste!$C$3,$B$2261,$B$2319),Data!$BO:$BO,0)-2,24),"")),"")</f>
        <v>Logik 02</v>
      </c>
      <c r="G2321" s="39"/>
      <c r="H2321" s="35" t="str">
        <f ca="1">IFERROR(IF(AND(INDEX(Tab_DaBa[],MATCH(CONCATENATE(Liste!$C$3,$B$2261,$B$2319),Data!$BO:$BO,0)-2,23)&lt;&gt;"",INDEX(Tab_DaBa[],MATCH(CONCATENATE(Liste!$C$3,$B$2261,$B$2319),Data!$BO:$BO,0)-2,28)=0),INDEX(Tab_DaBa[],MATCH(CONCATENATE(Liste!$C$3,$B$2261,$B$2319),Data!$BO:$BO,0)-2,14),IF(INDEX(Tab_DaBa[],MATCH(CONCATENATE(Liste!$C$3,$B$2261,$B$2319),Data!$BO:$BO,0)-2,23)&lt;&gt;"",INDEX(Tab_DaBa[],MATCH(CONCATENATE(Liste!$C$3,$B$2261,$B$2319),Data!$BO:$BO,0)-2,29),"")),"")</f>
        <v>Logik 03</v>
      </c>
      <c r="I2321" s="39"/>
    </row>
    <row r="2322" spans="2:9" s="16" customFormat="1" ht="15.75">
      <c r="B2322" s="35" t="str">
        <f ca="1">IFERROR(INDEX(Tab_DaBa[],MATCH(CONCATENATE(Liste!$C$3,$B$2261,$B$2319),Data!$BO:$BO,0)-2,7),"")</f>
        <v>eeee-33_3</v>
      </c>
      <c r="C2322" s="54"/>
      <c r="D2322" s="35" t="str">
        <f ca="1">IFERROR(IF(INDEX(Tab_DaBa[],MATCH(CONCATENATE(Liste!$C$3,$B$2261,$B$2319),Data!$BO:$BO,0)-2,18)="",INDEX(Tab_DaBa[],MATCH(CONCATENATE(Liste!$C$3,$B$2261,$B$2319),Data!$BO:$BO,0)-2,12),INDEX(Tab_DaBa[],MATCH(CONCATENATE(Liste!$C$3,$B$2261,$B$2319),Data!$BO:$BO,0)-2,17)),"")</f>
        <v>Log01-04_03</v>
      </c>
      <c r="E2322" s="36"/>
      <c r="F2322" s="35" t="str">
        <f ca="1">IFERROR(IF(AND(INDEX(Tab_DaBa[],MATCH(CONCATENATE(Liste!$C$3,$B$2261,$B$2319),Data!$BO:$BO,0)-2,18)&lt;&gt;"",INDEX(Tab_DaBa[],MATCH(CONCATENATE(Liste!$C$3,$B$2261,$B$2319),Data!$BO:$BO,0)-2,23)=0),INDEX(Tab_DaBa[],MATCH(CONCATENATE(Liste!$C$3,$B$2261,$B$2319),Data!$BO:$BO,0)-2,12),IF(INDEX(Tab_DaBa[],MATCH(CONCATENATE(Liste!$C$3,$B$2261,$B$2319),Data!$BO:$BO,0)-2,23)&lt;&gt;"",INDEX(Tab_DaBa[],MATCH(CONCATENATE(Liste!$C$3,$B$2261,$B$2319),Data!$BO:$BO,0)-2,22),"")),"")</f>
        <v>Lo04-04_03</v>
      </c>
      <c r="G2322" s="39"/>
      <c r="H2322" s="35" t="str">
        <f ca="1">IFERROR(IF(AND(INDEX(Tab_DaBa[],MATCH(CONCATENATE(Liste!$C$3,$B$2261,$B$2319),Data!$BO:$BO,0)-2,23)&lt;&gt;"",INDEX(Tab_DaBa[],MATCH(CONCATENATE(Liste!$C$3,$B$2261,$B$2319),Data!$BO:$BO,0)-2,28)=0),INDEX(Tab_DaBa[],MATCH(CONCATENATE(Liste!$C$3,$B$2261,$B$2319),Data!$BO:$BO,0)-2,12),IF(INDEX(Tab_DaBa[],MATCH(CONCATENATE(Liste!$C$3,$B$2261,$B$2319),Data!$BO:$BO,0)-2,23)&lt;&gt;"",INDEX(Tab_DaBa[],MATCH(CONCATENATE(Liste!$C$3,$B$2261,$B$2319),Data!$BO:$BO,0)-2,27),"")),"")</f>
        <v>Lo04-44_03</v>
      </c>
      <c r="I2322" s="39"/>
    </row>
    <row r="2323" spans="2:9" s="16" customFormat="1" ht="15.75">
      <c r="B2323" s="35" t="str">
        <f ca="1">IFERROR(INDEX(Tab_DaBa[],MATCH(CONCATENATE(Liste!$C$3,$B$2261,$B$2319),Data!$BO:$BO,0)-2,8),"")</f>
        <v>Bez_Ein4_3</v>
      </c>
      <c r="C2323" s="40">
        <f ca="1">IF(D2321="","",4)</f>
        <v>4</v>
      </c>
      <c r="D2323" s="35" t="str">
        <f ca="1">IFERROR(IF(INDEX(Tab_DaBa[],MATCH(CONCATENATE(Liste!$C$3,$B$2261,$B$2319),Data!$BO:$BO,0)-2,18)="",INDEX(Tab_DaBa[],MATCH(CONCATENATE(Liste!$C$3,$B$2261,$B$2319),Data!$BO:$BO,0)-2,13),INDEX(Tab_DaBa[],MATCH(CONCATENATE(Liste!$C$3,$B$2261,$B$2319),Data!$BO:$BO,0)-2,18)),"")</f>
        <v>Bez_Log01_04_03</v>
      </c>
      <c r="E2323" s="40">
        <f ca="1">IF(F2321="","",4)</f>
        <v>4</v>
      </c>
      <c r="F2323" s="35" t="str">
        <f ca="1">IFERROR(IF(AND(INDEX(Tab_DaBa[],MATCH(CONCATENATE(Liste!$C$3,$B$2261,$B$2319),Data!$BO:$BO,0)-2,18)&lt;&gt;"",INDEX(Tab_DaBa[],MATCH(CONCATENATE(Liste!$C$3,$B$2261,$B$2319),Data!$BO:$BO,0)-2,23)=""),INDEX(Tab_DaBa[],MATCH(CONCATENATE(Liste!$C$3,$B$2261,$B$2319),Data!$BO:$BO,0)-2,13),IF(INDEX(Tab_DaBa[],MATCH(CONCATENATE(Liste!$C$3,$B$2261,$B$2319),Data!$BO:$BO,0)-2,23)&lt;&gt;"",INDEX(Tab_DaBa[],MATCH(CONCATENATE(Liste!$C$3,$B$2261,$B$2319),Data!$BO:$BO,0)-2,23),"")),"")</f>
        <v>Bez_Lo04_03</v>
      </c>
      <c r="G2323" s="38">
        <f ca="1">IF(H2321="","",4)</f>
        <v>4</v>
      </c>
      <c r="H2323" s="35" t="str">
        <f ca="1">IFERROR(IF(AND(INDEX(Tab_DaBa[],MATCH(CONCATENATE(Liste!$C$3,$B$2261,$B$2319),Data!$BO:$BO,0)-2,23)&lt;&gt;"",INDEX(Tab_DaBa[],MATCH(CONCATENATE(Liste!$C$3,$B$2261,$B$2319),Data!$BO:$BO,0)-2,28)=""),INDEX(Tab_DaBa[],MATCH(CONCATENATE(Liste!$C$3,$B$2261,$B$2319),Data!$BO:$BO,0)-2,13),IF(INDEX(Tab_DaBa[],MATCH(CONCATENATE(Liste!$C$3,$B$2261,$B$2319),Data!$BO:$BO,0)-2,23)&lt;&gt;"",INDEX(Tab_DaBa[],MATCH(CONCATENATE(Liste!$C$3,$B$2261,$B$2319),Data!$BO:$BO,0)-2,28),"")),"")</f>
        <v>Bez_Lo04_03</v>
      </c>
      <c r="I2323" s="38">
        <f ca="1">IF(B2329="","",6)</f>
        <v>6</v>
      </c>
    </row>
    <row r="2324" spans="2:9" s="16" customFormat="1" ht="15.75">
      <c r="B2324" s="35" t="str">
        <f ca="1">IFERROR("Performance Level: "&amp;INDEX(Tab_DaBa[],MATCH(CONCATENATE(Liste!$C$3,$B$2261,$B$2319),Data!$BO:$BO,0)-2,10),"")</f>
        <v>Performance Level: PL_Ein4_3</v>
      </c>
      <c r="C2324" s="54"/>
      <c r="D2324" s="35" t="str">
        <f ca="1">IFERROR(IF(INDEX(Tab_DaBa[],MATCH(CONCATENATE(Liste!$C$3,$B$2261,$B$2319),Data!$BO:$BO,0)-2,18)="","Performance Level: "&amp;INDEX(Tab_DaBa[],MATCH(CONCATENATE(Liste!$C$3,$B$2261,$B$2319),Data!$BO:$BO,0)-2,15),"Performance Level: "&amp;INDEX(Tab_DaBa[],MATCH(CONCATENATE(Liste!$C$3,$B$2261,$B$2319),Data!$BO:$BO,0)-2,20)),"")</f>
        <v>Performance Level: PL_Log01_04_03</v>
      </c>
      <c r="E2324" s="36"/>
      <c r="F2324" s="35" t="str">
        <f ca="1">IFERROR(IF(AND(INDEX(Tab_DaBa[],MATCH(CONCATENATE(Liste!$C$3,$B$2261,$B$2319),Data!$BO:$BO,0)-2,18)&lt;&gt;"",INDEX(Tab_DaBa[],MATCH(CONCATENATE(Liste!$C$3,$B$2261,$B$2319),Data!$BO:$BO,0)-2,23)=""),"Performance Level: "&amp;INDEX(Tab_DaBa[],MATCH(CONCATENATE(Liste!$C$3,$B$2261,$B$2319),Data!$BO:$BO,0)-2,15),IF(INDEX(Tab_DaBa[],MATCH(CONCATENATE(Liste!$C$3,$B$2261,$B$2319),Data!$BO:$BO,0)-2,23)&lt;&gt;"","Performance Level: "&amp;INDEX(Tab_DaBa[],MATCH(CONCATENATE(Liste!$C$3,$B$2261,$B$2319),Data!$BO:$BO,0)-2,25),"")),"")</f>
        <v>Performance Level: PL_Lo04_03</v>
      </c>
      <c r="G2324" s="39"/>
      <c r="H2324" s="35" t="str">
        <f ca="1">IFERROR(IF(AND(INDEX(Tab_DaBa[],MATCH(CONCATENATE(Liste!$C$3,$B$2261,$B$2319),Data!$BO:$BO,0)-2,23)&lt;&gt;"",INDEX(Tab_DaBa[],MATCH(CONCATENATE(Liste!$C$3,$B$2261,$B$2319),Data!$BO:$BO,0)-2,28)=""),"Performance Level: "&amp;INDEX(Tab_DaBa[],MATCH(CONCATENATE(Liste!$C$3,$B$2261,$B$2319),Data!$BO:$BO,0)-2,15),IF(INDEX(Tab_DaBa[],MATCH(CONCATENATE(Liste!$C$3,$B$2261,$B$2319),Data!$BO:$BO,0)-2,23)&lt;&gt;"","Performance Level: "&amp;INDEX(Tab_DaBa[],MATCH(CONCATENATE(Liste!$C$3,$B$2261,$B$2319),Data!$BO:$BO,0)-2,30),"")),"")</f>
        <v>Performance Level: PL_Lo04_03</v>
      </c>
      <c r="I2324" s="38"/>
    </row>
    <row r="2325" spans="2:9" s="16" customFormat="1" ht="15.75">
      <c r="B2325" s="53" t="str">
        <f ca="1">IFERROR("PFH [1/h] = "&amp;10^9*INDEX(Tab_DaBa[],MATCH(CONCATENATE(Liste!$C$3,$B$2261,$B$2319),Data!$BO:$BO,0)-2,11)&amp;"E-9","")</f>
        <v>PFH [1/h] = 42,9E-9</v>
      </c>
      <c r="C2325" s="54"/>
      <c r="D2325" s="35" t="str">
        <f ca="1">IFERROR(IF(INDEX(Tab_DaBa[],MATCH(CONCATENATE(Liste!$C$3,$B$2261,$B$2319),Data!$BO:$BO,0)-2,18)="","PFH [1/h] = "&amp;10^9*INDEX(Tab_DaBa[],MATCH(CONCATENATE(Liste!$C$3,$B$2261,$B$2319),Data!$BO:$BO,0)-2,16)&amp;"E-9","PFH [1/h] = "&amp;10^9*INDEX(Tab_DaBa[],MATCH(CONCATENATE(Liste!$C$3,$B$2261,$B$2319),Data!$BO:$BO,0)-2,21)&amp;"E-9"),"")</f>
        <v>PFH [1/h] = 4,19E-9</v>
      </c>
      <c r="E2325" s="36"/>
      <c r="F2325" s="35" t="str">
        <f ca="1">IFERROR(IF(AND(INDEX(Tab_DaBa[],MATCH(CONCATENATE(Liste!$C$3,$B$2261,$B$2319),Data!$BO:$BO,0)-2,18)&lt;&gt;"",INDEX(Tab_DaBa[],MATCH(CONCATENATE(Liste!$C$3,$B$2261,$B$2319),Data!$BO:$BO,0)-2,23)=""),"PFH [1/h] = "&amp;10^9*INDEX(Tab_DaBa[],MATCH(CONCATENATE(Liste!$C$3,$B$2261,$B$2319),Data!$BO:$BO,0)-2,16)&amp;"E-9",IF(INDEX(Tab_DaBa[],MATCH(CONCATENATE(Liste!$C$3,$B$2261,$B$2319),Data!$BO:$BO,0)-2,23)&lt;&gt;"","PFH [1/h] = "&amp;10^9*INDEX(Tab_DaBa[],MATCH(CONCATENATE(Liste!$C$3,$B$2261,$B$2319),Data!$BO:$BO,0)-2,26)&amp;"E-9","")),"")</f>
        <v>PFH [1/h] = 4,19E-9</v>
      </c>
      <c r="G2325" s="39"/>
      <c r="H2325" s="35" t="str">
        <f ca="1">IFERROR(IF(AND(INDEX(Tab_DaBa[],MATCH(CONCATENATE(Liste!$C$3,$B$2261,$B$2319),Data!$BO:$BO,0)-2,23)&lt;&gt;"",INDEX(Tab_DaBa[],MATCH(CONCATENATE(Liste!$C$3,$B$2261,$B$2319),Data!$BO:$BO,0)-2,28)=""),"PFH [1/h] = "&amp;10^9*INDEX(Tab_DaBa[],MATCH(CONCATENATE(Liste!$C$3,$B$2261,$B$2319),Data!$BO:$BO,0)-2,16)&amp;"E-9",IF(INDEX(Tab_DaBa[],MATCH(CONCATENATE(Liste!$C$3,$B$2261,$B$2319),Data!$BO:$BO,0)-2,23)&lt;&gt;"","PFH [1/h] = "&amp;10^9*INDEX(Tab_DaBa[],MATCH(CONCATENATE(Liste!$C$3,$B$2261,$B$2319),Data!$BO:$BO,0)-2,31)&amp;"E-9","")),"")</f>
        <v>PFH [1/h] = 4,19E-9</v>
      </c>
      <c r="I2325" s="39"/>
    </row>
    <row r="2326" spans="2:9" s="16" customFormat="1">
      <c r="B2326" s="33"/>
      <c r="C2326" s="34"/>
      <c r="D2326" s="33"/>
      <c r="E2326" s="33"/>
      <c r="F2326" s="33"/>
      <c r="G2326" s="33"/>
      <c r="H2326" s="33"/>
      <c r="I2326" s="33"/>
    </row>
    <row r="2327" spans="2:9" s="16" customFormat="1" ht="15.75">
      <c r="B2327" s="38">
        <f ca="1">IF(B2329="","",6)</f>
        <v>6</v>
      </c>
      <c r="C2327" s="34"/>
      <c r="D2327" s="38">
        <f ca="1">IF(B2329="","",3)</f>
        <v>3</v>
      </c>
      <c r="E2327" s="33"/>
      <c r="F2327" s="38">
        <f ca="1">IF(B2329="","",3)</f>
        <v>3</v>
      </c>
      <c r="G2327" s="33"/>
      <c r="H2327" s="38">
        <f ca="1">IF(B2329="","",3)</f>
        <v>3</v>
      </c>
      <c r="I2327" s="33"/>
    </row>
    <row r="2328" spans="2:9" s="16" customFormat="1" ht="15.75">
      <c r="B2328" s="39"/>
      <c r="C2328" s="33"/>
      <c r="D2328" s="33"/>
      <c r="E2328" s="33"/>
      <c r="F2328" s="33"/>
      <c r="G2328" s="33"/>
      <c r="H2328" s="33"/>
      <c r="I2328" s="33"/>
    </row>
    <row r="2329" spans="2:9" s="16" customFormat="1" ht="15.75">
      <c r="B2329" s="35" t="str">
        <f ca="1">IFERROR(IF(AND(INDEX(Tab_DaBa[],MATCH(CONCATENATE(Liste!$C$3,$B$2261,$B$2319),Data!$BO:$BO,0)-2,28)&lt;&gt;"",INDEX(Tab_DaBa[],MATCH(CONCATENATE(Liste!$C$3,$B$2261,$B$2319),Data!$BO:$BO,0)-2,33)=0),INDEX(Tab_DaBa[],MATCH(CONCATENATE(Liste!$C$3,$B$2261,$B$2319),Data!$BO:$BO,0)-2,14),IF(INDEX(Tab_DaBa[],MATCH(CONCATENATE(Liste!$C$3,$B$2261,$B$2319),Data!$BO:$BO,0)-2,28)&lt;&gt;"",INDEX(Tab_DaBa[],MATCH(CONCATENATE(Liste!$C$3,$B$2261,$B$2319),Data!$BO:$BO,0)-2,34),"")),"")</f>
        <v>Ausgang</v>
      </c>
      <c r="C2329" s="39"/>
      <c r="D2329" s="35" t="str">
        <f ca="1">IFERROR(IF(AND(INDEX(Tab_DaBa[],MATCH(CONCATENATE(Liste!$C$3,$B$2261,$B$2319),Data!$BO:$BO,0)-2,33)&lt;&gt;"",INDEX(Tab_DaBa[],MATCH(CONCATENATE(Liste!$C$3,$B$2261,$B$2319),Data!$BO:$BO,0)-2,38)=0),INDEX(Tab_DaBa[],MATCH(CONCATENATE(Liste!$C$3,$B$2261,$B$2319),Data!$BO:$BO,0)-2,14),IF(INDEX(Tab_DaBa[],MATCH(CONCATENATE(Liste!$C$3,$B$2261,$B$2319),Data!$BO:$BO,0)-2,33)&lt;&gt;"",INDEX(Tab_DaBa[],MATCH(CONCATENATE(Liste!$C$3,$B$2261,$B$2319),Data!$BO:$BO,0)-2,39),"")),"")</f>
        <v/>
      </c>
      <c r="E2329" s="33"/>
      <c r="F2329" s="35" t="str">
        <f ca="1">IFERROR(IF(AND(INDEX(Tab_DaBa[],MATCH(CONCATENATE(Liste!$C$3,$B$2261,$B$2319),Data!$BO:$BO,0)-2,38)&lt;&gt;"",INDEX(Tab_DaBa[],MATCH(CONCATENATE(Liste!$C$3,$B$2261,$B$2319),Data!$BO:$BO,0)-2,43)=0),INDEX(Tab_DaBa[],MATCH(CONCATENATE(Liste!$C$3,$B$2261,$B$2319),Data!$BO:$BO,0)-2,14),IF(INDEX(Tab_DaBa[],MATCH(CONCATENATE(Liste!$C$3,$B$2261,$B$2319),Data!$BO:$BO,0)-2,38)&lt;&gt;"",INDEX(Tab_DaBa[],MATCH(CONCATENATE(Liste!$C$3,$B$2261,$B$2319),Data!$BO:$BO,0)-2,44),"")),"")</f>
        <v/>
      </c>
      <c r="G2329" s="39"/>
      <c r="H2329" s="35" t="str">
        <f ca="1">IFERROR(IF(AND(INDEX(Tab_DaBa[],MATCH(CONCATENATE(Liste!$C$3,$B$2261,$B$2319),Data!$BO:$BO,0)-2,43)&lt;&gt;"",INDEX(Tab_DaBa[],MATCH(CONCATENATE(Liste!$C$3,$B$2261,$B$2319),Data!$BO:$BO,0)-2,48)=0),INDEX(Tab_DaBa[],MATCH(CONCATENATE(Liste!$C$3,$B$2261,$B$2319),Data!$BO:$BO,0)-2,14),IF(INDEX(Tab_DaBa[],MATCH(CONCATENATE(Liste!$C$3,$B$2261,$B$2319),Data!$BO:$BO,0)-2,43)&lt;&gt;"",INDEX(Tab_DaBa[],MATCH(CONCATENATE(Liste!$C$3,$B$2261,$B$2319),Data!$BO:$BO,0)-2,49),"")),"")</f>
        <v/>
      </c>
      <c r="I2329" s="39"/>
    </row>
    <row r="2330" spans="2:9" s="16" customFormat="1" ht="15.75">
      <c r="B2330" s="35" t="str">
        <f ca="1">IFERROR(IF(AND(INDEX(Tab_DaBa[],MATCH(CONCATENATE(Liste!$C$3,$B$2261,$B$2319),Data!$BO:$BO,0)-2,28)&lt;&gt;"",INDEX(Tab_DaBa[],MATCH(CONCATENATE(Liste!$C$3,$B$2261,$B$2319),Data!$BO:$BO,0)-2,33)=0),INDEX(Tab_DaBa[],MATCH(CONCATENATE(Liste!$C$3,$B$2261,$B$2319),Data!$BO:$BO,0)-2,12),IF(INDEX(Tab_DaBa[],MATCH(CONCATENATE(Liste!$C$3,$B$2261,$B$2319),Data!$BO:$BO,0)-2,28)&lt;&gt;"",INDEX(Tab_DaBa[],MATCH(CONCATENATE(Liste!$C$3,$B$2261,$B$2319),Data!$BO:$BO,0)-2,32),"")),"")</f>
        <v>aaaa-44_3</v>
      </c>
      <c r="C2330" s="39"/>
      <c r="D2330" s="35" t="str">
        <f ca="1">IFERROR(IF(AND(INDEX(Tab_DaBa[],MATCH(CONCATENATE(Liste!$C$3,$B$2261,$B$2319),Data!$BO:$BO,0)-2,33)&lt;&gt;"",INDEX(Tab_DaBa[],MATCH(CONCATENATE(Liste!$C$3,$B$2261,$B$2319),Data!$BO:$BO,0)-2,38)=0),INDEX(Tab_DaBa[],MATCH(CONCATENATE(Liste!$C$3,$B$2261,$B$2319),Data!$BO:$BO,0)-2,12),IF(INDEX(Tab_DaBa[],MATCH(CONCATENATE(Liste!$C$3,$B$2261,$B$2319),Data!$BO:$BO,0)-2,33)&lt;&gt;"",INDEX(Tab_DaBa[],MATCH(CONCATENATE(Liste!$C$3,$B$2261,$B$2319),Data!$BO:$BO,0)-2,37),"")),"")</f>
        <v/>
      </c>
      <c r="E2330" s="37"/>
      <c r="F2330" s="35" t="str">
        <f ca="1">IFERROR(IF(AND(INDEX(Tab_DaBa[],MATCH(CONCATENATE(Liste!$C$3,$B$2261,$B$2319),Data!$BO:$BO,0)-2,38)&lt;&gt;"",INDEX(Tab_DaBa[],MATCH(CONCATENATE(Liste!$C$3,$B$2261,$B$2319),Data!$BO:$BO,0)-2,43)=0),INDEX(Tab_DaBa[],MATCH(CONCATENATE(Liste!$C$3,$B$2261,$B$2319),Data!$BO:$BO,0)-2,12),IF(INDEX(Tab_DaBa[],MATCH(CONCATENATE(Liste!$C$3,$B$2261,$B$2319),Data!$BO:$BO,0)-2,38)&lt;&gt;"",INDEX(Tab_DaBa[],MATCH(CONCATENATE(Liste!$C$3,$B$2261,$B$2319),Data!$BO:$BO,0)-2,42),"")),"")</f>
        <v/>
      </c>
      <c r="G2330" s="39"/>
      <c r="H2330" s="35" t="str">
        <f ca="1">IFERROR(IF(AND(INDEX(Tab_DaBa[],MATCH(CONCATENATE(Liste!$C$3,$B$2261,$B$2319),Data!$BO:$BO,0)-2,43)&lt;&gt;"",INDEX(Tab_DaBa[],MATCH(CONCATENATE(Liste!$C$3,$B$2261,$B$2319),Data!$BO:$BO,0)-2,48)=0),INDEX(Tab_DaBa[],MATCH(CONCATENATE(Liste!$C$3,$B$2261,$B$2319),Data!$BO:$BO,0)-2,12),IF(INDEX(Tab_DaBa[],MATCH(CONCATENATE(Liste!$C$3,$B$2261,$B$2319),Data!$BO:$BO,0)-2,43)&lt;&gt;"",INDEX(Tab_DaBa[],MATCH(CONCATENATE(Liste!$C$3,$B$2261,$B$2319),Data!$BO:$BO,0)-2,47),"")),"")</f>
        <v/>
      </c>
      <c r="I2330" s="39"/>
    </row>
    <row r="2331" spans="2:9" s="16" customFormat="1" ht="15.75">
      <c r="B2331" s="35" t="str">
        <f ca="1">IFERROR(IF(AND(INDEX(Tab_DaBa[],MATCH(CONCATENATE(Liste!$C$3,$B$2261,$B$2319),Data!$BO:$BO,0)-2,28)&lt;&gt;"",INDEX(Tab_DaBa[],MATCH(CONCATENATE(Liste!$C$3,$B$2261,$B$2319),Data!$BO:$BO,0)-2,33)=""),INDEX(Tab_DaBa[],MATCH(CONCATENATE(Liste!$C$3,$B$2261,$B$2319),Data!$BO:$BO,0)-2,13),IF(INDEX(Tab_DaBa[],MATCH(CONCATENATE(Liste!$C$3,$B$2261,$B$2319),Data!$BO:$BO,0)-2,28)&lt;&gt;"",INDEX(Tab_DaBa[],MATCH(CONCATENATE(Liste!$C$3,$B$2261,$B$2319),Data!$BO:$BO,0)-2,33),"")),"")</f>
        <v>Bez_Aus4_3</v>
      </c>
      <c r="C2331" s="38" t="str">
        <f ca="1">IF(D2329="","",4)</f>
        <v/>
      </c>
      <c r="D2331" s="35" t="str">
        <f ca="1">IFERROR(IF(AND(INDEX(Tab_DaBa[],MATCH(CONCATENATE(Liste!$C$3,$B$2261,$B$2319),Data!$BO:$BO,0)-2,33)&lt;&gt;"",INDEX(Tab_DaBa[],MATCH(CONCATENATE(Liste!$C$3,$B$2261,$B$2319),Data!$BO:$BO,0)-2,38)=""),INDEX(Tab_DaBa[],MATCH(CONCATENATE(Liste!$C$3,$B$2261,$B$2319),Data!$BO:$BO,0)-2,13),IF(INDEX(Tab_DaBa[],MATCH(CONCATENATE(Liste!$C$3,$B$2261,$B$2319),Data!$BO:$BO,0)-2,33)&lt;&gt;"",INDEX(Tab_DaBa[],MATCH(CONCATENATE(Liste!$C$3,$B$2261,$B$2319),Data!$BO:$BO,0)-2,38),"")),"")</f>
        <v/>
      </c>
      <c r="E2331" s="38" t="str">
        <f ca="1">IF(F2329="","",4)</f>
        <v/>
      </c>
      <c r="F2331" s="35" t="str">
        <f ca="1">IFERROR(IF(AND(INDEX(Tab_DaBa[],MATCH(CONCATENATE(Liste!$C$3,$B$2261,$B$2319),Data!$BO:$BO,0)-2,38)&lt;&gt;"",INDEX(Tab_DaBa[],MATCH(CONCATENATE(Liste!$C$3,$B$2261,$B$2319),Data!$BO:$BO,0)-2,43)=""),INDEX(Tab_DaBa[],MATCH(CONCATENATE(Liste!$C$3,$B$2261,$B$2319),Data!$BO:$BO,0)-2,13),IF(INDEX(Tab_DaBa[],MATCH(CONCATENATE(Liste!$C$3,$B$2261,$B$2319),Data!$BO:$BO,0)-2,38)&lt;&gt;"",INDEX(Tab_DaBa[],MATCH(CONCATENATE(Liste!$C$3,$B$2261,$B$2319),Data!$BO:$BO,0)-2,43),"")),"")</f>
        <v/>
      </c>
      <c r="G2331" s="38" t="str">
        <f ca="1">IF(H2329="","",4)</f>
        <v/>
      </c>
      <c r="H2331" s="35" t="str">
        <f ca="1">IFERROR(IF(AND(INDEX(Tab_DaBa[],MATCH(CONCATENATE(Liste!$C$3,$B$2261,$B$2319),Data!$BO:$BO,0)-2,43)&lt;&gt;"",INDEX(Tab_DaBa[],MATCH(CONCATENATE(Liste!$C$3,$B$2261,$B$2319),Data!$BO:$BO,0)-2,48)=""),INDEX(Tab_DaBa[],MATCH(CONCATENATE(Liste!$C$3,$B$2261,$B$2319),Data!$BO:$BO,0)-2,13),IF(INDEX(Tab_DaBa[],MATCH(CONCATENATE(Liste!$C$3,$B$2261,$B$2319),Data!$BO:$BO,0)-2,43)&lt;&gt;"",INDEX(Tab_DaBa[],MATCH(CONCATENATE(Liste!$C$3,$B$2261,$B$2319),Data!$BO:$BO,0)-2,48),"")),"")</f>
        <v/>
      </c>
      <c r="I2331" s="38" t="str">
        <f ca="1">IF(B2337="","",6)</f>
        <v/>
      </c>
    </row>
    <row r="2332" spans="2:9" s="16" customFormat="1" ht="15.75">
      <c r="B2332" s="35" t="str">
        <f ca="1">IFERROR(IF(AND(INDEX(Tab_DaBa[],MATCH(CONCATENATE(Liste!$C$3,$B$2261,$B$2319),Data!$BO:$BO,0)-2,28)&lt;&gt;"",INDEX(Tab_DaBa[],MATCH(CONCATENATE(Liste!$C$3,$B$2261,$B$2319),Data!$BO:$BO,0)-2,33)=""),"Performance Level: "&amp;INDEX(Tab_DaBa[],MATCH(CONCATENATE(Liste!$C$3,$B$2261,$B$2319),Data!$BO:$BO,0)-2,15),IF(INDEX(Tab_DaBa[],MATCH(CONCATENATE(Liste!$C$3,$B$2261,$B$2319),Data!$BO:$BO,0)-2,28)&lt;&gt;"","Performance Level: "&amp;INDEX(Tab_DaBa[],MATCH(CONCATENATE(Liste!$C$3,$B$2261,$B$2319),Data!$BO:$BO,0)-2,35),"")),"")</f>
        <v>Performance Level: PL_Aus4_3</v>
      </c>
      <c r="C2332" s="39"/>
      <c r="D2332" s="35" t="str">
        <f ca="1">IFERROR(IF(AND(INDEX(Tab_DaBa[],MATCH(CONCATENATE(Liste!$C$3,$B$2261,$B$2319),Data!$BO:$BO,0)-2,33)&lt;&gt;"",INDEX(Tab_DaBa[],MATCH(CONCATENATE(Liste!$C$3,$B$2261,$B$2319),Data!$BO:$BO,0)-2,38)=""),"Performance Level: "&amp;INDEX(Tab_DaBa[],MATCH(CONCATENATE(Liste!$C$3,$B$2261,$B$2319),Data!$BO:$BO,0)-2,15),IF(INDEX(Tab_DaBa[],MATCH(CONCATENATE(Liste!$C$3,$B$2261,$B$2319),Data!$BO:$BO,0)-2,33)&lt;&gt;"","Performance Level: "&amp;INDEX(Tab_DaBa[],MATCH(CONCATENATE(Liste!$C$3,$B$2261,$B$2319),Data!$BO:$BO,0)-2,40),"")),"")</f>
        <v/>
      </c>
      <c r="E2332" s="37"/>
      <c r="F2332" s="35" t="str">
        <f ca="1">IFERROR(IF(AND(INDEX(Tab_DaBa[],MATCH(CONCATENATE(Liste!$C$3,$B$2261,$B$2319),Data!$BO:$BO,0)-2,38)&lt;&gt;"",INDEX(Tab_DaBa[],MATCH(CONCATENATE(Liste!$C$3,$B$2261,$B$2319),Data!$BO:$BO,0)-2,43)=""),"Performance Level: "&amp;INDEX(Tab_DaBa[],MATCH(CONCATENATE(Liste!$C$3,$B$2261,$B$2319),Data!$BO:$BO,0)-2,15),IF(INDEX(Tab_DaBa[],MATCH(CONCATENATE(Liste!$C$3,$B$2261,$B$2319),Data!$BO:$BO,0)-2,38)&lt;&gt;"","Performance Level: "&amp;INDEX(Tab_DaBa[],MATCH(CONCATENATE(Liste!$C$3,$B$2261,$B$2319),Data!$BO:$BO,0)-2,45),"")),"")</f>
        <v/>
      </c>
      <c r="G2332" s="39"/>
      <c r="H2332" s="35" t="str">
        <f ca="1">IFERROR(IF(AND(INDEX(Tab_DaBa[],MATCH(CONCATENATE(Liste!$C$3,$B$2261,$B$2319),Data!$BO:$BO,0)-2,43)&lt;&gt;"",INDEX(Tab_DaBa[],MATCH(CONCATENATE(Liste!$C$3,$B$2261,$B$2319),Data!$BO:$BO,0)-2,48)=""),"Performance Level: "&amp;INDEX(Tab_DaBa[],MATCH(CONCATENATE(Liste!$C$3,$B$2261,$B$2319),Data!$BO:$BO,0)-2,15),IF(INDEX(Tab_DaBa[],MATCH(CONCATENATE(Liste!$C$3,$B$2261,$B$2319),Data!$BO:$BO,0)-2,43)&lt;&gt;"","Performance Level: "&amp;INDEX(Tab_DaBa[],MATCH(CONCATENATE(Liste!$C$3,$B$2261,$B$2319),Data!$BO:$BO,0)-2,50),"")),"")</f>
        <v/>
      </c>
      <c r="I2332" s="39"/>
    </row>
    <row r="2333" spans="2:9" s="16" customFormat="1" ht="15.75">
      <c r="B2333" s="35" t="str">
        <f ca="1">IFERROR(IF(AND(INDEX(Tab_DaBa[],MATCH(CONCATENATE(Liste!$C$3,$B$2261,$B$2319),Data!$BO:$BO,0)-2,28)&lt;&gt;"",INDEX(Tab_DaBa[],MATCH(CONCATENATE(Liste!$C$3,$B$2261,$B$2319),Data!$BO:$BO,0)-2,33)=""),"PFH [1/h] = "&amp;10^9*INDEX(Tab_DaBa[],MATCH(CONCATENATE(Liste!$C$3,$B$2261,$B$2319),Data!$BO:$BO,0)-2,16)&amp;"E-9",IF(INDEX(Tab_DaBa[],MATCH(CONCATENATE(Liste!$C$3,$B$2261,$B$2319),Data!$BO:$BO,0)-2,28)&lt;&gt;"","PFH [1/h] = "&amp;10^9*INDEX(Tab_DaBa[],MATCH(CONCATENATE(Liste!$C$3,$B$2261,$B$2319),Data!$BO:$BO,0)-2,36)&amp;"E-9","")),"")</f>
        <v>PFH [1/h] = 24,7E-9</v>
      </c>
      <c r="C2333" s="39"/>
      <c r="D2333" s="35" t="str">
        <f ca="1">IFERROR(IF(AND(INDEX(Tab_DaBa[],MATCH(CONCATENATE(Liste!$C$3,$B$2261,$B$2319),Data!$BO:$BO,0)-2,33)&lt;&gt;"",INDEX(Tab_DaBa[],MATCH(CONCATENATE(Liste!$C$3,$B$2261,$B$2319),Data!$BO:$BO,0)-2,38)=""),"PFH [1/h] = "&amp;10^9*INDEX(Tab_DaBa[],MATCH(CONCATENATE(Liste!$C$3,$B$2261,$B$2319),Data!$BO:$BO,0)-2,16)&amp;"E-9",IF(INDEX(Tab_DaBa[],MATCH(CONCATENATE(Liste!$C$3,$B$2261,$B$2319),Data!$BO:$BO,0)-2,33)&lt;&gt;"","PFH [1/h] = "&amp;10^9*INDEX(Tab_DaBa[],MATCH(CONCATENATE(Liste!$C$3,$B$2261,$B$2319),Data!$BO:$BO,0)-2,41)&amp;"E-9","")),"")</f>
        <v/>
      </c>
      <c r="E2333" s="37"/>
      <c r="F2333" s="35" t="str">
        <f ca="1">IFERROR(IF(AND(INDEX(Tab_DaBa[],MATCH(CONCATENATE(Liste!$C$3,$B$2261,$B$2319),Data!$BO:$BO,0)-2,38)&lt;&gt;"",INDEX(Tab_DaBa[],MATCH(CONCATENATE(Liste!$C$3,$B$2261,$B$2319),Data!$BO:$BO,0)-2,43)=""),"PFH [1/h] = "&amp;10^9*INDEX(Tab_DaBa[],MATCH(CONCATENATE(Liste!$C$3,$B$2261,$B$2319),Data!$BO:$BO,0)-2,16)&amp;"E-9",IF(INDEX(Tab_DaBa[],MATCH(CONCATENATE(Liste!$C$3,$B$2261,$B$2319),Data!$BO:$BO,0)-2,38)&lt;&gt;"","PFH [1/h] = "&amp;10^9*INDEX(Tab_DaBa[],MATCH(CONCATENATE(Liste!$C$3,$B$2261,$B$2319),Data!$BO:$BO,0)-2,46)&amp;"E-9","")),"")</f>
        <v/>
      </c>
      <c r="G2333" s="39"/>
      <c r="H2333" s="35" t="str">
        <f ca="1">IFERROR(IF(AND(INDEX(Tab_DaBa[],MATCH(CONCATENATE(Liste!$C$3,$B$2261,$B$2319),Data!$BO:$BO,0)-2,43)&lt;&gt;"",INDEX(Tab_DaBa[],MATCH(CONCATENATE(Liste!$C$3,$B$2261,$B$2319),Data!$BO:$BO,0)-2,48)=""),"PFH [1/h] = "&amp;10^9*INDEX(Tab_DaBa[],MATCH(CONCATENATE(Liste!$C$3,$B$2261,$B$2319),Data!$BO:$BO,0)-2,16)&amp;"E-9",IF(INDEX(Tab_DaBa[],MATCH(CONCATENATE(Liste!$C$3,$B$2261,$B$2319),Data!$BO:$BO,0)-2,43)&lt;&gt;"","PFH [1/h] = "&amp;10^9*INDEX(Tab_DaBa[],MATCH(CONCATENATE(Liste!$C$3,$B$2261,$B$2319),Data!$BO:$BO,0)-2,51)&amp;"E-9","")),"")</f>
        <v/>
      </c>
      <c r="I2333" s="39"/>
    </row>
    <row r="2334" spans="2:9" s="16" customFormat="1">
      <c r="B2334" s="33"/>
      <c r="C2334" s="33"/>
      <c r="D2334" s="33"/>
      <c r="E2334" s="33"/>
      <c r="F2334" s="33"/>
      <c r="G2334" s="33"/>
      <c r="H2334" s="33"/>
      <c r="I2334" s="33"/>
    </row>
    <row r="2335" spans="2:9" s="16" customFormat="1" ht="15.75">
      <c r="B2335" s="38" t="str">
        <f ca="1">IF(B2337="","",6)</f>
        <v/>
      </c>
      <c r="C2335" s="33"/>
      <c r="D2335" s="38" t="str">
        <f ca="1">IF(B2337="","",3)</f>
        <v/>
      </c>
      <c r="E2335" s="33"/>
      <c r="F2335" s="38" t="str">
        <f ca="1">IF(B2337="","",3)</f>
        <v/>
      </c>
      <c r="G2335" s="33"/>
      <c r="H2335" s="38" t="str">
        <f ca="1">IF(B2337="","",3)</f>
        <v/>
      </c>
      <c r="I2335" s="33"/>
    </row>
    <row r="2336" spans="2:9" s="16" customFormat="1" ht="15.75">
      <c r="B2336" s="39"/>
      <c r="C2336" s="33"/>
      <c r="D2336" s="33"/>
      <c r="E2336" s="33"/>
      <c r="F2336" s="33"/>
      <c r="G2336" s="33"/>
      <c r="H2336" s="33"/>
      <c r="I2336" s="33"/>
    </row>
    <row r="2337" spans="2:9" s="16" customFormat="1" ht="15.75">
      <c r="B2337" s="35" t="str">
        <f ca="1">IFERROR(IF(AND(INDEX(Tab_DaBa[],MATCH(CONCATENATE(Liste!$C$3,$B$2261,$B$2319),Data!$BO:$BO,0)-2,48)&lt;&gt;"",INDEX(Tab_DaBa[],MATCH(CONCATENATE(Liste!$C$3,$B$2261,$B$2319),Data!$BO:$BO,0)-2,53)=0),INDEX(Tab_DaBa[],MATCH(CONCATENATE(Liste!$C$3,$B$2261,$B$2319),Data!$BO:$BO,0)-2,14),IF(INDEX(Tab_DaBa[],MATCH(CONCATENATE(Liste!$C$3,$B$2261,$B$2319),Data!$BO:$BO,0)-2,48)&lt;&gt;"",INDEX(Tab_DaBa[],MATCH(CONCATENATE(Liste!$C$3,$B$2261,$B$2319),Data!$BO:$BO,0)-2,54),"")),"")</f>
        <v/>
      </c>
      <c r="C2337" s="39"/>
      <c r="D2337" s="35" t="str">
        <f ca="1">IFERROR(IF(AND(INDEX(Tab_DaBa[],MATCH(CONCATENATE(Liste!$C$3,$B$2261,$B$2319),Data!$BO:$BO,0)-2,53)&lt;&gt;"",INDEX(Tab_DaBa[],MATCH(CONCATENATE(Liste!$C$3,$B$2261,$B$2319),Data!$BO:$BO,0)-2,58)=0),INDEX(Tab_DaBa[],MATCH(CONCATENATE(Liste!$C$3,$B$2261,$B$2319),Data!$BO:$BO,0)-2,14),IF(INDEX(Tab_DaBa[],MATCH(CONCATENATE(Liste!$C$3,$B$2261,$B$2319),Data!$BO:$BO,0)-2,53)&lt;&gt;"",INDEX(Tab_DaBa[],MATCH(CONCATENATE(Liste!$C$3,$B$2261,$B$2319),Data!$BO:$BO,0)-2,59),"")),"")</f>
        <v/>
      </c>
      <c r="E2337" s="33"/>
      <c r="F2337" s="35" t="str">
        <f ca="1">IFERROR(IF(AND(INDEX(Tab_DaBa[],MATCH(CONCATENATE(Liste!$C$3,$B$2261,$B$2319),Data!$BO:$BO,0)-2,58)&lt;&gt;"",INDEX(Tab_DaBa[],MATCH(CONCATENATE(Liste!$C$3,$B$2261,$B$2319),Data!$BO:$BO,0)-2,63)=0),INDEX(Tab_DaBa[],MATCH(CONCATENATE(Liste!$C$3,$B$2261,$B$2319),Data!$BO:$BO,0)-2,14),IF(INDEX(Tab_DaBa[],MATCH(CONCATENATE(Liste!$C$3,$B$2261,$B$2319),Data!$BO:$BO,0)-2,58)&lt;&gt;"",INDEX(Tab_DaBa[],MATCH(CONCATENATE(Liste!$C$3,$B$2261,$B$2319),Data!$BO:$BO,0)-2,64),"")),"")</f>
        <v/>
      </c>
      <c r="G2337" s="39"/>
      <c r="H2337" s="35" t="str">
        <f ca="1">IFERROR(IF(INDEX(Tab_DaBa[],MATCH(CONCATENATE(Liste!$C$3,$B$2261,$B$2319),Data!$BO:$BO,0)-2,63)&lt;&gt;"",INDEX(Tab_DaBa[],MATCH(CONCATENATE(Liste!$C$3,$B$2261,$B$2319),Data!$BO:$BO,0)-2,14),""),"")</f>
        <v/>
      </c>
    </row>
    <row r="2338" spans="2:9" s="16" customFormat="1" ht="15.75">
      <c r="B2338" s="35" t="str">
        <f ca="1">IFERROR(IF(AND(INDEX(Tab_DaBa[],MATCH(CONCATENATE(Liste!$C$3,$B$2261,$B$2319),Data!$BO:$BO,0)-2,48)&lt;&gt;"",INDEX(Tab_DaBa[],MATCH(CONCATENATE(Liste!$C$3,$B$2261,$B$2319),Data!$BO:$BO,0)-2,53)=0),INDEX(Tab_DaBa[],MATCH(CONCATENATE(Liste!$C$3,$B$2261,$B$2319),Data!$BO:$BO,0)-2,12),IF(INDEX(Tab_DaBa[],MATCH(CONCATENATE(Liste!$C$3,$B$2261,$B$2319),Data!$BO:$BO,0)-2,48)&lt;&gt;"",INDEX(Tab_DaBa[],MATCH(CONCATENATE(Liste!$C$3,$B$2261,$B$2319),Data!$BO:$BO,0)-2,52),"")),"")</f>
        <v/>
      </c>
      <c r="C2338" s="39"/>
      <c r="D2338" s="35" t="str">
        <f ca="1">IFERROR(IF(AND(INDEX(Tab_DaBa[],MATCH(CONCATENATE(Liste!$C$3,$B$2261,$B$2319),Data!$BO:$BO,0)-2,53)&lt;&gt;"",INDEX(Tab_DaBa[],MATCH(CONCATENATE(Liste!$C$3,$B$2261,$B$2319),Data!$BO:$BO,0)-2,58)=0),INDEX(Tab_DaBa[],MATCH(CONCATENATE(Liste!$C$3,$B$2261,$B$2319),Data!$BO:$BO,0)-2,12),IF(INDEX(Tab_DaBa[],MATCH(CONCATENATE(Liste!$C$3,$B$2261,$B$2319),Data!$BO:$BO,0)-2,53)&lt;&gt;"",INDEX(Tab_DaBa[],MATCH(CONCATENATE(Liste!$C$3,$B$2261,$B$2319),Data!$BO:$BO,0)-2,57),"")),"")</f>
        <v/>
      </c>
      <c r="E2338" s="37"/>
      <c r="F2338" s="35" t="str">
        <f ca="1">IFERROR(IF(AND(INDEX(Tab_DaBa[],MATCH(CONCATENATE(Liste!$C$3,$B$2261,$B$2319),Data!$BO:$BO,0)-2,58)&lt;&gt;"",INDEX(Tab_DaBa[],MATCH(CONCATENATE(Liste!$C$3,$B$2261,$B$2319),Data!$BO:$BO,0)-2,63)=0),INDEX(Tab_DaBa[],MATCH(CONCATENATE(Liste!$C$3,$B$2261,$B$2319),Data!$BO:$BO,0)-2,12),IF(INDEX(Tab_DaBa[],MATCH(CONCATENATE(Liste!$C$3,$B$2261,$B$2319),Data!$BO:$BO,0)-2,58)&lt;&gt;"",INDEX(Tab_DaBa[],MATCH(CONCATENATE(Liste!$C$3,$B$2261,$B$2319),Data!$BO:$BO,0)-2,62),"")),"")</f>
        <v/>
      </c>
      <c r="G2338" s="39"/>
      <c r="H2338" s="35" t="str">
        <f ca="1">IFERROR(IF(INDEX(Tab_DaBa[],MATCH(CONCATENATE(Liste!$C$3,$B$2261,$B$2319),Data!$BO:$BO,0)-2,63)&lt;&gt;"",INDEX(Tab_DaBa[],MATCH(CONCATENATE(Liste!$C$3,$B$2261,$B$2319),Data!$BO:$BO,0)-2,12),""),"")</f>
        <v/>
      </c>
    </row>
    <row r="2339" spans="2:9" s="16" customFormat="1" ht="15.75">
      <c r="B2339" s="35" t="str">
        <f ca="1">IFERROR(IF(AND(INDEX(Tab_DaBa[],MATCH(CONCATENATE(Liste!$C$3,$B$2261,$B$2319),Data!$BO:$BO,0)-2,48)&lt;&gt;"",INDEX(Tab_DaBa[],MATCH(CONCATENATE(Liste!$C$3,$B$2261,$B$2319),Data!$BO:$BO,0)-2,53)=""),INDEX(Tab_DaBa[],MATCH(CONCATENATE(Liste!$C$3,$B$2261,$B$2319),Data!$BO:$BO,0)-2,13),IF(INDEX(Tab_DaBa[],MATCH(CONCATENATE(Liste!$C$3,$B$2261,$B$2319),Data!$BO:$BO,0)-2,48)&lt;&gt;"",INDEX(Tab_DaBa[],MATCH(CONCATENATE(Liste!$C$3,$B$2261,$B$2319),Data!$BO:$BO,0)-2,53),"")),"")</f>
        <v/>
      </c>
      <c r="C2339" s="38" t="str">
        <f ca="1">IF(D2337="","",4)</f>
        <v/>
      </c>
      <c r="D2339" s="35" t="str">
        <f ca="1">IFERROR(IF(AND(INDEX(Tab_DaBa[],MATCH(CONCATENATE(Liste!$C$3,$B$2261,$B$2319),Data!$BO:$BO,0)-2,53)&lt;&gt;"",INDEX(Tab_DaBa[],MATCH(CONCATENATE(Liste!$C$3,$B$2261,$B$2319),Data!$BO:$BO,0)-2,58)=""),INDEX(Tab_DaBa[],MATCH(CONCATENATE(Liste!$C$3,$B$2261,$B$2319),Data!$BO:$BO,0)-2,13),IF(INDEX(Tab_DaBa[],MATCH(CONCATENATE(Liste!$C$3,$B$2261,$B$2319),Data!$BO:$BO,0)-2,53)&lt;&gt;"",INDEX(Tab_DaBa[],MATCH(CONCATENATE(Liste!$C$3,$B$2261,$B$2319),Data!$BO:$BO,0)-2,58),"")),"")</f>
        <v/>
      </c>
      <c r="E2339" s="38" t="str">
        <f ca="1">IF(F2337="","",4)</f>
        <v/>
      </c>
      <c r="F2339" s="35" t="str">
        <f ca="1">IFERROR(IF(AND(INDEX(Tab_DaBa[],MATCH(CONCATENATE(Liste!$C$3,$B$2261,$B$2319),Data!$BO:$BO,0)-2,58)&lt;&gt;"",INDEX(Tab_DaBa[],MATCH(CONCATENATE(Liste!$C$3,$B$2261,$B$2319),Data!$BO:$BO,0)-2,63)=""),INDEX(Tab_DaBa[],MATCH(CONCATENATE(Liste!$C$3,$B$2261,$B$2319),Data!$BO:$BO,0)-2,13),IF(INDEX(Tab_DaBa[],MATCH(CONCATENATE(Liste!$C$3,$B$2261,$B$2319),Data!$BO:$BO,0)-2,58)&lt;&gt;"",INDEX(Tab_DaBa[],MATCH(CONCATENATE(Liste!$C$3,$B$2261,$B$2319),Data!$BO:$BO,0)-2,63),"")),"")</f>
        <v/>
      </c>
      <c r="G2339" s="38" t="str">
        <f ca="1">IF(H2337="","",4)</f>
        <v/>
      </c>
      <c r="H2339" s="35" t="str">
        <f ca="1">IFERROR(IF(INDEX(Tab_DaBa[],MATCH(CONCATENATE(Liste!$C$3,$B$2261,$B$2319),Data!$BO:$BO,0)-2,63)&lt;&gt;"",INDEX(Tab_DaBa[],MATCH(CONCATENATE(Liste!$C$3,$B$2261,$B$2319),Data!$BO:$BO,0)-2,13),""),"")</f>
        <v/>
      </c>
    </row>
    <row r="2340" spans="2:9" s="16" customFormat="1" ht="15.75">
      <c r="B2340" s="35" t="str">
        <f ca="1">IFERROR(IF(AND(INDEX(Tab_DaBa[],MATCH(CONCATENATE(Liste!$C$3,$B$2261,$B$2319),Data!$BO:$BO,0)-2,48)&lt;&gt;"",INDEX(Tab_DaBa[],MATCH(CONCATENATE(Liste!$C$3,$B$2261,$B$2319),Data!$BO:$BO,0)-2,53)=""),"Performance Level: "&amp;INDEX(Tab_DaBa[],MATCH(CONCATENATE(Liste!$C$3,$B$2261,$B$2319),Data!$BO:$BO,0)-2,15),IF(INDEX(Tab_DaBa[],MATCH(CONCATENATE(Liste!$C$3,$B$2261,$B$2319),Data!$BO:$BO,0)-2,48)&lt;&gt;"","Performance Level: "&amp;INDEX(Tab_DaBa[],MATCH(CONCATENATE(Liste!$C$3,$B$2261,$B$2319),Data!$BO:$BO,0)-2,55),"")),"")</f>
        <v/>
      </c>
      <c r="C2340" s="39"/>
      <c r="D2340" s="35" t="str">
        <f ca="1">IFERROR(IF(AND(INDEX(Tab_DaBa[],MATCH(CONCATENATE(Liste!$C$3,$B$2261,$B$2319),Data!$BO:$BO,0)-2,53)&lt;&gt;"",INDEX(Tab_DaBa[],MATCH(CONCATENATE(Liste!$C$3,$B$2261,$B$2319),Data!$BO:$BO,0)-2,58)=""),"Performance Level: "&amp;INDEX(Tab_DaBa[],MATCH(CONCATENATE(Liste!$C$3,$B$2261,$B$2319),Data!$BO:$BO,0)-2,15),IF(INDEX(Tab_DaBa[],MATCH(CONCATENATE(Liste!$C$3,$B$2261,$B$2319),Data!$BO:$BO,0)-2,53)&lt;&gt;"","Performance Level: "&amp;INDEX(Tab_DaBa[],MATCH(CONCATENATE(Liste!$C$3,$B$2261,$B$2319),Data!$BO:$BO,0)-2,60),"")),"")</f>
        <v/>
      </c>
      <c r="E2340" s="37"/>
      <c r="F2340" s="35" t="str">
        <f ca="1">IFERROR(IF(AND(INDEX(Tab_DaBa[],MATCH(CONCATENATE(Liste!$C$3,$B$2261,$B$2319),Data!$BO:$BO,0)-2,58)&lt;&gt;"",INDEX(Tab_DaBa[],MATCH(CONCATENATE(Liste!$C$3,$B$2261,$B$2319),Data!$BO:$BO,0)-2,63)=""),"Performance Level: "&amp;INDEX(Tab_DaBa[],MATCH(CONCATENATE(Liste!$C$3,$B$2261,$B$2319),Data!$BO:$BO,0)-2,15),IF(INDEX(Tab_DaBa[],MATCH(CONCATENATE(Liste!$C$3,$B$2261,$B$2319),Data!$BO:$BO,0)-2,58)&lt;&gt;"","Performance Level: "&amp;INDEX(Tab_DaBa[],MATCH(CONCATENATE(Liste!$C$3,$B$2261,$B$2319),Data!$BO:$BO,0)-2,65),"")),"")</f>
        <v/>
      </c>
      <c r="G2340" s="39"/>
      <c r="H2340" s="35" t="str">
        <f ca="1">IFERROR(IF(INDEX(Tab_DaBa[],MATCH(CONCATENATE(Liste!$C$3,$B$2261,$B$2319),Data!$BO:$BO,0)-2,63)&lt;&gt;"","Performance Level: "&amp;INDEX(Tab_DaBa[],MATCH(CONCATENATE(Liste!$C$3,$B$2261,$B$2319),Data!$BO:$BO,0)-2,15),""),"")</f>
        <v/>
      </c>
    </row>
    <row r="2341" spans="2:9" s="16" customFormat="1" ht="15.75">
      <c r="B2341" s="35" t="str">
        <f ca="1">IFERROR(IF(AND(INDEX(Tab_DaBa[],MATCH(CONCATENATE(Liste!$C$3,$B$2261,$B$2319),Data!$BO:$BO,0)-2,48)&lt;&gt;"",INDEX(Tab_DaBa[],MATCH(CONCATENATE(Liste!$C$3,$B$2261,$B$2319),Data!$BO:$BO,0)-2,53)=""),"PFH [1/h] = "&amp;10^9*INDEX(Tab_DaBa[],MATCH(CONCATENATE(Liste!$C$3,$B$2261,$B$2319),Data!$BO:$BO,0)-2,16)&amp;"E-9",IF(INDEX(Tab_DaBa[],MATCH(CONCATENATE(Liste!$C$3,$B$2261,$B$2319),Data!$BO:$BO,0)-2,48)&lt;&gt;"","PFH [1/h] = "&amp;10^9*INDEX(Tab_DaBa[],MATCH(CONCATENATE(Liste!$C$3,$B$2261,$B$2319),Data!$BO:$BO,0)-2,56)&amp;"E-9","")),"")</f>
        <v/>
      </c>
      <c r="C2341" s="39"/>
      <c r="D2341" s="35" t="str">
        <f ca="1">IFERROR(IF(AND(INDEX(Tab_DaBa[],MATCH(CONCATENATE(Liste!$C$3,$B$2261,$B$2319),Data!$BO:$BO,0)-2,53)&lt;&gt;"",INDEX(Tab_DaBa[],MATCH(CONCATENATE(Liste!$C$3,$B$2261,$B$2319),Data!$BO:$BO,0)-2,58)=""),"PFH [1/h] = "&amp;10^9*INDEX(Tab_DaBa[],MATCH(CONCATENATE(Liste!$C$3,$B$2261,$B$2319),Data!$BO:$BO,0)-2,16)&amp;"E-9",IF(INDEX(Tab_DaBa[],MATCH(CONCATENATE(Liste!$C$3,$B$2261,$B$2319),Data!$BO:$BO,0)-2,53)&lt;&gt;"","PFH [1/h] = "&amp;10^9*INDEX(Tab_DaBa[],MATCH(CONCATENATE(Liste!$C$3,$B$2261,$B$2319),Data!$BO:$BO,0)-2,61)&amp;"E-9","")),"")</f>
        <v/>
      </c>
      <c r="E2341" s="37"/>
      <c r="F2341" s="35" t="str">
        <f ca="1">IFERROR(IF(AND(INDEX(Tab_DaBa[],MATCH(CONCATENATE(Liste!$C$3,$B$2261,$B$2319),Data!$BO:$BO,0)-2,58)&lt;&gt;"",INDEX(Tab_DaBa[],MATCH(CONCATENATE(Liste!$C$3,$B$2261,$B$2319),Data!$BO:$BO,0)-2,63)=""),"PFH [1/h] = "&amp;10^9*INDEX(Tab_DaBa[],MATCH(CONCATENATE(Liste!$C$3,$B$2261,$B$2319),Data!$BO:$BO,0)-2,16)&amp;"E-9",IF(INDEX(Tab_DaBa[],MATCH(CONCATENATE(Liste!$C$3,$B$2261,$B$2319),Data!$BO:$BO,0)-2,58)&lt;&gt;"","PFH [1/h] = "&amp;10^9*INDEX(Tab_DaBa[],MATCH(CONCATENATE(Liste!$C$3,$B$2261,$B$2319),Data!$BO:$BO,0)-2,66)&amp;"E-9","")),"")</f>
        <v/>
      </c>
      <c r="G2341" s="39"/>
      <c r="H2341" s="35" t="str">
        <f ca="1">IFERROR(IF(INDEX(Tab_DaBa[],MATCH(CONCATENATE(Liste!$C$3,$B$2261,$B$2319),Data!$BO:$BO,0)-2,63)&lt;&gt;"","PFH [1/h] = "&amp;10^9*INDEX(Tab_DaBa[],MATCH(CONCATENATE(Liste!$C$3,$B$2261,$B$2319),Data!$BO:$BO,0)-2,16)&amp;"E-9",""),"")</f>
        <v/>
      </c>
    </row>
    <row r="2342" spans="2:9" s="16" customFormat="1"/>
    <row r="2343" spans="2:9" s="16" customFormat="1">
      <c r="B2343" s="43" t="str">
        <f ca="1">IF(D2343="","","Erforderlich")</f>
        <v>Erforderlich</v>
      </c>
      <c r="D2343" s="44" t="str">
        <f ca="1">IFERROR("Performance Level: "&amp;INDEX(Tab_DaBa[],MATCH(CONCATENATE(Liste!$C$3,$B$2261,$B$2319),Data!$BO:$BO,0)-2,4),"")</f>
        <v>Performance Level: PLr_ges4_3</v>
      </c>
    </row>
    <row r="2344" spans="2:9" s="16" customFormat="1">
      <c r="B2344" s="45"/>
    </row>
    <row r="2345" spans="2:9" s="16" customFormat="1">
      <c r="B2345" s="46" t="str">
        <f ca="1">IF(D2345="","","Erreicht")</f>
        <v>Erreicht</v>
      </c>
      <c r="D2345" s="47" t="str">
        <f ca="1">IFERROR("Performance Level: "&amp;INDEX(Tab_DaBa[],MATCH(CONCATENATE(Liste!$C$3,$B$2261,$B$2319),Data!$BO:$BO,0)-2,5)&amp;"          PFH [1/h] = "&amp;10^9*INDEX(Tab_DaBa[],MATCH(CONCATENATE(Liste!$C$3,$B$2261,$B$2319),Data!$BO:$BO,0)-2,6)&amp;"E-9","")</f>
        <v>Performance Level: Pl_ges4_3          PFH [1/h] = 71,7E-9</v>
      </c>
    </row>
    <row r="2346" spans="2:9" s="16" customFormat="1"/>
    <row r="2347" spans="2:9" s="16" customFormat="1">
      <c r="B2347" s="42" t="str">
        <f ca="1">IFERROR(IF(4&gt;COUNTIF(Data!$BP:$BP,CONCATENATE(Liste!$C$3,$B$2261)),"",INDEX(Tab_DaBa[],MATCH(CONCATENATE(Liste!$C$3,$B$2261),Data!$BP:$BP,0)+1,3)),"")</f>
        <v>9.4 Test09 (E+4L+A)</v>
      </c>
    </row>
    <row r="2348" spans="2:9" s="16" customFormat="1"/>
    <row r="2349" spans="2:9" s="16" customFormat="1" ht="15.75">
      <c r="B2349" s="35" t="str">
        <f ca="1">IFERROR(INDEX(Tab_DaBa[],MATCH(CONCATENATE(Liste!$C$3,$B$2261,$B$2347),Data!$BO:$BO,0)-2,9),"")</f>
        <v>Eingang</v>
      </c>
      <c r="C2349" s="54"/>
      <c r="D2349" s="35" t="str">
        <f ca="1">IFERROR(IF(INDEX(Tab_DaBa[],MATCH(CONCATENATE(Liste!$C$3,$B$2261,$B$2347),Data!$BO:$BO,0)-2,18)=0,INDEX(Tab_DaBa[],MATCH(CONCATENATE(Liste!$C$3,$B$2261,$B$2347),Data!$BO:$BO,0)-2,14),INDEX(Tab_DaBa[],MATCH(CONCATENATE(Liste!$C$3,$B$2261,$B$2347),Data!$BO:$BO,0)-2,19)),"")</f>
        <v>Logik 01</v>
      </c>
      <c r="E2349" s="33"/>
      <c r="F2349" s="35" t="str">
        <f ca="1">IFERROR(IF(AND(INDEX(Tab_DaBa[],MATCH(CONCATENATE(Liste!$C$3,$B$2261,$B$2347),Data!$BO:$BO,0)-2,18)&lt;&gt;"",INDEX(Tab_DaBa[],MATCH(CONCATENATE(Liste!$C$3,$B$2261,$B$2347),Data!$BO:$BO,0)-2,23)=0),INDEX(Tab_DaBa[],MATCH(CONCATENATE(Liste!$C$3,$B$2261,$B$2347),Data!$BO:$BO,0)-2,14),IF(INDEX(Tab_DaBa[],MATCH(CONCATENATE(Liste!$C$3,$B$2261,$B$2347),Data!$BO:$BO,0)-2,23)&lt;&gt;"",INDEX(Tab_DaBa[],MATCH(CONCATENATE(Liste!$C$3,$B$2261,$B$2347),Data!$BO:$BO,0)-2,24),"")),"")</f>
        <v>Logik 02</v>
      </c>
      <c r="G2349" s="39"/>
      <c r="H2349" s="35" t="str">
        <f ca="1">IFERROR(IF(AND(INDEX(Tab_DaBa[],MATCH(CONCATENATE(Liste!$C$3,$B$2261,$B$2347),Data!$BO:$BO,0)-2,23)&lt;&gt;"",INDEX(Tab_DaBa[],MATCH(CONCATENATE(Liste!$C$3,$B$2261,$B$2347),Data!$BO:$BO,0)-2,28)=0),INDEX(Tab_DaBa[],MATCH(CONCATENATE(Liste!$C$3,$B$2261,$B$2347),Data!$BO:$BO,0)-2,14),IF(INDEX(Tab_DaBa[],MATCH(CONCATENATE(Liste!$C$3,$B$2261,$B$2347),Data!$BO:$BO,0)-2,23)&lt;&gt;"",INDEX(Tab_DaBa[],MATCH(CONCATENATE(Liste!$C$3,$B$2261,$B$2347),Data!$BO:$BO,0)-2,29),"")),"")</f>
        <v>Logik 03</v>
      </c>
      <c r="I2349" s="39"/>
    </row>
    <row r="2350" spans="2:9" s="16" customFormat="1" ht="15.75">
      <c r="B2350" s="35" t="str">
        <f ca="1">IFERROR(INDEX(Tab_DaBa[],MATCH(CONCATENATE(Liste!$C$3,$B$2261,$B$2347),Data!$BO:$BO,0)-2,7),"")</f>
        <v>eeee-33_4</v>
      </c>
      <c r="C2350" s="54"/>
      <c r="D2350" s="35" t="str">
        <f ca="1">IFERROR(IF(INDEX(Tab_DaBa[],MATCH(CONCATENATE(Liste!$C$3,$B$2261,$B$2347),Data!$BO:$BO,0)-2,18)="",INDEX(Tab_DaBa[],MATCH(CONCATENATE(Liste!$C$3,$B$2261,$B$2347),Data!$BO:$BO,0)-2,12),INDEX(Tab_DaBa[],MATCH(CONCATENATE(Liste!$C$3,$B$2261,$B$2347),Data!$BO:$BO,0)-2,17)),"")</f>
        <v>Log01-04_04</v>
      </c>
      <c r="E2350" s="36"/>
      <c r="F2350" s="35" t="str">
        <f ca="1">IFERROR(IF(AND(INDEX(Tab_DaBa[],MATCH(CONCATENATE(Liste!$C$3,$B$2261,$B$2347),Data!$BO:$BO,0)-2,18)&lt;&gt;"",INDEX(Tab_DaBa[],MATCH(CONCATENATE(Liste!$C$3,$B$2261,$B$2347),Data!$BO:$BO,0)-2,23)=0),INDEX(Tab_DaBa[],MATCH(CONCATENATE(Liste!$C$3,$B$2261,$B$2347),Data!$BO:$BO,0)-2,12),IF(INDEX(Tab_DaBa[],MATCH(CONCATENATE(Liste!$C$3,$B$2261,$B$2347),Data!$BO:$BO,0)-2,23)&lt;&gt;"",INDEX(Tab_DaBa[],MATCH(CONCATENATE(Liste!$C$3,$B$2261,$B$2347),Data!$BO:$BO,0)-2,22),"")),"")</f>
        <v>Lo04-04_04</v>
      </c>
      <c r="G2350" s="39"/>
      <c r="H2350" s="35" t="str">
        <f ca="1">IFERROR(IF(AND(INDEX(Tab_DaBa[],MATCH(CONCATENATE(Liste!$C$3,$B$2261,$B$2347),Data!$BO:$BO,0)-2,23)&lt;&gt;"",INDEX(Tab_DaBa[],MATCH(CONCATENATE(Liste!$C$3,$B$2261,$B$2347),Data!$BO:$BO,0)-2,28)=0),INDEX(Tab_DaBa[],MATCH(CONCATENATE(Liste!$C$3,$B$2261,$B$2347),Data!$BO:$BO,0)-2,12),IF(INDEX(Tab_DaBa[],MATCH(CONCATENATE(Liste!$C$3,$B$2261,$B$2347),Data!$BO:$BO,0)-2,23)&lt;&gt;"",INDEX(Tab_DaBa[],MATCH(CONCATENATE(Liste!$C$3,$B$2261,$B$2347),Data!$BO:$BO,0)-2,27),"")),"")</f>
        <v>Lo04-44_04</v>
      </c>
      <c r="I2350" s="39"/>
    </row>
    <row r="2351" spans="2:9" s="16" customFormat="1" ht="15.75">
      <c r="B2351" s="35" t="str">
        <f ca="1">IFERROR(INDEX(Tab_DaBa[],MATCH(CONCATENATE(Liste!$C$3,$B$2261,$B$2347),Data!$BO:$BO,0)-2,8),"")</f>
        <v>Bez_Ein4_4</v>
      </c>
      <c r="C2351" s="40">
        <f ca="1">IF(D2349="","",4)</f>
        <v>4</v>
      </c>
      <c r="D2351" s="35" t="str">
        <f ca="1">IFERROR(IF(INDEX(Tab_DaBa[],MATCH(CONCATENATE(Liste!$C$3,$B$2261,$B$2347),Data!$BO:$BO,0)-2,18)="",INDEX(Tab_DaBa[],MATCH(CONCATENATE(Liste!$C$3,$B$2261,$B$2347),Data!$BO:$BO,0)-2,13),INDEX(Tab_DaBa[],MATCH(CONCATENATE(Liste!$C$3,$B$2261,$B$2347),Data!$BO:$BO,0)-2,18)),"")</f>
        <v>Bez_Log01_04_04</v>
      </c>
      <c r="E2351" s="40">
        <f ca="1">IF(F2349="","",4)</f>
        <v>4</v>
      </c>
      <c r="F2351" s="35" t="str">
        <f ca="1">IFERROR(IF(AND(INDEX(Tab_DaBa[],MATCH(CONCATENATE(Liste!$C$3,$B$2261,$B$2347),Data!$BO:$BO,0)-2,18)&lt;&gt;"",INDEX(Tab_DaBa[],MATCH(CONCATENATE(Liste!$C$3,$B$2261,$B$2347),Data!$BO:$BO,0)-2,23)=""),INDEX(Tab_DaBa[],MATCH(CONCATENATE(Liste!$C$3,$B$2261,$B$2347),Data!$BO:$BO,0)-2,13),IF(INDEX(Tab_DaBa[],MATCH(CONCATENATE(Liste!$C$3,$B$2261,$B$2347),Data!$BO:$BO,0)-2,23)&lt;&gt;"",INDEX(Tab_DaBa[],MATCH(CONCATENATE(Liste!$C$3,$B$2261,$B$2347),Data!$BO:$BO,0)-2,23),"")),"")</f>
        <v>Bez_Lo04_04</v>
      </c>
      <c r="G2351" s="38">
        <f ca="1">IF(H2349="","",4)</f>
        <v>4</v>
      </c>
      <c r="H2351" s="35" t="str">
        <f ca="1">IFERROR(IF(AND(INDEX(Tab_DaBa[],MATCH(CONCATENATE(Liste!$C$3,$B$2261,$B$2347),Data!$BO:$BO,0)-2,23)&lt;&gt;"",INDEX(Tab_DaBa[],MATCH(CONCATENATE(Liste!$C$3,$B$2261,$B$2347),Data!$BO:$BO,0)-2,28)=""),INDEX(Tab_DaBa[],MATCH(CONCATENATE(Liste!$C$3,$B$2261,$B$2347),Data!$BO:$BO,0)-2,13),IF(INDEX(Tab_DaBa[],MATCH(CONCATENATE(Liste!$C$3,$B$2261,$B$2347),Data!$BO:$BO,0)-2,23)&lt;&gt;"",INDEX(Tab_DaBa[],MATCH(CONCATENATE(Liste!$C$3,$B$2261,$B$2347),Data!$BO:$BO,0)-2,28),"")),"")</f>
        <v>Bez_Lo04_04</v>
      </c>
      <c r="I2351" s="38">
        <f ca="1">IF(B2357="","",6)</f>
        <v>6</v>
      </c>
    </row>
    <row r="2352" spans="2:9" s="16" customFormat="1" ht="15.75">
      <c r="B2352" s="35" t="str">
        <f ca="1">IFERROR("Performance Level: "&amp;INDEX(Tab_DaBa[],MATCH(CONCATENATE(Liste!$C$3,$B$2261,$B$2347),Data!$BO:$BO,0)-2,10),"")</f>
        <v>Performance Level: PL_Ein4_4</v>
      </c>
      <c r="C2352" s="54"/>
      <c r="D2352" s="35" t="str">
        <f ca="1">IFERROR(IF(INDEX(Tab_DaBa[],MATCH(CONCATENATE(Liste!$C$3,$B$2261,$B$2347),Data!$BO:$BO,0)-2,18)="","Performance Level: "&amp;INDEX(Tab_DaBa[],MATCH(CONCATENATE(Liste!$C$3,$B$2261,$B$2347),Data!$BO:$BO,0)-2,15),"Performance Level: "&amp;INDEX(Tab_DaBa[],MATCH(CONCATENATE(Liste!$C$3,$B$2261,$B$2347),Data!$BO:$BO,0)-2,20)),"")</f>
        <v>Performance Level: PL_Log01_04_04</v>
      </c>
      <c r="E2352" s="36"/>
      <c r="F2352" s="35" t="str">
        <f ca="1">IFERROR(IF(AND(INDEX(Tab_DaBa[],MATCH(CONCATENATE(Liste!$C$3,$B$2261,$B$2347),Data!$BO:$BO,0)-2,18)&lt;&gt;"",INDEX(Tab_DaBa[],MATCH(CONCATENATE(Liste!$C$3,$B$2261,$B$2347),Data!$BO:$BO,0)-2,23)=""),"Performance Level: "&amp;INDEX(Tab_DaBa[],MATCH(CONCATENATE(Liste!$C$3,$B$2261,$B$2347),Data!$BO:$BO,0)-2,15),IF(INDEX(Tab_DaBa[],MATCH(CONCATENATE(Liste!$C$3,$B$2261,$B$2347),Data!$BO:$BO,0)-2,23)&lt;&gt;"","Performance Level: "&amp;INDEX(Tab_DaBa[],MATCH(CONCATENATE(Liste!$C$3,$B$2261,$B$2347),Data!$BO:$BO,0)-2,25),"")),"")</f>
        <v>Performance Level: PL_Lo04_04</v>
      </c>
      <c r="G2352" s="39"/>
      <c r="H2352" s="35" t="str">
        <f ca="1">IFERROR(IF(AND(INDEX(Tab_DaBa[],MATCH(CONCATENATE(Liste!$C$3,$B$2261,$B$2347),Data!$BO:$BO,0)-2,23)&lt;&gt;"",INDEX(Tab_DaBa[],MATCH(CONCATENATE(Liste!$C$3,$B$2261,$B$2347),Data!$BO:$BO,0)-2,28)=""),"Performance Level: "&amp;INDEX(Tab_DaBa[],MATCH(CONCATENATE(Liste!$C$3,$B$2261,$B$2347),Data!$BO:$BO,0)-2,15),IF(INDEX(Tab_DaBa[],MATCH(CONCATENATE(Liste!$C$3,$B$2261,$B$2347),Data!$BO:$BO,0)-2,23)&lt;&gt;"","Performance Level: "&amp;INDEX(Tab_DaBa[],MATCH(CONCATENATE(Liste!$C$3,$B$2261,$B$2347),Data!$BO:$BO,0)-2,30),"")),"")</f>
        <v>Performance Level: PL_Lo04_04</v>
      </c>
      <c r="I2352" s="38"/>
    </row>
    <row r="2353" spans="2:9" s="16" customFormat="1" ht="15.75">
      <c r="B2353" s="53" t="str">
        <f ca="1">IFERROR("PFH [1/h] = "&amp;10^9*INDEX(Tab_DaBa[],MATCH(CONCATENATE(Liste!$C$3,$B$2261,$B$2347),Data!$BO:$BO,0)-2,11)&amp;"E-9","")</f>
        <v>PFH [1/h] = 42,9E-9</v>
      </c>
      <c r="C2353" s="54"/>
      <c r="D2353" s="35" t="str">
        <f ca="1">IFERROR(IF(INDEX(Tab_DaBa[],MATCH(CONCATENATE(Liste!$C$3,$B$2261,$B$2347),Data!$BO:$BO,0)-2,18)="","PFH [1/h] = "&amp;10^9*INDEX(Tab_DaBa[],MATCH(CONCATENATE(Liste!$C$3,$B$2261,$B$2347),Data!$BO:$BO,0)-2,16)&amp;"E-9","PFH [1/h] = "&amp;10^9*INDEX(Tab_DaBa[],MATCH(CONCATENATE(Liste!$C$3,$B$2261,$B$2347),Data!$BO:$BO,0)-2,21)&amp;"E-9"),"")</f>
        <v>PFH [1/h] = 4,19E-9</v>
      </c>
      <c r="E2353" s="36"/>
      <c r="F2353" s="35" t="str">
        <f ca="1">IFERROR(IF(AND(INDEX(Tab_DaBa[],MATCH(CONCATENATE(Liste!$C$3,$B$2261,$B$2347),Data!$BO:$BO,0)-2,18)&lt;&gt;"",INDEX(Tab_DaBa[],MATCH(CONCATENATE(Liste!$C$3,$B$2261,$B$2347),Data!$BO:$BO,0)-2,23)=""),"PFH [1/h] = "&amp;10^9*INDEX(Tab_DaBa[],MATCH(CONCATENATE(Liste!$C$3,$B$2261,$B$2347),Data!$BO:$BO,0)-2,16)&amp;"E-9",IF(INDEX(Tab_DaBa[],MATCH(CONCATENATE(Liste!$C$3,$B$2261,$B$2347),Data!$BO:$BO,0)-2,23)&lt;&gt;"","PFH [1/h] = "&amp;10^9*INDEX(Tab_DaBa[],MATCH(CONCATENATE(Liste!$C$3,$B$2261,$B$2347),Data!$BO:$BO,0)-2,26)&amp;"E-9","")),"")</f>
        <v>PFH [1/h] = 4,19E-9</v>
      </c>
      <c r="G2353" s="39"/>
      <c r="H2353" s="35" t="str">
        <f ca="1">IFERROR(IF(AND(INDEX(Tab_DaBa[],MATCH(CONCATENATE(Liste!$C$3,$B$2261,$B$2347),Data!$BO:$BO,0)-2,23)&lt;&gt;"",INDEX(Tab_DaBa[],MATCH(CONCATENATE(Liste!$C$3,$B$2261,$B$2347),Data!$BO:$BO,0)-2,28)=""),"PFH [1/h] = "&amp;10^9*INDEX(Tab_DaBa[],MATCH(CONCATENATE(Liste!$C$3,$B$2261,$B$2347),Data!$BO:$BO,0)-2,16)&amp;"E-9",IF(INDEX(Tab_DaBa[],MATCH(CONCATENATE(Liste!$C$3,$B$2261,$B$2347),Data!$BO:$BO,0)-2,23)&lt;&gt;"","PFH [1/h] = "&amp;10^9*INDEX(Tab_DaBa[],MATCH(CONCATENATE(Liste!$C$3,$B$2261,$B$2347),Data!$BO:$BO,0)-2,31)&amp;"E-9","")),"")</f>
        <v>PFH [1/h] = 4,19E-9</v>
      </c>
      <c r="I2353" s="39"/>
    </row>
    <row r="2354" spans="2:9" s="16" customFormat="1">
      <c r="B2354" s="33"/>
      <c r="C2354" s="34"/>
      <c r="D2354" s="33"/>
      <c r="E2354" s="33"/>
      <c r="F2354" s="33"/>
      <c r="G2354" s="33"/>
      <c r="H2354" s="33"/>
      <c r="I2354" s="33"/>
    </row>
    <row r="2355" spans="2:9" s="16" customFormat="1" ht="15.75">
      <c r="B2355" s="38">
        <f ca="1">IF(B2357="","",6)</f>
        <v>6</v>
      </c>
      <c r="C2355" s="34"/>
      <c r="D2355" s="38">
        <f ca="1">IF(B2357="","",3)</f>
        <v>3</v>
      </c>
      <c r="E2355" s="33"/>
      <c r="F2355" s="38">
        <f ca="1">IF(B2357="","",3)</f>
        <v>3</v>
      </c>
      <c r="G2355" s="33"/>
      <c r="H2355" s="38">
        <f ca="1">IF(B2357="","",3)</f>
        <v>3</v>
      </c>
      <c r="I2355" s="33"/>
    </row>
    <row r="2356" spans="2:9" s="16" customFormat="1" ht="15.75">
      <c r="B2356" s="39"/>
      <c r="C2356" s="33"/>
      <c r="D2356" s="33"/>
      <c r="E2356" s="33"/>
      <c r="F2356" s="33"/>
      <c r="G2356" s="33"/>
      <c r="H2356" s="33"/>
      <c r="I2356" s="33"/>
    </row>
    <row r="2357" spans="2:9" s="16" customFormat="1" ht="15.75">
      <c r="B2357" s="35" t="str">
        <f ca="1">IFERROR(IF(AND(INDEX(Tab_DaBa[],MATCH(CONCATENATE(Liste!$C$3,$B$2261,$B$2347),Data!$BO:$BO,0)-2,28)&lt;&gt;"",INDEX(Tab_DaBa[],MATCH(CONCATENATE(Liste!$C$3,$B$2261,$B$2347),Data!$BO:$BO,0)-2,33)=0),INDEX(Tab_DaBa[],MATCH(CONCATENATE(Liste!$C$3,$B$2261,$B$2347),Data!$BO:$BO,0)-2,14),IF(INDEX(Tab_DaBa[],MATCH(CONCATENATE(Liste!$C$3,$B$2261,$B$2347),Data!$BO:$BO,0)-2,28)&lt;&gt;"",INDEX(Tab_DaBa[],MATCH(CONCATENATE(Liste!$C$3,$B$2261,$B$2347),Data!$BO:$BO,0)-2,34),"")),"")</f>
        <v>Logik 04</v>
      </c>
      <c r="C2357" s="39"/>
      <c r="D2357" s="35" t="str">
        <f ca="1">IFERROR(IF(AND(INDEX(Tab_DaBa[],MATCH(CONCATENATE(Liste!$C$3,$B$2261,$B$2347),Data!$BO:$BO,0)-2,33)&lt;&gt;"",INDEX(Tab_DaBa[],MATCH(CONCATENATE(Liste!$C$3,$B$2261,$B$2347),Data!$BO:$BO,0)-2,38)=0),INDEX(Tab_DaBa[],MATCH(CONCATENATE(Liste!$C$3,$B$2261,$B$2347),Data!$BO:$BO,0)-2,14),IF(INDEX(Tab_DaBa[],MATCH(CONCATENATE(Liste!$C$3,$B$2261,$B$2347),Data!$BO:$BO,0)-2,33)&lt;&gt;"",INDEX(Tab_DaBa[],MATCH(CONCATENATE(Liste!$C$3,$B$2261,$B$2347),Data!$BO:$BO,0)-2,39),"")),"")</f>
        <v>Ausgang</v>
      </c>
      <c r="E2357" s="33"/>
      <c r="F2357" s="35" t="str">
        <f ca="1">IFERROR(IF(AND(INDEX(Tab_DaBa[],MATCH(CONCATENATE(Liste!$C$3,$B$2261,$B$2347),Data!$BO:$BO,0)-2,38)&lt;&gt;"",INDEX(Tab_DaBa[],MATCH(CONCATENATE(Liste!$C$3,$B$2261,$B$2347),Data!$BO:$BO,0)-2,43)=0),INDEX(Tab_DaBa[],MATCH(CONCATENATE(Liste!$C$3,$B$2261,$B$2347),Data!$BO:$BO,0)-2,14),IF(INDEX(Tab_DaBa[],MATCH(CONCATENATE(Liste!$C$3,$B$2261,$B$2347),Data!$BO:$BO,0)-2,38)&lt;&gt;"",INDEX(Tab_DaBa[],MATCH(CONCATENATE(Liste!$C$3,$B$2261,$B$2347),Data!$BO:$BO,0)-2,44),"")),"")</f>
        <v/>
      </c>
      <c r="G2357" s="39"/>
      <c r="H2357" s="35" t="str">
        <f ca="1">IFERROR(IF(AND(INDEX(Tab_DaBa[],MATCH(CONCATENATE(Liste!$C$3,$B$2261,$B$2347),Data!$BO:$BO,0)-2,43)&lt;&gt;"",INDEX(Tab_DaBa[],MATCH(CONCATENATE(Liste!$C$3,$B$2261,$B$2347),Data!$BO:$BO,0)-2,48)=0),INDEX(Tab_DaBa[],MATCH(CONCATENATE(Liste!$C$3,$B$2261,$B$2347),Data!$BO:$BO,0)-2,14),IF(INDEX(Tab_DaBa[],MATCH(CONCATENATE(Liste!$C$3,$B$2261,$B$2347),Data!$BO:$BO,0)-2,43)&lt;&gt;"",INDEX(Tab_DaBa[],MATCH(CONCATENATE(Liste!$C$3,$B$2261,$B$2347),Data!$BO:$BO,0)-2,49),"")),"")</f>
        <v/>
      </c>
      <c r="I2357" s="39"/>
    </row>
    <row r="2358" spans="2:9" s="16" customFormat="1" ht="15.75">
      <c r="B2358" s="35" t="str">
        <f ca="1">IFERROR(IF(AND(INDEX(Tab_DaBa[],MATCH(CONCATENATE(Liste!$C$3,$B$2261,$B$2347),Data!$BO:$BO,0)-2,28)&lt;&gt;"",INDEX(Tab_DaBa[],MATCH(CONCATENATE(Liste!$C$3,$B$2261,$B$2347),Data!$BO:$BO,0)-2,33)=0),INDEX(Tab_DaBa[],MATCH(CONCATENATE(Liste!$C$3,$B$2261,$B$2347),Data!$BO:$BO,0)-2,12),IF(INDEX(Tab_DaBa[],MATCH(CONCATENATE(Liste!$C$3,$B$2261,$B$2347),Data!$BO:$BO,0)-2,28)&lt;&gt;"",INDEX(Tab_DaBa[],MATCH(CONCATENATE(Liste!$C$3,$B$2261,$B$2347),Data!$BO:$BO,0)-2,32),"")),"")</f>
        <v>Lo04-44_04</v>
      </c>
      <c r="C2358" s="39"/>
      <c r="D2358" s="35" t="str">
        <f ca="1">IFERROR(IF(AND(INDEX(Tab_DaBa[],MATCH(CONCATENATE(Liste!$C$3,$B$2261,$B$2347),Data!$BO:$BO,0)-2,33)&lt;&gt;"",INDEX(Tab_DaBa[],MATCH(CONCATENATE(Liste!$C$3,$B$2261,$B$2347),Data!$BO:$BO,0)-2,38)=0),INDEX(Tab_DaBa[],MATCH(CONCATENATE(Liste!$C$3,$B$2261,$B$2347),Data!$BO:$BO,0)-2,12),IF(INDEX(Tab_DaBa[],MATCH(CONCATENATE(Liste!$C$3,$B$2261,$B$2347),Data!$BO:$BO,0)-2,33)&lt;&gt;"",INDEX(Tab_DaBa[],MATCH(CONCATENATE(Liste!$C$3,$B$2261,$B$2347),Data!$BO:$BO,0)-2,37),"")),"")</f>
        <v>aaaa-44_4</v>
      </c>
      <c r="E2358" s="37"/>
      <c r="F2358" s="35" t="str">
        <f ca="1">IFERROR(IF(AND(INDEX(Tab_DaBa[],MATCH(CONCATENATE(Liste!$C$3,$B$2261,$B$2347),Data!$BO:$BO,0)-2,38)&lt;&gt;"",INDEX(Tab_DaBa[],MATCH(CONCATENATE(Liste!$C$3,$B$2261,$B$2347),Data!$BO:$BO,0)-2,43)=0),INDEX(Tab_DaBa[],MATCH(CONCATENATE(Liste!$C$3,$B$2261,$B$2347),Data!$BO:$BO,0)-2,12),IF(INDEX(Tab_DaBa[],MATCH(CONCATENATE(Liste!$C$3,$B$2261,$B$2347),Data!$BO:$BO,0)-2,38)&lt;&gt;"",INDEX(Tab_DaBa[],MATCH(CONCATENATE(Liste!$C$3,$B$2261,$B$2347),Data!$BO:$BO,0)-2,42),"")),"")</f>
        <v/>
      </c>
      <c r="G2358" s="39"/>
      <c r="H2358" s="35" t="str">
        <f ca="1">IFERROR(IF(AND(INDEX(Tab_DaBa[],MATCH(CONCATENATE(Liste!$C$3,$B$2261,$B$2347),Data!$BO:$BO,0)-2,43)&lt;&gt;"",INDEX(Tab_DaBa[],MATCH(CONCATENATE(Liste!$C$3,$B$2261,$B$2347),Data!$BO:$BO,0)-2,48)=0),INDEX(Tab_DaBa[],MATCH(CONCATENATE(Liste!$C$3,$B$2261,$B$2347),Data!$BO:$BO,0)-2,12),IF(INDEX(Tab_DaBa[],MATCH(CONCATENATE(Liste!$C$3,$B$2261,$B$2347),Data!$BO:$BO,0)-2,43)&lt;&gt;"",INDEX(Tab_DaBa[],MATCH(CONCATENATE(Liste!$C$3,$B$2261,$B$2347),Data!$BO:$BO,0)-2,47),"")),"")</f>
        <v/>
      </c>
      <c r="I2358" s="39"/>
    </row>
    <row r="2359" spans="2:9" s="16" customFormat="1" ht="15.75">
      <c r="B2359" s="35" t="str">
        <f ca="1">IFERROR(IF(AND(INDEX(Tab_DaBa[],MATCH(CONCATENATE(Liste!$C$3,$B$2261,$B$2347),Data!$BO:$BO,0)-2,28)&lt;&gt;"",INDEX(Tab_DaBa[],MATCH(CONCATENATE(Liste!$C$3,$B$2261,$B$2347),Data!$BO:$BO,0)-2,33)=""),INDEX(Tab_DaBa[],MATCH(CONCATENATE(Liste!$C$3,$B$2261,$B$2347),Data!$BO:$BO,0)-2,13),IF(INDEX(Tab_DaBa[],MATCH(CONCATENATE(Liste!$C$3,$B$2261,$B$2347),Data!$BO:$BO,0)-2,28)&lt;&gt;"",INDEX(Tab_DaBa[],MATCH(CONCATENATE(Liste!$C$3,$B$2261,$B$2347),Data!$BO:$BO,0)-2,33),"")),"")</f>
        <v>Bez_Lo04_04</v>
      </c>
      <c r="C2359" s="38">
        <f ca="1">IF(D2357="","",4)</f>
        <v>4</v>
      </c>
      <c r="D2359" s="35" t="str">
        <f ca="1">IFERROR(IF(AND(INDEX(Tab_DaBa[],MATCH(CONCATENATE(Liste!$C$3,$B$2261,$B$2347),Data!$BO:$BO,0)-2,33)&lt;&gt;"",INDEX(Tab_DaBa[],MATCH(CONCATENATE(Liste!$C$3,$B$2261,$B$2347),Data!$BO:$BO,0)-2,38)=""),INDEX(Tab_DaBa[],MATCH(CONCATENATE(Liste!$C$3,$B$2261,$B$2347),Data!$BO:$BO,0)-2,13),IF(INDEX(Tab_DaBa[],MATCH(CONCATENATE(Liste!$C$3,$B$2261,$B$2347),Data!$BO:$BO,0)-2,33)&lt;&gt;"",INDEX(Tab_DaBa[],MATCH(CONCATENATE(Liste!$C$3,$B$2261,$B$2347),Data!$BO:$BO,0)-2,38),"")),"")</f>
        <v>Bez_Aus4_4</v>
      </c>
      <c r="E2359" s="38" t="str">
        <f ca="1">IF(F2357="","",4)</f>
        <v/>
      </c>
      <c r="F2359" s="35" t="str">
        <f ca="1">IFERROR(IF(AND(INDEX(Tab_DaBa[],MATCH(CONCATENATE(Liste!$C$3,$B$2261,$B$2347),Data!$BO:$BO,0)-2,38)&lt;&gt;"",INDEX(Tab_DaBa[],MATCH(CONCATENATE(Liste!$C$3,$B$2261,$B$2347),Data!$BO:$BO,0)-2,43)=""),INDEX(Tab_DaBa[],MATCH(CONCATENATE(Liste!$C$3,$B$2261,$B$2347),Data!$BO:$BO,0)-2,13),IF(INDEX(Tab_DaBa[],MATCH(CONCATENATE(Liste!$C$3,$B$2261,$B$2347),Data!$BO:$BO,0)-2,38)&lt;&gt;"",INDEX(Tab_DaBa[],MATCH(CONCATENATE(Liste!$C$3,$B$2261,$B$2347),Data!$BO:$BO,0)-2,43),"")),"")</f>
        <v/>
      </c>
      <c r="G2359" s="38" t="str">
        <f ca="1">IF(H2357="","",4)</f>
        <v/>
      </c>
      <c r="H2359" s="35" t="str">
        <f ca="1">IFERROR(IF(AND(INDEX(Tab_DaBa[],MATCH(CONCATENATE(Liste!$C$3,$B$2261,$B$2347),Data!$BO:$BO,0)-2,43)&lt;&gt;"",INDEX(Tab_DaBa[],MATCH(CONCATENATE(Liste!$C$3,$B$2261,$B$2347),Data!$BO:$BO,0)-2,48)=""),INDEX(Tab_DaBa[],MATCH(CONCATENATE(Liste!$C$3,$B$2261,$B$2347),Data!$BO:$BO,0)-2,13),IF(INDEX(Tab_DaBa[],MATCH(CONCATENATE(Liste!$C$3,$B$2261,$B$2347),Data!$BO:$BO,0)-2,43)&lt;&gt;"",INDEX(Tab_DaBa[],MATCH(CONCATENATE(Liste!$C$3,$B$2261,$B$2347),Data!$BO:$BO,0)-2,48),"")),"")</f>
        <v/>
      </c>
      <c r="I2359" s="38" t="str">
        <f ca="1">IF(B2365="","",6)</f>
        <v/>
      </c>
    </row>
    <row r="2360" spans="2:9" s="16" customFormat="1" ht="15.75">
      <c r="B2360" s="35" t="str">
        <f ca="1">IFERROR(IF(AND(INDEX(Tab_DaBa[],MATCH(CONCATENATE(Liste!$C$3,$B$2261,$B$2347),Data!$BO:$BO,0)-2,28)&lt;&gt;"",INDEX(Tab_DaBa[],MATCH(CONCATENATE(Liste!$C$3,$B$2261,$B$2347),Data!$BO:$BO,0)-2,33)=""),"Performance Level: "&amp;INDEX(Tab_DaBa[],MATCH(CONCATENATE(Liste!$C$3,$B$2261,$B$2347),Data!$BO:$BO,0)-2,15),IF(INDEX(Tab_DaBa[],MATCH(CONCATENATE(Liste!$C$3,$B$2261,$B$2347),Data!$BO:$BO,0)-2,28)&lt;&gt;"","Performance Level: "&amp;INDEX(Tab_DaBa[],MATCH(CONCATENATE(Liste!$C$3,$B$2261,$B$2347),Data!$BO:$BO,0)-2,35),"")),"")</f>
        <v>Performance Level: PL_Lo04_04</v>
      </c>
      <c r="C2360" s="39"/>
      <c r="D2360" s="35" t="str">
        <f ca="1">IFERROR(IF(AND(INDEX(Tab_DaBa[],MATCH(CONCATENATE(Liste!$C$3,$B$2261,$B$2347),Data!$BO:$BO,0)-2,33)&lt;&gt;"",INDEX(Tab_DaBa[],MATCH(CONCATENATE(Liste!$C$3,$B$2261,$B$2347),Data!$BO:$BO,0)-2,38)=""),"Performance Level: "&amp;INDEX(Tab_DaBa[],MATCH(CONCATENATE(Liste!$C$3,$B$2261,$B$2347),Data!$BO:$BO,0)-2,15),IF(INDEX(Tab_DaBa[],MATCH(CONCATENATE(Liste!$C$3,$B$2261,$B$2347),Data!$BO:$BO,0)-2,33)&lt;&gt;"","Performance Level: "&amp;INDEX(Tab_DaBa[],MATCH(CONCATENATE(Liste!$C$3,$B$2261,$B$2347),Data!$BO:$BO,0)-2,40),"")),"")</f>
        <v>Performance Level: PL_Aus4_4</v>
      </c>
      <c r="E2360" s="37"/>
      <c r="F2360" s="35" t="str">
        <f ca="1">IFERROR(IF(AND(INDEX(Tab_DaBa[],MATCH(CONCATENATE(Liste!$C$3,$B$2261,$B$2347),Data!$BO:$BO,0)-2,38)&lt;&gt;"",INDEX(Tab_DaBa[],MATCH(CONCATENATE(Liste!$C$3,$B$2261,$B$2347),Data!$BO:$BO,0)-2,43)=""),"Performance Level: "&amp;INDEX(Tab_DaBa[],MATCH(CONCATENATE(Liste!$C$3,$B$2261,$B$2347),Data!$BO:$BO,0)-2,15),IF(INDEX(Tab_DaBa[],MATCH(CONCATENATE(Liste!$C$3,$B$2261,$B$2347),Data!$BO:$BO,0)-2,38)&lt;&gt;"","Performance Level: "&amp;INDEX(Tab_DaBa[],MATCH(CONCATENATE(Liste!$C$3,$B$2261,$B$2347),Data!$BO:$BO,0)-2,45),"")),"")</f>
        <v/>
      </c>
      <c r="G2360" s="39"/>
      <c r="H2360" s="35" t="str">
        <f ca="1">IFERROR(IF(AND(INDEX(Tab_DaBa[],MATCH(CONCATENATE(Liste!$C$3,$B$2261,$B$2347),Data!$BO:$BO,0)-2,43)&lt;&gt;"",INDEX(Tab_DaBa[],MATCH(CONCATENATE(Liste!$C$3,$B$2261,$B$2347),Data!$BO:$BO,0)-2,48)=""),"Performance Level: "&amp;INDEX(Tab_DaBa[],MATCH(CONCATENATE(Liste!$C$3,$B$2261,$B$2347),Data!$BO:$BO,0)-2,15),IF(INDEX(Tab_DaBa[],MATCH(CONCATENATE(Liste!$C$3,$B$2261,$B$2347),Data!$BO:$BO,0)-2,43)&lt;&gt;"","Performance Level: "&amp;INDEX(Tab_DaBa[],MATCH(CONCATENATE(Liste!$C$3,$B$2261,$B$2347),Data!$BO:$BO,0)-2,50),"")),"")</f>
        <v/>
      </c>
      <c r="I2360" s="39"/>
    </row>
    <row r="2361" spans="2:9" s="16" customFormat="1" ht="15.75">
      <c r="B2361" s="35" t="str">
        <f ca="1">IFERROR(IF(AND(INDEX(Tab_DaBa[],MATCH(CONCATENATE(Liste!$C$3,$B$2261,$B$2347),Data!$BO:$BO,0)-2,28)&lt;&gt;"",INDEX(Tab_DaBa[],MATCH(CONCATENATE(Liste!$C$3,$B$2261,$B$2347),Data!$BO:$BO,0)-2,33)=""),"PFH [1/h] = "&amp;10^9*INDEX(Tab_DaBa[],MATCH(CONCATENATE(Liste!$C$3,$B$2261,$B$2347),Data!$BO:$BO,0)-2,16)&amp;"E-9",IF(INDEX(Tab_DaBa[],MATCH(CONCATENATE(Liste!$C$3,$B$2261,$B$2347),Data!$BO:$BO,0)-2,28)&lt;&gt;"","PFH [1/h] = "&amp;10^9*INDEX(Tab_DaBa[],MATCH(CONCATENATE(Liste!$C$3,$B$2261,$B$2347),Data!$BO:$BO,0)-2,36)&amp;"E-9","")),"")</f>
        <v>PFH [1/h] = 4,19E-9</v>
      </c>
      <c r="C2361" s="39"/>
      <c r="D2361" s="35" t="str">
        <f ca="1">IFERROR(IF(AND(INDEX(Tab_DaBa[],MATCH(CONCATENATE(Liste!$C$3,$B$2261,$B$2347),Data!$BO:$BO,0)-2,33)&lt;&gt;"",INDEX(Tab_DaBa[],MATCH(CONCATENATE(Liste!$C$3,$B$2261,$B$2347),Data!$BO:$BO,0)-2,38)=""),"PFH [1/h] = "&amp;10^9*INDEX(Tab_DaBa[],MATCH(CONCATENATE(Liste!$C$3,$B$2261,$B$2347),Data!$BO:$BO,0)-2,16)&amp;"E-9",IF(INDEX(Tab_DaBa[],MATCH(CONCATENATE(Liste!$C$3,$B$2261,$B$2347),Data!$BO:$BO,0)-2,33)&lt;&gt;"","PFH [1/h] = "&amp;10^9*INDEX(Tab_DaBa[],MATCH(CONCATENATE(Liste!$C$3,$B$2261,$B$2347),Data!$BO:$BO,0)-2,41)&amp;"E-9","")),"")</f>
        <v>PFH [1/h] = 24,7E-9</v>
      </c>
      <c r="E2361" s="37"/>
      <c r="F2361" s="35" t="str">
        <f ca="1">IFERROR(IF(AND(INDEX(Tab_DaBa[],MATCH(CONCATENATE(Liste!$C$3,$B$2261,$B$2347),Data!$BO:$BO,0)-2,38)&lt;&gt;"",INDEX(Tab_DaBa[],MATCH(CONCATENATE(Liste!$C$3,$B$2261,$B$2347),Data!$BO:$BO,0)-2,43)=""),"PFH [1/h] = "&amp;10^9*INDEX(Tab_DaBa[],MATCH(CONCATENATE(Liste!$C$3,$B$2261,$B$2347),Data!$BO:$BO,0)-2,16)&amp;"E-9",IF(INDEX(Tab_DaBa[],MATCH(CONCATENATE(Liste!$C$3,$B$2261,$B$2347),Data!$BO:$BO,0)-2,38)&lt;&gt;"","PFH [1/h] = "&amp;10^9*INDEX(Tab_DaBa[],MATCH(CONCATENATE(Liste!$C$3,$B$2261,$B$2347),Data!$BO:$BO,0)-2,46)&amp;"E-9","")),"")</f>
        <v/>
      </c>
      <c r="G2361" s="39"/>
      <c r="H2361" s="35" t="str">
        <f ca="1">IFERROR(IF(AND(INDEX(Tab_DaBa[],MATCH(CONCATENATE(Liste!$C$3,$B$2261,$B$2347),Data!$BO:$BO,0)-2,43)&lt;&gt;"",INDEX(Tab_DaBa[],MATCH(CONCATENATE(Liste!$C$3,$B$2261,$B$2347),Data!$BO:$BO,0)-2,48)=""),"PFH [1/h] = "&amp;10^9*INDEX(Tab_DaBa[],MATCH(CONCATENATE(Liste!$C$3,$B$2261,$B$2347),Data!$BO:$BO,0)-2,16)&amp;"E-9",IF(INDEX(Tab_DaBa[],MATCH(CONCATENATE(Liste!$C$3,$B$2261,$B$2347),Data!$BO:$BO,0)-2,43)&lt;&gt;"","PFH [1/h] = "&amp;10^9*INDEX(Tab_DaBa[],MATCH(CONCATENATE(Liste!$C$3,$B$2261,$B$2347),Data!$BO:$BO,0)-2,51)&amp;"E-9","")),"")</f>
        <v/>
      </c>
      <c r="I2361" s="39"/>
    </row>
    <row r="2362" spans="2:9" s="16" customFormat="1">
      <c r="B2362" s="33"/>
      <c r="C2362" s="33"/>
      <c r="D2362" s="33"/>
      <c r="E2362" s="33"/>
      <c r="F2362" s="33"/>
      <c r="G2362" s="33"/>
      <c r="H2362" s="33"/>
      <c r="I2362" s="33"/>
    </row>
    <row r="2363" spans="2:9" s="16" customFormat="1" ht="15.75">
      <c r="B2363" s="38" t="str">
        <f ca="1">IF(B2365="","",6)</f>
        <v/>
      </c>
      <c r="C2363" s="33"/>
      <c r="D2363" s="38" t="str">
        <f ca="1">IF(B2365="","",3)</f>
        <v/>
      </c>
      <c r="E2363" s="33"/>
      <c r="F2363" s="38" t="str">
        <f ca="1">IF(B2365="","",3)</f>
        <v/>
      </c>
      <c r="G2363" s="33"/>
      <c r="H2363" s="38" t="str">
        <f ca="1">IF(B2365="","",3)</f>
        <v/>
      </c>
      <c r="I2363" s="33"/>
    </row>
    <row r="2364" spans="2:9" s="16" customFormat="1" ht="15.75">
      <c r="B2364" s="39"/>
      <c r="C2364" s="33"/>
      <c r="D2364" s="33"/>
      <c r="E2364" s="33"/>
      <c r="F2364" s="33"/>
      <c r="G2364" s="33"/>
      <c r="H2364" s="33"/>
      <c r="I2364" s="33"/>
    </row>
    <row r="2365" spans="2:9" s="16" customFormat="1" ht="15.75">
      <c r="B2365" s="35" t="str">
        <f ca="1">IFERROR(IF(AND(INDEX(Tab_DaBa[],MATCH(CONCATENATE(Liste!$C$3,$B$2261,$B$2347),Data!$BO:$BO,0)-2,48)&lt;&gt;"",INDEX(Tab_DaBa[],MATCH(CONCATENATE(Liste!$C$3,$B$2261,$B$2347),Data!$BO:$BO,0)-2,53)=0),INDEX(Tab_DaBa[],MATCH(CONCATENATE(Liste!$C$3,$B$2261,$B$2347),Data!$BO:$BO,0)-2,14),IF(INDEX(Tab_DaBa[],MATCH(CONCATENATE(Liste!$C$3,$B$2261,$B$2347),Data!$BO:$BO,0)-2,48)&lt;&gt;"",INDEX(Tab_DaBa[],MATCH(CONCATENATE(Liste!$C$3,$B$2261,$B$2347),Data!$BO:$BO,0)-2,54),"")),"")</f>
        <v/>
      </c>
      <c r="C2365" s="39"/>
      <c r="D2365" s="35" t="str">
        <f ca="1">IFERROR(IF(AND(INDEX(Tab_DaBa[],MATCH(CONCATENATE(Liste!$C$3,$B$2261,$B$2347),Data!$BO:$BO,0)-2,53)&lt;&gt;"",INDEX(Tab_DaBa[],MATCH(CONCATENATE(Liste!$C$3,$B$2261,$B$2347),Data!$BO:$BO,0)-2,58)=0),INDEX(Tab_DaBa[],MATCH(CONCATENATE(Liste!$C$3,$B$2261,$B$2347),Data!$BO:$BO,0)-2,14),IF(INDEX(Tab_DaBa[],MATCH(CONCATENATE(Liste!$C$3,$B$2261,$B$2347),Data!$BO:$BO,0)-2,53)&lt;&gt;"",INDEX(Tab_DaBa[],MATCH(CONCATENATE(Liste!$C$3,$B$2261,$B$2347),Data!$BO:$BO,0)-2,59),"")),"")</f>
        <v/>
      </c>
      <c r="E2365" s="33"/>
      <c r="F2365" s="35" t="str">
        <f ca="1">IFERROR(IF(AND(INDEX(Tab_DaBa[],MATCH(CONCATENATE(Liste!$C$3,$B$2261,$B$2347),Data!$BO:$BO,0)-2,58)&lt;&gt;"",INDEX(Tab_DaBa[],MATCH(CONCATENATE(Liste!$C$3,$B$2261,$B$2347),Data!$BO:$BO,0)-2,63)=0),INDEX(Tab_DaBa[],MATCH(CONCATENATE(Liste!$C$3,$B$2261,$B$2347),Data!$BO:$BO,0)-2,14),IF(INDEX(Tab_DaBa[],MATCH(CONCATENATE(Liste!$C$3,$B$2261,$B$2347),Data!$BO:$BO,0)-2,58)&lt;&gt;"",INDEX(Tab_DaBa[],MATCH(CONCATENATE(Liste!$C$3,$B$2261,$B$2347),Data!$BO:$BO,0)-2,64),"")),"")</f>
        <v/>
      </c>
      <c r="G2365" s="39"/>
      <c r="H2365" s="35" t="str">
        <f ca="1">IFERROR(IF(INDEX(Tab_DaBa[],MATCH(CONCATENATE(Liste!$C$3,$B$2261,$B$2347),Data!$BO:$BO,0)-2,63)&lt;&gt;"",INDEX(Tab_DaBa[],MATCH(CONCATENATE(Liste!$C$3,$B$2261,$B$2347),Data!$BO:$BO,0)-2,14),""),"")</f>
        <v/>
      </c>
    </row>
    <row r="2366" spans="2:9" s="16" customFormat="1" ht="15.75">
      <c r="B2366" s="35" t="str">
        <f ca="1">IFERROR(IF(AND(INDEX(Tab_DaBa[],MATCH(CONCATENATE(Liste!$C$3,$B$2261,$B$2347),Data!$BO:$BO,0)-2,48)&lt;&gt;"",INDEX(Tab_DaBa[],MATCH(CONCATENATE(Liste!$C$3,$B$2261,$B$2347),Data!$BO:$BO,0)-2,53)=0),INDEX(Tab_DaBa[],MATCH(CONCATENATE(Liste!$C$3,$B$2261,$B$2347),Data!$BO:$BO,0)-2,12),IF(INDEX(Tab_DaBa[],MATCH(CONCATENATE(Liste!$C$3,$B$2261,$B$2347),Data!$BO:$BO,0)-2,48)&lt;&gt;"",INDEX(Tab_DaBa[],MATCH(CONCATENATE(Liste!$C$3,$B$2261,$B$2347),Data!$BO:$BO,0)-2,52),"")),"")</f>
        <v/>
      </c>
      <c r="C2366" s="39"/>
      <c r="D2366" s="35" t="str">
        <f ca="1">IFERROR(IF(AND(INDEX(Tab_DaBa[],MATCH(CONCATENATE(Liste!$C$3,$B$2261,$B$2347),Data!$BO:$BO,0)-2,53)&lt;&gt;"",INDEX(Tab_DaBa[],MATCH(CONCATENATE(Liste!$C$3,$B$2261,$B$2347),Data!$BO:$BO,0)-2,58)=0),INDEX(Tab_DaBa[],MATCH(CONCATENATE(Liste!$C$3,$B$2261,$B$2347),Data!$BO:$BO,0)-2,12),IF(INDEX(Tab_DaBa[],MATCH(CONCATENATE(Liste!$C$3,$B$2261,$B$2347),Data!$BO:$BO,0)-2,53)&lt;&gt;"",INDEX(Tab_DaBa[],MATCH(CONCATENATE(Liste!$C$3,$B$2261,$B$2347),Data!$BO:$BO,0)-2,57),"")),"")</f>
        <v/>
      </c>
      <c r="E2366" s="37"/>
      <c r="F2366" s="35" t="str">
        <f ca="1">IFERROR(IF(AND(INDEX(Tab_DaBa[],MATCH(CONCATENATE(Liste!$C$3,$B$2261,$B$2347),Data!$BO:$BO,0)-2,58)&lt;&gt;"",INDEX(Tab_DaBa[],MATCH(CONCATENATE(Liste!$C$3,$B$2261,$B$2347),Data!$BO:$BO,0)-2,63)=0),INDEX(Tab_DaBa[],MATCH(CONCATENATE(Liste!$C$3,$B$2261,$B$2347),Data!$BO:$BO,0)-2,12),IF(INDEX(Tab_DaBa[],MATCH(CONCATENATE(Liste!$C$3,$B$2261,$B$2347),Data!$BO:$BO,0)-2,58)&lt;&gt;"",INDEX(Tab_DaBa[],MATCH(CONCATENATE(Liste!$C$3,$B$2261,$B$2347),Data!$BO:$BO,0)-2,62),"")),"")</f>
        <v/>
      </c>
      <c r="G2366" s="39"/>
      <c r="H2366" s="35" t="str">
        <f ca="1">IFERROR(IF(INDEX(Tab_DaBa[],MATCH(CONCATENATE(Liste!$C$3,$B$2261,$B$2347),Data!$BO:$BO,0)-2,63)&lt;&gt;"",INDEX(Tab_DaBa[],MATCH(CONCATENATE(Liste!$C$3,$B$2261,$B$2347),Data!$BO:$BO,0)-2,12),""),"")</f>
        <v/>
      </c>
    </row>
    <row r="2367" spans="2:9" s="16" customFormat="1" ht="15.75">
      <c r="B2367" s="35" t="str">
        <f ca="1">IFERROR(IF(AND(INDEX(Tab_DaBa[],MATCH(CONCATENATE(Liste!$C$3,$B$2261,$B$2347),Data!$BO:$BO,0)-2,48)&lt;&gt;"",INDEX(Tab_DaBa[],MATCH(CONCATENATE(Liste!$C$3,$B$2261,$B$2347),Data!$BO:$BO,0)-2,53)=""),INDEX(Tab_DaBa[],MATCH(CONCATENATE(Liste!$C$3,$B$2261,$B$2347),Data!$BO:$BO,0)-2,13),IF(INDEX(Tab_DaBa[],MATCH(CONCATENATE(Liste!$C$3,$B$2261,$B$2347),Data!$BO:$BO,0)-2,48)&lt;&gt;"",INDEX(Tab_DaBa[],MATCH(CONCATENATE(Liste!$C$3,$B$2261,$B$2347),Data!$BO:$BO,0)-2,53),"")),"")</f>
        <v/>
      </c>
      <c r="C2367" s="38" t="str">
        <f ca="1">IF(D2365="","",4)</f>
        <v/>
      </c>
      <c r="D2367" s="35" t="str">
        <f ca="1">IFERROR(IF(AND(INDEX(Tab_DaBa[],MATCH(CONCATENATE(Liste!$C$3,$B$2261,$B$2347),Data!$BO:$BO,0)-2,53)&lt;&gt;"",INDEX(Tab_DaBa[],MATCH(CONCATENATE(Liste!$C$3,$B$2261,$B$2347),Data!$BO:$BO,0)-2,58)=""),INDEX(Tab_DaBa[],MATCH(CONCATENATE(Liste!$C$3,$B$2261,$B$2347),Data!$BO:$BO,0)-2,13),IF(INDEX(Tab_DaBa[],MATCH(CONCATENATE(Liste!$C$3,$B$2261,$B$2347),Data!$BO:$BO,0)-2,53)&lt;&gt;"",INDEX(Tab_DaBa[],MATCH(CONCATENATE(Liste!$C$3,$B$2261,$B$2347),Data!$BO:$BO,0)-2,58),"")),"")</f>
        <v/>
      </c>
      <c r="E2367" s="38" t="str">
        <f ca="1">IF(F2365="","",4)</f>
        <v/>
      </c>
      <c r="F2367" s="35" t="str">
        <f ca="1">IFERROR(IF(AND(INDEX(Tab_DaBa[],MATCH(CONCATENATE(Liste!$C$3,$B$2261,$B$2347),Data!$BO:$BO,0)-2,58)&lt;&gt;"",INDEX(Tab_DaBa[],MATCH(CONCATENATE(Liste!$C$3,$B$2261,$B$2347),Data!$BO:$BO,0)-2,63)=""),INDEX(Tab_DaBa[],MATCH(CONCATENATE(Liste!$C$3,$B$2261,$B$2347),Data!$BO:$BO,0)-2,13),IF(INDEX(Tab_DaBa[],MATCH(CONCATENATE(Liste!$C$3,$B$2261,$B$2347),Data!$BO:$BO,0)-2,58)&lt;&gt;"",INDEX(Tab_DaBa[],MATCH(CONCATENATE(Liste!$C$3,$B$2261,$B$2347),Data!$BO:$BO,0)-2,63),"")),"")</f>
        <v/>
      </c>
      <c r="G2367" s="38" t="str">
        <f ca="1">IF(H2365="","",4)</f>
        <v/>
      </c>
      <c r="H2367" s="35" t="str">
        <f ca="1">IFERROR(IF(INDEX(Tab_DaBa[],MATCH(CONCATENATE(Liste!$C$3,$B$2261,$B$2347),Data!$BO:$BO,0)-2,63)&lt;&gt;"",INDEX(Tab_DaBa[],MATCH(CONCATENATE(Liste!$C$3,$B$2261,$B$2347),Data!$BO:$BO,0)-2,13),""),"")</f>
        <v/>
      </c>
    </row>
    <row r="2368" spans="2:9" s="16" customFormat="1" ht="15.75">
      <c r="B2368" s="35" t="str">
        <f ca="1">IFERROR(IF(AND(INDEX(Tab_DaBa[],MATCH(CONCATENATE(Liste!$C$3,$B$2261,$B$2347),Data!$BO:$BO,0)-2,48)&lt;&gt;"",INDEX(Tab_DaBa[],MATCH(CONCATENATE(Liste!$C$3,$B$2261,$B$2347),Data!$BO:$BO,0)-2,53)=""),"Performance Level: "&amp;INDEX(Tab_DaBa[],MATCH(CONCATENATE(Liste!$C$3,$B$2261,$B$2347),Data!$BO:$BO,0)-2,15),IF(INDEX(Tab_DaBa[],MATCH(CONCATENATE(Liste!$C$3,$B$2261,$B$2347),Data!$BO:$BO,0)-2,48)&lt;&gt;"","Performance Level: "&amp;INDEX(Tab_DaBa[],MATCH(CONCATENATE(Liste!$C$3,$B$2261,$B$2347),Data!$BO:$BO,0)-2,55),"")),"")</f>
        <v/>
      </c>
      <c r="C2368" s="39"/>
      <c r="D2368" s="35" t="str">
        <f ca="1">IFERROR(IF(AND(INDEX(Tab_DaBa[],MATCH(CONCATENATE(Liste!$C$3,$B$2261,$B$2347),Data!$BO:$BO,0)-2,53)&lt;&gt;"",INDEX(Tab_DaBa[],MATCH(CONCATENATE(Liste!$C$3,$B$2261,$B$2347),Data!$BO:$BO,0)-2,58)=""),"Performance Level: "&amp;INDEX(Tab_DaBa[],MATCH(CONCATENATE(Liste!$C$3,$B$2261,$B$2347),Data!$BO:$BO,0)-2,15),IF(INDEX(Tab_DaBa[],MATCH(CONCATENATE(Liste!$C$3,$B$2261,$B$2347),Data!$BO:$BO,0)-2,53)&lt;&gt;"","Performance Level: "&amp;INDEX(Tab_DaBa[],MATCH(CONCATENATE(Liste!$C$3,$B$2261,$B$2347),Data!$BO:$BO,0)-2,60),"")),"")</f>
        <v/>
      </c>
      <c r="E2368" s="37"/>
      <c r="F2368" s="35" t="str">
        <f ca="1">IFERROR(IF(AND(INDEX(Tab_DaBa[],MATCH(CONCATENATE(Liste!$C$3,$B$2261,$B$2347),Data!$BO:$BO,0)-2,58)&lt;&gt;"",INDEX(Tab_DaBa[],MATCH(CONCATENATE(Liste!$C$3,$B$2261,$B$2347),Data!$BO:$BO,0)-2,63)=""),"Performance Level: "&amp;INDEX(Tab_DaBa[],MATCH(CONCATENATE(Liste!$C$3,$B$2261,$B$2347),Data!$BO:$BO,0)-2,15),IF(INDEX(Tab_DaBa[],MATCH(CONCATENATE(Liste!$C$3,$B$2261,$B$2347),Data!$BO:$BO,0)-2,58)&lt;&gt;"","Performance Level: "&amp;INDEX(Tab_DaBa[],MATCH(CONCATENATE(Liste!$C$3,$B$2261,$B$2347),Data!$BO:$BO,0)-2,65),"")),"")</f>
        <v/>
      </c>
      <c r="G2368" s="39"/>
      <c r="H2368" s="35" t="str">
        <f ca="1">IFERROR(IF(INDEX(Tab_DaBa[],MATCH(CONCATENATE(Liste!$C$3,$B$2261,$B$2347),Data!$BO:$BO,0)-2,63)&lt;&gt;"","Performance Level: "&amp;INDEX(Tab_DaBa[],MATCH(CONCATENATE(Liste!$C$3,$B$2261,$B$2347),Data!$BO:$BO,0)-2,15),""),"")</f>
        <v/>
      </c>
    </row>
    <row r="2369" spans="2:9" s="16" customFormat="1" ht="15.75">
      <c r="B2369" s="35" t="str">
        <f ca="1">IFERROR(IF(AND(INDEX(Tab_DaBa[],MATCH(CONCATENATE(Liste!$C$3,$B$2261,$B$2347),Data!$BO:$BO,0)-2,48)&lt;&gt;"",INDEX(Tab_DaBa[],MATCH(CONCATENATE(Liste!$C$3,$B$2261,$B$2347),Data!$BO:$BO,0)-2,53)=""),"PFH [1/h] = "&amp;10^9*INDEX(Tab_DaBa[],MATCH(CONCATENATE(Liste!$C$3,$B$2261,$B$2347),Data!$BO:$BO,0)-2,16)&amp;"E-9",IF(INDEX(Tab_DaBa[],MATCH(CONCATENATE(Liste!$C$3,$B$2261,$B$2347),Data!$BO:$BO,0)-2,48)&lt;&gt;"","PFH [1/h] = "&amp;10^9*INDEX(Tab_DaBa[],MATCH(CONCATENATE(Liste!$C$3,$B$2261,$B$2347),Data!$BO:$BO,0)-2,56)&amp;"E-9","")),"")</f>
        <v/>
      </c>
      <c r="C2369" s="39"/>
      <c r="D2369" s="35" t="str">
        <f ca="1">IFERROR(IF(AND(INDEX(Tab_DaBa[],MATCH(CONCATENATE(Liste!$C$3,$B$2261,$B$2347),Data!$BO:$BO,0)-2,53)&lt;&gt;"",INDEX(Tab_DaBa[],MATCH(CONCATENATE(Liste!$C$3,$B$2261,$B$2347),Data!$BO:$BO,0)-2,58)=""),"PFH [1/h] = "&amp;10^9*INDEX(Tab_DaBa[],MATCH(CONCATENATE(Liste!$C$3,$B$2261,$B$2347),Data!$BO:$BO,0)-2,16)&amp;"E-9",IF(INDEX(Tab_DaBa[],MATCH(CONCATENATE(Liste!$C$3,$B$2261,$B$2347),Data!$BO:$BO,0)-2,53)&lt;&gt;"","PFH [1/h] = "&amp;10^9*INDEX(Tab_DaBa[],MATCH(CONCATENATE(Liste!$C$3,$B$2261,$B$2347),Data!$BO:$BO,0)-2,61)&amp;"E-9","")),"")</f>
        <v/>
      </c>
      <c r="E2369" s="37"/>
      <c r="F2369" s="35" t="str">
        <f ca="1">IFERROR(IF(AND(INDEX(Tab_DaBa[],MATCH(CONCATENATE(Liste!$C$3,$B$2261,$B$2347),Data!$BO:$BO,0)-2,58)&lt;&gt;"",INDEX(Tab_DaBa[],MATCH(CONCATENATE(Liste!$C$3,$B$2261,$B$2347),Data!$BO:$BO,0)-2,63)=""),"PFH [1/h] = "&amp;10^9*INDEX(Tab_DaBa[],MATCH(CONCATENATE(Liste!$C$3,$B$2261,$B$2347),Data!$BO:$BO,0)-2,16)&amp;"E-9",IF(INDEX(Tab_DaBa[],MATCH(CONCATENATE(Liste!$C$3,$B$2261,$B$2347),Data!$BO:$BO,0)-2,58)&lt;&gt;"","PFH [1/h] = "&amp;10^9*INDEX(Tab_DaBa[],MATCH(CONCATENATE(Liste!$C$3,$B$2261,$B$2347),Data!$BO:$BO,0)-2,66)&amp;"E-9","")),"")</f>
        <v/>
      </c>
      <c r="G2369" s="39"/>
      <c r="H2369" s="35" t="str">
        <f ca="1">IFERROR(IF(INDEX(Tab_DaBa[],MATCH(CONCATENATE(Liste!$C$3,$B$2261,$B$2347),Data!$BO:$BO,0)-2,63)&lt;&gt;"","PFH [1/h] = "&amp;10^9*INDEX(Tab_DaBa[],MATCH(CONCATENATE(Liste!$C$3,$B$2261,$B$2347),Data!$BO:$BO,0)-2,16)&amp;"E-9",""),"")</f>
        <v/>
      </c>
    </row>
    <row r="2370" spans="2:9" s="16" customFormat="1"/>
    <row r="2371" spans="2:9" s="16" customFormat="1">
      <c r="B2371" s="43" t="str">
        <f ca="1">IF(D2371="","","Erforderlich")</f>
        <v>Erforderlich</v>
      </c>
      <c r="D2371" s="44" t="str">
        <f ca="1">IFERROR("Performance Level: "&amp;INDEX(Tab_DaBa[],MATCH(CONCATENATE(Liste!$C$3,$B$2261,$B$2347),Data!$BO:$BO,0)-2,4),"")</f>
        <v>Performance Level: PLr_ges4_4</v>
      </c>
    </row>
    <row r="2372" spans="2:9" s="16" customFormat="1">
      <c r="B2372" s="45"/>
    </row>
    <row r="2373" spans="2:9" s="16" customFormat="1">
      <c r="B2373" s="46" t="str">
        <f ca="1">IF(D2373="","","Erreicht")</f>
        <v>Erreicht</v>
      </c>
      <c r="D2373" s="47" t="str">
        <f ca="1">IFERROR("Performance Level: "&amp;INDEX(Tab_DaBa[],MATCH(CONCATENATE(Liste!$C$3,$B$2261,$B$2347),Data!$BO:$BO,0)-2,5)&amp;"          PFH [1/h] = "&amp;10^9*INDEX(Tab_DaBa[],MATCH(CONCATENATE(Liste!$C$3,$B$2261,$B$2347),Data!$BO:$BO,0)-2,6)&amp;"E-9","")</f>
        <v>Performance Level: Pl_ges4_4          PFH [1/h] = 71,7E-9</v>
      </c>
    </row>
    <row r="2374" spans="2:9" s="16" customFormat="1"/>
    <row r="2375" spans="2:9" s="16" customFormat="1">
      <c r="B2375" s="42" t="str">
        <f ca="1">IFERROR(IF(5&gt;COUNTIF(Data!$BP:$BP,CONCATENATE(Liste!$C$3,$B$2261)),"",INDEX(Tab_DaBa[],MATCH(CONCATENATE(Liste!$C$3,$B$2261),Data!$BP:$BP,0)+2,3)),"")</f>
        <v>9.5 Test09 (E+5L+A)</v>
      </c>
    </row>
    <row r="2376" spans="2:9" s="16" customFormat="1"/>
    <row r="2377" spans="2:9" s="16" customFormat="1" ht="15.75">
      <c r="B2377" s="35" t="str">
        <f ca="1">IFERROR(INDEX(Tab_DaBa[],MATCH(CONCATENATE(Liste!$C$3,$B$2261,$B$2375),Data!$BO:$BO,0)-2,9),"")</f>
        <v>Eingang</v>
      </c>
      <c r="C2377" s="54"/>
      <c r="D2377" s="35" t="str">
        <f ca="1">IFERROR(IF(INDEX(Tab_DaBa[],MATCH(CONCATENATE(Liste!$C$3,$B$2261,$B$2375),Data!$BO:$BO,0)-2,18)=0,INDEX(Tab_DaBa[],MATCH(CONCATENATE(Liste!$C$3,$B$2261,$B$2375),Data!$BO:$BO,0)-2,14),INDEX(Tab_DaBa[],MATCH(CONCATENATE(Liste!$C$3,$B$2261,$B$2375),Data!$BO:$BO,0)-2,19)),"")</f>
        <v>Logik 01</v>
      </c>
      <c r="E2377" s="33"/>
      <c r="F2377" s="35" t="str">
        <f ca="1">IFERROR(IF(AND(INDEX(Tab_DaBa[],MATCH(CONCATENATE(Liste!$C$3,$B$2261,$B$2375),Data!$BO:$BO,0)-2,18)&lt;&gt;"",INDEX(Tab_DaBa[],MATCH(CONCATENATE(Liste!$C$3,$B$2261,$B$2375),Data!$BO:$BO,0)-2,23)=0),INDEX(Tab_DaBa[],MATCH(CONCATENATE(Liste!$C$3,$B$2261,$B$2375),Data!$BO:$BO,0)-2,14),IF(INDEX(Tab_DaBa[],MATCH(CONCATENATE(Liste!$C$3,$B$2261,$B$2375),Data!$BO:$BO,0)-2,23)&lt;&gt;"",INDEX(Tab_DaBa[],MATCH(CONCATENATE(Liste!$C$3,$B$2261,$B$2375),Data!$BO:$BO,0)-2,24),"")),"")</f>
        <v>Logik 02</v>
      </c>
      <c r="G2377" s="39"/>
      <c r="H2377" s="35" t="str">
        <f ca="1">IFERROR(IF(AND(INDEX(Tab_DaBa[],MATCH(CONCATENATE(Liste!$C$3,$B$2261,$B$2375),Data!$BO:$BO,0)-2,23)&lt;&gt;"",INDEX(Tab_DaBa[],MATCH(CONCATENATE(Liste!$C$3,$B$2261,$B$2375),Data!$BO:$BO,0)-2,28)=0),INDEX(Tab_DaBa[],MATCH(CONCATENATE(Liste!$C$3,$B$2261,$B$2375),Data!$BO:$BO,0)-2,14),IF(INDEX(Tab_DaBa[],MATCH(CONCATENATE(Liste!$C$3,$B$2261,$B$2375),Data!$BO:$BO,0)-2,23)&lt;&gt;"",INDEX(Tab_DaBa[],MATCH(CONCATENATE(Liste!$C$3,$B$2261,$B$2375),Data!$BO:$BO,0)-2,29),"")),"")</f>
        <v>Logik 03</v>
      </c>
      <c r="I2377" s="39"/>
    </row>
    <row r="2378" spans="2:9" s="16" customFormat="1" ht="15.75">
      <c r="B2378" s="35" t="str">
        <f ca="1">IFERROR(INDEX(Tab_DaBa[],MATCH(CONCATENATE(Liste!$C$3,$B$2261,$B$2375),Data!$BO:$BO,0)-2,7),"")</f>
        <v>eeee-33_5</v>
      </c>
      <c r="C2378" s="54"/>
      <c r="D2378" s="35" t="str">
        <f ca="1">IFERROR(IF(INDEX(Tab_DaBa[],MATCH(CONCATENATE(Liste!$C$3,$B$2261,$B$2375),Data!$BO:$BO,0)-2,18)="",INDEX(Tab_DaBa[],MATCH(CONCATENATE(Liste!$C$3,$B$2261,$B$2375),Data!$BO:$BO,0)-2,12),INDEX(Tab_DaBa[],MATCH(CONCATENATE(Liste!$C$3,$B$2261,$B$2375),Data!$BO:$BO,0)-2,17)),"")</f>
        <v>Log01-04_05</v>
      </c>
      <c r="E2378" s="36"/>
      <c r="F2378" s="35" t="str">
        <f ca="1">IFERROR(IF(AND(INDEX(Tab_DaBa[],MATCH(CONCATENATE(Liste!$C$3,$B$2261,$B$2375),Data!$BO:$BO,0)-2,18)&lt;&gt;"",INDEX(Tab_DaBa[],MATCH(CONCATENATE(Liste!$C$3,$B$2261,$B$2375),Data!$BO:$BO,0)-2,23)=0),INDEX(Tab_DaBa[],MATCH(CONCATENATE(Liste!$C$3,$B$2261,$B$2375),Data!$BO:$BO,0)-2,12),IF(INDEX(Tab_DaBa[],MATCH(CONCATENATE(Liste!$C$3,$B$2261,$B$2375),Data!$BO:$BO,0)-2,23)&lt;&gt;"",INDEX(Tab_DaBa[],MATCH(CONCATENATE(Liste!$C$3,$B$2261,$B$2375),Data!$BO:$BO,0)-2,22),"")),"")</f>
        <v>Lo04-04_05</v>
      </c>
      <c r="G2378" s="39"/>
      <c r="H2378" s="35" t="str">
        <f ca="1">IFERROR(IF(AND(INDEX(Tab_DaBa[],MATCH(CONCATENATE(Liste!$C$3,$B$2261,$B$2375),Data!$BO:$BO,0)-2,23)&lt;&gt;"",INDEX(Tab_DaBa[],MATCH(CONCATENATE(Liste!$C$3,$B$2261,$B$2375),Data!$BO:$BO,0)-2,28)=0),INDEX(Tab_DaBa[],MATCH(CONCATENATE(Liste!$C$3,$B$2261,$B$2375),Data!$BO:$BO,0)-2,12),IF(INDEX(Tab_DaBa[],MATCH(CONCATENATE(Liste!$C$3,$B$2261,$B$2375),Data!$BO:$BO,0)-2,23)&lt;&gt;"",INDEX(Tab_DaBa[],MATCH(CONCATENATE(Liste!$C$3,$B$2261,$B$2375),Data!$BO:$BO,0)-2,27),"")),"")</f>
        <v>Lo04-44_05</v>
      </c>
      <c r="I2378" s="39"/>
    </row>
    <row r="2379" spans="2:9" s="16" customFormat="1" ht="15.75">
      <c r="B2379" s="35" t="str">
        <f ca="1">IFERROR(INDEX(Tab_DaBa[],MATCH(CONCATENATE(Liste!$C$3,$B$2261,$B$2375),Data!$BO:$BO,0)-2,8),"")</f>
        <v>Bez_Ein4_5</v>
      </c>
      <c r="C2379" s="40">
        <f ca="1">IF(D2377="","",4)</f>
        <v>4</v>
      </c>
      <c r="D2379" s="35" t="str">
        <f ca="1">IFERROR(IF(INDEX(Tab_DaBa[],MATCH(CONCATENATE(Liste!$C$3,$B$2261,$B$2375),Data!$BO:$BO,0)-2,18)="",INDEX(Tab_DaBa[],MATCH(CONCATENATE(Liste!$C$3,$B$2261,$B$2375),Data!$BO:$BO,0)-2,13),INDEX(Tab_DaBa[],MATCH(CONCATENATE(Liste!$C$3,$B$2261,$B$2375),Data!$BO:$BO,0)-2,18)),"")</f>
        <v>Bez_Log01_04_05</v>
      </c>
      <c r="E2379" s="40">
        <f ca="1">IF(F2377="","",4)</f>
        <v>4</v>
      </c>
      <c r="F2379" s="35" t="str">
        <f ca="1">IFERROR(IF(AND(INDEX(Tab_DaBa[],MATCH(CONCATENATE(Liste!$C$3,$B$2261,$B$2375),Data!$BO:$BO,0)-2,18)&lt;&gt;"",INDEX(Tab_DaBa[],MATCH(CONCATENATE(Liste!$C$3,$B$2261,$B$2375),Data!$BO:$BO,0)-2,23)=""),INDEX(Tab_DaBa[],MATCH(CONCATENATE(Liste!$C$3,$B$2261,$B$2375),Data!$BO:$BO,0)-2,13),IF(INDEX(Tab_DaBa[],MATCH(CONCATENATE(Liste!$C$3,$B$2261,$B$2375),Data!$BO:$BO,0)-2,23)&lt;&gt;"",INDEX(Tab_DaBa[],MATCH(CONCATENATE(Liste!$C$3,$B$2261,$B$2375),Data!$BO:$BO,0)-2,23),"")),"")</f>
        <v>Bez_Lo04_05</v>
      </c>
      <c r="G2379" s="38">
        <f ca="1">IF(H2377="","",4)</f>
        <v>4</v>
      </c>
      <c r="H2379" s="35" t="str">
        <f ca="1">IFERROR(IF(AND(INDEX(Tab_DaBa[],MATCH(CONCATENATE(Liste!$C$3,$B$2261,$B$2375),Data!$BO:$BO,0)-2,23)&lt;&gt;"",INDEX(Tab_DaBa[],MATCH(CONCATENATE(Liste!$C$3,$B$2261,$B$2375),Data!$BO:$BO,0)-2,28)=""),INDEX(Tab_DaBa[],MATCH(CONCATENATE(Liste!$C$3,$B$2261,$B$2375),Data!$BO:$BO,0)-2,13),IF(INDEX(Tab_DaBa[],MATCH(CONCATENATE(Liste!$C$3,$B$2261,$B$2375),Data!$BO:$BO,0)-2,23)&lt;&gt;"",INDEX(Tab_DaBa[],MATCH(CONCATENATE(Liste!$C$3,$B$2261,$B$2375),Data!$BO:$BO,0)-2,28),"")),"")</f>
        <v>Bez_Lo04_05</v>
      </c>
      <c r="I2379" s="38">
        <f ca="1">IF(B2385="","",6)</f>
        <v>6</v>
      </c>
    </row>
    <row r="2380" spans="2:9" s="16" customFormat="1" ht="15.75">
      <c r="B2380" s="35" t="str">
        <f ca="1">IFERROR("Performance Level: "&amp;INDEX(Tab_DaBa[],MATCH(CONCATENATE(Liste!$C$3,$B$2261,$B$2375),Data!$BO:$BO,0)-2,10),"")</f>
        <v>Performance Level: PL_Ein4_5</v>
      </c>
      <c r="C2380" s="54"/>
      <c r="D2380" s="35" t="str">
        <f ca="1">IFERROR(IF(INDEX(Tab_DaBa[],MATCH(CONCATENATE(Liste!$C$3,$B$2261,$B$2375),Data!$BO:$BO,0)-2,18)="","Performance Level: "&amp;INDEX(Tab_DaBa[],MATCH(CONCATENATE(Liste!$C$3,$B$2261,$B$2375),Data!$BO:$BO,0)-2,15),"Performance Level: "&amp;INDEX(Tab_DaBa[],MATCH(CONCATENATE(Liste!$C$3,$B$2261,$B$2375),Data!$BO:$BO,0)-2,20)),"")</f>
        <v>Performance Level: PL_Log01_04_05</v>
      </c>
      <c r="E2380" s="36"/>
      <c r="F2380" s="35" t="str">
        <f ca="1">IFERROR(IF(AND(INDEX(Tab_DaBa[],MATCH(CONCATENATE(Liste!$C$3,$B$2261,$B$2375),Data!$BO:$BO,0)-2,18)&lt;&gt;"",INDEX(Tab_DaBa[],MATCH(CONCATENATE(Liste!$C$3,$B$2261,$B$2375),Data!$BO:$BO,0)-2,23)=""),"Performance Level: "&amp;INDEX(Tab_DaBa[],MATCH(CONCATENATE(Liste!$C$3,$B$2261,$B$2375),Data!$BO:$BO,0)-2,15),IF(INDEX(Tab_DaBa[],MATCH(CONCATENATE(Liste!$C$3,$B$2261,$B$2375),Data!$BO:$BO,0)-2,23)&lt;&gt;"","Performance Level: "&amp;INDEX(Tab_DaBa[],MATCH(CONCATENATE(Liste!$C$3,$B$2261,$B$2375),Data!$BO:$BO,0)-2,25),"")),"")</f>
        <v>Performance Level: PL_Lo04_05</v>
      </c>
      <c r="G2380" s="39"/>
      <c r="H2380" s="35" t="str">
        <f ca="1">IFERROR(IF(AND(INDEX(Tab_DaBa[],MATCH(CONCATENATE(Liste!$C$3,$B$2261,$B$2375),Data!$BO:$BO,0)-2,23)&lt;&gt;"",INDEX(Tab_DaBa[],MATCH(CONCATENATE(Liste!$C$3,$B$2261,$B$2375),Data!$BO:$BO,0)-2,28)=""),"Performance Level: "&amp;INDEX(Tab_DaBa[],MATCH(CONCATENATE(Liste!$C$3,$B$2261,$B$2375),Data!$BO:$BO,0)-2,15),IF(INDEX(Tab_DaBa[],MATCH(CONCATENATE(Liste!$C$3,$B$2261,$B$2375),Data!$BO:$BO,0)-2,23)&lt;&gt;"","Performance Level: "&amp;INDEX(Tab_DaBa[],MATCH(CONCATENATE(Liste!$C$3,$B$2261,$B$2375),Data!$BO:$BO,0)-2,30),"")),"")</f>
        <v>Performance Level: PL_Lo04_05</v>
      </c>
      <c r="I2380" s="38"/>
    </row>
    <row r="2381" spans="2:9" s="16" customFormat="1" ht="15.75">
      <c r="B2381" s="53" t="str">
        <f ca="1">IFERROR("PFH [1/h] = "&amp;10^9*INDEX(Tab_DaBa[],MATCH(CONCATENATE(Liste!$C$3,$B$2261,$B$2375),Data!$BO:$BO,0)-2,11)&amp;"E-9","")</f>
        <v>PFH [1/h] = 42,9E-9</v>
      </c>
      <c r="C2381" s="54"/>
      <c r="D2381" s="35" t="str">
        <f ca="1">IFERROR(IF(INDEX(Tab_DaBa[],MATCH(CONCATENATE(Liste!$C$3,$B$2261,$B$2375),Data!$BO:$BO,0)-2,18)="","PFH [1/h] = "&amp;10^9*INDEX(Tab_DaBa[],MATCH(CONCATENATE(Liste!$C$3,$B$2261,$B$2375),Data!$BO:$BO,0)-2,16)&amp;"E-9","PFH [1/h] = "&amp;10^9*INDEX(Tab_DaBa[],MATCH(CONCATENATE(Liste!$C$3,$B$2261,$B$2375),Data!$BO:$BO,0)-2,21)&amp;"E-9"),"")</f>
        <v>PFH [1/h] = 4,19E-9</v>
      </c>
      <c r="E2381" s="36"/>
      <c r="F2381" s="35" t="str">
        <f ca="1">IFERROR(IF(AND(INDEX(Tab_DaBa[],MATCH(CONCATENATE(Liste!$C$3,$B$2261,$B$2375),Data!$BO:$BO,0)-2,18)&lt;&gt;"",INDEX(Tab_DaBa[],MATCH(CONCATENATE(Liste!$C$3,$B$2261,$B$2375),Data!$BO:$BO,0)-2,23)=""),"PFH [1/h] = "&amp;10^9*INDEX(Tab_DaBa[],MATCH(CONCATENATE(Liste!$C$3,$B$2261,$B$2375),Data!$BO:$BO,0)-2,16)&amp;"E-9",IF(INDEX(Tab_DaBa[],MATCH(CONCATENATE(Liste!$C$3,$B$2261,$B$2375),Data!$BO:$BO,0)-2,23)&lt;&gt;"","PFH [1/h] = "&amp;10^9*INDEX(Tab_DaBa[],MATCH(CONCATENATE(Liste!$C$3,$B$2261,$B$2375),Data!$BO:$BO,0)-2,26)&amp;"E-9","")),"")</f>
        <v>PFH [1/h] = 4,19E-9</v>
      </c>
      <c r="G2381" s="39"/>
      <c r="H2381" s="35" t="str">
        <f ca="1">IFERROR(IF(AND(INDEX(Tab_DaBa[],MATCH(CONCATENATE(Liste!$C$3,$B$2261,$B$2375),Data!$BO:$BO,0)-2,23)&lt;&gt;"",INDEX(Tab_DaBa[],MATCH(CONCATENATE(Liste!$C$3,$B$2261,$B$2375),Data!$BO:$BO,0)-2,28)=""),"PFH [1/h] = "&amp;10^9*INDEX(Tab_DaBa[],MATCH(CONCATENATE(Liste!$C$3,$B$2261,$B$2375),Data!$BO:$BO,0)-2,16)&amp;"E-9",IF(INDEX(Tab_DaBa[],MATCH(CONCATENATE(Liste!$C$3,$B$2261,$B$2375),Data!$BO:$BO,0)-2,23)&lt;&gt;"","PFH [1/h] = "&amp;10^9*INDEX(Tab_DaBa[],MATCH(CONCATENATE(Liste!$C$3,$B$2261,$B$2375),Data!$BO:$BO,0)-2,31)&amp;"E-9","")),"")</f>
        <v>PFH [1/h] = 4,19E-9</v>
      </c>
      <c r="I2381" s="39"/>
    </row>
    <row r="2382" spans="2:9" s="16" customFormat="1">
      <c r="B2382" s="33"/>
      <c r="C2382" s="34"/>
      <c r="D2382" s="33"/>
      <c r="E2382" s="33"/>
      <c r="F2382" s="33"/>
      <c r="G2382" s="33"/>
      <c r="H2382" s="33"/>
      <c r="I2382" s="33"/>
    </row>
    <row r="2383" spans="2:9" s="16" customFormat="1" ht="15.75">
      <c r="B2383" s="38">
        <f ca="1">IF(B2385="","",6)</f>
        <v>6</v>
      </c>
      <c r="C2383" s="34"/>
      <c r="D2383" s="38">
        <f ca="1">IF(B2385="","",3)</f>
        <v>3</v>
      </c>
      <c r="E2383" s="33"/>
      <c r="F2383" s="38">
        <f ca="1">IF(B2385="","",3)</f>
        <v>3</v>
      </c>
      <c r="G2383" s="33"/>
      <c r="H2383" s="38">
        <f ca="1">IF(B2385="","",3)</f>
        <v>3</v>
      </c>
      <c r="I2383" s="33"/>
    </row>
    <row r="2384" spans="2:9" s="16" customFormat="1" ht="15.75">
      <c r="B2384" s="39"/>
      <c r="C2384" s="33"/>
      <c r="D2384" s="33"/>
      <c r="E2384" s="33"/>
      <c r="F2384" s="33"/>
      <c r="G2384" s="33"/>
      <c r="H2384" s="33"/>
      <c r="I2384" s="33"/>
    </row>
    <row r="2385" spans="2:9" s="16" customFormat="1" ht="15.75">
      <c r="B2385" s="35" t="str">
        <f ca="1">IFERROR(IF(AND(INDEX(Tab_DaBa[],MATCH(CONCATENATE(Liste!$C$3,$B$2261,$B$2375),Data!$BO:$BO,0)-2,28)&lt;&gt;"",INDEX(Tab_DaBa[],MATCH(CONCATENATE(Liste!$C$3,$B$2261,$B$2375),Data!$BO:$BO,0)-2,33)=0),INDEX(Tab_DaBa[],MATCH(CONCATENATE(Liste!$C$3,$B$2261,$B$2375),Data!$BO:$BO,0)-2,14),IF(INDEX(Tab_DaBa[],MATCH(CONCATENATE(Liste!$C$3,$B$2261,$B$2375),Data!$BO:$BO,0)-2,28)&lt;&gt;"",INDEX(Tab_DaBa[],MATCH(CONCATENATE(Liste!$C$3,$B$2261,$B$2375),Data!$BO:$BO,0)-2,34),"")),"")</f>
        <v>Logik 04</v>
      </c>
      <c r="C2385" s="39"/>
      <c r="D2385" s="35" t="str">
        <f ca="1">IFERROR(IF(AND(INDEX(Tab_DaBa[],MATCH(CONCATENATE(Liste!$C$3,$B$2261,$B$2375),Data!$BO:$BO,0)-2,33)&lt;&gt;"",INDEX(Tab_DaBa[],MATCH(CONCATENATE(Liste!$C$3,$B$2261,$B$2375),Data!$BO:$BO,0)-2,38)=0),INDEX(Tab_DaBa[],MATCH(CONCATENATE(Liste!$C$3,$B$2261,$B$2375),Data!$BO:$BO,0)-2,14),IF(INDEX(Tab_DaBa[],MATCH(CONCATENATE(Liste!$C$3,$B$2261,$B$2375),Data!$BO:$BO,0)-2,33)&lt;&gt;"",INDEX(Tab_DaBa[],MATCH(CONCATENATE(Liste!$C$3,$B$2261,$B$2375),Data!$BO:$BO,0)-2,39),"")),"")</f>
        <v>Logik 05</v>
      </c>
      <c r="E2385" s="33"/>
      <c r="F2385" s="35" t="str">
        <f ca="1">IFERROR(IF(AND(INDEX(Tab_DaBa[],MATCH(CONCATENATE(Liste!$C$3,$B$2261,$B$2375),Data!$BO:$BO,0)-2,38)&lt;&gt;"",INDEX(Tab_DaBa[],MATCH(CONCATENATE(Liste!$C$3,$B$2261,$B$2375),Data!$BO:$BO,0)-2,43)=0),INDEX(Tab_DaBa[],MATCH(CONCATENATE(Liste!$C$3,$B$2261,$B$2375),Data!$BO:$BO,0)-2,14),IF(INDEX(Tab_DaBa[],MATCH(CONCATENATE(Liste!$C$3,$B$2261,$B$2375),Data!$BO:$BO,0)-2,38)&lt;&gt;"",INDEX(Tab_DaBa[],MATCH(CONCATENATE(Liste!$C$3,$B$2261,$B$2375),Data!$BO:$BO,0)-2,44),"")),"")</f>
        <v>Ausgang</v>
      </c>
      <c r="G2385" s="39"/>
      <c r="H2385" s="35" t="str">
        <f ca="1">IFERROR(IF(AND(INDEX(Tab_DaBa[],MATCH(CONCATENATE(Liste!$C$3,$B$2261,$B$2375),Data!$BO:$BO,0)-2,43)&lt;&gt;"",INDEX(Tab_DaBa[],MATCH(CONCATENATE(Liste!$C$3,$B$2261,$B$2375),Data!$BO:$BO,0)-2,48)=0),INDEX(Tab_DaBa[],MATCH(CONCATENATE(Liste!$C$3,$B$2261,$B$2375),Data!$BO:$BO,0)-2,14),IF(INDEX(Tab_DaBa[],MATCH(CONCATENATE(Liste!$C$3,$B$2261,$B$2375),Data!$BO:$BO,0)-2,43)&lt;&gt;"",INDEX(Tab_DaBa[],MATCH(CONCATENATE(Liste!$C$3,$B$2261,$B$2375),Data!$BO:$BO,0)-2,49),"")),"")</f>
        <v/>
      </c>
      <c r="I2385" s="39"/>
    </row>
    <row r="2386" spans="2:9" s="16" customFormat="1" ht="15.75">
      <c r="B2386" s="35" t="str">
        <f ca="1">IFERROR(IF(AND(INDEX(Tab_DaBa[],MATCH(CONCATENATE(Liste!$C$3,$B$2261,$B$2375),Data!$BO:$BO,0)-2,28)&lt;&gt;"",INDEX(Tab_DaBa[],MATCH(CONCATENATE(Liste!$C$3,$B$2261,$B$2375),Data!$BO:$BO,0)-2,33)=0),INDEX(Tab_DaBa[],MATCH(CONCATENATE(Liste!$C$3,$B$2261,$B$2375),Data!$BO:$BO,0)-2,12),IF(INDEX(Tab_DaBa[],MATCH(CONCATENATE(Liste!$C$3,$B$2261,$B$2375),Data!$BO:$BO,0)-2,28)&lt;&gt;"",INDEX(Tab_DaBa[],MATCH(CONCATENATE(Liste!$C$3,$B$2261,$B$2375),Data!$BO:$BO,0)-2,32),"")),"")</f>
        <v>Lo04-44_05</v>
      </c>
      <c r="C2386" s="39"/>
      <c r="D2386" s="35" t="str">
        <f ca="1">IFERROR(IF(AND(INDEX(Tab_DaBa[],MATCH(CONCATENATE(Liste!$C$3,$B$2261,$B$2375),Data!$BO:$BO,0)-2,33)&lt;&gt;"",INDEX(Tab_DaBa[],MATCH(CONCATENATE(Liste!$C$3,$B$2261,$B$2375),Data!$BO:$BO,0)-2,38)=0),INDEX(Tab_DaBa[],MATCH(CONCATENATE(Liste!$C$3,$B$2261,$B$2375),Data!$BO:$BO,0)-2,12),IF(INDEX(Tab_DaBa[],MATCH(CONCATENATE(Liste!$C$3,$B$2261,$B$2375),Data!$BO:$BO,0)-2,33)&lt;&gt;"",INDEX(Tab_DaBa[],MATCH(CONCATENATE(Liste!$C$3,$B$2261,$B$2375),Data!$BO:$BO,0)-2,37),"")),"")</f>
        <v>Lo04-44_05</v>
      </c>
      <c r="E2386" s="37"/>
      <c r="F2386" s="35" t="str">
        <f ca="1">IFERROR(IF(AND(INDEX(Tab_DaBa[],MATCH(CONCATENATE(Liste!$C$3,$B$2261,$B$2375),Data!$BO:$BO,0)-2,38)&lt;&gt;"",INDEX(Tab_DaBa[],MATCH(CONCATENATE(Liste!$C$3,$B$2261,$B$2375),Data!$BO:$BO,0)-2,43)=0),INDEX(Tab_DaBa[],MATCH(CONCATENATE(Liste!$C$3,$B$2261,$B$2375),Data!$BO:$BO,0)-2,12),IF(INDEX(Tab_DaBa[],MATCH(CONCATENATE(Liste!$C$3,$B$2261,$B$2375),Data!$BO:$BO,0)-2,38)&lt;&gt;"",INDEX(Tab_DaBa[],MATCH(CONCATENATE(Liste!$C$3,$B$2261,$B$2375),Data!$BO:$BO,0)-2,42),"")),"")</f>
        <v>aaaa-44_5</v>
      </c>
      <c r="G2386" s="39"/>
      <c r="H2386" s="35" t="str">
        <f ca="1">IFERROR(IF(AND(INDEX(Tab_DaBa[],MATCH(CONCATENATE(Liste!$C$3,$B$2261,$B$2375),Data!$BO:$BO,0)-2,43)&lt;&gt;"",INDEX(Tab_DaBa[],MATCH(CONCATENATE(Liste!$C$3,$B$2261,$B$2375),Data!$BO:$BO,0)-2,48)=0),INDEX(Tab_DaBa[],MATCH(CONCATENATE(Liste!$C$3,$B$2261,$B$2375),Data!$BO:$BO,0)-2,12),IF(INDEX(Tab_DaBa[],MATCH(CONCATENATE(Liste!$C$3,$B$2261,$B$2375),Data!$BO:$BO,0)-2,43)&lt;&gt;"",INDEX(Tab_DaBa[],MATCH(CONCATENATE(Liste!$C$3,$B$2261,$B$2375),Data!$BO:$BO,0)-2,47),"")),"")</f>
        <v/>
      </c>
      <c r="I2386" s="39"/>
    </row>
    <row r="2387" spans="2:9" s="16" customFormat="1" ht="15.75">
      <c r="B2387" s="35" t="str">
        <f ca="1">IFERROR(IF(AND(INDEX(Tab_DaBa[],MATCH(CONCATENATE(Liste!$C$3,$B$2261,$B$2375),Data!$BO:$BO,0)-2,28)&lt;&gt;"",INDEX(Tab_DaBa[],MATCH(CONCATENATE(Liste!$C$3,$B$2261,$B$2375),Data!$BO:$BO,0)-2,33)=""),INDEX(Tab_DaBa[],MATCH(CONCATENATE(Liste!$C$3,$B$2261,$B$2375),Data!$BO:$BO,0)-2,13),IF(INDEX(Tab_DaBa[],MATCH(CONCATENATE(Liste!$C$3,$B$2261,$B$2375),Data!$BO:$BO,0)-2,28)&lt;&gt;"",INDEX(Tab_DaBa[],MATCH(CONCATENATE(Liste!$C$3,$B$2261,$B$2375),Data!$BO:$BO,0)-2,33),"")),"")</f>
        <v>Bez_Lo04_05</v>
      </c>
      <c r="C2387" s="38">
        <f ca="1">IF(D2385="","",4)</f>
        <v>4</v>
      </c>
      <c r="D2387" s="35" t="str">
        <f ca="1">IFERROR(IF(AND(INDEX(Tab_DaBa[],MATCH(CONCATENATE(Liste!$C$3,$B$2261,$B$2375),Data!$BO:$BO,0)-2,33)&lt;&gt;"",INDEX(Tab_DaBa[],MATCH(CONCATENATE(Liste!$C$3,$B$2261,$B$2375),Data!$BO:$BO,0)-2,38)=""),INDEX(Tab_DaBa[],MATCH(CONCATENATE(Liste!$C$3,$B$2261,$B$2375),Data!$BO:$BO,0)-2,13),IF(INDEX(Tab_DaBa[],MATCH(CONCATENATE(Liste!$C$3,$B$2261,$B$2375),Data!$BO:$BO,0)-2,33)&lt;&gt;"",INDEX(Tab_DaBa[],MATCH(CONCATENATE(Liste!$C$3,$B$2261,$B$2375),Data!$BO:$BO,0)-2,38),"")),"")</f>
        <v>Bez_Lo05_05</v>
      </c>
      <c r="E2387" s="38">
        <f ca="1">IF(F2385="","",4)</f>
        <v>4</v>
      </c>
      <c r="F2387" s="35" t="str">
        <f ca="1">IFERROR(IF(AND(INDEX(Tab_DaBa[],MATCH(CONCATENATE(Liste!$C$3,$B$2261,$B$2375),Data!$BO:$BO,0)-2,38)&lt;&gt;"",INDEX(Tab_DaBa[],MATCH(CONCATENATE(Liste!$C$3,$B$2261,$B$2375),Data!$BO:$BO,0)-2,43)=""),INDEX(Tab_DaBa[],MATCH(CONCATENATE(Liste!$C$3,$B$2261,$B$2375),Data!$BO:$BO,0)-2,13),IF(INDEX(Tab_DaBa[],MATCH(CONCATENATE(Liste!$C$3,$B$2261,$B$2375),Data!$BO:$BO,0)-2,38)&lt;&gt;"",INDEX(Tab_DaBa[],MATCH(CONCATENATE(Liste!$C$3,$B$2261,$B$2375),Data!$BO:$BO,0)-2,43),"")),"")</f>
        <v>Bez_Aus4_5</v>
      </c>
      <c r="G2387" s="38" t="str">
        <f ca="1">IF(H2385="","",4)</f>
        <v/>
      </c>
      <c r="H2387" s="35" t="str">
        <f ca="1">IFERROR(IF(AND(INDEX(Tab_DaBa[],MATCH(CONCATENATE(Liste!$C$3,$B$2261,$B$2375),Data!$BO:$BO,0)-2,43)&lt;&gt;"",INDEX(Tab_DaBa[],MATCH(CONCATENATE(Liste!$C$3,$B$2261,$B$2375),Data!$BO:$BO,0)-2,48)=""),INDEX(Tab_DaBa[],MATCH(CONCATENATE(Liste!$C$3,$B$2261,$B$2375),Data!$BO:$BO,0)-2,13),IF(INDEX(Tab_DaBa[],MATCH(CONCATENATE(Liste!$C$3,$B$2261,$B$2375),Data!$BO:$BO,0)-2,43)&lt;&gt;"",INDEX(Tab_DaBa[],MATCH(CONCATENATE(Liste!$C$3,$B$2261,$B$2375),Data!$BO:$BO,0)-2,48),"")),"")</f>
        <v/>
      </c>
      <c r="I2387" s="38" t="str">
        <f ca="1">IF(B2393="","",6)</f>
        <v/>
      </c>
    </row>
    <row r="2388" spans="2:9" s="16" customFormat="1" ht="15.75">
      <c r="B2388" s="35" t="str">
        <f ca="1">IFERROR(IF(AND(INDEX(Tab_DaBa[],MATCH(CONCATENATE(Liste!$C$3,$B$2261,$B$2375),Data!$BO:$BO,0)-2,28)&lt;&gt;"",INDEX(Tab_DaBa[],MATCH(CONCATENATE(Liste!$C$3,$B$2261,$B$2375),Data!$BO:$BO,0)-2,33)=""),"Performance Level: "&amp;INDEX(Tab_DaBa[],MATCH(CONCATENATE(Liste!$C$3,$B$2261,$B$2375),Data!$BO:$BO,0)-2,15),IF(INDEX(Tab_DaBa[],MATCH(CONCATENATE(Liste!$C$3,$B$2261,$B$2375),Data!$BO:$BO,0)-2,28)&lt;&gt;"","Performance Level: "&amp;INDEX(Tab_DaBa[],MATCH(CONCATENATE(Liste!$C$3,$B$2261,$B$2375),Data!$BO:$BO,0)-2,35),"")),"")</f>
        <v>Performance Level: PL_Lo04_05</v>
      </c>
      <c r="C2388" s="39"/>
      <c r="D2388" s="35" t="str">
        <f ca="1">IFERROR(IF(AND(INDEX(Tab_DaBa[],MATCH(CONCATENATE(Liste!$C$3,$B$2261,$B$2375),Data!$BO:$BO,0)-2,33)&lt;&gt;"",INDEX(Tab_DaBa[],MATCH(CONCATENATE(Liste!$C$3,$B$2261,$B$2375),Data!$BO:$BO,0)-2,38)=""),"Performance Level: "&amp;INDEX(Tab_DaBa[],MATCH(CONCATENATE(Liste!$C$3,$B$2261,$B$2375),Data!$BO:$BO,0)-2,15),IF(INDEX(Tab_DaBa[],MATCH(CONCATENATE(Liste!$C$3,$B$2261,$B$2375),Data!$BO:$BO,0)-2,33)&lt;&gt;"","Performance Level: "&amp;INDEX(Tab_DaBa[],MATCH(CONCATENATE(Liste!$C$3,$B$2261,$B$2375),Data!$BO:$BO,0)-2,40),"")),"")</f>
        <v>Performance Level: PL_Lo03_5</v>
      </c>
      <c r="E2388" s="37"/>
      <c r="F2388" s="35" t="str">
        <f ca="1">IFERROR(IF(AND(INDEX(Tab_DaBa[],MATCH(CONCATENATE(Liste!$C$3,$B$2261,$B$2375),Data!$BO:$BO,0)-2,38)&lt;&gt;"",INDEX(Tab_DaBa[],MATCH(CONCATENATE(Liste!$C$3,$B$2261,$B$2375),Data!$BO:$BO,0)-2,43)=""),"Performance Level: "&amp;INDEX(Tab_DaBa[],MATCH(CONCATENATE(Liste!$C$3,$B$2261,$B$2375),Data!$BO:$BO,0)-2,15),IF(INDEX(Tab_DaBa[],MATCH(CONCATENATE(Liste!$C$3,$B$2261,$B$2375),Data!$BO:$BO,0)-2,38)&lt;&gt;"","Performance Level: "&amp;INDEX(Tab_DaBa[],MATCH(CONCATENATE(Liste!$C$3,$B$2261,$B$2375),Data!$BO:$BO,0)-2,45),"")),"")</f>
        <v>Performance Level: PL_Aus4_5</v>
      </c>
      <c r="G2388" s="39"/>
      <c r="H2388" s="35" t="str">
        <f ca="1">IFERROR(IF(AND(INDEX(Tab_DaBa[],MATCH(CONCATENATE(Liste!$C$3,$B$2261,$B$2375),Data!$BO:$BO,0)-2,43)&lt;&gt;"",INDEX(Tab_DaBa[],MATCH(CONCATENATE(Liste!$C$3,$B$2261,$B$2375),Data!$BO:$BO,0)-2,48)=""),"Performance Level: "&amp;INDEX(Tab_DaBa[],MATCH(CONCATENATE(Liste!$C$3,$B$2261,$B$2375),Data!$BO:$BO,0)-2,15),IF(INDEX(Tab_DaBa[],MATCH(CONCATENATE(Liste!$C$3,$B$2261,$B$2375),Data!$BO:$BO,0)-2,43)&lt;&gt;"","Performance Level: "&amp;INDEX(Tab_DaBa[],MATCH(CONCATENATE(Liste!$C$3,$B$2261,$B$2375),Data!$BO:$BO,0)-2,50),"")),"")</f>
        <v/>
      </c>
      <c r="I2388" s="39"/>
    </row>
    <row r="2389" spans="2:9" s="16" customFormat="1" ht="15.75">
      <c r="B2389" s="35" t="str">
        <f ca="1">IFERROR(IF(AND(INDEX(Tab_DaBa[],MATCH(CONCATENATE(Liste!$C$3,$B$2261,$B$2375),Data!$BO:$BO,0)-2,28)&lt;&gt;"",INDEX(Tab_DaBa[],MATCH(CONCATENATE(Liste!$C$3,$B$2261,$B$2375),Data!$BO:$BO,0)-2,33)=""),"PFH [1/h] = "&amp;10^9*INDEX(Tab_DaBa[],MATCH(CONCATENATE(Liste!$C$3,$B$2261,$B$2375),Data!$BO:$BO,0)-2,16)&amp;"E-9",IF(INDEX(Tab_DaBa[],MATCH(CONCATENATE(Liste!$C$3,$B$2261,$B$2375),Data!$BO:$BO,0)-2,28)&lt;&gt;"","PFH [1/h] = "&amp;10^9*INDEX(Tab_DaBa[],MATCH(CONCATENATE(Liste!$C$3,$B$2261,$B$2375),Data!$BO:$BO,0)-2,36)&amp;"E-9","")),"")</f>
        <v>PFH [1/h] = 4,19E-9</v>
      </c>
      <c r="C2389" s="39"/>
      <c r="D2389" s="35" t="str">
        <f ca="1">IFERROR(IF(AND(INDEX(Tab_DaBa[],MATCH(CONCATENATE(Liste!$C$3,$B$2261,$B$2375),Data!$BO:$BO,0)-2,33)&lt;&gt;"",INDEX(Tab_DaBa[],MATCH(CONCATENATE(Liste!$C$3,$B$2261,$B$2375),Data!$BO:$BO,0)-2,38)=""),"PFH [1/h] = "&amp;10^9*INDEX(Tab_DaBa[],MATCH(CONCATENATE(Liste!$C$3,$B$2261,$B$2375),Data!$BO:$BO,0)-2,16)&amp;"E-9",IF(INDEX(Tab_DaBa[],MATCH(CONCATENATE(Liste!$C$3,$B$2261,$B$2375),Data!$BO:$BO,0)-2,33)&lt;&gt;"","PFH [1/h] = "&amp;10^9*INDEX(Tab_DaBa[],MATCH(CONCATENATE(Liste!$C$3,$B$2261,$B$2375),Data!$BO:$BO,0)-2,41)&amp;"E-9","")),"")</f>
        <v>PFH [1/h] = 4,19E-9</v>
      </c>
      <c r="E2389" s="37"/>
      <c r="F2389" s="35" t="str">
        <f ca="1">IFERROR(IF(AND(INDEX(Tab_DaBa[],MATCH(CONCATENATE(Liste!$C$3,$B$2261,$B$2375),Data!$BO:$BO,0)-2,38)&lt;&gt;"",INDEX(Tab_DaBa[],MATCH(CONCATENATE(Liste!$C$3,$B$2261,$B$2375),Data!$BO:$BO,0)-2,43)=""),"PFH [1/h] = "&amp;10^9*INDEX(Tab_DaBa[],MATCH(CONCATENATE(Liste!$C$3,$B$2261,$B$2375),Data!$BO:$BO,0)-2,16)&amp;"E-9",IF(INDEX(Tab_DaBa[],MATCH(CONCATENATE(Liste!$C$3,$B$2261,$B$2375),Data!$BO:$BO,0)-2,38)&lt;&gt;"","PFH [1/h] = "&amp;10^9*INDEX(Tab_DaBa[],MATCH(CONCATENATE(Liste!$C$3,$B$2261,$B$2375),Data!$BO:$BO,0)-2,46)&amp;"E-9","")),"")</f>
        <v>PFH [1/h] = 24,7E-9</v>
      </c>
      <c r="G2389" s="39"/>
      <c r="H2389" s="35" t="str">
        <f ca="1">IFERROR(IF(AND(INDEX(Tab_DaBa[],MATCH(CONCATENATE(Liste!$C$3,$B$2261,$B$2375),Data!$BO:$BO,0)-2,43)&lt;&gt;"",INDEX(Tab_DaBa[],MATCH(CONCATENATE(Liste!$C$3,$B$2261,$B$2375),Data!$BO:$BO,0)-2,48)=""),"PFH [1/h] = "&amp;10^9*INDEX(Tab_DaBa[],MATCH(CONCATENATE(Liste!$C$3,$B$2261,$B$2375),Data!$BO:$BO,0)-2,16)&amp;"E-9",IF(INDEX(Tab_DaBa[],MATCH(CONCATENATE(Liste!$C$3,$B$2261,$B$2375),Data!$BO:$BO,0)-2,43)&lt;&gt;"","PFH [1/h] = "&amp;10^9*INDEX(Tab_DaBa[],MATCH(CONCATENATE(Liste!$C$3,$B$2261,$B$2375),Data!$BO:$BO,0)-2,51)&amp;"E-9","")),"")</f>
        <v/>
      </c>
      <c r="I2389" s="39"/>
    </row>
    <row r="2390" spans="2:9" s="16" customFormat="1">
      <c r="B2390" s="33"/>
      <c r="C2390" s="33"/>
      <c r="D2390" s="33"/>
      <c r="E2390" s="33"/>
      <c r="F2390" s="33"/>
      <c r="G2390" s="33"/>
      <c r="H2390" s="33"/>
      <c r="I2390" s="33"/>
    </row>
    <row r="2391" spans="2:9" s="16" customFormat="1" ht="15.75">
      <c r="B2391" s="38" t="str">
        <f ca="1">IF(B2393="","",6)</f>
        <v/>
      </c>
      <c r="C2391" s="33"/>
      <c r="D2391" s="38" t="str">
        <f ca="1">IF(B2393="","",3)</f>
        <v/>
      </c>
      <c r="E2391" s="33"/>
      <c r="F2391" s="38" t="str">
        <f ca="1">IF(B2393="","",3)</f>
        <v/>
      </c>
      <c r="G2391" s="33"/>
      <c r="H2391" s="38" t="str">
        <f ca="1">IF(B2393="","",3)</f>
        <v/>
      </c>
      <c r="I2391" s="33"/>
    </row>
    <row r="2392" spans="2:9" s="16" customFormat="1" ht="15.75">
      <c r="B2392" s="39"/>
      <c r="C2392" s="33"/>
      <c r="D2392" s="33"/>
      <c r="E2392" s="33"/>
      <c r="F2392" s="33"/>
      <c r="G2392" s="33"/>
      <c r="H2392" s="33"/>
      <c r="I2392" s="33"/>
    </row>
    <row r="2393" spans="2:9" s="16" customFormat="1" ht="15.75">
      <c r="B2393" s="35" t="str">
        <f ca="1">IFERROR(IF(AND(INDEX(Tab_DaBa[],MATCH(CONCATENATE(Liste!$C$3,$B$2261,$B$2375),Data!$BO:$BO,0)-2,48)&lt;&gt;"",INDEX(Tab_DaBa[],MATCH(CONCATENATE(Liste!$C$3,$B$2261,$B$2375),Data!$BO:$BO,0)-2,53)=0),INDEX(Tab_DaBa[],MATCH(CONCATENATE(Liste!$C$3,$B$2261,$B$2375),Data!$BO:$BO,0)-2,14),IF(INDEX(Tab_DaBa[],MATCH(CONCATENATE(Liste!$C$3,$B$2261,$B$2375),Data!$BO:$BO,0)-2,48)&lt;&gt;"",INDEX(Tab_DaBa[],MATCH(CONCATENATE(Liste!$C$3,$B$2261,$B$2375),Data!$BO:$BO,0)-2,54),"")),"")</f>
        <v/>
      </c>
      <c r="C2393" s="39"/>
      <c r="D2393" s="35" t="str">
        <f ca="1">IFERROR(IF(AND(INDEX(Tab_DaBa[],MATCH(CONCATENATE(Liste!$C$3,$B$2261,$B$2375),Data!$BO:$BO,0)-2,53)&lt;&gt;"",INDEX(Tab_DaBa[],MATCH(CONCATENATE(Liste!$C$3,$B$2261,$B$2375),Data!$BO:$BO,0)-2,58)=0),INDEX(Tab_DaBa[],MATCH(CONCATENATE(Liste!$C$3,$B$2261,$B$2375),Data!$BO:$BO,0)-2,14),IF(INDEX(Tab_DaBa[],MATCH(CONCATENATE(Liste!$C$3,$B$2261,$B$2375),Data!$BO:$BO,0)-2,53)&lt;&gt;"",INDEX(Tab_DaBa[],MATCH(CONCATENATE(Liste!$C$3,$B$2261,$B$2375),Data!$BO:$BO,0)-2,59),"")),"")</f>
        <v/>
      </c>
      <c r="E2393" s="33"/>
      <c r="F2393" s="35" t="str">
        <f ca="1">IFERROR(IF(AND(INDEX(Tab_DaBa[],MATCH(CONCATENATE(Liste!$C$3,$B$2261,$B$2375),Data!$BO:$BO,0)-2,58)&lt;&gt;"",INDEX(Tab_DaBa[],MATCH(CONCATENATE(Liste!$C$3,$B$2261,$B$2375),Data!$BO:$BO,0)-2,63)=0),INDEX(Tab_DaBa[],MATCH(CONCATENATE(Liste!$C$3,$B$2261,$B$2375),Data!$BO:$BO,0)-2,14),IF(INDEX(Tab_DaBa[],MATCH(CONCATENATE(Liste!$C$3,$B$2261,$B$2375),Data!$BO:$BO,0)-2,58)&lt;&gt;"",INDEX(Tab_DaBa[],MATCH(CONCATENATE(Liste!$C$3,$B$2261,$B$2375),Data!$BO:$BO,0)-2,64),"")),"")</f>
        <v/>
      </c>
      <c r="G2393" s="39"/>
      <c r="H2393" s="35" t="str">
        <f ca="1">IFERROR(IF(INDEX(Tab_DaBa[],MATCH(CONCATENATE(Liste!$C$3,$B$2261,$B$2375),Data!$BO:$BO,0)-2,63)&lt;&gt;"",INDEX(Tab_DaBa[],MATCH(CONCATENATE(Liste!$C$3,$B$2261,$B$2375),Data!$BO:$BO,0)-2,14),""),"")</f>
        <v/>
      </c>
    </row>
    <row r="2394" spans="2:9" s="16" customFormat="1" ht="15.75">
      <c r="B2394" s="35" t="str">
        <f ca="1">IFERROR(IF(AND(INDEX(Tab_DaBa[],MATCH(CONCATENATE(Liste!$C$3,$B$2261,$B$2375),Data!$BO:$BO,0)-2,48)&lt;&gt;"",INDEX(Tab_DaBa[],MATCH(CONCATENATE(Liste!$C$3,$B$2261,$B$2375),Data!$BO:$BO,0)-2,53)=0),INDEX(Tab_DaBa[],MATCH(CONCATENATE(Liste!$C$3,$B$2261,$B$2375),Data!$BO:$BO,0)-2,12),IF(INDEX(Tab_DaBa[],MATCH(CONCATENATE(Liste!$C$3,$B$2261,$B$2375),Data!$BO:$BO,0)-2,48)&lt;&gt;"",INDEX(Tab_DaBa[],MATCH(CONCATENATE(Liste!$C$3,$B$2261,$B$2375),Data!$BO:$BO,0)-2,52),"")),"")</f>
        <v/>
      </c>
      <c r="C2394" s="39"/>
      <c r="D2394" s="35" t="str">
        <f ca="1">IFERROR(IF(AND(INDEX(Tab_DaBa[],MATCH(CONCATENATE(Liste!$C$3,$B$2261,$B$2375),Data!$BO:$BO,0)-2,53)&lt;&gt;"",INDEX(Tab_DaBa[],MATCH(CONCATENATE(Liste!$C$3,$B$2261,$B$2375),Data!$BO:$BO,0)-2,58)=0),INDEX(Tab_DaBa[],MATCH(CONCATENATE(Liste!$C$3,$B$2261,$B$2375),Data!$BO:$BO,0)-2,12),IF(INDEX(Tab_DaBa[],MATCH(CONCATENATE(Liste!$C$3,$B$2261,$B$2375),Data!$BO:$BO,0)-2,53)&lt;&gt;"",INDEX(Tab_DaBa[],MATCH(CONCATENATE(Liste!$C$3,$B$2261,$B$2375),Data!$BO:$BO,0)-2,57),"")),"")</f>
        <v/>
      </c>
      <c r="E2394" s="37"/>
      <c r="F2394" s="35" t="str">
        <f ca="1">IFERROR(IF(AND(INDEX(Tab_DaBa[],MATCH(CONCATENATE(Liste!$C$3,$B$2261,$B$2375),Data!$BO:$BO,0)-2,58)&lt;&gt;"",INDEX(Tab_DaBa[],MATCH(CONCATENATE(Liste!$C$3,$B$2261,$B$2375),Data!$BO:$BO,0)-2,63)=0),INDEX(Tab_DaBa[],MATCH(CONCATENATE(Liste!$C$3,$B$2261,$B$2375),Data!$BO:$BO,0)-2,12),IF(INDEX(Tab_DaBa[],MATCH(CONCATENATE(Liste!$C$3,$B$2261,$B$2375),Data!$BO:$BO,0)-2,58)&lt;&gt;"",INDEX(Tab_DaBa[],MATCH(CONCATENATE(Liste!$C$3,$B$2261,$B$2375),Data!$BO:$BO,0)-2,62),"")),"")</f>
        <v/>
      </c>
      <c r="G2394" s="39"/>
      <c r="H2394" s="35" t="str">
        <f ca="1">IFERROR(IF(INDEX(Tab_DaBa[],MATCH(CONCATENATE(Liste!$C$3,$B$2261,$B$2375),Data!$BO:$BO,0)-2,63)&lt;&gt;"",INDEX(Tab_DaBa[],MATCH(CONCATENATE(Liste!$C$3,$B$2261,$B$2375),Data!$BO:$BO,0)-2,12),""),"")</f>
        <v/>
      </c>
    </row>
    <row r="2395" spans="2:9" s="16" customFormat="1" ht="15.75">
      <c r="B2395" s="35" t="str">
        <f ca="1">IFERROR(IF(AND(INDEX(Tab_DaBa[],MATCH(CONCATENATE(Liste!$C$3,$B$2261,$B$2375),Data!$BO:$BO,0)-2,48)&lt;&gt;"",INDEX(Tab_DaBa[],MATCH(CONCATENATE(Liste!$C$3,$B$2261,$B$2375),Data!$BO:$BO,0)-2,53)=""),INDEX(Tab_DaBa[],MATCH(CONCATENATE(Liste!$C$3,$B$2261,$B$2375),Data!$BO:$BO,0)-2,13),IF(INDEX(Tab_DaBa[],MATCH(CONCATENATE(Liste!$C$3,$B$2261,$B$2375),Data!$BO:$BO,0)-2,48)&lt;&gt;"",INDEX(Tab_DaBa[],MATCH(CONCATENATE(Liste!$C$3,$B$2261,$B$2375),Data!$BO:$BO,0)-2,53),"")),"")</f>
        <v/>
      </c>
      <c r="C2395" s="38" t="str">
        <f ca="1">IF(D2393="","",4)</f>
        <v/>
      </c>
      <c r="D2395" s="35" t="str">
        <f ca="1">IFERROR(IF(AND(INDEX(Tab_DaBa[],MATCH(CONCATENATE(Liste!$C$3,$B$2261,$B$2375),Data!$BO:$BO,0)-2,53)&lt;&gt;"",INDEX(Tab_DaBa[],MATCH(CONCATENATE(Liste!$C$3,$B$2261,$B$2375),Data!$BO:$BO,0)-2,58)=""),INDEX(Tab_DaBa[],MATCH(CONCATENATE(Liste!$C$3,$B$2261,$B$2375),Data!$BO:$BO,0)-2,13),IF(INDEX(Tab_DaBa[],MATCH(CONCATENATE(Liste!$C$3,$B$2261,$B$2375),Data!$BO:$BO,0)-2,53)&lt;&gt;"",INDEX(Tab_DaBa[],MATCH(CONCATENATE(Liste!$C$3,$B$2261,$B$2375),Data!$BO:$BO,0)-2,58),"")),"")</f>
        <v/>
      </c>
      <c r="E2395" s="38" t="str">
        <f ca="1">IF(F2393="","",4)</f>
        <v/>
      </c>
      <c r="F2395" s="35" t="str">
        <f ca="1">IFERROR(IF(AND(INDEX(Tab_DaBa[],MATCH(CONCATENATE(Liste!$C$3,$B$2261,$B$2375),Data!$BO:$BO,0)-2,58)&lt;&gt;"",INDEX(Tab_DaBa[],MATCH(CONCATENATE(Liste!$C$3,$B$2261,$B$2375),Data!$BO:$BO,0)-2,63)=""),INDEX(Tab_DaBa[],MATCH(CONCATENATE(Liste!$C$3,$B$2261,$B$2375),Data!$BO:$BO,0)-2,13),IF(INDEX(Tab_DaBa[],MATCH(CONCATENATE(Liste!$C$3,$B$2261,$B$2375),Data!$BO:$BO,0)-2,58)&lt;&gt;"",INDEX(Tab_DaBa[],MATCH(CONCATENATE(Liste!$C$3,$B$2261,$B$2375),Data!$BO:$BO,0)-2,63),"")),"")</f>
        <v/>
      </c>
      <c r="G2395" s="38" t="str">
        <f ca="1">IF(H2393="","",4)</f>
        <v/>
      </c>
      <c r="H2395" s="35" t="str">
        <f ca="1">IFERROR(IF(INDEX(Tab_DaBa[],MATCH(CONCATENATE(Liste!$C$3,$B$2261,$B$2375),Data!$BO:$BO,0)-2,63)&lt;&gt;"",INDEX(Tab_DaBa[],MATCH(CONCATENATE(Liste!$C$3,$B$2261,$B$2375),Data!$BO:$BO,0)-2,13),""),"")</f>
        <v/>
      </c>
    </row>
    <row r="2396" spans="2:9" s="16" customFormat="1" ht="15.75">
      <c r="B2396" s="35" t="str">
        <f ca="1">IFERROR(IF(AND(INDEX(Tab_DaBa[],MATCH(CONCATENATE(Liste!$C$3,$B$2261,$B$2375),Data!$BO:$BO,0)-2,48)&lt;&gt;"",INDEX(Tab_DaBa[],MATCH(CONCATENATE(Liste!$C$3,$B$2261,$B$2375),Data!$BO:$BO,0)-2,53)=""),"Performance Level: "&amp;INDEX(Tab_DaBa[],MATCH(CONCATENATE(Liste!$C$3,$B$2261,$B$2375),Data!$BO:$BO,0)-2,15),IF(INDEX(Tab_DaBa[],MATCH(CONCATENATE(Liste!$C$3,$B$2261,$B$2375),Data!$BO:$BO,0)-2,48)&lt;&gt;"","Performance Level: "&amp;INDEX(Tab_DaBa[],MATCH(CONCATENATE(Liste!$C$3,$B$2261,$B$2375),Data!$BO:$BO,0)-2,55),"")),"")</f>
        <v/>
      </c>
      <c r="C2396" s="39"/>
      <c r="D2396" s="35" t="str">
        <f ca="1">IFERROR(IF(AND(INDEX(Tab_DaBa[],MATCH(CONCATENATE(Liste!$C$3,$B$2261,$B$2375),Data!$BO:$BO,0)-2,53)&lt;&gt;"",INDEX(Tab_DaBa[],MATCH(CONCATENATE(Liste!$C$3,$B$2261,$B$2375),Data!$BO:$BO,0)-2,58)=""),"Performance Level: "&amp;INDEX(Tab_DaBa[],MATCH(CONCATENATE(Liste!$C$3,$B$2261,$B$2375),Data!$BO:$BO,0)-2,15),IF(INDEX(Tab_DaBa[],MATCH(CONCATENATE(Liste!$C$3,$B$2261,$B$2375),Data!$BO:$BO,0)-2,53)&lt;&gt;"","Performance Level: "&amp;INDEX(Tab_DaBa[],MATCH(CONCATENATE(Liste!$C$3,$B$2261,$B$2375),Data!$BO:$BO,0)-2,60),"")),"")</f>
        <v/>
      </c>
      <c r="E2396" s="37"/>
      <c r="F2396" s="35" t="str">
        <f ca="1">IFERROR(IF(AND(INDEX(Tab_DaBa[],MATCH(CONCATENATE(Liste!$C$3,$B$2261,$B$2375),Data!$BO:$BO,0)-2,58)&lt;&gt;"",INDEX(Tab_DaBa[],MATCH(CONCATENATE(Liste!$C$3,$B$2261,$B$2375),Data!$BO:$BO,0)-2,63)=""),"Performance Level: "&amp;INDEX(Tab_DaBa[],MATCH(CONCATENATE(Liste!$C$3,$B$2261,$B$2375),Data!$BO:$BO,0)-2,15),IF(INDEX(Tab_DaBa[],MATCH(CONCATENATE(Liste!$C$3,$B$2261,$B$2375),Data!$BO:$BO,0)-2,58)&lt;&gt;"","Performance Level: "&amp;INDEX(Tab_DaBa[],MATCH(CONCATENATE(Liste!$C$3,$B$2261,$B$2375),Data!$BO:$BO,0)-2,65),"")),"")</f>
        <v/>
      </c>
      <c r="G2396" s="39"/>
      <c r="H2396" s="35" t="str">
        <f ca="1">IFERROR(IF(INDEX(Tab_DaBa[],MATCH(CONCATENATE(Liste!$C$3,$B$2261,$B$2375),Data!$BO:$BO,0)-2,63)&lt;&gt;"","Performance Level: "&amp;INDEX(Tab_DaBa[],MATCH(CONCATENATE(Liste!$C$3,$B$2261,$B$2375),Data!$BO:$BO,0)-2,15),""),"")</f>
        <v/>
      </c>
    </row>
    <row r="2397" spans="2:9" s="16" customFormat="1" ht="15.75">
      <c r="B2397" s="35" t="str">
        <f ca="1">IFERROR(IF(AND(INDEX(Tab_DaBa[],MATCH(CONCATENATE(Liste!$C$3,$B$2261,$B$2375),Data!$BO:$BO,0)-2,48)&lt;&gt;"",INDEX(Tab_DaBa[],MATCH(CONCATENATE(Liste!$C$3,$B$2261,$B$2375),Data!$BO:$BO,0)-2,53)=""),"PFH [1/h] = "&amp;10^9*INDEX(Tab_DaBa[],MATCH(CONCATENATE(Liste!$C$3,$B$2261,$B$2375),Data!$BO:$BO,0)-2,16)&amp;"E-9",IF(INDEX(Tab_DaBa[],MATCH(CONCATENATE(Liste!$C$3,$B$2261,$B$2375),Data!$BO:$BO,0)-2,48)&lt;&gt;"","PFH [1/h] = "&amp;10^9*INDEX(Tab_DaBa[],MATCH(CONCATENATE(Liste!$C$3,$B$2261,$B$2375),Data!$BO:$BO,0)-2,56)&amp;"E-9","")),"")</f>
        <v/>
      </c>
      <c r="C2397" s="39"/>
      <c r="D2397" s="35" t="str">
        <f ca="1">IFERROR(IF(AND(INDEX(Tab_DaBa[],MATCH(CONCATENATE(Liste!$C$3,$B$2261,$B$2375),Data!$BO:$BO,0)-2,53)&lt;&gt;"",INDEX(Tab_DaBa[],MATCH(CONCATENATE(Liste!$C$3,$B$2261,$B$2375),Data!$BO:$BO,0)-2,58)=""),"PFH [1/h] = "&amp;10^9*INDEX(Tab_DaBa[],MATCH(CONCATENATE(Liste!$C$3,$B$2261,$B$2375),Data!$BO:$BO,0)-2,16)&amp;"E-9",IF(INDEX(Tab_DaBa[],MATCH(CONCATENATE(Liste!$C$3,$B$2261,$B$2375),Data!$BO:$BO,0)-2,53)&lt;&gt;"","PFH [1/h] = "&amp;10^9*INDEX(Tab_DaBa[],MATCH(CONCATENATE(Liste!$C$3,$B$2261,$B$2375),Data!$BO:$BO,0)-2,61)&amp;"E-9","")),"")</f>
        <v/>
      </c>
      <c r="E2397" s="37"/>
      <c r="F2397" s="35" t="str">
        <f ca="1">IFERROR(IF(AND(INDEX(Tab_DaBa[],MATCH(CONCATENATE(Liste!$C$3,$B$2261,$B$2375),Data!$BO:$BO,0)-2,58)&lt;&gt;"",INDEX(Tab_DaBa[],MATCH(CONCATENATE(Liste!$C$3,$B$2261,$B$2375),Data!$BO:$BO,0)-2,63)=""),"PFH [1/h] = "&amp;10^9*INDEX(Tab_DaBa[],MATCH(CONCATENATE(Liste!$C$3,$B$2261,$B$2375),Data!$BO:$BO,0)-2,16)&amp;"E-9",IF(INDEX(Tab_DaBa[],MATCH(CONCATENATE(Liste!$C$3,$B$2261,$B$2375),Data!$BO:$BO,0)-2,58)&lt;&gt;"","PFH [1/h] = "&amp;10^9*INDEX(Tab_DaBa[],MATCH(CONCATENATE(Liste!$C$3,$B$2261,$B$2375),Data!$BO:$BO,0)-2,66)&amp;"E-9","")),"")</f>
        <v/>
      </c>
      <c r="G2397" s="39"/>
      <c r="H2397" s="35" t="str">
        <f ca="1">IFERROR(IF(INDEX(Tab_DaBa[],MATCH(CONCATENATE(Liste!$C$3,$B$2261,$B$2375),Data!$BO:$BO,0)-2,63)&lt;&gt;"","PFH [1/h] = "&amp;10^9*INDEX(Tab_DaBa[],MATCH(CONCATENATE(Liste!$C$3,$B$2261,$B$2375),Data!$BO:$BO,0)-2,16)&amp;"E-9",""),"")</f>
        <v/>
      </c>
    </row>
    <row r="2398" spans="2:9" s="16" customFormat="1"/>
    <row r="2399" spans="2:9" s="16" customFormat="1">
      <c r="B2399" s="43" t="str">
        <f ca="1">IF(D2399="","","Erforderlich")</f>
        <v>Erforderlich</v>
      </c>
      <c r="D2399" s="44" t="str">
        <f ca="1">IFERROR("Performance Level: "&amp;INDEX(Tab_DaBa[],MATCH(CONCATENATE(Liste!$C$3,$B$2261,$B$2375),Data!$BO:$BO,0)-2,4),"")</f>
        <v>Performance Level: PLr_ges4_5</v>
      </c>
    </row>
    <row r="2400" spans="2:9" s="16" customFormat="1">
      <c r="B2400" s="45"/>
    </row>
    <row r="2401" spans="2:9" s="16" customFormat="1">
      <c r="B2401" s="46" t="str">
        <f ca="1">IF(D2401="","","Erreicht")</f>
        <v>Erreicht</v>
      </c>
      <c r="D2401" s="47" t="str">
        <f ca="1">IFERROR("Performance Level: "&amp;INDEX(Tab_DaBa[],MATCH(CONCATENATE(Liste!$C$3,$B$2261,$B$2375),Data!$BO:$BO,0)-2,5)&amp;"          PFH [1/h] = "&amp;10^9*INDEX(Tab_DaBa[],MATCH(CONCATENATE(Liste!$C$3,$B$2261,$B$2375),Data!$BO:$BO,0)-2,6)&amp;"E-9","")</f>
        <v>Performance Level: Pl_ges4_5          PFH [1/h] = 71,7E-9</v>
      </c>
    </row>
    <row r="2402" spans="2:9" s="16" customFormat="1"/>
    <row r="2403" spans="2:9" s="16" customFormat="1">
      <c r="B2403" s="42" t="str">
        <f ca="1">IFERROR(IF(6&gt;COUNTIF(Data!$BP:$BP,CONCATENATE(Liste!$C$3,$B$2261)),"",INDEX(Tab_DaBa[],MATCH(CONCATENATE(Liste!$C$3,$B$2261),Data!$BP:$BP,0)+3,3)),"")</f>
        <v>9.6 Test09 (E+6L+A)</v>
      </c>
    </row>
    <row r="2404" spans="2:9" s="16" customFormat="1"/>
    <row r="2405" spans="2:9" s="16" customFormat="1" ht="15.75">
      <c r="B2405" s="35" t="str">
        <f ca="1">IFERROR(INDEX(Tab_DaBa[],MATCH(CONCATENATE(Liste!$C$3,$B$2261,$B$2403),Data!$BO:$BO,0)-2,9),"")</f>
        <v>Eingang</v>
      </c>
      <c r="C2405" s="54"/>
      <c r="D2405" s="35" t="str">
        <f ca="1">IFERROR(IF(INDEX(Tab_DaBa[],MATCH(CONCATENATE(Liste!$C$3,$B$2261,$B$2403),Data!$BO:$BO,0)-2,18)=0,INDEX(Tab_DaBa[],MATCH(CONCATENATE(Liste!$C$3,$B$2261,$B$2403),Data!$BO:$BO,0)-2,14),INDEX(Tab_DaBa[],MATCH(CONCATENATE(Liste!$C$3,$B$2261,$B$2403),Data!$BO:$BO,0)-2,19)),"")</f>
        <v>Logik 01</v>
      </c>
      <c r="E2405" s="33"/>
      <c r="F2405" s="35" t="str">
        <f ca="1">IFERROR(IF(AND(INDEX(Tab_DaBa[],MATCH(CONCATENATE(Liste!$C$3,$B$2261,$B$2403),Data!$BO:$BO,0)-2,18)&lt;&gt;"",INDEX(Tab_DaBa[],MATCH(CONCATENATE(Liste!$C$3,$B$2261,$B$2403),Data!$BO:$BO,0)-2,23)=0),INDEX(Tab_DaBa[],MATCH(CONCATENATE(Liste!$C$3,$B$2261,$B$2403),Data!$BO:$BO,0)-2,14),IF(INDEX(Tab_DaBa[],MATCH(CONCATENATE(Liste!$C$3,$B$2261,$B$2403),Data!$BO:$BO,0)-2,23)&lt;&gt;"",INDEX(Tab_DaBa[],MATCH(CONCATENATE(Liste!$C$3,$B$2261,$B$2403),Data!$BO:$BO,0)-2,24),"")),"")</f>
        <v>Logik 02</v>
      </c>
      <c r="G2405" s="39"/>
      <c r="H2405" s="35" t="str">
        <f ca="1">IFERROR(IF(AND(INDEX(Tab_DaBa[],MATCH(CONCATENATE(Liste!$C$3,$B$2261,$B$2403),Data!$BO:$BO,0)-2,23)&lt;&gt;"",INDEX(Tab_DaBa[],MATCH(CONCATENATE(Liste!$C$3,$B$2261,$B$2403),Data!$BO:$BO,0)-2,28)=0),INDEX(Tab_DaBa[],MATCH(CONCATENATE(Liste!$C$3,$B$2261,$B$2403),Data!$BO:$BO,0)-2,14),IF(INDEX(Tab_DaBa[],MATCH(CONCATENATE(Liste!$C$3,$B$2261,$B$2403),Data!$BO:$BO,0)-2,23)&lt;&gt;"",INDEX(Tab_DaBa[],MATCH(CONCATENATE(Liste!$C$3,$B$2261,$B$2403),Data!$BO:$BO,0)-2,29),"")),"")</f>
        <v>Logik 03</v>
      </c>
      <c r="I2405" s="39"/>
    </row>
    <row r="2406" spans="2:9" s="16" customFormat="1" ht="15.75">
      <c r="B2406" s="35" t="str">
        <f ca="1">IFERROR(INDEX(Tab_DaBa[],MATCH(CONCATENATE(Liste!$C$3,$B$2261,$B$2403),Data!$BO:$BO,0)-2,7),"")</f>
        <v>eeee-33_6</v>
      </c>
      <c r="C2406" s="54"/>
      <c r="D2406" s="35" t="str">
        <f ca="1">IFERROR(IF(INDEX(Tab_DaBa[],MATCH(CONCATENATE(Liste!$C$3,$B$2261,$B$2403),Data!$BO:$BO,0)-2,18)="",INDEX(Tab_DaBa[],MATCH(CONCATENATE(Liste!$C$3,$B$2261,$B$2403),Data!$BO:$BO,0)-2,12),INDEX(Tab_DaBa[],MATCH(CONCATENATE(Liste!$C$3,$B$2261,$B$2403),Data!$BO:$BO,0)-2,17)),"")</f>
        <v>Log01-04_06</v>
      </c>
      <c r="E2406" s="36"/>
      <c r="F2406" s="35" t="str">
        <f ca="1">IFERROR(IF(AND(INDEX(Tab_DaBa[],MATCH(CONCATENATE(Liste!$C$3,$B$2261,$B$2403),Data!$BO:$BO,0)-2,18)&lt;&gt;"",INDEX(Tab_DaBa[],MATCH(CONCATENATE(Liste!$C$3,$B$2261,$B$2403),Data!$BO:$BO,0)-2,23)=0),INDEX(Tab_DaBa[],MATCH(CONCATENATE(Liste!$C$3,$B$2261,$B$2403),Data!$BO:$BO,0)-2,12),IF(INDEX(Tab_DaBa[],MATCH(CONCATENATE(Liste!$C$3,$B$2261,$B$2403),Data!$BO:$BO,0)-2,23)&lt;&gt;"",INDEX(Tab_DaBa[],MATCH(CONCATENATE(Liste!$C$3,$B$2261,$B$2403),Data!$BO:$BO,0)-2,22),"")),"")</f>
        <v>Lo04-04_06</v>
      </c>
      <c r="G2406" s="39"/>
      <c r="H2406" s="35" t="str">
        <f ca="1">IFERROR(IF(AND(INDEX(Tab_DaBa[],MATCH(CONCATENATE(Liste!$C$3,$B$2261,$B$2403),Data!$BO:$BO,0)-2,23)&lt;&gt;"",INDEX(Tab_DaBa[],MATCH(CONCATENATE(Liste!$C$3,$B$2261,$B$2403),Data!$BO:$BO,0)-2,28)=0),INDEX(Tab_DaBa[],MATCH(CONCATENATE(Liste!$C$3,$B$2261,$B$2403),Data!$BO:$BO,0)-2,12),IF(INDEX(Tab_DaBa[],MATCH(CONCATENATE(Liste!$C$3,$B$2261,$B$2403),Data!$BO:$BO,0)-2,23)&lt;&gt;"",INDEX(Tab_DaBa[],MATCH(CONCATENATE(Liste!$C$3,$B$2261,$B$2403),Data!$BO:$BO,0)-2,27),"")),"")</f>
        <v>Lo04-44_06</v>
      </c>
      <c r="I2406" s="39"/>
    </row>
    <row r="2407" spans="2:9" s="16" customFormat="1" ht="15.75">
      <c r="B2407" s="35" t="str">
        <f ca="1">IFERROR(INDEX(Tab_DaBa[],MATCH(CONCATENATE(Liste!$C$3,$B$2261,$B$2403),Data!$BO:$BO,0)-2,8),"")</f>
        <v>Bez_Ein4_6</v>
      </c>
      <c r="C2407" s="40">
        <f ca="1">IF(D2405="","",4)</f>
        <v>4</v>
      </c>
      <c r="D2407" s="35" t="str">
        <f ca="1">IFERROR(IF(INDEX(Tab_DaBa[],MATCH(CONCATENATE(Liste!$C$3,$B$2261,$B$2403),Data!$BO:$BO,0)-2,18)="",INDEX(Tab_DaBa[],MATCH(CONCATENATE(Liste!$C$3,$B$2261,$B$2403),Data!$BO:$BO,0)-2,13),INDEX(Tab_DaBa[],MATCH(CONCATENATE(Liste!$C$3,$B$2261,$B$2403),Data!$BO:$BO,0)-2,18)),"")</f>
        <v>Bez_Log01_04_06</v>
      </c>
      <c r="E2407" s="40">
        <f ca="1">IF(F2405="","",4)</f>
        <v>4</v>
      </c>
      <c r="F2407" s="35" t="str">
        <f ca="1">IFERROR(IF(AND(INDEX(Tab_DaBa[],MATCH(CONCATENATE(Liste!$C$3,$B$2261,$B$2403),Data!$BO:$BO,0)-2,18)&lt;&gt;"",INDEX(Tab_DaBa[],MATCH(CONCATENATE(Liste!$C$3,$B$2261,$B$2403),Data!$BO:$BO,0)-2,23)=""),INDEX(Tab_DaBa[],MATCH(CONCATENATE(Liste!$C$3,$B$2261,$B$2403),Data!$BO:$BO,0)-2,13),IF(INDEX(Tab_DaBa[],MATCH(CONCATENATE(Liste!$C$3,$B$2261,$B$2403),Data!$BO:$BO,0)-2,23)&lt;&gt;"",INDEX(Tab_DaBa[],MATCH(CONCATENATE(Liste!$C$3,$B$2261,$B$2403),Data!$BO:$BO,0)-2,23),"")),"")</f>
        <v>Bez_Lo04_06</v>
      </c>
      <c r="G2407" s="38">
        <f ca="1">IF(H2405="","",4)</f>
        <v>4</v>
      </c>
      <c r="H2407" s="35" t="str">
        <f ca="1">IFERROR(IF(AND(INDEX(Tab_DaBa[],MATCH(CONCATENATE(Liste!$C$3,$B$2261,$B$2403),Data!$BO:$BO,0)-2,23)&lt;&gt;"",INDEX(Tab_DaBa[],MATCH(CONCATENATE(Liste!$C$3,$B$2261,$B$2403),Data!$BO:$BO,0)-2,28)=""),INDEX(Tab_DaBa[],MATCH(CONCATENATE(Liste!$C$3,$B$2261,$B$2403),Data!$BO:$BO,0)-2,13),IF(INDEX(Tab_DaBa[],MATCH(CONCATENATE(Liste!$C$3,$B$2261,$B$2403),Data!$BO:$BO,0)-2,23)&lt;&gt;"",INDEX(Tab_DaBa[],MATCH(CONCATENATE(Liste!$C$3,$B$2261,$B$2403),Data!$BO:$BO,0)-2,28),"")),"")</f>
        <v>Bez_Lo04_06</v>
      </c>
      <c r="I2407" s="38">
        <f ca="1">IF(B2413="","",6)</f>
        <v>6</v>
      </c>
    </row>
    <row r="2408" spans="2:9" s="16" customFormat="1" ht="15.75">
      <c r="B2408" s="35" t="str">
        <f ca="1">IFERROR("Performance Level: "&amp;INDEX(Tab_DaBa[],MATCH(CONCATENATE(Liste!$C$3,$B$2261,$B$2403),Data!$BO:$BO,0)-2,10),"")</f>
        <v>Performance Level: PL_Ein4_6</v>
      </c>
      <c r="C2408" s="54"/>
      <c r="D2408" s="35" t="str">
        <f ca="1">IFERROR(IF(INDEX(Tab_DaBa[],MATCH(CONCATENATE(Liste!$C$3,$B$2261,$B$2403),Data!$BO:$BO,0)-2,18)="","Performance Level: "&amp;INDEX(Tab_DaBa[],MATCH(CONCATENATE(Liste!$C$3,$B$2261,$B$2403),Data!$BO:$BO,0)-2,15),"Performance Level: "&amp;INDEX(Tab_DaBa[],MATCH(CONCATENATE(Liste!$C$3,$B$2261,$B$2403),Data!$BO:$BO,0)-2,20)),"")</f>
        <v>Performance Level: PL_Log01_04_06</v>
      </c>
      <c r="E2408" s="36"/>
      <c r="F2408" s="35" t="str">
        <f ca="1">IFERROR(IF(AND(INDEX(Tab_DaBa[],MATCH(CONCATENATE(Liste!$C$3,$B$2261,$B$2403),Data!$BO:$BO,0)-2,18)&lt;&gt;"",INDEX(Tab_DaBa[],MATCH(CONCATENATE(Liste!$C$3,$B$2261,$B$2403),Data!$BO:$BO,0)-2,23)=""),"Performance Level: "&amp;INDEX(Tab_DaBa[],MATCH(CONCATENATE(Liste!$C$3,$B$2261,$B$2403),Data!$BO:$BO,0)-2,15),IF(INDEX(Tab_DaBa[],MATCH(CONCATENATE(Liste!$C$3,$B$2261,$B$2403),Data!$BO:$BO,0)-2,23)&lt;&gt;"","Performance Level: "&amp;INDEX(Tab_DaBa[],MATCH(CONCATENATE(Liste!$C$3,$B$2261,$B$2403),Data!$BO:$BO,0)-2,25),"")),"")</f>
        <v>Performance Level: PL_Lo04_06</v>
      </c>
      <c r="G2408" s="39"/>
      <c r="H2408" s="35" t="str">
        <f ca="1">IFERROR(IF(AND(INDEX(Tab_DaBa[],MATCH(CONCATENATE(Liste!$C$3,$B$2261,$B$2403),Data!$BO:$BO,0)-2,23)&lt;&gt;"",INDEX(Tab_DaBa[],MATCH(CONCATENATE(Liste!$C$3,$B$2261,$B$2403),Data!$BO:$BO,0)-2,28)=""),"Performance Level: "&amp;INDEX(Tab_DaBa[],MATCH(CONCATENATE(Liste!$C$3,$B$2261,$B$2403),Data!$BO:$BO,0)-2,15),IF(INDEX(Tab_DaBa[],MATCH(CONCATENATE(Liste!$C$3,$B$2261,$B$2403),Data!$BO:$BO,0)-2,23)&lt;&gt;"","Performance Level: "&amp;INDEX(Tab_DaBa[],MATCH(CONCATENATE(Liste!$C$3,$B$2261,$B$2403),Data!$BO:$BO,0)-2,30),"")),"")</f>
        <v>Performance Level: PL_Lo04_06</v>
      </c>
      <c r="I2408" s="38"/>
    </row>
    <row r="2409" spans="2:9" s="16" customFormat="1" ht="15.75">
      <c r="B2409" s="53" t="str">
        <f ca="1">IFERROR("PFH [1/h] = "&amp;10^9*INDEX(Tab_DaBa[],MATCH(CONCATENATE(Liste!$C$3,$B$2261,$B$2403),Data!$BO:$BO,0)-2,11)&amp;"E-9","")</f>
        <v>PFH [1/h] = 42,9E-9</v>
      </c>
      <c r="C2409" s="54"/>
      <c r="D2409" s="35" t="str">
        <f ca="1">IFERROR(IF(INDEX(Tab_DaBa[],MATCH(CONCATENATE(Liste!$C$3,$B$2261,$B$2403),Data!$BO:$BO,0)-2,18)="","PFH [1/h] = "&amp;10^9*INDEX(Tab_DaBa[],MATCH(CONCATENATE(Liste!$C$3,$B$2261,$B$2403),Data!$BO:$BO,0)-2,16)&amp;"E-9","PFH [1/h] = "&amp;10^9*INDEX(Tab_DaBa[],MATCH(CONCATENATE(Liste!$C$3,$B$2261,$B$2403),Data!$BO:$BO,0)-2,21)&amp;"E-9"),"")</f>
        <v>PFH [1/h] = 4,19E-9</v>
      </c>
      <c r="E2409" s="36"/>
      <c r="F2409" s="35" t="str">
        <f ca="1">IFERROR(IF(AND(INDEX(Tab_DaBa[],MATCH(CONCATENATE(Liste!$C$3,$B$2261,$B$2403),Data!$BO:$BO,0)-2,18)&lt;&gt;"",INDEX(Tab_DaBa[],MATCH(CONCATENATE(Liste!$C$3,$B$2261,$B$2403),Data!$BO:$BO,0)-2,23)=""),"PFH [1/h] = "&amp;10^9*INDEX(Tab_DaBa[],MATCH(CONCATENATE(Liste!$C$3,$B$2261,$B$2403),Data!$BO:$BO,0)-2,16)&amp;"E-9",IF(INDEX(Tab_DaBa[],MATCH(CONCATENATE(Liste!$C$3,$B$2261,$B$2403),Data!$BO:$BO,0)-2,23)&lt;&gt;"","PFH [1/h] = "&amp;10^9*INDEX(Tab_DaBa[],MATCH(CONCATENATE(Liste!$C$3,$B$2261,$B$2403),Data!$BO:$BO,0)-2,26)&amp;"E-9","")),"")</f>
        <v>PFH [1/h] = 4,19E-9</v>
      </c>
      <c r="G2409" s="39"/>
      <c r="H2409" s="35" t="str">
        <f ca="1">IFERROR(IF(AND(INDEX(Tab_DaBa[],MATCH(CONCATENATE(Liste!$C$3,$B$2261,$B$2403),Data!$BO:$BO,0)-2,23)&lt;&gt;"",INDEX(Tab_DaBa[],MATCH(CONCATENATE(Liste!$C$3,$B$2261,$B$2403),Data!$BO:$BO,0)-2,28)=""),"PFH [1/h] = "&amp;10^9*INDEX(Tab_DaBa[],MATCH(CONCATENATE(Liste!$C$3,$B$2261,$B$2403),Data!$BO:$BO,0)-2,16)&amp;"E-9",IF(INDEX(Tab_DaBa[],MATCH(CONCATENATE(Liste!$C$3,$B$2261,$B$2403),Data!$BO:$BO,0)-2,23)&lt;&gt;"","PFH [1/h] = "&amp;10^9*INDEX(Tab_DaBa[],MATCH(CONCATENATE(Liste!$C$3,$B$2261,$B$2403),Data!$BO:$BO,0)-2,31)&amp;"E-9","")),"")</f>
        <v>PFH [1/h] = 4,19E-9</v>
      </c>
      <c r="I2409" s="39"/>
    </row>
    <row r="2410" spans="2:9" s="16" customFormat="1">
      <c r="B2410" s="33"/>
      <c r="C2410" s="34"/>
      <c r="D2410" s="33"/>
      <c r="E2410" s="33"/>
      <c r="F2410" s="33"/>
      <c r="G2410" s="33"/>
      <c r="H2410" s="33"/>
      <c r="I2410" s="33"/>
    </row>
    <row r="2411" spans="2:9" s="16" customFormat="1" ht="15.75">
      <c r="B2411" s="38">
        <f ca="1">IF(B2413="","",6)</f>
        <v>6</v>
      </c>
      <c r="C2411" s="34"/>
      <c r="D2411" s="38">
        <f ca="1">IF(B2413="","",3)</f>
        <v>3</v>
      </c>
      <c r="E2411" s="33"/>
      <c r="F2411" s="38">
        <f ca="1">IF(B2413="","",3)</f>
        <v>3</v>
      </c>
      <c r="G2411" s="33"/>
      <c r="H2411" s="38">
        <f ca="1">IF(B2413="","",3)</f>
        <v>3</v>
      </c>
      <c r="I2411" s="33"/>
    </row>
    <row r="2412" spans="2:9" s="16" customFormat="1" ht="15.75">
      <c r="B2412" s="39"/>
      <c r="C2412" s="33"/>
      <c r="D2412" s="33"/>
      <c r="E2412" s="33"/>
      <c r="F2412" s="33"/>
      <c r="G2412" s="33"/>
      <c r="H2412" s="33"/>
      <c r="I2412" s="33"/>
    </row>
    <row r="2413" spans="2:9" s="16" customFormat="1" ht="15.75">
      <c r="B2413" s="35" t="str">
        <f ca="1">IFERROR(IF(AND(INDEX(Tab_DaBa[],MATCH(CONCATENATE(Liste!$C$3,$B$2261,$B$2403),Data!$BO:$BO,0)-2,28)&lt;&gt;"",INDEX(Tab_DaBa[],MATCH(CONCATENATE(Liste!$C$3,$B$2261,$B$2403),Data!$BO:$BO,0)-2,33)=0),INDEX(Tab_DaBa[],MATCH(CONCATENATE(Liste!$C$3,$B$2261,$B$2403),Data!$BO:$BO,0)-2,14),IF(INDEX(Tab_DaBa[],MATCH(CONCATENATE(Liste!$C$3,$B$2261,$B$2403),Data!$BO:$BO,0)-2,28)&lt;&gt;"",INDEX(Tab_DaBa[],MATCH(CONCATENATE(Liste!$C$3,$B$2261,$B$2403),Data!$BO:$BO,0)-2,34),"")),"")</f>
        <v>Logik 04</v>
      </c>
      <c r="C2413" s="39"/>
      <c r="D2413" s="35" t="str">
        <f ca="1">IFERROR(IF(AND(INDEX(Tab_DaBa[],MATCH(CONCATENATE(Liste!$C$3,$B$2261,$B$2403),Data!$BO:$BO,0)-2,33)&lt;&gt;"",INDEX(Tab_DaBa[],MATCH(CONCATENATE(Liste!$C$3,$B$2261,$B$2403),Data!$BO:$BO,0)-2,38)=0),INDEX(Tab_DaBa[],MATCH(CONCATENATE(Liste!$C$3,$B$2261,$B$2403),Data!$BO:$BO,0)-2,14),IF(INDEX(Tab_DaBa[],MATCH(CONCATENATE(Liste!$C$3,$B$2261,$B$2403),Data!$BO:$BO,0)-2,33)&lt;&gt;"",INDEX(Tab_DaBa[],MATCH(CONCATENATE(Liste!$C$3,$B$2261,$B$2403),Data!$BO:$BO,0)-2,39),"")),"")</f>
        <v>Logik 05</v>
      </c>
      <c r="E2413" s="33"/>
      <c r="F2413" s="35" t="str">
        <f ca="1">IFERROR(IF(AND(INDEX(Tab_DaBa[],MATCH(CONCATENATE(Liste!$C$3,$B$2261,$B$2403),Data!$BO:$BO,0)-2,38)&lt;&gt;"",INDEX(Tab_DaBa[],MATCH(CONCATENATE(Liste!$C$3,$B$2261,$B$2403),Data!$BO:$BO,0)-2,43)=0),INDEX(Tab_DaBa[],MATCH(CONCATENATE(Liste!$C$3,$B$2261,$B$2403),Data!$BO:$BO,0)-2,14),IF(INDEX(Tab_DaBa[],MATCH(CONCATENATE(Liste!$C$3,$B$2261,$B$2403),Data!$BO:$BO,0)-2,38)&lt;&gt;"",INDEX(Tab_DaBa[],MATCH(CONCATENATE(Liste!$C$3,$B$2261,$B$2403),Data!$BO:$BO,0)-2,44),"")),"")</f>
        <v>Logik 06</v>
      </c>
      <c r="G2413" s="39"/>
      <c r="H2413" s="35" t="str">
        <f ca="1">IFERROR(IF(AND(INDEX(Tab_DaBa[],MATCH(CONCATENATE(Liste!$C$3,$B$2261,$B$2403),Data!$BO:$BO,0)-2,43)&lt;&gt;"",INDEX(Tab_DaBa[],MATCH(CONCATENATE(Liste!$C$3,$B$2261,$B$2403),Data!$BO:$BO,0)-2,48)=0),INDEX(Tab_DaBa[],MATCH(CONCATENATE(Liste!$C$3,$B$2261,$B$2403),Data!$BO:$BO,0)-2,14),IF(INDEX(Tab_DaBa[],MATCH(CONCATENATE(Liste!$C$3,$B$2261,$B$2403),Data!$BO:$BO,0)-2,43)&lt;&gt;"",INDEX(Tab_DaBa[],MATCH(CONCATENATE(Liste!$C$3,$B$2261,$B$2403),Data!$BO:$BO,0)-2,49),"")),"")</f>
        <v>Ausgang</v>
      </c>
      <c r="I2413" s="39"/>
    </row>
    <row r="2414" spans="2:9" s="16" customFormat="1" ht="15.75">
      <c r="B2414" s="35" t="str">
        <f ca="1">IFERROR(IF(AND(INDEX(Tab_DaBa[],MATCH(CONCATENATE(Liste!$C$3,$B$2261,$B$2403),Data!$BO:$BO,0)-2,28)&lt;&gt;"",INDEX(Tab_DaBa[],MATCH(CONCATENATE(Liste!$C$3,$B$2261,$B$2403),Data!$BO:$BO,0)-2,33)=0),INDEX(Tab_DaBa[],MATCH(CONCATENATE(Liste!$C$3,$B$2261,$B$2403),Data!$BO:$BO,0)-2,12),IF(INDEX(Tab_DaBa[],MATCH(CONCATENATE(Liste!$C$3,$B$2261,$B$2403),Data!$BO:$BO,0)-2,28)&lt;&gt;"",INDEX(Tab_DaBa[],MATCH(CONCATENATE(Liste!$C$3,$B$2261,$B$2403),Data!$BO:$BO,0)-2,32),"")),"")</f>
        <v>Lo04-44_06</v>
      </c>
      <c r="C2414" s="39"/>
      <c r="D2414" s="35" t="str">
        <f ca="1">IFERROR(IF(AND(INDEX(Tab_DaBa[],MATCH(CONCATENATE(Liste!$C$3,$B$2261,$B$2403),Data!$BO:$BO,0)-2,33)&lt;&gt;"",INDEX(Tab_DaBa[],MATCH(CONCATENATE(Liste!$C$3,$B$2261,$B$2403),Data!$BO:$BO,0)-2,38)=0),INDEX(Tab_DaBa[],MATCH(CONCATENATE(Liste!$C$3,$B$2261,$B$2403),Data!$BO:$BO,0)-2,12),IF(INDEX(Tab_DaBa[],MATCH(CONCATENATE(Liste!$C$3,$B$2261,$B$2403),Data!$BO:$BO,0)-2,33)&lt;&gt;"",INDEX(Tab_DaBa[],MATCH(CONCATENATE(Liste!$C$3,$B$2261,$B$2403),Data!$BO:$BO,0)-2,37),"")),"")</f>
        <v>Lo04-44_06</v>
      </c>
      <c r="E2414" s="37"/>
      <c r="F2414" s="35" t="str">
        <f ca="1">IFERROR(IF(AND(INDEX(Tab_DaBa[],MATCH(CONCATENATE(Liste!$C$3,$B$2261,$B$2403),Data!$BO:$BO,0)-2,38)&lt;&gt;"",INDEX(Tab_DaBa[],MATCH(CONCATENATE(Liste!$C$3,$B$2261,$B$2403),Data!$BO:$BO,0)-2,43)=0),INDEX(Tab_DaBa[],MATCH(CONCATENATE(Liste!$C$3,$B$2261,$B$2403),Data!$BO:$BO,0)-2,12),IF(INDEX(Tab_DaBa[],MATCH(CONCATENATE(Liste!$C$3,$B$2261,$B$2403),Data!$BO:$BO,0)-2,38)&lt;&gt;"",INDEX(Tab_DaBa[],MATCH(CONCATENATE(Liste!$C$3,$B$2261,$B$2403),Data!$BO:$BO,0)-2,42),"")),"")</f>
        <v>Lo03-33_06</v>
      </c>
      <c r="G2414" s="39"/>
      <c r="H2414" s="35" t="str">
        <f ca="1">IFERROR(IF(AND(INDEX(Tab_DaBa[],MATCH(CONCATENATE(Liste!$C$3,$B$2261,$B$2403),Data!$BO:$BO,0)-2,43)&lt;&gt;"",INDEX(Tab_DaBa[],MATCH(CONCATENATE(Liste!$C$3,$B$2261,$B$2403),Data!$BO:$BO,0)-2,48)=0),INDEX(Tab_DaBa[],MATCH(CONCATENATE(Liste!$C$3,$B$2261,$B$2403),Data!$BO:$BO,0)-2,12),IF(INDEX(Tab_DaBa[],MATCH(CONCATENATE(Liste!$C$3,$B$2261,$B$2403),Data!$BO:$BO,0)-2,43)&lt;&gt;"",INDEX(Tab_DaBa[],MATCH(CONCATENATE(Liste!$C$3,$B$2261,$B$2403),Data!$BO:$BO,0)-2,47),"")),"")</f>
        <v>aaaa-44_6</v>
      </c>
      <c r="I2414" s="39"/>
    </row>
    <row r="2415" spans="2:9" s="16" customFormat="1" ht="15.75">
      <c r="B2415" s="35" t="str">
        <f ca="1">IFERROR(IF(AND(INDEX(Tab_DaBa[],MATCH(CONCATENATE(Liste!$C$3,$B$2261,$B$2403),Data!$BO:$BO,0)-2,28)&lt;&gt;"",INDEX(Tab_DaBa[],MATCH(CONCATENATE(Liste!$C$3,$B$2261,$B$2403),Data!$BO:$BO,0)-2,33)=""),INDEX(Tab_DaBa[],MATCH(CONCATENATE(Liste!$C$3,$B$2261,$B$2403),Data!$BO:$BO,0)-2,13),IF(INDEX(Tab_DaBa[],MATCH(CONCATENATE(Liste!$C$3,$B$2261,$B$2403),Data!$BO:$BO,0)-2,28)&lt;&gt;"",INDEX(Tab_DaBa[],MATCH(CONCATENATE(Liste!$C$3,$B$2261,$B$2403),Data!$BO:$BO,0)-2,33),"")),"")</f>
        <v>Bez_Lo04_06</v>
      </c>
      <c r="C2415" s="38">
        <f ca="1">IF(D2413="","",4)</f>
        <v>4</v>
      </c>
      <c r="D2415" s="35" t="str">
        <f ca="1">IFERROR(IF(AND(INDEX(Tab_DaBa[],MATCH(CONCATENATE(Liste!$C$3,$B$2261,$B$2403),Data!$BO:$BO,0)-2,33)&lt;&gt;"",INDEX(Tab_DaBa[],MATCH(CONCATENATE(Liste!$C$3,$B$2261,$B$2403),Data!$BO:$BO,0)-2,38)=""),INDEX(Tab_DaBa[],MATCH(CONCATENATE(Liste!$C$3,$B$2261,$B$2403),Data!$BO:$BO,0)-2,13),IF(INDEX(Tab_DaBa[],MATCH(CONCATENATE(Liste!$C$3,$B$2261,$B$2403),Data!$BO:$BO,0)-2,33)&lt;&gt;"",INDEX(Tab_DaBa[],MATCH(CONCATENATE(Liste!$C$3,$B$2261,$B$2403),Data!$BO:$BO,0)-2,38),"")),"")</f>
        <v>Bez_Lo03_06</v>
      </c>
      <c r="E2415" s="38">
        <f ca="1">IF(F2413="","",4)</f>
        <v>4</v>
      </c>
      <c r="F2415" s="35" t="str">
        <f ca="1">IFERROR(IF(AND(INDEX(Tab_DaBa[],MATCH(CONCATENATE(Liste!$C$3,$B$2261,$B$2403),Data!$BO:$BO,0)-2,38)&lt;&gt;"",INDEX(Tab_DaBa[],MATCH(CONCATENATE(Liste!$C$3,$B$2261,$B$2403),Data!$BO:$BO,0)-2,43)=""),INDEX(Tab_DaBa[],MATCH(CONCATENATE(Liste!$C$3,$B$2261,$B$2403),Data!$BO:$BO,0)-2,13),IF(INDEX(Tab_DaBa[],MATCH(CONCATENATE(Liste!$C$3,$B$2261,$B$2403),Data!$BO:$BO,0)-2,38)&lt;&gt;"",INDEX(Tab_DaBa[],MATCH(CONCATENATE(Liste!$C$3,$B$2261,$B$2403),Data!$BO:$BO,0)-2,43),"")),"")</f>
        <v>Bez_Lo03_06</v>
      </c>
      <c r="G2415" s="38">
        <f ca="1">IF(H2413="","",4)</f>
        <v>4</v>
      </c>
      <c r="H2415" s="35" t="str">
        <f ca="1">IFERROR(IF(AND(INDEX(Tab_DaBa[],MATCH(CONCATENATE(Liste!$C$3,$B$2261,$B$2403),Data!$BO:$BO,0)-2,43)&lt;&gt;"",INDEX(Tab_DaBa[],MATCH(CONCATENATE(Liste!$C$3,$B$2261,$B$2403),Data!$BO:$BO,0)-2,48)=""),INDEX(Tab_DaBa[],MATCH(CONCATENATE(Liste!$C$3,$B$2261,$B$2403),Data!$BO:$BO,0)-2,13),IF(INDEX(Tab_DaBa[],MATCH(CONCATENATE(Liste!$C$3,$B$2261,$B$2403),Data!$BO:$BO,0)-2,43)&lt;&gt;"",INDEX(Tab_DaBa[],MATCH(CONCATENATE(Liste!$C$3,$B$2261,$B$2403),Data!$BO:$BO,0)-2,48),"")),"")</f>
        <v>Bez_Aus4_6</v>
      </c>
      <c r="I2415" s="38" t="str">
        <f ca="1">IF(B2421="","",6)</f>
        <v/>
      </c>
    </row>
    <row r="2416" spans="2:9" s="16" customFormat="1" ht="15.75">
      <c r="B2416" s="35" t="str">
        <f ca="1">IFERROR(IF(AND(INDEX(Tab_DaBa[],MATCH(CONCATENATE(Liste!$C$3,$B$2261,$B$2403),Data!$BO:$BO,0)-2,28)&lt;&gt;"",INDEX(Tab_DaBa[],MATCH(CONCATENATE(Liste!$C$3,$B$2261,$B$2403),Data!$BO:$BO,0)-2,33)=""),"Performance Level: "&amp;INDEX(Tab_DaBa[],MATCH(CONCATENATE(Liste!$C$3,$B$2261,$B$2403),Data!$BO:$BO,0)-2,15),IF(INDEX(Tab_DaBa[],MATCH(CONCATENATE(Liste!$C$3,$B$2261,$B$2403),Data!$BO:$BO,0)-2,28)&lt;&gt;"","Performance Level: "&amp;INDEX(Tab_DaBa[],MATCH(CONCATENATE(Liste!$C$3,$B$2261,$B$2403),Data!$BO:$BO,0)-2,35),"")),"")</f>
        <v>Performance Level: PL_Lo04_06</v>
      </c>
      <c r="C2416" s="39"/>
      <c r="D2416" s="35" t="str">
        <f ca="1">IFERROR(IF(AND(INDEX(Tab_DaBa[],MATCH(CONCATENATE(Liste!$C$3,$B$2261,$B$2403),Data!$BO:$BO,0)-2,33)&lt;&gt;"",INDEX(Tab_DaBa[],MATCH(CONCATENATE(Liste!$C$3,$B$2261,$B$2403),Data!$BO:$BO,0)-2,38)=""),"Performance Level: "&amp;INDEX(Tab_DaBa[],MATCH(CONCATENATE(Liste!$C$3,$B$2261,$B$2403),Data!$BO:$BO,0)-2,15),IF(INDEX(Tab_DaBa[],MATCH(CONCATENATE(Liste!$C$3,$B$2261,$B$2403),Data!$BO:$BO,0)-2,33)&lt;&gt;"","Performance Level: "&amp;INDEX(Tab_DaBa[],MATCH(CONCATENATE(Liste!$C$3,$B$2261,$B$2403),Data!$BO:$BO,0)-2,40),"")),"")</f>
        <v>Performance Level: PL_Lo03_6</v>
      </c>
      <c r="E2416" s="37"/>
      <c r="F2416" s="35" t="str">
        <f ca="1">IFERROR(IF(AND(INDEX(Tab_DaBa[],MATCH(CONCATENATE(Liste!$C$3,$B$2261,$B$2403),Data!$BO:$BO,0)-2,38)&lt;&gt;"",INDEX(Tab_DaBa[],MATCH(CONCATENATE(Liste!$C$3,$B$2261,$B$2403),Data!$BO:$BO,0)-2,43)=""),"Performance Level: "&amp;INDEX(Tab_DaBa[],MATCH(CONCATENATE(Liste!$C$3,$B$2261,$B$2403),Data!$BO:$BO,0)-2,15),IF(INDEX(Tab_DaBa[],MATCH(CONCATENATE(Liste!$C$3,$B$2261,$B$2403),Data!$BO:$BO,0)-2,38)&lt;&gt;"","Performance Level: "&amp;INDEX(Tab_DaBa[],MATCH(CONCATENATE(Liste!$C$3,$B$2261,$B$2403),Data!$BO:$BO,0)-2,45),"")),"")</f>
        <v>Performance Level: PL_Lo03_06</v>
      </c>
      <c r="G2416" s="39"/>
      <c r="H2416" s="35" t="str">
        <f ca="1">IFERROR(IF(AND(INDEX(Tab_DaBa[],MATCH(CONCATENATE(Liste!$C$3,$B$2261,$B$2403),Data!$BO:$BO,0)-2,43)&lt;&gt;"",INDEX(Tab_DaBa[],MATCH(CONCATENATE(Liste!$C$3,$B$2261,$B$2403),Data!$BO:$BO,0)-2,48)=""),"Performance Level: "&amp;INDEX(Tab_DaBa[],MATCH(CONCATENATE(Liste!$C$3,$B$2261,$B$2403),Data!$BO:$BO,0)-2,15),IF(INDEX(Tab_DaBa[],MATCH(CONCATENATE(Liste!$C$3,$B$2261,$B$2403),Data!$BO:$BO,0)-2,43)&lt;&gt;"","Performance Level: "&amp;INDEX(Tab_DaBa[],MATCH(CONCATENATE(Liste!$C$3,$B$2261,$B$2403),Data!$BO:$BO,0)-2,50),"")),"")</f>
        <v>Performance Level: PL_Aus4_6</v>
      </c>
      <c r="I2416" s="39"/>
    </row>
    <row r="2417" spans="2:9" s="16" customFormat="1" ht="15.75">
      <c r="B2417" s="35" t="str">
        <f ca="1">IFERROR(IF(AND(INDEX(Tab_DaBa[],MATCH(CONCATENATE(Liste!$C$3,$B$2261,$B$2403),Data!$BO:$BO,0)-2,28)&lt;&gt;"",INDEX(Tab_DaBa[],MATCH(CONCATENATE(Liste!$C$3,$B$2261,$B$2403),Data!$BO:$BO,0)-2,33)=""),"PFH [1/h] = "&amp;10^9*INDEX(Tab_DaBa[],MATCH(CONCATENATE(Liste!$C$3,$B$2261,$B$2403),Data!$BO:$BO,0)-2,16)&amp;"E-9",IF(INDEX(Tab_DaBa[],MATCH(CONCATENATE(Liste!$C$3,$B$2261,$B$2403),Data!$BO:$BO,0)-2,28)&lt;&gt;"","PFH [1/h] = "&amp;10^9*INDEX(Tab_DaBa[],MATCH(CONCATENATE(Liste!$C$3,$B$2261,$B$2403),Data!$BO:$BO,0)-2,36)&amp;"E-9","")),"")</f>
        <v>PFH [1/h] = 4,19E-9</v>
      </c>
      <c r="C2417" s="39"/>
      <c r="D2417" s="35" t="str">
        <f ca="1">IFERROR(IF(AND(INDEX(Tab_DaBa[],MATCH(CONCATENATE(Liste!$C$3,$B$2261,$B$2403),Data!$BO:$BO,0)-2,33)&lt;&gt;"",INDEX(Tab_DaBa[],MATCH(CONCATENATE(Liste!$C$3,$B$2261,$B$2403),Data!$BO:$BO,0)-2,38)=""),"PFH [1/h] = "&amp;10^9*INDEX(Tab_DaBa[],MATCH(CONCATENATE(Liste!$C$3,$B$2261,$B$2403),Data!$BO:$BO,0)-2,16)&amp;"E-9",IF(INDEX(Tab_DaBa[],MATCH(CONCATENATE(Liste!$C$3,$B$2261,$B$2403),Data!$BO:$BO,0)-2,33)&lt;&gt;"","PFH [1/h] = "&amp;10^9*INDEX(Tab_DaBa[],MATCH(CONCATENATE(Liste!$C$3,$B$2261,$B$2403),Data!$BO:$BO,0)-2,41)&amp;"E-9","")),"")</f>
        <v>PFH [1/h] = 4,19E-9</v>
      </c>
      <c r="E2417" s="37"/>
      <c r="F2417" s="35" t="str">
        <f ca="1">IFERROR(IF(AND(INDEX(Tab_DaBa[],MATCH(CONCATENATE(Liste!$C$3,$B$2261,$B$2403),Data!$BO:$BO,0)-2,38)&lt;&gt;"",INDEX(Tab_DaBa[],MATCH(CONCATENATE(Liste!$C$3,$B$2261,$B$2403),Data!$BO:$BO,0)-2,43)=""),"PFH [1/h] = "&amp;10^9*INDEX(Tab_DaBa[],MATCH(CONCATENATE(Liste!$C$3,$B$2261,$B$2403),Data!$BO:$BO,0)-2,16)&amp;"E-9",IF(INDEX(Tab_DaBa[],MATCH(CONCATENATE(Liste!$C$3,$B$2261,$B$2403),Data!$BO:$BO,0)-2,38)&lt;&gt;"","PFH [1/h] = "&amp;10^9*INDEX(Tab_DaBa[],MATCH(CONCATENATE(Liste!$C$3,$B$2261,$B$2403),Data!$BO:$BO,0)-2,46)&amp;"E-9","")),"")</f>
        <v>PFH [1/h] = 4,19E-9</v>
      </c>
      <c r="G2417" s="39"/>
      <c r="H2417" s="35" t="str">
        <f ca="1">IFERROR(IF(AND(INDEX(Tab_DaBa[],MATCH(CONCATENATE(Liste!$C$3,$B$2261,$B$2403),Data!$BO:$BO,0)-2,43)&lt;&gt;"",INDEX(Tab_DaBa[],MATCH(CONCATENATE(Liste!$C$3,$B$2261,$B$2403),Data!$BO:$BO,0)-2,48)=""),"PFH [1/h] = "&amp;10^9*INDEX(Tab_DaBa[],MATCH(CONCATENATE(Liste!$C$3,$B$2261,$B$2403),Data!$BO:$BO,0)-2,16)&amp;"E-9",IF(INDEX(Tab_DaBa[],MATCH(CONCATENATE(Liste!$C$3,$B$2261,$B$2403),Data!$BO:$BO,0)-2,43)&lt;&gt;"","PFH [1/h] = "&amp;10^9*INDEX(Tab_DaBa[],MATCH(CONCATENATE(Liste!$C$3,$B$2261,$B$2403),Data!$BO:$BO,0)-2,51)&amp;"E-9","")),"")</f>
        <v>PFH [1/h] = 24,7E-9</v>
      </c>
      <c r="I2417" s="39"/>
    </row>
    <row r="2418" spans="2:9" s="16" customFormat="1">
      <c r="B2418" s="33"/>
      <c r="C2418" s="33"/>
      <c r="D2418" s="33"/>
      <c r="E2418" s="33"/>
      <c r="F2418" s="33"/>
      <c r="G2418" s="33"/>
      <c r="H2418" s="33"/>
      <c r="I2418" s="33"/>
    </row>
    <row r="2419" spans="2:9" s="16" customFormat="1" ht="15.75">
      <c r="B2419" s="38" t="str">
        <f ca="1">IF(B2421="","",6)</f>
        <v/>
      </c>
      <c r="C2419" s="33"/>
      <c r="D2419" s="38" t="str">
        <f ca="1">IF(B2421="","",3)</f>
        <v/>
      </c>
      <c r="E2419" s="33"/>
      <c r="F2419" s="38" t="str">
        <f ca="1">IF(B2421="","",3)</f>
        <v/>
      </c>
      <c r="G2419" s="33"/>
      <c r="H2419" s="38" t="str">
        <f ca="1">IF(B2421="","",3)</f>
        <v/>
      </c>
      <c r="I2419" s="33"/>
    </row>
    <row r="2420" spans="2:9" s="16" customFormat="1" ht="15.75">
      <c r="B2420" s="39"/>
      <c r="C2420" s="33"/>
      <c r="D2420" s="33"/>
      <c r="E2420" s="33"/>
      <c r="F2420" s="33"/>
      <c r="G2420" s="33"/>
      <c r="H2420" s="33"/>
      <c r="I2420" s="33"/>
    </row>
    <row r="2421" spans="2:9" s="16" customFormat="1" ht="15.75">
      <c r="B2421" s="35" t="str">
        <f ca="1">IFERROR(IF(AND(INDEX(Tab_DaBa[],MATCH(CONCATENATE(Liste!$C$3,$B$2261,$B$2403),Data!$BO:$BO,0)-2,48)&lt;&gt;"",INDEX(Tab_DaBa[],MATCH(CONCATENATE(Liste!$C$3,$B$2261,$B$2403),Data!$BO:$BO,0)-2,53)=0),INDEX(Tab_DaBa[],MATCH(CONCATENATE(Liste!$C$3,$B$2261,$B$2403),Data!$BO:$BO,0)-2,14),IF(INDEX(Tab_DaBa[],MATCH(CONCATENATE(Liste!$C$3,$B$2261,$B$2403),Data!$BO:$BO,0)-2,48)&lt;&gt;"",INDEX(Tab_DaBa[],MATCH(CONCATENATE(Liste!$C$3,$B$2261,$B$2403),Data!$BO:$BO,0)-2,54),"")),"")</f>
        <v/>
      </c>
      <c r="C2421" s="39"/>
      <c r="D2421" s="35" t="str">
        <f ca="1">IFERROR(IF(AND(INDEX(Tab_DaBa[],MATCH(CONCATENATE(Liste!$C$3,$B$2261,$B$2403),Data!$BO:$BO,0)-2,53)&lt;&gt;"",INDEX(Tab_DaBa[],MATCH(CONCATENATE(Liste!$C$3,$B$2261,$B$2403),Data!$BO:$BO,0)-2,58)=0),INDEX(Tab_DaBa[],MATCH(CONCATENATE(Liste!$C$3,$B$2261,$B$2403),Data!$BO:$BO,0)-2,14),IF(INDEX(Tab_DaBa[],MATCH(CONCATENATE(Liste!$C$3,$B$2261,$B$2403),Data!$BO:$BO,0)-2,53)&lt;&gt;"",INDEX(Tab_DaBa[],MATCH(CONCATENATE(Liste!$C$3,$B$2261,$B$2403),Data!$BO:$BO,0)-2,59),"")),"")</f>
        <v/>
      </c>
      <c r="E2421" s="33"/>
      <c r="F2421" s="35" t="str">
        <f ca="1">IFERROR(IF(AND(INDEX(Tab_DaBa[],MATCH(CONCATENATE(Liste!$C$3,$B$2261,$B$2403),Data!$BO:$BO,0)-2,58)&lt;&gt;"",INDEX(Tab_DaBa[],MATCH(CONCATENATE(Liste!$C$3,$B$2261,$B$2403),Data!$BO:$BO,0)-2,63)=0),INDEX(Tab_DaBa[],MATCH(CONCATENATE(Liste!$C$3,$B$2261,$B$2403),Data!$BO:$BO,0)-2,14),IF(INDEX(Tab_DaBa[],MATCH(CONCATENATE(Liste!$C$3,$B$2261,$B$2403),Data!$BO:$BO,0)-2,58)&lt;&gt;"",INDEX(Tab_DaBa[],MATCH(CONCATENATE(Liste!$C$3,$B$2261,$B$2403),Data!$BO:$BO,0)-2,64),"")),"")</f>
        <v/>
      </c>
      <c r="G2421" s="39"/>
      <c r="H2421" s="35" t="str">
        <f ca="1">IFERROR(IF(INDEX(Tab_DaBa[],MATCH(CONCATENATE(Liste!$C$3,$B$2261,$B$2403),Data!$BO:$BO,0)-2,63)&lt;&gt;"",INDEX(Tab_DaBa[],MATCH(CONCATENATE(Liste!$C$3,$B$2261,$B$2403),Data!$BO:$BO,0)-2,14),""),"")</f>
        <v/>
      </c>
    </row>
    <row r="2422" spans="2:9" s="16" customFormat="1" ht="15.75">
      <c r="B2422" s="35" t="str">
        <f ca="1">IFERROR(IF(AND(INDEX(Tab_DaBa[],MATCH(CONCATENATE(Liste!$C$3,$B$2261,$B$2403),Data!$BO:$BO,0)-2,48)&lt;&gt;"",INDEX(Tab_DaBa[],MATCH(CONCATENATE(Liste!$C$3,$B$2261,$B$2403),Data!$BO:$BO,0)-2,53)=0),INDEX(Tab_DaBa[],MATCH(CONCATENATE(Liste!$C$3,$B$2261,$B$2403),Data!$BO:$BO,0)-2,12),IF(INDEX(Tab_DaBa[],MATCH(CONCATENATE(Liste!$C$3,$B$2261,$B$2403),Data!$BO:$BO,0)-2,48)&lt;&gt;"",INDEX(Tab_DaBa[],MATCH(CONCATENATE(Liste!$C$3,$B$2261,$B$2403),Data!$BO:$BO,0)-2,52),"")),"")</f>
        <v/>
      </c>
      <c r="C2422" s="39"/>
      <c r="D2422" s="35" t="str">
        <f ca="1">IFERROR(IF(AND(INDEX(Tab_DaBa[],MATCH(CONCATENATE(Liste!$C$3,$B$2261,$B$2403),Data!$BO:$BO,0)-2,53)&lt;&gt;"",INDEX(Tab_DaBa[],MATCH(CONCATENATE(Liste!$C$3,$B$2261,$B$2403),Data!$BO:$BO,0)-2,58)=0),INDEX(Tab_DaBa[],MATCH(CONCATENATE(Liste!$C$3,$B$2261,$B$2403),Data!$BO:$BO,0)-2,12),IF(INDEX(Tab_DaBa[],MATCH(CONCATENATE(Liste!$C$3,$B$2261,$B$2403),Data!$BO:$BO,0)-2,53)&lt;&gt;"",INDEX(Tab_DaBa[],MATCH(CONCATENATE(Liste!$C$3,$B$2261,$B$2403),Data!$BO:$BO,0)-2,57),"")),"")</f>
        <v/>
      </c>
      <c r="E2422" s="37"/>
      <c r="F2422" s="35" t="str">
        <f ca="1">IFERROR(IF(AND(INDEX(Tab_DaBa[],MATCH(CONCATENATE(Liste!$C$3,$B$2261,$B$2403),Data!$BO:$BO,0)-2,58)&lt;&gt;"",INDEX(Tab_DaBa[],MATCH(CONCATENATE(Liste!$C$3,$B$2261,$B$2403),Data!$BO:$BO,0)-2,63)=0),INDEX(Tab_DaBa[],MATCH(CONCATENATE(Liste!$C$3,$B$2261,$B$2403),Data!$BO:$BO,0)-2,12),IF(INDEX(Tab_DaBa[],MATCH(CONCATENATE(Liste!$C$3,$B$2261,$B$2403),Data!$BO:$BO,0)-2,58)&lt;&gt;"",INDEX(Tab_DaBa[],MATCH(CONCATENATE(Liste!$C$3,$B$2261,$B$2403),Data!$BO:$BO,0)-2,62),"")),"")</f>
        <v/>
      </c>
      <c r="G2422" s="39"/>
      <c r="H2422" s="35" t="str">
        <f ca="1">IFERROR(IF(INDEX(Tab_DaBa[],MATCH(CONCATENATE(Liste!$C$3,$B$2261,$B$2403),Data!$BO:$BO,0)-2,63)&lt;&gt;"",INDEX(Tab_DaBa[],MATCH(CONCATENATE(Liste!$C$3,$B$2261,$B$2403),Data!$BO:$BO,0)-2,12),""),"")</f>
        <v/>
      </c>
    </row>
    <row r="2423" spans="2:9" s="16" customFormat="1" ht="15.75">
      <c r="B2423" s="35" t="str">
        <f ca="1">IFERROR(IF(AND(INDEX(Tab_DaBa[],MATCH(CONCATENATE(Liste!$C$3,$B$2261,$B$2403),Data!$BO:$BO,0)-2,48)&lt;&gt;"",INDEX(Tab_DaBa[],MATCH(CONCATENATE(Liste!$C$3,$B$2261,$B$2403),Data!$BO:$BO,0)-2,53)=""),INDEX(Tab_DaBa[],MATCH(CONCATENATE(Liste!$C$3,$B$2261,$B$2403),Data!$BO:$BO,0)-2,13),IF(INDEX(Tab_DaBa[],MATCH(CONCATENATE(Liste!$C$3,$B$2261,$B$2403),Data!$BO:$BO,0)-2,48)&lt;&gt;"",INDEX(Tab_DaBa[],MATCH(CONCATENATE(Liste!$C$3,$B$2261,$B$2403),Data!$BO:$BO,0)-2,53),"")),"")</f>
        <v/>
      </c>
      <c r="C2423" s="38" t="str">
        <f ca="1">IF(D2421="","",4)</f>
        <v/>
      </c>
      <c r="D2423" s="35" t="str">
        <f ca="1">IFERROR(IF(AND(INDEX(Tab_DaBa[],MATCH(CONCATENATE(Liste!$C$3,$B$2261,$B$2403),Data!$BO:$BO,0)-2,53)&lt;&gt;"",INDEX(Tab_DaBa[],MATCH(CONCATENATE(Liste!$C$3,$B$2261,$B$2403),Data!$BO:$BO,0)-2,58)=""),INDEX(Tab_DaBa[],MATCH(CONCATENATE(Liste!$C$3,$B$2261,$B$2403),Data!$BO:$BO,0)-2,13),IF(INDEX(Tab_DaBa[],MATCH(CONCATENATE(Liste!$C$3,$B$2261,$B$2403),Data!$BO:$BO,0)-2,53)&lt;&gt;"",INDEX(Tab_DaBa[],MATCH(CONCATENATE(Liste!$C$3,$B$2261,$B$2403),Data!$BO:$BO,0)-2,58),"")),"")</f>
        <v/>
      </c>
      <c r="E2423" s="38" t="str">
        <f ca="1">IF(F2421="","",4)</f>
        <v/>
      </c>
      <c r="F2423" s="35" t="str">
        <f ca="1">IFERROR(IF(AND(INDEX(Tab_DaBa[],MATCH(CONCATENATE(Liste!$C$3,$B$2261,$B$2403),Data!$BO:$BO,0)-2,58)&lt;&gt;"",INDEX(Tab_DaBa[],MATCH(CONCATENATE(Liste!$C$3,$B$2261,$B$2403),Data!$BO:$BO,0)-2,63)=""),INDEX(Tab_DaBa[],MATCH(CONCATENATE(Liste!$C$3,$B$2261,$B$2403),Data!$BO:$BO,0)-2,13),IF(INDEX(Tab_DaBa[],MATCH(CONCATENATE(Liste!$C$3,$B$2261,$B$2403),Data!$BO:$BO,0)-2,58)&lt;&gt;"",INDEX(Tab_DaBa[],MATCH(CONCATENATE(Liste!$C$3,$B$2261,$B$2403),Data!$BO:$BO,0)-2,63),"")),"")</f>
        <v/>
      </c>
      <c r="G2423" s="38" t="str">
        <f ca="1">IF(H2421="","",4)</f>
        <v/>
      </c>
      <c r="H2423" s="35" t="str">
        <f ca="1">IFERROR(IF(INDEX(Tab_DaBa[],MATCH(CONCATENATE(Liste!$C$3,$B$2261,$B$2403),Data!$BO:$BO,0)-2,63)&lt;&gt;"",INDEX(Tab_DaBa[],MATCH(CONCATENATE(Liste!$C$3,$B$2261,$B$2403),Data!$BO:$BO,0)-2,13),""),"")</f>
        <v/>
      </c>
    </row>
    <row r="2424" spans="2:9" s="16" customFormat="1" ht="15.75">
      <c r="B2424" s="35" t="str">
        <f ca="1">IFERROR(IF(AND(INDEX(Tab_DaBa[],MATCH(CONCATENATE(Liste!$C$3,$B$2261,$B$2403),Data!$BO:$BO,0)-2,48)&lt;&gt;"",INDEX(Tab_DaBa[],MATCH(CONCATENATE(Liste!$C$3,$B$2261,$B$2403),Data!$BO:$BO,0)-2,53)=""),"Performance Level: "&amp;INDEX(Tab_DaBa[],MATCH(CONCATENATE(Liste!$C$3,$B$2261,$B$2403),Data!$BO:$BO,0)-2,15),IF(INDEX(Tab_DaBa[],MATCH(CONCATENATE(Liste!$C$3,$B$2261,$B$2403),Data!$BO:$BO,0)-2,48)&lt;&gt;"","Performance Level: "&amp;INDEX(Tab_DaBa[],MATCH(CONCATENATE(Liste!$C$3,$B$2261,$B$2403),Data!$BO:$BO,0)-2,55),"")),"")</f>
        <v/>
      </c>
      <c r="C2424" s="39"/>
      <c r="D2424" s="35" t="str">
        <f ca="1">IFERROR(IF(AND(INDEX(Tab_DaBa[],MATCH(CONCATENATE(Liste!$C$3,$B$2261,$B$2403),Data!$BO:$BO,0)-2,53)&lt;&gt;"",INDEX(Tab_DaBa[],MATCH(CONCATENATE(Liste!$C$3,$B$2261,$B$2403),Data!$BO:$BO,0)-2,58)=""),"Performance Level: "&amp;INDEX(Tab_DaBa[],MATCH(CONCATENATE(Liste!$C$3,$B$2261,$B$2403),Data!$BO:$BO,0)-2,15),IF(INDEX(Tab_DaBa[],MATCH(CONCATENATE(Liste!$C$3,$B$2261,$B$2403),Data!$BO:$BO,0)-2,53)&lt;&gt;"","Performance Level: "&amp;INDEX(Tab_DaBa[],MATCH(CONCATENATE(Liste!$C$3,$B$2261,$B$2403),Data!$BO:$BO,0)-2,60),"")),"")</f>
        <v/>
      </c>
      <c r="E2424" s="37"/>
      <c r="F2424" s="35" t="str">
        <f ca="1">IFERROR(IF(AND(INDEX(Tab_DaBa[],MATCH(CONCATENATE(Liste!$C$3,$B$2261,$B$2403),Data!$BO:$BO,0)-2,58)&lt;&gt;"",INDEX(Tab_DaBa[],MATCH(CONCATENATE(Liste!$C$3,$B$2261,$B$2403),Data!$BO:$BO,0)-2,63)=""),"Performance Level: "&amp;INDEX(Tab_DaBa[],MATCH(CONCATENATE(Liste!$C$3,$B$2261,$B$2403),Data!$BO:$BO,0)-2,15),IF(INDEX(Tab_DaBa[],MATCH(CONCATENATE(Liste!$C$3,$B$2261,$B$2403),Data!$BO:$BO,0)-2,58)&lt;&gt;"","Performance Level: "&amp;INDEX(Tab_DaBa[],MATCH(CONCATENATE(Liste!$C$3,$B$2261,$B$2403),Data!$BO:$BO,0)-2,65),"")),"")</f>
        <v/>
      </c>
      <c r="G2424" s="39"/>
      <c r="H2424" s="35" t="str">
        <f ca="1">IFERROR(IF(INDEX(Tab_DaBa[],MATCH(CONCATENATE(Liste!$C$3,$B$2261,$B$2403),Data!$BO:$BO,0)-2,63)&lt;&gt;"","Performance Level: "&amp;INDEX(Tab_DaBa[],MATCH(CONCATENATE(Liste!$C$3,$B$2261,$B$2403),Data!$BO:$BO,0)-2,15),""),"")</f>
        <v/>
      </c>
    </row>
    <row r="2425" spans="2:9" s="16" customFormat="1" ht="15.75">
      <c r="B2425" s="35" t="str">
        <f ca="1">IFERROR(IF(AND(INDEX(Tab_DaBa[],MATCH(CONCATENATE(Liste!$C$3,$B$2261,$B$2403),Data!$BO:$BO,0)-2,48)&lt;&gt;"",INDEX(Tab_DaBa[],MATCH(CONCATENATE(Liste!$C$3,$B$2261,$B$2403),Data!$BO:$BO,0)-2,53)=""),"PFH [1/h] = "&amp;10^9*INDEX(Tab_DaBa[],MATCH(CONCATENATE(Liste!$C$3,$B$2261,$B$2403),Data!$BO:$BO,0)-2,16)&amp;"E-9",IF(INDEX(Tab_DaBa[],MATCH(CONCATENATE(Liste!$C$3,$B$2261,$B$2403),Data!$BO:$BO,0)-2,48)&lt;&gt;"","PFH [1/h] = "&amp;10^9*INDEX(Tab_DaBa[],MATCH(CONCATENATE(Liste!$C$3,$B$2261,$B$2403),Data!$BO:$BO,0)-2,56)&amp;"E-9","")),"")</f>
        <v/>
      </c>
      <c r="C2425" s="39"/>
      <c r="D2425" s="35" t="str">
        <f ca="1">IFERROR(IF(AND(INDEX(Tab_DaBa[],MATCH(CONCATENATE(Liste!$C$3,$B$2261,$B$2403),Data!$BO:$BO,0)-2,53)&lt;&gt;"",INDEX(Tab_DaBa[],MATCH(CONCATENATE(Liste!$C$3,$B$2261,$B$2403),Data!$BO:$BO,0)-2,58)=""),"PFH [1/h] = "&amp;10^9*INDEX(Tab_DaBa[],MATCH(CONCATENATE(Liste!$C$3,$B$2261,$B$2403),Data!$BO:$BO,0)-2,16)&amp;"E-9",IF(INDEX(Tab_DaBa[],MATCH(CONCATENATE(Liste!$C$3,$B$2261,$B$2403),Data!$BO:$BO,0)-2,53)&lt;&gt;"","PFH [1/h] = "&amp;10^9*INDEX(Tab_DaBa[],MATCH(CONCATENATE(Liste!$C$3,$B$2261,$B$2403),Data!$BO:$BO,0)-2,61)&amp;"E-9","")),"")</f>
        <v/>
      </c>
      <c r="E2425" s="37"/>
      <c r="F2425" s="35" t="str">
        <f ca="1">IFERROR(IF(AND(INDEX(Tab_DaBa[],MATCH(CONCATENATE(Liste!$C$3,$B$2261,$B$2403),Data!$BO:$BO,0)-2,58)&lt;&gt;"",INDEX(Tab_DaBa[],MATCH(CONCATENATE(Liste!$C$3,$B$2261,$B$2403),Data!$BO:$BO,0)-2,63)=""),"PFH [1/h] = "&amp;10^9*INDEX(Tab_DaBa[],MATCH(CONCATENATE(Liste!$C$3,$B$2261,$B$2403),Data!$BO:$BO,0)-2,16)&amp;"E-9",IF(INDEX(Tab_DaBa[],MATCH(CONCATENATE(Liste!$C$3,$B$2261,$B$2403),Data!$BO:$BO,0)-2,58)&lt;&gt;"","PFH [1/h] = "&amp;10^9*INDEX(Tab_DaBa[],MATCH(CONCATENATE(Liste!$C$3,$B$2261,$B$2403),Data!$BO:$BO,0)-2,66)&amp;"E-9","")),"")</f>
        <v/>
      </c>
      <c r="G2425" s="39"/>
      <c r="H2425" s="35" t="str">
        <f ca="1">IFERROR(IF(INDEX(Tab_DaBa[],MATCH(CONCATENATE(Liste!$C$3,$B$2261,$B$2403),Data!$BO:$BO,0)-2,63)&lt;&gt;"","PFH [1/h] = "&amp;10^9*INDEX(Tab_DaBa[],MATCH(CONCATENATE(Liste!$C$3,$B$2261,$B$2403),Data!$BO:$BO,0)-2,16)&amp;"E-9",""),"")</f>
        <v/>
      </c>
    </row>
    <row r="2426" spans="2:9" s="16" customFormat="1"/>
    <row r="2427" spans="2:9" s="16" customFormat="1">
      <c r="B2427" s="43" t="str">
        <f ca="1">IF(D2427="","","Erforderlich")</f>
        <v>Erforderlich</v>
      </c>
      <c r="D2427" s="44" t="str">
        <f ca="1">IFERROR("Performance Level: "&amp;INDEX(Tab_DaBa[],MATCH(CONCATENATE(Liste!$C$3,$B$2261,$B$2403),Data!$BO:$BO,0)-2,4),"")</f>
        <v>Performance Level: PLr_ges4_6</v>
      </c>
    </row>
    <row r="2428" spans="2:9" s="16" customFormat="1">
      <c r="B2428" s="45"/>
    </row>
    <row r="2429" spans="2:9" s="16" customFormat="1">
      <c r="B2429" s="46" t="str">
        <f ca="1">IF(D2429="","","Erreicht")</f>
        <v>Erreicht</v>
      </c>
      <c r="D2429" s="47" t="str">
        <f ca="1">IFERROR("Performance Level: "&amp;INDEX(Tab_DaBa[],MATCH(CONCATENATE(Liste!$C$3,$B$2261,$B$2403),Data!$BO:$BO,0)-2,5)&amp;"          PFH [1/h] = "&amp;10^9*INDEX(Tab_DaBa[],MATCH(CONCATENATE(Liste!$C$3,$B$2261,$B$2403),Data!$BO:$BO,0)-2,6)&amp;"E-9","")</f>
        <v>Performance Level: Pl_ges4_6          PFH [1/h] = 71,7E-9</v>
      </c>
    </row>
    <row r="2430" spans="2:9" s="16" customFormat="1"/>
    <row r="2431" spans="2:9" s="16" customFormat="1">
      <c r="B2431" s="42" t="str">
        <f ca="1">IFERROR(IF(7&gt;COUNTIF(Data!$BP:$BP,CONCATENATE(Liste!$C$3,$B$2261)),"",INDEX(Tab_DaBa[],MATCH(CONCATENATE(Liste!$C$3,$B$2261),Data!$BP:$BP,0)+4,3)),"")</f>
        <v>9.7 Test09 (E+7L+A)</v>
      </c>
    </row>
    <row r="2432" spans="2:9" s="16" customFormat="1"/>
    <row r="2433" spans="2:9" s="16" customFormat="1" ht="15.75">
      <c r="B2433" s="35" t="str">
        <f ca="1">IFERROR(INDEX(Tab_DaBa[],MATCH(CONCATENATE(Liste!$C$3,$B$2261,$B$2431),Data!$BO:$BO,0)-2,9),"")</f>
        <v>Eingang</v>
      </c>
      <c r="C2433" s="54"/>
      <c r="D2433" s="35" t="str">
        <f ca="1">IFERROR(IF(INDEX(Tab_DaBa[],MATCH(CONCATENATE(Liste!$C$3,$B$2261,$B$2431),Data!$BO:$BO,0)-2,18)=0,INDEX(Tab_DaBa[],MATCH(CONCATENATE(Liste!$C$3,$B$2261,$B$2431),Data!$BO:$BO,0)-2,14),INDEX(Tab_DaBa[],MATCH(CONCATENATE(Liste!$C$3,$B$2261,$B$2431),Data!$BO:$BO,0)-2,19)),"")</f>
        <v>Logik 01</v>
      </c>
      <c r="E2433" s="33"/>
      <c r="F2433" s="35" t="str">
        <f ca="1">IFERROR(IF(AND(INDEX(Tab_DaBa[],MATCH(CONCATENATE(Liste!$C$3,$B$2261,$B$2431),Data!$BO:$BO,0)-2,18)&lt;&gt;"",INDEX(Tab_DaBa[],MATCH(CONCATENATE(Liste!$C$3,$B$2261,$B$2431),Data!$BO:$BO,0)-2,23)=0),INDEX(Tab_DaBa[],MATCH(CONCATENATE(Liste!$C$3,$B$2261,$B$2431),Data!$BO:$BO,0)-2,14),IF(INDEX(Tab_DaBa[],MATCH(CONCATENATE(Liste!$C$3,$B$2261,$B$2431),Data!$BO:$BO,0)-2,23)&lt;&gt;"",INDEX(Tab_DaBa[],MATCH(CONCATENATE(Liste!$C$3,$B$2261,$B$2431),Data!$BO:$BO,0)-2,24),"")),"")</f>
        <v>Logik 02</v>
      </c>
      <c r="G2433" s="39"/>
      <c r="H2433" s="35" t="str">
        <f ca="1">IFERROR(IF(AND(INDEX(Tab_DaBa[],MATCH(CONCATENATE(Liste!$C$3,$B$2261,$B$2431),Data!$BO:$BO,0)-2,23)&lt;&gt;"",INDEX(Tab_DaBa[],MATCH(CONCATENATE(Liste!$C$3,$B$2261,$B$2431),Data!$BO:$BO,0)-2,28)=0),INDEX(Tab_DaBa[],MATCH(CONCATENATE(Liste!$C$3,$B$2261,$B$2431),Data!$BO:$BO,0)-2,14),IF(INDEX(Tab_DaBa[],MATCH(CONCATENATE(Liste!$C$3,$B$2261,$B$2431),Data!$BO:$BO,0)-2,23)&lt;&gt;"",INDEX(Tab_DaBa[],MATCH(CONCATENATE(Liste!$C$3,$B$2261,$B$2431),Data!$BO:$BO,0)-2,29),"")),"")</f>
        <v>Logik 03</v>
      </c>
      <c r="I2433" s="39"/>
    </row>
    <row r="2434" spans="2:9" s="16" customFormat="1" ht="15.75">
      <c r="B2434" s="35" t="str">
        <f ca="1">IFERROR(INDEX(Tab_DaBa[],MATCH(CONCATENATE(Liste!$C$3,$B$2261,$B$2431),Data!$BO:$BO,0)-2,7),"")</f>
        <v>eeee-33_7</v>
      </c>
      <c r="C2434" s="54"/>
      <c r="D2434" s="35" t="str">
        <f ca="1">IFERROR(IF(INDEX(Tab_DaBa[],MATCH(CONCATENATE(Liste!$C$3,$B$2261,$B$2431),Data!$BO:$BO,0)-2,18)="",INDEX(Tab_DaBa[],MATCH(CONCATENATE(Liste!$C$3,$B$2261,$B$2431),Data!$BO:$BO,0)-2,12),INDEX(Tab_DaBa[],MATCH(CONCATENATE(Liste!$C$3,$B$2261,$B$2431),Data!$BO:$BO,0)-2,17)),"")</f>
        <v>Log01-04_07</v>
      </c>
      <c r="E2434" s="36"/>
      <c r="F2434" s="35" t="str">
        <f ca="1">IFERROR(IF(AND(INDEX(Tab_DaBa[],MATCH(CONCATENATE(Liste!$C$3,$B$2261,$B$2431),Data!$BO:$BO,0)-2,18)&lt;&gt;"",INDEX(Tab_DaBa[],MATCH(CONCATENATE(Liste!$C$3,$B$2261,$B$2431),Data!$BO:$BO,0)-2,23)=0),INDEX(Tab_DaBa[],MATCH(CONCATENATE(Liste!$C$3,$B$2261,$B$2431),Data!$BO:$BO,0)-2,12),IF(INDEX(Tab_DaBa[],MATCH(CONCATENATE(Liste!$C$3,$B$2261,$B$2431),Data!$BO:$BO,0)-2,23)&lt;&gt;"",INDEX(Tab_DaBa[],MATCH(CONCATENATE(Liste!$C$3,$B$2261,$B$2431),Data!$BO:$BO,0)-2,22),"")),"")</f>
        <v>Lo04-04_07</v>
      </c>
      <c r="G2434" s="39"/>
      <c r="H2434" s="35" t="str">
        <f ca="1">IFERROR(IF(AND(INDEX(Tab_DaBa[],MATCH(CONCATENATE(Liste!$C$3,$B$2261,$B$2431),Data!$BO:$BO,0)-2,23)&lt;&gt;"",INDEX(Tab_DaBa[],MATCH(CONCATENATE(Liste!$C$3,$B$2261,$B$2431),Data!$BO:$BO,0)-2,28)=0),INDEX(Tab_DaBa[],MATCH(CONCATENATE(Liste!$C$3,$B$2261,$B$2431),Data!$BO:$BO,0)-2,12),IF(INDEX(Tab_DaBa[],MATCH(CONCATENATE(Liste!$C$3,$B$2261,$B$2431),Data!$BO:$BO,0)-2,23)&lt;&gt;"",INDEX(Tab_DaBa[],MATCH(CONCATENATE(Liste!$C$3,$B$2261,$B$2431),Data!$BO:$BO,0)-2,27),"")),"")</f>
        <v>Lo04-44_07</v>
      </c>
      <c r="I2434" s="39"/>
    </row>
    <row r="2435" spans="2:9" s="16" customFormat="1" ht="15.75">
      <c r="B2435" s="35" t="str">
        <f ca="1">IFERROR(INDEX(Tab_DaBa[],MATCH(CONCATENATE(Liste!$C$3,$B$2261,$B$2431),Data!$BO:$BO,0)-2,8),"")</f>
        <v>Bez_Ein4_7</v>
      </c>
      <c r="C2435" s="40">
        <f ca="1">IF(D2433="","",4)</f>
        <v>4</v>
      </c>
      <c r="D2435" s="35" t="str">
        <f ca="1">IFERROR(IF(INDEX(Tab_DaBa[],MATCH(CONCATENATE(Liste!$C$3,$B$2261,$B$2431),Data!$BO:$BO,0)-2,18)="",INDEX(Tab_DaBa[],MATCH(CONCATENATE(Liste!$C$3,$B$2261,$B$2431),Data!$BO:$BO,0)-2,13),INDEX(Tab_DaBa[],MATCH(CONCATENATE(Liste!$C$3,$B$2261,$B$2431),Data!$BO:$BO,0)-2,18)),"")</f>
        <v>Bez_Log01_04_07</v>
      </c>
      <c r="E2435" s="40">
        <f ca="1">IF(F2433="","",4)</f>
        <v>4</v>
      </c>
      <c r="F2435" s="35" t="str">
        <f ca="1">IFERROR(IF(AND(INDEX(Tab_DaBa[],MATCH(CONCATENATE(Liste!$C$3,$B$2261,$B$2431),Data!$BO:$BO,0)-2,18)&lt;&gt;"",INDEX(Tab_DaBa[],MATCH(CONCATENATE(Liste!$C$3,$B$2261,$B$2431),Data!$BO:$BO,0)-2,23)=""),INDEX(Tab_DaBa[],MATCH(CONCATENATE(Liste!$C$3,$B$2261,$B$2431),Data!$BO:$BO,0)-2,13),IF(INDEX(Tab_DaBa[],MATCH(CONCATENATE(Liste!$C$3,$B$2261,$B$2431),Data!$BO:$BO,0)-2,23)&lt;&gt;"",INDEX(Tab_DaBa[],MATCH(CONCATENATE(Liste!$C$3,$B$2261,$B$2431),Data!$BO:$BO,0)-2,23),"")),"")</f>
        <v>Bez_Lo04_07</v>
      </c>
      <c r="G2435" s="38">
        <f ca="1">IF(H2433="","",4)</f>
        <v>4</v>
      </c>
      <c r="H2435" s="35" t="str">
        <f ca="1">IFERROR(IF(AND(INDEX(Tab_DaBa[],MATCH(CONCATENATE(Liste!$C$3,$B$2261,$B$2431),Data!$BO:$BO,0)-2,23)&lt;&gt;"",INDEX(Tab_DaBa[],MATCH(CONCATENATE(Liste!$C$3,$B$2261,$B$2431),Data!$BO:$BO,0)-2,28)=""),INDEX(Tab_DaBa[],MATCH(CONCATENATE(Liste!$C$3,$B$2261,$B$2431),Data!$BO:$BO,0)-2,13),IF(INDEX(Tab_DaBa[],MATCH(CONCATENATE(Liste!$C$3,$B$2261,$B$2431),Data!$BO:$BO,0)-2,23)&lt;&gt;"",INDEX(Tab_DaBa[],MATCH(CONCATENATE(Liste!$C$3,$B$2261,$B$2431),Data!$BO:$BO,0)-2,28),"")),"")</f>
        <v>Bez_Lo04_07</v>
      </c>
      <c r="I2435" s="38">
        <f ca="1">IF(B2441="","",6)</f>
        <v>6</v>
      </c>
    </row>
    <row r="2436" spans="2:9" s="16" customFormat="1" ht="15.75">
      <c r="B2436" s="35" t="str">
        <f ca="1">IFERROR("Performance Level: "&amp;INDEX(Tab_DaBa[],MATCH(CONCATENATE(Liste!$C$3,$B$2261,$B$2431),Data!$BO:$BO,0)-2,10),"")</f>
        <v>Performance Level: PL_Ein4_7</v>
      </c>
      <c r="C2436" s="54"/>
      <c r="D2436" s="35" t="str">
        <f ca="1">IFERROR(IF(INDEX(Tab_DaBa[],MATCH(CONCATENATE(Liste!$C$3,$B$2261,$B$2431),Data!$BO:$BO,0)-2,18)="","Performance Level: "&amp;INDEX(Tab_DaBa[],MATCH(CONCATENATE(Liste!$C$3,$B$2261,$B$2431),Data!$BO:$BO,0)-2,15),"Performance Level: "&amp;INDEX(Tab_DaBa[],MATCH(CONCATENATE(Liste!$C$3,$B$2261,$B$2431),Data!$BO:$BO,0)-2,20)),"")</f>
        <v>Performance Level: PL_Log01_04_07</v>
      </c>
      <c r="E2436" s="36"/>
      <c r="F2436" s="35" t="str">
        <f ca="1">IFERROR(IF(AND(INDEX(Tab_DaBa[],MATCH(CONCATENATE(Liste!$C$3,$B$2261,$B$2431),Data!$BO:$BO,0)-2,18)&lt;&gt;"",INDEX(Tab_DaBa[],MATCH(CONCATENATE(Liste!$C$3,$B$2261,$B$2431),Data!$BO:$BO,0)-2,23)=""),"Performance Level: "&amp;INDEX(Tab_DaBa[],MATCH(CONCATENATE(Liste!$C$3,$B$2261,$B$2431),Data!$BO:$BO,0)-2,15),IF(INDEX(Tab_DaBa[],MATCH(CONCATENATE(Liste!$C$3,$B$2261,$B$2431),Data!$BO:$BO,0)-2,23)&lt;&gt;"","Performance Level: "&amp;INDEX(Tab_DaBa[],MATCH(CONCATENATE(Liste!$C$3,$B$2261,$B$2431),Data!$BO:$BO,0)-2,25),"")),"")</f>
        <v>Performance Level: PL_Lo04_07</v>
      </c>
      <c r="G2436" s="39"/>
      <c r="H2436" s="35" t="str">
        <f ca="1">IFERROR(IF(AND(INDEX(Tab_DaBa[],MATCH(CONCATENATE(Liste!$C$3,$B$2261,$B$2431),Data!$BO:$BO,0)-2,23)&lt;&gt;"",INDEX(Tab_DaBa[],MATCH(CONCATENATE(Liste!$C$3,$B$2261,$B$2431),Data!$BO:$BO,0)-2,28)=""),"Performance Level: "&amp;INDEX(Tab_DaBa[],MATCH(CONCATENATE(Liste!$C$3,$B$2261,$B$2431),Data!$BO:$BO,0)-2,15),IF(INDEX(Tab_DaBa[],MATCH(CONCATENATE(Liste!$C$3,$B$2261,$B$2431),Data!$BO:$BO,0)-2,23)&lt;&gt;"","Performance Level: "&amp;INDEX(Tab_DaBa[],MATCH(CONCATENATE(Liste!$C$3,$B$2261,$B$2431),Data!$BO:$BO,0)-2,30),"")),"")</f>
        <v>Performance Level: PL_Lo04_07</v>
      </c>
      <c r="I2436" s="38"/>
    </row>
    <row r="2437" spans="2:9" s="16" customFormat="1" ht="15.75">
      <c r="B2437" s="53" t="str">
        <f ca="1">IFERROR("PFH [1/h] = "&amp;10^9*INDEX(Tab_DaBa[],MATCH(CONCATENATE(Liste!$C$3,$B$2261,$B$2431),Data!$BO:$BO,0)-2,11)&amp;"E-9","")</f>
        <v>PFH [1/h] = 42,9E-9</v>
      </c>
      <c r="C2437" s="54"/>
      <c r="D2437" s="35" t="str">
        <f ca="1">IFERROR(IF(INDEX(Tab_DaBa[],MATCH(CONCATENATE(Liste!$C$3,$B$2261,$B$2431),Data!$BO:$BO,0)-2,18)="","PFH [1/h] = "&amp;10^9*INDEX(Tab_DaBa[],MATCH(CONCATENATE(Liste!$C$3,$B$2261,$B$2431),Data!$BO:$BO,0)-2,16)&amp;"E-9","PFH [1/h] = "&amp;10^9*INDEX(Tab_DaBa[],MATCH(CONCATENATE(Liste!$C$3,$B$2261,$B$2431),Data!$BO:$BO,0)-2,21)&amp;"E-9"),"")</f>
        <v>PFH [1/h] = 4,19E-9</v>
      </c>
      <c r="E2437" s="36"/>
      <c r="F2437" s="35" t="str">
        <f ca="1">IFERROR(IF(AND(INDEX(Tab_DaBa[],MATCH(CONCATENATE(Liste!$C$3,$B$2261,$B$2431),Data!$BO:$BO,0)-2,18)&lt;&gt;"",INDEX(Tab_DaBa[],MATCH(CONCATENATE(Liste!$C$3,$B$2261,$B$2431),Data!$BO:$BO,0)-2,23)=""),"PFH [1/h] = "&amp;10^9*INDEX(Tab_DaBa[],MATCH(CONCATENATE(Liste!$C$3,$B$2261,$B$2431),Data!$BO:$BO,0)-2,16)&amp;"E-9",IF(INDEX(Tab_DaBa[],MATCH(CONCATENATE(Liste!$C$3,$B$2261,$B$2431),Data!$BO:$BO,0)-2,23)&lt;&gt;"","PFH [1/h] = "&amp;10^9*INDEX(Tab_DaBa[],MATCH(CONCATENATE(Liste!$C$3,$B$2261,$B$2431),Data!$BO:$BO,0)-2,26)&amp;"E-9","")),"")</f>
        <v>PFH [1/h] = 4,19E-9</v>
      </c>
      <c r="G2437" s="39"/>
      <c r="H2437" s="35" t="str">
        <f ca="1">IFERROR(IF(AND(INDEX(Tab_DaBa[],MATCH(CONCATENATE(Liste!$C$3,$B$2261,$B$2431),Data!$BO:$BO,0)-2,23)&lt;&gt;"",INDEX(Tab_DaBa[],MATCH(CONCATENATE(Liste!$C$3,$B$2261,$B$2431),Data!$BO:$BO,0)-2,28)=""),"PFH [1/h] = "&amp;10^9*INDEX(Tab_DaBa[],MATCH(CONCATENATE(Liste!$C$3,$B$2261,$B$2431),Data!$BO:$BO,0)-2,16)&amp;"E-9",IF(INDEX(Tab_DaBa[],MATCH(CONCATENATE(Liste!$C$3,$B$2261,$B$2431),Data!$BO:$BO,0)-2,23)&lt;&gt;"","PFH [1/h] = "&amp;10^9*INDEX(Tab_DaBa[],MATCH(CONCATENATE(Liste!$C$3,$B$2261,$B$2431),Data!$BO:$BO,0)-2,31)&amp;"E-9","")),"")</f>
        <v>PFH [1/h] = 4,19E-9</v>
      </c>
      <c r="I2437" s="39"/>
    </row>
    <row r="2438" spans="2:9" s="16" customFormat="1">
      <c r="B2438" s="33"/>
      <c r="C2438" s="34"/>
      <c r="D2438" s="33"/>
      <c r="E2438" s="33"/>
      <c r="F2438" s="33"/>
      <c r="G2438" s="33"/>
      <c r="H2438" s="33"/>
      <c r="I2438" s="33"/>
    </row>
    <row r="2439" spans="2:9" s="16" customFormat="1" ht="15.75">
      <c r="B2439" s="38">
        <f ca="1">IF(B2441="","",6)</f>
        <v>6</v>
      </c>
      <c r="C2439" s="34"/>
      <c r="D2439" s="38">
        <f ca="1">IF(B2441="","",3)</f>
        <v>3</v>
      </c>
      <c r="E2439" s="33"/>
      <c r="F2439" s="38">
        <f ca="1">IF(B2441="","",3)</f>
        <v>3</v>
      </c>
      <c r="G2439" s="33"/>
      <c r="H2439" s="38">
        <f ca="1">IF(B2441="","",3)</f>
        <v>3</v>
      </c>
      <c r="I2439" s="33"/>
    </row>
    <row r="2440" spans="2:9" s="16" customFormat="1" ht="15.75">
      <c r="B2440" s="39"/>
      <c r="C2440" s="33"/>
      <c r="D2440" s="33"/>
      <c r="E2440" s="33"/>
      <c r="F2440" s="33"/>
      <c r="G2440" s="33"/>
      <c r="H2440" s="33"/>
      <c r="I2440" s="33"/>
    </row>
    <row r="2441" spans="2:9" s="16" customFormat="1" ht="15.75">
      <c r="B2441" s="35" t="str">
        <f ca="1">IFERROR(IF(AND(INDEX(Tab_DaBa[],MATCH(CONCATENATE(Liste!$C$3,$B$2261,$B$2431),Data!$BO:$BO,0)-2,28)&lt;&gt;"",INDEX(Tab_DaBa[],MATCH(CONCATENATE(Liste!$C$3,$B$2261,$B$2431),Data!$BO:$BO,0)-2,33)=0),INDEX(Tab_DaBa[],MATCH(CONCATENATE(Liste!$C$3,$B$2261,$B$2431),Data!$BO:$BO,0)-2,14),IF(INDEX(Tab_DaBa[],MATCH(CONCATENATE(Liste!$C$3,$B$2261,$B$2431),Data!$BO:$BO,0)-2,28)&lt;&gt;"",INDEX(Tab_DaBa[],MATCH(CONCATENATE(Liste!$C$3,$B$2261,$B$2431),Data!$BO:$BO,0)-2,34),"")),"")</f>
        <v>Logik 04</v>
      </c>
      <c r="C2441" s="39"/>
      <c r="D2441" s="35" t="str">
        <f ca="1">IFERROR(IF(AND(INDEX(Tab_DaBa[],MATCH(CONCATENATE(Liste!$C$3,$B$2261,$B$2431),Data!$BO:$BO,0)-2,33)&lt;&gt;"",INDEX(Tab_DaBa[],MATCH(CONCATENATE(Liste!$C$3,$B$2261,$B$2431),Data!$BO:$BO,0)-2,38)=0),INDEX(Tab_DaBa[],MATCH(CONCATENATE(Liste!$C$3,$B$2261,$B$2431),Data!$BO:$BO,0)-2,14),IF(INDEX(Tab_DaBa[],MATCH(CONCATENATE(Liste!$C$3,$B$2261,$B$2431),Data!$BO:$BO,0)-2,33)&lt;&gt;"",INDEX(Tab_DaBa[],MATCH(CONCATENATE(Liste!$C$3,$B$2261,$B$2431),Data!$BO:$BO,0)-2,39),"")),"")</f>
        <v>Logik 05</v>
      </c>
      <c r="E2441" s="33"/>
      <c r="F2441" s="35" t="str">
        <f ca="1">IFERROR(IF(AND(INDEX(Tab_DaBa[],MATCH(CONCATENATE(Liste!$C$3,$B$2261,$B$2431),Data!$BO:$BO,0)-2,38)&lt;&gt;"",INDEX(Tab_DaBa[],MATCH(CONCATENATE(Liste!$C$3,$B$2261,$B$2431),Data!$BO:$BO,0)-2,43)=0),INDEX(Tab_DaBa[],MATCH(CONCATENATE(Liste!$C$3,$B$2261,$B$2431),Data!$BO:$BO,0)-2,14),IF(INDEX(Tab_DaBa[],MATCH(CONCATENATE(Liste!$C$3,$B$2261,$B$2431),Data!$BO:$BO,0)-2,38)&lt;&gt;"",INDEX(Tab_DaBa[],MATCH(CONCATENATE(Liste!$C$3,$B$2261,$B$2431),Data!$BO:$BO,0)-2,44),"")),"")</f>
        <v>Logik 06</v>
      </c>
      <c r="G2441" s="39"/>
      <c r="H2441" s="35" t="str">
        <f ca="1">IFERROR(IF(AND(INDEX(Tab_DaBa[],MATCH(CONCATENATE(Liste!$C$3,$B$2261,$B$2431),Data!$BO:$BO,0)-2,43)&lt;&gt;"",INDEX(Tab_DaBa[],MATCH(CONCATENATE(Liste!$C$3,$B$2261,$B$2431),Data!$BO:$BO,0)-2,48)=0),INDEX(Tab_DaBa[],MATCH(CONCATENATE(Liste!$C$3,$B$2261,$B$2431),Data!$BO:$BO,0)-2,14),IF(INDEX(Tab_DaBa[],MATCH(CONCATENATE(Liste!$C$3,$B$2261,$B$2431),Data!$BO:$BO,0)-2,43)&lt;&gt;"",INDEX(Tab_DaBa[],MATCH(CONCATENATE(Liste!$C$3,$B$2261,$B$2431),Data!$BO:$BO,0)-2,49),"")),"")</f>
        <v>Logik 07</v>
      </c>
      <c r="I2441" s="39"/>
    </row>
    <row r="2442" spans="2:9" s="16" customFormat="1" ht="15.75">
      <c r="B2442" s="35" t="str">
        <f ca="1">IFERROR(IF(AND(INDEX(Tab_DaBa[],MATCH(CONCATENATE(Liste!$C$3,$B$2261,$B$2431),Data!$BO:$BO,0)-2,28)&lt;&gt;"",INDEX(Tab_DaBa[],MATCH(CONCATENATE(Liste!$C$3,$B$2261,$B$2431),Data!$BO:$BO,0)-2,33)=0),INDEX(Tab_DaBa[],MATCH(CONCATENATE(Liste!$C$3,$B$2261,$B$2431),Data!$BO:$BO,0)-2,12),IF(INDEX(Tab_DaBa[],MATCH(CONCATENATE(Liste!$C$3,$B$2261,$B$2431),Data!$BO:$BO,0)-2,28)&lt;&gt;"",INDEX(Tab_DaBa[],MATCH(CONCATENATE(Liste!$C$3,$B$2261,$B$2431),Data!$BO:$BO,0)-2,32),"")),"")</f>
        <v>Lo04-44_07</v>
      </c>
      <c r="C2442" s="39"/>
      <c r="D2442" s="35" t="str">
        <f ca="1">IFERROR(IF(AND(INDEX(Tab_DaBa[],MATCH(CONCATENATE(Liste!$C$3,$B$2261,$B$2431),Data!$BO:$BO,0)-2,33)&lt;&gt;"",INDEX(Tab_DaBa[],MATCH(CONCATENATE(Liste!$C$3,$B$2261,$B$2431),Data!$BO:$BO,0)-2,38)=0),INDEX(Tab_DaBa[],MATCH(CONCATENATE(Liste!$C$3,$B$2261,$B$2431),Data!$BO:$BO,0)-2,12),IF(INDEX(Tab_DaBa[],MATCH(CONCATENATE(Liste!$C$3,$B$2261,$B$2431),Data!$BO:$BO,0)-2,33)&lt;&gt;"",INDEX(Tab_DaBa[],MATCH(CONCATENATE(Liste!$C$3,$B$2261,$B$2431),Data!$BO:$BO,0)-2,37),"")),"")</f>
        <v>Lo04-44_07</v>
      </c>
      <c r="E2442" s="37"/>
      <c r="F2442" s="35" t="str">
        <f ca="1">IFERROR(IF(AND(INDEX(Tab_DaBa[],MATCH(CONCATENATE(Liste!$C$3,$B$2261,$B$2431),Data!$BO:$BO,0)-2,38)&lt;&gt;"",INDEX(Tab_DaBa[],MATCH(CONCATENATE(Liste!$C$3,$B$2261,$B$2431),Data!$BO:$BO,0)-2,43)=0),INDEX(Tab_DaBa[],MATCH(CONCATENATE(Liste!$C$3,$B$2261,$B$2431),Data!$BO:$BO,0)-2,12),IF(INDEX(Tab_DaBa[],MATCH(CONCATENATE(Liste!$C$3,$B$2261,$B$2431),Data!$BO:$BO,0)-2,38)&lt;&gt;"",INDEX(Tab_DaBa[],MATCH(CONCATENATE(Liste!$C$3,$B$2261,$B$2431),Data!$BO:$BO,0)-2,42),"")),"")</f>
        <v>Lo03-33_07</v>
      </c>
      <c r="G2442" s="39"/>
      <c r="H2442" s="35" t="str">
        <f ca="1">IFERROR(IF(AND(INDEX(Tab_DaBa[],MATCH(CONCATENATE(Liste!$C$3,$B$2261,$B$2431),Data!$BO:$BO,0)-2,43)&lt;&gt;"",INDEX(Tab_DaBa[],MATCH(CONCATENATE(Liste!$C$3,$B$2261,$B$2431),Data!$BO:$BO,0)-2,48)=0),INDEX(Tab_DaBa[],MATCH(CONCATENATE(Liste!$C$3,$B$2261,$B$2431),Data!$BO:$BO,0)-2,12),IF(INDEX(Tab_DaBa[],MATCH(CONCATENATE(Liste!$C$3,$B$2261,$B$2431),Data!$BO:$BO,0)-2,43)&lt;&gt;"",INDEX(Tab_DaBa[],MATCH(CONCATENATE(Liste!$C$3,$B$2261,$B$2431),Data!$BO:$BO,0)-2,47),"")),"")</f>
        <v>Lo03-33_07</v>
      </c>
      <c r="I2442" s="39"/>
    </row>
    <row r="2443" spans="2:9" s="16" customFormat="1" ht="15.75">
      <c r="B2443" s="35" t="str">
        <f ca="1">IFERROR(IF(AND(INDEX(Tab_DaBa[],MATCH(CONCATENATE(Liste!$C$3,$B$2261,$B$2431),Data!$BO:$BO,0)-2,28)&lt;&gt;"",INDEX(Tab_DaBa[],MATCH(CONCATENATE(Liste!$C$3,$B$2261,$B$2431),Data!$BO:$BO,0)-2,33)=""),INDEX(Tab_DaBa[],MATCH(CONCATENATE(Liste!$C$3,$B$2261,$B$2431),Data!$BO:$BO,0)-2,13),IF(INDEX(Tab_DaBa[],MATCH(CONCATENATE(Liste!$C$3,$B$2261,$B$2431),Data!$BO:$BO,0)-2,28)&lt;&gt;"",INDEX(Tab_DaBa[],MATCH(CONCATENATE(Liste!$C$3,$B$2261,$B$2431),Data!$BO:$BO,0)-2,33),"")),"")</f>
        <v>Bez_Lo04_07</v>
      </c>
      <c r="C2443" s="38">
        <f ca="1">IF(D2441="","",4)</f>
        <v>4</v>
      </c>
      <c r="D2443" s="35" t="str">
        <f ca="1">IFERROR(IF(AND(INDEX(Tab_DaBa[],MATCH(CONCATENATE(Liste!$C$3,$B$2261,$B$2431),Data!$BO:$BO,0)-2,33)&lt;&gt;"",INDEX(Tab_DaBa[],MATCH(CONCATENATE(Liste!$C$3,$B$2261,$B$2431),Data!$BO:$BO,0)-2,38)=""),INDEX(Tab_DaBa[],MATCH(CONCATENATE(Liste!$C$3,$B$2261,$B$2431),Data!$BO:$BO,0)-2,13),IF(INDEX(Tab_DaBa[],MATCH(CONCATENATE(Liste!$C$3,$B$2261,$B$2431),Data!$BO:$BO,0)-2,33)&lt;&gt;"",INDEX(Tab_DaBa[],MATCH(CONCATENATE(Liste!$C$3,$B$2261,$B$2431),Data!$BO:$BO,0)-2,38),"")),"")</f>
        <v>Bez_Lo03_07</v>
      </c>
      <c r="E2443" s="38">
        <f ca="1">IF(F2441="","",4)</f>
        <v>4</v>
      </c>
      <c r="F2443" s="35" t="str">
        <f ca="1">IFERROR(IF(AND(INDEX(Tab_DaBa[],MATCH(CONCATENATE(Liste!$C$3,$B$2261,$B$2431),Data!$BO:$BO,0)-2,38)&lt;&gt;"",INDEX(Tab_DaBa[],MATCH(CONCATENATE(Liste!$C$3,$B$2261,$B$2431),Data!$BO:$BO,0)-2,43)=""),INDEX(Tab_DaBa[],MATCH(CONCATENATE(Liste!$C$3,$B$2261,$B$2431),Data!$BO:$BO,0)-2,13),IF(INDEX(Tab_DaBa[],MATCH(CONCATENATE(Liste!$C$3,$B$2261,$B$2431),Data!$BO:$BO,0)-2,38)&lt;&gt;"",INDEX(Tab_DaBa[],MATCH(CONCATENATE(Liste!$C$3,$B$2261,$B$2431),Data!$BO:$BO,0)-2,43),"")),"")</f>
        <v>Bez_Lo03_07</v>
      </c>
      <c r="G2443" s="38">
        <f ca="1">IF(H2441="","",4)</f>
        <v>4</v>
      </c>
      <c r="H2443" s="35" t="str">
        <f ca="1">IFERROR(IF(AND(INDEX(Tab_DaBa[],MATCH(CONCATENATE(Liste!$C$3,$B$2261,$B$2431),Data!$BO:$BO,0)-2,43)&lt;&gt;"",INDEX(Tab_DaBa[],MATCH(CONCATENATE(Liste!$C$3,$B$2261,$B$2431),Data!$BO:$BO,0)-2,48)=""),INDEX(Tab_DaBa[],MATCH(CONCATENATE(Liste!$C$3,$B$2261,$B$2431),Data!$BO:$BO,0)-2,13),IF(INDEX(Tab_DaBa[],MATCH(CONCATENATE(Liste!$C$3,$B$2261,$B$2431),Data!$BO:$BO,0)-2,43)&lt;&gt;"",INDEX(Tab_DaBa[],MATCH(CONCATENATE(Liste!$C$3,$B$2261,$B$2431),Data!$BO:$BO,0)-2,48),"")),"")</f>
        <v>Bez_Lo03_07</v>
      </c>
      <c r="I2443" s="38">
        <f ca="1">IF(B2449="","",6)</f>
        <v>6</v>
      </c>
    </row>
    <row r="2444" spans="2:9" s="16" customFormat="1" ht="15.75">
      <c r="B2444" s="35" t="str">
        <f ca="1">IFERROR(IF(AND(INDEX(Tab_DaBa[],MATCH(CONCATENATE(Liste!$C$3,$B$2261,$B$2431),Data!$BO:$BO,0)-2,28)&lt;&gt;"",INDEX(Tab_DaBa[],MATCH(CONCATENATE(Liste!$C$3,$B$2261,$B$2431),Data!$BO:$BO,0)-2,33)=""),"Performance Level: "&amp;INDEX(Tab_DaBa[],MATCH(CONCATENATE(Liste!$C$3,$B$2261,$B$2431),Data!$BO:$BO,0)-2,15),IF(INDEX(Tab_DaBa[],MATCH(CONCATENATE(Liste!$C$3,$B$2261,$B$2431),Data!$BO:$BO,0)-2,28)&lt;&gt;"","Performance Level: "&amp;INDEX(Tab_DaBa[],MATCH(CONCATENATE(Liste!$C$3,$B$2261,$B$2431),Data!$BO:$BO,0)-2,35),"")),"")</f>
        <v>Performance Level: PL_Lo04_07</v>
      </c>
      <c r="C2444" s="39"/>
      <c r="D2444" s="35" t="str">
        <f ca="1">IFERROR(IF(AND(INDEX(Tab_DaBa[],MATCH(CONCATENATE(Liste!$C$3,$B$2261,$B$2431),Data!$BO:$BO,0)-2,33)&lt;&gt;"",INDEX(Tab_DaBa[],MATCH(CONCATENATE(Liste!$C$3,$B$2261,$B$2431),Data!$BO:$BO,0)-2,38)=""),"Performance Level: "&amp;INDEX(Tab_DaBa[],MATCH(CONCATENATE(Liste!$C$3,$B$2261,$B$2431),Data!$BO:$BO,0)-2,15),IF(INDEX(Tab_DaBa[],MATCH(CONCATENATE(Liste!$C$3,$B$2261,$B$2431),Data!$BO:$BO,0)-2,33)&lt;&gt;"","Performance Level: "&amp;INDEX(Tab_DaBa[],MATCH(CONCATENATE(Liste!$C$3,$B$2261,$B$2431),Data!$BO:$BO,0)-2,40),"")),"")</f>
        <v>Performance Level: PL_Lo03_7</v>
      </c>
      <c r="E2444" s="37"/>
      <c r="F2444" s="35" t="str">
        <f ca="1">IFERROR(IF(AND(INDEX(Tab_DaBa[],MATCH(CONCATENATE(Liste!$C$3,$B$2261,$B$2431),Data!$BO:$BO,0)-2,38)&lt;&gt;"",INDEX(Tab_DaBa[],MATCH(CONCATENATE(Liste!$C$3,$B$2261,$B$2431),Data!$BO:$BO,0)-2,43)=""),"Performance Level: "&amp;INDEX(Tab_DaBa[],MATCH(CONCATENATE(Liste!$C$3,$B$2261,$B$2431),Data!$BO:$BO,0)-2,15),IF(INDEX(Tab_DaBa[],MATCH(CONCATENATE(Liste!$C$3,$B$2261,$B$2431),Data!$BO:$BO,0)-2,38)&lt;&gt;"","Performance Level: "&amp;INDEX(Tab_DaBa[],MATCH(CONCATENATE(Liste!$C$3,$B$2261,$B$2431),Data!$BO:$BO,0)-2,45),"")),"")</f>
        <v>Performance Level: PL_Lo03_07</v>
      </c>
      <c r="G2444" s="39"/>
      <c r="H2444" s="35" t="str">
        <f ca="1">IFERROR(IF(AND(INDEX(Tab_DaBa[],MATCH(CONCATENATE(Liste!$C$3,$B$2261,$B$2431),Data!$BO:$BO,0)-2,43)&lt;&gt;"",INDEX(Tab_DaBa[],MATCH(CONCATENATE(Liste!$C$3,$B$2261,$B$2431),Data!$BO:$BO,0)-2,48)=""),"Performance Level: "&amp;INDEX(Tab_DaBa[],MATCH(CONCATENATE(Liste!$C$3,$B$2261,$B$2431),Data!$BO:$BO,0)-2,15),IF(INDEX(Tab_DaBa[],MATCH(CONCATENATE(Liste!$C$3,$B$2261,$B$2431),Data!$BO:$BO,0)-2,43)&lt;&gt;"","Performance Level: "&amp;INDEX(Tab_DaBa[],MATCH(CONCATENATE(Liste!$C$3,$B$2261,$B$2431),Data!$BO:$BO,0)-2,50),"")),"")</f>
        <v>Performance Level: PL_Lo03_07</v>
      </c>
      <c r="I2444" s="39"/>
    </row>
    <row r="2445" spans="2:9" s="16" customFormat="1" ht="15.75">
      <c r="B2445" s="35" t="str">
        <f ca="1">IFERROR(IF(AND(INDEX(Tab_DaBa[],MATCH(CONCATENATE(Liste!$C$3,$B$2261,$B$2431),Data!$BO:$BO,0)-2,28)&lt;&gt;"",INDEX(Tab_DaBa[],MATCH(CONCATENATE(Liste!$C$3,$B$2261,$B$2431),Data!$BO:$BO,0)-2,33)=""),"PFH [1/h] = "&amp;10^9*INDEX(Tab_DaBa[],MATCH(CONCATENATE(Liste!$C$3,$B$2261,$B$2431),Data!$BO:$BO,0)-2,16)&amp;"E-9",IF(INDEX(Tab_DaBa[],MATCH(CONCATENATE(Liste!$C$3,$B$2261,$B$2431),Data!$BO:$BO,0)-2,28)&lt;&gt;"","PFH [1/h] = "&amp;10^9*INDEX(Tab_DaBa[],MATCH(CONCATENATE(Liste!$C$3,$B$2261,$B$2431),Data!$BO:$BO,0)-2,36)&amp;"E-9","")),"")</f>
        <v>PFH [1/h] = 4,19E-9</v>
      </c>
      <c r="C2445" s="39"/>
      <c r="D2445" s="35" t="str">
        <f ca="1">IFERROR(IF(AND(INDEX(Tab_DaBa[],MATCH(CONCATENATE(Liste!$C$3,$B$2261,$B$2431),Data!$BO:$BO,0)-2,33)&lt;&gt;"",INDEX(Tab_DaBa[],MATCH(CONCATENATE(Liste!$C$3,$B$2261,$B$2431),Data!$BO:$BO,0)-2,38)=""),"PFH [1/h] = "&amp;10^9*INDEX(Tab_DaBa[],MATCH(CONCATENATE(Liste!$C$3,$B$2261,$B$2431),Data!$BO:$BO,0)-2,16)&amp;"E-9",IF(INDEX(Tab_DaBa[],MATCH(CONCATENATE(Liste!$C$3,$B$2261,$B$2431),Data!$BO:$BO,0)-2,33)&lt;&gt;"","PFH [1/h] = "&amp;10^9*INDEX(Tab_DaBa[],MATCH(CONCATENATE(Liste!$C$3,$B$2261,$B$2431),Data!$BO:$BO,0)-2,41)&amp;"E-9","")),"")</f>
        <v>PFH [1/h] = 4,19E-9</v>
      </c>
      <c r="E2445" s="37"/>
      <c r="F2445" s="35" t="str">
        <f ca="1">IFERROR(IF(AND(INDEX(Tab_DaBa[],MATCH(CONCATENATE(Liste!$C$3,$B$2261,$B$2431),Data!$BO:$BO,0)-2,38)&lt;&gt;"",INDEX(Tab_DaBa[],MATCH(CONCATENATE(Liste!$C$3,$B$2261,$B$2431),Data!$BO:$BO,0)-2,43)=""),"PFH [1/h] = "&amp;10^9*INDEX(Tab_DaBa[],MATCH(CONCATENATE(Liste!$C$3,$B$2261,$B$2431),Data!$BO:$BO,0)-2,16)&amp;"E-9",IF(INDEX(Tab_DaBa[],MATCH(CONCATENATE(Liste!$C$3,$B$2261,$B$2431),Data!$BO:$BO,0)-2,38)&lt;&gt;"","PFH [1/h] = "&amp;10^9*INDEX(Tab_DaBa[],MATCH(CONCATENATE(Liste!$C$3,$B$2261,$B$2431),Data!$BO:$BO,0)-2,46)&amp;"E-9","")),"")</f>
        <v>PFH [1/h] = 4,19E-9</v>
      </c>
      <c r="G2445" s="39"/>
      <c r="H2445" s="35" t="str">
        <f ca="1">IFERROR(IF(AND(INDEX(Tab_DaBa[],MATCH(CONCATENATE(Liste!$C$3,$B$2261,$B$2431),Data!$BO:$BO,0)-2,43)&lt;&gt;"",INDEX(Tab_DaBa[],MATCH(CONCATENATE(Liste!$C$3,$B$2261,$B$2431),Data!$BO:$BO,0)-2,48)=""),"PFH [1/h] = "&amp;10^9*INDEX(Tab_DaBa[],MATCH(CONCATENATE(Liste!$C$3,$B$2261,$B$2431),Data!$BO:$BO,0)-2,16)&amp;"E-9",IF(INDEX(Tab_DaBa[],MATCH(CONCATENATE(Liste!$C$3,$B$2261,$B$2431),Data!$BO:$BO,0)-2,43)&lt;&gt;"","PFH [1/h] = "&amp;10^9*INDEX(Tab_DaBa[],MATCH(CONCATENATE(Liste!$C$3,$B$2261,$B$2431),Data!$BO:$BO,0)-2,51)&amp;"E-9","")),"")</f>
        <v>PFH [1/h] = 4,19E-9</v>
      </c>
      <c r="I2445" s="39"/>
    </row>
    <row r="2446" spans="2:9" s="16" customFormat="1">
      <c r="B2446" s="33"/>
      <c r="C2446" s="33"/>
      <c r="D2446" s="33"/>
      <c r="E2446" s="33"/>
      <c r="F2446" s="33"/>
      <c r="G2446" s="33"/>
      <c r="H2446" s="33"/>
      <c r="I2446" s="33"/>
    </row>
    <row r="2447" spans="2:9" s="16" customFormat="1" ht="15.75">
      <c r="B2447" s="38">
        <f ca="1">IF(B2449="","",6)</f>
        <v>6</v>
      </c>
      <c r="C2447" s="33"/>
      <c r="D2447" s="38">
        <f ca="1">IF(B2449="","",3)</f>
        <v>3</v>
      </c>
      <c r="E2447" s="33"/>
      <c r="F2447" s="38">
        <f ca="1">IF(B2449="","",3)</f>
        <v>3</v>
      </c>
      <c r="G2447" s="33"/>
      <c r="H2447" s="38">
        <f ca="1">IF(B2449="","",3)</f>
        <v>3</v>
      </c>
      <c r="I2447" s="33"/>
    </row>
    <row r="2448" spans="2:9" s="16" customFormat="1" ht="15.75">
      <c r="B2448" s="39"/>
      <c r="C2448" s="33"/>
      <c r="D2448" s="33"/>
      <c r="E2448" s="33"/>
      <c r="F2448" s="33"/>
      <c r="G2448" s="33"/>
      <c r="H2448" s="33"/>
      <c r="I2448" s="33"/>
    </row>
    <row r="2449" spans="2:9" s="16" customFormat="1" ht="15.75">
      <c r="B2449" s="35" t="str">
        <f ca="1">IFERROR(IF(AND(INDEX(Tab_DaBa[],MATCH(CONCATENATE(Liste!$C$3,$B$2261,$B$2431),Data!$BO:$BO,0)-2,48)&lt;&gt;"",INDEX(Tab_DaBa[],MATCH(CONCATENATE(Liste!$C$3,$B$2261,$B$2431),Data!$BO:$BO,0)-2,53)=0),INDEX(Tab_DaBa[],MATCH(CONCATENATE(Liste!$C$3,$B$2261,$B$2431),Data!$BO:$BO,0)-2,14),IF(INDEX(Tab_DaBa[],MATCH(CONCATENATE(Liste!$C$3,$B$2261,$B$2431),Data!$BO:$BO,0)-2,48)&lt;&gt;"",INDEX(Tab_DaBa[],MATCH(CONCATENATE(Liste!$C$3,$B$2261,$B$2431),Data!$BO:$BO,0)-2,54),"")),"")</f>
        <v>Ausgang</v>
      </c>
      <c r="C2449" s="39"/>
      <c r="D2449" s="35" t="str">
        <f ca="1">IFERROR(IF(AND(INDEX(Tab_DaBa[],MATCH(CONCATENATE(Liste!$C$3,$B$2261,$B$2431),Data!$BO:$BO,0)-2,53)&lt;&gt;"",INDEX(Tab_DaBa[],MATCH(CONCATENATE(Liste!$C$3,$B$2261,$B$2431),Data!$BO:$BO,0)-2,58)=0),INDEX(Tab_DaBa[],MATCH(CONCATENATE(Liste!$C$3,$B$2261,$B$2431),Data!$BO:$BO,0)-2,14),IF(INDEX(Tab_DaBa[],MATCH(CONCATENATE(Liste!$C$3,$B$2261,$B$2431),Data!$BO:$BO,0)-2,53)&lt;&gt;"",INDEX(Tab_DaBa[],MATCH(CONCATENATE(Liste!$C$3,$B$2261,$B$2431),Data!$BO:$BO,0)-2,59),"")),"")</f>
        <v/>
      </c>
      <c r="E2449" s="33"/>
      <c r="F2449" s="35" t="str">
        <f ca="1">IFERROR(IF(AND(INDEX(Tab_DaBa[],MATCH(CONCATENATE(Liste!$C$3,$B$2261,$B$2431),Data!$BO:$BO,0)-2,58)&lt;&gt;"",INDEX(Tab_DaBa[],MATCH(CONCATENATE(Liste!$C$3,$B$2261,$B$2431),Data!$BO:$BO,0)-2,63)=0),INDEX(Tab_DaBa[],MATCH(CONCATENATE(Liste!$C$3,$B$2261,$B$2431),Data!$BO:$BO,0)-2,14),IF(INDEX(Tab_DaBa[],MATCH(CONCATENATE(Liste!$C$3,$B$2261,$B$2431),Data!$BO:$BO,0)-2,58)&lt;&gt;"",INDEX(Tab_DaBa[],MATCH(CONCATENATE(Liste!$C$3,$B$2261,$B$2431),Data!$BO:$BO,0)-2,64),"")),"")</f>
        <v/>
      </c>
      <c r="G2449" s="39"/>
      <c r="H2449" s="35" t="str">
        <f ca="1">IFERROR(IF(INDEX(Tab_DaBa[],MATCH(CONCATENATE(Liste!$C$3,$B$2261,$B$2431),Data!$BO:$BO,0)-2,63)&lt;&gt;"",INDEX(Tab_DaBa[],MATCH(CONCATENATE(Liste!$C$3,$B$2261,$B$2431),Data!$BO:$BO,0)-2,14),""),"")</f>
        <v/>
      </c>
    </row>
    <row r="2450" spans="2:9" s="16" customFormat="1" ht="15.75">
      <c r="B2450" s="35" t="str">
        <f ca="1">IFERROR(IF(AND(INDEX(Tab_DaBa[],MATCH(CONCATENATE(Liste!$C$3,$B$2261,$B$2431),Data!$BO:$BO,0)-2,48)&lt;&gt;"",INDEX(Tab_DaBa[],MATCH(CONCATENATE(Liste!$C$3,$B$2261,$B$2431),Data!$BO:$BO,0)-2,53)=0),INDEX(Tab_DaBa[],MATCH(CONCATENATE(Liste!$C$3,$B$2261,$B$2431),Data!$BO:$BO,0)-2,12),IF(INDEX(Tab_DaBa[],MATCH(CONCATENATE(Liste!$C$3,$B$2261,$B$2431),Data!$BO:$BO,0)-2,48)&lt;&gt;"",INDEX(Tab_DaBa[],MATCH(CONCATENATE(Liste!$C$3,$B$2261,$B$2431),Data!$BO:$BO,0)-2,52),"")),"")</f>
        <v>aaaa-44_7</v>
      </c>
      <c r="C2450" s="39"/>
      <c r="D2450" s="35" t="str">
        <f ca="1">IFERROR(IF(AND(INDEX(Tab_DaBa[],MATCH(CONCATENATE(Liste!$C$3,$B$2261,$B$2431),Data!$BO:$BO,0)-2,53)&lt;&gt;"",INDEX(Tab_DaBa[],MATCH(CONCATENATE(Liste!$C$3,$B$2261,$B$2431),Data!$BO:$BO,0)-2,58)=0),INDEX(Tab_DaBa[],MATCH(CONCATENATE(Liste!$C$3,$B$2261,$B$2431),Data!$BO:$BO,0)-2,12),IF(INDEX(Tab_DaBa[],MATCH(CONCATENATE(Liste!$C$3,$B$2261,$B$2431),Data!$BO:$BO,0)-2,53)&lt;&gt;"",INDEX(Tab_DaBa[],MATCH(CONCATENATE(Liste!$C$3,$B$2261,$B$2431),Data!$BO:$BO,0)-2,57),"")),"")</f>
        <v/>
      </c>
      <c r="E2450" s="37"/>
      <c r="F2450" s="35" t="str">
        <f ca="1">IFERROR(IF(AND(INDEX(Tab_DaBa[],MATCH(CONCATENATE(Liste!$C$3,$B$2261,$B$2431),Data!$BO:$BO,0)-2,58)&lt;&gt;"",INDEX(Tab_DaBa[],MATCH(CONCATENATE(Liste!$C$3,$B$2261,$B$2431),Data!$BO:$BO,0)-2,63)=0),INDEX(Tab_DaBa[],MATCH(CONCATENATE(Liste!$C$3,$B$2261,$B$2431),Data!$BO:$BO,0)-2,12),IF(INDEX(Tab_DaBa[],MATCH(CONCATENATE(Liste!$C$3,$B$2261,$B$2431),Data!$BO:$BO,0)-2,58)&lt;&gt;"",INDEX(Tab_DaBa[],MATCH(CONCATENATE(Liste!$C$3,$B$2261,$B$2431),Data!$BO:$BO,0)-2,62),"")),"")</f>
        <v/>
      </c>
      <c r="G2450" s="39"/>
      <c r="H2450" s="35" t="str">
        <f ca="1">IFERROR(IF(INDEX(Tab_DaBa[],MATCH(CONCATENATE(Liste!$C$3,$B$2261,$B$2431),Data!$BO:$BO,0)-2,63)&lt;&gt;"",INDEX(Tab_DaBa[],MATCH(CONCATENATE(Liste!$C$3,$B$2261,$B$2431),Data!$BO:$BO,0)-2,12),""),"")</f>
        <v/>
      </c>
    </row>
    <row r="2451" spans="2:9" s="16" customFormat="1" ht="15.75">
      <c r="B2451" s="35" t="str">
        <f ca="1">IFERROR(IF(AND(INDEX(Tab_DaBa[],MATCH(CONCATENATE(Liste!$C$3,$B$2261,$B$2431),Data!$BO:$BO,0)-2,48)&lt;&gt;"",INDEX(Tab_DaBa[],MATCH(CONCATENATE(Liste!$C$3,$B$2261,$B$2431),Data!$BO:$BO,0)-2,53)=""),INDEX(Tab_DaBa[],MATCH(CONCATENATE(Liste!$C$3,$B$2261,$B$2431),Data!$BO:$BO,0)-2,13),IF(INDEX(Tab_DaBa[],MATCH(CONCATENATE(Liste!$C$3,$B$2261,$B$2431),Data!$BO:$BO,0)-2,48)&lt;&gt;"",INDEX(Tab_DaBa[],MATCH(CONCATENATE(Liste!$C$3,$B$2261,$B$2431),Data!$BO:$BO,0)-2,53),"")),"")</f>
        <v>Bez_Aus4_7</v>
      </c>
      <c r="C2451" s="38" t="str">
        <f ca="1">IF(D2449="","",4)</f>
        <v/>
      </c>
      <c r="D2451" s="35" t="str">
        <f ca="1">IFERROR(IF(AND(INDEX(Tab_DaBa[],MATCH(CONCATENATE(Liste!$C$3,$B$2261,$B$2431),Data!$BO:$BO,0)-2,53)&lt;&gt;"",INDEX(Tab_DaBa[],MATCH(CONCATENATE(Liste!$C$3,$B$2261,$B$2431),Data!$BO:$BO,0)-2,58)=""),INDEX(Tab_DaBa[],MATCH(CONCATENATE(Liste!$C$3,$B$2261,$B$2431),Data!$BO:$BO,0)-2,13),IF(INDEX(Tab_DaBa[],MATCH(CONCATENATE(Liste!$C$3,$B$2261,$B$2431),Data!$BO:$BO,0)-2,53)&lt;&gt;"",INDEX(Tab_DaBa[],MATCH(CONCATENATE(Liste!$C$3,$B$2261,$B$2431),Data!$BO:$BO,0)-2,58),"")),"")</f>
        <v/>
      </c>
      <c r="E2451" s="38" t="str">
        <f ca="1">IF(F2449="","",4)</f>
        <v/>
      </c>
      <c r="F2451" s="35" t="str">
        <f ca="1">IFERROR(IF(AND(INDEX(Tab_DaBa[],MATCH(CONCATENATE(Liste!$C$3,$B$2261,$B$2431),Data!$BO:$BO,0)-2,58)&lt;&gt;"",INDEX(Tab_DaBa[],MATCH(CONCATENATE(Liste!$C$3,$B$2261,$B$2431),Data!$BO:$BO,0)-2,63)=""),INDEX(Tab_DaBa[],MATCH(CONCATENATE(Liste!$C$3,$B$2261,$B$2431),Data!$BO:$BO,0)-2,13),IF(INDEX(Tab_DaBa[],MATCH(CONCATENATE(Liste!$C$3,$B$2261,$B$2431),Data!$BO:$BO,0)-2,58)&lt;&gt;"",INDEX(Tab_DaBa[],MATCH(CONCATENATE(Liste!$C$3,$B$2261,$B$2431),Data!$BO:$BO,0)-2,63),"")),"")</f>
        <v/>
      </c>
      <c r="G2451" s="38" t="str">
        <f ca="1">IF(H2449="","",4)</f>
        <v/>
      </c>
      <c r="H2451" s="35" t="str">
        <f ca="1">IFERROR(IF(INDEX(Tab_DaBa[],MATCH(CONCATENATE(Liste!$C$3,$B$2261,$B$2431),Data!$BO:$BO,0)-2,63)&lt;&gt;"",INDEX(Tab_DaBa[],MATCH(CONCATENATE(Liste!$C$3,$B$2261,$B$2431),Data!$BO:$BO,0)-2,13),""),"")</f>
        <v/>
      </c>
    </row>
    <row r="2452" spans="2:9" s="16" customFormat="1" ht="15.75">
      <c r="B2452" s="35" t="str">
        <f ca="1">IFERROR(IF(AND(INDEX(Tab_DaBa[],MATCH(CONCATENATE(Liste!$C$3,$B$2261,$B$2431),Data!$BO:$BO,0)-2,48)&lt;&gt;"",INDEX(Tab_DaBa[],MATCH(CONCATENATE(Liste!$C$3,$B$2261,$B$2431),Data!$BO:$BO,0)-2,53)=""),"Performance Level: "&amp;INDEX(Tab_DaBa[],MATCH(CONCATENATE(Liste!$C$3,$B$2261,$B$2431),Data!$BO:$BO,0)-2,15),IF(INDEX(Tab_DaBa[],MATCH(CONCATENATE(Liste!$C$3,$B$2261,$B$2431),Data!$BO:$BO,0)-2,48)&lt;&gt;"","Performance Level: "&amp;INDEX(Tab_DaBa[],MATCH(CONCATENATE(Liste!$C$3,$B$2261,$B$2431),Data!$BO:$BO,0)-2,55),"")),"")</f>
        <v>Performance Level: PL_Aus4_7</v>
      </c>
      <c r="C2452" s="39"/>
      <c r="D2452" s="35" t="str">
        <f ca="1">IFERROR(IF(AND(INDEX(Tab_DaBa[],MATCH(CONCATENATE(Liste!$C$3,$B$2261,$B$2431),Data!$BO:$BO,0)-2,53)&lt;&gt;"",INDEX(Tab_DaBa[],MATCH(CONCATENATE(Liste!$C$3,$B$2261,$B$2431),Data!$BO:$BO,0)-2,58)=""),"Performance Level: "&amp;INDEX(Tab_DaBa[],MATCH(CONCATENATE(Liste!$C$3,$B$2261,$B$2431),Data!$BO:$BO,0)-2,15),IF(INDEX(Tab_DaBa[],MATCH(CONCATENATE(Liste!$C$3,$B$2261,$B$2431),Data!$BO:$BO,0)-2,53)&lt;&gt;"","Performance Level: "&amp;INDEX(Tab_DaBa[],MATCH(CONCATENATE(Liste!$C$3,$B$2261,$B$2431),Data!$BO:$BO,0)-2,60),"")),"")</f>
        <v/>
      </c>
      <c r="E2452" s="37"/>
      <c r="F2452" s="35" t="str">
        <f ca="1">IFERROR(IF(AND(INDEX(Tab_DaBa[],MATCH(CONCATENATE(Liste!$C$3,$B$2261,$B$2431),Data!$BO:$BO,0)-2,58)&lt;&gt;"",INDEX(Tab_DaBa[],MATCH(CONCATENATE(Liste!$C$3,$B$2261,$B$2431),Data!$BO:$BO,0)-2,63)=""),"Performance Level: "&amp;INDEX(Tab_DaBa[],MATCH(CONCATENATE(Liste!$C$3,$B$2261,$B$2431),Data!$BO:$BO,0)-2,15),IF(INDEX(Tab_DaBa[],MATCH(CONCATENATE(Liste!$C$3,$B$2261,$B$2431),Data!$BO:$BO,0)-2,58)&lt;&gt;"","Performance Level: "&amp;INDEX(Tab_DaBa[],MATCH(CONCATENATE(Liste!$C$3,$B$2261,$B$2431),Data!$BO:$BO,0)-2,65),"")),"")</f>
        <v/>
      </c>
      <c r="G2452" s="39"/>
      <c r="H2452" s="35" t="str">
        <f ca="1">IFERROR(IF(INDEX(Tab_DaBa[],MATCH(CONCATENATE(Liste!$C$3,$B$2261,$B$2431),Data!$BO:$BO,0)-2,63)&lt;&gt;"","Performance Level: "&amp;INDEX(Tab_DaBa[],MATCH(CONCATENATE(Liste!$C$3,$B$2261,$B$2431),Data!$BO:$BO,0)-2,15),""),"")</f>
        <v/>
      </c>
    </row>
    <row r="2453" spans="2:9" s="16" customFormat="1" ht="15.75">
      <c r="B2453" s="35" t="str">
        <f ca="1">IFERROR(IF(AND(INDEX(Tab_DaBa[],MATCH(CONCATENATE(Liste!$C$3,$B$2261,$B$2431),Data!$BO:$BO,0)-2,48)&lt;&gt;"",INDEX(Tab_DaBa[],MATCH(CONCATENATE(Liste!$C$3,$B$2261,$B$2431),Data!$BO:$BO,0)-2,53)=""),"PFH [1/h] = "&amp;10^9*INDEX(Tab_DaBa[],MATCH(CONCATENATE(Liste!$C$3,$B$2261,$B$2431),Data!$BO:$BO,0)-2,16)&amp;"E-9",IF(INDEX(Tab_DaBa[],MATCH(CONCATENATE(Liste!$C$3,$B$2261,$B$2431),Data!$BO:$BO,0)-2,48)&lt;&gt;"","PFH [1/h] = "&amp;10^9*INDEX(Tab_DaBa[],MATCH(CONCATENATE(Liste!$C$3,$B$2261,$B$2431),Data!$BO:$BO,0)-2,56)&amp;"E-9","")),"")</f>
        <v>PFH [1/h] = 24,7E-9</v>
      </c>
      <c r="C2453" s="39"/>
      <c r="D2453" s="35" t="str">
        <f ca="1">IFERROR(IF(AND(INDEX(Tab_DaBa[],MATCH(CONCATENATE(Liste!$C$3,$B$2261,$B$2431),Data!$BO:$BO,0)-2,53)&lt;&gt;"",INDEX(Tab_DaBa[],MATCH(CONCATENATE(Liste!$C$3,$B$2261,$B$2431),Data!$BO:$BO,0)-2,58)=""),"PFH [1/h] = "&amp;10^9*INDEX(Tab_DaBa[],MATCH(CONCATENATE(Liste!$C$3,$B$2261,$B$2431),Data!$BO:$BO,0)-2,16)&amp;"E-9",IF(INDEX(Tab_DaBa[],MATCH(CONCATENATE(Liste!$C$3,$B$2261,$B$2431),Data!$BO:$BO,0)-2,53)&lt;&gt;"","PFH [1/h] = "&amp;10^9*INDEX(Tab_DaBa[],MATCH(CONCATENATE(Liste!$C$3,$B$2261,$B$2431),Data!$BO:$BO,0)-2,61)&amp;"E-9","")),"")</f>
        <v/>
      </c>
      <c r="E2453" s="37"/>
      <c r="F2453" s="35" t="str">
        <f ca="1">IFERROR(IF(AND(INDEX(Tab_DaBa[],MATCH(CONCATENATE(Liste!$C$3,$B$2261,$B$2431),Data!$BO:$BO,0)-2,58)&lt;&gt;"",INDEX(Tab_DaBa[],MATCH(CONCATENATE(Liste!$C$3,$B$2261,$B$2431),Data!$BO:$BO,0)-2,63)=""),"PFH [1/h] = "&amp;10^9*INDEX(Tab_DaBa[],MATCH(CONCATENATE(Liste!$C$3,$B$2261,$B$2431),Data!$BO:$BO,0)-2,16)&amp;"E-9",IF(INDEX(Tab_DaBa[],MATCH(CONCATENATE(Liste!$C$3,$B$2261,$B$2431),Data!$BO:$BO,0)-2,58)&lt;&gt;"","PFH [1/h] = "&amp;10^9*INDEX(Tab_DaBa[],MATCH(CONCATENATE(Liste!$C$3,$B$2261,$B$2431),Data!$BO:$BO,0)-2,66)&amp;"E-9","")),"")</f>
        <v/>
      </c>
      <c r="G2453" s="39"/>
      <c r="H2453" s="35" t="str">
        <f ca="1">IFERROR(IF(INDEX(Tab_DaBa[],MATCH(CONCATENATE(Liste!$C$3,$B$2261,$B$2431),Data!$BO:$BO,0)-2,63)&lt;&gt;"","PFH [1/h] = "&amp;10^9*INDEX(Tab_DaBa[],MATCH(CONCATENATE(Liste!$C$3,$B$2261,$B$2431),Data!$BO:$BO,0)-2,16)&amp;"E-9",""),"")</f>
        <v/>
      </c>
    </row>
    <row r="2454" spans="2:9" s="16" customFormat="1"/>
    <row r="2455" spans="2:9" s="16" customFormat="1">
      <c r="B2455" s="43" t="str">
        <f ca="1">IF(D2455="","","Erforderlich")</f>
        <v>Erforderlich</v>
      </c>
      <c r="D2455" s="44" t="str">
        <f ca="1">IFERROR("Performance Level: "&amp;INDEX(Tab_DaBa[],MATCH(CONCATENATE(Liste!$C$3,$B$2261,$B$2431),Data!$BO:$BO,0)-2,4),"")</f>
        <v>Performance Level: PLr_ges4_7</v>
      </c>
    </row>
    <row r="2456" spans="2:9" s="16" customFormat="1">
      <c r="B2456" s="45"/>
    </row>
    <row r="2457" spans="2:9" s="16" customFormat="1">
      <c r="B2457" s="46" t="str">
        <f ca="1">IF(D2457="","","Erreicht")</f>
        <v>Erreicht</v>
      </c>
      <c r="D2457" s="47" t="str">
        <f ca="1">IFERROR("Performance Level: "&amp;INDEX(Tab_DaBa[],MATCH(CONCATENATE(Liste!$C$3,$B$2261,$B$2431),Data!$BO:$BO,0)-2,5)&amp;"          PFH [1/h] = "&amp;10^9*INDEX(Tab_DaBa[],MATCH(CONCATENATE(Liste!$C$3,$B$2261,$B$2431),Data!$BO:$BO,0)-2,6)&amp;"E-9","")</f>
        <v>Performance Level: Pl_ges4_7          PFH [1/h] = 71,7E-9</v>
      </c>
    </row>
    <row r="2458" spans="2:9" s="16" customFormat="1"/>
    <row r="2459" spans="2:9" s="16" customFormat="1">
      <c r="B2459" s="42" t="str">
        <f ca="1">IFERROR(IF(8&gt;COUNTIF(Data!$BP:$BP,CONCATENATE(Liste!$C$3,$B$2261)),"",INDEX(Tab_DaBa[],MATCH(CONCATENATE(Liste!$C$3,$B$2261),Data!$BP:$BP,0)+5,3)),"")</f>
        <v>9.8 Test09 (E+8L+A)</v>
      </c>
    </row>
    <row r="2460" spans="2:9" s="16" customFormat="1"/>
    <row r="2461" spans="2:9" s="16" customFormat="1" ht="15.75">
      <c r="B2461" s="35" t="str">
        <f ca="1">IFERROR(INDEX(Tab_DaBa[],MATCH(CONCATENATE(Liste!$C$3,$B$2261,$B$2459),Data!$BO:$BO,0)-2,9),"")</f>
        <v>Eingang</v>
      </c>
      <c r="C2461" s="54"/>
      <c r="D2461" s="35" t="str">
        <f ca="1">IFERROR(IF(INDEX(Tab_DaBa[],MATCH(CONCATENATE(Liste!$C$3,$B$2261,$B$2459),Data!$BO:$BO,0)-2,18)=0,INDEX(Tab_DaBa[],MATCH(CONCATENATE(Liste!$C$3,$B$2261,$B$2459),Data!$BO:$BO,0)-2,14),INDEX(Tab_DaBa[],MATCH(CONCATENATE(Liste!$C$3,$B$2261,$B$2459),Data!$BO:$BO,0)-2,19)),"")</f>
        <v>Logik 01</v>
      </c>
      <c r="E2461" s="33"/>
      <c r="F2461" s="35" t="str">
        <f ca="1">IFERROR(IF(AND(INDEX(Tab_DaBa[],MATCH(CONCATENATE(Liste!$C$3,$B$2261,$B$2459),Data!$BO:$BO,0)-2,18)&lt;&gt;"",INDEX(Tab_DaBa[],MATCH(CONCATENATE(Liste!$C$3,$B$2261,$B$2459),Data!$BO:$BO,0)-2,23)=0),INDEX(Tab_DaBa[],MATCH(CONCATENATE(Liste!$C$3,$B$2261,$B$2459),Data!$BO:$BO,0)-2,14),IF(INDEX(Tab_DaBa[],MATCH(CONCATENATE(Liste!$C$3,$B$2261,$B$2459),Data!$BO:$BO,0)-2,23)&lt;&gt;"",INDEX(Tab_DaBa[],MATCH(CONCATENATE(Liste!$C$3,$B$2261,$B$2459),Data!$BO:$BO,0)-2,24),"")),"")</f>
        <v>Logik 02</v>
      </c>
      <c r="G2461" s="39"/>
      <c r="H2461" s="35" t="str">
        <f ca="1">IFERROR(IF(AND(INDEX(Tab_DaBa[],MATCH(CONCATENATE(Liste!$C$3,$B$2261,$B$2459),Data!$BO:$BO,0)-2,23)&lt;&gt;"",INDEX(Tab_DaBa[],MATCH(CONCATENATE(Liste!$C$3,$B$2261,$B$2459),Data!$BO:$BO,0)-2,28)=0),INDEX(Tab_DaBa[],MATCH(CONCATENATE(Liste!$C$3,$B$2261,$B$2459),Data!$BO:$BO,0)-2,14),IF(INDEX(Tab_DaBa[],MATCH(CONCATENATE(Liste!$C$3,$B$2261,$B$2459),Data!$BO:$BO,0)-2,23)&lt;&gt;"",INDEX(Tab_DaBa[],MATCH(CONCATENATE(Liste!$C$3,$B$2261,$B$2459),Data!$BO:$BO,0)-2,29),"")),"")</f>
        <v>Logik 03</v>
      </c>
      <c r="I2461" s="39"/>
    </row>
    <row r="2462" spans="2:9" s="16" customFormat="1" ht="15.75">
      <c r="B2462" s="35" t="str">
        <f ca="1">IFERROR(INDEX(Tab_DaBa[],MATCH(CONCATENATE(Liste!$C$3,$B$2261,$B$2459),Data!$BO:$BO,0)-2,7),"")</f>
        <v>eeee-33_8</v>
      </c>
      <c r="C2462" s="54"/>
      <c r="D2462" s="35" t="str">
        <f ca="1">IFERROR(IF(INDEX(Tab_DaBa[],MATCH(CONCATENATE(Liste!$C$3,$B$2261,$B$2459),Data!$BO:$BO,0)-2,18)="",INDEX(Tab_DaBa[],MATCH(CONCATENATE(Liste!$C$3,$B$2261,$B$2459),Data!$BO:$BO,0)-2,12),INDEX(Tab_DaBa[],MATCH(CONCATENATE(Liste!$C$3,$B$2261,$B$2459),Data!$BO:$BO,0)-2,17)),"")</f>
        <v>Log01-04_08</v>
      </c>
      <c r="E2462" s="36"/>
      <c r="F2462" s="35" t="str">
        <f ca="1">IFERROR(IF(AND(INDEX(Tab_DaBa[],MATCH(CONCATENATE(Liste!$C$3,$B$2261,$B$2459),Data!$BO:$BO,0)-2,18)&lt;&gt;"",INDEX(Tab_DaBa[],MATCH(CONCATENATE(Liste!$C$3,$B$2261,$B$2459),Data!$BO:$BO,0)-2,23)=0),INDEX(Tab_DaBa[],MATCH(CONCATENATE(Liste!$C$3,$B$2261,$B$2459),Data!$BO:$BO,0)-2,12),IF(INDEX(Tab_DaBa[],MATCH(CONCATENATE(Liste!$C$3,$B$2261,$B$2459),Data!$BO:$BO,0)-2,23)&lt;&gt;"",INDEX(Tab_DaBa[],MATCH(CONCATENATE(Liste!$C$3,$B$2261,$B$2459),Data!$BO:$BO,0)-2,22),"")),"")</f>
        <v>Lo04-04_08</v>
      </c>
      <c r="G2462" s="39"/>
      <c r="H2462" s="35" t="str">
        <f ca="1">IFERROR(IF(AND(INDEX(Tab_DaBa[],MATCH(CONCATENATE(Liste!$C$3,$B$2261,$B$2459),Data!$BO:$BO,0)-2,23)&lt;&gt;"",INDEX(Tab_DaBa[],MATCH(CONCATENATE(Liste!$C$3,$B$2261,$B$2459),Data!$BO:$BO,0)-2,28)=0),INDEX(Tab_DaBa[],MATCH(CONCATENATE(Liste!$C$3,$B$2261,$B$2459),Data!$BO:$BO,0)-2,12),IF(INDEX(Tab_DaBa[],MATCH(CONCATENATE(Liste!$C$3,$B$2261,$B$2459),Data!$BO:$BO,0)-2,23)&lt;&gt;"",INDEX(Tab_DaBa[],MATCH(CONCATENATE(Liste!$C$3,$B$2261,$B$2459),Data!$BO:$BO,0)-2,27),"")),"")</f>
        <v>Lo04-44_08</v>
      </c>
      <c r="I2462" s="39"/>
    </row>
    <row r="2463" spans="2:9" s="16" customFormat="1" ht="15.75">
      <c r="B2463" s="35" t="str">
        <f ca="1">IFERROR(INDEX(Tab_DaBa[],MATCH(CONCATENATE(Liste!$C$3,$B$2261,$B$2459),Data!$BO:$BO,0)-2,8),"")</f>
        <v>Bez_Ein4_8</v>
      </c>
      <c r="C2463" s="40">
        <f ca="1">IF(D2461="","",4)</f>
        <v>4</v>
      </c>
      <c r="D2463" s="35" t="str">
        <f ca="1">IFERROR(IF(INDEX(Tab_DaBa[],MATCH(CONCATENATE(Liste!$C$3,$B$2261,$B$2459),Data!$BO:$BO,0)-2,18)="",INDEX(Tab_DaBa[],MATCH(CONCATENATE(Liste!$C$3,$B$2261,$B$2459),Data!$BO:$BO,0)-2,13),INDEX(Tab_DaBa[],MATCH(CONCATENATE(Liste!$C$3,$B$2261,$B$2459),Data!$BO:$BO,0)-2,18)),"")</f>
        <v>Bez_Log01_04_08</v>
      </c>
      <c r="E2463" s="40">
        <f ca="1">IF(F2461="","",4)</f>
        <v>4</v>
      </c>
      <c r="F2463" s="35" t="str">
        <f ca="1">IFERROR(IF(AND(INDEX(Tab_DaBa[],MATCH(CONCATENATE(Liste!$C$3,$B$2261,$B$2459),Data!$BO:$BO,0)-2,18)&lt;&gt;"",INDEX(Tab_DaBa[],MATCH(CONCATENATE(Liste!$C$3,$B$2261,$B$2459),Data!$BO:$BO,0)-2,23)=""),INDEX(Tab_DaBa[],MATCH(CONCATENATE(Liste!$C$3,$B$2261,$B$2459),Data!$BO:$BO,0)-2,13),IF(INDEX(Tab_DaBa[],MATCH(CONCATENATE(Liste!$C$3,$B$2261,$B$2459),Data!$BO:$BO,0)-2,23)&lt;&gt;"",INDEX(Tab_DaBa[],MATCH(CONCATENATE(Liste!$C$3,$B$2261,$B$2459),Data!$BO:$BO,0)-2,23),"")),"")</f>
        <v>Bez_Lo04_08</v>
      </c>
      <c r="G2463" s="38">
        <f ca="1">IF(H2461="","",4)</f>
        <v>4</v>
      </c>
      <c r="H2463" s="35" t="str">
        <f ca="1">IFERROR(IF(AND(INDEX(Tab_DaBa[],MATCH(CONCATENATE(Liste!$C$3,$B$2261,$B$2459),Data!$BO:$BO,0)-2,23)&lt;&gt;"",INDEX(Tab_DaBa[],MATCH(CONCATENATE(Liste!$C$3,$B$2261,$B$2459),Data!$BO:$BO,0)-2,28)=""),INDEX(Tab_DaBa[],MATCH(CONCATENATE(Liste!$C$3,$B$2261,$B$2459),Data!$BO:$BO,0)-2,13),IF(INDEX(Tab_DaBa[],MATCH(CONCATENATE(Liste!$C$3,$B$2261,$B$2459),Data!$BO:$BO,0)-2,23)&lt;&gt;"",INDEX(Tab_DaBa[],MATCH(CONCATENATE(Liste!$C$3,$B$2261,$B$2459),Data!$BO:$BO,0)-2,28),"")),"")</f>
        <v>Bez_Lo04_08</v>
      </c>
      <c r="I2463" s="38">
        <f ca="1">IF(B2469="","",6)</f>
        <v>6</v>
      </c>
    </row>
    <row r="2464" spans="2:9" s="16" customFormat="1" ht="15.75">
      <c r="B2464" s="35" t="str">
        <f ca="1">IFERROR("Performance Level: "&amp;INDEX(Tab_DaBa[],MATCH(CONCATENATE(Liste!$C$3,$B$2261,$B$2459),Data!$BO:$BO,0)-2,10),"")</f>
        <v>Performance Level: PL_Ein4_8</v>
      </c>
      <c r="C2464" s="54"/>
      <c r="D2464" s="35" t="str">
        <f ca="1">IFERROR(IF(INDEX(Tab_DaBa[],MATCH(CONCATENATE(Liste!$C$3,$B$2261,$B$2459),Data!$BO:$BO,0)-2,18)="","Performance Level: "&amp;INDEX(Tab_DaBa[],MATCH(CONCATENATE(Liste!$C$3,$B$2261,$B$2459),Data!$BO:$BO,0)-2,15),"Performance Level: "&amp;INDEX(Tab_DaBa[],MATCH(CONCATENATE(Liste!$C$3,$B$2261,$B$2459),Data!$BO:$BO,0)-2,20)),"")</f>
        <v>Performance Level: PL_Log01_04_08</v>
      </c>
      <c r="E2464" s="36"/>
      <c r="F2464" s="35" t="str">
        <f ca="1">IFERROR(IF(AND(INDEX(Tab_DaBa[],MATCH(CONCATENATE(Liste!$C$3,$B$2261,$B$2459),Data!$BO:$BO,0)-2,18)&lt;&gt;"",INDEX(Tab_DaBa[],MATCH(CONCATENATE(Liste!$C$3,$B$2261,$B$2459),Data!$BO:$BO,0)-2,23)=""),"Performance Level: "&amp;INDEX(Tab_DaBa[],MATCH(CONCATENATE(Liste!$C$3,$B$2261,$B$2459),Data!$BO:$BO,0)-2,15),IF(INDEX(Tab_DaBa[],MATCH(CONCATENATE(Liste!$C$3,$B$2261,$B$2459),Data!$BO:$BO,0)-2,23)&lt;&gt;"","Performance Level: "&amp;INDEX(Tab_DaBa[],MATCH(CONCATENATE(Liste!$C$3,$B$2261,$B$2459),Data!$BO:$BO,0)-2,25),"")),"")</f>
        <v>Performance Level: PL_Lo04_08</v>
      </c>
      <c r="G2464" s="39"/>
      <c r="H2464" s="35" t="str">
        <f ca="1">IFERROR(IF(AND(INDEX(Tab_DaBa[],MATCH(CONCATENATE(Liste!$C$3,$B$2261,$B$2459),Data!$BO:$BO,0)-2,23)&lt;&gt;"",INDEX(Tab_DaBa[],MATCH(CONCATENATE(Liste!$C$3,$B$2261,$B$2459),Data!$BO:$BO,0)-2,28)=""),"Performance Level: "&amp;INDEX(Tab_DaBa[],MATCH(CONCATENATE(Liste!$C$3,$B$2261,$B$2459),Data!$BO:$BO,0)-2,15),IF(INDEX(Tab_DaBa[],MATCH(CONCATENATE(Liste!$C$3,$B$2261,$B$2459),Data!$BO:$BO,0)-2,23)&lt;&gt;"","Performance Level: "&amp;INDEX(Tab_DaBa[],MATCH(CONCATENATE(Liste!$C$3,$B$2261,$B$2459),Data!$BO:$BO,0)-2,30),"")),"")</f>
        <v>Performance Level: PL_Lo04_08</v>
      </c>
      <c r="I2464" s="38"/>
    </row>
    <row r="2465" spans="2:9" s="16" customFormat="1" ht="15.75">
      <c r="B2465" s="53" t="str">
        <f ca="1">IFERROR("PFH [1/h] = "&amp;10^9*INDEX(Tab_DaBa[],MATCH(CONCATENATE(Liste!$C$3,$B$2261,$B$2459),Data!$BO:$BO,0)-2,11)&amp;"E-9","")</f>
        <v>PFH [1/h] = 42,9E-9</v>
      </c>
      <c r="C2465" s="54"/>
      <c r="D2465" s="35" t="str">
        <f ca="1">IFERROR(IF(INDEX(Tab_DaBa[],MATCH(CONCATENATE(Liste!$C$3,$B$2261,$B$2459),Data!$BO:$BO,0)-2,18)="","PFH [1/h] = "&amp;10^9*INDEX(Tab_DaBa[],MATCH(CONCATENATE(Liste!$C$3,$B$2261,$B$2459),Data!$BO:$BO,0)-2,16)&amp;"E-9","PFH [1/h] = "&amp;10^9*INDEX(Tab_DaBa[],MATCH(CONCATENATE(Liste!$C$3,$B$2261,$B$2459),Data!$BO:$BO,0)-2,21)&amp;"E-9"),"")</f>
        <v>PFH [1/h] = 4,19E-9</v>
      </c>
      <c r="E2465" s="36"/>
      <c r="F2465" s="35" t="str">
        <f ca="1">IFERROR(IF(AND(INDEX(Tab_DaBa[],MATCH(CONCATENATE(Liste!$C$3,$B$2261,$B$2459),Data!$BO:$BO,0)-2,18)&lt;&gt;"",INDEX(Tab_DaBa[],MATCH(CONCATENATE(Liste!$C$3,$B$2261,$B$2459),Data!$BO:$BO,0)-2,23)=""),"PFH [1/h] = "&amp;10^9*INDEX(Tab_DaBa[],MATCH(CONCATENATE(Liste!$C$3,$B$2261,$B$2459),Data!$BO:$BO,0)-2,16)&amp;"E-9",IF(INDEX(Tab_DaBa[],MATCH(CONCATENATE(Liste!$C$3,$B$2261,$B$2459),Data!$BO:$BO,0)-2,23)&lt;&gt;"","PFH [1/h] = "&amp;10^9*INDEX(Tab_DaBa[],MATCH(CONCATENATE(Liste!$C$3,$B$2261,$B$2459),Data!$BO:$BO,0)-2,26)&amp;"E-9","")),"")</f>
        <v>PFH [1/h] = 4,19E-9</v>
      </c>
      <c r="G2465" s="39"/>
      <c r="H2465" s="35" t="str">
        <f ca="1">IFERROR(IF(AND(INDEX(Tab_DaBa[],MATCH(CONCATENATE(Liste!$C$3,$B$2261,$B$2459),Data!$BO:$BO,0)-2,23)&lt;&gt;"",INDEX(Tab_DaBa[],MATCH(CONCATENATE(Liste!$C$3,$B$2261,$B$2459),Data!$BO:$BO,0)-2,28)=""),"PFH [1/h] = "&amp;10^9*INDEX(Tab_DaBa[],MATCH(CONCATENATE(Liste!$C$3,$B$2261,$B$2459),Data!$BO:$BO,0)-2,16)&amp;"E-9",IF(INDEX(Tab_DaBa[],MATCH(CONCATENATE(Liste!$C$3,$B$2261,$B$2459),Data!$BO:$BO,0)-2,23)&lt;&gt;"","PFH [1/h] = "&amp;10^9*INDEX(Tab_DaBa[],MATCH(CONCATENATE(Liste!$C$3,$B$2261,$B$2459),Data!$BO:$BO,0)-2,31)&amp;"E-9","")),"")</f>
        <v>PFH [1/h] = 4,19E-9</v>
      </c>
      <c r="I2465" s="39"/>
    </row>
    <row r="2466" spans="2:9" s="16" customFormat="1">
      <c r="B2466" s="33"/>
      <c r="C2466" s="34"/>
      <c r="D2466" s="33"/>
      <c r="E2466" s="33"/>
      <c r="F2466" s="33"/>
      <c r="G2466" s="33"/>
      <c r="H2466" s="33"/>
      <c r="I2466" s="33"/>
    </row>
    <row r="2467" spans="2:9" s="16" customFormat="1" ht="15.75">
      <c r="B2467" s="38">
        <f ca="1">IF(B2469="","",6)</f>
        <v>6</v>
      </c>
      <c r="C2467" s="34"/>
      <c r="D2467" s="38">
        <f ca="1">IF(B2469="","",3)</f>
        <v>3</v>
      </c>
      <c r="E2467" s="33"/>
      <c r="F2467" s="38">
        <f ca="1">IF(B2469="","",3)</f>
        <v>3</v>
      </c>
      <c r="G2467" s="33"/>
      <c r="H2467" s="38">
        <f ca="1">IF(B2469="","",3)</f>
        <v>3</v>
      </c>
      <c r="I2467" s="33"/>
    </row>
    <row r="2468" spans="2:9" s="16" customFormat="1" ht="15.75">
      <c r="B2468" s="39"/>
      <c r="C2468" s="33"/>
      <c r="D2468" s="33"/>
      <c r="E2468" s="33"/>
      <c r="F2468" s="33"/>
      <c r="G2468" s="33"/>
      <c r="H2468" s="33"/>
      <c r="I2468" s="33"/>
    </row>
    <row r="2469" spans="2:9" s="16" customFormat="1" ht="15.75">
      <c r="B2469" s="35" t="str">
        <f ca="1">IFERROR(IF(AND(INDEX(Tab_DaBa[],MATCH(CONCATENATE(Liste!$C$3,$B$2261,$B$2459),Data!$BO:$BO,0)-2,28)&lt;&gt;"",INDEX(Tab_DaBa[],MATCH(CONCATENATE(Liste!$C$3,$B$2261,$B$2459),Data!$BO:$BO,0)-2,33)=0),INDEX(Tab_DaBa[],MATCH(CONCATENATE(Liste!$C$3,$B$2261,$B$2459),Data!$BO:$BO,0)-2,14),IF(INDEX(Tab_DaBa[],MATCH(CONCATENATE(Liste!$C$3,$B$2261,$B$2459),Data!$BO:$BO,0)-2,28)&lt;&gt;"",INDEX(Tab_DaBa[],MATCH(CONCATENATE(Liste!$C$3,$B$2261,$B$2459),Data!$BO:$BO,0)-2,34),"")),"")</f>
        <v>Logik 04</v>
      </c>
      <c r="C2469" s="39"/>
      <c r="D2469" s="35" t="str">
        <f ca="1">IFERROR(IF(AND(INDEX(Tab_DaBa[],MATCH(CONCATENATE(Liste!$C$3,$B$2261,$B$2459),Data!$BO:$BO,0)-2,33)&lt;&gt;"",INDEX(Tab_DaBa[],MATCH(CONCATENATE(Liste!$C$3,$B$2261,$B$2459),Data!$BO:$BO,0)-2,38)=0),INDEX(Tab_DaBa[],MATCH(CONCATENATE(Liste!$C$3,$B$2261,$B$2459),Data!$BO:$BO,0)-2,14),IF(INDEX(Tab_DaBa[],MATCH(CONCATENATE(Liste!$C$3,$B$2261,$B$2459),Data!$BO:$BO,0)-2,33)&lt;&gt;"",INDEX(Tab_DaBa[],MATCH(CONCATENATE(Liste!$C$3,$B$2261,$B$2459),Data!$BO:$BO,0)-2,39),"")),"")</f>
        <v>Logik 06</v>
      </c>
      <c r="E2469" s="33"/>
      <c r="F2469" s="35" t="str">
        <f ca="1">IFERROR(IF(AND(INDEX(Tab_DaBa[],MATCH(CONCATENATE(Liste!$C$3,$B$2261,$B$2459),Data!$BO:$BO,0)-2,38)&lt;&gt;"",INDEX(Tab_DaBa[],MATCH(CONCATENATE(Liste!$C$3,$B$2261,$B$2459),Data!$BO:$BO,0)-2,43)=0),INDEX(Tab_DaBa[],MATCH(CONCATENATE(Liste!$C$3,$B$2261,$B$2459),Data!$BO:$BO,0)-2,14),IF(INDEX(Tab_DaBa[],MATCH(CONCATENATE(Liste!$C$3,$B$2261,$B$2459),Data!$BO:$BO,0)-2,38)&lt;&gt;"",INDEX(Tab_DaBa[],MATCH(CONCATENATE(Liste!$C$3,$B$2261,$B$2459),Data!$BO:$BO,0)-2,44),"")),"")</f>
        <v>Logik 06</v>
      </c>
      <c r="G2469" s="39"/>
      <c r="H2469" s="35" t="str">
        <f ca="1">IFERROR(IF(AND(INDEX(Tab_DaBa[],MATCH(CONCATENATE(Liste!$C$3,$B$2261,$B$2459),Data!$BO:$BO,0)-2,43)&lt;&gt;"",INDEX(Tab_DaBa[],MATCH(CONCATENATE(Liste!$C$3,$B$2261,$B$2459),Data!$BO:$BO,0)-2,48)=0),INDEX(Tab_DaBa[],MATCH(CONCATENATE(Liste!$C$3,$B$2261,$B$2459),Data!$BO:$BO,0)-2,14),IF(INDEX(Tab_DaBa[],MATCH(CONCATENATE(Liste!$C$3,$B$2261,$B$2459),Data!$BO:$BO,0)-2,43)&lt;&gt;"",INDEX(Tab_DaBa[],MATCH(CONCATENATE(Liste!$C$3,$B$2261,$B$2459),Data!$BO:$BO,0)-2,49),"")),"")</f>
        <v>Logik 07</v>
      </c>
      <c r="I2469" s="39"/>
    </row>
    <row r="2470" spans="2:9" s="16" customFormat="1" ht="15.75">
      <c r="B2470" s="35" t="str">
        <f ca="1">IFERROR(IF(AND(INDEX(Tab_DaBa[],MATCH(CONCATENATE(Liste!$C$3,$B$2261,$B$2459),Data!$BO:$BO,0)-2,28)&lt;&gt;"",INDEX(Tab_DaBa[],MATCH(CONCATENATE(Liste!$C$3,$B$2261,$B$2459),Data!$BO:$BO,0)-2,33)=0),INDEX(Tab_DaBa[],MATCH(CONCATENATE(Liste!$C$3,$B$2261,$B$2459),Data!$BO:$BO,0)-2,12),IF(INDEX(Tab_DaBa[],MATCH(CONCATENATE(Liste!$C$3,$B$2261,$B$2459),Data!$BO:$BO,0)-2,28)&lt;&gt;"",INDEX(Tab_DaBa[],MATCH(CONCATENATE(Liste!$C$3,$B$2261,$B$2459),Data!$BO:$BO,0)-2,32),"")),"")</f>
        <v>Lo04-44_08</v>
      </c>
      <c r="C2470" s="39"/>
      <c r="D2470" s="35" t="str">
        <f ca="1">IFERROR(IF(AND(INDEX(Tab_DaBa[],MATCH(CONCATENATE(Liste!$C$3,$B$2261,$B$2459),Data!$BO:$BO,0)-2,33)&lt;&gt;"",INDEX(Tab_DaBa[],MATCH(CONCATENATE(Liste!$C$3,$B$2261,$B$2459),Data!$BO:$BO,0)-2,38)=0),INDEX(Tab_DaBa[],MATCH(CONCATENATE(Liste!$C$3,$B$2261,$B$2459),Data!$BO:$BO,0)-2,12),IF(INDEX(Tab_DaBa[],MATCH(CONCATENATE(Liste!$C$3,$B$2261,$B$2459),Data!$BO:$BO,0)-2,33)&lt;&gt;"",INDEX(Tab_DaBa[],MATCH(CONCATENATE(Liste!$C$3,$B$2261,$B$2459),Data!$BO:$BO,0)-2,37),"")),"")</f>
        <v>Lo04-44_08</v>
      </c>
      <c r="E2470" s="37"/>
      <c r="F2470" s="35" t="str">
        <f ca="1">IFERROR(IF(AND(INDEX(Tab_DaBa[],MATCH(CONCATENATE(Liste!$C$3,$B$2261,$B$2459),Data!$BO:$BO,0)-2,38)&lt;&gt;"",INDEX(Tab_DaBa[],MATCH(CONCATENATE(Liste!$C$3,$B$2261,$B$2459),Data!$BO:$BO,0)-2,43)=0),INDEX(Tab_DaBa[],MATCH(CONCATENATE(Liste!$C$3,$B$2261,$B$2459),Data!$BO:$BO,0)-2,12),IF(INDEX(Tab_DaBa[],MATCH(CONCATENATE(Liste!$C$3,$B$2261,$B$2459),Data!$BO:$BO,0)-2,38)&lt;&gt;"",INDEX(Tab_DaBa[],MATCH(CONCATENATE(Liste!$C$3,$B$2261,$B$2459),Data!$BO:$BO,0)-2,42),"")),"")</f>
        <v>Lo03-33_08</v>
      </c>
      <c r="G2470" s="39"/>
      <c r="H2470" s="35" t="str">
        <f ca="1">IFERROR(IF(AND(INDEX(Tab_DaBa[],MATCH(CONCATENATE(Liste!$C$3,$B$2261,$B$2459),Data!$BO:$BO,0)-2,43)&lt;&gt;"",INDEX(Tab_DaBa[],MATCH(CONCATENATE(Liste!$C$3,$B$2261,$B$2459),Data!$BO:$BO,0)-2,48)=0),INDEX(Tab_DaBa[],MATCH(CONCATENATE(Liste!$C$3,$B$2261,$B$2459),Data!$BO:$BO,0)-2,12),IF(INDEX(Tab_DaBa[],MATCH(CONCATENATE(Liste!$C$3,$B$2261,$B$2459),Data!$BO:$BO,0)-2,43)&lt;&gt;"",INDEX(Tab_DaBa[],MATCH(CONCATENATE(Liste!$C$3,$B$2261,$B$2459),Data!$BO:$BO,0)-2,47),"")),"")</f>
        <v>Lo03-33_08</v>
      </c>
      <c r="I2470" s="39"/>
    </row>
    <row r="2471" spans="2:9" s="16" customFormat="1" ht="15.75">
      <c r="B2471" s="35" t="str">
        <f ca="1">IFERROR(IF(AND(INDEX(Tab_DaBa[],MATCH(CONCATENATE(Liste!$C$3,$B$2261,$B$2459),Data!$BO:$BO,0)-2,28)&lt;&gt;"",INDEX(Tab_DaBa[],MATCH(CONCATENATE(Liste!$C$3,$B$2261,$B$2459),Data!$BO:$BO,0)-2,33)=""),INDEX(Tab_DaBa[],MATCH(CONCATENATE(Liste!$C$3,$B$2261,$B$2459),Data!$BO:$BO,0)-2,13),IF(INDEX(Tab_DaBa[],MATCH(CONCATENATE(Liste!$C$3,$B$2261,$B$2459),Data!$BO:$BO,0)-2,28)&lt;&gt;"",INDEX(Tab_DaBa[],MATCH(CONCATENATE(Liste!$C$3,$B$2261,$B$2459),Data!$BO:$BO,0)-2,33),"")),"")</f>
        <v>Bez_Lo04_08</v>
      </c>
      <c r="C2471" s="38">
        <f ca="1">IF(D2469="","",4)</f>
        <v>4</v>
      </c>
      <c r="D2471" s="35" t="str">
        <f ca="1">IFERROR(IF(AND(INDEX(Tab_DaBa[],MATCH(CONCATENATE(Liste!$C$3,$B$2261,$B$2459),Data!$BO:$BO,0)-2,33)&lt;&gt;"",INDEX(Tab_DaBa[],MATCH(CONCATENATE(Liste!$C$3,$B$2261,$B$2459),Data!$BO:$BO,0)-2,38)=""),INDEX(Tab_DaBa[],MATCH(CONCATENATE(Liste!$C$3,$B$2261,$B$2459),Data!$BO:$BO,0)-2,13),IF(INDEX(Tab_DaBa[],MATCH(CONCATENATE(Liste!$C$3,$B$2261,$B$2459),Data!$BO:$BO,0)-2,33)&lt;&gt;"",INDEX(Tab_DaBa[],MATCH(CONCATENATE(Liste!$C$3,$B$2261,$B$2459),Data!$BO:$BO,0)-2,38),"")),"")</f>
        <v>Bez_Lo03_08</v>
      </c>
      <c r="E2471" s="38">
        <f ca="1">IF(F2469="","",4)</f>
        <v>4</v>
      </c>
      <c r="F2471" s="35" t="str">
        <f ca="1">IFERROR(IF(AND(INDEX(Tab_DaBa[],MATCH(CONCATENATE(Liste!$C$3,$B$2261,$B$2459),Data!$BO:$BO,0)-2,38)&lt;&gt;"",INDEX(Tab_DaBa[],MATCH(CONCATENATE(Liste!$C$3,$B$2261,$B$2459),Data!$BO:$BO,0)-2,43)=""),INDEX(Tab_DaBa[],MATCH(CONCATENATE(Liste!$C$3,$B$2261,$B$2459),Data!$BO:$BO,0)-2,13),IF(INDEX(Tab_DaBa[],MATCH(CONCATENATE(Liste!$C$3,$B$2261,$B$2459),Data!$BO:$BO,0)-2,38)&lt;&gt;"",INDEX(Tab_DaBa[],MATCH(CONCATENATE(Liste!$C$3,$B$2261,$B$2459),Data!$BO:$BO,0)-2,43),"")),"")</f>
        <v>Bez_Lo03_08</v>
      </c>
      <c r="G2471" s="38">
        <f ca="1">IF(H2469="","",4)</f>
        <v>4</v>
      </c>
      <c r="H2471" s="35" t="str">
        <f ca="1">IFERROR(IF(AND(INDEX(Tab_DaBa[],MATCH(CONCATENATE(Liste!$C$3,$B$2261,$B$2459),Data!$BO:$BO,0)-2,43)&lt;&gt;"",INDEX(Tab_DaBa[],MATCH(CONCATENATE(Liste!$C$3,$B$2261,$B$2459),Data!$BO:$BO,0)-2,48)=""),INDEX(Tab_DaBa[],MATCH(CONCATENATE(Liste!$C$3,$B$2261,$B$2459),Data!$BO:$BO,0)-2,13),IF(INDEX(Tab_DaBa[],MATCH(CONCATENATE(Liste!$C$3,$B$2261,$B$2459),Data!$BO:$BO,0)-2,43)&lt;&gt;"",INDEX(Tab_DaBa[],MATCH(CONCATENATE(Liste!$C$3,$B$2261,$B$2459),Data!$BO:$BO,0)-2,48),"")),"")</f>
        <v>Bez_Lo03_08</v>
      </c>
      <c r="I2471" s="38">
        <f ca="1">IF(B2477="","",6)</f>
        <v>6</v>
      </c>
    </row>
    <row r="2472" spans="2:9" s="16" customFormat="1" ht="15.75">
      <c r="B2472" s="35" t="str">
        <f ca="1">IFERROR(IF(AND(INDEX(Tab_DaBa[],MATCH(CONCATENATE(Liste!$C$3,$B$2261,$B$2459),Data!$BO:$BO,0)-2,28)&lt;&gt;"",INDEX(Tab_DaBa[],MATCH(CONCATENATE(Liste!$C$3,$B$2261,$B$2459),Data!$BO:$BO,0)-2,33)=""),"Performance Level: "&amp;INDEX(Tab_DaBa[],MATCH(CONCATENATE(Liste!$C$3,$B$2261,$B$2459),Data!$BO:$BO,0)-2,15),IF(INDEX(Tab_DaBa[],MATCH(CONCATENATE(Liste!$C$3,$B$2261,$B$2459),Data!$BO:$BO,0)-2,28)&lt;&gt;"","Performance Level: "&amp;INDEX(Tab_DaBa[],MATCH(CONCATENATE(Liste!$C$3,$B$2261,$B$2459),Data!$BO:$BO,0)-2,35),"")),"")</f>
        <v>Performance Level: PL_Lo04_08</v>
      </c>
      <c r="C2472" s="39"/>
      <c r="D2472" s="35" t="str">
        <f ca="1">IFERROR(IF(AND(INDEX(Tab_DaBa[],MATCH(CONCATENATE(Liste!$C$3,$B$2261,$B$2459),Data!$BO:$BO,0)-2,33)&lt;&gt;"",INDEX(Tab_DaBa[],MATCH(CONCATENATE(Liste!$C$3,$B$2261,$B$2459),Data!$BO:$BO,0)-2,38)=""),"Performance Level: "&amp;INDEX(Tab_DaBa[],MATCH(CONCATENATE(Liste!$C$3,$B$2261,$B$2459),Data!$BO:$BO,0)-2,15),IF(INDEX(Tab_DaBa[],MATCH(CONCATENATE(Liste!$C$3,$B$2261,$B$2459),Data!$BO:$BO,0)-2,33)&lt;&gt;"","Performance Level: "&amp;INDEX(Tab_DaBa[],MATCH(CONCATENATE(Liste!$C$3,$B$2261,$B$2459),Data!$BO:$BO,0)-2,40),"")),"")</f>
        <v>Performance Level: PL_Lo03_8</v>
      </c>
      <c r="E2472" s="37"/>
      <c r="F2472" s="35" t="str">
        <f ca="1">IFERROR(IF(AND(INDEX(Tab_DaBa[],MATCH(CONCATENATE(Liste!$C$3,$B$2261,$B$2459),Data!$BO:$BO,0)-2,38)&lt;&gt;"",INDEX(Tab_DaBa[],MATCH(CONCATENATE(Liste!$C$3,$B$2261,$B$2459),Data!$BO:$BO,0)-2,43)=""),"Performance Level: "&amp;INDEX(Tab_DaBa[],MATCH(CONCATENATE(Liste!$C$3,$B$2261,$B$2459),Data!$BO:$BO,0)-2,15),IF(INDEX(Tab_DaBa[],MATCH(CONCATENATE(Liste!$C$3,$B$2261,$B$2459),Data!$BO:$BO,0)-2,38)&lt;&gt;"","Performance Level: "&amp;INDEX(Tab_DaBa[],MATCH(CONCATENATE(Liste!$C$3,$B$2261,$B$2459),Data!$BO:$BO,0)-2,45),"")),"")</f>
        <v>Performance Level: PL_Lo03_08</v>
      </c>
      <c r="G2472" s="39"/>
      <c r="H2472" s="35" t="str">
        <f ca="1">IFERROR(IF(AND(INDEX(Tab_DaBa[],MATCH(CONCATENATE(Liste!$C$3,$B$2261,$B$2459),Data!$BO:$BO,0)-2,43)&lt;&gt;"",INDEX(Tab_DaBa[],MATCH(CONCATENATE(Liste!$C$3,$B$2261,$B$2459),Data!$BO:$BO,0)-2,48)=""),"Performance Level: "&amp;INDEX(Tab_DaBa[],MATCH(CONCATENATE(Liste!$C$3,$B$2261,$B$2459),Data!$BO:$BO,0)-2,15),IF(INDEX(Tab_DaBa[],MATCH(CONCATENATE(Liste!$C$3,$B$2261,$B$2459),Data!$BO:$BO,0)-2,43)&lt;&gt;"","Performance Level: "&amp;INDEX(Tab_DaBa[],MATCH(CONCATENATE(Liste!$C$3,$B$2261,$B$2459),Data!$BO:$BO,0)-2,50),"")),"")</f>
        <v>Performance Level: PL_Lo03_08</v>
      </c>
      <c r="I2472" s="39"/>
    </row>
    <row r="2473" spans="2:9" s="16" customFormat="1" ht="15.75">
      <c r="B2473" s="35" t="str">
        <f ca="1">IFERROR(IF(AND(INDEX(Tab_DaBa[],MATCH(CONCATENATE(Liste!$C$3,$B$2261,$B$2459),Data!$BO:$BO,0)-2,28)&lt;&gt;"",INDEX(Tab_DaBa[],MATCH(CONCATENATE(Liste!$C$3,$B$2261,$B$2459),Data!$BO:$BO,0)-2,33)=""),"PFH [1/h] = "&amp;10^9*INDEX(Tab_DaBa[],MATCH(CONCATENATE(Liste!$C$3,$B$2261,$B$2459),Data!$BO:$BO,0)-2,16)&amp;"E-9",IF(INDEX(Tab_DaBa[],MATCH(CONCATENATE(Liste!$C$3,$B$2261,$B$2459),Data!$BO:$BO,0)-2,28)&lt;&gt;"","PFH [1/h] = "&amp;10^9*INDEX(Tab_DaBa[],MATCH(CONCATENATE(Liste!$C$3,$B$2261,$B$2459),Data!$BO:$BO,0)-2,36)&amp;"E-9","")),"")</f>
        <v>PFH [1/h] = 4,19E-9</v>
      </c>
      <c r="C2473" s="39"/>
      <c r="D2473" s="35" t="str">
        <f ca="1">IFERROR(IF(AND(INDEX(Tab_DaBa[],MATCH(CONCATENATE(Liste!$C$3,$B$2261,$B$2459),Data!$BO:$BO,0)-2,33)&lt;&gt;"",INDEX(Tab_DaBa[],MATCH(CONCATENATE(Liste!$C$3,$B$2261,$B$2459),Data!$BO:$BO,0)-2,38)=""),"PFH [1/h] = "&amp;10^9*INDEX(Tab_DaBa[],MATCH(CONCATENATE(Liste!$C$3,$B$2261,$B$2459),Data!$BO:$BO,0)-2,16)&amp;"E-9",IF(INDEX(Tab_DaBa[],MATCH(CONCATENATE(Liste!$C$3,$B$2261,$B$2459),Data!$BO:$BO,0)-2,33)&lt;&gt;"","PFH [1/h] = "&amp;10^9*INDEX(Tab_DaBa[],MATCH(CONCATENATE(Liste!$C$3,$B$2261,$B$2459),Data!$BO:$BO,0)-2,41)&amp;"E-9","")),"")</f>
        <v>PFH [1/h] = 4,19E-9</v>
      </c>
      <c r="E2473" s="37"/>
      <c r="F2473" s="35" t="str">
        <f ca="1">IFERROR(IF(AND(INDEX(Tab_DaBa[],MATCH(CONCATENATE(Liste!$C$3,$B$2261,$B$2459),Data!$BO:$BO,0)-2,38)&lt;&gt;"",INDEX(Tab_DaBa[],MATCH(CONCATENATE(Liste!$C$3,$B$2261,$B$2459),Data!$BO:$BO,0)-2,43)=""),"PFH [1/h] = "&amp;10^9*INDEX(Tab_DaBa[],MATCH(CONCATENATE(Liste!$C$3,$B$2261,$B$2459),Data!$BO:$BO,0)-2,16)&amp;"E-9",IF(INDEX(Tab_DaBa[],MATCH(CONCATENATE(Liste!$C$3,$B$2261,$B$2459),Data!$BO:$BO,0)-2,38)&lt;&gt;"","PFH [1/h] = "&amp;10^9*INDEX(Tab_DaBa[],MATCH(CONCATENATE(Liste!$C$3,$B$2261,$B$2459),Data!$BO:$BO,0)-2,46)&amp;"E-9","")),"")</f>
        <v>PFH [1/h] = 4,19E-9</v>
      </c>
      <c r="G2473" s="39"/>
      <c r="H2473" s="35" t="str">
        <f ca="1">IFERROR(IF(AND(INDEX(Tab_DaBa[],MATCH(CONCATENATE(Liste!$C$3,$B$2261,$B$2459),Data!$BO:$BO,0)-2,43)&lt;&gt;"",INDEX(Tab_DaBa[],MATCH(CONCATENATE(Liste!$C$3,$B$2261,$B$2459),Data!$BO:$BO,0)-2,48)=""),"PFH [1/h] = "&amp;10^9*INDEX(Tab_DaBa[],MATCH(CONCATENATE(Liste!$C$3,$B$2261,$B$2459),Data!$BO:$BO,0)-2,16)&amp;"E-9",IF(INDEX(Tab_DaBa[],MATCH(CONCATENATE(Liste!$C$3,$B$2261,$B$2459),Data!$BO:$BO,0)-2,43)&lt;&gt;"","PFH [1/h] = "&amp;10^9*INDEX(Tab_DaBa[],MATCH(CONCATENATE(Liste!$C$3,$B$2261,$B$2459),Data!$BO:$BO,0)-2,51)&amp;"E-9","")),"")</f>
        <v>PFH [1/h] = 4,19E-9</v>
      </c>
      <c r="I2473" s="39"/>
    </row>
    <row r="2474" spans="2:9" s="16" customFormat="1">
      <c r="B2474" s="33"/>
      <c r="C2474" s="33"/>
      <c r="D2474" s="33"/>
      <c r="E2474" s="33"/>
      <c r="F2474" s="33"/>
      <c r="G2474" s="33"/>
      <c r="H2474" s="33"/>
      <c r="I2474" s="33"/>
    </row>
    <row r="2475" spans="2:9" s="16" customFormat="1" ht="15.75">
      <c r="B2475" s="38">
        <f ca="1">IF(B2477="","",6)</f>
        <v>6</v>
      </c>
      <c r="C2475" s="33"/>
      <c r="D2475" s="38">
        <f ca="1">IF(B2477="","",3)</f>
        <v>3</v>
      </c>
      <c r="E2475" s="33"/>
      <c r="F2475" s="38">
        <f ca="1">IF(B2477="","",3)</f>
        <v>3</v>
      </c>
      <c r="G2475" s="33"/>
      <c r="H2475" s="38">
        <f ca="1">IF(B2477="","",3)</f>
        <v>3</v>
      </c>
      <c r="I2475" s="33"/>
    </row>
    <row r="2476" spans="2:9" s="16" customFormat="1" ht="15.75">
      <c r="B2476" s="39"/>
      <c r="C2476" s="33"/>
      <c r="D2476" s="33"/>
      <c r="E2476" s="33"/>
      <c r="F2476" s="33"/>
      <c r="G2476" s="33"/>
      <c r="H2476" s="33"/>
      <c r="I2476" s="33"/>
    </row>
    <row r="2477" spans="2:9" s="16" customFormat="1" ht="15.75">
      <c r="B2477" s="35" t="str">
        <f ca="1">IFERROR(IF(AND(INDEX(Tab_DaBa[],MATCH(CONCATENATE(Liste!$C$3,$B$2261,$B$2459),Data!$BO:$BO,0)-2,48)&lt;&gt;"",INDEX(Tab_DaBa[],MATCH(CONCATENATE(Liste!$C$3,$B$2261,$B$2459),Data!$BO:$BO,0)-2,53)=0),INDEX(Tab_DaBa[],MATCH(CONCATENATE(Liste!$C$3,$B$2261,$B$2459),Data!$BO:$BO,0)-2,14),IF(INDEX(Tab_DaBa[],MATCH(CONCATENATE(Liste!$C$3,$B$2261,$B$2459),Data!$BO:$BO,0)-2,48)&lt;&gt;"",INDEX(Tab_DaBa[],MATCH(CONCATENATE(Liste!$C$3,$B$2261,$B$2459),Data!$BO:$BO,0)-2,54),"")),"")</f>
        <v>Logik 08</v>
      </c>
      <c r="C2477" s="39"/>
      <c r="D2477" s="35" t="str">
        <f ca="1">IFERROR(IF(AND(INDEX(Tab_DaBa[],MATCH(CONCATENATE(Liste!$C$3,$B$2261,$B$2459),Data!$BO:$BO,0)-2,53)&lt;&gt;"",INDEX(Tab_DaBa[],MATCH(CONCATENATE(Liste!$C$3,$B$2261,$B$2459),Data!$BO:$BO,0)-2,58)=0),INDEX(Tab_DaBa[],MATCH(CONCATENATE(Liste!$C$3,$B$2261,$B$2459),Data!$BO:$BO,0)-2,14),IF(INDEX(Tab_DaBa[],MATCH(CONCATENATE(Liste!$C$3,$B$2261,$B$2459),Data!$BO:$BO,0)-2,53)&lt;&gt;"",INDEX(Tab_DaBa[],MATCH(CONCATENATE(Liste!$C$3,$B$2261,$B$2459),Data!$BO:$BO,0)-2,59),"")),"")</f>
        <v>Ausgang</v>
      </c>
      <c r="E2477" s="33"/>
      <c r="F2477" s="35" t="str">
        <f ca="1">IFERROR(IF(AND(INDEX(Tab_DaBa[],MATCH(CONCATENATE(Liste!$C$3,$B$2261,$B$2459),Data!$BO:$BO,0)-2,58)&lt;&gt;"",INDEX(Tab_DaBa[],MATCH(CONCATENATE(Liste!$C$3,$B$2261,$B$2459),Data!$BO:$BO,0)-2,63)=0),INDEX(Tab_DaBa[],MATCH(CONCATENATE(Liste!$C$3,$B$2261,$B$2459),Data!$BO:$BO,0)-2,14),IF(INDEX(Tab_DaBa[],MATCH(CONCATENATE(Liste!$C$3,$B$2261,$B$2459),Data!$BO:$BO,0)-2,58)&lt;&gt;"",INDEX(Tab_DaBa[],MATCH(CONCATENATE(Liste!$C$3,$B$2261,$B$2459),Data!$BO:$BO,0)-2,64),"")),"")</f>
        <v/>
      </c>
      <c r="G2477" s="39"/>
      <c r="H2477" s="35" t="str">
        <f ca="1">IFERROR(IF(INDEX(Tab_DaBa[],MATCH(CONCATENATE(Liste!$C$3,$B$2261,$B$2459),Data!$BO:$BO,0)-2,63)&lt;&gt;"",INDEX(Tab_DaBa[],MATCH(CONCATENATE(Liste!$C$3,$B$2261,$B$2459),Data!$BO:$BO,0)-2,14),""),"")</f>
        <v/>
      </c>
    </row>
    <row r="2478" spans="2:9" s="16" customFormat="1" ht="15.75">
      <c r="B2478" s="35" t="str">
        <f ca="1">IFERROR(IF(AND(INDEX(Tab_DaBa[],MATCH(CONCATENATE(Liste!$C$3,$B$2261,$B$2459),Data!$BO:$BO,0)-2,48)&lt;&gt;"",INDEX(Tab_DaBa[],MATCH(CONCATENATE(Liste!$C$3,$B$2261,$B$2459),Data!$BO:$BO,0)-2,53)=0),INDEX(Tab_DaBa[],MATCH(CONCATENATE(Liste!$C$3,$B$2261,$B$2459),Data!$BO:$BO,0)-2,12),IF(INDEX(Tab_DaBa[],MATCH(CONCATENATE(Liste!$C$3,$B$2261,$B$2459),Data!$BO:$BO,0)-2,48)&lt;&gt;"",INDEX(Tab_DaBa[],MATCH(CONCATENATE(Liste!$C$3,$B$2261,$B$2459),Data!$BO:$BO,0)-2,52),"")),"")</f>
        <v>Lo03-88_08</v>
      </c>
      <c r="C2478" s="39"/>
      <c r="D2478" s="35" t="str">
        <f ca="1">IFERROR(IF(AND(INDEX(Tab_DaBa[],MATCH(CONCATENATE(Liste!$C$3,$B$2261,$B$2459),Data!$BO:$BO,0)-2,53)&lt;&gt;"",INDEX(Tab_DaBa[],MATCH(CONCATENATE(Liste!$C$3,$B$2261,$B$2459),Data!$BO:$BO,0)-2,58)=0),INDEX(Tab_DaBa[],MATCH(CONCATENATE(Liste!$C$3,$B$2261,$B$2459),Data!$BO:$BO,0)-2,12),IF(INDEX(Tab_DaBa[],MATCH(CONCATENATE(Liste!$C$3,$B$2261,$B$2459),Data!$BO:$BO,0)-2,53)&lt;&gt;"",INDEX(Tab_DaBa[],MATCH(CONCATENATE(Liste!$C$3,$B$2261,$B$2459),Data!$BO:$BO,0)-2,57),"")),"")</f>
        <v>aaaa-44_8</v>
      </c>
      <c r="E2478" s="37"/>
      <c r="F2478" s="35" t="str">
        <f ca="1">IFERROR(IF(AND(INDEX(Tab_DaBa[],MATCH(CONCATENATE(Liste!$C$3,$B$2261,$B$2459),Data!$BO:$BO,0)-2,58)&lt;&gt;"",INDEX(Tab_DaBa[],MATCH(CONCATENATE(Liste!$C$3,$B$2261,$B$2459),Data!$BO:$BO,0)-2,63)=0),INDEX(Tab_DaBa[],MATCH(CONCATENATE(Liste!$C$3,$B$2261,$B$2459),Data!$BO:$BO,0)-2,12),IF(INDEX(Tab_DaBa[],MATCH(CONCATENATE(Liste!$C$3,$B$2261,$B$2459),Data!$BO:$BO,0)-2,58)&lt;&gt;"",INDEX(Tab_DaBa[],MATCH(CONCATENATE(Liste!$C$3,$B$2261,$B$2459),Data!$BO:$BO,0)-2,62),"")),"")</f>
        <v/>
      </c>
      <c r="G2478" s="39"/>
      <c r="H2478" s="35" t="str">
        <f ca="1">IFERROR(IF(INDEX(Tab_DaBa[],MATCH(CONCATENATE(Liste!$C$3,$B$2261,$B$2459),Data!$BO:$BO,0)-2,63)&lt;&gt;"",INDEX(Tab_DaBa[],MATCH(CONCATENATE(Liste!$C$3,$B$2261,$B$2459),Data!$BO:$BO,0)-2,12),""),"")</f>
        <v/>
      </c>
    </row>
    <row r="2479" spans="2:9" s="16" customFormat="1" ht="15.75">
      <c r="B2479" s="35" t="str">
        <f ca="1">IFERROR(IF(AND(INDEX(Tab_DaBa[],MATCH(CONCATENATE(Liste!$C$3,$B$2261,$B$2459),Data!$BO:$BO,0)-2,48)&lt;&gt;"",INDEX(Tab_DaBa[],MATCH(CONCATENATE(Liste!$C$3,$B$2261,$B$2459),Data!$BO:$BO,0)-2,53)=""),INDEX(Tab_DaBa[],MATCH(CONCATENATE(Liste!$C$3,$B$2261,$B$2459),Data!$BO:$BO,0)-2,13),IF(INDEX(Tab_DaBa[],MATCH(CONCATENATE(Liste!$C$3,$B$2261,$B$2459),Data!$BO:$BO,0)-2,48)&lt;&gt;"",INDEX(Tab_DaBa[],MATCH(CONCATENATE(Liste!$C$3,$B$2261,$B$2459),Data!$BO:$BO,0)-2,53),"")),"")</f>
        <v>Bez_Lo03_08</v>
      </c>
      <c r="C2479" s="38">
        <f ca="1">IF(D2477="","",4)</f>
        <v>4</v>
      </c>
      <c r="D2479" s="35" t="str">
        <f ca="1">IFERROR(IF(AND(INDEX(Tab_DaBa[],MATCH(CONCATENATE(Liste!$C$3,$B$2261,$B$2459),Data!$BO:$BO,0)-2,53)&lt;&gt;"",INDEX(Tab_DaBa[],MATCH(CONCATENATE(Liste!$C$3,$B$2261,$B$2459),Data!$BO:$BO,0)-2,58)=""),INDEX(Tab_DaBa[],MATCH(CONCATENATE(Liste!$C$3,$B$2261,$B$2459),Data!$BO:$BO,0)-2,13),IF(INDEX(Tab_DaBa[],MATCH(CONCATENATE(Liste!$C$3,$B$2261,$B$2459),Data!$BO:$BO,0)-2,53)&lt;&gt;"",INDEX(Tab_DaBa[],MATCH(CONCATENATE(Liste!$C$3,$B$2261,$B$2459),Data!$BO:$BO,0)-2,58),"")),"")</f>
        <v>Bez_Aus4_8</v>
      </c>
      <c r="E2479" s="38" t="str">
        <f ca="1">IF(F2477="","",4)</f>
        <v/>
      </c>
      <c r="F2479" s="35" t="str">
        <f ca="1">IFERROR(IF(AND(INDEX(Tab_DaBa[],MATCH(CONCATENATE(Liste!$C$3,$B$2261,$B$2459),Data!$BO:$BO,0)-2,58)&lt;&gt;"",INDEX(Tab_DaBa[],MATCH(CONCATENATE(Liste!$C$3,$B$2261,$B$2459),Data!$BO:$BO,0)-2,63)=""),INDEX(Tab_DaBa[],MATCH(CONCATENATE(Liste!$C$3,$B$2261,$B$2459),Data!$BO:$BO,0)-2,13),IF(INDEX(Tab_DaBa[],MATCH(CONCATENATE(Liste!$C$3,$B$2261,$B$2459),Data!$BO:$BO,0)-2,58)&lt;&gt;"",INDEX(Tab_DaBa[],MATCH(CONCATENATE(Liste!$C$3,$B$2261,$B$2459),Data!$BO:$BO,0)-2,63),"")),"")</f>
        <v/>
      </c>
      <c r="G2479" s="38" t="str">
        <f ca="1">IF(H2477="","",4)</f>
        <v/>
      </c>
      <c r="H2479" s="35" t="str">
        <f ca="1">IFERROR(IF(INDEX(Tab_DaBa[],MATCH(CONCATENATE(Liste!$C$3,$B$2261,$B$2459),Data!$BO:$BO,0)-2,63)&lt;&gt;"",INDEX(Tab_DaBa[],MATCH(CONCATENATE(Liste!$C$3,$B$2261,$B$2459),Data!$BO:$BO,0)-2,13),""),"")</f>
        <v/>
      </c>
    </row>
    <row r="2480" spans="2:9" s="16" customFormat="1" ht="15.75">
      <c r="B2480" s="35" t="str">
        <f ca="1">IFERROR(IF(AND(INDEX(Tab_DaBa[],MATCH(CONCATENATE(Liste!$C$3,$B$2261,$B$2459),Data!$BO:$BO,0)-2,48)&lt;&gt;"",INDEX(Tab_DaBa[],MATCH(CONCATENATE(Liste!$C$3,$B$2261,$B$2459),Data!$BO:$BO,0)-2,53)=""),"Performance Level: "&amp;INDEX(Tab_DaBa[],MATCH(CONCATENATE(Liste!$C$3,$B$2261,$B$2459),Data!$BO:$BO,0)-2,15),IF(INDEX(Tab_DaBa[],MATCH(CONCATENATE(Liste!$C$3,$B$2261,$B$2459),Data!$BO:$BO,0)-2,48)&lt;&gt;"","Performance Level: "&amp;INDEX(Tab_DaBa[],MATCH(CONCATENATE(Liste!$C$3,$B$2261,$B$2459),Data!$BO:$BO,0)-2,55),"")),"")</f>
        <v>Performance Level: PL_Lo03_08</v>
      </c>
      <c r="C2480" s="39"/>
      <c r="D2480" s="35" t="str">
        <f ca="1">IFERROR(IF(AND(INDEX(Tab_DaBa[],MATCH(CONCATENATE(Liste!$C$3,$B$2261,$B$2459),Data!$BO:$BO,0)-2,53)&lt;&gt;"",INDEX(Tab_DaBa[],MATCH(CONCATENATE(Liste!$C$3,$B$2261,$B$2459),Data!$BO:$BO,0)-2,58)=""),"Performance Level: "&amp;INDEX(Tab_DaBa[],MATCH(CONCATENATE(Liste!$C$3,$B$2261,$B$2459),Data!$BO:$BO,0)-2,15),IF(INDEX(Tab_DaBa[],MATCH(CONCATENATE(Liste!$C$3,$B$2261,$B$2459),Data!$BO:$BO,0)-2,53)&lt;&gt;"","Performance Level: "&amp;INDEX(Tab_DaBa[],MATCH(CONCATENATE(Liste!$C$3,$B$2261,$B$2459),Data!$BO:$BO,0)-2,60),"")),"")</f>
        <v>Performance Level: PL_Aus4_8</v>
      </c>
      <c r="E2480" s="37"/>
      <c r="F2480" s="35" t="str">
        <f ca="1">IFERROR(IF(AND(INDEX(Tab_DaBa[],MATCH(CONCATENATE(Liste!$C$3,$B$2261,$B$2459),Data!$BO:$BO,0)-2,58)&lt;&gt;"",INDEX(Tab_DaBa[],MATCH(CONCATENATE(Liste!$C$3,$B$2261,$B$2459),Data!$BO:$BO,0)-2,63)=""),"Performance Level: "&amp;INDEX(Tab_DaBa[],MATCH(CONCATENATE(Liste!$C$3,$B$2261,$B$2459),Data!$BO:$BO,0)-2,15),IF(INDEX(Tab_DaBa[],MATCH(CONCATENATE(Liste!$C$3,$B$2261,$B$2459),Data!$BO:$BO,0)-2,58)&lt;&gt;"","Performance Level: "&amp;INDEX(Tab_DaBa[],MATCH(CONCATENATE(Liste!$C$3,$B$2261,$B$2459),Data!$BO:$BO,0)-2,65),"")),"")</f>
        <v/>
      </c>
      <c r="G2480" s="39"/>
      <c r="H2480" s="35" t="str">
        <f ca="1">IFERROR(IF(INDEX(Tab_DaBa[],MATCH(CONCATENATE(Liste!$C$3,$B$2261,$B$2459),Data!$BO:$BO,0)-2,63)&lt;&gt;"","Performance Level: "&amp;INDEX(Tab_DaBa[],MATCH(CONCATENATE(Liste!$C$3,$B$2261,$B$2459),Data!$BO:$BO,0)-2,15),""),"")</f>
        <v/>
      </c>
    </row>
    <row r="2481" spans="2:9" s="16" customFormat="1" ht="15.75">
      <c r="B2481" s="35" t="str">
        <f ca="1">IFERROR(IF(AND(INDEX(Tab_DaBa[],MATCH(CONCATENATE(Liste!$C$3,$B$2261,$B$2459),Data!$BO:$BO,0)-2,48)&lt;&gt;"",INDEX(Tab_DaBa[],MATCH(CONCATENATE(Liste!$C$3,$B$2261,$B$2459),Data!$BO:$BO,0)-2,53)=""),"PFH [1/h] = "&amp;10^9*INDEX(Tab_DaBa[],MATCH(CONCATENATE(Liste!$C$3,$B$2261,$B$2459),Data!$BO:$BO,0)-2,16)&amp;"E-9",IF(INDEX(Tab_DaBa[],MATCH(CONCATENATE(Liste!$C$3,$B$2261,$B$2459),Data!$BO:$BO,0)-2,48)&lt;&gt;"","PFH [1/h] = "&amp;10^9*INDEX(Tab_DaBa[],MATCH(CONCATENATE(Liste!$C$3,$B$2261,$B$2459),Data!$BO:$BO,0)-2,56)&amp;"E-9","")),"")</f>
        <v>PFH [1/h] = 4,19E-9</v>
      </c>
      <c r="C2481" s="39"/>
      <c r="D2481" s="35" t="str">
        <f ca="1">IFERROR(IF(AND(INDEX(Tab_DaBa[],MATCH(CONCATENATE(Liste!$C$3,$B$2261,$B$2459),Data!$BO:$BO,0)-2,53)&lt;&gt;"",INDEX(Tab_DaBa[],MATCH(CONCATENATE(Liste!$C$3,$B$2261,$B$2459),Data!$BO:$BO,0)-2,58)=""),"PFH [1/h] = "&amp;10^9*INDEX(Tab_DaBa[],MATCH(CONCATENATE(Liste!$C$3,$B$2261,$B$2459),Data!$BO:$BO,0)-2,16)&amp;"E-9",IF(INDEX(Tab_DaBa[],MATCH(CONCATENATE(Liste!$C$3,$B$2261,$B$2459),Data!$BO:$BO,0)-2,53)&lt;&gt;"","PFH [1/h] = "&amp;10^9*INDEX(Tab_DaBa[],MATCH(CONCATENATE(Liste!$C$3,$B$2261,$B$2459),Data!$BO:$BO,0)-2,61)&amp;"E-9","")),"")</f>
        <v>PFH [1/h] = 24,7E-9</v>
      </c>
      <c r="E2481" s="37"/>
      <c r="F2481" s="35" t="str">
        <f ca="1">IFERROR(IF(AND(INDEX(Tab_DaBa[],MATCH(CONCATENATE(Liste!$C$3,$B$2261,$B$2459),Data!$BO:$BO,0)-2,58)&lt;&gt;"",INDEX(Tab_DaBa[],MATCH(CONCATENATE(Liste!$C$3,$B$2261,$B$2459),Data!$BO:$BO,0)-2,63)=""),"PFH [1/h] = "&amp;10^9*INDEX(Tab_DaBa[],MATCH(CONCATENATE(Liste!$C$3,$B$2261,$B$2459),Data!$BO:$BO,0)-2,16)&amp;"E-9",IF(INDEX(Tab_DaBa[],MATCH(CONCATENATE(Liste!$C$3,$B$2261,$B$2459),Data!$BO:$BO,0)-2,58)&lt;&gt;"","PFH [1/h] = "&amp;10^9*INDEX(Tab_DaBa[],MATCH(CONCATENATE(Liste!$C$3,$B$2261,$B$2459),Data!$BO:$BO,0)-2,66)&amp;"E-9","")),"")</f>
        <v/>
      </c>
      <c r="G2481" s="39"/>
      <c r="H2481" s="35" t="str">
        <f ca="1">IFERROR(IF(INDEX(Tab_DaBa[],MATCH(CONCATENATE(Liste!$C$3,$B$2261,$B$2459),Data!$BO:$BO,0)-2,63)&lt;&gt;"","PFH [1/h] = "&amp;10^9*INDEX(Tab_DaBa[],MATCH(CONCATENATE(Liste!$C$3,$B$2261,$B$2459),Data!$BO:$BO,0)-2,16)&amp;"E-9",""),"")</f>
        <v/>
      </c>
    </row>
    <row r="2482" spans="2:9" s="16" customFormat="1"/>
    <row r="2483" spans="2:9" s="16" customFormat="1">
      <c r="B2483" s="43" t="str">
        <f ca="1">IF(D2483="","","Erforderlich")</f>
        <v>Erforderlich</v>
      </c>
      <c r="D2483" s="44" t="str">
        <f ca="1">IFERROR("Performance Level: "&amp;INDEX(Tab_DaBa[],MATCH(CONCATENATE(Liste!$C$3,$B$2261,$B$2459),Data!$BO:$BO,0)-2,4),"")</f>
        <v>Performance Level: PLr_ges4_8</v>
      </c>
    </row>
    <row r="2484" spans="2:9" s="16" customFormat="1">
      <c r="B2484" s="45"/>
    </row>
    <row r="2485" spans="2:9" s="16" customFormat="1">
      <c r="B2485" s="46" t="str">
        <f ca="1">IF(D2485="","","Erreicht")</f>
        <v>Erreicht</v>
      </c>
      <c r="D2485" s="47" t="str">
        <f ca="1">IFERROR("Performance Level: "&amp;INDEX(Tab_DaBa[],MATCH(CONCATENATE(Liste!$C$3,$B$2261,$B$2459),Data!$BO:$BO,0)-2,5)&amp;"          PFH [1/h] = "&amp;10^9*INDEX(Tab_DaBa[],MATCH(CONCATENATE(Liste!$C$3,$B$2261,$B$2459),Data!$BO:$BO,0)-2,6)&amp;"E-9","")</f>
        <v>Performance Level: Pl_ges4_8          PFH [1/h] = 71,7E-9</v>
      </c>
    </row>
    <row r="2486" spans="2:9" s="16" customFormat="1">
      <c r="B2486" s="50"/>
      <c r="C2486" s="49"/>
      <c r="D2486" s="49"/>
    </row>
    <row r="2487" spans="2:9" s="16" customFormat="1">
      <c r="B2487" s="42" t="str">
        <f ca="1">IFERROR(IF(9&gt;COUNTIF(Data!$BP:$BP,CONCATENATE(Liste!$C$3,$B$2261)),"",INDEX(Tab_DaBa[],MATCH(CONCATENATE(Liste!$C$3,$B$2261),Data!$BP:$BP,0)+6,3)),"")</f>
        <v>9.9 Test09 (E+9L+A)</v>
      </c>
    </row>
    <row r="2488" spans="2:9" s="16" customFormat="1"/>
    <row r="2489" spans="2:9" s="16" customFormat="1" ht="15.75">
      <c r="B2489" s="35" t="str">
        <f ca="1">IFERROR(INDEX(Tab_DaBa[],MATCH(CONCATENATE(Liste!$C$3,$B$2261,$B$2487),Data!$BO:$BO,0)-2,9),"")</f>
        <v>Eingang</v>
      </c>
      <c r="C2489" s="54"/>
      <c r="D2489" s="35" t="str">
        <f ca="1">IFERROR(IF(INDEX(Tab_DaBa[],MATCH(CONCATENATE(Liste!$C$3,$B$2261,$B$2487),Data!$BO:$BO,0)-2,18)=0,INDEX(Tab_DaBa[],MATCH(CONCATENATE(Liste!$C$3,$B$2261,$B$2487),Data!$BO:$BO,0)-2,14),INDEX(Tab_DaBa[],MATCH(CONCATENATE(Liste!$C$3,$B$2261,$B$2487),Data!$BO:$BO,0)-2,19)),"")</f>
        <v>Logik 01</v>
      </c>
      <c r="E2489" s="33"/>
      <c r="F2489" s="35" t="str">
        <f ca="1">IFERROR(IF(AND(INDEX(Tab_DaBa[],MATCH(CONCATENATE(Liste!$C$3,$B$2261,$B$2487),Data!$BO:$BO,0)-2,18)&lt;&gt;"",INDEX(Tab_DaBa[],MATCH(CONCATENATE(Liste!$C$3,$B$2261,$B$2487),Data!$BO:$BO,0)-2,23)=0),INDEX(Tab_DaBa[],MATCH(CONCATENATE(Liste!$C$3,$B$2261,$B$2487),Data!$BO:$BO,0)-2,14),IF(INDEX(Tab_DaBa[],MATCH(CONCATENATE(Liste!$C$3,$B$2261,$B$2487),Data!$BO:$BO,0)-2,23)&lt;&gt;"",INDEX(Tab_DaBa[],MATCH(CONCATENATE(Liste!$C$3,$B$2261,$B$2487),Data!$BO:$BO,0)-2,24),"")),"")</f>
        <v>Logik 02</v>
      </c>
      <c r="G2489" s="39"/>
      <c r="H2489" s="35" t="str">
        <f ca="1">IFERROR(IF(AND(INDEX(Tab_DaBa[],MATCH(CONCATENATE(Liste!$C$3,$B$2261,$B$2487),Data!$BO:$BO,0)-2,23)&lt;&gt;"",INDEX(Tab_DaBa[],MATCH(CONCATENATE(Liste!$C$3,$B$2261,$B$2487),Data!$BO:$BO,0)-2,28)=0),INDEX(Tab_DaBa[],MATCH(CONCATENATE(Liste!$C$3,$B$2261,$B$2487),Data!$BO:$BO,0)-2,14),IF(INDEX(Tab_DaBa[],MATCH(CONCATENATE(Liste!$C$3,$B$2261,$B$2487),Data!$BO:$BO,0)-2,23)&lt;&gt;"",INDEX(Tab_DaBa[],MATCH(CONCATENATE(Liste!$C$3,$B$2261,$B$2487),Data!$BO:$BO,0)-2,29),"")),"")</f>
        <v>Logik 03</v>
      </c>
      <c r="I2489" s="39"/>
    </row>
    <row r="2490" spans="2:9" s="16" customFormat="1" ht="15.75">
      <c r="B2490" s="35" t="str">
        <f ca="1">IFERROR(INDEX(Tab_DaBa[],MATCH(CONCATENATE(Liste!$C$3,$B$2261,$B$2487),Data!$BO:$BO,0)-2,7),"")</f>
        <v>eeee-33_9</v>
      </c>
      <c r="C2490" s="54"/>
      <c r="D2490" s="35" t="str">
        <f ca="1">IFERROR(IF(INDEX(Tab_DaBa[],MATCH(CONCATENATE(Liste!$C$3,$B$2261,$B$2487),Data!$BO:$BO,0)-2,18)="",INDEX(Tab_DaBa[],MATCH(CONCATENATE(Liste!$C$3,$B$2261,$B$2487),Data!$BO:$BO,0)-2,12),INDEX(Tab_DaBa[],MATCH(CONCATENATE(Liste!$C$3,$B$2261,$B$2487),Data!$BO:$BO,0)-2,17)),"")</f>
        <v>Log01-04_09</v>
      </c>
      <c r="E2490" s="36"/>
      <c r="F2490" s="35" t="str">
        <f ca="1">IFERROR(IF(AND(INDEX(Tab_DaBa[],MATCH(CONCATENATE(Liste!$C$3,$B$2261,$B$2487),Data!$BO:$BO,0)-2,18)&lt;&gt;"",INDEX(Tab_DaBa[],MATCH(CONCATENATE(Liste!$C$3,$B$2261,$B$2487),Data!$BO:$BO,0)-2,23)=0),INDEX(Tab_DaBa[],MATCH(CONCATENATE(Liste!$C$3,$B$2261,$B$2487),Data!$BO:$BO,0)-2,12),IF(INDEX(Tab_DaBa[],MATCH(CONCATENATE(Liste!$C$3,$B$2261,$B$2487),Data!$BO:$BO,0)-2,23)&lt;&gt;"",INDEX(Tab_DaBa[],MATCH(CONCATENATE(Liste!$C$3,$B$2261,$B$2487),Data!$BO:$BO,0)-2,22),"")),"")</f>
        <v>Lo04-04_09</v>
      </c>
      <c r="G2490" s="39"/>
      <c r="H2490" s="35" t="str">
        <f ca="1">IFERROR(IF(AND(INDEX(Tab_DaBa[],MATCH(CONCATENATE(Liste!$C$3,$B$2261,$B$2487),Data!$BO:$BO,0)-2,23)&lt;&gt;"",INDEX(Tab_DaBa[],MATCH(CONCATENATE(Liste!$C$3,$B$2261,$B$2487),Data!$BO:$BO,0)-2,28)=0),INDEX(Tab_DaBa[],MATCH(CONCATENATE(Liste!$C$3,$B$2261,$B$2487),Data!$BO:$BO,0)-2,12),IF(INDEX(Tab_DaBa[],MATCH(CONCATENATE(Liste!$C$3,$B$2261,$B$2487),Data!$BO:$BO,0)-2,23)&lt;&gt;"",INDEX(Tab_DaBa[],MATCH(CONCATENATE(Liste!$C$3,$B$2261,$B$2487),Data!$BO:$BO,0)-2,27),"")),"")</f>
        <v>Lo04-44_09</v>
      </c>
      <c r="I2490" s="39"/>
    </row>
    <row r="2491" spans="2:9" s="16" customFormat="1" ht="15.75">
      <c r="B2491" s="35" t="str">
        <f ca="1">IFERROR(INDEX(Tab_DaBa[],MATCH(CONCATENATE(Liste!$C$3,$B$2261,$B$2487),Data!$BO:$BO,0)-2,8),"")</f>
        <v>Bez_Ein4_9</v>
      </c>
      <c r="C2491" s="40">
        <f ca="1">IF(D2489="","",4)</f>
        <v>4</v>
      </c>
      <c r="D2491" s="35" t="str">
        <f ca="1">IFERROR(IF(INDEX(Tab_DaBa[],MATCH(CONCATENATE(Liste!$C$3,$B$2261,$B$2487),Data!$BO:$BO,0)-2,18)="",INDEX(Tab_DaBa[],MATCH(CONCATENATE(Liste!$C$3,$B$2261,$B$2487),Data!$BO:$BO,0)-2,13),INDEX(Tab_DaBa[],MATCH(CONCATENATE(Liste!$C$3,$B$2261,$B$2487),Data!$BO:$BO,0)-2,18)),"")</f>
        <v>Bez_Log01_04_09</v>
      </c>
      <c r="E2491" s="40">
        <f ca="1">IF(F2489="","",4)</f>
        <v>4</v>
      </c>
      <c r="F2491" s="35" t="str">
        <f ca="1">IFERROR(IF(AND(INDEX(Tab_DaBa[],MATCH(CONCATENATE(Liste!$C$3,$B$2261,$B$2487),Data!$BO:$BO,0)-2,18)&lt;&gt;"",INDEX(Tab_DaBa[],MATCH(CONCATENATE(Liste!$C$3,$B$2261,$B$2487),Data!$BO:$BO,0)-2,23)=""),INDEX(Tab_DaBa[],MATCH(CONCATENATE(Liste!$C$3,$B$2261,$B$2487),Data!$BO:$BO,0)-2,13),IF(INDEX(Tab_DaBa[],MATCH(CONCATENATE(Liste!$C$3,$B$2261,$B$2487),Data!$BO:$BO,0)-2,23)&lt;&gt;"",INDEX(Tab_DaBa[],MATCH(CONCATENATE(Liste!$C$3,$B$2261,$B$2487),Data!$BO:$BO,0)-2,23),"")),"")</f>
        <v>Bez_Lo04_09</v>
      </c>
      <c r="G2491" s="38">
        <f ca="1">IF(H2489="","",4)</f>
        <v>4</v>
      </c>
      <c r="H2491" s="35" t="str">
        <f ca="1">IFERROR(IF(AND(INDEX(Tab_DaBa[],MATCH(CONCATENATE(Liste!$C$3,$B$2261,$B$2487),Data!$BO:$BO,0)-2,23)&lt;&gt;"",INDEX(Tab_DaBa[],MATCH(CONCATENATE(Liste!$C$3,$B$2261,$B$2487),Data!$BO:$BO,0)-2,28)=""),INDEX(Tab_DaBa[],MATCH(CONCATENATE(Liste!$C$3,$B$2261,$B$2487),Data!$BO:$BO,0)-2,13),IF(INDEX(Tab_DaBa[],MATCH(CONCATENATE(Liste!$C$3,$B$2261,$B$2487),Data!$BO:$BO,0)-2,23)&lt;&gt;"",INDEX(Tab_DaBa[],MATCH(CONCATENATE(Liste!$C$3,$B$2261,$B$2487),Data!$BO:$BO,0)-2,28),"")),"")</f>
        <v>Bez_Lo04_09</v>
      </c>
      <c r="I2491" s="38">
        <f ca="1">IF(B2497="","",6)</f>
        <v>6</v>
      </c>
    </row>
    <row r="2492" spans="2:9" s="16" customFormat="1" ht="15.75">
      <c r="B2492" s="35" t="str">
        <f ca="1">IFERROR("Performance Level: "&amp;INDEX(Tab_DaBa[],MATCH(CONCATENATE(Liste!$C$3,$B$2261,$B$2487),Data!$BO:$BO,0)-2,10),"")</f>
        <v>Performance Level: PL_Ein4_9</v>
      </c>
      <c r="C2492" s="54"/>
      <c r="D2492" s="35" t="str">
        <f ca="1">IFERROR(IF(INDEX(Tab_DaBa[],MATCH(CONCATENATE(Liste!$C$3,$B$2261,$B$2487),Data!$BO:$BO,0)-2,18)="","Performance Level: "&amp;INDEX(Tab_DaBa[],MATCH(CONCATENATE(Liste!$C$3,$B$2261,$B$2487),Data!$BO:$BO,0)-2,15),"Performance Level: "&amp;INDEX(Tab_DaBa[],MATCH(CONCATENATE(Liste!$C$3,$B$2261,$B$2487),Data!$BO:$BO,0)-2,20)),"")</f>
        <v>Performance Level: PL_Log01_04_09</v>
      </c>
      <c r="E2492" s="36"/>
      <c r="F2492" s="35" t="str">
        <f ca="1">IFERROR(IF(AND(INDEX(Tab_DaBa[],MATCH(CONCATENATE(Liste!$C$3,$B$2261,$B$2487),Data!$BO:$BO,0)-2,18)&lt;&gt;"",INDEX(Tab_DaBa[],MATCH(CONCATENATE(Liste!$C$3,$B$2261,$B$2487),Data!$BO:$BO,0)-2,23)=""),"Performance Level: "&amp;INDEX(Tab_DaBa[],MATCH(CONCATENATE(Liste!$C$3,$B$2261,$B$2487),Data!$BO:$BO,0)-2,15),IF(INDEX(Tab_DaBa[],MATCH(CONCATENATE(Liste!$C$3,$B$2261,$B$2487),Data!$BO:$BO,0)-2,23)&lt;&gt;"","Performance Level: "&amp;INDEX(Tab_DaBa[],MATCH(CONCATENATE(Liste!$C$3,$B$2261,$B$2487),Data!$BO:$BO,0)-2,25),"")),"")</f>
        <v>Performance Level: PL_Lo04_09</v>
      </c>
      <c r="G2492" s="39"/>
      <c r="H2492" s="35" t="str">
        <f ca="1">IFERROR(IF(AND(INDEX(Tab_DaBa[],MATCH(CONCATENATE(Liste!$C$3,$B$2261,$B$2487),Data!$BO:$BO,0)-2,23)&lt;&gt;"",INDEX(Tab_DaBa[],MATCH(CONCATENATE(Liste!$C$3,$B$2261,$B$2487),Data!$BO:$BO,0)-2,28)=""),"Performance Level: "&amp;INDEX(Tab_DaBa[],MATCH(CONCATENATE(Liste!$C$3,$B$2261,$B$2487),Data!$BO:$BO,0)-2,15),IF(INDEX(Tab_DaBa[],MATCH(CONCATENATE(Liste!$C$3,$B$2261,$B$2487),Data!$BO:$BO,0)-2,23)&lt;&gt;"","Performance Level: "&amp;INDEX(Tab_DaBa[],MATCH(CONCATENATE(Liste!$C$3,$B$2261,$B$2487),Data!$BO:$BO,0)-2,30),"")),"")</f>
        <v>Performance Level: PL_Lo04_09</v>
      </c>
      <c r="I2492" s="38"/>
    </row>
    <row r="2493" spans="2:9" s="16" customFormat="1" ht="15.75">
      <c r="B2493" s="53" t="str">
        <f ca="1">IFERROR("PFH [1/h] = "&amp;10^9*INDEX(Tab_DaBa[],MATCH(CONCATENATE(Liste!$C$3,$B$2261,$B$2487),Data!$BO:$BO,0)-2,11)&amp;"E-9","")</f>
        <v>PFH [1/h] = 42,9E-9</v>
      </c>
      <c r="C2493" s="54"/>
      <c r="D2493" s="35" t="str">
        <f ca="1">IFERROR(IF(INDEX(Tab_DaBa[],MATCH(CONCATENATE(Liste!$C$3,$B$2261,$B$2487),Data!$BO:$BO,0)-2,18)="","PFH [1/h] = "&amp;10^9*INDEX(Tab_DaBa[],MATCH(CONCATENATE(Liste!$C$3,$B$2261,$B$2487),Data!$BO:$BO,0)-2,16)&amp;"E-9","PFH [1/h] = "&amp;10^9*INDEX(Tab_DaBa[],MATCH(CONCATENATE(Liste!$C$3,$B$2261,$B$2487),Data!$BO:$BO,0)-2,21)&amp;"E-9"),"")</f>
        <v>PFH [1/h] = 4,19E-9</v>
      </c>
      <c r="E2493" s="36"/>
      <c r="F2493" s="35" t="str">
        <f ca="1">IFERROR(IF(AND(INDEX(Tab_DaBa[],MATCH(CONCATENATE(Liste!$C$3,$B$2261,$B$2487),Data!$BO:$BO,0)-2,18)&lt;&gt;"",INDEX(Tab_DaBa[],MATCH(CONCATENATE(Liste!$C$3,$B$2261,$B$2487),Data!$BO:$BO,0)-2,23)=""),"PFH [1/h] = "&amp;10^9*INDEX(Tab_DaBa[],MATCH(CONCATENATE(Liste!$C$3,$B$2261,$B$2487),Data!$BO:$BO,0)-2,16)&amp;"E-9",IF(INDEX(Tab_DaBa[],MATCH(CONCATENATE(Liste!$C$3,$B$2261,$B$2487),Data!$BO:$BO,0)-2,23)&lt;&gt;"","PFH [1/h] = "&amp;10^9*INDEX(Tab_DaBa[],MATCH(CONCATENATE(Liste!$C$3,$B$2261,$B$2487),Data!$BO:$BO,0)-2,26)&amp;"E-9","")),"")</f>
        <v>PFH [1/h] = 4,19E-9</v>
      </c>
      <c r="G2493" s="39"/>
      <c r="H2493" s="35" t="str">
        <f ca="1">IFERROR(IF(AND(INDEX(Tab_DaBa[],MATCH(CONCATENATE(Liste!$C$3,$B$2261,$B$2487),Data!$BO:$BO,0)-2,23)&lt;&gt;"",INDEX(Tab_DaBa[],MATCH(CONCATENATE(Liste!$C$3,$B$2261,$B$2487),Data!$BO:$BO,0)-2,28)=""),"PFH [1/h] = "&amp;10^9*INDEX(Tab_DaBa[],MATCH(CONCATENATE(Liste!$C$3,$B$2261,$B$2487),Data!$BO:$BO,0)-2,16)&amp;"E-9",IF(INDEX(Tab_DaBa[],MATCH(CONCATENATE(Liste!$C$3,$B$2261,$B$2487),Data!$BO:$BO,0)-2,23)&lt;&gt;"","PFH [1/h] = "&amp;10^9*INDEX(Tab_DaBa[],MATCH(CONCATENATE(Liste!$C$3,$B$2261,$B$2487),Data!$BO:$BO,0)-2,31)&amp;"E-9","")),"")</f>
        <v>PFH [1/h] = 4,19E-9</v>
      </c>
      <c r="I2493" s="39"/>
    </row>
    <row r="2494" spans="2:9" s="16" customFormat="1">
      <c r="B2494" s="33"/>
      <c r="C2494" s="34"/>
      <c r="D2494" s="33"/>
      <c r="E2494" s="33"/>
      <c r="F2494" s="33"/>
      <c r="G2494" s="33"/>
      <c r="H2494" s="33"/>
      <c r="I2494" s="33"/>
    </row>
    <row r="2495" spans="2:9" s="16" customFormat="1" ht="15.75">
      <c r="B2495" s="38">
        <f ca="1">IF(B2497="","",6)</f>
        <v>6</v>
      </c>
      <c r="C2495" s="34"/>
      <c r="D2495" s="38">
        <f ca="1">IF(B2497="","",3)</f>
        <v>3</v>
      </c>
      <c r="E2495" s="33"/>
      <c r="F2495" s="38">
        <f ca="1">IF(B2497="","",3)</f>
        <v>3</v>
      </c>
      <c r="G2495" s="33"/>
      <c r="H2495" s="38">
        <f ca="1">IF(B2497="","",3)</f>
        <v>3</v>
      </c>
      <c r="I2495" s="33"/>
    </row>
    <row r="2496" spans="2:9" s="16" customFormat="1" ht="15.75">
      <c r="B2496" s="39"/>
      <c r="C2496" s="33"/>
      <c r="D2496" s="33"/>
      <c r="E2496" s="33"/>
      <c r="F2496" s="33"/>
      <c r="G2496" s="33"/>
      <c r="H2496" s="33"/>
      <c r="I2496" s="33"/>
    </row>
    <row r="2497" spans="2:9" s="16" customFormat="1" ht="15.75">
      <c r="B2497" s="35" t="str">
        <f ca="1">IFERROR(IF(AND(INDEX(Tab_DaBa[],MATCH(CONCATENATE(Liste!$C$3,$B$2261,$B$2487),Data!$BO:$BO,0)-2,28)&lt;&gt;"",INDEX(Tab_DaBa[],MATCH(CONCATENATE(Liste!$C$3,$B$2261,$B$2487),Data!$BO:$BO,0)-2,33)=0),INDEX(Tab_DaBa[],MATCH(CONCATENATE(Liste!$C$3,$B$2261,$B$2487),Data!$BO:$BO,0)-2,14),IF(INDEX(Tab_DaBa[],MATCH(CONCATENATE(Liste!$C$3,$B$2261,$B$2487),Data!$BO:$BO,0)-2,28)&lt;&gt;"",INDEX(Tab_DaBa[],MATCH(CONCATENATE(Liste!$C$3,$B$2261,$B$2487),Data!$BO:$BO,0)-2,34),"")),"")</f>
        <v>Logik 04</v>
      </c>
      <c r="C2497" s="39"/>
      <c r="D2497" s="35" t="str">
        <f ca="1">IFERROR(IF(AND(INDEX(Tab_DaBa[],MATCH(CONCATENATE(Liste!$C$3,$B$2261,$B$2487),Data!$BO:$BO,0)-2,33)&lt;&gt;"",INDEX(Tab_DaBa[],MATCH(CONCATENATE(Liste!$C$3,$B$2261,$B$2487),Data!$BO:$BO,0)-2,38)=0),INDEX(Tab_DaBa[],MATCH(CONCATENATE(Liste!$C$3,$B$2261,$B$2487),Data!$BO:$BO,0)-2,14),IF(INDEX(Tab_DaBa[],MATCH(CONCATENATE(Liste!$C$3,$B$2261,$B$2487),Data!$BO:$BO,0)-2,33)&lt;&gt;"",INDEX(Tab_DaBa[],MATCH(CONCATENATE(Liste!$C$3,$B$2261,$B$2487),Data!$BO:$BO,0)-2,39),"")),"")</f>
        <v>Logik 07</v>
      </c>
      <c r="E2497" s="33"/>
      <c r="F2497" s="35" t="str">
        <f ca="1">IFERROR(IF(AND(INDEX(Tab_DaBa[],MATCH(CONCATENATE(Liste!$C$3,$B$2261,$B$2487),Data!$BO:$BO,0)-2,38)&lt;&gt;"",INDEX(Tab_DaBa[],MATCH(CONCATENATE(Liste!$C$3,$B$2261,$B$2487),Data!$BO:$BO,0)-2,43)=0),INDEX(Tab_DaBa[],MATCH(CONCATENATE(Liste!$C$3,$B$2261,$B$2487),Data!$BO:$BO,0)-2,14),IF(INDEX(Tab_DaBa[],MATCH(CONCATENATE(Liste!$C$3,$B$2261,$B$2487),Data!$BO:$BO,0)-2,38)&lt;&gt;"",INDEX(Tab_DaBa[],MATCH(CONCATENATE(Liste!$C$3,$B$2261,$B$2487),Data!$BO:$BO,0)-2,44),"")),"")</f>
        <v>Logik 06</v>
      </c>
      <c r="G2497" s="39"/>
      <c r="H2497" s="35" t="str">
        <f ca="1">IFERROR(IF(AND(INDEX(Tab_DaBa[],MATCH(CONCATENATE(Liste!$C$3,$B$2261,$B$2487),Data!$BO:$BO,0)-2,43)&lt;&gt;"",INDEX(Tab_DaBa[],MATCH(CONCATENATE(Liste!$C$3,$B$2261,$B$2487),Data!$BO:$BO,0)-2,48)=0),INDEX(Tab_DaBa[],MATCH(CONCATENATE(Liste!$C$3,$B$2261,$B$2487),Data!$BO:$BO,0)-2,14),IF(INDEX(Tab_DaBa[],MATCH(CONCATENATE(Liste!$C$3,$B$2261,$B$2487),Data!$BO:$BO,0)-2,43)&lt;&gt;"",INDEX(Tab_DaBa[],MATCH(CONCATENATE(Liste!$C$3,$B$2261,$B$2487),Data!$BO:$BO,0)-2,49),"")),"")</f>
        <v>Logik 07</v>
      </c>
      <c r="I2497" s="39"/>
    </row>
    <row r="2498" spans="2:9" s="16" customFormat="1" ht="15.75">
      <c r="B2498" s="35" t="str">
        <f ca="1">IFERROR(IF(AND(INDEX(Tab_DaBa[],MATCH(CONCATENATE(Liste!$C$3,$B$2261,$B$2487),Data!$BO:$BO,0)-2,28)&lt;&gt;"",INDEX(Tab_DaBa[],MATCH(CONCATENATE(Liste!$C$3,$B$2261,$B$2487),Data!$BO:$BO,0)-2,33)=0),INDEX(Tab_DaBa[],MATCH(CONCATENATE(Liste!$C$3,$B$2261,$B$2487),Data!$BO:$BO,0)-2,12),IF(INDEX(Tab_DaBa[],MATCH(CONCATENATE(Liste!$C$3,$B$2261,$B$2487),Data!$BO:$BO,0)-2,28)&lt;&gt;"",INDEX(Tab_DaBa[],MATCH(CONCATENATE(Liste!$C$3,$B$2261,$B$2487),Data!$BO:$BO,0)-2,32),"")),"")</f>
        <v>Lo04-44_09</v>
      </c>
      <c r="C2498" s="39"/>
      <c r="D2498" s="35" t="str">
        <f ca="1">IFERROR(IF(AND(INDEX(Tab_DaBa[],MATCH(CONCATENATE(Liste!$C$3,$B$2261,$B$2487),Data!$BO:$BO,0)-2,33)&lt;&gt;"",INDEX(Tab_DaBa[],MATCH(CONCATENATE(Liste!$C$3,$B$2261,$B$2487),Data!$BO:$BO,0)-2,38)=0),INDEX(Tab_DaBa[],MATCH(CONCATENATE(Liste!$C$3,$B$2261,$B$2487),Data!$BO:$BO,0)-2,12),IF(INDEX(Tab_DaBa[],MATCH(CONCATENATE(Liste!$C$3,$B$2261,$B$2487),Data!$BO:$BO,0)-2,33)&lt;&gt;"",INDEX(Tab_DaBa[],MATCH(CONCATENATE(Liste!$C$3,$B$2261,$B$2487),Data!$BO:$BO,0)-2,37),"")),"")</f>
        <v>Lo04-44_09</v>
      </c>
      <c r="E2498" s="37"/>
      <c r="F2498" s="35" t="str">
        <f ca="1">IFERROR(IF(AND(INDEX(Tab_DaBa[],MATCH(CONCATENATE(Liste!$C$3,$B$2261,$B$2487),Data!$BO:$BO,0)-2,38)&lt;&gt;"",INDEX(Tab_DaBa[],MATCH(CONCATENATE(Liste!$C$3,$B$2261,$B$2487),Data!$BO:$BO,0)-2,43)=0),INDEX(Tab_DaBa[],MATCH(CONCATENATE(Liste!$C$3,$B$2261,$B$2487),Data!$BO:$BO,0)-2,12),IF(INDEX(Tab_DaBa[],MATCH(CONCATENATE(Liste!$C$3,$B$2261,$B$2487),Data!$BO:$BO,0)-2,38)&lt;&gt;"",INDEX(Tab_DaBa[],MATCH(CONCATENATE(Liste!$C$3,$B$2261,$B$2487),Data!$BO:$BO,0)-2,42),"")),"")</f>
        <v>Lo03-33_09</v>
      </c>
      <c r="G2498" s="39"/>
      <c r="H2498" s="35" t="str">
        <f ca="1">IFERROR(IF(AND(INDEX(Tab_DaBa[],MATCH(CONCATENATE(Liste!$C$3,$B$2261,$B$2487),Data!$BO:$BO,0)-2,43)&lt;&gt;"",INDEX(Tab_DaBa[],MATCH(CONCATENATE(Liste!$C$3,$B$2261,$B$2487),Data!$BO:$BO,0)-2,48)=0),INDEX(Tab_DaBa[],MATCH(CONCATENATE(Liste!$C$3,$B$2261,$B$2487),Data!$BO:$BO,0)-2,12),IF(INDEX(Tab_DaBa[],MATCH(CONCATENATE(Liste!$C$3,$B$2261,$B$2487),Data!$BO:$BO,0)-2,43)&lt;&gt;"",INDEX(Tab_DaBa[],MATCH(CONCATENATE(Liste!$C$3,$B$2261,$B$2487),Data!$BO:$BO,0)-2,47),"")),"")</f>
        <v>Lo03-33_09</v>
      </c>
      <c r="I2498" s="39"/>
    </row>
    <row r="2499" spans="2:9" s="16" customFormat="1" ht="15.75">
      <c r="B2499" s="35" t="str">
        <f ca="1">IFERROR(IF(AND(INDEX(Tab_DaBa[],MATCH(CONCATENATE(Liste!$C$3,$B$2261,$B$2487),Data!$BO:$BO,0)-2,28)&lt;&gt;"",INDEX(Tab_DaBa[],MATCH(CONCATENATE(Liste!$C$3,$B$2261,$B$2487),Data!$BO:$BO,0)-2,33)=""),INDEX(Tab_DaBa[],MATCH(CONCATENATE(Liste!$C$3,$B$2261,$B$2487),Data!$BO:$BO,0)-2,13),IF(INDEX(Tab_DaBa[],MATCH(CONCATENATE(Liste!$C$3,$B$2261,$B$2487),Data!$BO:$BO,0)-2,28)&lt;&gt;"",INDEX(Tab_DaBa[],MATCH(CONCATENATE(Liste!$C$3,$B$2261,$B$2487),Data!$BO:$BO,0)-2,33),"")),"")</f>
        <v>Bez_Lo04_09</v>
      </c>
      <c r="C2499" s="38">
        <f ca="1">IF(D2497="","",4)</f>
        <v>4</v>
      </c>
      <c r="D2499" s="35" t="str">
        <f ca="1">IFERROR(IF(AND(INDEX(Tab_DaBa[],MATCH(CONCATENATE(Liste!$C$3,$B$2261,$B$2487),Data!$BO:$BO,0)-2,33)&lt;&gt;"",INDEX(Tab_DaBa[],MATCH(CONCATENATE(Liste!$C$3,$B$2261,$B$2487),Data!$BO:$BO,0)-2,38)=""),INDEX(Tab_DaBa[],MATCH(CONCATENATE(Liste!$C$3,$B$2261,$B$2487),Data!$BO:$BO,0)-2,13),IF(INDEX(Tab_DaBa[],MATCH(CONCATENATE(Liste!$C$3,$B$2261,$B$2487),Data!$BO:$BO,0)-2,33)&lt;&gt;"",INDEX(Tab_DaBa[],MATCH(CONCATENATE(Liste!$C$3,$B$2261,$B$2487),Data!$BO:$BO,0)-2,38),"")),"")</f>
        <v>Bez_Lo03_09</v>
      </c>
      <c r="E2499" s="38">
        <f ca="1">IF(F2497="","",4)</f>
        <v>4</v>
      </c>
      <c r="F2499" s="35" t="str">
        <f ca="1">IFERROR(IF(AND(INDEX(Tab_DaBa[],MATCH(CONCATENATE(Liste!$C$3,$B$2261,$B$2487),Data!$BO:$BO,0)-2,38)&lt;&gt;"",INDEX(Tab_DaBa[],MATCH(CONCATENATE(Liste!$C$3,$B$2261,$B$2487),Data!$BO:$BO,0)-2,43)=""),INDEX(Tab_DaBa[],MATCH(CONCATENATE(Liste!$C$3,$B$2261,$B$2487),Data!$BO:$BO,0)-2,13),IF(INDEX(Tab_DaBa[],MATCH(CONCATENATE(Liste!$C$3,$B$2261,$B$2487),Data!$BO:$BO,0)-2,38)&lt;&gt;"",INDEX(Tab_DaBa[],MATCH(CONCATENATE(Liste!$C$3,$B$2261,$B$2487),Data!$BO:$BO,0)-2,43),"")),"")</f>
        <v>Bez_Lo03_09</v>
      </c>
      <c r="G2499" s="38">
        <f ca="1">IF(H2497="","",4)</f>
        <v>4</v>
      </c>
      <c r="H2499" s="35" t="str">
        <f ca="1">IFERROR(IF(AND(INDEX(Tab_DaBa[],MATCH(CONCATENATE(Liste!$C$3,$B$2261,$B$2487),Data!$BO:$BO,0)-2,43)&lt;&gt;"",INDEX(Tab_DaBa[],MATCH(CONCATENATE(Liste!$C$3,$B$2261,$B$2487),Data!$BO:$BO,0)-2,48)=""),INDEX(Tab_DaBa[],MATCH(CONCATENATE(Liste!$C$3,$B$2261,$B$2487),Data!$BO:$BO,0)-2,13),IF(INDEX(Tab_DaBa[],MATCH(CONCATENATE(Liste!$C$3,$B$2261,$B$2487),Data!$BO:$BO,0)-2,43)&lt;&gt;"",INDEX(Tab_DaBa[],MATCH(CONCATENATE(Liste!$C$3,$B$2261,$B$2487),Data!$BO:$BO,0)-2,48),"")),"")</f>
        <v>Bez_Lo03_09</v>
      </c>
      <c r="I2499" s="38">
        <f ca="1">IF(B2505="","",6)</f>
        <v>6</v>
      </c>
    </row>
    <row r="2500" spans="2:9" s="16" customFormat="1" ht="15.75">
      <c r="B2500" s="35" t="str">
        <f ca="1">IFERROR(IF(AND(INDEX(Tab_DaBa[],MATCH(CONCATENATE(Liste!$C$3,$B$2261,$B$2487),Data!$BO:$BO,0)-2,28)&lt;&gt;"",INDEX(Tab_DaBa[],MATCH(CONCATENATE(Liste!$C$3,$B$2261,$B$2487),Data!$BO:$BO,0)-2,33)=""),"Performance Level: "&amp;INDEX(Tab_DaBa[],MATCH(CONCATENATE(Liste!$C$3,$B$2261,$B$2487),Data!$BO:$BO,0)-2,15),IF(INDEX(Tab_DaBa[],MATCH(CONCATENATE(Liste!$C$3,$B$2261,$B$2487),Data!$BO:$BO,0)-2,28)&lt;&gt;"","Performance Level: "&amp;INDEX(Tab_DaBa[],MATCH(CONCATENATE(Liste!$C$3,$B$2261,$B$2487),Data!$BO:$BO,0)-2,35),"")),"")</f>
        <v>Performance Level: PL_Lo04_09</v>
      </c>
      <c r="C2500" s="39"/>
      <c r="D2500" s="35" t="str">
        <f ca="1">IFERROR(IF(AND(INDEX(Tab_DaBa[],MATCH(CONCATENATE(Liste!$C$3,$B$2261,$B$2487),Data!$BO:$BO,0)-2,33)&lt;&gt;"",INDEX(Tab_DaBa[],MATCH(CONCATENATE(Liste!$C$3,$B$2261,$B$2487),Data!$BO:$BO,0)-2,38)=""),"Performance Level: "&amp;INDEX(Tab_DaBa[],MATCH(CONCATENATE(Liste!$C$3,$B$2261,$B$2487),Data!$BO:$BO,0)-2,15),IF(INDEX(Tab_DaBa[],MATCH(CONCATENATE(Liste!$C$3,$B$2261,$B$2487),Data!$BO:$BO,0)-2,33)&lt;&gt;"","Performance Level: "&amp;INDEX(Tab_DaBa[],MATCH(CONCATENATE(Liste!$C$3,$B$2261,$B$2487),Data!$BO:$BO,0)-2,40),"")),"")</f>
        <v>Performance Level: PL_Lo03_9</v>
      </c>
      <c r="E2500" s="37"/>
      <c r="F2500" s="35" t="str">
        <f ca="1">IFERROR(IF(AND(INDEX(Tab_DaBa[],MATCH(CONCATENATE(Liste!$C$3,$B$2261,$B$2487),Data!$BO:$BO,0)-2,38)&lt;&gt;"",INDEX(Tab_DaBa[],MATCH(CONCATENATE(Liste!$C$3,$B$2261,$B$2487),Data!$BO:$BO,0)-2,43)=""),"Performance Level: "&amp;INDEX(Tab_DaBa[],MATCH(CONCATENATE(Liste!$C$3,$B$2261,$B$2487),Data!$BO:$BO,0)-2,15),IF(INDEX(Tab_DaBa[],MATCH(CONCATENATE(Liste!$C$3,$B$2261,$B$2487),Data!$BO:$BO,0)-2,38)&lt;&gt;"","Performance Level: "&amp;INDEX(Tab_DaBa[],MATCH(CONCATENATE(Liste!$C$3,$B$2261,$B$2487),Data!$BO:$BO,0)-2,45),"")),"")</f>
        <v>Performance Level: PL_Lo03_09</v>
      </c>
      <c r="G2500" s="39"/>
      <c r="H2500" s="35" t="str">
        <f ca="1">IFERROR(IF(AND(INDEX(Tab_DaBa[],MATCH(CONCATENATE(Liste!$C$3,$B$2261,$B$2487),Data!$BO:$BO,0)-2,43)&lt;&gt;"",INDEX(Tab_DaBa[],MATCH(CONCATENATE(Liste!$C$3,$B$2261,$B$2487),Data!$BO:$BO,0)-2,48)=""),"Performance Level: "&amp;INDEX(Tab_DaBa[],MATCH(CONCATENATE(Liste!$C$3,$B$2261,$B$2487),Data!$BO:$BO,0)-2,15),IF(INDEX(Tab_DaBa[],MATCH(CONCATENATE(Liste!$C$3,$B$2261,$B$2487),Data!$BO:$BO,0)-2,43)&lt;&gt;"","Performance Level: "&amp;INDEX(Tab_DaBa[],MATCH(CONCATENATE(Liste!$C$3,$B$2261,$B$2487),Data!$BO:$BO,0)-2,50),"")),"")</f>
        <v>Performance Level: PL_Lo03_09</v>
      </c>
      <c r="I2500" s="39"/>
    </row>
    <row r="2501" spans="2:9" s="16" customFormat="1" ht="15.75">
      <c r="B2501" s="35" t="str">
        <f ca="1">IFERROR(IF(AND(INDEX(Tab_DaBa[],MATCH(CONCATENATE(Liste!$C$3,$B$2261,$B$2487),Data!$BO:$BO,0)-2,28)&lt;&gt;"",INDEX(Tab_DaBa[],MATCH(CONCATENATE(Liste!$C$3,$B$2261,$B$2487),Data!$BO:$BO,0)-2,33)=""),"PFH [1/h] = "&amp;10^9*INDEX(Tab_DaBa[],MATCH(CONCATENATE(Liste!$C$3,$B$2261,$B$2487),Data!$BO:$BO,0)-2,16)&amp;"E-9",IF(INDEX(Tab_DaBa[],MATCH(CONCATENATE(Liste!$C$3,$B$2261,$B$2487),Data!$BO:$BO,0)-2,28)&lt;&gt;"","PFH [1/h] = "&amp;10^9*INDEX(Tab_DaBa[],MATCH(CONCATENATE(Liste!$C$3,$B$2261,$B$2487),Data!$BO:$BO,0)-2,36)&amp;"E-9","")),"")</f>
        <v>PFH [1/h] = 4,19E-9</v>
      </c>
      <c r="C2501" s="39"/>
      <c r="D2501" s="35" t="str">
        <f ca="1">IFERROR(IF(AND(INDEX(Tab_DaBa[],MATCH(CONCATENATE(Liste!$C$3,$B$2261,$B$2487),Data!$BO:$BO,0)-2,33)&lt;&gt;"",INDEX(Tab_DaBa[],MATCH(CONCATENATE(Liste!$C$3,$B$2261,$B$2487),Data!$BO:$BO,0)-2,38)=""),"PFH [1/h] = "&amp;10^9*INDEX(Tab_DaBa[],MATCH(CONCATENATE(Liste!$C$3,$B$2261,$B$2487),Data!$BO:$BO,0)-2,16)&amp;"E-9",IF(INDEX(Tab_DaBa[],MATCH(CONCATENATE(Liste!$C$3,$B$2261,$B$2487),Data!$BO:$BO,0)-2,33)&lt;&gt;"","PFH [1/h] = "&amp;10^9*INDEX(Tab_DaBa[],MATCH(CONCATENATE(Liste!$C$3,$B$2261,$B$2487),Data!$BO:$BO,0)-2,41)&amp;"E-9","")),"")</f>
        <v>PFH [1/h] = 4,19E-9</v>
      </c>
      <c r="E2501" s="37"/>
      <c r="F2501" s="35" t="str">
        <f ca="1">IFERROR(IF(AND(INDEX(Tab_DaBa[],MATCH(CONCATENATE(Liste!$C$3,$B$2261,$B$2487),Data!$BO:$BO,0)-2,38)&lt;&gt;"",INDEX(Tab_DaBa[],MATCH(CONCATENATE(Liste!$C$3,$B$2261,$B$2487),Data!$BO:$BO,0)-2,43)=""),"PFH [1/h] = "&amp;10^9*INDEX(Tab_DaBa[],MATCH(CONCATENATE(Liste!$C$3,$B$2261,$B$2487),Data!$BO:$BO,0)-2,16)&amp;"E-9",IF(INDEX(Tab_DaBa[],MATCH(CONCATENATE(Liste!$C$3,$B$2261,$B$2487),Data!$BO:$BO,0)-2,38)&lt;&gt;"","PFH [1/h] = "&amp;10^9*INDEX(Tab_DaBa[],MATCH(CONCATENATE(Liste!$C$3,$B$2261,$B$2487),Data!$BO:$BO,0)-2,46)&amp;"E-9","")),"")</f>
        <v>PFH [1/h] = 4,19E-9</v>
      </c>
      <c r="G2501" s="39"/>
      <c r="H2501" s="35" t="str">
        <f ca="1">IFERROR(IF(AND(INDEX(Tab_DaBa[],MATCH(CONCATENATE(Liste!$C$3,$B$2261,$B$2487),Data!$BO:$BO,0)-2,43)&lt;&gt;"",INDEX(Tab_DaBa[],MATCH(CONCATENATE(Liste!$C$3,$B$2261,$B$2487),Data!$BO:$BO,0)-2,48)=""),"PFH [1/h] = "&amp;10^9*INDEX(Tab_DaBa[],MATCH(CONCATENATE(Liste!$C$3,$B$2261,$B$2487),Data!$BO:$BO,0)-2,16)&amp;"E-9",IF(INDEX(Tab_DaBa[],MATCH(CONCATENATE(Liste!$C$3,$B$2261,$B$2487),Data!$BO:$BO,0)-2,43)&lt;&gt;"","PFH [1/h] = "&amp;10^9*INDEX(Tab_DaBa[],MATCH(CONCATENATE(Liste!$C$3,$B$2261,$B$2487),Data!$BO:$BO,0)-2,51)&amp;"E-9","")),"")</f>
        <v>PFH [1/h] = 4,19E-9</v>
      </c>
      <c r="I2501" s="39"/>
    </row>
    <row r="2502" spans="2:9" s="16" customFormat="1">
      <c r="B2502" s="33"/>
      <c r="C2502" s="33"/>
      <c r="D2502" s="33"/>
      <c r="E2502" s="33"/>
      <c r="F2502" s="33"/>
      <c r="G2502" s="33"/>
      <c r="H2502" s="33"/>
      <c r="I2502" s="33"/>
    </row>
    <row r="2503" spans="2:9" s="16" customFormat="1" ht="15.75">
      <c r="B2503" s="38">
        <f ca="1">IF(B2505="","",6)</f>
        <v>6</v>
      </c>
      <c r="C2503" s="33"/>
      <c r="D2503" s="38">
        <f ca="1">IF(B2505="","",3)</f>
        <v>3</v>
      </c>
      <c r="E2503" s="33"/>
      <c r="F2503" s="38">
        <f ca="1">IF(B2505="","",3)</f>
        <v>3</v>
      </c>
      <c r="G2503" s="33"/>
      <c r="H2503" s="38">
        <f ca="1">IF(B2505="","",3)</f>
        <v>3</v>
      </c>
      <c r="I2503" s="33"/>
    </row>
    <row r="2504" spans="2:9" s="16" customFormat="1" ht="15.75">
      <c r="B2504" s="39"/>
      <c r="C2504" s="33"/>
      <c r="D2504" s="33"/>
      <c r="E2504" s="33"/>
      <c r="F2504" s="33"/>
      <c r="G2504" s="33"/>
      <c r="H2504" s="33"/>
      <c r="I2504" s="33"/>
    </row>
    <row r="2505" spans="2:9" s="16" customFormat="1" ht="15.75">
      <c r="B2505" s="35" t="str">
        <f ca="1">IFERROR(IF(AND(INDEX(Tab_DaBa[],MATCH(CONCATENATE(Liste!$C$3,$B$2261,$B$2487),Data!$BO:$BO,0)-2,48)&lt;&gt;"",INDEX(Tab_DaBa[],MATCH(CONCATENATE(Liste!$C$3,$B$2261,$B$2487),Data!$BO:$BO,0)-2,53)=0),INDEX(Tab_DaBa[],MATCH(CONCATENATE(Liste!$C$3,$B$2261,$B$2487),Data!$BO:$BO,0)-2,14),IF(INDEX(Tab_DaBa[],MATCH(CONCATENATE(Liste!$C$3,$B$2261,$B$2487),Data!$BO:$BO,0)-2,48)&lt;&gt;"",INDEX(Tab_DaBa[],MATCH(CONCATENATE(Liste!$C$3,$B$2261,$B$2487),Data!$BO:$BO,0)-2,54),"")),"")</f>
        <v>Logik 08</v>
      </c>
      <c r="C2505" s="39"/>
      <c r="D2505" s="35" t="str">
        <f ca="1">IFERROR(IF(AND(INDEX(Tab_DaBa[],MATCH(CONCATENATE(Liste!$C$3,$B$2261,$B$2487),Data!$BO:$BO,0)-2,53)&lt;&gt;"",INDEX(Tab_DaBa[],MATCH(CONCATENATE(Liste!$C$3,$B$2261,$B$2487),Data!$BO:$BO,0)-2,58)=0),INDEX(Tab_DaBa[],MATCH(CONCATENATE(Liste!$C$3,$B$2261,$B$2487),Data!$BO:$BO,0)-2,14),IF(INDEX(Tab_DaBa[],MATCH(CONCATENATE(Liste!$C$3,$B$2261,$B$2487),Data!$BO:$BO,0)-2,53)&lt;&gt;"",INDEX(Tab_DaBa[],MATCH(CONCATENATE(Liste!$C$3,$B$2261,$B$2487),Data!$BO:$BO,0)-2,59),"")),"")</f>
        <v>Logik 09</v>
      </c>
      <c r="E2505" s="33"/>
      <c r="F2505" s="35" t="str">
        <f ca="1">IFERROR(IF(AND(INDEX(Tab_DaBa[],MATCH(CONCATENATE(Liste!$C$3,$B$2261,$B$2487),Data!$BO:$BO,0)-2,58)&lt;&gt;"",INDEX(Tab_DaBa[],MATCH(CONCATENATE(Liste!$C$3,$B$2261,$B$2487),Data!$BO:$BO,0)-2,63)=0),INDEX(Tab_DaBa[],MATCH(CONCATENATE(Liste!$C$3,$B$2261,$B$2487),Data!$BO:$BO,0)-2,14),IF(INDEX(Tab_DaBa[],MATCH(CONCATENATE(Liste!$C$3,$B$2261,$B$2487),Data!$BO:$BO,0)-2,58)&lt;&gt;"",INDEX(Tab_DaBa[],MATCH(CONCATENATE(Liste!$C$3,$B$2261,$B$2487),Data!$BO:$BO,0)-2,64),"")),"")</f>
        <v>Ausgang</v>
      </c>
      <c r="G2505" s="39"/>
      <c r="H2505" s="35" t="str">
        <f ca="1">IFERROR(IF(INDEX(Tab_DaBa[],MATCH(CONCATENATE(Liste!$C$3,$B$2261,$B$2487),Data!$BO:$BO,0)-2,63)&lt;&gt;"",INDEX(Tab_DaBa[],MATCH(CONCATENATE(Liste!$C$3,$B$2261,$B$2487),Data!$BO:$BO,0)-2,14),""),"")</f>
        <v/>
      </c>
    </row>
    <row r="2506" spans="2:9" s="16" customFormat="1" ht="15.75">
      <c r="B2506" s="35" t="str">
        <f ca="1">IFERROR(IF(AND(INDEX(Tab_DaBa[],MATCH(CONCATENATE(Liste!$C$3,$B$2261,$B$2487),Data!$BO:$BO,0)-2,48)&lt;&gt;"",INDEX(Tab_DaBa[],MATCH(CONCATENATE(Liste!$C$3,$B$2261,$B$2487),Data!$BO:$BO,0)-2,53)=0),INDEX(Tab_DaBa[],MATCH(CONCATENATE(Liste!$C$3,$B$2261,$B$2487),Data!$BO:$BO,0)-2,12),IF(INDEX(Tab_DaBa[],MATCH(CONCATENATE(Liste!$C$3,$B$2261,$B$2487),Data!$BO:$BO,0)-2,48)&lt;&gt;"",INDEX(Tab_DaBa[],MATCH(CONCATENATE(Liste!$C$3,$B$2261,$B$2487),Data!$BO:$BO,0)-2,52),"")),"")</f>
        <v>Lo03-88_09</v>
      </c>
      <c r="C2506" s="39"/>
      <c r="D2506" s="35" t="str">
        <f ca="1">IFERROR(IF(AND(INDEX(Tab_DaBa[],MATCH(CONCATENATE(Liste!$C$3,$B$2261,$B$2487),Data!$BO:$BO,0)-2,53)&lt;&gt;"",INDEX(Tab_DaBa[],MATCH(CONCATENATE(Liste!$C$3,$B$2261,$B$2487),Data!$BO:$BO,0)-2,58)=0),INDEX(Tab_DaBa[],MATCH(CONCATENATE(Liste!$C$3,$B$2261,$B$2487),Data!$BO:$BO,0)-2,12),IF(INDEX(Tab_DaBa[],MATCH(CONCATENATE(Liste!$C$3,$B$2261,$B$2487),Data!$BO:$BO,0)-2,53)&lt;&gt;"",INDEX(Tab_DaBa[],MATCH(CONCATENATE(Liste!$C$3,$B$2261,$B$2487),Data!$BO:$BO,0)-2,57),"")),"")</f>
        <v>Lo03-33_09</v>
      </c>
      <c r="E2506" s="37"/>
      <c r="F2506" s="35" t="str">
        <f ca="1">IFERROR(IF(AND(INDEX(Tab_DaBa[],MATCH(CONCATENATE(Liste!$C$3,$B$2261,$B$2487),Data!$BO:$BO,0)-2,58)&lt;&gt;"",INDEX(Tab_DaBa[],MATCH(CONCATENATE(Liste!$C$3,$B$2261,$B$2487),Data!$BO:$BO,0)-2,63)=0),INDEX(Tab_DaBa[],MATCH(CONCATENATE(Liste!$C$3,$B$2261,$B$2487),Data!$BO:$BO,0)-2,12),IF(INDEX(Tab_DaBa[],MATCH(CONCATENATE(Liste!$C$3,$B$2261,$B$2487),Data!$BO:$BO,0)-2,58)&lt;&gt;"",INDEX(Tab_DaBa[],MATCH(CONCATENATE(Liste!$C$3,$B$2261,$B$2487),Data!$BO:$BO,0)-2,62),"")),"")</f>
        <v>aaaa-44_9</v>
      </c>
      <c r="G2506" s="39"/>
      <c r="H2506" s="35" t="str">
        <f ca="1">IFERROR(IF(INDEX(Tab_DaBa[],MATCH(CONCATENATE(Liste!$C$3,$B$2261,$B$2487),Data!$BO:$BO,0)-2,63)&lt;&gt;"",INDEX(Tab_DaBa[],MATCH(CONCATENATE(Liste!$C$3,$B$2261,$B$2487),Data!$BO:$BO,0)-2,12),""),"")</f>
        <v/>
      </c>
    </row>
    <row r="2507" spans="2:9" s="16" customFormat="1" ht="15.75">
      <c r="B2507" s="35" t="str">
        <f ca="1">IFERROR(IF(AND(INDEX(Tab_DaBa[],MATCH(CONCATENATE(Liste!$C$3,$B$2261,$B$2487),Data!$BO:$BO,0)-2,48)&lt;&gt;"",INDEX(Tab_DaBa[],MATCH(CONCATENATE(Liste!$C$3,$B$2261,$B$2487),Data!$BO:$BO,0)-2,53)=""),INDEX(Tab_DaBa[],MATCH(CONCATENATE(Liste!$C$3,$B$2261,$B$2487),Data!$BO:$BO,0)-2,13),IF(INDEX(Tab_DaBa[],MATCH(CONCATENATE(Liste!$C$3,$B$2261,$B$2487),Data!$BO:$BO,0)-2,48)&lt;&gt;"",INDEX(Tab_DaBa[],MATCH(CONCATENATE(Liste!$C$3,$B$2261,$B$2487),Data!$BO:$BO,0)-2,53),"")),"")</f>
        <v>Bez_Lo03_09</v>
      </c>
      <c r="C2507" s="38">
        <f ca="1">IF(D2505="","",4)</f>
        <v>4</v>
      </c>
      <c r="D2507" s="35" t="str">
        <f ca="1">IFERROR(IF(AND(INDEX(Tab_DaBa[],MATCH(CONCATENATE(Liste!$C$3,$B$2261,$B$2487),Data!$BO:$BO,0)-2,53)&lt;&gt;"",INDEX(Tab_DaBa[],MATCH(CONCATENATE(Liste!$C$3,$B$2261,$B$2487),Data!$BO:$BO,0)-2,58)=""),INDEX(Tab_DaBa[],MATCH(CONCATENATE(Liste!$C$3,$B$2261,$B$2487),Data!$BO:$BO,0)-2,13),IF(INDEX(Tab_DaBa[],MATCH(CONCATENATE(Liste!$C$3,$B$2261,$B$2487),Data!$BO:$BO,0)-2,53)&lt;&gt;"",INDEX(Tab_DaBa[],MATCH(CONCATENATE(Liste!$C$3,$B$2261,$B$2487),Data!$BO:$BO,0)-2,58),"")),"")</f>
        <v>Bez_Lo03_09</v>
      </c>
      <c r="E2507" s="38">
        <f ca="1">IF(F2505="","",4)</f>
        <v>4</v>
      </c>
      <c r="F2507" s="35" t="str">
        <f ca="1">IFERROR(IF(AND(INDEX(Tab_DaBa[],MATCH(CONCATENATE(Liste!$C$3,$B$2261,$B$2487),Data!$BO:$BO,0)-2,58)&lt;&gt;"",INDEX(Tab_DaBa[],MATCH(CONCATENATE(Liste!$C$3,$B$2261,$B$2487),Data!$BO:$BO,0)-2,63)=""),INDEX(Tab_DaBa[],MATCH(CONCATENATE(Liste!$C$3,$B$2261,$B$2487),Data!$BO:$BO,0)-2,13),IF(INDEX(Tab_DaBa[],MATCH(CONCATENATE(Liste!$C$3,$B$2261,$B$2487),Data!$BO:$BO,0)-2,58)&lt;&gt;"",INDEX(Tab_DaBa[],MATCH(CONCATENATE(Liste!$C$3,$B$2261,$B$2487),Data!$BO:$BO,0)-2,63),"")),"")</f>
        <v>Bez_Aus4_9</v>
      </c>
      <c r="G2507" s="38" t="str">
        <f ca="1">IF(H2505="","",4)</f>
        <v/>
      </c>
      <c r="H2507" s="35" t="str">
        <f ca="1">IFERROR(IF(INDEX(Tab_DaBa[],MATCH(CONCATENATE(Liste!$C$3,$B$2261,$B$2487),Data!$BO:$BO,0)-2,63)&lt;&gt;"",INDEX(Tab_DaBa[],MATCH(CONCATENATE(Liste!$C$3,$B$2261,$B$2487),Data!$BO:$BO,0)-2,13),""),"")</f>
        <v/>
      </c>
    </row>
    <row r="2508" spans="2:9" s="16" customFormat="1" ht="15.75">
      <c r="B2508" s="35" t="str">
        <f ca="1">IFERROR(IF(AND(INDEX(Tab_DaBa[],MATCH(CONCATENATE(Liste!$C$3,$B$2261,$B$2487),Data!$BO:$BO,0)-2,48)&lt;&gt;"",INDEX(Tab_DaBa[],MATCH(CONCATENATE(Liste!$C$3,$B$2261,$B$2487),Data!$BO:$BO,0)-2,53)=""),"Performance Level: "&amp;INDEX(Tab_DaBa[],MATCH(CONCATENATE(Liste!$C$3,$B$2261,$B$2487),Data!$BO:$BO,0)-2,15),IF(INDEX(Tab_DaBa[],MATCH(CONCATENATE(Liste!$C$3,$B$2261,$B$2487),Data!$BO:$BO,0)-2,48)&lt;&gt;"","Performance Level: "&amp;INDEX(Tab_DaBa[],MATCH(CONCATENATE(Liste!$C$3,$B$2261,$B$2487),Data!$BO:$BO,0)-2,55),"")),"")</f>
        <v>Performance Level: PL_Lo03_09</v>
      </c>
      <c r="C2508" s="39"/>
      <c r="D2508" s="35" t="str">
        <f ca="1">IFERROR(IF(AND(INDEX(Tab_DaBa[],MATCH(CONCATENATE(Liste!$C$3,$B$2261,$B$2487),Data!$BO:$BO,0)-2,53)&lt;&gt;"",INDEX(Tab_DaBa[],MATCH(CONCATENATE(Liste!$C$3,$B$2261,$B$2487),Data!$BO:$BO,0)-2,58)=""),"Performance Level: "&amp;INDEX(Tab_DaBa[],MATCH(CONCATENATE(Liste!$C$3,$B$2261,$B$2487),Data!$BO:$BO,0)-2,15),IF(INDEX(Tab_DaBa[],MATCH(CONCATENATE(Liste!$C$3,$B$2261,$B$2487),Data!$BO:$BO,0)-2,53)&lt;&gt;"","Performance Level: "&amp;INDEX(Tab_DaBa[],MATCH(CONCATENATE(Liste!$C$3,$B$2261,$B$2487),Data!$BO:$BO,0)-2,60),"")),"")</f>
        <v>Performance Level: PL_Lo03_09</v>
      </c>
      <c r="E2508" s="37"/>
      <c r="F2508" s="35" t="str">
        <f ca="1">IFERROR(IF(AND(INDEX(Tab_DaBa[],MATCH(CONCATENATE(Liste!$C$3,$B$2261,$B$2487),Data!$BO:$BO,0)-2,58)&lt;&gt;"",INDEX(Tab_DaBa[],MATCH(CONCATENATE(Liste!$C$3,$B$2261,$B$2487),Data!$BO:$BO,0)-2,63)=""),"Performance Level: "&amp;INDEX(Tab_DaBa[],MATCH(CONCATENATE(Liste!$C$3,$B$2261,$B$2487),Data!$BO:$BO,0)-2,15),IF(INDEX(Tab_DaBa[],MATCH(CONCATENATE(Liste!$C$3,$B$2261,$B$2487),Data!$BO:$BO,0)-2,58)&lt;&gt;"","Performance Level: "&amp;INDEX(Tab_DaBa[],MATCH(CONCATENATE(Liste!$C$3,$B$2261,$B$2487),Data!$BO:$BO,0)-2,65),"")),"")</f>
        <v>Performance Level: PL_Aus4_9</v>
      </c>
      <c r="G2508" s="39"/>
      <c r="H2508" s="35" t="str">
        <f ca="1">IFERROR(IF(INDEX(Tab_DaBa[],MATCH(CONCATENATE(Liste!$C$3,$B$2261,$B$2487),Data!$BO:$BO,0)-2,63)&lt;&gt;"","Performance Level: "&amp;INDEX(Tab_DaBa[],MATCH(CONCATENATE(Liste!$C$3,$B$2261,$B$2487),Data!$BO:$BO,0)-2,15),""),"")</f>
        <v/>
      </c>
    </row>
    <row r="2509" spans="2:9" s="16" customFormat="1" ht="15.75">
      <c r="B2509" s="35" t="str">
        <f ca="1">IFERROR(IF(AND(INDEX(Tab_DaBa[],MATCH(CONCATENATE(Liste!$C$3,$B$2261,$B$2487),Data!$BO:$BO,0)-2,48)&lt;&gt;"",INDEX(Tab_DaBa[],MATCH(CONCATENATE(Liste!$C$3,$B$2261,$B$2487),Data!$BO:$BO,0)-2,53)=""),"PFH [1/h] = "&amp;10^9*INDEX(Tab_DaBa[],MATCH(CONCATENATE(Liste!$C$3,$B$2261,$B$2487),Data!$BO:$BO,0)-2,16)&amp;"E-9",IF(INDEX(Tab_DaBa[],MATCH(CONCATENATE(Liste!$C$3,$B$2261,$B$2487),Data!$BO:$BO,0)-2,48)&lt;&gt;"","PFH [1/h] = "&amp;10^9*INDEX(Tab_DaBa[],MATCH(CONCATENATE(Liste!$C$3,$B$2261,$B$2487),Data!$BO:$BO,0)-2,56)&amp;"E-9","")),"")</f>
        <v>PFH [1/h] = 4,19E-9</v>
      </c>
      <c r="C2509" s="39"/>
      <c r="D2509" s="35" t="str">
        <f ca="1">IFERROR(IF(AND(INDEX(Tab_DaBa[],MATCH(CONCATENATE(Liste!$C$3,$B$2261,$B$2487),Data!$BO:$BO,0)-2,53)&lt;&gt;"",INDEX(Tab_DaBa[],MATCH(CONCATENATE(Liste!$C$3,$B$2261,$B$2487),Data!$BO:$BO,0)-2,58)=""),"PFH [1/h] = "&amp;10^9*INDEX(Tab_DaBa[],MATCH(CONCATENATE(Liste!$C$3,$B$2261,$B$2487),Data!$BO:$BO,0)-2,16)&amp;"E-9",IF(INDEX(Tab_DaBa[],MATCH(CONCATENATE(Liste!$C$3,$B$2261,$B$2487),Data!$BO:$BO,0)-2,53)&lt;&gt;"","PFH [1/h] = "&amp;10^9*INDEX(Tab_DaBa[],MATCH(CONCATENATE(Liste!$C$3,$B$2261,$B$2487),Data!$BO:$BO,0)-2,61)&amp;"E-9","")),"")</f>
        <v>PFH [1/h] = 4,19E-9</v>
      </c>
      <c r="E2509" s="37"/>
      <c r="F2509" s="35" t="str">
        <f ca="1">IFERROR(IF(AND(INDEX(Tab_DaBa[],MATCH(CONCATENATE(Liste!$C$3,$B$2261,$B$2487),Data!$BO:$BO,0)-2,58)&lt;&gt;"",INDEX(Tab_DaBa[],MATCH(CONCATENATE(Liste!$C$3,$B$2261,$B$2487),Data!$BO:$BO,0)-2,63)=""),"PFH [1/h] = "&amp;10^9*INDEX(Tab_DaBa[],MATCH(CONCATENATE(Liste!$C$3,$B$2261,$B$2487),Data!$BO:$BO,0)-2,16)&amp;"E-9",IF(INDEX(Tab_DaBa[],MATCH(CONCATENATE(Liste!$C$3,$B$2261,$B$2487),Data!$BO:$BO,0)-2,58)&lt;&gt;"","PFH [1/h] = "&amp;10^9*INDEX(Tab_DaBa[],MATCH(CONCATENATE(Liste!$C$3,$B$2261,$B$2487),Data!$BO:$BO,0)-2,66)&amp;"E-9","")),"")</f>
        <v>PFH [1/h] = 24,7E-9</v>
      </c>
      <c r="G2509" s="39"/>
      <c r="H2509" s="35" t="str">
        <f ca="1">IFERROR(IF(INDEX(Tab_DaBa[],MATCH(CONCATENATE(Liste!$C$3,$B$2261,$B$2487),Data!$BO:$BO,0)-2,63)&lt;&gt;"","PFH [1/h] = "&amp;10^9*INDEX(Tab_DaBa[],MATCH(CONCATENATE(Liste!$C$3,$B$2261,$B$2487),Data!$BO:$BO,0)-2,16)&amp;"E-9",""),"")</f>
        <v/>
      </c>
    </row>
    <row r="2510" spans="2:9" s="16" customFormat="1"/>
    <row r="2511" spans="2:9" s="16" customFormat="1">
      <c r="B2511" s="43" t="str">
        <f ca="1">IF(D2511="","","Erforderlich")</f>
        <v>Erforderlich</v>
      </c>
      <c r="D2511" s="44" t="str">
        <f ca="1">IFERROR("Performance Level: "&amp;INDEX(Tab_DaBa[],MATCH(CONCATENATE(Liste!$C$3,$B$2261,$B$2487),Data!$BO:$BO,0)-2,4),"")</f>
        <v>Performance Level: PLr_ges4_9</v>
      </c>
    </row>
    <row r="2512" spans="2:9" s="16" customFormat="1">
      <c r="B2512" s="45"/>
    </row>
    <row r="2513" spans="2:9" s="16" customFormat="1">
      <c r="B2513" s="46" t="str">
        <f ca="1">IF(D2513="","","Erreicht")</f>
        <v>Erreicht</v>
      </c>
      <c r="D2513" s="47" t="str">
        <f ca="1">IFERROR("Performance Level: "&amp;INDEX(Tab_DaBa[],MATCH(CONCATENATE(Liste!$C$3,$B$2261,$B$2487),Data!$BO:$BO,0)-2,5)&amp;"          PFH [1/h] = "&amp;10^9*INDEX(Tab_DaBa[],MATCH(CONCATENATE(Liste!$C$3,$B$2261,$B$2487),Data!$BO:$BO,0)-2,6)&amp;"E-9","")</f>
        <v>Performance Level: Pl_ges4_9          PFH [1/h] = 71,7E-9</v>
      </c>
    </row>
    <row r="2514" spans="2:9" s="16" customFormat="1">
      <c r="B2514" s="50"/>
      <c r="C2514" s="49"/>
      <c r="D2514" s="49"/>
    </row>
    <row r="2515" spans="2:9" s="16" customFormat="1">
      <c r="B2515" s="42" t="str">
        <f ca="1">IFERROR(IF(10&gt;COUNTIF(Data!$BP:$BP,CONCATENATE(Liste!$C$3,$B$2261)),"",INDEX(Tab_DaBa[],MATCH(CONCATENATE(Liste!$C$3,$B$2261),Data!$BP:$BP,0)+7,3)),"")</f>
        <v>9.10 Test09 (E+10L+A)</v>
      </c>
    </row>
    <row r="2516" spans="2:9" s="16" customFormat="1"/>
    <row r="2517" spans="2:9" s="16" customFormat="1" ht="15.75">
      <c r="B2517" s="35" t="str">
        <f ca="1">IFERROR(INDEX(Tab_DaBa[],MATCH(CONCATENATE(Liste!$C$3,$B$2261,$B$2515),Data!$BO:$BO,0)-2,9),"")</f>
        <v>Eingang</v>
      </c>
      <c r="C2517" s="54"/>
      <c r="D2517" s="35" t="str">
        <f ca="1">IFERROR(IF(INDEX(Tab_DaBa[],MATCH(CONCATENATE(Liste!$C$3,$B$2261,$B$2515),Data!$BO:$BO,0)-2,18)=0,INDEX(Tab_DaBa[],MATCH(CONCATENATE(Liste!$C$3,$B$2261,$B$2515),Data!$BO:$BO,0)-2,14),INDEX(Tab_DaBa[],MATCH(CONCATENATE(Liste!$C$3,$B$2261,$B$2515),Data!$BO:$BO,0)-2,19)),"")</f>
        <v>Logik 01</v>
      </c>
      <c r="E2517" s="33"/>
      <c r="F2517" s="35" t="str">
        <f ca="1">IFERROR(IF(AND(INDEX(Tab_DaBa[],MATCH(CONCATENATE(Liste!$C$3,$B$2261,$B$2515),Data!$BO:$BO,0)-2,18)&lt;&gt;"",INDEX(Tab_DaBa[],MATCH(CONCATENATE(Liste!$C$3,$B$2261,$B$2515),Data!$BO:$BO,0)-2,23)=0),INDEX(Tab_DaBa[],MATCH(CONCATENATE(Liste!$C$3,$B$2261,$B$2515),Data!$BO:$BO,0)-2,14),IF(INDEX(Tab_DaBa[],MATCH(CONCATENATE(Liste!$C$3,$B$2261,$B$2515),Data!$BO:$BO,0)-2,23)&lt;&gt;"",INDEX(Tab_DaBa[],MATCH(CONCATENATE(Liste!$C$3,$B$2261,$B$2515),Data!$BO:$BO,0)-2,24),"")),"")</f>
        <v>Logik 02</v>
      </c>
      <c r="G2517" s="39"/>
      <c r="H2517" s="35" t="str">
        <f ca="1">IFERROR(IF(AND(INDEX(Tab_DaBa[],MATCH(CONCATENATE(Liste!$C$3,$B$2261,$B$2515),Data!$BO:$BO,0)-2,23)&lt;&gt;"",INDEX(Tab_DaBa[],MATCH(CONCATENATE(Liste!$C$3,$B$2261,$B$2515),Data!$BO:$BO,0)-2,28)=0),INDEX(Tab_DaBa[],MATCH(CONCATENATE(Liste!$C$3,$B$2261,$B$2515),Data!$BO:$BO,0)-2,14),IF(INDEX(Tab_DaBa[],MATCH(CONCATENATE(Liste!$C$3,$B$2261,$B$2515),Data!$BO:$BO,0)-2,23)&lt;&gt;"",INDEX(Tab_DaBa[],MATCH(CONCATENATE(Liste!$C$3,$B$2261,$B$2515),Data!$BO:$BO,0)-2,29),"")),"")</f>
        <v>Logik 03</v>
      </c>
      <c r="I2517" s="39"/>
    </row>
    <row r="2518" spans="2:9" s="16" customFormat="1" ht="15.75">
      <c r="B2518" s="35" t="str">
        <f ca="1">IFERROR(INDEX(Tab_DaBa[],MATCH(CONCATENATE(Liste!$C$3,$B$2261,$B$2515),Data!$BO:$BO,0)-2,7),"")</f>
        <v>eeee-33_10</v>
      </c>
      <c r="C2518" s="54"/>
      <c r="D2518" s="35" t="str">
        <f ca="1">IFERROR(IF(INDEX(Tab_DaBa[],MATCH(CONCATENATE(Liste!$C$3,$B$2261,$B$2515),Data!$BO:$BO,0)-2,18)="",INDEX(Tab_DaBa[],MATCH(CONCATENATE(Liste!$C$3,$B$2261,$B$2515),Data!$BO:$BO,0)-2,12),INDEX(Tab_DaBa[],MATCH(CONCATENATE(Liste!$C$3,$B$2261,$B$2515),Data!$BO:$BO,0)-2,17)),"")</f>
        <v>Log01-04_10</v>
      </c>
      <c r="E2518" s="36"/>
      <c r="F2518" s="35" t="str">
        <f ca="1">IFERROR(IF(AND(INDEX(Tab_DaBa[],MATCH(CONCATENATE(Liste!$C$3,$B$2261,$B$2515),Data!$BO:$BO,0)-2,18)&lt;&gt;"",INDEX(Tab_DaBa[],MATCH(CONCATENATE(Liste!$C$3,$B$2261,$B$2515),Data!$BO:$BO,0)-2,23)=0),INDEX(Tab_DaBa[],MATCH(CONCATENATE(Liste!$C$3,$B$2261,$B$2515),Data!$BO:$BO,0)-2,12),IF(INDEX(Tab_DaBa[],MATCH(CONCATENATE(Liste!$C$3,$B$2261,$B$2515),Data!$BO:$BO,0)-2,23)&lt;&gt;"",INDEX(Tab_DaBa[],MATCH(CONCATENATE(Liste!$C$3,$B$2261,$B$2515),Data!$BO:$BO,0)-2,22),"")),"")</f>
        <v>Lo04-04_10</v>
      </c>
      <c r="G2518" s="39"/>
      <c r="H2518" s="35" t="str">
        <f ca="1">IFERROR(IF(AND(INDEX(Tab_DaBa[],MATCH(CONCATENATE(Liste!$C$3,$B$2261,$B$2515),Data!$BO:$BO,0)-2,23)&lt;&gt;"",INDEX(Tab_DaBa[],MATCH(CONCATENATE(Liste!$C$3,$B$2261,$B$2515),Data!$BO:$BO,0)-2,28)=0),INDEX(Tab_DaBa[],MATCH(CONCATENATE(Liste!$C$3,$B$2261,$B$2515),Data!$BO:$BO,0)-2,12),IF(INDEX(Tab_DaBa[],MATCH(CONCATENATE(Liste!$C$3,$B$2261,$B$2515),Data!$BO:$BO,0)-2,23)&lt;&gt;"",INDEX(Tab_DaBa[],MATCH(CONCATENATE(Liste!$C$3,$B$2261,$B$2515),Data!$BO:$BO,0)-2,27),"")),"")</f>
        <v>Lo04-44_10</v>
      </c>
      <c r="I2518" s="39"/>
    </row>
    <row r="2519" spans="2:9" s="16" customFormat="1" ht="15.75">
      <c r="B2519" s="35" t="str">
        <f ca="1">IFERROR(INDEX(Tab_DaBa[],MATCH(CONCATENATE(Liste!$C$3,$B$2261,$B$2515),Data!$BO:$BO,0)-2,8),"")</f>
        <v>Bez_Ein4_10</v>
      </c>
      <c r="C2519" s="40">
        <f ca="1">IF(D2517="","",4)</f>
        <v>4</v>
      </c>
      <c r="D2519" s="35" t="str">
        <f ca="1">IFERROR(IF(INDEX(Tab_DaBa[],MATCH(CONCATENATE(Liste!$C$3,$B$2261,$B$2515),Data!$BO:$BO,0)-2,18)="",INDEX(Tab_DaBa[],MATCH(CONCATENATE(Liste!$C$3,$B$2261,$B$2515),Data!$BO:$BO,0)-2,13),INDEX(Tab_DaBa[],MATCH(CONCATENATE(Liste!$C$3,$B$2261,$B$2515),Data!$BO:$BO,0)-2,18)),"")</f>
        <v>Bez_Log01_04_10</v>
      </c>
      <c r="E2519" s="40">
        <f ca="1">IF(F2517="","",4)</f>
        <v>4</v>
      </c>
      <c r="F2519" s="35" t="str">
        <f ca="1">IFERROR(IF(AND(INDEX(Tab_DaBa[],MATCH(CONCATENATE(Liste!$C$3,$B$2261,$B$2515),Data!$BO:$BO,0)-2,18)&lt;&gt;"",INDEX(Tab_DaBa[],MATCH(CONCATENATE(Liste!$C$3,$B$2261,$B$2515),Data!$BO:$BO,0)-2,23)=""),INDEX(Tab_DaBa[],MATCH(CONCATENATE(Liste!$C$3,$B$2261,$B$2515),Data!$BO:$BO,0)-2,13),IF(INDEX(Tab_DaBa[],MATCH(CONCATENATE(Liste!$C$3,$B$2261,$B$2515),Data!$BO:$BO,0)-2,23)&lt;&gt;"",INDEX(Tab_DaBa[],MATCH(CONCATENATE(Liste!$C$3,$B$2261,$B$2515),Data!$BO:$BO,0)-2,23),"")),"")</f>
        <v>Bez_Lo04_10</v>
      </c>
      <c r="G2519" s="38">
        <f ca="1">IF(H2517="","",4)</f>
        <v>4</v>
      </c>
      <c r="H2519" s="35" t="str">
        <f ca="1">IFERROR(IF(AND(INDEX(Tab_DaBa[],MATCH(CONCATENATE(Liste!$C$3,$B$2261,$B$2515),Data!$BO:$BO,0)-2,23)&lt;&gt;"",INDEX(Tab_DaBa[],MATCH(CONCATENATE(Liste!$C$3,$B$2261,$B$2515),Data!$BO:$BO,0)-2,28)=""),INDEX(Tab_DaBa[],MATCH(CONCATENATE(Liste!$C$3,$B$2261,$B$2515),Data!$BO:$BO,0)-2,13),IF(INDEX(Tab_DaBa[],MATCH(CONCATENATE(Liste!$C$3,$B$2261,$B$2515),Data!$BO:$BO,0)-2,23)&lt;&gt;"",INDEX(Tab_DaBa[],MATCH(CONCATENATE(Liste!$C$3,$B$2261,$B$2515),Data!$BO:$BO,0)-2,28),"")),"")</f>
        <v>Bez_Lo04_10</v>
      </c>
      <c r="I2519" s="38">
        <f ca="1">IF(B2525="","",6)</f>
        <v>6</v>
      </c>
    </row>
    <row r="2520" spans="2:9" s="16" customFormat="1" ht="15.75">
      <c r="B2520" s="35" t="str">
        <f ca="1">IFERROR("Performance Level: "&amp;INDEX(Tab_DaBa[],MATCH(CONCATENATE(Liste!$C$3,$B$2261,$B$2515),Data!$BO:$BO,0)-2,10),"")</f>
        <v>Performance Level: PL_Ein4_10</v>
      </c>
      <c r="C2520" s="54"/>
      <c r="D2520" s="35" t="str">
        <f ca="1">IFERROR(IF(INDEX(Tab_DaBa[],MATCH(CONCATENATE(Liste!$C$3,$B$2261,$B$2515),Data!$BO:$BO,0)-2,18)="","Performance Level: "&amp;INDEX(Tab_DaBa[],MATCH(CONCATENATE(Liste!$C$3,$B$2261,$B$2515),Data!$BO:$BO,0)-2,15),"Performance Level: "&amp;INDEX(Tab_DaBa[],MATCH(CONCATENATE(Liste!$C$3,$B$2261,$B$2515),Data!$BO:$BO,0)-2,20)),"")</f>
        <v>Performance Level: PL_Log01_04_10</v>
      </c>
      <c r="E2520" s="36"/>
      <c r="F2520" s="35" t="str">
        <f ca="1">IFERROR(IF(AND(INDEX(Tab_DaBa[],MATCH(CONCATENATE(Liste!$C$3,$B$2261,$B$2515),Data!$BO:$BO,0)-2,18)&lt;&gt;"",INDEX(Tab_DaBa[],MATCH(CONCATENATE(Liste!$C$3,$B$2261,$B$2515),Data!$BO:$BO,0)-2,23)=""),"Performance Level: "&amp;INDEX(Tab_DaBa[],MATCH(CONCATENATE(Liste!$C$3,$B$2261,$B$2515),Data!$BO:$BO,0)-2,15),IF(INDEX(Tab_DaBa[],MATCH(CONCATENATE(Liste!$C$3,$B$2261,$B$2515),Data!$BO:$BO,0)-2,23)&lt;&gt;"","Performance Level: "&amp;INDEX(Tab_DaBa[],MATCH(CONCATENATE(Liste!$C$3,$B$2261,$B$2515),Data!$BO:$BO,0)-2,25),"")),"")</f>
        <v>Performance Level: PL_Lo04_10</v>
      </c>
      <c r="G2520" s="39"/>
      <c r="H2520" s="35" t="str">
        <f ca="1">IFERROR(IF(AND(INDEX(Tab_DaBa[],MATCH(CONCATENATE(Liste!$C$3,$B$2261,$B$2515),Data!$BO:$BO,0)-2,23)&lt;&gt;"",INDEX(Tab_DaBa[],MATCH(CONCATENATE(Liste!$C$3,$B$2261,$B$2515),Data!$BO:$BO,0)-2,28)=""),"Performance Level: "&amp;INDEX(Tab_DaBa[],MATCH(CONCATENATE(Liste!$C$3,$B$2261,$B$2515),Data!$BO:$BO,0)-2,15),IF(INDEX(Tab_DaBa[],MATCH(CONCATENATE(Liste!$C$3,$B$2261,$B$2515),Data!$BO:$BO,0)-2,23)&lt;&gt;"","Performance Level: "&amp;INDEX(Tab_DaBa[],MATCH(CONCATENATE(Liste!$C$3,$B$2261,$B$2515),Data!$BO:$BO,0)-2,30),"")),"")</f>
        <v>Performance Level: PL_Lo04_10</v>
      </c>
      <c r="I2520" s="38"/>
    </row>
    <row r="2521" spans="2:9" s="16" customFormat="1" ht="15.75">
      <c r="B2521" s="53" t="str">
        <f ca="1">IFERROR("PFH [1/h] = "&amp;10^9*INDEX(Tab_DaBa[],MATCH(CONCATENATE(Liste!$C$3,$B$2261,$B$2515),Data!$BO:$BO,0)-2,11)&amp;"E-9","")</f>
        <v>PFH [1/h] = 42,9E-9</v>
      </c>
      <c r="C2521" s="54"/>
      <c r="D2521" s="35" t="str">
        <f ca="1">IFERROR(IF(INDEX(Tab_DaBa[],MATCH(CONCATENATE(Liste!$C$3,$B$2261,$B$2515),Data!$BO:$BO,0)-2,18)="","PFH [1/h] = "&amp;10^9*INDEX(Tab_DaBa[],MATCH(CONCATENATE(Liste!$C$3,$B$2261,$B$2515),Data!$BO:$BO,0)-2,16)&amp;"E-9","PFH [1/h] = "&amp;10^9*INDEX(Tab_DaBa[],MATCH(CONCATENATE(Liste!$C$3,$B$2261,$B$2515),Data!$BO:$BO,0)-2,21)&amp;"E-9"),"")</f>
        <v>PFH [1/h] = 4,19E-9</v>
      </c>
      <c r="E2521" s="36"/>
      <c r="F2521" s="35" t="str">
        <f ca="1">IFERROR(IF(AND(INDEX(Tab_DaBa[],MATCH(CONCATENATE(Liste!$C$3,$B$2261,$B$2515),Data!$BO:$BO,0)-2,18)&lt;&gt;"",INDEX(Tab_DaBa[],MATCH(CONCATENATE(Liste!$C$3,$B$2261,$B$2515),Data!$BO:$BO,0)-2,23)=""),"PFH [1/h] = "&amp;10^9*INDEX(Tab_DaBa[],MATCH(CONCATENATE(Liste!$C$3,$B$2261,$B$2515),Data!$BO:$BO,0)-2,16)&amp;"E-9",IF(INDEX(Tab_DaBa[],MATCH(CONCATENATE(Liste!$C$3,$B$2261,$B$2515),Data!$BO:$BO,0)-2,23)&lt;&gt;"","PFH [1/h] = "&amp;10^9*INDEX(Tab_DaBa[],MATCH(CONCATENATE(Liste!$C$3,$B$2261,$B$2515),Data!$BO:$BO,0)-2,26)&amp;"E-9","")),"")</f>
        <v>PFH [1/h] = 4,19E-9</v>
      </c>
      <c r="G2521" s="39"/>
      <c r="H2521" s="35" t="str">
        <f ca="1">IFERROR(IF(AND(INDEX(Tab_DaBa[],MATCH(CONCATENATE(Liste!$C$3,$B$2261,$B$2515),Data!$BO:$BO,0)-2,23)&lt;&gt;"",INDEX(Tab_DaBa[],MATCH(CONCATENATE(Liste!$C$3,$B$2261,$B$2515),Data!$BO:$BO,0)-2,28)=""),"PFH [1/h] = "&amp;10^9*INDEX(Tab_DaBa[],MATCH(CONCATENATE(Liste!$C$3,$B$2261,$B$2515),Data!$BO:$BO,0)-2,16)&amp;"E-9",IF(INDEX(Tab_DaBa[],MATCH(CONCATENATE(Liste!$C$3,$B$2261,$B$2515),Data!$BO:$BO,0)-2,23)&lt;&gt;"","PFH [1/h] = "&amp;10^9*INDEX(Tab_DaBa[],MATCH(CONCATENATE(Liste!$C$3,$B$2261,$B$2515),Data!$BO:$BO,0)-2,31)&amp;"E-9","")),"")</f>
        <v>PFH [1/h] = 4,19E-9</v>
      </c>
      <c r="I2521" s="39"/>
    </row>
    <row r="2522" spans="2:9" s="16" customFormat="1">
      <c r="B2522" s="33"/>
      <c r="C2522" s="34"/>
      <c r="D2522" s="33"/>
      <c r="E2522" s="33"/>
      <c r="F2522" s="33"/>
      <c r="G2522" s="33"/>
      <c r="H2522" s="33"/>
      <c r="I2522" s="33"/>
    </row>
    <row r="2523" spans="2:9" s="16" customFormat="1" ht="15.75">
      <c r="B2523" s="38">
        <f ca="1">IF(B2525="","",6)</f>
        <v>6</v>
      </c>
      <c r="C2523" s="34"/>
      <c r="D2523" s="38">
        <f ca="1">IF(B2525="","",3)</f>
        <v>3</v>
      </c>
      <c r="E2523" s="33"/>
      <c r="F2523" s="38">
        <f ca="1">IF(B2525="","",3)</f>
        <v>3</v>
      </c>
      <c r="G2523" s="33"/>
      <c r="H2523" s="38">
        <f ca="1">IF(B2525="","",3)</f>
        <v>3</v>
      </c>
      <c r="I2523" s="33"/>
    </row>
    <row r="2524" spans="2:9" s="16" customFormat="1" ht="15.75">
      <c r="B2524" s="39"/>
      <c r="C2524" s="33"/>
      <c r="D2524" s="33"/>
      <c r="E2524" s="33"/>
      <c r="F2524" s="33"/>
      <c r="G2524" s="33"/>
      <c r="H2524" s="33"/>
      <c r="I2524" s="33"/>
    </row>
    <row r="2525" spans="2:9" s="16" customFormat="1" ht="15.75">
      <c r="B2525" s="35" t="str">
        <f ca="1">IFERROR(IF(AND(INDEX(Tab_DaBa[],MATCH(CONCATENATE(Liste!$C$3,$B$2261,$B$2515),Data!$BO:$BO,0)-2,28)&lt;&gt;"",INDEX(Tab_DaBa[],MATCH(CONCATENATE(Liste!$C$3,$B$2261,$B$2515),Data!$BO:$BO,0)-2,33)=0),INDEX(Tab_DaBa[],MATCH(CONCATENATE(Liste!$C$3,$B$2261,$B$2515),Data!$BO:$BO,0)-2,14),IF(INDEX(Tab_DaBa[],MATCH(CONCATENATE(Liste!$C$3,$B$2261,$B$2515),Data!$BO:$BO,0)-2,28)&lt;&gt;"",INDEX(Tab_DaBa[],MATCH(CONCATENATE(Liste!$C$3,$B$2261,$B$2515),Data!$BO:$BO,0)-2,34),"")),"")</f>
        <v>Logik 04</v>
      </c>
      <c r="C2525" s="39"/>
      <c r="D2525" s="35" t="str">
        <f ca="1">IFERROR(IF(AND(INDEX(Tab_DaBa[],MATCH(CONCATENATE(Liste!$C$3,$B$2261,$B$2515),Data!$BO:$BO,0)-2,33)&lt;&gt;"",INDEX(Tab_DaBa[],MATCH(CONCATENATE(Liste!$C$3,$B$2261,$B$2515),Data!$BO:$BO,0)-2,38)=0),INDEX(Tab_DaBa[],MATCH(CONCATENATE(Liste!$C$3,$B$2261,$B$2515),Data!$BO:$BO,0)-2,14),IF(INDEX(Tab_DaBa[],MATCH(CONCATENATE(Liste!$C$3,$B$2261,$B$2515),Data!$BO:$BO,0)-2,33)&lt;&gt;"",INDEX(Tab_DaBa[],MATCH(CONCATENATE(Liste!$C$3,$B$2261,$B$2515),Data!$BO:$BO,0)-2,39),"")),"")</f>
        <v>Logik 08</v>
      </c>
      <c r="E2525" s="33"/>
      <c r="F2525" s="35" t="str">
        <f ca="1">IFERROR(IF(AND(INDEX(Tab_DaBa[],MATCH(CONCATENATE(Liste!$C$3,$B$2261,$B$2515),Data!$BO:$BO,0)-2,38)&lt;&gt;"",INDEX(Tab_DaBa[],MATCH(CONCATENATE(Liste!$C$3,$B$2261,$B$2515),Data!$BO:$BO,0)-2,43)=0),INDEX(Tab_DaBa[],MATCH(CONCATENATE(Liste!$C$3,$B$2261,$B$2515),Data!$BO:$BO,0)-2,14),IF(INDEX(Tab_DaBa[],MATCH(CONCATENATE(Liste!$C$3,$B$2261,$B$2515),Data!$BO:$BO,0)-2,38)&lt;&gt;"",INDEX(Tab_DaBa[],MATCH(CONCATENATE(Liste!$C$3,$B$2261,$B$2515),Data!$BO:$BO,0)-2,44),"")),"")</f>
        <v>Logik 06</v>
      </c>
      <c r="G2525" s="39"/>
      <c r="H2525" s="35" t="str">
        <f ca="1">IFERROR(IF(AND(INDEX(Tab_DaBa[],MATCH(CONCATENATE(Liste!$C$3,$B$2261,$B$2515),Data!$BO:$BO,0)-2,43)&lt;&gt;"",INDEX(Tab_DaBa[],MATCH(CONCATENATE(Liste!$C$3,$B$2261,$B$2515),Data!$BO:$BO,0)-2,48)=0),INDEX(Tab_DaBa[],MATCH(CONCATENATE(Liste!$C$3,$B$2261,$B$2515),Data!$BO:$BO,0)-2,14),IF(INDEX(Tab_DaBa[],MATCH(CONCATENATE(Liste!$C$3,$B$2261,$B$2515),Data!$BO:$BO,0)-2,43)&lt;&gt;"",INDEX(Tab_DaBa[],MATCH(CONCATENATE(Liste!$C$3,$B$2261,$B$2515),Data!$BO:$BO,0)-2,49),"")),"")</f>
        <v>Logik 07</v>
      </c>
      <c r="I2525" s="39"/>
    </row>
    <row r="2526" spans="2:9" s="16" customFormat="1" ht="15.75">
      <c r="B2526" s="35" t="str">
        <f ca="1">IFERROR(IF(AND(INDEX(Tab_DaBa[],MATCH(CONCATENATE(Liste!$C$3,$B$2261,$B$2515),Data!$BO:$BO,0)-2,28)&lt;&gt;"",INDEX(Tab_DaBa[],MATCH(CONCATENATE(Liste!$C$3,$B$2261,$B$2515),Data!$BO:$BO,0)-2,33)=0),INDEX(Tab_DaBa[],MATCH(CONCATENATE(Liste!$C$3,$B$2261,$B$2515),Data!$BO:$BO,0)-2,12),IF(INDEX(Tab_DaBa[],MATCH(CONCATENATE(Liste!$C$3,$B$2261,$B$2515),Data!$BO:$BO,0)-2,28)&lt;&gt;"",INDEX(Tab_DaBa[],MATCH(CONCATENATE(Liste!$C$3,$B$2261,$B$2515),Data!$BO:$BO,0)-2,32),"")),"")</f>
        <v>Lo04-44_10</v>
      </c>
      <c r="C2526" s="39"/>
      <c r="D2526" s="35" t="str">
        <f ca="1">IFERROR(IF(AND(INDEX(Tab_DaBa[],MATCH(CONCATENATE(Liste!$C$3,$B$2261,$B$2515),Data!$BO:$BO,0)-2,33)&lt;&gt;"",INDEX(Tab_DaBa[],MATCH(CONCATENATE(Liste!$C$3,$B$2261,$B$2515),Data!$BO:$BO,0)-2,38)=0),INDEX(Tab_DaBa[],MATCH(CONCATENATE(Liste!$C$3,$B$2261,$B$2515),Data!$BO:$BO,0)-2,12),IF(INDEX(Tab_DaBa[],MATCH(CONCATENATE(Liste!$C$3,$B$2261,$B$2515),Data!$BO:$BO,0)-2,33)&lt;&gt;"",INDEX(Tab_DaBa[],MATCH(CONCATENATE(Liste!$C$3,$B$2261,$B$2515),Data!$BO:$BO,0)-2,37),"")),"")</f>
        <v>Lo04-44_10</v>
      </c>
      <c r="E2526" s="37"/>
      <c r="F2526" s="35" t="str">
        <f ca="1">IFERROR(IF(AND(INDEX(Tab_DaBa[],MATCH(CONCATENATE(Liste!$C$3,$B$2261,$B$2515),Data!$BO:$BO,0)-2,38)&lt;&gt;"",INDEX(Tab_DaBa[],MATCH(CONCATENATE(Liste!$C$3,$B$2261,$B$2515),Data!$BO:$BO,0)-2,43)=0),INDEX(Tab_DaBa[],MATCH(CONCATENATE(Liste!$C$3,$B$2261,$B$2515),Data!$BO:$BO,0)-2,12),IF(INDEX(Tab_DaBa[],MATCH(CONCATENATE(Liste!$C$3,$B$2261,$B$2515),Data!$BO:$BO,0)-2,38)&lt;&gt;"",INDEX(Tab_DaBa[],MATCH(CONCATENATE(Liste!$C$3,$B$2261,$B$2515),Data!$BO:$BO,0)-2,42),"")),"")</f>
        <v>Lo03-33_10</v>
      </c>
      <c r="G2526" s="39"/>
      <c r="H2526" s="35" t="str">
        <f ca="1">IFERROR(IF(AND(INDEX(Tab_DaBa[],MATCH(CONCATENATE(Liste!$C$3,$B$2261,$B$2515),Data!$BO:$BO,0)-2,43)&lt;&gt;"",INDEX(Tab_DaBa[],MATCH(CONCATENATE(Liste!$C$3,$B$2261,$B$2515),Data!$BO:$BO,0)-2,48)=0),INDEX(Tab_DaBa[],MATCH(CONCATENATE(Liste!$C$3,$B$2261,$B$2515),Data!$BO:$BO,0)-2,12),IF(INDEX(Tab_DaBa[],MATCH(CONCATENATE(Liste!$C$3,$B$2261,$B$2515),Data!$BO:$BO,0)-2,43)&lt;&gt;"",INDEX(Tab_DaBa[],MATCH(CONCATENATE(Liste!$C$3,$B$2261,$B$2515),Data!$BO:$BO,0)-2,47),"")),"")</f>
        <v>Lo03-33_10</v>
      </c>
      <c r="I2526" s="39"/>
    </row>
    <row r="2527" spans="2:9" s="16" customFormat="1" ht="15.75">
      <c r="B2527" s="35" t="str">
        <f ca="1">IFERROR(IF(AND(INDEX(Tab_DaBa[],MATCH(CONCATENATE(Liste!$C$3,$B$2261,$B$2515),Data!$BO:$BO,0)-2,28)&lt;&gt;"",INDEX(Tab_DaBa[],MATCH(CONCATENATE(Liste!$C$3,$B$2261,$B$2515),Data!$BO:$BO,0)-2,33)=""),INDEX(Tab_DaBa[],MATCH(CONCATENATE(Liste!$C$3,$B$2261,$B$2515),Data!$BO:$BO,0)-2,13),IF(INDEX(Tab_DaBa[],MATCH(CONCATENATE(Liste!$C$3,$B$2261,$B$2515),Data!$BO:$BO,0)-2,28)&lt;&gt;"",INDEX(Tab_DaBa[],MATCH(CONCATENATE(Liste!$C$3,$B$2261,$B$2515),Data!$BO:$BO,0)-2,33),"")),"")</f>
        <v>Bez_Lo04_10</v>
      </c>
      <c r="C2527" s="38">
        <f ca="1">IF(D2525="","",4)</f>
        <v>4</v>
      </c>
      <c r="D2527" s="35" t="str">
        <f ca="1">IFERROR(IF(AND(INDEX(Tab_DaBa[],MATCH(CONCATENATE(Liste!$C$3,$B$2261,$B$2515),Data!$BO:$BO,0)-2,33)&lt;&gt;"",INDEX(Tab_DaBa[],MATCH(CONCATENATE(Liste!$C$3,$B$2261,$B$2515),Data!$BO:$BO,0)-2,38)=""),INDEX(Tab_DaBa[],MATCH(CONCATENATE(Liste!$C$3,$B$2261,$B$2515),Data!$BO:$BO,0)-2,13),IF(INDEX(Tab_DaBa[],MATCH(CONCATENATE(Liste!$C$3,$B$2261,$B$2515),Data!$BO:$BO,0)-2,33)&lt;&gt;"",INDEX(Tab_DaBa[],MATCH(CONCATENATE(Liste!$C$3,$B$2261,$B$2515),Data!$BO:$BO,0)-2,38),"")),"")</f>
        <v>Bez_Lo03_10</v>
      </c>
      <c r="E2527" s="38">
        <f ca="1">IF(F2525="","",4)</f>
        <v>4</v>
      </c>
      <c r="F2527" s="35" t="str">
        <f ca="1">IFERROR(IF(AND(INDEX(Tab_DaBa[],MATCH(CONCATENATE(Liste!$C$3,$B$2261,$B$2515),Data!$BO:$BO,0)-2,38)&lt;&gt;"",INDEX(Tab_DaBa[],MATCH(CONCATENATE(Liste!$C$3,$B$2261,$B$2515),Data!$BO:$BO,0)-2,43)=""),INDEX(Tab_DaBa[],MATCH(CONCATENATE(Liste!$C$3,$B$2261,$B$2515),Data!$BO:$BO,0)-2,13),IF(INDEX(Tab_DaBa[],MATCH(CONCATENATE(Liste!$C$3,$B$2261,$B$2515),Data!$BO:$BO,0)-2,38)&lt;&gt;"",INDEX(Tab_DaBa[],MATCH(CONCATENATE(Liste!$C$3,$B$2261,$B$2515),Data!$BO:$BO,0)-2,43),"")),"")</f>
        <v>Bez_Lo03_10</v>
      </c>
      <c r="G2527" s="38">
        <f ca="1">IF(H2525="","",4)</f>
        <v>4</v>
      </c>
      <c r="H2527" s="35" t="str">
        <f ca="1">IFERROR(IF(AND(INDEX(Tab_DaBa[],MATCH(CONCATENATE(Liste!$C$3,$B$2261,$B$2515),Data!$BO:$BO,0)-2,43)&lt;&gt;"",INDEX(Tab_DaBa[],MATCH(CONCATENATE(Liste!$C$3,$B$2261,$B$2515),Data!$BO:$BO,0)-2,48)=""),INDEX(Tab_DaBa[],MATCH(CONCATENATE(Liste!$C$3,$B$2261,$B$2515),Data!$BO:$BO,0)-2,13),IF(INDEX(Tab_DaBa[],MATCH(CONCATENATE(Liste!$C$3,$B$2261,$B$2515),Data!$BO:$BO,0)-2,43)&lt;&gt;"",INDEX(Tab_DaBa[],MATCH(CONCATENATE(Liste!$C$3,$B$2261,$B$2515),Data!$BO:$BO,0)-2,48),"")),"")</f>
        <v>Bez_Lo03_10</v>
      </c>
      <c r="I2527" s="38">
        <f ca="1">IF(B2533="","",6)</f>
        <v>6</v>
      </c>
    </row>
    <row r="2528" spans="2:9" s="16" customFormat="1" ht="15.75">
      <c r="B2528" s="35" t="str">
        <f ca="1">IFERROR(IF(AND(INDEX(Tab_DaBa[],MATCH(CONCATENATE(Liste!$C$3,$B$2261,$B$2515),Data!$BO:$BO,0)-2,28)&lt;&gt;"",INDEX(Tab_DaBa[],MATCH(CONCATENATE(Liste!$C$3,$B$2261,$B$2515),Data!$BO:$BO,0)-2,33)=""),"Performance Level: "&amp;INDEX(Tab_DaBa[],MATCH(CONCATENATE(Liste!$C$3,$B$2261,$B$2515),Data!$BO:$BO,0)-2,15),IF(INDEX(Tab_DaBa[],MATCH(CONCATENATE(Liste!$C$3,$B$2261,$B$2515),Data!$BO:$BO,0)-2,28)&lt;&gt;"","Performance Level: "&amp;INDEX(Tab_DaBa[],MATCH(CONCATENATE(Liste!$C$3,$B$2261,$B$2515),Data!$BO:$BO,0)-2,35),"")),"")</f>
        <v>Performance Level: PL_Lo04_10</v>
      </c>
      <c r="C2528" s="39"/>
      <c r="D2528" s="35" t="str">
        <f ca="1">IFERROR(IF(AND(INDEX(Tab_DaBa[],MATCH(CONCATENATE(Liste!$C$3,$B$2261,$B$2515),Data!$BO:$BO,0)-2,33)&lt;&gt;"",INDEX(Tab_DaBa[],MATCH(CONCATENATE(Liste!$C$3,$B$2261,$B$2515),Data!$BO:$BO,0)-2,38)=""),"Performance Level: "&amp;INDEX(Tab_DaBa[],MATCH(CONCATENATE(Liste!$C$3,$B$2261,$B$2515),Data!$BO:$BO,0)-2,15),IF(INDEX(Tab_DaBa[],MATCH(CONCATENATE(Liste!$C$3,$B$2261,$B$2515),Data!$BO:$BO,0)-2,33)&lt;&gt;"","Performance Level: "&amp;INDEX(Tab_DaBa[],MATCH(CONCATENATE(Liste!$C$3,$B$2261,$B$2515),Data!$BO:$BO,0)-2,40),"")),"")</f>
        <v>Performance Level: PL_Lo03_10</v>
      </c>
      <c r="E2528" s="37"/>
      <c r="F2528" s="35" t="str">
        <f ca="1">IFERROR(IF(AND(INDEX(Tab_DaBa[],MATCH(CONCATENATE(Liste!$C$3,$B$2261,$B$2515),Data!$BO:$BO,0)-2,38)&lt;&gt;"",INDEX(Tab_DaBa[],MATCH(CONCATENATE(Liste!$C$3,$B$2261,$B$2515),Data!$BO:$BO,0)-2,43)=""),"Performance Level: "&amp;INDEX(Tab_DaBa[],MATCH(CONCATENATE(Liste!$C$3,$B$2261,$B$2515),Data!$BO:$BO,0)-2,15),IF(INDEX(Tab_DaBa[],MATCH(CONCATENATE(Liste!$C$3,$B$2261,$B$2515),Data!$BO:$BO,0)-2,38)&lt;&gt;"","Performance Level: "&amp;INDEX(Tab_DaBa[],MATCH(CONCATENATE(Liste!$C$3,$B$2261,$B$2515),Data!$BO:$BO,0)-2,45),"")),"")</f>
        <v>Performance Level: PL_Lo03_10</v>
      </c>
      <c r="G2528" s="39"/>
      <c r="H2528" s="35" t="str">
        <f ca="1">IFERROR(IF(AND(INDEX(Tab_DaBa[],MATCH(CONCATENATE(Liste!$C$3,$B$2261,$B$2515),Data!$BO:$BO,0)-2,43)&lt;&gt;"",INDEX(Tab_DaBa[],MATCH(CONCATENATE(Liste!$C$3,$B$2261,$B$2515),Data!$BO:$BO,0)-2,48)=""),"Performance Level: "&amp;INDEX(Tab_DaBa[],MATCH(CONCATENATE(Liste!$C$3,$B$2261,$B$2515),Data!$BO:$BO,0)-2,15),IF(INDEX(Tab_DaBa[],MATCH(CONCATENATE(Liste!$C$3,$B$2261,$B$2515),Data!$BO:$BO,0)-2,43)&lt;&gt;"","Performance Level: "&amp;INDEX(Tab_DaBa[],MATCH(CONCATENATE(Liste!$C$3,$B$2261,$B$2515),Data!$BO:$BO,0)-2,50),"")),"")</f>
        <v>Performance Level: PL_Lo03_10</v>
      </c>
      <c r="I2528" s="39"/>
    </row>
    <row r="2529" spans="2:9" s="16" customFormat="1" ht="15.75">
      <c r="B2529" s="35" t="str">
        <f ca="1">IFERROR(IF(AND(INDEX(Tab_DaBa[],MATCH(CONCATENATE(Liste!$C$3,$B$2261,$B$2515),Data!$BO:$BO,0)-2,28)&lt;&gt;"",INDEX(Tab_DaBa[],MATCH(CONCATENATE(Liste!$C$3,$B$2261,$B$2515),Data!$BO:$BO,0)-2,33)=""),"PFH [1/h] = "&amp;10^9*INDEX(Tab_DaBa[],MATCH(CONCATENATE(Liste!$C$3,$B$2261,$B$2515),Data!$BO:$BO,0)-2,16)&amp;"E-9",IF(INDEX(Tab_DaBa[],MATCH(CONCATENATE(Liste!$C$3,$B$2261,$B$2515),Data!$BO:$BO,0)-2,28)&lt;&gt;"","PFH [1/h] = "&amp;10^9*INDEX(Tab_DaBa[],MATCH(CONCATENATE(Liste!$C$3,$B$2261,$B$2515),Data!$BO:$BO,0)-2,36)&amp;"E-9","")),"")</f>
        <v>PFH [1/h] = 4,19E-9</v>
      </c>
      <c r="C2529" s="39"/>
      <c r="D2529" s="35" t="str">
        <f ca="1">IFERROR(IF(AND(INDEX(Tab_DaBa[],MATCH(CONCATENATE(Liste!$C$3,$B$2261,$B$2515),Data!$BO:$BO,0)-2,33)&lt;&gt;"",INDEX(Tab_DaBa[],MATCH(CONCATENATE(Liste!$C$3,$B$2261,$B$2515),Data!$BO:$BO,0)-2,38)=""),"PFH [1/h] = "&amp;10^9*INDEX(Tab_DaBa[],MATCH(CONCATENATE(Liste!$C$3,$B$2261,$B$2515),Data!$BO:$BO,0)-2,16)&amp;"E-9",IF(INDEX(Tab_DaBa[],MATCH(CONCATENATE(Liste!$C$3,$B$2261,$B$2515),Data!$BO:$BO,0)-2,33)&lt;&gt;"","PFH [1/h] = "&amp;10^9*INDEX(Tab_DaBa[],MATCH(CONCATENATE(Liste!$C$3,$B$2261,$B$2515),Data!$BO:$BO,0)-2,41)&amp;"E-9","")),"")</f>
        <v>PFH [1/h] = 4,19E-9</v>
      </c>
      <c r="E2529" s="37"/>
      <c r="F2529" s="35" t="str">
        <f ca="1">IFERROR(IF(AND(INDEX(Tab_DaBa[],MATCH(CONCATENATE(Liste!$C$3,$B$2261,$B$2515),Data!$BO:$BO,0)-2,38)&lt;&gt;"",INDEX(Tab_DaBa[],MATCH(CONCATENATE(Liste!$C$3,$B$2261,$B$2515),Data!$BO:$BO,0)-2,43)=""),"PFH [1/h] = "&amp;10^9*INDEX(Tab_DaBa[],MATCH(CONCATENATE(Liste!$C$3,$B$2261,$B$2515),Data!$BO:$BO,0)-2,16)&amp;"E-9",IF(INDEX(Tab_DaBa[],MATCH(CONCATENATE(Liste!$C$3,$B$2261,$B$2515),Data!$BO:$BO,0)-2,38)&lt;&gt;"","PFH [1/h] = "&amp;10^9*INDEX(Tab_DaBa[],MATCH(CONCATENATE(Liste!$C$3,$B$2261,$B$2515),Data!$BO:$BO,0)-2,46)&amp;"E-9","")),"")</f>
        <v>PFH [1/h] = 4,19E-9</v>
      </c>
      <c r="G2529" s="39"/>
      <c r="H2529" s="35" t="str">
        <f ca="1">IFERROR(IF(AND(INDEX(Tab_DaBa[],MATCH(CONCATENATE(Liste!$C$3,$B$2261,$B$2515),Data!$BO:$BO,0)-2,43)&lt;&gt;"",INDEX(Tab_DaBa[],MATCH(CONCATENATE(Liste!$C$3,$B$2261,$B$2515),Data!$BO:$BO,0)-2,48)=""),"PFH [1/h] = "&amp;10^9*INDEX(Tab_DaBa[],MATCH(CONCATENATE(Liste!$C$3,$B$2261,$B$2515),Data!$BO:$BO,0)-2,16)&amp;"E-9",IF(INDEX(Tab_DaBa[],MATCH(CONCATENATE(Liste!$C$3,$B$2261,$B$2515),Data!$BO:$BO,0)-2,43)&lt;&gt;"","PFH [1/h] = "&amp;10^9*INDEX(Tab_DaBa[],MATCH(CONCATENATE(Liste!$C$3,$B$2261,$B$2515),Data!$BO:$BO,0)-2,51)&amp;"E-9","")),"")</f>
        <v>PFH [1/h] = 4,19E-9</v>
      </c>
      <c r="I2529" s="39"/>
    </row>
    <row r="2530" spans="2:9" s="16" customFormat="1">
      <c r="B2530" s="33"/>
      <c r="C2530" s="33"/>
      <c r="D2530" s="33"/>
      <c r="E2530" s="33"/>
      <c r="F2530" s="33"/>
      <c r="G2530" s="33"/>
      <c r="H2530" s="33"/>
      <c r="I2530" s="33"/>
    </row>
    <row r="2531" spans="2:9" s="16" customFormat="1" ht="15.75">
      <c r="B2531" s="38">
        <f ca="1">IF(B2533="","",6)</f>
        <v>6</v>
      </c>
      <c r="C2531" s="33"/>
      <c r="D2531" s="38">
        <f ca="1">IF(B2533="","",3)</f>
        <v>3</v>
      </c>
      <c r="E2531" s="33"/>
      <c r="F2531" s="38">
        <f ca="1">IF(B2533="","",3)</f>
        <v>3</v>
      </c>
      <c r="G2531" s="33"/>
      <c r="H2531" s="38">
        <f ca="1">IF(B2533="","",3)</f>
        <v>3</v>
      </c>
      <c r="I2531" s="33"/>
    </row>
    <row r="2532" spans="2:9" s="16" customFormat="1" ht="15.75">
      <c r="B2532" s="39"/>
      <c r="C2532" s="33"/>
      <c r="D2532" s="33"/>
      <c r="E2532" s="33"/>
      <c r="F2532" s="33"/>
      <c r="G2532" s="33"/>
      <c r="H2532" s="33"/>
      <c r="I2532" s="33"/>
    </row>
    <row r="2533" spans="2:9" s="16" customFormat="1" ht="15.75">
      <c r="B2533" s="35" t="str">
        <f ca="1">IFERROR(IF(AND(INDEX(Tab_DaBa[],MATCH(CONCATENATE(Liste!$C$3,$B$2261,$B$2515),Data!$BO:$BO,0)-2,48)&lt;&gt;"",INDEX(Tab_DaBa[],MATCH(CONCATENATE(Liste!$C$3,$B$2261,$B$2515),Data!$BO:$BO,0)-2,53)=0),INDEX(Tab_DaBa[],MATCH(CONCATENATE(Liste!$C$3,$B$2261,$B$2515),Data!$BO:$BO,0)-2,14),IF(INDEX(Tab_DaBa[],MATCH(CONCATENATE(Liste!$C$3,$B$2261,$B$2515),Data!$BO:$BO,0)-2,48)&lt;&gt;"",INDEX(Tab_DaBa[],MATCH(CONCATENATE(Liste!$C$3,$B$2261,$B$2515),Data!$BO:$BO,0)-2,54),"")),"")</f>
        <v>Logik 08</v>
      </c>
      <c r="C2533" s="39"/>
      <c r="D2533" s="35" t="str">
        <f ca="1">IFERROR(IF(AND(INDEX(Tab_DaBa[],MATCH(CONCATENATE(Liste!$C$3,$B$2261,$B$2515),Data!$BO:$BO,0)-2,53)&lt;&gt;"",INDEX(Tab_DaBa[],MATCH(CONCATENATE(Liste!$C$3,$B$2261,$B$2515),Data!$BO:$BO,0)-2,58)=0),INDEX(Tab_DaBa[],MATCH(CONCATENATE(Liste!$C$3,$B$2261,$B$2515),Data!$BO:$BO,0)-2,14),IF(INDEX(Tab_DaBa[],MATCH(CONCATENATE(Liste!$C$3,$B$2261,$B$2515),Data!$BO:$BO,0)-2,53)&lt;&gt;"",INDEX(Tab_DaBa[],MATCH(CONCATENATE(Liste!$C$3,$B$2261,$B$2515),Data!$BO:$BO,0)-2,59),"")),"")</f>
        <v>Logik 09</v>
      </c>
      <c r="E2533" s="33"/>
      <c r="F2533" s="35" t="str">
        <f ca="1">IFERROR(IF(AND(INDEX(Tab_DaBa[],MATCH(CONCATENATE(Liste!$C$3,$B$2261,$B$2515),Data!$BO:$BO,0)-2,58)&lt;&gt;"",INDEX(Tab_DaBa[],MATCH(CONCATENATE(Liste!$C$3,$B$2261,$B$2515),Data!$BO:$BO,0)-2,63)=0),INDEX(Tab_DaBa[],MATCH(CONCATENATE(Liste!$C$3,$B$2261,$B$2515),Data!$BO:$BO,0)-2,14),IF(INDEX(Tab_DaBa[],MATCH(CONCATENATE(Liste!$C$3,$B$2261,$B$2515),Data!$BO:$BO,0)-2,58)&lt;&gt;"",INDEX(Tab_DaBa[],MATCH(CONCATENATE(Liste!$C$3,$B$2261,$B$2515),Data!$BO:$BO,0)-2,64),"")),"")</f>
        <v>Logik 10</v>
      </c>
      <c r="G2533" s="39"/>
      <c r="H2533" s="35" t="str">
        <f ca="1">IFERROR(IF(INDEX(Tab_DaBa[],MATCH(CONCATENATE(Liste!$C$3,$B$2261,$B$2515),Data!$BO:$BO,0)-2,63)&lt;&gt;"",INDEX(Tab_DaBa[],MATCH(CONCATENATE(Liste!$C$3,$B$2261,$B$2515),Data!$BO:$BO,0)-2,14),""),"")</f>
        <v>Ausgang</v>
      </c>
    </row>
    <row r="2534" spans="2:9" s="16" customFormat="1" ht="15.75">
      <c r="B2534" s="35" t="str">
        <f ca="1">IFERROR(IF(AND(INDEX(Tab_DaBa[],MATCH(CONCATENATE(Liste!$C$3,$B$2261,$B$2515),Data!$BO:$BO,0)-2,48)&lt;&gt;"",INDEX(Tab_DaBa[],MATCH(CONCATENATE(Liste!$C$3,$B$2261,$B$2515),Data!$BO:$BO,0)-2,53)=0),INDEX(Tab_DaBa[],MATCH(CONCATENATE(Liste!$C$3,$B$2261,$B$2515),Data!$BO:$BO,0)-2,12),IF(INDEX(Tab_DaBa[],MATCH(CONCATENATE(Liste!$C$3,$B$2261,$B$2515),Data!$BO:$BO,0)-2,48)&lt;&gt;"",INDEX(Tab_DaBa[],MATCH(CONCATENATE(Liste!$C$3,$B$2261,$B$2515),Data!$BO:$BO,0)-2,52),"")),"")</f>
        <v>Lo03-88_10</v>
      </c>
      <c r="C2534" s="39"/>
      <c r="D2534" s="35" t="str">
        <f ca="1">IFERROR(IF(AND(INDEX(Tab_DaBa[],MATCH(CONCATENATE(Liste!$C$3,$B$2261,$B$2515),Data!$BO:$BO,0)-2,53)&lt;&gt;"",INDEX(Tab_DaBa[],MATCH(CONCATENATE(Liste!$C$3,$B$2261,$B$2515),Data!$BO:$BO,0)-2,58)=0),INDEX(Tab_DaBa[],MATCH(CONCATENATE(Liste!$C$3,$B$2261,$B$2515),Data!$BO:$BO,0)-2,12),IF(INDEX(Tab_DaBa[],MATCH(CONCATENATE(Liste!$C$3,$B$2261,$B$2515),Data!$BO:$BO,0)-2,53)&lt;&gt;"",INDEX(Tab_DaBa[],MATCH(CONCATENATE(Liste!$C$3,$B$2261,$B$2515),Data!$BO:$BO,0)-2,57),"")),"")</f>
        <v>Lo03-33_10</v>
      </c>
      <c r="E2534" s="37"/>
      <c r="F2534" s="35" t="str">
        <f ca="1">IFERROR(IF(AND(INDEX(Tab_DaBa[],MATCH(CONCATENATE(Liste!$C$3,$B$2261,$B$2515),Data!$BO:$BO,0)-2,58)&lt;&gt;"",INDEX(Tab_DaBa[],MATCH(CONCATENATE(Liste!$C$3,$B$2261,$B$2515),Data!$BO:$BO,0)-2,63)=0),INDEX(Tab_DaBa[],MATCH(CONCATENATE(Liste!$C$3,$B$2261,$B$2515),Data!$BO:$BO,0)-2,12),IF(INDEX(Tab_DaBa[],MATCH(CONCATENATE(Liste!$C$3,$B$2261,$B$2515),Data!$BO:$BO,0)-2,58)&lt;&gt;"",INDEX(Tab_DaBa[],MATCH(CONCATENATE(Liste!$C$3,$B$2261,$B$2515),Data!$BO:$BO,0)-2,62),"")),"")</f>
        <v>Lo03-10_10</v>
      </c>
      <c r="G2534" s="39"/>
      <c r="H2534" s="35" t="str">
        <f ca="1">IFERROR(IF(INDEX(Tab_DaBa[],MATCH(CONCATENATE(Liste!$C$3,$B$2261,$B$2515),Data!$BO:$BO,0)-2,63)&lt;&gt;"",INDEX(Tab_DaBa[],MATCH(CONCATENATE(Liste!$C$3,$B$2261,$B$2515),Data!$BO:$BO,0)-2,12),""),"")</f>
        <v>aaaa-44_10</v>
      </c>
    </row>
    <row r="2535" spans="2:9" s="16" customFormat="1" ht="15.75">
      <c r="B2535" s="35" t="str">
        <f ca="1">IFERROR(IF(AND(INDEX(Tab_DaBa[],MATCH(CONCATENATE(Liste!$C$3,$B$2261,$B$2515),Data!$BO:$BO,0)-2,48)&lt;&gt;"",INDEX(Tab_DaBa[],MATCH(CONCATENATE(Liste!$C$3,$B$2261,$B$2515),Data!$BO:$BO,0)-2,53)=""),INDEX(Tab_DaBa[],MATCH(CONCATENATE(Liste!$C$3,$B$2261,$B$2515),Data!$BO:$BO,0)-2,13),IF(INDEX(Tab_DaBa[],MATCH(CONCATENATE(Liste!$C$3,$B$2261,$B$2515),Data!$BO:$BO,0)-2,48)&lt;&gt;"",INDEX(Tab_DaBa[],MATCH(CONCATENATE(Liste!$C$3,$B$2261,$B$2515),Data!$BO:$BO,0)-2,53),"")),"")</f>
        <v>Bez_Lo03_10</v>
      </c>
      <c r="C2535" s="38">
        <f ca="1">IF(D2533="","",4)</f>
        <v>4</v>
      </c>
      <c r="D2535" s="35" t="str">
        <f ca="1">IFERROR(IF(AND(INDEX(Tab_DaBa[],MATCH(CONCATENATE(Liste!$C$3,$B$2261,$B$2515),Data!$BO:$BO,0)-2,53)&lt;&gt;"",INDEX(Tab_DaBa[],MATCH(CONCATENATE(Liste!$C$3,$B$2261,$B$2515),Data!$BO:$BO,0)-2,58)=""),INDEX(Tab_DaBa[],MATCH(CONCATENATE(Liste!$C$3,$B$2261,$B$2515),Data!$BO:$BO,0)-2,13),IF(INDEX(Tab_DaBa[],MATCH(CONCATENATE(Liste!$C$3,$B$2261,$B$2515),Data!$BO:$BO,0)-2,53)&lt;&gt;"",INDEX(Tab_DaBa[],MATCH(CONCATENATE(Liste!$C$3,$B$2261,$B$2515),Data!$BO:$BO,0)-2,58),"")),"")</f>
        <v>Bez_Lo03_10</v>
      </c>
      <c r="E2535" s="38">
        <f ca="1">IF(F2533="","",4)</f>
        <v>4</v>
      </c>
      <c r="F2535" s="35" t="str">
        <f ca="1">IFERROR(IF(AND(INDEX(Tab_DaBa[],MATCH(CONCATENATE(Liste!$C$3,$B$2261,$B$2515),Data!$BO:$BO,0)-2,58)&lt;&gt;"",INDEX(Tab_DaBa[],MATCH(CONCATENATE(Liste!$C$3,$B$2261,$B$2515),Data!$BO:$BO,0)-2,63)=""),INDEX(Tab_DaBa[],MATCH(CONCATENATE(Liste!$C$3,$B$2261,$B$2515),Data!$BO:$BO,0)-2,13),IF(INDEX(Tab_DaBa[],MATCH(CONCATENATE(Liste!$C$3,$B$2261,$B$2515),Data!$BO:$BO,0)-2,58)&lt;&gt;"",INDEX(Tab_DaBa[],MATCH(CONCATENATE(Liste!$C$3,$B$2261,$B$2515),Data!$BO:$BO,0)-2,63),"")),"")</f>
        <v>Bez_Lo03_10</v>
      </c>
      <c r="G2535" s="38">
        <f ca="1">IF(H2533="","",4)</f>
        <v>4</v>
      </c>
      <c r="H2535" s="35" t="str">
        <f ca="1">IFERROR(IF(INDEX(Tab_DaBa[],MATCH(CONCATENATE(Liste!$C$3,$B$2261,$B$2515),Data!$BO:$BO,0)-2,63)&lt;&gt;"",INDEX(Tab_DaBa[],MATCH(CONCATENATE(Liste!$C$3,$B$2261,$B$2515),Data!$BO:$BO,0)-2,13),""),"")</f>
        <v>Bez_Aus4_10</v>
      </c>
    </row>
    <row r="2536" spans="2:9" s="16" customFormat="1" ht="15.75">
      <c r="B2536" s="35" t="str">
        <f ca="1">IFERROR(IF(AND(INDEX(Tab_DaBa[],MATCH(CONCATENATE(Liste!$C$3,$B$2261,$B$2515),Data!$BO:$BO,0)-2,48)&lt;&gt;"",INDEX(Tab_DaBa[],MATCH(CONCATENATE(Liste!$C$3,$B$2261,$B$2515),Data!$BO:$BO,0)-2,53)=""),"Performance Level: "&amp;INDEX(Tab_DaBa[],MATCH(CONCATENATE(Liste!$C$3,$B$2261,$B$2515),Data!$BO:$BO,0)-2,15),IF(INDEX(Tab_DaBa[],MATCH(CONCATENATE(Liste!$C$3,$B$2261,$B$2515),Data!$BO:$BO,0)-2,48)&lt;&gt;"","Performance Level: "&amp;INDEX(Tab_DaBa[],MATCH(CONCATENATE(Liste!$C$3,$B$2261,$B$2515),Data!$BO:$BO,0)-2,55),"")),"")</f>
        <v>Performance Level: PL_Lo03_10</v>
      </c>
      <c r="C2536" s="39"/>
      <c r="D2536" s="35" t="str">
        <f ca="1">IFERROR(IF(AND(INDEX(Tab_DaBa[],MATCH(CONCATENATE(Liste!$C$3,$B$2261,$B$2515),Data!$BO:$BO,0)-2,53)&lt;&gt;"",INDEX(Tab_DaBa[],MATCH(CONCATENATE(Liste!$C$3,$B$2261,$B$2515),Data!$BO:$BO,0)-2,58)=""),"Performance Level: "&amp;INDEX(Tab_DaBa[],MATCH(CONCATENATE(Liste!$C$3,$B$2261,$B$2515),Data!$BO:$BO,0)-2,15),IF(INDEX(Tab_DaBa[],MATCH(CONCATENATE(Liste!$C$3,$B$2261,$B$2515),Data!$BO:$BO,0)-2,53)&lt;&gt;"","Performance Level: "&amp;INDEX(Tab_DaBa[],MATCH(CONCATENATE(Liste!$C$3,$B$2261,$B$2515),Data!$BO:$BO,0)-2,60),"")),"")</f>
        <v>Performance Level: PL_Lo03_10</v>
      </c>
      <c r="E2536" s="37"/>
      <c r="F2536" s="35" t="str">
        <f ca="1">IFERROR(IF(AND(INDEX(Tab_DaBa[],MATCH(CONCATENATE(Liste!$C$3,$B$2261,$B$2515),Data!$BO:$BO,0)-2,58)&lt;&gt;"",INDEX(Tab_DaBa[],MATCH(CONCATENATE(Liste!$C$3,$B$2261,$B$2515),Data!$BO:$BO,0)-2,63)=""),"Performance Level: "&amp;INDEX(Tab_DaBa[],MATCH(CONCATENATE(Liste!$C$3,$B$2261,$B$2515),Data!$BO:$BO,0)-2,15),IF(INDEX(Tab_DaBa[],MATCH(CONCATENATE(Liste!$C$3,$B$2261,$B$2515),Data!$BO:$BO,0)-2,58)&lt;&gt;"","Performance Level: "&amp;INDEX(Tab_DaBa[],MATCH(CONCATENATE(Liste!$C$3,$B$2261,$B$2515),Data!$BO:$BO,0)-2,65),"")),"")</f>
        <v>Performance Level: PL_Lo03_10</v>
      </c>
      <c r="G2536" s="39"/>
      <c r="H2536" s="35" t="str">
        <f ca="1">IFERROR(IF(INDEX(Tab_DaBa[],MATCH(CONCATENATE(Liste!$C$3,$B$2261,$B$2515),Data!$BO:$BO,0)-2,63)&lt;&gt;"","Performance Level: "&amp;INDEX(Tab_DaBa[],MATCH(CONCATENATE(Liste!$C$3,$B$2261,$B$2515),Data!$BO:$BO,0)-2,15),""),"")</f>
        <v>Performance Level: PL_Aus4_10</v>
      </c>
    </row>
    <row r="2537" spans="2:9" s="16" customFormat="1" ht="15.75">
      <c r="B2537" s="35" t="str">
        <f ca="1">IFERROR(IF(AND(INDEX(Tab_DaBa[],MATCH(CONCATENATE(Liste!$C$3,$B$2261,$B$2515),Data!$BO:$BO,0)-2,48)&lt;&gt;"",INDEX(Tab_DaBa[],MATCH(CONCATENATE(Liste!$C$3,$B$2261,$B$2515),Data!$BO:$BO,0)-2,53)=""),"PFH [1/h] = "&amp;10^9*INDEX(Tab_DaBa[],MATCH(CONCATENATE(Liste!$C$3,$B$2261,$B$2515),Data!$BO:$BO,0)-2,16)&amp;"E-9",IF(INDEX(Tab_DaBa[],MATCH(CONCATENATE(Liste!$C$3,$B$2261,$B$2515),Data!$BO:$BO,0)-2,48)&lt;&gt;"","PFH [1/h] = "&amp;10^9*INDEX(Tab_DaBa[],MATCH(CONCATENATE(Liste!$C$3,$B$2261,$B$2515),Data!$BO:$BO,0)-2,56)&amp;"E-9","")),"")</f>
        <v>PFH [1/h] = 4,19E-9</v>
      </c>
      <c r="C2537" s="39"/>
      <c r="D2537" s="35" t="str">
        <f ca="1">IFERROR(IF(AND(INDEX(Tab_DaBa[],MATCH(CONCATENATE(Liste!$C$3,$B$2261,$B$2515),Data!$BO:$BO,0)-2,53)&lt;&gt;"",INDEX(Tab_DaBa[],MATCH(CONCATENATE(Liste!$C$3,$B$2261,$B$2515),Data!$BO:$BO,0)-2,58)=""),"PFH [1/h] = "&amp;10^9*INDEX(Tab_DaBa[],MATCH(CONCATENATE(Liste!$C$3,$B$2261,$B$2515),Data!$BO:$BO,0)-2,16)&amp;"E-9",IF(INDEX(Tab_DaBa[],MATCH(CONCATENATE(Liste!$C$3,$B$2261,$B$2515),Data!$BO:$BO,0)-2,53)&lt;&gt;"","PFH [1/h] = "&amp;10^9*INDEX(Tab_DaBa[],MATCH(CONCATENATE(Liste!$C$3,$B$2261,$B$2515),Data!$BO:$BO,0)-2,61)&amp;"E-9","")),"")</f>
        <v>PFH [1/h] = 4,19E-9</v>
      </c>
      <c r="E2537" s="37"/>
      <c r="F2537" s="35" t="str">
        <f ca="1">IFERROR(IF(AND(INDEX(Tab_DaBa[],MATCH(CONCATENATE(Liste!$C$3,$B$2261,$B$2515),Data!$BO:$BO,0)-2,58)&lt;&gt;"",INDEX(Tab_DaBa[],MATCH(CONCATENATE(Liste!$C$3,$B$2261,$B$2515),Data!$BO:$BO,0)-2,63)=""),"PFH [1/h] = "&amp;10^9*INDEX(Tab_DaBa[],MATCH(CONCATENATE(Liste!$C$3,$B$2261,$B$2515),Data!$BO:$BO,0)-2,16)&amp;"E-9",IF(INDEX(Tab_DaBa[],MATCH(CONCATENATE(Liste!$C$3,$B$2261,$B$2515),Data!$BO:$BO,0)-2,58)&lt;&gt;"","PFH [1/h] = "&amp;10^9*INDEX(Tab_DaBa[],MATCH(CONCATENATE(Liste!$C$3,$B$2261,$B$2515),Data!$BO:$BO,0)-2,66)&amp;"E-9","")),"")</f>
        <v>PFH [1/h] = 4,19E-9</v>
      </c>
      <c r="G2537" s="39"/>
      <c r="H2537" s="35" t="str">
        <f ca="1">IFERROR(IF(INDEX(Tab_DaBa[],MATCH(CONCATENATE(Liste!$C$3,$B$2261,$B$2515),Data!$BO:$BO,0)-2,63)&lt;&gt;"","PFH [1/h] = "&amp;10^9*INDEX(Tab_DaBa[],MATCH(CONCATENATE(Liste!$C$3,$B$2261,$B$2515),Data!$BO:$BO,0)-2,16)&amp;"E-9",""),"")</f>
        <v>PFH [1/h] = 24,7E-9</v>
      </c>
    </row>
    <row r="2538" spans="2:9" s="16" customFormat="1"/>
    <row r="2539" spans="2:9" s="16" customFormat="1">
      <c r="B2539" s="43" t="str">
        <f ca="1">IF(D2539="","","Erforderlich")</f>
        <v>Erforderlich</v>
      </c>
      <c r="D2539" s="44" t="str">
        <f ca="1">IFERROR("Performance Level: "&amp;INDEX(Tab_DaBa[],MATCH(CONCATENATE(Liste!$C$3,$B$2261,$B$2515),Data!$BO:$BO,0)-2,4),"")</f>
        <v>Performance Level: PLr_ges4_10</v>
      </c>
    </row>
    <row r="2540" spans="2:9" s="16" customFormat="1">
      <c r="B2540" s="45"/>
    </row>
    <row r="2541" spans="2:9" s="16" customFormat="1">
      <c r="B2541" s="46" t="str">
        <f ca="1">IF(D2541="","","Erreicht")</f>
        <v>Erreicht</v>
      </c>
      <c r="D2541" s="47" t="str">
        <f ca="1">IFERROR("Performance Level: "&amp;INDEX(Tab_DaBa[],MATCH(CONCATENATE(Liste!$C$3,$B$2261,$B$2515),Data!$BO:$BO,0)-2,5)&amp;"          PFH [1/h] = "&amp;10^9*INDEX(Tab_DaBa[],MATCH(CONCATENATE(Liste!$C$3,$B$2261,$B$2515),Data!$BO:$BO,0)-2,6)&amp;"E-9","")</f>
        <v>Performance Level: Pl_ges4_10          PFH [1/h] = 71,7E-9</v>
      </c>
    </row>
    <row r="2542" spans="2:9" s="16" customFormat="1"/>
    <row r="2543" spans="2:9" s="16" customFormat="1">
      <c r="B2543" s="55" t="str">
        <f ca="1">Liste!$D$13</f>
        <v>10. Test10</v>
      </c>
    </row>
    <row r="2544" spans="2:9" s="16" customFormat="1"/>
    <row r="2545" spans="2:9" s="16" customFormat="1">
      <c r="B2545" s="42" t="str">
        <f ca="1">IFERROR(IF(1&gt;COUNTIF(Data!$BP:$BP,CONCATENATE(Liste!$C$3,$B$2543)),"",INDEX(Tab_DaBa[],MATCH(CONCATENATE(Liste!$C$3,$B$2543),Data!$BP:$BP,0)-2,3)),"")</f>
        <v>10.1 Test10 (E+1L+A)</v>
      </c>
    </row>
    <row r="2546" spans="2:9" s="16" customFormat="1"/>
    <row r="2547" spans="2:9" s="16" customFormat="1" ht="15.75">
      <c r="B2547" s="35" t="str">
        <f ca="1">IFERROR(INDEX(Tab_DaBa[],MATCH(CONCATENATE(Liste!$C$3,$B$2543,$B$2545),Data!$BO:$BO,0)-2,9),"")</f>
        <v>Eingang</v>
      </c>
      <c r="C2547" s="54"/>
      <c r="D2547" s="35" t="str">
        <f ca="1">IFERROR(IF(INDEX(Tab_DaBa[],MATCH(CONCATENATE(Liste!$C$3,$B$2543,$B$2545),Data!$BO:$BO,0)-2,18)=0,INDEX(Tab_DaBa[],MATCH(CONCATENATE(Liste!$C$3,$B$2543,$B$2545),Data!$BO:$BO,0)-2,14),INDEX(Tab_DaBa[],MATCH(CONCATENATE(Liste!$C$3,$B$2543,$B$2545),Data!$BO:$BO,0)-2,19)),"")</f>
        <v>Logik 01</v>
      </c>
      <c r="E2547" s="33"/>
      <c r="F2547" s="35" t="str">
        <f ca="1">IFERROR(IF(AND(INDEX(Tab_DaBa[],MATCH(CONCATENATE(Liste!$C$3,$B$2543,$B$2545),Data!$BO:$BO,0)-2,18)&lt;&gt;"",INDEX(Tab_DaBa[],MATCH(CONCATENATE(Liste!$C$3,$B$2543,$B$2545),Data!$BO:$BO,0)-2,23)=0),INDEX(Tab_DaBa[],MATCH(CONCATENATE(Liste!$C$3,$B$2543,$B$2545),Data!$BO:$BO,0)-2,14),IF(INDEX(Tab_DaBa[],MATCH(CONCATENATE(Liste!$C$3,$B$2543,$B$2545),Data!$BO:$BO,0)-2,23)&lt;&gt;"",INDEX(Tab_DaBa[],MATCH(CONCATENATE(Liste!$C$3,$B$2543,$B$2545),Data!$BO:$BO,0)-2,24),"")),"")</f>
        <v>Ausgang</v>
      </c>
      <c r="G2547" s="39"/>
      <c r="H2547" s="35" t="str">
        <f ca="1">IFERROR(IF(AND(INDEX(Tab_DaBa[],MATCH(CONCATENATE(Liste!$C$3,$B$2543,$B$2545),Data!$BO:$BO,0)-2,23)&lt;&gt;"",INDEX(Tab_DaBa[],MATCH(CONCATENATE(Liste!$C$3,$B$2543,$B$2545),Data!$BO:$BO,0)-2,28)=0),INDEX(Tab_DaBa[],MATCH(CONCATENATE(Liste!$C$3,$B$2543,$B$2545),Data!$BO:$BO,0)-2,14),IF(INDEX(Tab_DaBa[],MATCH(CONCATENATE(Liste!$C$3,$B$2543,$B$2545),Data!$BO:$BO,0)-2,23)&lt;&gt;"",INDEX(Tab_DaBa[],MATCH(CONCATENATE(Liste!$C$3,$B$2543,$B$2545),Data!$BO:$BO,0)-2,29),"")),"")</f>
        <v/>
      </c>
      <c r="I2547" s="39"/>
    </row>
    <row r="2548" spans="2:9" s="16" customFormat="1" ht="15.75">
      <c r="B2548" s="35" t="str">
        <f ca="1">IFERROR(INDEX(Tab_DaBa[],MATCH(CONCATENATE(Liste!$C$3,$B$2543,$B$2545),Data!$BO:$BO,0)-2,7),"")</f>
        <v>eeee-33_1</v>
      </c>
      <c r="C2548" s="54"/>
      <c r="D2548" s="35" t="str">
        <f ca="1">IFERROR(IF(INDEX(Tab_DaBa[],MATCH(CONCATENATE(Liste!$C$3,$B$2543,$B$2545),Data!$BO:$BO,0)-2,18)="",INDEX(Tab_DaBa[],MATCH(CONCATENATE(Liste!$C$3,$B$2543,$B$2545),Data!$BO:$BO,0)-2,12),INDEX(Tab_DaBa[],MATCH(CONCATENATE(Liste!$C$3,$B$2543,$B$2545),Data!$BO:$BO,0)-2,17)),"")</f>
        <v>Log01-04_01</v>
      </c>
      <c r="E2548" s="36"/>
      <c r="F2548" s="35" t="str">
        <f ca="1">IFERROR(IF(AND(INDEX(Tab_DaBa[],MATCH(CONCATENATE(Liste!$C$3,$B$2543,$B$2545),Data!$BO:$BO,0)-2,18)&lt;&gt;"",INDEX(Tab_DaBa[],MATCH(CONCATENATE(Liste!$C$3,$B$2543,$B$2545),Data!$BO:$BO,0)-2,23)=0),INDEX(Tab_DaBa[],MATCH(CONCATENATE(Liste!$C$3,$B$2543,$B$2545),Data!$BO:$BO,0)-2,12),IF(INDEX(Tab_DaBa[],MATCH(CONCATENATE(Liste!$C$3,$B$2543,$B$2545),Data!$BO:$BO,0)-2,23)&lt;&gt;"",INDEX(Tab_DaBa[],MATCH(CONCATENATE(Liste!$C$3,$B$2543,$B$2545),Data!$BO:$BO,0)-2,22),"")),"")</f>
        <v>aaaa-44_1</v>
      </c>
      <c r="G2548" s="39"/>
      <c r="H2548" s="35" t="str">
        <f ca="1">IFERROR(IF(AND(INDEX(Tab_DaBa[],MATCH(CONCATENATE(Liste!$C$3,$B$2543,$B$2545),Data!$BO:$BO,0)-2,23)&lt;&gt;"",INDEX(Tab_DaBa[],MATCH(CONCATENATE(Liste!$C$3,$B$2543,$B$2545),Data!$BO:$BO,0)-2,28)=0),INDEX(Tab_DaBa[],MATCH(CONCATENATE(Liste!$C$3,$B$2543,$B$2545),Data!$BO:$BO,0)-2,12),IF(INDEX(Tab_DaBa[],MATCH(CONCATENATE(Liste!$C$3,$B$2543,$B$2545),Data!$BO:$BO,0)-2,23)&lt;&gt;"",INDEX(Tab_DaBa[],MATCH(CONCATENATE(Liste!$C$3,$B$2543,$B$2545),Data!$BO:$BO,0)-2,27),"")),"")</f>
        <v/>
      </c>
      <c r="I2548" s="39"/>
    </row>
    <row r="2549" spans="2:9" s="16" customFormat="1" ht="15.75">
      <c r="B2549" s="35" t="str">
        <f ca="1">IFERROR(INDEX(Tab_DaBa[],MATCH(CONCATENATE(Liste!$C$3,$B$2543,$B$2545),Data!$BO:$BO,0)-2,8),"")</f>
        <v>Bez_Ein4_1</v>
      </c>
      <c r="C2549" s="40">
        <f ca="1">IF(D2547="","",4)</f>
        <v>4</v>
      </c>
      <c r="D2549" s="35" t="str">
        <f ca="1">IFERROR(IF(INDEX(Tab_DaBa[],MATCH(CONCATENATE(Liste!$C$3,$B$2543,$B$2545),Data!$BO:$BO,0)-2,18)="",INDEX(Tab_DaBa[],MATCH(CONCATENATE(Liste!$C$3,$B$2543,$B$2545),Data!$BO:$BO,0)-2,13),INDEX(Tab_DaBa[],MATCH(CONCATENATE(Liste!$C$3,$B$2543,$B$2545),Data!$BO:$BO,0)-2,18)),"")</f>
        <v>Bez_Log01_04_01</v>
      </c>
      <c r="E2549" s="40">
        <f ca="1">IF(F2547="","",4)</f>
        <v>4</v>
      </c>
      <c r="F2549" s="35" t="str">
        <f ca="1">IFERROR(IF(AND(INDEX(Tab_DaBa[],MATCH(CONCATENATE(Liste!$C$3,$B$2543,$B$2545),Data!$BO:$BO,0)-2,18)&lt;&gt;"",INDEX(Tab_DaBa[],MATCH(CONCATENATE(Liste!$C$3,$B$2543,$B$2545),Data!$BO:$BO,0)-2,23)=""),INDEX(Tab_DaBa[],MATCH(CONCATENATE(Liste!$C$3,$B$2543,$B$2545),Data!$BO:$BO,0)-2,13),IF(INDEX(Tab_DaBa[],MATCH(CONCATENATE(Liste!$C$3,$B$2543,$B$2545),Data!$BO:$BO,0)-2,23)&lt;&gt;"",INDEX(Tab_DaBa[],MATCH(CONCATENATE(Liste!$C$3,$B$2543,$B$2545),Data!$BO:$BO,0)-2,23),"")),"")</f>
        <v>Bez_Aus4_1</v>
      </c>
      <c r="G2549" s="38" t="str">
        <f ca="1">IF(H2547="","",4)</f>
        <v/>
      </c>
      <c r="H2549" s="35" t="str">
        <f ca="1">IFERROR(IF(AND(INDEX(Tab_DaBa[],MATCH(CONCATENATE(Liste!$C$3,$B$2543,$B$2545),Data!$BO:$BO,0)-2,23)&lt;&gt;"",INDEX(Tab_DaBa[],MATCH(CONCATENATE(Liste!$C$3,$B$2543,$B$2545),Data!$BO:$BO,0)-2,28)=""),INDEX(Tab_DaBa[],MATCH(CONCATENATE(Liste!$C$3,$B$2543,$B$2545),Data!$BO:$BO,0)-2,13),IF(INDEX(Tab_DaBa[],MATCH(CONCATENATE(Liste!$C$3,$B$2543,$B$2545),Data!$BO:$BO,0)-2,23)&lt;&gt;"",INDEX(Tab_DaBa[],MATCH(CONCATENATE(Liste!$C$3,$B$2543,$B$2545),Data!$BO:$BO,0)-2,28),"")),"")</f>
        <v/>
      </c>
      <c r="I2549" s="38" t="str">
        <f ca="1">IF(B2555="","",6)</f>
        <v/>
      </c>
    </row>
    <row r="2550" spans="2:9" s="16" customFormat="1" ht="15.75">
      <c r="B2550" s="35" t="str">
        <f ca="1">IFERROR("Performance Level: "&amp;INDEX(Tab_DaBa[],MATCH(CONCATENATE(Liste!$C$3,$B$2543,$B$2545),Data!$BO:$BO,0)-2,10),"")</f>
        <v>Performance Level: PL_Ein4_1</v>
      </c>
      <c r="C2550" s="54"/>
      <c r="D2550" s="35" t="str">
        <f ca="1">IFERROR(IF(INDEX(Tab_DaBa[],MATCH(CONCATENATE(Liste!$C$3,$B$2543,$B$2545),Data!$BO:$BO,0)-2,18)="","Performance Level: "&amp;INDEX(Tab_DaBa[],MATCH(CONCATENATE(Liste!$C$3,$B$2543,$B$2545),Data!$BO:$BO,0)-2,15),"Performance Level: "&amp;INDEX(Tab_DaBa[],MATCH(CONCATENATE(Liste!$C$3,$B$2543,$B$2545),Data!$BO:$BO,0)-2,20)),"")</f>
        <v>Performance Level: PL_Log01_04_01</v>
      </c>
      <c r="E2550" s="36"/>
      <c r="F2550" s="35" t="str">
        <f ca="1">IFERROR(IF(AND(INDEX(Tab_DaBa[],MATCH(CONCATENATE(Liste!$C$3,$B$2543,$B$2545),Data!$BO:$BO,0)-2,18)&lt;&gt;"",INDEX(Tab_DaBa[],MATCH(CONCATENATE(Liste!$C$3,$B$2543,$B$2545),Data!$BO:$BO,0)-2,23)=""),"Performance Level: "&amp;INDEX(Tab_DaBa[],MATCH(CONCATENATE(Liste!$C$3,$B$2543,$B$2545),Data!$BO:$BO,0)-2,15),IF(INDEX(Tab_DaBa[],MATCH(CONCATENATE(Liste!$C$3,$B$2543,$B$2545),Data!$BO:$BO,0)-2,23)&lt;&gt;"","Performance Level: "&amp;INDEX(Tab_DaBa[],MATCH(CONCATENATE(Liste!$C$3,$B$2543,$B$2545),Data!$BO:$BO,0)-2,25),"")),"")</f>
        <v>Performance Level: PL_Aus4_1</v>
      </c>
      <c r="G2550" s="39"/>
      <c r="H2550" s="35" t="str">
        <f ca="1">IFERROR(IF(AND(INDEX(Tab_DaBa[],MATCH(CONCATENATE(Liste!$C$3,$B$2543,$B$2545),Data!$BO:$BO,0)-2,23)&lt;&gt;"",INDEX(Tab_DaBa[],MATCH(CONCATENATE(Liste!$C$3,$B$2543,$B$2545),Data!$BO:$BO,0)-2,28)=""),"Performance Level: "&amp;INDEX(Tab_DaBa[],MATCH(CONCATENATE(Liste!$C$3,$B$2543,$B$2545),Data!$BO:$BO,0)-2,15),IF(INDEX(Tab_DaBa[],MATCH(CONCATENATE(Liste!$C$3,$B$2543,$B$2545),Data!$BO:$BO,0)-2,23)&lt;&gt;"","Performance Level: "&amp;INDEX(Tab_DaBa[],MATCH(CONCATENATE(Liste!$C$3,$B$2543,$B$2545),Data!$BO:$BO,0)-2,30),"")),"")</f>
        <v/>
      </c>
      <c r="I2550" s="38"/>
    </row>
    <row r="2551" spans="2:9" s="16" customFormat="1" ht="15.75">
      <c r="B2551" s="53" t="str">
        <f ca="1">IFERROR("PFH [1/h] = "&amp;10^9*INDEX(Tab_DaBa[],MATCH(CONCATENATE(Liste!$C$3,$B$2543,$B$2545),Data!$BO:$BO,0)-2,11)&amp;"E-9","")</f>
        <v>PFH [1/h] = 42,9E-9</v>
      </c>
      <c r="C2551" s="54"/>
      <c r="D2551" s="35" t="str">
        <f ca="1">IFERROR(IF(INDEX(Tab_DaBa[],MATCH(CONCATENATE(Liste!$C$3,$B$2543,$B$2545),Data!$BO:$BO,0)-2,18)="","PFH [1/h] = "&amp;10^9*INDEX(Tab_DaBa[],MATCH(CONCATENATE(Liste!$C$3,$B$2543,$B$2545),Data!$BO:$BO,0)-2,16)&amp;"E-9","PFH [1/h] = "&amp;10^9*INDEX(Tab_DaBa[],MATCH(CONCATENATE(Liste!$C$3,$B$2543,$B$2545),Data!$BO:$BO,0)-2,21)&amp;"E-9"),"")</f>
        <v>PFH [1/h] = 4,19E-9</v>
      </c>
      <c r="E2551" s="36"/>
      <c r="F2551" s="35" t="str">
        <f ca="1">IFERROR(IF(AND(INDEX(Tab_DaBa[],MATCH(CONCATENATE(Liste!$C$3,$B$2543,$B$2545),Data!$BO:$BO,0)-2,18)&lt;&gt;"",INDEX(Tab_DaBa[],MATCH(CONCATENATE(Liste!$C$3,$B$2543,$B$2545),Data!$BO:$BO,0)-2,23)=""),"PFH [1/h] = "&amp;10^9*INDEX(Tab_DaBa[],MATCH(CONCATENATE(Liste!$C$3,$B$2543,$B$2545),Data!$BO:$BO,0)-2,16)&amp;"E-9",IF(INDEX(Tab_DaBa[],MATCH(CONCATENATE(Liste!$C$3,$B$2543,$B$2545),Data!$BO:$BO,0)-2,23)&lt;&gt;"","PFH [1/h] = "&amp;10^9*INDEX(Tab_DaBa[],MATCH(CONCATENATE(Liste!$C$3,$B$2543,$B$2545),Data!$BO:$BO,0)-2,26)&amp;"E-9","")),"")</f>
        <v>PFH [1/h] = 24,7E-9</v>
      </c>
      <c r="G2551" s="39"/>
      <c r="H2551" s="35" t="str">
        <f ca="1">IFERROR(IF(AND(INDEX(Tab_DaBa[],MATCH(CONCATENATE(Liste!$C$3,$B$2543,$B$2545),Data!$BO:$BO,0)-2,23)&lt;&gt;"",INDEX(Tab_DaBa[],MATCH(CONCATENATE(Liste!$C$3,$B$2543,$B$2545),Data!$BO:$BO,0)-2,28)=""),"PFH [1/h] = "&amp;10^9*INDEX(Tab_DaBa[],MATCH(CONCATENATE(Liste!$C$3,$B$2543,$B$2545),Data!$BO:$BO,0)-2,16)&amp;"E-9",IF(INDEX(Tab_DaBa[],MATCH(CONCATENATE(Liste!$C$3,$B$2543,$B$2545),Data!$BO:$BO,0)-2,23)&lt;&gt;"","PFH [1/h] = "&amp;10^9*INDEX(Tab_DaBa[],MATCH(CONCATENATE(Liste!$C$3,$B$2543,$B$2545),Data!$BO:$BO,0)-2,31)&amp;"E-9","")),"")</f>
        <v/>
      </c>
      <c r="I2551" s="39"/>
    </row>
    <row r="2552" spans="2:9" s="16" customFormat="1">
      <c r="B2552" s="33"/>
      <c r="C2552" s="34"/>
      <c r="D2552" s="33"/>
      <c r="E2552" s="33"/>
      <c r="F2552" s="33"/>
      <c r="G2552" s="33"/>
      <c r="H2552" s="33"/>
      <c r="I2552" s="33"/>
    </row>
    <row r="2553" spans="2:9" s="16" customFormat="1" ht="15.75">
      <c r="B2553" s="38" t="str">
        <f ca="1">IF(B2555="","",6)</f>
        <v/>
      </c>
      <c r="C2553" s="34"/>
      <c r="D2553" s="38" t="str">
        <f ca="1">IF(B2555="","",3)</f>
        <v/>
      </c>
      <c r="E2553" s="33"/>
      <c r="F2553" s="38" t="str">
        <f ca="1">IF(B2555="","",3)</f>
        <v/>
      </c>
      <c r="G2553" s="33"/>
      <c r="H2553" s="38" t="str">
        <f ca="1">IF(B2555="","",3)</f>
        <v/>
      </c>
      <c r="I2553" s="33"/>
    </row>
    <row r="2554" spans="2:9" s="16" customFormat="1" ht="15.75">
      <c r="B2554" s="39"/>
      <c r="C2554" s="33"/>
      <c r="D2554" s="33"/>
      <c r="E2554" s="33"/>
      <c r="F2554" s="33"/>
      <c r="G2554" s="33"/>
      <c r="H2554" s="33"/>
      <c r="I2554" s="33"/>
    </row>
    <row r="2555" spans="2:9" s="16" customFormat="1" ht="15.75">
      <c r="B2555" s="35" t="str">
        <f ca="1">IFERROR(IF(AND(INDEX(Tab_DaBa[],MATCH(CONCATENATE(Liste!$C$3,$B$2543,$B$2545),Data!$BO:$BO,0)-2,28)&lt;&gt;"",INDEX(Tab_DaBa[],MATCH(CONCATENATE(Liste!$C$3,$B$2543,$B$2545),Data!$BO:$BO,0)-2,33)=0),INDEX(Tab_DaBa[],MATCH(CONCATENATE(Liste!$C$3,$B$2543,$B$2545),Data!$BO:$BO,0)-2,14),IF(INDEX(Tab_DaBa[],MATCH(CONCATENATE(Liste!$C$3,$B$2543,$B$2545),Data!$BO:$BO,0)-2,28)&lt;&gt;"",INDEX(Tab_DaBa[],MATCH(CONCATENATE(Liste!$C$3,$B$2543,$B$2545),Data!$BO:$BO,0)-2,34),"")),"")</f>
        <v/>
      </c>
      <c r="C2555" s="39"/>
      <c r="D2555" s="35" t="str">
        <f ca="1">IFERROR(IF(AND(INDEX(Tab_DaBa[],MATCH(CONCATENATE(Liste!$C$3,$B$2543,$B$2545),Data!$BO:$BO,0)-2,33)&lt;&gt;"",INDEX(Tab_DaBa[],MATCH(CONCATENATE(Liste!$C$3,$B$2543,$B$2545),Data!$BO:$BO,0)-2,38)=0),INDEX(Tab_DaBa[],MATCH(CONCATENATE(Liste!$C$3,$B$2543,$B$2545),Data!$BO:$BO,0)-2,14),IF(INDEX(Tab_DaBa[],MATCH(CONCATENATE(Liste!$C$3,$B$2543,$B$2545),Data!$BO:$BO,0)-2,33)&lt;&gt;"",INDEX(Tab_DaBa[],MATCH(CONCATENATE(Liste!$C$3,$B$2543,$B$2545),Data!$BO:$BO,0)-2,39),"")),"")</f>
        <v/>
      </c>
      <c r="E2555" s="33"/>
      <c r="F2555" s="35" t="str">
        <f ca="1">IFERROR(IF(AND(INDEX(Tab_DaBa[],MATCH(CONCATENATE(Liste!$C$3,$B$2543,$B$2545),Data!$BO:$BO,0)-2,38)&lt;&gt;"",INDEX(Tab_DaBa[],MATCH(CONCATENATE(Liste!$C$3,$B$2543,$B$2545),Data!$BO:$BO,0)-2,43)=0),INDEX(Tab_DaBa[],MATCH(CONCATENATE(Liste!$C$3,$B$2543,$B$2545),Data!$BO:$BO,0)-2,14),IF(INDEX(Tab_DaBa[],MATCH(CONCATENATE(Liste!$C$3,$B$2543,$B$2545),Data!$BO:$BO,0)-2,38)&lt;&gt;"",INDEX(Tab_DaBa[],MATCH(CONCATENATE(Liste!$C$3,$B$2543,$B$2545),Data!$BO:$BO,0)-2,44),"")),"")</f>
        <v/>
      </c>
      <c r="G2555" s="39"/>
      <c r="H2555" s="35" t="str">
        <f ca="1">IFERROR(IF(AND(INDEX(Tab_DaBa[],MATCH(CONCATENATE(Liste!$C$3,$B$2543,$B$2545),Data!$BO:$BO,0)-2,43)&lt;&gt;"",INDEX(Tab_DaBa[],MATCH(CONCATENATE(Liste!$C$3,$B$2543,$B$2545),Data!$BO:$BO,0)-2,48)=0),INDEX(Tab_DaBa[],MATCH(CONCATENATE(Liste!$C$3,$B$2543,$B$2545),Data!$BO:$BO,0)-2,14),IF(INDEX(Tab_DaBa[],MATCH(CONCATENATE(Liste!$C$3,$B$2543,$B$2545),Data!$BO:$BO,0)-2,43)&lt;&gt;"",INDEX(Tab_DaBa[],MATCH(CONCATENATE(Liste!$C$3,$B$2543,$B$2545),Data!$BO:$BO,0)-2,49),"")),"")</f>
        <v/>
      </c>
      <c r="I2555" s="39"/>
    </row>
    <row r="2556" spans="2:9" s="16" customFormat="1" ht="15.75">
      <c r="B2556" s="35" t="str">
        <f ca="1">IFERROR(IF(AND(INDEX(Tab_DaBa[],MATCH(CONCATENATE(Liste!$C$3,$B$2543,$B$2545),Data!$BO:$BO,0)-2,28)&lt;&gt;"",INDEX(Tab_DaBa[],MATCH(CONCATENATE(Liste!$C$3,$B$2543,$B$2545),Data!$BO:$BO,0)-2,33)=0),INDEX(Tab_DaBa[],MATCH(CONCATENATE(Liste!$C$3,$B$2543,$B$2545),Data!$BO:$BO,0)-2,12),IF(INDEX(Tab_DaBa[],MATCH(CONCATENATE(Liste!$C$3,$B$2543,$B$2545),Data!$BO:$BO,0)-2,28)&lt;&gt;"",INDEX(Tab_DaBa[],MATCH(CONCATENATE(Liste!$C$3,$B$2543,$B$2545),Data!$BO:$BO,0)-2,32),"")),"")</f>
        <v/>
      </c>
      <c r="C2556" s="39"/>
      <c r="D2556" s="35" t="str">
        <f ca="1">IFERROR(IF(AND(INDEX(Tab_DaBa[],MATCH(CONCATENATE(Liste!$C$3,$B$2543,$B$2545),Data!$BO:$BO,0)-2,33)&lt;&gt;"",INDEX(Tab_DaBa[],MATCH(CONCATENATE(Liste!$C$3,$B$2543,$B$2545),Data!$BO:$BO,0)-2,38)=0),INDEX(Tab_DaBa[],MATCH(CONCATENATE(Liste!$C$3,$B$2543,$B$2545),Data!$BO:$BO,0)-2,12),IF(INDEX(Tab_DaBa[],MATCH(CONCATENATE(Liste!$C$3,$B$2543,$B$2545),Data!$BO:$BO,0)-2,33)&lt;&gt;"",INDEX(Tab_DaBa[],MATCH(CONCATENATE(Liste!$C$3,$B$2543,$B$2545),Data!$BO:$BO,0)-2,37),"")),"")</f>
        <v/>
      </c>
      <c r="E2556" s="37"/>
      <c r="F2556" s="35" t="str">
        <f ca="1">IFERROR(IF(AND(INDEX(Tab_DaBa[],MATCH(CONCATENATE(Liste!$C$3,$B$2543,$B$2545),Data!$BO:$BO,0)-2,38)&lt;&gt;"",INDEX(Tab_DaBa[],MATCH(CONCATENATE(Liste!$C$3,$B$2543,$B$2545),Data!$BO:$BO,0)-2,43)=0),INDEX(Tab_DaBa[],MATCH(CONCATENATE(Liste!$C$3,$B$2543,$B$2545),Data!$BO:$BO,0)-2,12),IF(INDEX(Tab_DaBa[],MATCH(CONCATENATE(Liste!$C$3,$B$2543,$B$2545),Data!$BO:$BO,0)-2,38)&lt;&gt;"",INDEX(Tab_DaBa[],MATCH(CONCATENATE(Liste!$C$3,$B$2543,$B$2545),Data!$BO:$BO,0)-2,42),"")),"")</f>
        <v/>
      </c>
      <c r="G2556" s="39"/>
      <c r="H2556" s="35" t="str">
        <f ca="1">IFERROR(IF(AND(INDEX(Tab_DaBa[],MATCH(CONCATENATE(Liste!$C$3,$B$2543,$B$2545),Data!$BO:$BO,0)-2,43)&lt;&gt;"",INDEX(Tab_DaBa[],MATCH(CONCATENATE(Liste!$C$3,$B$2543,$B$2545),Data!$BO:$BO,0)-2,48)=0),INDEX(Tab_DaBa[],MATCH(CONCATENATE(Liste!$C$3,$B$2543,$B$2545),Data!$BO:$BO,0)-2,12),IF(INDEX(Tab_DaBa[],MATCH(CONCATENATE(Liste!$C$3,$B$2543,$B$2545),Data!$BO:$BO,0)-2,43)&lt;&gt;"",INDEX(Tab_DaBa[],MATCH(CONCATENATE(Liste!$C$3,$B$2543,$B$2545),Data!$BO:$BO,0)-2,47),"")),"")</f>
        <v/>
      </c>
      <c r="I2556" s="39"/>
    </row>
    <row r="2557" spans="2:9" s="16" customFormat="1" ht="15.75">
      <c r="B2557" s="35" t="str">
        <f ca="1">IFERROR(IF(AND(INDEX(Tab_DaBa[],MATCH(CONCATENATE(Liste!$C$3,$B$2543,$B$2545),Data!$BO:$BO,0)-2,28)&lt;&gt;"",INDEX(Tab_DaBa[],MATCH(CONCATENATE(Liste!$C$3,$B$2543,$B$2545),Data!$BO:$BO,0)-2,33)=""),INDEX(Tab_DaBa[],MATCH(CONCATENATE(Liste!$C$3,$B$2543,$B$2545),Data!$BO:$BO,0)-2,13),IF(INDEX(Tab_DaBa[],MATCH(CONCATENATE(Liste!$C$3,$B$2543,$B$2545),Data!$BO:$BO,0)-2,28)&lt;&gt;"",INDEX(Tab_DaBa[],MATCH(CONCATENATE(Liste!$C$3,$B$2543,$B$2545),Data!$BO:$BO,0)-2,33),"")),"")</f>
        <v/>
      </c>
      <c r="C2557" s="38" t="str">
        <f ca="1">IF(D2555="","",4)</f>
        <v/>
      </c>
      <c r="D2557" s="35" t="str">
        <f ca="1">IFERROR(IF(AND(INDEX(Tab_DaBa[],MATCH(CONCATENATE(Liste!$C$3,$B$2543,$B$2545),Data!$BO:$BO,0)-2,33)&lt;&gt;"",INDEX(Tab_DaBa[],MATCH(CONCATENATE(Liste!$C$3,$B$2543,$B$2545),Data!$BO:$BO,0)-2,38)=""),INDEX(Tab_DaBa[],MATCH(CONCATENATE(Liste!$C$3,$B$2543,$B$2545),Data!$BO:$BO,0)-2,13),IF(INDEX(Tab_DaBa[],MATCH(CONCATENATE(Liste!$C$3,$B$2543,$B$2545),Data!$BO:$BO,0)-2,33)&lt;&gt;"",INDEX(Tab_DaBa[],MATCH(CONCATENATE(Liste!$C$3,$B$2543,$B$2545),Data!$BO:$BO,0)-2,38),"")),"")</f>
        <v/>
      </c>
      <c r="E2557" s="38" t="str">
        <f ca="1">IF(F2555="","",4)</f>
        <v/>
      </c>
      <c r="F2557" s="35" t="str">
        <f ca="1">IFERROR(IF(AND(INDEX(Tab_DaBa[],MATCH(CONCATENATE(Liste!$C$3,$B$2543,$B$2545),Data!$BO:$BO,0)-2,38)&lt;&gt;"",INDEX(Tab_DaBa[],MATCH(CONCATENATE(Liste!$C$3,$B$2543,$B$2545),Data!$BO:$BO,0)-2,43)=""),INDEX(Tab_DaBa[],MATCH(CONCATENATE(Liste!$C$3,$B$2543,$B$2545),Data!$BO:$BO,0)-2,13),IF(INDEX(Tab_DaBa[],MATCH(CONCATENATE(Liste!$C$3,$B$2543,$B$2545),Data!$BO:$BO,0)-2,38)&lt;&gt;"",INDEX(Tab_DaBa[],MATCH(CONCATENATE(Liste!$C$3,$B$2543,$B$2545),Data!$BO:$BO,0)-2,43),"")),"")</f>
        <v/>
      </c>
      <c r="G2557" s="38" t="str">
        <f ca="1">IF(H2555="","",4)</f>
        <v/>
      </c>
      <c r="H2557" s="35" t="str">
        <f ca="1">IFERROR(IF(AND(INDEX(Tab_DaBa[],MATCH(CONCATENATE(Liste!$C$3,$B$2543,$B$2545),Data!$BO:$BO,0)-2,43)&lt;&gt;"",INDEX(Tab_DaBa[],MATCH(CONCATENATE(Liste!$C$3,$B$2543,$B$2545),Data!$BO:$BO,0)-2,48)=""),INDEX(Tab_DaBa[],MATCH(CONCATENATE(Liste!$C$3,$B$2543,$B$2545),Data!$BO:$BO,0)-2,13),IF(INDEX(Tab_DaBa[],MATCH(CONCATENATE(Liste!$C$3,$B$2543,$B$2545),Data!$BO:$BO,0)-2,43)&lt;&gt;"",INDEX(Tab_DaBa[],MATCH(CONCATENATE(Liste!$C$3,$B$2543,$B$2545),Data!$BO:$BO,0)-2,48),"")),"")</f>
        <v/>
      </c>
      <c r="I2557" s="38" t="str">
        <f ca="1">IF(B2563="","",6)</f>
        <v/>
      </c>
    </row>
    <row r="2558" spans="2:9" s="16" customFormat="1" ht="15.75">
      <c r="B2558" s="35" t="str">
        <f ca="1">IFERROR(IF(AND(INDEX(Tab_DaBa[],MATCH(CONCATENATE(Liste!$C$3,$B$2543,$B$2545),Data!$BO:$BO,0)-2,28)&lt;&gt;"",INDEX(Tab_DaBa[],MATCH(CONCATENATE(Liste!$C$3,$B$2543,$B$2545),Data!$BO:$BO,0)-2,33)=""),"Performance Level: "&amp;INDEX(Tab_DaBa[],MATCH(CONCATENATE(Liste!$C$3,$B$2543,$B$2545),Data!$BO:$BO,0)-2,15),IF(INDEX(Tab_DaBa[],MATCH(CONCATENATE(Liste!$C$3,$B$2543,$B$2545),Data!$BO:$BO,0)-2,28)&lt;&gt;"","Performance Level: "&amp;INDEX(Tab_DaBa[],MATCH(CONCATENATE(Liste!$C$3,$B$2543,$B$2545),Data!$BO:$BO,0)-2,35),"")),"")</f>
        <v/>
      </c>
      <c r="C2558" s="39"/>
      <c r="D2558" s="35" t="str">
        <f ca="1">IFERROR(IF(AND(INDEX(Tab_DaBa[],MATCH(CONCATENATE(Liste!$C$3,$B$2543,$B$2545),Data!$BO:$BO,0)-2,33)&lt;&gt;"",INDEX(Tab_DaBa[],MATCH(CONCATENATE(Liste!$C$3,$B$2543,$B$2545),Data!$BO:$BO,0)-2,38)=""),"Performance Level: "&amp;INDEX(Tab_DaBa[],MATCH(CONCATENATE(Liste!$C$3,$B$2543,$B$2545),Data!$BO:$BO,0)-2,15),IF(INDEX(Tab_DaBa[],MATCH(CONCATENATE(Liste!$C$3,$B$2543,$B$2545),Data!$BO:$BO,0)-2,33)&lt;&gt;"","Performance Level: "&amp;INDEX(Tab_DaBa[],MATCH(CONCATENATE(Liste!$C$3,$B$2543,$B$2545),Data!$BO:$BO,0)-2,40),"")),"")</f>
        <v/>
      </c>
      <c r="E2558" s="37"/>
      <c r="F2558" s="35" t="str">
        <f ca="1">IFERROR(IF(AND(INDEX(Tab_DaBa[],MATCH(CONCATENATE(Liste!$C$3,$B$2543,$B$2545),Data!$BO:$BO,0)-2,38)&lt;&gt;"",INDEX(Tab_DaBa[],MATCH(CONCATENATE(Liste!$C$3,$B$2543,$B$2545),Data!$BO:$BO,0)-2,43)=""),"Performance Level: "&amp;INDEX(Tab_DaBa[],MATCH(CONCATENATE(Liste!$C$3,$B$2543,$B$2545),Data!$BO:$BO,0)-2,15),IF(INDEX(Tab_DaBa[],MATCH(CONCATENATE(Liste!$C$3,$B$2543,$B$2545),Data!$BO:$BO,0)-2,38)&lt;&gt;"","Performance Level: "&amp;INDEX(Tab_DaBa[],MATCH(CONCATENATE(Liste!$C$3,$B$2543,$B$2545),Data!$BO:$BO,0)-2,45),"")),"")</f>
        <v/>
      </c>
      <c r="G2558" s="39"/>
      <c r="H2558" s="35" t="str">
        <f ca="1">IFERROR(IF(AND(INDEX(Tab_DaBa[],MATCH(CONCATENATE(Liste!$C$3,$B$2543,$B$2545),Data!$BO:$BO,0)-2,43)&lt;&gt;"",INDEX(Tab_DaBa[],MATCH(CONCATENATE(Liste!$C$3,$B$2543,$B$2545),Data!$BO:$BO,0)-2,48)=""),"Performance Level: "&amp;INDEX(Tab_DaBa[],MATCH(CONCATENATE(Liste!$C$3,$B$2543,$B$2545),Data!$BO:$BO,0)-2,15),IF(INDEX(Tab_DaBa[],MATCH(CONCATENATE(Liste!$C$3,$B$2543,$B$2545),Data!$BO:$BO,0)-2,43)&lt;&gt;"","Performance Level: "&amp;INDEX(Tab_DaBa[],MATCH(CONCATENATE(Liste!$C$3,$B$2543,$B$2545),Data!$BO:$BO,0)-2,50),"")),"")</f>
        <v/>
      </c>
      <c r="I2558" s="39"/>
    </row>
    <row r="2559" spans="2:9" s="16" customFormat="1" ht="15.75">
      <c r="B2559" s="35" t="str">
        <f ca="1">IFERROR(IF(AND(INDEX(Tab_DaBa[],MATCH(CONCATENATE(Liste!$C$3,$B$2543,$B$2545),Data!$BO:$BO,0)-2,28)&lt;&gt;"",INDEX(Tab_DaBa[],MATCH(CONCATENATE(Liste!$C$3,$B$2543,$B$2545),Data!$BO:$BO,0)-2,33)=""),"PFH [1/h] = "&amp;10^9*INDEX(Tab_DaBa[],MATCH(CONCATENATE(Liste!$C$3,$B$2543,$B$2545),Data!$BO:$BO,0)-2,16)&amp;"E-9",IF(INDEX(Tab_DaBa[],MATCH(CONCATENATE(Liste!$C$3,$B$2543,$B$2545),Data!$BO:$BO,0)-2,28)&lt;&gt;"","PFH [1/h] = "&amp;10^9*INDEX(Tab_DaBa[],MATCH(CONCATENATE(Liste!$C$3,$B$2543,$B$2545),Data!$BO:$BO,0)-2,36)&amp;"E-9","")),"")</f>
        <v/>
      </c>
      <c r="C2559" s="39"/>
      <c r="D2559" s="35" t="str">
        <f ca="1">IFERROR(IF(AND(INDEX(Tab_DaBa[],MATCH(CONCATENATE(Liste!$C$3,$B$2543,$B$2545),Data!$BO:$BO,0)-2,33)&lt;&gt;"",INDEX(Tab_DaBa[],MATCH(CONCATENATE(Liste!$C$3,$B$2543,$B$2545),Data!$BO:$BO,0)-2,38)=""),"PFH [1/h] = "&amp;10^9*INDEX(Tab_DaBa[],MATCH(CONCATENATE(Liste!$C$3,$B$2543,$B$2545),Data!$BO:$BO,0)-2,16)&amp;"E-9",IF(INDEX(Tab_DaBa[],MATCH(CONCATENATE(Liste!$C$3,$B$2543,$B$2545),Data!$BO:$BO,0)-2,33)&lt;&gt;"","PFH [1/h] = "&amp;10^9*INDEX(Tab_DaBa[],MATCH(CONCATENATE(Liste!$C$3,$B$2543,$B$2545),Data!$BO:$BO,0)-2,41)&amp;"E-9","")),"")</f>
        <v/>
      </c>
      <c r="E2559" s="37"/>
      <c r="F2559" s="35" t="str">
        <f ca="1">IFERROR(IF(AND(INDEX(Tab_DaBa[],MATCH(CONCATENATE(Liste!$C$3,$B$2543,$B$2545),Data!$BO:$BO,0)-2,38)&lt;&gt;"",INDEX(Tab_DaBa[],MATCH(CONCATENATE(Liste!$C$3,$B$2543,$B$2545),Data!$BO:$BO,0)-2,43)=""),"PFH [1/h] = "&amp;10^9*INDEX(Tab_DaBa[],MATCH(CONCATENATE(Liste!$C$3,$B$2543,$B$2545),Data!$BO:$BO,0)-2,16)&amp;"E-9",IF(INDEX(Tab_DaBa[],MATCH(CONCATENATE(Liste!$C$3,$B$2543,$B$2545),Data!$BO:$BO,0)-2,38)&lt;&gt;"","PFH [1/h] = "&amp;10^9*INDEX(Tab_DaBa[],MATCH(CONCATENATE(Liste!$C$3,$B$2543,$B$2545),Data!$BO:$BO,0)-2,46)&amp;"E-9","")),"")</f>
        <v/>
      </c>
      <c r="G2559" s="39"/>
      <c r="H2559" s="35" t="str">
        <f ca="1">IFERROR(IF(AND(INDEX(Tab_DaBa[],MATCH(CONCATENATE(Liste!$C$3,$B$2543,$B$2545),Data!$BO:$BO,0)-2,43)&lt;&gt;"",INDEX(Tab_DaBa[],MATCH(CONCATENATE(Liste!$C$3,$B$2543,$B$2545),Data!$BO:$BO,0)-2,48)=""),"PFH [1/h] = "&amp;10^9*INDEX(Tab_DaBa[],MATCH(CONCATENATE(Liste!$C$3,$B$2543,$B$2545),Data!$BO:$BO,0)-2,16)&amp;"E-9",IF(INDEX(Tab_DaBa[],MATCH(CONCATENATE(Liste!$C$3,$B$2543,$B$2545),Data!$BO:$BO,0)-2,43)&lt;&gt;"","PFH [1/h] = "&amp;10^9*INDEX(Tab_DaBa[],MATCH(CONCATENATE(Liste!$C$3,$B$2543,$B$2545),Data!$BO:$BO,0)-2,51)&amp;"E-9","")),"")</f>
        <v/>
      </c>
      <c r="I2559" s="39"/>
    </row>
    <row r="2560" spans="2:9" s="16" customFormat="1">
      <c r="B2560" s="33"/>
      <c r="C2560" s="33"/>
      <c r="D2560" s="33"/>
      <c r="E2560" s="33"/>
      <c r="F2560" s="33"/>
      <c r="G2560" s="33"/>
      <c r="H2560" s="33"/>
      <c r="I2560" s="33"/>
    </row>
    <row r="2561" spans="2:9" s="16" customFormat="1" ht="15.75">
      <c r="B2561" s="38" t="str">
        <f ca="1">IF(B2563="","",6)</f>
        <v/>
      </c>
      <c r="C2561" s="33"/>
      <c r="D2561" s="38" t="str">
        <f ca="1">IF(B2563="","",3)</f>
        <v/>
      </c>
      <c r="E2561" s="33"/>
      <c r="F2561" s="38" t="str">
        <f ca="1">IF(B2563="","",3)</f>
        <v/>
      </c>
      <c r="G2561" s="33"/>
      <c r="H2561" s="38" t="str">
        <f ca="1">IF(B2563="","",3)</f>
        <v/>
      </c>
      <c r="I2561" s="33"/>
    </row>
    <row r="2562" spans="2:9" s="16" customFormat="1" ht="15.75">
      <c r="B2562" s="39"/>
      <c r="C2562" s="33"/>
      <c r="D2562" s="33"/>
      <c r="E2562" s="33"/>
      <c r="F2562" s="33"/>
      <c r="G2562" s="33"/>
      <c r="H2562" s="33"/>
      <c r="I2562" s="33"/>
    </row>
    <row r="2563" spans="2:9" s="16" customFormat="1" ht="15.75">
      <c r="B2563" s="35" t="str">
        <f ca="1">IFERROR(IF(AND(INDEX(Tab_DaBa[],MATCH(CONCATENATE(Liste!$C$3,$B$2543,$B$2545),Data!$BO:$BO,0)-2,48)&lt;&gt;"",INDEX(Tab_DaBa[],MATCH(CONCATENATE(Liste!$C$3,$B$2543,$B$2545),Data!$BO:$BO,0)-2,53)=0),INDEX(Tab_DaBa[],MATCH(CONCATENATE(Liste!$C$3,$B$2543,$B$2545),Data!$BO:$BO,0)-2,14),IF(INDEX(Tab_DaBa[],MATCH(CONCATENATE(Liste!$C$3,$B$2543,$B$2545),Data!$BO:$BO,0)-2,48)&lt;&gt;"",INDEX(Tab_DaBa[],MATCH(CONCATENATE(Liste!$C$3,$B$2543,$B$2545),Data!$BO:$BO,0)-2,54),"")),"")</f>
        <v/>
      </c>
      <c r="C2563" s="39"/>
      <c r="D2563" s="35" t="str">
        <f ca="1">IFERROR(IF(AND(INDEX(Tab_DaBa[],MATCH(CONCATENATE(Liste!$C$3,$B$2543,$B$2545),Data!$BO:$BO,0)-2,53)&lt;&gt;"",INDEX(Tab_DaBa[],MATCH(CONCATENATE(Liste!$C$3,$B$2543,$B$2545),Data!$BO:$BO,0)-2,58)=0),INDEX(Tab_DaBa[],MATCH(CONCATENATE(Liste!$C$3,$B$2543,$B$2545),Data!$BO:$BO,0)-2,14),IF(INDEX(Tab_DaBa[],MATCH(CONCATENATE(Liste!$C$3,$B$2543,$B$2545),Data!$BO:$BO,0)-2,53)&lt;&gt;"",INDEX(Tab_DaBa[],MATCH(CONCATENATE(Liste!$C$3,$B$2543,$B$2545),Data!$BO:$BO,0)-2,59),"")),"")</f>
        <v/>
      </c>
      <c r="E2563" s="33"/>
      <c r="F2563" s="35" t="str">
        <f ca="1">IFERROR(IF(AND(INDEX(Tab_DaBa[],MATCH(CONCATENATE(Liste!$C$3,$B$2543,$B$2545),Data!$BO:$BO,0)-2,58)&lt;&gt;"",INDEX(Tab_DaBa[],MATCH(CONCATENATE(Liste!$C$3,$B$2543,$B$2545),Data!$BO:$BO,0)-2,63)=0),INDEX(Tab_DaBa[],MATCH(CONCATENATE(Liste!$C$3,$B$2543,$B$2545),Data!$BO:$BO,0)-2,14),IF(INDEX(Tab_DaBa[],MATCH(CONCATENATE(Liste!$C$3,$B$2543,$B$2545),Data!$BO:$BO,0)-2,58)&lt;&gt;"",INDEX(Tab_DaBa[],MATCH(CONCATENATE(Liste!$C$3,$B$2543,$B$2545),Data!$BO:$BO,0)-2,64),"")),"")</f>
        <v/>
      </c>
      <c r="G2563" s="39"/>
      <c r="H2563" s="35" t="str">
        <f ca="1">IFERROR(IF(INDEX(Tab_DaBa[],MATCH(CONCATENATE(Liste!$C$3,$B$2543,$B$2545),Data!$BO:$BO,0)-2,63)&lt;&gt;"",INDEX(Tab_DaBa[],MATCH(CONCATENATE(Liste!$C$3,$B$2543,$B$2545),Data!$BO:$BO,0)-2,14),""),"")</f>
        <v/>
      </c>
    </row>
    <row r="2564" spans="2:9" s="16" customFormat="1" ht="15.75">
      <c r="B2564" s="35" t="str">
        <f ca="1">IFERROR(IF(AND(INDEX(Tab_DaBa[],MATCH(CONCATENATE(Liste!$C$3,$B$2543,$B$2545),Data!$BO:$BO,0)-2,48)&lt;&gt;"",INDEX(Tab_DaBa[],MATCH(CONCATENATE(Liste!$C$3,$B$2543,$B$2545),Data!$BO:$BO,0)-2,53)=0),INDEX(Tab_DaBa[],MATCH(CONCATENATE(Liste!$C$3,$B$2543,$B$2545),Data!$BO:$BO,0)-2,12),IF(INDEX(Tab_DaBa[],MATCH(CONCATENATE(Liste!$C$3,$B$2543,$B$2545),Data!$BO:$BO,0)-2,48)&lt;&gt;"",INDEX(Tab_DaBa[],MATCH(CONCATENATE(Liste!$C$3,$B$2543,$B$2545),Data!$BO:$BO,0)-2,52),"")),"")</f>
        <v/>
      </c>
      <c r="C2564" s="39"/>
      <c r="D2564" s="35" t="str">
        <f ca="1">IFERROR(IF(AND(INDEX(Tab_DaBa[],MATCH(CONCATENATE(Liste!$C$3,$B$2543,$B$2545),Data!$BO:$BO,0)-2,53)&lt;&gt;"",INDEX(Tab_DaBa[],MATCH(CONCATENATE(Liste!$C$3,$B$2543,$B$2545),Data!$BO:$BO,0)-2,58)=0),INDEX(Tab_DaBa[],MATCH(CONCATENATE(Liste!$C$3,$B$2543,$B$2545),Data!$BO:$BO,0)-2,12),IF(INDEX(Tab_DaBa[],MATCH(CONCATENATE(Liste!$C$3,$B$2543,$B$2545),Data!$BO:$BO,0)-2,53)&lt;&gt;"",INDEX(Tab_DaBa[],MATCH(CONCATENATE(Liste!$C$3,$B$2543,$B$2545),Data!$BO:$BO,0)-2,57),"")),"")</f>
        <v/>
      </c>
      <c r="E2564" s="37"/>
      <c r="F2564" s="35" t="str">
        <f ca="1">IFERROR(IF(AND(INDEX(Tab_DaBa[],MATCH(CONCATENATE(Liste!$C$3,$B$2543,$B$2545),Data!$BO:$BO,0)-2,58)&lt;&gt;"",INDEX(Tab_DaBa[],MATCH(CONCATENATE(Liste!$C$3,$B$2543,$B$2545),Data!$BO:$BO,0)-2,63)=0),INDEX(Tab_DaBa[],MATCH(CONCATENATE(Liste!$C$3,$B$2543,$B$2545),Data!$BO:$BO,0)-2,12),IF(INDEX(Tab_DaBa[],MATCH(CONCATENATE(Liste!$C$3,$B$2543,$B$2545),Data!$BO:$BO,0)-2,58)&lt;&gt;"",INDEX(Tab_DaBa[],MATCH(CONCATENATE(Liste!$C$3,$B$2543,$B$2545),Data!$BO:$BO,0)-2,62),"")),"")</f>
        <v/>
      </c>
      <c r="G2564" s="39"/>
      <c r="H2564" s="35" t="str">
        <f ca="1">IFERROR(IF(INDEX(Tab_DaBa[],MATCH(CONCATENATE(Liste!$C$3,$B$2543,$B$2545),Data!$BO:$BO,0)-2,63)&lt;&gt;"",INDEX(Tab_DaBa[],MATCH(CONCATENATE(Liste!$C$3,$B$2543,$B$2545),Data!$BO:$BO,0)-2,12),""),"")</f>
        <v/>
      </c>
    </row>
    <row r="2565" spans="2:9" s="16" customFormat="1" ht="15.75">
      <c r="B2565" s="35" t="str">
        <f ca="1">IFERROR(IF(AND(INDEX(Tab_DaBa[],MATCH(CONCATENATE(Liste!$C$3,$B$2543,$B$2545),Data!$BO:$BO,0)-2,48)&lt;&gt;"",INDEX(Tab_DaBa[],MATCH(CONCATENATE(Liste!$C$3,$B$2543,$B$2545),Data!$BO:$BO,0)-2,53)=""),INDEX(Tab_DaBa[],MATCH(CONCATENATE(Liste!$C$3,$B$2543,$B$2545),Data!$BO:$BO,0)-2,13),IF(INDEX(Tab_DaBa[],MATCH(CONCATENATE(Liste!$C$3,$B$2543,$B$2545),Data!$BO:$BO,0)-2,48)&lt;&gt;"",INDEX(Tab_DaBa[],MATCH(CONCATENATE(Liste!$C$3,$B$2543,$B$2545),Data!$BO:$BO,0)-2,53),"")),"")</f>
        <v/>
      </c>
      <c r="C2565" s="38" t="str">
        <f ca="1">IF(D2563="","",4)</f>
        <v/>
      </c>
      <c r="D2565" s="35" t="str">
        <f ca="1">IFERROR(IF(AND(INDEX(Tab_DaBa[],MATCH(CONCATENATE(Liste!$C$3,$B$2543,$B$2545),Data!$BO:$BO,0)-2,53)&lt;&gt;"",INDEX(Tab_DaBa[],MATCH(CONCATENATE(Liste!$C$3,$B$2543,$B$2545),Data!$BO:$BO,0)-2,58)=""),INDEX(Tab_DaBa[],MATCH(CONCATENATE(Liste!$C$3,$B$2543,$B$2545),Data!$BO:$BO,0)-2,13),IF(INDEX(Tab_DaBa[],MATCH(CONCATENATE(Liste!$C$3,$B$2543,$B$2545),Data!$BO:$BO,0)-2,53)&lt;&gt;"",INDEX(Tab_DaBa[],MATCH(CONCATENATE(Liste!$C$3,$B$2543,$B$2545),Data!$BO:$BO,0)-2,58),"")),"")</f>
        <v/>
      </c>
      <c r="E2565" s="38" t="str">
        <f ca="1">IF(F2563="","",4)</f>
        <v/>
      </c>
      <c r="F2565" s="35" t="str">
        <f ca="1">IFERROR(IF(AND(INDEX(Tab_DaBa[],MATCH(CONCATENATE(Liste!$C$3,$B$2543,$B$2545),Data!$BO:$BO,0)-2,58)&lt;&gt;"",INDEX(Tab_DaBa[],MATCH(CONCATENATE(Liste!$C$3,$B$2543,$B$2545),Data!$BO:$BO,0)-2,63)=""),INDEX(Tab_DaBa[],MATCH(CONCATENATE(Liste!$C$3,$B$2543,$B$2545),Data!$BO:$BO,0)-2,13),IF(INDEX(Tab_DaBa[],MATCH(CONCATENATE(Liste!$C$3,$B$2543,$B$2545),Data!$BO:$BO,0)-2,58)&lt;&gt;"",INDEX(Tab_DaBa[],MATCH(CONCATENATE(Liste!$C$3,$B$2543,$B$2545),Data!$BO:$BO,0)-2,63),"")),"")</f>
        <v/>
      </c>
      <c r="G2565" s="38" t="str">
        <f ca="1">IF(H2563="","",4)</f>
        <v/>
      </c>
      <c r="H2565" s="35" t="str">
        <f ca="1">IFERROR(IF(INDEX(Tab_DaBa[],MATCH(CONCATENATE(Liste!$C$3,$B$2543,$B$2545),Data!$BO:$BO,0)-2,63)&lt;&gt;"",INDEX(Tab_DaBa[],MATCH(CONCATENATE(Liste!$C$3,$B$2543,$B$2545),Data!$BO:$BO,0)-2,13),""),"")</f>
        <v/>
      </c>
    </row>
    <row r="2566" spans="2:9" s="16" customFormat="1" ht="15.75">
      <c r="B2566" s="35" t="str">
        <f ca="1">IFERROR(IF(AND(INDEX(Tab_DaBa[],MATCH(CONCATENATE(Liste!$C$3,$B$2543,$B$2545),Data!$BO:$BO,0)-2,48)&lt;&gt;"",INDEX(Tab_DaBa[],MATCH(CONCATENATE(Liste!$C$3,$B$2543,$B$2545),Data!$BO:$BO,0)-2,53)=""),"Performance Level: "&amp;INDEX(Tab_DaBa[],MATCH(CONCATENATE(Liste!$C$3,$B$2543,$B$2545),Data!$BO:$BO,0)-2,15),IF(INDEX(Tab_DaBa[],MATCH(CONCATENATE(Liste!$C$3,$B$2543,$B$2545),Data!$BO:$BO,0)-2,48)&lt;&gt;"","Performance Level: "&amp;INDEX(Tab_DaBa[],MATCH(CONCATENATE(Liste!$C$3,$B$2543,$B$2545),Data!$BO:$BO,0)-2,55),"")),"")</f>
        <v/>
      </c>
      <c r="C2566" s="39"/>
      <c r="D2566" s="35" t="str">
        <f ca="1">IFERROR(IF(AND(INDEX(Tab_DaBa[],MATCH(CONCATENATE(Liste!$C$3,$B$2543,$B$2545),Data!$BO:$BO,0)-2,53)&lt;&gt;"",INDEX(Tab_DaBa[],MATCH(CONCATENATE(Liste!$C$3,$B$2543,$B$2545),Data!$BO:$BO,0)-2,58)=""),"Performance Level: "&amp;INDEX(Tab_DaBa[],MATCH(CONCATENATE(Liste!$C$3,$B$2543,$B$2545),Data!$BO:$BO,0)-2,15),IF(INDEX(Tab_DaBa[],MATCH(CONCATENATE(Liste!$C$3,$B$2543,$B$2545),Data!$BO:$BO,0)-2,53)&lt;&gt;"","Performance Level: "&amp;INDEX(Tab_DaBa[],MATCH(CONCATENATE(Liste!$C$3,$B$2543,$B$2545),Data!$BO:$BO,0)-2,60),"")),"")</f>
        <v/>
      </c>
      <c r="E2566" s="37"/>
      <c r="F2566" s="35" t="str">
        <f ca="1">IFERROR(IF(AND(INDEX(Tab_DaBa[],MATCH(CONCATENATE(Liste!$C$3,$B$2543,$B$2545),Data!$BO:$BO,0)-2,58)&lt;&gt;"",INDEX(Tab_DaBa[],MATCH(CONCATENATE(Liste!$C$3,$B$2543,$B$2545),Data!$BO:$BO,0)-2,63)=""),"Performance Level: "&amp;INDEX(Tab_DaBa[],MATCH(CONCATENATE(Liste!$C$3,$B$2543,$B$2545),Data!$BO:$BO,0)-2,15),IF(INDEX(Tab_DaBa[],MATCH(CONCATENATE(Liste!$C$3,$B$2543,$B$2545),Data!$BO:$BO,0)-2,58)&lt;&gt;"","Performance Level: "&amp;INDEX(Tab_DaBa[],MATCH(CONCATENATE(Liste!$C$3,$B$2543,$B$2545),Data!$BO:$BO,0)-2,65),"")),"")</f>
        <v/>
      </c>
      <c r="G2566" s="39"/>
      <c r="H2566" s="35" t="str">
        <f ca="1">IFERROR(IF(INDEX(Tab_DaBa[],MATCH(CONCATENATE(Liste!$C$3,$B$2543,$B$2545),Data!$BO:$BO,0)-2,63)&lt;&gt;"","Performance Level: "&amp;INDEX(Tab_DaBa[],MATCH(CONCATENATE(Liste!$C$3,$B$2543,$B$2545),Data!$BO:$BO,0)-2,15),""),"")</f>
        <v/>
      </c>
    </row>
    <row r="2567" spans="2:9" s="16" customFormat="1" ht="15.75">
      <c r="B2567" s="35" t="str">
        <f ca="1">IFERROR(IF(AND(INDEX(Tab_DaBa[],MATCH(CONCATENATE(Liste!$C$3,$B$2543,$B$2545),Data!$BO:$BO,0)-2,48)&lt;&gt;"",INDEX(Tab_DaBa[],MATCH(CONCATENATE(Liste!$C$3,$B$2543,$B$2545),Data!$BO:$BO,0)-2,53)=""),"PFH [1/h] = "&amp;10^9*INDEX(Tab_DaBa[],MATCH(CONCATENATE(Liste!$C$3,$B$2543,$B$2545),Data!$BO:$BO,0)-2,16)&amp;"E-9",IF(INDEX(Tab_DaBa[],MATCH(CONCATENATE(Liste!$C$3,$B$2543,$B$2545),Data!$BO:$BO,0)-2,48)&lt;&gt;"","PFH [1/h] = "&amp;10^9*INDEX(Tab_DaBa[],MATCH(CONCATENATE(Liste!$C$3,$B$2543,$B$2545),Data!$BO:$BO,0)-2,56)&amp;"E-9","")),"")</f>
        <v/>
      </c>
      <c r="C2567" s="39"/>
      <c r="D2567" s="35" t="str">
        <f ca="1">IFERROR(IF(AND(INDEX(Tab_DaBa[],MATCH(CONCATENATE(Liste!$C$3,$B$2543,$B$2545),Data!$BO:$BO,0)-2,53)&lt;&gt;"",INDEX(Tab_DaBa[],MATCH(CONCATENATE(Liste!$C$3,$B$2543,$B$2545),Data!$BO:$BO,0)-2,58)=""),"PFH [1/h] = "&amp;10^9*INDEX(Tab_DaBa[],MATCH(CONCATENATE(Liste!$C$3,$B$2543,$B$2545),Data!$BO:$BO,0)-2,16)&amp;"E-9",IF(INDEX(Tab_DaBa[],MATCH(CONCATENATE(Liste!$C$3,$B$2543,$B$2545),Data!$BO:$BO,0)-2,53)&lt;&gt;"","PFH [1/h] = "&amp;10^9*INDEX(Tab_DaBa[],MATCH(CONCATENATE(Liste!$C$3,$B$2543,$B$2545),Data!$BO:$BO,0)-2,61)&amp;"E-9","")),"")</f>
        <v/>
      </c>
      <c r="E2567" s="37"/>
      <c r="F2567" s="35" t="str">
        <f ca="1">IFERROR(IF(AND(INDEX(Tab_DaBa[],MATCH(CONCATENATE(Liste!$C$3,$B$2543,$B$2545),Data!$BO:$BO,0)-2,58)&lt;&gt;"",INDEX(Tab_DaBa[],MATCH(CONCATENATE(Liste!$C$3,$B$2543,$B$2545),Data!$BO:$BO,0)-2,63)=""),"PFH [1/h] = "&amp;10^9*INDEX(Tab_DaBa[],MATCH(CONCATENATE(Liste!$C$3,$B$2543,$B$2545),Data!$BO:$BO,0)-2,16)&amp;"E-9",IF(INDEX(Tab_DaBa[],MATCH(CONCATENATE(Liste!$C$3,$B$2543,$B$2545),Data!$BO:$BO,0)-2,58)&lt;&gt;"","PFH [1/h] = "&amp;10^9*INDEX(Tab_DaBa[],MATCH(CONCATENATE(Liste!$C$3,$B$2543,$B$2545),Data!$BO:$BO,0)-2,66)&amp;"E-9","")),"")</f>
        <v/>
      </c>
      <c r="G2567" s="39"/>
      <c r="H2567" s="35" t="str">
        <f ca="1">IFERROR(IF(INDEX(Tab_DaBa[],MATCH(CONCATENATE(Liste!$C$3,$B$2543,$B$2545),Data!$BO:$BO,0)-2,63)&lt;&gt;"","PFH [1/h] = "&amp;10^9*INDEX(Tab_DaBa[],MATCH(CONCATENATE(Liste!$C$3,$B$2543,$B$2545),Data!$BO:$BO,0)-2,16)&amp;"E-9",""),"")</f>
        <v/>
      </c>
    </row>
    <row r="2568" spans="2:9" s="16" customFormat="1"/>
    <row r="2569" spans="2:9" s="16" customFormat="1">
      <c r="B2569" s="43" t="str">
        <f ca="1">IF(D2569="","","Erforderlich")</f>
        <v>Erforderlich</v>
      </c>
      <c r="D2569" s="44" t="str">
        <f ca="1">IFERROR("Performance Level: "&amp;INDEX(Tab_DaBa[],MATCH(CONCATENATE(Liste!$C$3,$B$2543,$B$2545),Data!$BO:$BO,0)-2,4),"")</f>
        <v>Performance Level: PLr_ges4_1</v>
      </c>
    </row>
    <row r="2570" spans="2:9" s="16" customFormat="1">
      <c r="B2570" s="45"/>
    </row>
    <row r="2571" spans="2:9" s="16" customFormat="1">
      <c r="B2571" s="46" t="str">
        <f ca="1">IF(D2571="","","Erreicht")</f>
        <v>Erreicht</v>
      </c>
      <c r="D2571" s="47" t="str">
        <f ca="1">IFERROR("Performance Level: "&amp;INDEX(Tab_DaBa[],MATCH(CONCATENATE(Liste!$C$3,$B$2543,$B$2545),Data!$BO:$BO,0)-2,5)&amp;"          PFH [1/h] = "&amp;10^9*INDEX(Tab_DaBa[],MATCH(CONCATENATE(Liste!$C$3,$B$2543,$B$2545),Data!$BO:$BO,0)-2,6)&amp;"E-9","")</f>
        <v>Performance Level: Pl_ges4_1          PFH [1/h] = 71,7E-9</v>
      </c>
    </row>
    <row r="2572" spans="2:9" s="16" customFormat="1"/>
    <row r="2573" spans="2:9" s="16" customFormat="1">
      <c r="B2573" s="42" t="str">
        <f ca="1">IFERROR(IF(2&gt;COUNTIF(Data!$BP:$BP,CONCATENATE(Liste!$C$3,$B$2543)),"",INDEX(Tab_DaBa[],MATCH(CONCATENATE(Liste!$C$3,$B$2543),Data!$BP:$BP,0)-1,3)),"")</f>
        <v>10.2 Test10 (E+2L+A)</v>
      </c>
    </row>
    <row r="2574" spans="2:9" s="16" customFormat="1"/>
    <row r="2575" spans="2:9" s="16" customFormat="1" ht="15.75">
      <c r="B2575" s="35" t="str">
        <f ca="1">IFERROR(INDEX(Tab_DaBa[],MATCH(CONCATENATE(Liste!$C$3,$B$2543,$B$2573),Data!$BO:$BO,0)-2,9),"")</f>
        <v>Eingang</v>
      </c>
      <c r="C2575" s="54"/>
      <c r="D2575" s="35" t="str">
        <f ca="1">IFERROR(IF(INDEX(Tab_DaBa[],MATCH(CONCATENATE(Liste!$C$3,$B$2543,$B$2573),Data!$BO:$BO,0)-2,18)=0,INDEX(Tab_DaBa[],MATCH(CONCATENATE(Liste!$C$3,$B$2543,$B$2573),Data!$BO:$BO,0)-2,14),INDEX(Tab_DaBa[],MATCH(CONCATENATE(Liste!$C$3,$B$2543,$B$2573),Data!$BO:$BO,0)-2,19)),"")</f>
        <v>Logik 01</v>
      </c>
      <c r="E2575" s="33"/>
      <c r="F2575" s="35" t="str">
        <f ca="1">IFERROR(IF(AND(INDEX(Tab_DaBa[],MATCH(CONCATENATE(Liste!$C$3,$B$2543,$B$2573),Data!$BO:$BO,0)-2,18)&lt;&gt;"",INDEX(Tab_DaBa[],MATCH(CONCATENATE(Liste!$C$3,$B$2543,$B$2573),Data!$BO:$BO,0)-2,23)=0),INDEX(Tab_DaBa[],MATCH(CONCATENATE(Liste!$C$3,$B$2543,$B$2573),Data!$BO:$BO,0)-2,14),IF(INDEX(Tab_DaBa[],MATCH(CONCATENATE(Liste!$C$3,$B$2543,$B$2573),Data!$BO:$BO,0)-2,23)&lt;&gt;"",INDEX(Tab_DaBa[],MATCH(CONCATENATE(Liste!$C$3,$B$2543,$B$2573),Data!$BO:$BO,0)-2,24),"")),"")</f>
        <v>Logik 02</v>
      </c>
      <c r="G2575" s="39"/>
      <c r="H2575" s="35" t="str">
        <f ca="1">IFERROR(IF(AND(INDEX(Tab_DaBa[],MATCH(CONCATENATE(Liste!$C$3,$B$2543,$B$2573),Data!$BO:$BO,0)-2,23)&lt;&gt;"",INDEX(Tab_DaBa[],MATCH(CONCATENATE(Liste!$C$3,$B$2543,$B$2573),Data!$BO:$BO,0)-2,28)=0),INDEX(Tab_DaBa[],MATCH(CONCATENATE(Liste!$C$3,$B$2543,$B$2573),Data!$BO:$BO,0)-2,14),IF(INDEX(Tab_DaBa[],MATCH(CONCATENATE(Liste!$C$3,$B$2543,$B$2573),Data!$BO:$BO,0)-2,23)&lt;&gt;"",INDEX(Tab_DaBa[],MATCH(CONCATENATE(Liste!$C$3,$B$2543,$B$2573),Data!$BO:$BO,0)-2,29),"")),"")</f>
        <v>Ausgang</v>
      </c>
      <c r="I2575" s="39"/>
    </row>
    <row r="2576" spans="2:9" s="16" customFormat="1" ht="15.75">
      <c r="B2576" s="35" t="str">
        <f ca="1">IFERROR(INDEX(Tab_DaBa[],MATCH(CONCATENATE(Liste!$C$3,$B$2543,$B$2573),Data!$BO:$BO,0)-2,7),"")</f>
        <v>eeee-33_2</v>
      </c>
      <c r="C2576" s="54"/>
      <c r="D2576" s="35" t="str">
        <f ca="1">IFERROR(IF(INDEX(Tab_DaBa[],MATCH(CONCATENATE(Liste!$C$3,$B$2543,$B$2573),Data!$BO:$BO,0)-2,18)="",INDEX(Tab_DaBa[],MATCH(CONCATENATE(Liste!$C$3,$B$2543,$B$2573),Data!$BO:$BO,0)-2,12),INDEX(Tab_DaBa[],MATCH(CONCATENATE(Liste!$C$3,$B$2543,$B$2573),Data!$BO:$BO,0)-2,17)),"")</f>
        <v>Log01-04_02</v>
      </c>
      <c r="E2576" s="36"/>
      <c r="F2576" s="35" t="str">
        <f ca="1">IFERROR(IF(AND(INDEX(Tab_DaBa[],MATCH(CONCATENATE(Liste!$C$3,$B$2543,$B$2573),Data!$BO:$BO,0)-2,18)&lt;&gt;"",INDEX(Tab_DaBa[],MATCH(CONCATENATE(Liste!$C$3,$B$2543,$B$2573),Data!$BO:$BO,0)-2,23)=0),INDEX(Tab_DaBa[],MATCH(CONCATENATE(Liste!$C$3,$B$2543,$B$2573),Data!$BO:$BO,0)-2,12),IF(INDEX(Tab_DaBa[],MATCH(CONCATENATE(Liste!$C$3,$B$2543,$B$2573),Data!$BO:$BO,0)-2,23)&lt;&gt;"",INDEX(Tab_DaBa[],MATCH(CONCATENATE(Liste!$C$3,$B$2543,$B$2573),Data!$BO:$BO,0)-2,22),"")),"")</f>
        <v>Lo04-04_02</v>
      </c>
      <c r="G2576" s="39"/>
      <c r="H2576" s="35" t="str">
        <f ca="1">IFERROR(IF(AND(INDEX(Tab_DaBa[],MATCH(CONCATENATE(Liste!$C$3,$B$2543,$B$2573),Data!$BO:$BO,0)-2,23)&lt;&gt;"",INDEX(Tab_DaBa[],MATCH(CONCATENATE(Liste!$C$3,$B$2543,$B$2573),Data!$BO:$BO,0)-2,28)=0),INDEX(Tab_DaBa[],MATCH(CONCATENATE(Liste!$C$3,$B$2543,$B$2573),Data!$BO:$BO,0)-2,12),IF(INDEX(Tab_DaBa[],MATCH(CONCATENATE(Liste!$C$3,$B$2543,$B$2573),Data!$BO:$BO,0)-2,23)&lt;&gt;"",INDEX(Tab_DaBa[],MATCH(CONCATENATE(Liste!$C$3,$B$2543,$B$2573),Data!$BO:$BO,0)-2,27),"")),"")</f>
        <v>aaaa-44_2</v>
      </c>
      <c r="I2576" s="39"/>
    </row>
    <row r="2577" spans="2:9" s="16" customFormat="1" ht="15.75">
      <c r="B2577" s="35" t="str">
        <f ca="1">IFERROR(INDEX(Tab_DaBa[],MATCH(CONCATENATE(Liste!$C$3,$B$2543,$B$2573),Data!$BO:$BO,0)-2,8),"")</f>
        <v>Bez_Ein4_2</v>
      </c>
      <c r="C2577" s="40">
        <f ca="1">IF(D2575="","",4)</f>
        <v>4</v>
      </c>
      <c r="D2577" s="35" t="str">
        <f ca="1">IFERROR(IF(INDEX(Tab_DaBa[],MATCH(CONCATENATE(Liste!$C$3,$B$2543,$B$2573),Data!$BO:$BO,0)-2,18)="",INDEX(Tab_DaBa[],MATCH(CONCATENATE(Liste!$C$3,$B$2543,$B$2573),Data!$BO:$BO,0)-2,13),INDEX(Tab_DaBa[],MATCH(CONCATENATE(Liste!$C$3,$B$2543,$B$2573),Data!$BO:$BO,0)-2,18)),"")</f>
        <v>Bez_Log01_04_02</v>
      </c>
      <c r="E2577" s="40">
        <f ca="1">IF(F2575="","",4)</f>
        <v>4</v>
      </c>
      <c r="F2577" s="35" t="str">
        <f ca="1">IFERROR(IF(AND(INDEX(Tab_DaBa[],MATCH(CONCATENATE(Liste!$C$3,$B$2543,$B$2573),Data!$BO:$BO,0)-2,18)&lt;&gt;"",INDEX(Tab_DaBa[],MATCH(CONCATENATE(Liste!$C$3,$B$2543,$B$2573),Data!$BO:$BO,0)-2,23)=""),INDEX(Tab_DaBa[],MATCH(CONCATENATE(Liste!$C$3,$B$2543,$B$2573),Data!$BO:$BO,0)-2,13),IF(INDEX(Tab_DaBa[],MATCH(CONCATENATE(Liste!$C$3,$B$2543,$B$2573),Data!$BO:$BO,0)-2,23)&lt;&gt;"",INDEX(Tab_DaBa[],MATCH(CONCATENATE(Liste!$C$3,$B$2543,$B$2573),Data!$BO:$BO,0)-2,23),"")),"")</f>
        <v>Bez_Lo04_02</v>
      </c>
      <c r="G2577" s="38">
        <f ca="1">IF(H2575="","",4)</f>
        <v>4</v>
      </c>
      <c r="H2577" s="35" t="str">
        <f ca="1">IFERROR(IF(AND(INDEX(Tab_DaBa[],MATCH(CONCATENATE(Liste!$C$3,$B$2543,$B$2573),Data!$BO:$BO,0)-2,23)&lt;&gt;"",INDEX(Tab_DaBa[],MATCH(CONCATENATE(Liste!$C$3,$B$2543,$B$2573),Data!$BO:$BO,0)-2,28)=""),INDEX(Tab_DaBa[],MATCH(CONCATENATE(Liste!$C$3,$B$2543,$B$2573),Data!$BO:$BO,0)-2,13),IF(INDEX(Tab_DaBa[],MATCH(CONCATENATE(Liste!$C$3,$B$2543,$B$2573),Data!$BO:$BO,0)-2,23)&lt;&gt;"",INDEX(Tab_DaBa[],MATCH(CONCATENATE(Liste!$C$3,$B$2543,$B$2573),Data!$BO:$BO,0)-2,28),"")),"")</f>
        <v>Bez_Aus4_2</v>
      </c>
      <c r="I2577" s="38" t="str">
        <f ca="1">IF(B2583="","",6)</f>
        <v/>
      </c>
    </row>
    <row r="2578" spans="2:9" s="16" customFormat="1" ht="15.75">
      <c r="B2578" s="35" t="str">
        <f ca="1">IFERROR("Performance Level: "&amp;INDEX(Tab_DaBa[],MATCH(CONCATENATE(Liste!$C$3,$B$2543,$B$2573),Data!$BO:$BO,0)-2,10),"")</f>
        <v>Performance Level: PL_Ein4_2</v>
      </c>
      <c r="C2578" s="54"/>
      <c r="D2578" s="35" t="str">
        <f ca="1">IFERROR(IF(INDEX(Tab_DaBa[],MATCH(CONCATENATE(Liste!$C$3,$B$2543,$B$2573),Data!$BO:$BO,0)-2,18)="","Performance Level: "&amp;INDEX(Tab_DaBa[],MATCH(CONCATENATE(Liste!$C$3,$B$2543,$B$2573),Data!$BO:$BO,0)-2,15),"Performance Level: "&amp;INDEX(Tab_DaBa[],MATCH(CONCATENATE(Liste!$C$3,$B$2543,$B$2573),Data!$BO:$BO,0)-2,20)),"")</f>
        <v>Performance Level: PL_Log01_04_02</v>
      </c>
      <c r="E2578" s="36"/>
      <c r="F2578" s="35" t="str">
        <f ca="1">IFERROR(IF(AND(INDEX(Tab_DaBa[],MATCH(CONCATENATE(Liste!$C$3,$B$2543,$B$2573),Data!$BO:$BO,0)-2,18)&lt;&gt;"",INDEX(Tab_DaBa[],MATCH(CONCATENATE(Liste!$C$3,$B$2543,$B$2573),Data!$BO:$BO,0)-2,23)=""),"Performance Level: "&amp;INDEX(Tab_DaBa[],MATCH(CONCATENATE(Liste!$C$3,$B$2543,$B$2573),Data!$BO:$BO,0)-2,15),IF(INDEX(Tab_DaBa[],MATCH(CONCATENATE(Liste!$C$3,$B$2543,$B$2573),Data!$BO:$BO,0)-2,23)&lt;&gt;"","Performance Level: "&amp;INDEX(Tab_DaBa[],MATCH(CONCATENATE(Liste!$C$3,$B$2543,$B$2573),Data!$BO:$BO,0)-2,25),"")),"")</f>
        <v>Performance Level: PL_Lo04_02</v>
      </c>
      <c r="G2578" s="39"/>
      <c r="H2578" s="35" t="str">
        <f ca="1">IFERROR(IF(AND(INDEX(Tab_DaBa[],MATCH(CONCATENATE(Liste!$C$3,$B$2543,$B$2573),Data!$BO:$BO,0)-2,23)&lt;&gt;"",INDEX(Tab_DaBa[],MATCH(CONCATENATE(Liste!$C$3,$B$2543,$B$2573),Data!$BO:$BO,0)-2,28)=""),"Performance Level: "&amp;INDEX(Tab_DaBa[],MATCH(CONCATENATE(Liste!$C$3,$B$2543,$B$2573),Data!$BO:$BO,0)-2,15),IF(INDEX(Tab_DaBa[],MATCH(CONCATENATE(Liste!$C$3,$B$2543,$B$2573),Data!$BO:$BO,0)-2,23)&lt;&gt;"","Performance Level: "&amp;INDEX(Tab_DaBa[],MATCH(CONCATENATE(Liste!$C$3,$B$2543,$B$2573),Data!$BO:$BO,0)-2,30),"")),"")</f>
        <v>Performance Level: PL_Aus4_2</v>
      </c>
      <c r="I2578" s="38"/>
    </row>
    <row r="2579" spans="2:9" s="16" customFormat="1" ht="15.75">
      <c r="B2579" s="53" t="str">
        <f ca="1">IFERROR("PFH [1/h] = "&amp;10^9*INDEX(Tab_DaBa[],MATCH(CONCATENATE(Liste!$C$3,$B$2543,$B$2573),Data!$BO:$BO,0)-2,11)&amp;"E-9","")</f>
        <v>PFH [1/h] = 42,9E-9</v>
      </c>
      <c r="C2579" s="54"/>
      <c r="D2579" s="35" t="str">
        <f ca="1">IFERROR(IF(INDEX(Tab_DaBa[],MATCH(CONCATENATE(Liste!$C$3,$B$2543,$B$2573),Data!$BO:$BO,0)-2,18)="","PFH [1/h] = "&amp;10^9*INDEX(Tab_DaBa[],MATCH(CONCATENATE(Liste!$C$3,$B$2543,$B$2573),Data!$BO:$BO,0)-2,16)&amp;"E-9","PFH [1/h] = "&amp;10^9*INDEX(Tab_DaBa[],MATCH(CONCATENATE(Liste!$C$3,$B$2543,$B$2573),Data!$BO:$BO,0)-2,21)&amp;"E-9"),"")</f>
        <v>PFH [1/h] = 4,19E-9</v>
      </c>
      <c r="E2579" s="36"/>
      <c r="F2579" s="35" t="str">
        <f ca="1">IFERROR(IF(AND(INDEX(Tab_DaBa[],MATCH(CONCATENATE(Liste!$C$3,$B$2543,$B$2573),Data!$BO:$BO,0)-2,18)&lt;&gt;"",INDEX(Tab_DaBa[],MATCH(CONCATENATE(Liste!$C$3,$B$2543,$B$2573),Data!$BO:$BO,0)-2,23)=""),"PFH [1/h] = "&amp;10^9*INDEX(Tab_DaBa[],MATCH(CONCATENATE(Liste!$C$3,$B$2543,$B$2573),Data!$BO:$BO,0)-2,16)&amp;"E-9",IF(INDEX(Tab_DaBa[],MATCH(CONCATENATE(Liste!$C$3,$B$2543,$B$2573),Data!$BO:$BO,0)-2,23)&lt;&gt;"","PFH [1/h] = "&amp;10^9*INDEX(Tab_DaBa[],MATCH(CONCATENATE(Liste!$C$3,$B$2543,$B$2573),Data!$BO:$BO,0)-2,26)&amp;"E-9","")),"")</f>
        <v>PFH [1/h] = 4,19E-9</v>
      </c>
      <c r="G2579" s="39"/>
      <c r="H2579" s="35" t="str">
        <f ca="1">IFERROR(IF(AND(INDEX(Tab_DaBa[],MATCH(CONCATENATE(Liste!$C$3,$B$2543,$B$2573),Data!$BO:$BO,0)-2,23)&lt;&gt;"",INDEX(Tab_DaBa[],MATCH(CONCATENATE(Liste!$C$3,$B$2543,$B$2573),Data!$BO:$BO,0)-2,28)=""),"PFH [1/h] = "&amp;10^9*INDEX(Tab_DaBa[],MATCH(CONCATENATE(Liste!$C$3,$B$2543,$B$2573),Data!$BO:$BO,0)-2,16)&amp;"E-9",IF(INDEX(Tab_DaBa[],MATCH(CONCATENATE(Liste!$C$3,$B$2543,$B$2573),Data!$BO:$BO,0)-2,23)&lt;&gt;"","PFH [1/h] = "&amp;10^9*INDEX(Tab_DaBa[],MATCH(CONCATENATE(Liste!$C$3,$B$2543,$B$2573),Data!$BO:$BO,0)-2,31)&amp;"E-9","")),"")</f>
        <v>PFH [1/h] = 24,7E-9</v>
      </c>
      <c r="I2579" s="39"/>
    </row>
    <row r="2580" spans="2:9" s="16" customFormat="1">
      <c r="B2580" s="33"/>
      <c r="C2580" s="34"/>
      <c r="D2580" s="33"/>
      <c r="E2580" s="33"/>
      <c r="F2580" s="33"/>
      <c r="G2580" s="33"/>
      <c r="H2580" s="33"/>
      <c r="I2580" s="33"/>
    </row>
    <row r="2581" spans="2:9" s="16" customFormat="1" ht="15.75">
      <c r="B2581" s="38" t="str">
        <f ca="1">IF(B2583="","",6)</f>
        <v/>
      </c>
      <c r="C2581" s="34"/>
      <c r="D2581" s="38" t="str">
        <f ca="1">IF(B2583="","",3)</f>
        <v/>
      </c>
      <c r="E2581" s="33"/>
      <c r="F2581" s="38" t="str">
        <f ca="1">IF(B2583="","",3)</f>
        <v/>
      </c>
      <c r="G2581" s="33"/>
      <c r="H2581" s="38" t="str">
        <f ca="1">IF(B2583="","",3)</f>
        <v/>
      </c>
      <c r="I2581" s="33"/>
    </row>
    <row r="2582" spans="2:9" s="16" customFormat="1" ht="15.75">
      <c r="B2582" s="39"/>
      <c r="C2582" s="33"/>
      <c r="D2582" s="33"/>
      <c r="E2582" s="33"/>
      <c r="F2582" s="33"/>
      <c r="G2582" s="33"/>
      <c r="H2582" s="33"/>
      <c r="I2582" s="33"/>
    </row>
    <row r="2583" spans="2:9" s="16" customFormat="1" ht="15.75">
      <c r="B2583" s="35" t="str">
        <f ca="1">IFERROR(IF(AND(INDEX(Tab_DaBa[],MATCH(CONCATENATE(Liste!$C$3,$B$2543,$B$2573),Data!$BO:$BO,0)-2,28)&lt;&gt;"",INDEX(Tab_DaBa[],MATCH(CONCATENATE(Liste!$C$3,$B$2543,$B$2573),Data!$BO:$BO,0)-2,33)=0),INDEX(Tab_DaBa[],MATCH(CONCATENATE(Liste!$C$3,$B$2543,$B$2573),Data!$BO:$BO,0)-2,14),IF(INDEX(Tab_DaBa[],MATCH(CONCATENATE(Liste!$C$3,$B$2543,$B$2573),Data!$BO:$BO,0)-2,28)&lt;&gt;"",INDEX(Tab_DaBa[],MATCH(CONCATENATE(Liste!$C$3,$B$2543,$B$2573),Data!$BO:$BO,0)-2,34),"")),"")</f>
        <v/>
      </c>
      <c r="C2583" s="39"/>
      <c r="D2583" s="35" t="str">
        <f ca="1">IFERROR(IF(AND(INDEX(Tab_DaBa[],MATCH(CONCATENATE(Liste!$C$3,$B$2543,$B$2573),Data!$BO:$BO,0)-2,33)&lt;&gt;"",INDEX(Tab_DaBa[],MATCH(CONCATENATE(Liste!$C$3,$B$2543,$B$2573),Data!$BO:$BO,0)-2,38)=0),INDEX(Tab_DaBa[],MATCH(CONCATENATE(Liste!$C$3,$B$2543,$B$2573),Data!$BO:$BO,0)-2,14),IF(INDEX(Tab_DaBa[],MATCH(CONCATENATE(Liste!$C$3,$B$2543,$B$2573),Data!$BO:$BO,0)-2,33)&lt;&gt;"",INDEX(Tab_DaBa[],MATCH(CONCATENATE(Liste!$C$3,$B$2543,$B$2573),Data!$BO:$BO,0)-2,39),"")),"")</f>
        <v/>
      </c>
      <c r="E2583" s="33"/>
      <c r="F2583" s="35" t="str">
        <f ca="1">IFERROR(IF(AND(INDEX(Tab_DaBa[],MATCH(CONCATENATE(Liste!$C$3,$B$2543,$B$2573),Data!$BO:$BO,0)-2,38)&lt;&gt;"",INDEX(Tab_DaBa[],MATCH(CONCATENATE(Liste!$C$3,$B$2543,$B$2573),Data!$BO:$BO,0)-2,43)=0),INDEX(Tab_DaBa[],MATCH(CONCATENATE(Liste!$C$3,$B$2543,$B$2573),Data!$BO:$BO,0)-2,14),IF(INDEX(Tab_DaBa[],MATCH(CONCATENATE(Liste!$C$3,$B$2543,$B$2573),Data!$BO:$BO,0)-2,38)&lt;&gt;"",INDEX(Tab_DaBa[],MATCH(CONCATENATE(Liste!$C$3,$B$2543,$B$2573),Data!$BO:$BO,0)-2,44),"")),"")</f>
        <v/>
      </c>
      <c r="G2583" s="39"/>
      <c r="H2583" s="35" t="str">
        <f ca="1">IFERROR(IF(AND(INDEX(Tab_DaBa[],MATCH(CONCATENATE(Liste!$C$3,$B$2543,$B$2573),Data!$BO:$BO,0)-2,43)&lt;&gt;"",INDEX(Tab_DaBa[],MATCH(CONCATENATE(Liste!$C$3,$B$2543,$B$2573),Data!$BO:$BO,0)-2,48)=0),INDEX(Tab_DaBa[],MATCH(CONCATENATE(Liste!$C$3,$B$2543,$B$2573),Data!$BO:$BO,0)-2,14),IF(INDEX(Tab_DaBa[],MATCH(CONCATENATE(Liste!$C$3,$B$2543,$B$2573),Data!$BO:$BO,0)-2,43)&lt;&gt;"",INDEX(Tab_DaBa[],MATCH(CONCATENATE(Liste!$C$3,$B$2543,$B$2573),Data!$BO:$BO,0)-2,49),"")),"")</f>
        <v/>
      </c>
      <c r="I2583" s="39"/>
    </row>
    <row r="2584" spans="2:9" s="16" customFormat="1" ht="15.75">
      <c r="B2584" s="35" t="str">
        <f ca="1">IFERROR(IF(AND(INDEX(Tab_DaBa[],MATCH(CONCATENATE(Liste!$C$3,$B$2543,$B$2573),Data!$BO:$BO,0)-2,28)&lt;&gt;"",INDEX(Tab_DaBa[],MATCH(CONCATENATE(Liste!$C$3,$B$2543,$B$2573),Data!$BO:$BO,0)-2,33)=0),INDEX(Tab_DaBa[],MATCH(CONCATENATE(Liste!$C$3,$B$2543,$B$2573),Data!$BO:$BO,0)-2,12),IF(INDEX(Tab_DaBa[],MATCH(CONCATENATE(Liste!$C$3,$B$2543,$B$2573),Data!$BO:$BO,0)-2,28)&lt;&gt;"",INDEX(Tab_DaBa[],MATCH(CONCATENATE(Liste!$C$3,$B$2543,$B$2573),Data!$BO:$BO,0)-2,32),"")),"")</f>
        <v/>
      </c>
      <c r="C2584" s="39"/>
      <c r="D2584" s="35" t="str">
        <f ca="1">IFERROR(IF(AND(INDEX(Tab_DaBa[],MATCH(CONCATENATE(Liste!$C$3,$B$2543,$B$2573),Data!$BO:$BO,0)-2,33)&lt;&gt;"",INDEX(Tab_DaBa[],MATCH(CONCATENATE(Liste!$C$3,$B$2543,$B$2573),Data!$BO:$BO,0)-2,38)=0),INDEX(Tab_DaBa[],MATCH(CONCATENATE(Liste!$C$3,$B$2543,$B$2573),Data!$BO:$BO,0)-2,12),IF(INDEX(Tab_DaBa[],MATCH(CONCATENATE(Liste!$C$3,$B$2543,$B$2573),Data!$BO:$BO,0)-2,33)&lt;&gt;"",INDEX(Tab_DaBa[],MATCH(CONCATENATE(Liste!$C$3,$B$2543,$B$2573),Data!$BO:$BO,0)-2,37),"")),"")</f>
        <v/>
      </c>
      <c r="E2584" s="37"/>
      <c r="F2584" s="35" t="str">
        <f ca="1">IFERROR(IF(AND(INDEX(Tab_DaBa[],MATCH(CONCATENATE(Liste!$C$3,$B$2543,$B$2573),Data!$BO:$BO,0)-2,38)&lt;&gt;"",INDEX(Tab_DaBa[],MATCH(CONCATENATE(Liste!$C$3,$B$2543,$B$2573),Data!$BO:$BO,0)-2,43)=0),INDEX(Tab_DaBa[],MATCH(CONCATENATE(Liste!$C$3,$B$2543,$B$2573),Data!$BO:$BO,0)-2,12),IF(INDEX(Tab_DaBa[],MATCH(CONCATENATE(Liste!$C$3,$B$2543,$B$2573),Data!$BO:$BO,0)-2,38)&lt;&gt;"",INDEX(Tab_DaBa[],MATCH(CONCATENATE(Liste!$C$3,$B$2543,$B$2573),Data!$BO:$BO,0)-2,42),"")),"")</f>
        <v/>
      </c>
      <c r="G2584" s="39"/>
      <c r="H2584" s="35" t="str">
        <f ca="1">IFERROR(IF(AND(INDEX(Tab_DaBa[],MATCH(CONCATENATE(Liste!$C$3,$B$2543,$B$2573),Data!$BO:$BO,0)-2,43)&lt;&gt;"",INDEX(Tab_DaBa[],MATCH(CONCATENATE(Liste!$C$3,$B$2543,$B$2573),Data!$BO:$BO,0)-2,48)=0),INDEX(Tab_DaBa[],MATCH(CONCATENATE(Liste!$C$3,$B$2543,$B$2573),Data!$BO:$BO,0)-2,12),IF(INDEX(Tab_DaBa[],MATCH(CONCATENATE(Liste!$C$3,$B$2543,$B$2573),Data!$BO:$BO,0)-2,43)&lt;&gt;"",INDEX(Tab_DaBa[],MATCH(CONCATENATE(Liste!$C$3,$B$2543,$B$2573),Data!$BO:$BO,0)-2,47),"")),"")</f>
        <v/>
      </c>
      <c r="I2584" s="39"/>
    </row>
    <row r="2585" spans="2:9" s="16" customFormat="1" ht="15.75">
      <c r="B2585" s="35" t="str">
        <f ca="1">IFERROR(IF(AND(INDEX(Tab_DaBa[],MATCH(CONCATENATE(Liste!$C$3,$B$2543,$B$2573),Data!$BO:$BO,0)-2,28)&lt;&gt;"",INDEX(Tab_DaBa[],MATCH(CONCATENATE(Liste!$C$3,$B$2543,$B$2573),Data!$BO:$BO,0)-2,33)=""),INDEX(Tab_DaBa[],MATCH(CONCATENATE(Liste!$C$3,$B$2543,$B$2573),Data!$BO:$BO,0)-2,13),IF(INDEX(Tab_DaBa[],MATCH(CONCATENATE(Liste!$C$3,$B$2543,$B$2573),Data!$BO:$BO,0)-2,28)&lt;&gt;"",INDEX(Tab_DaBa[],MATCH(CONCATENATE(Liste!$C$3,$B$2543,$B$2573),Data!$BO:$BO,0)-2,33),"")),"")</f>
        <v/>
      </c>
      <c r="C2585" s="38" t="str">
        <f ca="1">IF(D2583="","",4)</f>
        <v/>
      </c>
      <c r="D2585" s="35" t="str">
        <f ca="1">IFERROR(IF(AND(INDEX(Tab_DaBa[],MATCH(CONCATENATE(Liste!$C$3,$B$2543,$B$2573),Data!$BO:$BO,0)-2,33)&lt;&gt;"",INDEX(Tab_DaBa[],MATCH(CONCATENATE(Liste!$C$3,$B$2543,$B$2573),Data!$BO:$BO,0)-2,38)=""),INDEX(Tab_DaBa[],MATCH(CONCATENATE(Liste!$C$3,$B$2543,$B$2573),Data!$BO:$BO,0)-2,13),IF(INDEX(Tab_DaBa[],MATCH(CONCATENATE(Liste!$C$3,$B$2543,$B$2573),Data!$BO:$BO,0)-2,33)&lt;&gt;"",INDEX(Tab_DaBa[],MATCH(CONCATENATE(Liste!$C$3,$B$2543,$B$2573),Data!$BO:$BO,0)-2,38),"")),"")</f>
        <v/>
      </c>
      <c r="E2585" s="38" t="str">
        <f ca="1">IF(F2583="","",4)</f>
        <v/>
      </c>
      <c r="F2585" s="35" t="str">
        <f ca="1">IFERROR(IF(AND(INDEX(Tab_DaBa[],MATCH(CONCATENATE(Liste!$C$3,$B$2543,$B$2573),Data!$BO:$BO,0)-2,38)&lt;&gt;"",INDEX(Tab_DaBa[],MATCH(CONCATENATE(Liste!$C$3,$B$2543,$B$2573),Data!$BO:$BO,0)-2,43)=""),INDEX(Tab_DaBa[],MATCH(CONCATENATE(Liste!$C$3,$B$2543,$B$2573),Data!$BO:$BO,0)-2,13),IF(INDEX(Tab_DaBa[],MATCH(CONCATENATE(Liste!$C$3,$B$2543,$B$2573),Data!$BO:$BO,0)-2,38)&lt;&gt;"",INDEX(Tab_DaBa[],MATCH(CONCATENATE(Liste!$C$3,$B$2543,$B$2573),Data!$BO:$BO,0)-2,43),"")),"")</f>
        <v/>
      </c>
      <c r="G2585" s="38" t="str">
        <f ca="1">IF(H2583="","",4)</f>
        <v/>
      </c>
      <c r="H2585" s="35" t="str">
        <f ca="1">IFERROR(IF(AND(INDEX(Tab_DaBa[],MATCH(CONCATENATE(Liste!$C$3,$B$2543,$B$2573),Data!$BO:$BO,0)-2,43)&lt;&gt;"",INDEX(Tab_DaBa[],MATCH(CONCATENATE(Liste!$C$3,$B$2543,$B$2573),Data!$BO:$BO,0)-2,48)=""),INDEX(Tab_DaBa[],MATCH(CONCATENATE(Liste!$C$3,$B$2543,$B$2573),Data!$BO:$BO,0)-2,13),IF(INDEX(Tab_DaBa[],MATCH(CONCATENATE(Liste!$C$3,$B$2543,$B$2573),Data!$BO:$BO,0)-2,43)&lt;&gt;"",INDEX(Tab_DaBa[],MATCH(CONCATENATE(Liste!$C$3,$B$2543,$B$2573),Data!$BO:$BO,0)-2,48),"")),"")</f>
        <v/>
      </c>
      <c r="I2585" s="38" t="str">
        <f ca="1">IF(B2591="","",6)</f>
        <v/>
      </c>
    </row>
    <row r="2586" spans="2:9" s="16" customFormat="1" ht="15.75">
      <c r="B2586" s="35" t="str">
        <f ca="1">IFERROR(IF(AND(INDEX(Tab_DaBa[],MATCH(CONCATENATE(Liste!$C$3,$B$2543,$B$2573),Data!$BO:$BO,0)-2,28)&lt;&gt;"",INDEX(Tab_DaBa[],MATCH(CONCATENATE(Liste!$C$3,$B$2543,$B$2573),Data!$BO:$BO,0)-2,33)=""),"Performance Level: "&amp;INDEX(Tab_DaBa[],MATCH(CONCATENATE(Liste!$C$3,$B$2543,$B$2573),Data!$BO:$BO,0)-2,15),IF(INDEX(Tab_DaBa[],MATCH(CONCATENATE(Liste!$C$3,$B$2543,$B$2573),Data!$BO:$BO,0)-2,28)&lt;&gt;"","Performance Level: "&amp;INDEX(Tab_DaBa[],MATCH(CONCATENATE(Liste!$C$3,$B$2543,$B$2573),Data!$BO:$BO,0)-2,35),"")),"")</f>
        <v/>
      </c>
      <c r="C2586" s="39"/>
      <c r="D2586" s="35" t="str">
        <f ca="1">IFERROR(IF(AND(INDEX(Tab_DaBa[],MATCH(CONCATENATE(Liste!$C$3,$B$2543,$B$2573),Data!$BO:$BO,0)-2,33)&lt;&gt;"",INDEX(Tab_DaBa[],MATCH(CONCATENATE(Liste!$C$3,$B$2543,$B$2573),Data!$BO:$BO,0)-2,38)=""),"Performance Level: "&amp;INDEX(Tab_DaBa[],MATCH(CONCATENATE(Liste!$C$3,$B$2543,$B$2573),Data!$BO:$BO,0)-2,15),IF(INDEX(Tab_DaBa[],MATCH(CONCATENATE(Liste!$C$3,$B$2543,$B$2573),Data!$BO:$BO,0)-2,33)&lt;&gt;"","Performance Level: "&amp;INDEX(Tab_DaBa[],MATCH(CONCATENATE(Liste!$C$3,$B$2543,$B$2573),Data!$BO:$BO,0)-2,40),"")),"")</f>
        <v/>
      </c>
      <c r="E2586" s="37"/>
      <c r="F2586" s="35" t="str">
        <f ca="1">IFERROR(IF(AND(INDEX(Tab_DaBa[],MATCH(CONCATENATE(Liste!$C$3,$B$2543,$B$2573),Data!$BO:$BO,0)-2,38)&lt;&gt;"",INDEX(Tab_DaBa[],MATCH(CONCATENATE(Liste!$C$3,$B$2543,$B$2573),Data!$BO:$BO,0)-2,43)=""),"Performance Level: "&amp;INDEX(Tab_DaBa[],MATCH(CONCATENATE(Liste!$C$3,$B$2543,$B$2573),Data!$BO:$BO,0)-2,15),IF(INDEX(Tab_DaBa[],MATCH(CONCATENATE(Liste!$C$3,$B$2543,$B$2573),Data!$BO:$BO,0)-2,38)&lt;&gt;"","Performance Level: "&amp;INDEX(Tab_DaBa[],MATCH(CONCATENATE(Liste!$C$3,$B$2543,$B$2573),Data!$BO:$BO,0)-2,45),"")),"")</f>
        <v/>
      </c>
      <c r="G2586" s="39"/>
      <c r="H2586" s="35" t="str">
        <f ca="1">IFERROR(IF(AND(INDEX(Tab_DaBa[],MATCH(CONCATENATE(Liste!$C$3,$B$2543,$B$2573),Data!$BO:$BO,0)-2,43)&lt;&gt;"",INDEX(Tab_DaBa[],MATCH(CONCATENATE(Liste!$C$3,$B$2543,$B$2573),Data!$BO:$BO,0)-2,48)=""),"Performance Level: "&amp;INDEX(Tab_DaBa[],MATCH(CONCATENATE(Liste!$C$3,$B$2543,$B$2573),Data!$BO:$BO,0)-2,15),IF(INDEX(Tab_DaBa[],MATCH(CONCATENATE(Liste!$C$3,$B$2543,$B$2573),Data!$BO:$BO,0)-2,43)&lt;&gt;"","Performance Level: "&amp;INDEX(Tab_DaBa[],MATCH(CONCATENATE(Liste!$C$3,$B$2543,$B$2573),Data!$BO:$BO,0)-2,50),"")),"")</f>
        <v/>
      </c>
      <c r="I2586" s="39"/>
    </row>
    <row r="2587" spans="2:9" s="16" customFormat="1" ht="15.75">
      <c r="B2587" s="35" t="str">
        <f ca="1">IFERROR(IF(AND(INDEX(Tab_DaBa[],MATCH(CONCATENATE(Liste!$C$3,$B$2543,$B$2573),Data!$BO:$BO,0)-2,28)&lt;&gt;"",INDEX(Tab_DaBa[],MATCH(CONCATENATE(Liste!$C$3,$B$2543,$B$2573),Data!$BO:$BO,0)-2,33)=""),"PFH [1/h] = "&amp;10^9*INDEX(Tab_DaBa[],MATCH(CONCATENATE(Liste!$C$3,$B$2543,$B$2573),Data!$BO:$BO,0)-2,16)&amp;"E-9",IF(INDEX(Tab_DaBa[],MATCH(CONCATENATE(Liste!$C$3,$B$2543,$B$2573),Data!$BO:$BO,0)-2,28)&lt;&gt;"","PFH [1/h] = "&amp;10^9*INDEX(Tab_DaBa[],MATCH(CONCATENATE(Liste!$C$3,$B$2543,$B$2573),Data!$BO:$BO,0)-2,36)&amp;"E-9","")),"")</f>
        <v/>
      </c>
      <c r="C2587" s="39"/>
      <c r="D2587" s="35" t="str">
        <f ca="1">IFERROR(IF(AND(INDEX(Tab_DaBa[],MATCH(CONCATENATE(Liste!$C$3,$B$2543,$B$2573),Data!$BO:$BO,0)-2,33)&lt;&gt;"",INDEX(Tab_DaBa[],MATCH(CONCATENATE(Liste!$C$3,$B$2543,$B$2573),Data!$BO:$BO,0)-2,38)=""),"PFH [1/h] = "&amp;10^9*INDEX(Tab_DaBa[],MATCH(CONCATENATE(Liste!$C$3,$B$2543,$B$2573),Data!$BO:$BO,0)-2,16)&amp;"E-9",IF(INDEX(Tab_DaBa[],MATCH(CONCATENATE(Liste!$C$3,$B$2543,$B$2573),Data!$BO:$BO,0)-2,33)&lt;&gt;"","PFH [1/h] = "&amp;10^9*INDEX(Tab_DaBa[],MATCH(CONCATENATE(Liste!$C$3,$B$2543,$B$2573),Data!$BO:$BO,0)-2,41)&amp;"E-9","")),"")</f>
        <v/>
      </c>
      <c r="E2587" s="37"/>
      <c r="F2587" s="35" t="str">
        <f ca="1">IFERROR(IF(AND(INDEX(Tab_DaBa[],MATCH(CONCATENATE(Liste!$C$3,$B$2543,$B$2573),Data!$BO:$BO,0)-2,38)&lt;&gt;"",INDEX(Tab_DaBa[],MATCH(CONCATENATE(Liste!$C$3,$B$2543,$B$2573),Data!$BO:$BO,0)-2,43)=""),"PFH [1/h] = "&amp;10^9*INDEX(Tab_DaBa[],MATCH(CONCATENATE(Liste!$C$3,$B$2543,$B$2573),Data!$BO:$BO,0)-2,16)&amp;"E-9",IF(INDEX(Tab_DaBa[],MATCH(CONCATENATE(Liste!$C$3,$B$2543,$B$2573),Data!$BO:$BO,0)-2,38)&lt;&gt;"","PFH [1/h] = "&amp;10^9*INDEX(Tab_DaBa[],MATCH(CONCATENATE(Liste!$C$3,$B$2543,$B$2573),Data!$BO:$BO,0)-2,46)&amp;"E-9","")),"")</f>
        <v/>
      </c>
      <c r="G2587" s="39"/>
      <c r="H2587" s="35" t="str">
        <f ca="1">IFERROR(IF(AND(INDEX(Tab_DaBa[],MATCH(CONCATENATE(Liste!$C$3,$B$2543,$B$2573),Data!$BO:$BO,0)-2,43)&lt;&gt;"",INDEX(Tab_DaBa[],MATCH(CONCATENATE(Liste!$C$3,$B$2543,$B$2573),Data!$BO:$BO,0)-2,48)=""),"PFH [1/h] = "&amp;10^9*INDEX(Tab_DaBa[],MATCH(CONCATENATE(Liste!$C$3,$B$2543,$B$2573),Data!$BO:$BO,0)-2,16)&amp;"E-9",IF(INDEX(Tab_DaBa[],MATCH(CONCATENATE(Liste!$C$3,$B$2543,$B$2573),Data!$BO:$BO,0)-2,43)&lt;&gt;"","PFH [1/h] = "&amp;10^9*INDEX(Tab_DaBa[],MATCH(CONCATENATE(Liste!$C$3,$B$2543,$B$2573),Data!$BO:$BO,0)-2,51)&amp;"E-9","")),"")</f>
        <v/>
      </c>
      <c r="I2587" s="39"/>
    </row>
    <row r="2588" spans="2:9" s="16" customFormat="1">
      <c r="B2588" s="33"/>
      <c r="C2588" s="33"/>
      <c r="D2588" s="33"/>
      <c r="E2588" s="33"/>
      <c r="F2588" s="33"/>
      <c r="G2588" s="33"/>
      <c r="H2588" s="33"/>
      <c r="I2588" s="33"/>
    </row>
    <row r="2589" spans="2:9" s="16" customFormat="1" ht="15.75">
      <c r="B2589" s="38" t="str">
        <f ca="1">IF(B2591="","",6)</f>
        <v/>
      </c>
      <c r="C2589" s="33"/>
      <c r="D2589" s="38" t="str">
        <f ca="1">IF(B2591="","",3)</f>
        <v/>
      </c>
      <c r="E2589" s="33"/>
      <c r="F2589" s="38" t="str">
        <f ca="1">IF(B2591="","",3)</f>
        <v/>
      </c>
      <c r="G2589" s="33"/>
      <c r="H2589" s="38" t="str">
        <f ca="1">IF(B2591="","",3)</f>
        <v/>
      </c>
      <c r="I2589" s="33"/>
    </row>
    <row r="2590" spans="2:9" s="16" customFormat="1" ht="15.75">
      <c r="B2590" s="39"/>
      <c r="C2590" s="33"/>
      <c r="D2590" s="33"/>
      <c r="E2590" s="33"/>
      <c r="F2590" s="33"/>
      <c r="G2590" s="33"/>
      <c r="H2590" s="33"/>
      <c r="I2590" s="33"/>
    </row>
    <row r="2591" spans="2:9" s="16" customFormat="1" ht="15.75">
      <c r="B2591" s="35" t="str">
        <f ca="1">IFERROR(IF(AND(INDEX(Tab_DaBa[],MATCH(CONCATENATE(Liste!$C$3,$B$2543,$B$2573),Data!$BO:$BO,0)-2,48)&lt;&gt;"",INDEX(Tab_DaBa[],MATCH(CONCATENATE(Liste!$C$3,$B$2543,$B$2573),Data!$BO:$BO,0)-2,53)=0),INDEX(Tab_DaBa[],MATCH(CONCATENATE(Liste!$C$3,$B$2543,$B$2573),Data!$BO:$BO,0)-2,14),IF(INDEX(Tab_DaBa[],MATCH(CONCATENATE(Liste!$C$3,$B$2543,$B$2573),Data!$BO:$BO,0)-2,48)&lt;&gt;"",INDEX(Tab_DaBa[],MATCH(CONCATENATE(Liste!$C$3,$B$2543,$B$2573),Data!$BO:$BO,0)-2,54),"")),"")</f>
        <v/>
      </c>
      <c r="C2591" s="39"/>
      <c r="D2591" s="35" t="str">
        <f ca="1">IFERROR(IF(AND(INDEX(Tab_DaBa[],MATCH(CONCATENATE(Liste!$C$3,$B$2543,$B$2573),Data!$BO:$BO,0)-2,53)&lt;&gt;"",INDEX(Tab_DaBa[],MATCH(CONCATENATE(Liste!$C$3,$B$2543,$B$2573),Data!$BO:$BO,0)-2,58)=0),INDEX(Tab_DaBa[],MATCH(CONCATENATE(Liste!$C$3,$B$2543,$B$2573),Data!$BO:$BO,0)-2,14),IF(INDEX(Tab_DaBa[],MATCH(CONCATENATE(Liste!$C$3,$B$2543,$B$2573),Data!$BO:$BO,0)-2,53)&lt;&gt;"",INDEX(Tab_DaBa[],MATCH(CONCATENATE(Liste!$C$3,$B$2543,$B$2573),Data!$BO:$BO,0)-2,59),"")),"")</f>
        <v/>
      </c>
      <c r="E2591" s="33"/>
      <c r="F2591" s="35" t="str">
        <f ca="1">IFERROR(IF(AND(INDEX(Tab_DaBa[],MATCH(CONCATENATE(Liste!$C$3,$B$2543,$B$2573),Data!$BO:$BO,0)-2,58)&lt;&gt;"",INDEX(Tab_DaBa[],MATCH(CONCATENATE(Liste!$C$3,$B$2543,$B$2573),Data!$BO:$BO,0)-2,63)=0),INDEX(Tab_DaBa[],MATCH(CONCATENATE(Liste!$C$3,$B$2543,$B$2573),Data!$BO:$BO,0)-2,14),IF(INDEX(Tab_DaBa[],MATCH(CONCATENATE(Liste!$C$3,$B$2543,$B$2573),Data!$BO:$BO,0)-2,58)&lt;&gt;"",INDEX(Tab_DaBa[],MATCH(CONCATENATE(Liste!$C$3,$B$2543,$B$2573),Data!$BO:$BO,0)-2,64),"")),"")</f>
        <v/>
      </c>
      <c r="G2591" s="39"/>
      <c r="H2591" s="35" t="str">
        <f ca="1">IFERROR(IF(INDEX(Tab_DaBa[],MATCH(CONCATENATE(Liste!$C$3,$B$2543,$B$2573),Data!$BO:$BO,0)-2,63)&lt;&gt;"",INDEX(Tab_DaBa[],MATCH(CONCATENATE(Liste!$C$3,$B$2543,$B$2573),Data!$BO:$BO,0)-2,14),""),"")</f>
        <v/>
      </c>
    </row>
    <row r="2592" spans="2:9" s="16" customFormat="1" ht="15.75">
      <c r="B2592" s="35" t="str">
        <f ca="1">IFERROR(IF(AND(INDEX(Tab_DaBa[],MATCH(CONCATENATE(Liste!$C$3,$B$2543,$B$2573),Data!$BO:$BO,0)-2,48)&lt;&gt;"",INDEX(Tab_DaBa[],MATCH(CONCATENATE(Liste!$C$3,$B$2543,$B$2573),Data!$BO:$BO,0)-2,53)=0),INDEX(Tab_DaBa[],MATCH(CONCATENATE(Liste!$C$3,$B$2543,$B$2573),Data!$BO:$BO,0)-2,12),IF(INDEX(Tab_DaBa[],MATCH(CONCATENATE(Liste!$C$3,$B$2543,$B$2573),Data!$BO:$BO,0)-2,48)&lt;&gt;"",INDEX(Tab_DaBa[],MATCH(CONCATENATE(Liste!$C$3,$B$2543,$B$2573),Data!$BO:$BO,0)-2,52),"")),"")</f>
        <v/>
      </c>
      <c r="C2592" s="39"/>
      <c r="D2592" s="35" t="str">
        <f ca="1">IFERROR(IF(AND(INDEX(Tab_DaBa[],MATCH(CONCATENATE(Liste!$C$3,$B$2543,$B$2573),Data!$BO:$BO,0)-2,53)&lt;&gt;"",INDEX(Tab_DaBa[],MATCH(CONCATENATE(Liste!$C$3,$B$2543,$B$2573),Data!$BO:$BO,0)-2,58)=0),INDEX(Tab_DaBa[],MATCH(CONCATENATE(Liste!$C$3,$B$2543,$B$2573),Data!$BO:$BO,0)-2,12),IF(INDEX(Tab_DaBa[],MATCH(CONCATENATE(Liste!$C$3,$B$2543,$B$2573),Data!$BO:$BO,0)-2,53)&lt;&gt;"",INDEX(Tab_DaBa[],MATCH(CONCATENATE(Liste!$C$3,$B$2543,$B$2573),Data!$BO:$BO,0)-2,57),"")),"")</f>
        <v/>
      </c>
      <c r="E2592" s="37"/>
      <c r="F2592" s="35" t="str">
        <f ca="1">IFERROR(IF(AND(INDEX(Tab_DaBa[],MATCH(CONCATENATE(Liste!$C$3,$B$2543,$B$2573),Data!$BO:$BO,0)-2,58)&lt;&gt;"",INDEX(Tab_DaBa[],MATCH(CONCATENATE(Liste!$C$3,$B$2543,$B$2573),Data!$BO:$BO,0)-2,63)=0),INDEX(Tab_DaBa[],MATCH(CONCATENATE(Liste!$C$3,$B$2543,$B$2573),Data!$BO:$BO,0)-2,12),IF(INDEX(Tab_DaBa[],MATCH(CONCATENATE(Liste!$C$3,$B$2543,$B$2573),Data!$BO:$BO,0)-2,58)&lt;&gt;"",INDEX(Tab_DaBa[],MATCH(CONCATENATE(Liste!$C$3,$B$2543,$B$2573),Data!$BO:$BO,0)-2,62),"")),"")</f>
        <v/>
      </c>
      <c r="G2592" s="39"/>
      <c r="H2592" s="35" t="str">
        <f ca="1">IFERROR(IF(INDEX(Tab_DaBa[],MATCH(CONCATENATE(Liste!$C$3,$B$2543,$B$2573),Data!$BO:$BO,0)-2,63)&lt;&gt;"",INDEX(Tab_DaBa[],MATCH(CONCATENATE(Liste!$C$3,$B$2543,$B$2573),Data!$BO:$BO,0)-2,12),""),"")</f>
        <v/>
      </c>
    </row>
    <row r="2593" spans="2:9" s="16" customFormat="1" ht="15.75">
      <c r="B2593" s="35" t="str">
        <f ca="1">IFERROR(IF(AND(INDEX(Tab_DaBa[],MATCH(CONCATENATE(Liste!$C$3,$B$2543,$B$2573),Data!$BO:$BO,0)-2,48)&lt;&gt;"",INDEX(Tab_DaBa[],MATCH(CONCATENATE(Liste!$C$3,$B$2543,$B$2573),Data!$BO:$BO,0)-2,53)=""),INDEX(Tab_DaBa[],MATCH(CONCATENATE(Liste!$C$3,$B$2543,$B$2573),Data!$BO:$BO,0)-2,13),IF(INDEX(Tab_DaBa[],MATCH(CONCATENATE(Liste!$C$3,$B$2543,$B$2573),Data!$BO:$BO,0)-2,48)&lt;&gt;"",INDEX(Tab_DaBa[],MATCH(CONCATENATE(Liste!$C$3,$B$2543,$B$2573),Data!$BO:$BO,0)-2,53),"")),"")</f>
        <v/>
      </c>
      <c r="C2593" s="38" t="str">
        <f ca="1">IF(D2591="","",4)</f>
        <v/>
      </c>
      <c r="D2593" s="35" t="str">
        <f ca="1">IFERROR(IF(AND(INDEX(Tab_DaBa[],MATCH(CONCATENATE(Liste!$C$3,$B$2543,$B$2573),Data!$BO:$BO,0)-2,53)&lt;&gt;"",INDEX(Tab_DaBa[],MATCH(CONCATENATE(Liste!$C$3,$B$2543,$B$2573),Data!$BO:$BO,0)-2,58)=""),INDEX(Tab_DaBa[],MATCH(CONCATENATE(Liste!$C$3,$B$2543,$B$2573),Data!$BO:$BO,0)-2,13),IF(INDEX(Tab_DaBa[],MATCH(CONCATENATE(Liste!$C$3,$B$2543,$B$2573),Data!$BO:$BO,0)-2,53)&lt;&gt;"",INDEX(Tab_DaBa[],MATCH(CONCATENATE(Liste!$C$3,$B$2543,$B$2573),Data!$BO:$BO,0)-2,58),"")),"")</f>
        <v/>
      </c>
      <c r="E2593" s="38" t="str">
        <f ca="1">IF(F2591="","",4)</f>
        <v/>
      </c>
      <c r="F2593" s="35" t="str">
        <f ca="1">IFERROR(IF(AND(INDEX(Tab_DaBa[],MATCH(CONCATENATE(Liste!$C$3,$B$2543,$B$2573),Data!$BO:$BO,0)-2,58)&lt;&gt;"",INDEX(Tab_DaBa[],MATCH(CONCATENATE(Liste!$C$3,$B$2543,$B$2573),Data!$BO:$BO,0)-2,63)=""),INDEX(Tab_DaBa[],MATCH(CONCATENATE(Liste!$C$3,$B$2543,$B$2573),Data!$BO:$BO,0)-2,13),IF(INDEX(Tab_DaBa[],MATCH(CONCATENATE(Liste!$C$3,$B$2543,$B$2573),Data!$BO:$BO,0)-2,58)&lt;&gt;"",INDEX(Tab_DaBa[],MATCH(CONCATENATE(Liste!$C$3,$B$2543,$B$2573),Data!$BO:$BO,0)-2,63),"")),"")</f>
        <v/>
      </c>
      <c r="G2593" s="38" t="str">
        <f ca="1">IF(H2591="","",4)</f>
        <v/>
      </c>
      <c r="H2593" s="35" t="str">
        <f ca="1">IFERROR(IF(INDEX(Tab_DaBa[],MATCH(CONCATENATE(Liste!$C$3,$B$2543,$B$2573),Data!$BO:$BO,0)-2,63)&lt;&gt;"",INDEX(Tab_DaBa[],MATCH(CONCATENATE(Liste!$C$3,$B$2543,$B$2573),Data!$BO:$BO,0)-2,13),""),"")</f>
        <v/>
      </c>
    </row>
    <row r="2594" spans="2:9" s="16" customFormat="1" ht="15.75">
      <c r="B2594" s="35" t="str">
        <f ca="1">IFERROR(IF(AND(INDEX(Tab_DaBa[],MATCH(CONCATENATE(Liste!$C$3,$B$2543,$B$2573),Data!$BO:$BO,0)-2,48)&lt;&gt;"",INDEX(Tab_DaBa[],MATCH(CONCATENATE(Liste!$C$3,$B$2543,$B$2573),Data!$BO:$BO,0)-2,53)=""),"Performance Level: "&amp;INDEX(Tab_DaBa[],MATCH(CONCATENATE(Liste!$C$3,$B$2543,$B$2573),Data!$BO:$BO,0)-2,15),IF(INDEX(Tab_DaBa[],MATCH(CONCATENATE(Liste!$C$3,$B$2543,$B$2573),Data!$BO:$BO,0)-2,48)&lt;&gt;"","Performance Level: "&amp;INDEX(Tab_DaBa[],MATCH(CONCATENATE(Liste!$C$3,$B$2543,$B$2573),Data!$BO:$BO,0)-2,55),"")),"")</f>
        <v/>
      </c>
      <c r="C2594" s="39"/>
      <c r="D2594" s="35" t="str">
        <f ca="1">IFERROR(IF(AND(INDEX(Tab_DaBa[],MATCH(CONCATENATE(Liste!$C$3,$B$2543,$B$2573),Data!$BO:$BO,0)-2,53)&lt;&gt;"",INDEX(Tab_DaBa[],MATCH(CONCATENATE(Liste!$C$3,$B$2543,$B$2573),Data!$BO:$BO,0)-2,58)=""),"Performance Level: "&amp;INDEX(Tab_DaBa[],MATCH(CONCATENATE(Liste!$C$3,$B$2543,$B$2573),Data!$BO:$BO,0)-2,15),IF(INDEX(Tab_DaBa[],MATCH(CONCATENATE(Liste!$C$3,$B$2543,$B$2573),Data!$BO:$BO,0)-2,53)&lt;&gt;"","Performance Level: "&amp;INDEX(Tab_DaBa[],MATCH(CONCATENATE(Liste!$C$3,$B$2543,$B$2573),Data!$BO:$BO,0)-2,60),"")),"")</f>
        <v/>
      </c>
      <c r="E2594" s="37"/>
      <c r="F2594" s="35" t="str">
        <f ca="1">IFERROR(IF(AND(INDEX(Tab_DaBa[],MATCH(CONCATENATE(Liste!$C$3,$B$2543,$B$2573),Data!$BO:$BO,0)-2,58)&lt;&gt;"",INDEX(Tab_DaBa[],MATCH(CONCATENATE(Liste!$C$3,$B$2543,$B$2573),Data!$BO:$BO,0)-2,63)=""),"Performance Level: "&amp;INDEX(Tab_DaBa[],MATCH(CONCATENATE(Liste!$C$3,$B$2543,$B$2573),Data!$BO:$BO,0)-2,15),IF(INDEX(Tab_DaBa[],MATCH(CONCATENATE(Liste!$C$3,$B$2543,$B$2573),Data!$BO:$BO,0)-2,58)&lt;&gt;"","Performance Level: "&amp;INDEX(Tab_DaBa[],MATCH(CONCATENATE(Liste!$C$3,$B$2543,$B$2573),Data!$BO:$BO,0)-2,65),"")),"")</f>
        <v/>
      </c>
      <c r="G2594" s="39"/>
      <c r="H2594" s="35" t="str">
        <f ca="1">IFERROR(IF(INDEX(Tab_DaBa[],MATCH(CONCATENATE(Liste!$C$3,$B$2543,$B$2573),Data!$BO:$BO,0)-2,63)&lt;&gt;"","Performance Level: "&amp;INDEX(Tab_DaBa[],MATCH(CONCATENATE(Liste!$C$3,$B$2543,$B$2573),Data!$BO:$BO,0)-2,15),""),"")</f>
        <v/>
      </c>
    </row>
    <row r="2595" spans="2:9" s="16" customFormat="1" ht="15.75">
      <c r="B2595" s="35" t="str">
        <f ca="1">IFERROR(IF(AND(INDEX(Tab_DaBa[],MATCH(CONCATENATE(Liste!$C$3,$B$2543,$B$2573),Data!$BO:$BO,0)-2,48)&lt;&gt;"",INDEX(Tab_DaBa[],MATCH(CONCATENATE(Liste!$C$3,$B$2543,$B$2573),Data!$BO:$BO,0)-2,53)=""),"PFH [1/h] = "&amp;10^9*INDEX(Tab_DaBa[],MATCH(CONCATENATE(Liste!$C$3,$B$2543,$B$2573),Data!$BO:$BO,0)-2,16)&amp;"E-9",IF(INDEX(Tab_DaBa[],MATCH(CONCATENATE(Liste!$C$3,$B$2543,$B$2573),Data!$BO:$BO,0)-2,48)&lt;&gt;"","PFH [1/h] = "&amp;10^9*INDEX(Tab_DaBa[],MATCH(CONCATENATE(Liste!$C$3,$B$2543,$B$2573),Data!$BO:$BO,0)-2,56)&amp;"E-9","")),"")</f>
        <v/>
      </c>
      <c r="C2595" s="39"/>
      <c r="D2595" s="35" t="str">
        <f ca="1">IFERROR(IF(AND(INDEX(Tab_DaBa[],MATCH(CONCATENATE(Liste!$C$3,$B$2543,$B$2573),Data!$BO:$BO,0)-2,53)&lt;&gt;"",INDEX(Tab_DaBa[],MATCH(CONCATENATE(Liste!$C$3,$B$2543,$B$2573),Data!$BO:$BO,0)-2,58)=""),"PFH [1/h] = "&amp;10^9*INDEX(Tab_DaBa[],MATCH(CONCATENATE(Liste!$C$3,$B$2543,$B$2573),Data!$BO:$BO,0)-2,16)&amp;"E-9",IF(INDEX(Tab_DaBa[],MATCH(CONCATENATE(Liste!$C$3,$B$2543,$B$2573),Data!$BO:$BO,0)-2,53)&lt;&gt;"","PFH [1/h] = "&amp;10^9*INDEX(Tab_DaBa[],MATCH(CONCATENATE(Liste!$C$3,$B$2543,$B$2573),Data!$BO:$BO,0)-2,61)&amp;"E-9","")),"")</f>
        <v/>
      </c>
      <c r="E2595" s="37"/>
      <c r="F2595" s="35" t="str">
        <f ca="1">IFERROR(IF(AND(INDEX(Tab_DaBa[],MATCH(CONCATENATE(Liste!$C$3,$B$2543,$B$2573),Data!$BO:$BO,0)-2,58)&lt;&gt;"",INDEX(Tab_DaBa[],MATCH(CONCATENATE(Liste!$C$3,$B$2543,$B$2573),Data!$BO:$BO,0)-2,63)=""),"PFH [1/h] = "&amp;10^9*INDEX(Tab_DaBa[],MATCH(CONCATENATE(Liste!$C$3,$B$2543,$B$2573),Data!$BO:$BO,0)-2,16)&amp;"E-9",IF(INDEX(Tab_DaBa[],MATCH(CONCATENATE(Liste!$C$3,$B$2543,$B$2573),Data!$BO:$BO,0)-2,58)&lt;&gt;"","PFH [1/h] = "&amp;10^9*INDEX(Tab_DaBa[],MATCH(CONCATENATE(Liste!$C$3,$B$2543,$B$2573),Data!$BO:$BO,0)-2,66)&amp;"E-9","")),"")</f>
        <v/>
      </c>
      <c r="G2595" s="39"/>
      <c r="H2595" s="35" t="str">
        <f ca="1">IFERROR(IF(INDEX(Tab_DaBa[],MATCH(CONCATENATE(Liste!$C$3,$B$2543,$B$2573),Data!$BO:$BO,0)-2,63)&lt;&gt;"","PFH [1/h] = "&amp;10^9*INDEX(Tab_DaBa[],MATCH(CONCATENATE(Liste!$C$3,$B$2543,$B$2573),Data!$BO:$BO,0)-2,16)&amp;"E-9",""),"")</f>
        <v/>
      </c>
    </row>
    <row r="2596" spans="2:9" s="16" customFormat="1"/>
    <row r="2597" spans="2:9" s="16" customFormat="1">
      <c r="B2597" s="43" t="str">
        <f ca="1">IF(D2597="","","Erforderlich")</f>
        <v>Erforderlich</v>
      </c>
      <c r="D2597" s="44" t="str">
        <f ca="1">IFERROR("Performance Level: "&amp;INDEX(Tab_DaBa[],MATCH(CONCATENATE(Liste!$C$3,$B$2543,$B$2573),Data!$BO:$BO,0)-2,4),"")</f>
        <v>Performance Level: PLr_ges4_2</v>
      </c>
    </row>
    <row r="2598" spans="2:9" s="16" customFormat="1">
      <c r="B2598" s="45"/>
    </row>
    <row r="2599" spans="2:9" s="16" customFormat="1">
      <c r="B2599" s="46" t="str">
        <f ca="1">IF(D2599="","","Erreicht")</f>
        <v>Erreicht</v>
      </c>
      <c r="D2599" s="47" t="str">
        <f ca="1">IFERROR("Performance Level: "&amp;INDEX(Tab_DaBa[],MATCH(CONCATENATE(Liste!$C$3,$B$2543,$B$2573),Data!$BO:$BO,0)-2,5)&amp;"          PFH [1/h] = "&amp;10^9*INDEX(Tab_DaBa[],MATCH(CONCATENATE(Liste!$C$3,$B$2543,$B$2573),Data!$BO:$BO,0)-2,6)&amp;"E-9","")</f>
        <v>Performance Level: Pl_ges4_2          PFH [1/h] = 71,7E-9</v>
      </c>
    </row>
    <row r="2600" spans="2:9" s="16" customFormat="1"/>
    <row r="2601" spans="2:9" s="16" customFormat="1">
      <c r="B2601" s="42" t="str">
        <f ca="1">IFERROR(IF(3&gt;COUNTIF(Data!$BP:$BP,CONCATENATE(Liste!$C$3,$B$2543)),"",INDEX(Tab_DaBa[],MATCH(CONCATENATE(Liste!$C$3,$B$2543),Data!$BP:$BP,0),3)),"")</f>
        <v>10.3 Test10 (E+3L+A)</v>
      </c>
    </row>
    <row r="2602" spans="2:9" s="16" customFormat="1"/>
    <row r="2603" spans="2:9" s="16" customFormat="1" ht="15.75">
      <c r="B2603" s="35" t="str">
        <f ca="1">IFERROR(INDEX(Tab_DaBa[],MATCH(CONCATENATE(Liste!$C$3,$B$2543,$B$2601),Data!$BO:$BO,0)-2,9),"")</f>
        <v>Eingang</v>
      </c>
      <c r="C2603" s="54"/>
      <c r="D2603" s="35" t="str">
        <f ca="1">IFERROR(IF(INDEX(Tab_DaBa[],MATCH(CONCATENATE(Liste!$C$3,$B$2543,$B$2601),Data!$BO:$BO,0)-2,18)=0,INDEX(Tab_DaBa[],MATCH(CONCATENATE(Liste!$C$3,$B$2543,$B$2601),Data!$BO:$BO,0)-2,14),INDEX(Tab_DaBa[],MATCH(CONCATENATE(Liste!$C$3,$B$2543,$B$2601),Data!$BO:$BO,0)-2,19)),"")</f>
        <v>Logik 01</v>
      </c>
      <c r="E2603" s="33"/>
      <c r="F2603" s="35" t="str">
        <f ca="1">IFERROR(IF(AND(INDEX(Tab_DaBa[],MATCH(CONCATENATE(Liste!$C$3,$B$2543,$B$2601),Data!$BO:$BO,0)-2,18)&lt;&gt;"",INDEX(Tab_DaBa[],MATCH(CONCATENATE(Liste!$C$3,$B$2543,$B$2601),Data!$BO:$BO,0)-2,23)=0),INDEX(Tab_DaBa[],MATCH(CONCATENATE(Liste!$C$3,$B$2543,$B$2601),Data!$BO:$BO,0)-2,14),IF(INDEX(Tab_DaBa[],MATCH(CONCATENATE(Liste!$C$3,$B$2543,$B$2601),Data!$BO:$BO,0)-2,23)&lt;&gt;"",INDEX(Tab_DaBa[],MATCH(CONCATENATE(Liste!$C$3,$B$2543,$B$2601),Data!$BO:$BO,0)-2,24),"")),"")</f>
        <v>Logik 02</v>
      </c>
      <c r="G2603" s="39"/>
      <c r="H2603" s="35" t="str">
        <f ca="1">IFERROR(IF(AND(INDEX(Tab_DaBa[],MATCH(CONCATENATE(Liste!$C$3,$B$2543,$B$2601),Data!$BO:$BO,0)-2,23)&lt;&gt;"",INDEX(Tab_DaBa[],MATCH(CONCATENATE(Liste!$C$3,$B$2543,$B$2601),Data!$BO:$BO,0)-2,28)=0),INDEX(Tab_DaBa[],MATCH(CONCATENATE(Liste!$C$3,$B$2543,$B$2601),Data!$BO:$BO,0)-2,14),IF(INDEX(Tab_DaBa[],MATCH(CONCATENATE(Liste!$C$3,$B$2543,$B$2601),Data!$BO:$BO,0)-2,23)&lt;&gt;"",INDEX(Tab_DaBa[],MATCH(CONCATENATE(Liste!$C$3,$B$2543,$B$2601),Data!$BO:$BO,0)-2,29),"")),"")</f>
        <v>Logik 03</v>
      </c>
      <c r="I2603" s="39"/>
    </row>
    <row r="2604" spans="2:9" s="16" customFormat="1" ht="15.75">
      <c r="B2604" s="35" t="str">
        <f ca="1">IFERROR(INDEX(Tab_DaBa[],MATCH(CONCATENATE(Liste!$C$3,$B$2543,$B$2601),Data!$BO:$BO,0)-2,7),"")</f>
        <v>eeee-33_3</v>
      </c>
      <c r="C2604" s="54"/>
      <c r="D2604" s="35" t="str">
        <f ca="1">IFERROR(IF(INDEX(Tab_DaBa[],MATCH(CONCATENATE(Liste!$C$3,$B$2543,$B$2601),Data!$BO:$BO,0)-2,18)="",INDEX(Tab_DaBa[],MATCH(CONCATENATE(Liste!$C$3,$B$2543,$B$2601),Data!$BO:$BO,0)-2,12),INDEX(Tab_DaBa[],MATCH(CONCATENATE(Liste!$C$3,$B$2543,$B$2601),Data!$BO:$BO,0)-2,17)),"")</f>
        <v>Log01-04_03</v>
      </c>
      <c r="E2604" s="36"/>
      <c r="F2604" s="35" t="str">
        <f ca="1">IFERROR(IF(AND(INDEX(Tab_DaBa[],MATCH(CONCATENATE(Liste!$C$3,$B$2543,$B$2601),Data!$BO:$BO,0)-2,18)&lt;&gt;"",INDEX(Tab_DaBa[],MATCH(CONCATENATE(Liste!$C$3,$B$2543,$B$2601),Data!$BO:$BO,0)-2,23)=0),INDEX(Tab_DaBa[],MATCH(CONCATENATE(Liste!$C$3,$B$2543,$B$2601),Data!$BO:$BO,0)-2,12),IF(INDEX(Tab_DaBa[],MATCH(CONCATENATE(Liste!$C$3,$B$2543,$B$2601),Data!$BO:$BO,0)-2,23)&lt;&gt;"",INDEX(Tab_DaBa[],MATCH(CONCATENATE(Liste!$C$3,$B$2543,$B$2601),Data!$BO:$BO,0)-2,22),"")),"")</f>
        <v>Lo04-04_03</v>
      </c>
      <c r="G2604" s="39"/>
      <c r="H2604" s="35" t="str">
        <f ca="1">IFERROR(IF(AND(INDEX(Tab_DaBa[],MATCH(CONCATENATE(Liste!$C$3,$B$2543,$B$2601),Data!$BO:$BO,0)-2,23)&lt;&gt;"",INDEX(Tab_DaBa[],MATCH(CONCATENATE(Liste!$C$3,$B$2543,$B$2601),Data!$BO:$BO,0)-2,28)=0),INDEX(Tab_DaBa[],MATCH(CONCATENATE(Liste!$C$3,$B$2543,$B$2601),Data!$BO:$BO,0)-2,12),IF(INDEX(Tab_DaBa[],MATCH(CONCATENATE(Liste!$C$3,$B$2543,$B$2601),Data!$BO:$BO,0)-2,23)&lt;&gt;"",INDEX(Tab_DaBa[],MATCH(CONCATENATE(Liste!$C$3,$B$2543,$B$2601),Data!$BO:$BO,0)-2,27),"")),"")</f>
        <v>Lo04-44_03</v>
      </c>
      <c r="I2604" s="39"/>
    </row>
    <row r="2605" spans="2:9" s="16" customFormat="1" ht="15.75">
      <c r="B2605" s="35" t="str">
        <f ca="1">IFERROR(INDEX(Tab_DaBa[],MATCH(CONCATENATE(Liste!$C$3,$B$2543,$B$2601),Data!$BO:$BO,0)-2,8),"")</f>
        <v>Bez_Ein4_3</v>
      </c>
      <c r="C2605" s="40">
        <f ca="1">IF(D2603="","",4)</f>
        <v>4</v>
      </c>
      <c r="D2605" s="35" t="str">
        <f ca="1">IFERROR(IF(INDEX(Tab_DaBa[],MATCH(CONCATENATE(Liste!$C$3,$B$2543,$B$2601),Data!$BO:$BO,0)-2,18)="",INDEX(Tab_DaBa[],MATCH(CONCATENATE(Liste!$C$3,$B$2543,$B$2601),Data!$BO:$BO,0)-2,13),INDEX(Tab_DaBa[],MATCH(CONCATENATE(Liste!$C$3,$B$2543,$B$2601),Data!$BO:$BO,0)-2,18)),"")</f>
        <v>Bez_Log01_04_03</v>
      </c>
      <c r="E2605" s="40">
        <f ca="1">IF(F2603="","",4)</f>
        <v>4</v>
      </c>
      <c r="F2605" s="35" t="str">
        <f ca="1">IFERROR(IF(AND(INDEX(Tab_DaBa[],MATCH(CONCATENATE(Liste!$C$3,$B$2543,$B$2601),Data!$BO:$BO,0)-2,18)&lt;&gt;"",INDEX(Tab_DaBa[],MATCH(CONCATENATE(Liste!$C$3,$B$2543,$B$2601),Data!$BO:$BO,0)-2,23)=""),INDEX(Tab_DaBa[],MATCH(CONCATENATE(Liste!$C$3,$B$2543,$B$2601),Data!$BO:$BO,0)-2,13),IF(INDEX(Tab_DaBa[],MATCH(CONCATENATE(Liste!$C$3,$B$2543,$B$2601),Data!$BO:$BO,0)-2,23)&lt;&gt;"",INDEX(Tab_DaBa[],MATCH(CONCATENATE(Liste!$C$3,$B$2543,$B$2601),Data!$BO:$BO,0)-2,23),"")),"")</f>
        <v>Bez_Lo04_03</v>
      </c>
      <c r="G2605" s="38">
        <f ca="1">IF(H2603="","",4)</f>
        <v>4</v>
      </c>
      <c r="H2605" s="35" t="str">
        <f ca="1">IFERROR(IF(AND(INDEX(Tab_DaBa[],MATCH(CONCATENATE(Liste!$C$3,$B$2543,$B$2601),Data!$BO:$BO,0)-2,23)&lt;&gt;"",INDEX(Tab_DaBa[],MATCH(CONCATENATE(Liste!$C$3,$B$2543,$B$2601),Data!$BO:$BO,0)-2,28)=""),INDEX(Tab_DaBa[],MATCH(CONCATENATE(Liste!$C$3,$B$2543,$B$2601),Data!$BO:$BO,0)-2,13),IF(INDEX(Tab_DaBa[],MATCH(CONCATENATE(Liste!$C$3,$B$2543,$B$2601),Data!$BO:$BO,0)-2,23)&lt;&gt;"",INDEX(Tab_DaBa[],MATCH(CONCATENATE(Liste!$C$3,$B$2543,$B$2601),Data!$BO:$BO,0)-2,28),"")),"")</f>
        <v>Bez_Lo04_03</v>
      </c>
      <c r="I2605" s="38">
        <f ca="1">IF(B2611="","",6)</f>
        <v>6</v>
      </c>
    </row>
    <row r="2606" spans="2:9" s="16" customFormat="1" ht="15.75">
      <c r="B2606" s="35" t="str">
        <f ca="1">IFERROR("Performance Level: "&amp;INDEX(Tab_DaBa[],MATCH(CONCATENATE(Liste!$C$3,$B$2543,$B$2601),Data!$BO:$BO,0)-2,10),"")</f>
        <v>Performance Level: PL_Ein4_3</v>
      </c>
      <c r="C2606" s="54"/>
      <c r="D2606" s="35" t="str">
        <f ca="1">IFERROR(IF(INDEX(Tab_DaBa[],MATCH(CONCATENATE(Liste!$C$3,$B$2543,$B$2601),Data!$BO:$BO,0)-2,18)="","Performance Level: "&amp;INDEX(Tab_DaBa[],MATCH(CONCATENATE(Liste!$C$3,$B$2543,$B$2601),Data!$BO:$BO,0)-2,15),"Performance Level: "&amp;INDEX(Tab_DaBa[],MATCH(CONCATENATE(Liste!$C$3,$B$2543,$B$2601),Data!$BO:$BO,0)-2,20)),"")</f>
        <v>Performance Level: PL_Log01_04_03</v>
      </c>
      <c r="E2606" s="36"/>
      <c r="F2606" s="35" t="str">
        <f ca="1">IFERROR(IF(AND(INDEX(Tab_DaBa[],MATCH(CONCATENATE(Liste!$C$3,$B$2543,$B$2601),Data!$BO:$BO,0)-2,18)&lt;&gt;"",INDEX(Tab_DaBa[],MATCH(CONCATENATE(Liste!$C$3,$B$2543,$B$2601),Data!$BO:$BO,0)-2,23)=""),"Performance Level: "&amp;INDEX(Tab_DaBa[],MATCH(CONCATENATE(Liste!$C$3,$B$2543,$B$2601),Data!$BO:$BO,0)-2,15),IF(INDEX(Tab_DaBa[],MATCH(CONCATENATE(Liste!$C$3,$B$2543,$B$2601),Data!$BO:$BO,0)-2,23)&lt;&gt;"","Performance Level: "&amp;INDEX(Tab_DaBa[],MATCH(CONCATENATE(Liste!$C$3,$B$2543,$B$2601),Data!$BO:$BO,0)-2,25),"")),"")</f>
        <v>Performance Level: PL_Lo04_03</v>
      </c>
      <c r="G2606" s="39"/>
      <c r="H2606" s="35" t="str">
        <f ca="1">IFERROR(IF(AND(INDEX(Tab_DaBa[],MATCH(CONCATENATE(Liste!$C$3,$B$2543,$B$2601),Data!$BO:$BO,0)-2,23)&lt;&gt;"",INDEX(Tab_DaBa[],MATCH(CONCATENATE(Liste!$C$3,$B$2543,$B$2601),Data!$BO:$BO,0)-2,28)=""),"Performance Level: "&amp;INDEX(Tab_DaBa[],MATCH(CONCATENATE(Liste!$C$3,$B$2543,$B$2601),Data!$BO:$BO,0)-2,15),IF(INDEX(Tab_DaBa[],MATCH(CONCATENATE(Liste!$C$3,$B$2543,$B$2601),Data!$BO:$BO,0)-2,23)&lt;&gt;"","Performance Level: "&amp;INDEX(Tab_DaBa[],MATCH(CONCATENATE(Liste!$C$3,$B$2543,$B$2601),Data!$BO:$BO,0)-2,30),"")),"")</f>
        <v>Performance Level: PL_Lo04_03</v>
      </c>
      <c r="I2606" s="38"/>
    </row>
    <row r="2607" spans="2:9" s="16" customFormat="1" ht="15.75">
      <c r="B2607" s="53" t="str">
        <f ca="1">IFERROR("PFH [1/h] = "&amp;10^9*INDEX(Tab_DaBa[],MATCH(CONCATENATE(Liste!$C$3,$B$2543,$B$2601),Data!$BO:$BO,0)-2,11)&amp;"E-9","")</f>
        <v>PFH [1/h] = 42,9E-9</v>
      </c>
      <c r="C2607" s="54"/>
      <c r="D2607" s="35" t="str">
        <f ca="1">IFERROR(IF(INDEX(Tab_DaBa[],MATCH(CONCATENATE(Liste!$C$3,$B$2543,$B$2601),Data!$BO:$BO,0)-2,18)="","PFH [1/h] = "&amp;10^9*INDEX(Tab_DaBa[],MATCH(CONCATENATE(Liste!$C$3,$B$2543,$B$2601),Data!$BO:$BO,0)-2,16)&amp;"E-9","PFH [1/h] = "&amp;10^9*INDEX(Tab_DaBa[],MATCH(CONCATENATE(Liste!$C$3,$B$2543,$B$2601),Data!$BO:$BO,0)-2,21)&amp;"E-9"),"")</f>
        <v>PFH [1/h] = 4,19E-9</v>
      </c>
      <c r="E2607" s="36"/>
      <c r="F2607" s="35" t="str">
        <f ca="1">IFERROR(IF(AND(INDEX(Tab_DaBa[],MATCH(CONCATENATE(Liste!$C$3,$B$2543,$B$2601),Data!$BO:$BO,0)-2,18)&lt;&gt;"",INDEX(Tab_DaBa[],MATCH(CONCATENATE(Liste!$C$3,$B$2543,$B$2601),Data!$BO:$BO,0)-2,23)=""),"PFH [1/h] = "&amp;10^9*INDEX(Tab_DaBa[],MATCH(CONCATENATE(Liste!$C$3,$B$2543,$B$2601),Data!$BO:$BO,0)-2,16)&amp;"E-9",IF(INDEX(Tab_DaBa[],MATCH(CONCATENATE(Liste!$C$3,$B$2543,$B$2601),Data!$BO:$BO,0)-2,23)&lt;&gt;"","PFH [1/h] = "&amp;10^9*INDEX(Tab_DaBa[],MATCH(CONCATENATE(Liste!$C$3,$B$2543,$B$2601),Data!$BO:$BO,0)-2,26)&amp;"E-9","")),"")</f>
        <v>PFH [1/h] = 4,19E-9</v>
      </c>
      <c r="G2607" s="39"/>
      <c r="H2607" s="35" t="str">
        <f ca="1">IFERROR(IF(AND(INDEX(Tab_DaBa[],MATCH(CONCATENATE(Liste!$C$3,$B$2543,$B$2601),Data!$BO:$BO,0)-2,23)&lt;&gt;"",INDEX(Tab_DaBa[],MATCH(CONCATENATE(Liste!$C$3,$B$2543,$B$2601),Data!$BO:$BO,0)-2,28)=""),"PFH [1/h] = "&amp;10^9*INDEX(Tab_DaBa[],MATCH(CONCATENATE(Liste!$C$3,$B$2543,$B$2601),Data!$BO:$BO,0)-2,16)&amp;"E-9",IF(INDEX(Tab_DaBa[],MATCH(CONCATENATE(Liste!$C$3,$B$2543,$B$2601),Data!$BO:$BO,0)-2,23)&lt;&gt;"","PFH [1/h] = "&amp;10^9*INDEX(Tab_DaBa[],MATCH(CONCATENATE(Liste!$C$3,$B$2543,$B$2601),Data!$BO:$BO,0)-2,31)&amp;"E-9","")),"")</f>
        <v>PFH [1/h] = 4,19E-9</v>
      </c>
      <c r="I2607" s="39"/>
    </row>
    <row r="2608" spans="2:9" s="16" customFormat="1">
      <c r="B2608" s="33"/>
      <c r="C2608" s="34"/>
      <c r="D2608" s="33"/>
      <c r="E2608" s="33"/>
      <c r="F2608" s="33"/>
      <c r="G2608" s="33"/>
      <c r="H2608" s="33"/>
      <c r="I2608" s="33"/>
    </row>
    <row r="2609" spans="2:9" s="16" customFormat="1" ht="15.75">
      <c r="B2609" s="38">
        <f ca="1">IF(B2611="","",6)</f>
        <v>6</v>
      </c>
      <c r="C2609" s="34"/>
      <c r="D2609" s="38">
        <f ca="1">IF(B2611="","",3)</f>
        <v>3</v>
      </c>
      <c r="E2609" s="33"/>
      <c r="F2609" s="38">
        <f ca="1">IF(B2611="","",3)</f>
        <v>3</v>
      </c>
      <c r="G2609" s="33"/>
      <c r="H2609" s="38">
        <f ca="1">IF(B2611="","",3)</f>
        <v>3</v>
      </c>
      <c r="I2609" s="33"/>
    </row>
    <row r="2610" spans="2:9" s="16" customFormat="1" ht="15.75">
      <c r="B2610" s="39"/>
      <c r="C2610" s="33"/>
      <c r="D2610" s="33"/>
      <c r="E2610" s="33"/>
      <c r="F2610" s="33"/>
      <c r="G2610" s="33"/>
      <c r="H2610" s="33"/>
      <c r="I2610" s="33"/>
    </row>
    <row r="2611" spans="2:9" s="16" customFormat="1" ht="15.75">
      <c r="B2611" s="35" t="str">
        <f ca="1">IFERROR(IF(AND(INDEX(Tab_DaBa[],MATCH(CONCATENATE(Liste!$C$3,$B$2543,$B$2601),Data!$BO:$BO,0)-2,28)&lt;&gt;"",INDEX(Tab_DaBa[],MATCH(CONCATENATE(Liste!$C$3,$B$2543,$B$2601),Data!$BO:$BO,0)-2,33)=0),INDEX(Tab_DaBa[],MATCH(CONCATENATE(Liste!$C$3,$B$2543,$B$2601),Data!$BO:$BO,0)-2,14),IF(INDEX(Tab_DaBa[],MATCH(CONCATENATE(Liste!$C$3,$B$2543,$B$2601),Data!$BO:$BO,0)-2,28)&lt;&gt;"",INDEX(Tab_DaBa[],MATCH(CONCATENATE(Liste!$C$3,$B$2543,$B$2601),Data!$BO:$BO,0)-2,34),"")),"")</f>
        <v>Ausgang</v>
      </c>
      <c r="C2611" s="39"/>
      <c r="D2611" s="35" t="str">
        <f ca="1">IFERROR(IF(AND(INDEX(Tab_DaBa[],MATCH(CONCATENATE(Liste!$C$3,$B$2543,$B$2601),Data!$BO:$BO,0)-2,33)&lt;&gt;"",INDEX(Tab_DaBa[],MATCH(CONCATENATE(Liste!$C$3,$B$2543,$B$2601),Data!$BO:$BO,0)-2,38)=0),INDEX(Tab_DaBa[],MATCH(CONCATENATE(Liste!$C$3,$B$2543,$B$2601),Data!$BO:$BO,0)-2,14),IF(INDEX(Tab_DaBa[],MATCH(CONCATENATE(Liste!$C$3,$B$2543,$B$2601),Data!$BO:$BO,0)-2,33)&lt;&gt;"",INDEX(Tab_DaBa[],MATCH(CONCATENATE(Liste!$C$3,$B$2543,$B$2601),Data!$BO:$BO,0)-2,39),"")),"")</f>
        <v/>
      </c>
      <c r="E2611" s="33"/>
      <c r="F2611" s="35" t="str">
        <f ca="1">IFERROR(IF(AND(INDEX(Tab_DaBa[],MATCH(CONCATENATE(Liste!$C$3,$B$2543,$B$2601),Data!$BO:$BO,0)-2,38)&lt;&gt;"",INDEX(Tab_DaBa[],MATCH(CONCATENATE(Liste!$C$3,$B$2543,$B$2601),Data!$BO:$BO,0)-2,43)=0),INDEX(Tab_DaBa[],MATCH(CONCATENATE(Liste!$C$3,$B$2543,$B$2601),Data!$BO:$BO,0)-2,14),IF(INDEX(Tab_DaBa[],MATCH(CONCATENATE(Liste!$C$3,$B$2543,$B$2601),Data!$BO:$BO,0)-2,38)&lt;&gt;"",INDEX(Tab_DaBa[],MATCH(CONCATENATE(Liste!$C$3,$B$2543,$B$2601),Data!$BO:$BO,0)-2,44),"")),"")</f>
        <v/>
      </c>
      <c r="G2611" s="39"/>
      <c r="H2611" s="35" t="str">
        <f ca="1">IFERROR(IF(AND(INDEX(Tab_DaBa[],MATCH(CONCATENATE(Liste!$C$3,$B$2543,$B$2601),Data!$BO:$BO,0)-2,43)&lt;&gt;"",INDEX(Tab_DaBa[],MATCH(CONCATENATE(Liste!$C$3,$B$2543,$B$2601),Data!$BO:$BO,0)-2,48)=0),INDEX(Tab_DaBa[],MATCH(CONCATENATE(Liste!$C$3,$B$2543,$B$2601),Data!$BO:$BO,0)-2,14),IF(INDEX(Tab_DaBa[],MATCH(CONCATENATE(Liste!$C$3,$B$2543,$B$2601),Data!$BO:$BO,0)-2,43)&lt;&gt;"",INDEX(Tab_DaBa[],MATCH(CONCATENATE(Liste!$C$3,$B$2543,$B$2601),Data!$BO:$BO,0)-2,49),"")),"")</f>
        <v/>
      </c>
      <c r="I2611" s="39"/>
    </row>
    <row r="2612" spans="2:9" s="16" customFormat="1" ht="15.75">
      <c r="B2612" s="35" t="str">
        <f ca="1">IFERROR(IF(AND(INDEX(Tab_DaBa[],MATCH(CONCATENATE(Liste!$C$3,$B$2543,$B$2601),Data!$BO:$BO,0)-2,28)&lt;&gt;"",INDEX(Tab_DaBa[],MATCH(CONCATENATE(Liste!$C$3,$B$2543,$B$2601),Data!$BO:$BO,0)-2,33)=0),INDEX(Tab_DaBa[],MATCH(CONCATENATE(Liste!$C$3,$B$2543,$B$2601),Data!$BO:$BO,0)-2,12),IF(INDEX(Tab_DaBa[],MATCH(CONCATENATE(Liste!$C$3,$B$2543,$B$2601),Data!$BO:$BO,0)-2,28)&lt;&gt;"",INDEX(Tab_DaBa[],MATCH(CONCATENATE(Liste!$C$3,$B$2543,$B$2601),Data!$BO:$BO,0)-2,32),"")),"")</f>
        <v>aaaa-44_3</v>
      </c>
      <c r="C2612" s="39"/>
      <c r="D2612" s="35" t="str">
        <f ca="1">IFERROR(IF(AND(INDEX(Tab_DaBa[],MATCH(CONCATENATE(Liste!$C$3,$B$2543,$B$2601),Data!$BO:$BO,0)-2,33)&lt;&gt;"",INDEX(Tab_DaBa[],MATCH(CONCATENATE(Liste!$C$3,$B$2543,$B$2601),Data!$BO:$BO,0)-2,38)=0),INDEX(Tab_DaBa[],MATCH(CONCATENATE(Liste!$C$3,$B$2543,$B$2601),Data!$BO:$BO,0)-2,12),IF(INDEX(Tab_DaBa[],MATCH(CONCATENATE(Liste!$C$3,$B$2543,$B$2601),Data!$BO:$BO,0)-2,33)&lt;&gt;"",INDEX(Tab_DaBa[],MATCH(CONCATENATE(Liste!$C$3,$B$2543,$B$2601),Data!$BO:$BO,0)-2,37),"")),"")</f>
        <v/>
      </c>
      <c r="E2612" s="37"/>
      <c r="F2612" s="35" t="str">
        <f ca="1">IFERROR(IF(AND(INDEX(Tab_DaBa[],MATCH(CONCATENATE(Liste!$C$3,$B$2543,$B$2601),Data!$BO:$BO,0)-2,38)&lt;&gt;"",INDEX(Tab_DaBa[],MATCH(CONCATENATE(Liste!$C$3,$B$2543,$B$2601),Data!$BO:$BO,0)-2,43)=0),INDEX(Tab_DaBa[],MATCH(CONCATENATE(Liste!$C$3,$B$2543,$B$2601),Data!$BO:$BO,0)-2,12),IF(INDEX(Tab_DaBa[],MATCH(CONCATENATE(Liste!$C$3,$B$2543,$B$2601),Data!$BO:$BO,0)-2,38)&lt;&gt;"",INDEX(Tab_DaBa[],MATCH(CONCATENATE(Liste!$C$3,$B$2543,$B$2601),Data!$BO:$BO,0)-2,42),"")),"")</f>
        <v/>
      </c>
      <c r="G2612" s="39"/>
      <c r="H2612" s="35" t="str">
        <f ca="1">IFERROR(IF(AND(INDEX(Tab_DaBa[],MATCH(CONCATENATE(Liste!$C$3,$B$2543,$B$2601),Data!$BO:$BO,0)-2,43)&lt;&gt;"",INDEX(Tab_DaBa[],MATCH(CONCATENATE(Liste!$C$3,$B$2543,$B$2601),Data!$BO:$BO,0)-2,48)=0),INDEX(Tab_DaBa[],MATCH(CONCATENATE(Liste!$C$3,$B$2543,$B$2601),Data!$BO:$BO,0)-2,12),IF(INDEX(Tab_DaBa[],MATCH(CONCATENATE(Liste!$C$3,$B$2543,$B$2601),Data!$BO:$BO,0)-2,43)&lt;&gt;"",INDEX(Tab_DaBa[],MATCH(CONCATENATE(Liste!$C$3,$B$2543,$B$2601),Data!$BO:$BO,0)-2,47),"")),"")</f>
        <v/>
      </c>
      <c r="I2612" s="39"/>
    </row>
    <row r="2613" spans="2:9" s="16" customFormat="1" ht="15.75">
      <c r="B2613" s="35" t="str">
        <f ca="1">IFERROR(IF(AND(INDEX(Tab_DaBa[],MATCH(CONCATENATE(Liste!$C$3,$B$2543,$B$2601),Data!$BO:$BO,0)-2,28)&lt;&gt;"",INDEX(Tab_DaBa[],MATCH(CONCATENATE(Liste!$C$3,$B$2543,$B$2601),Data!$BO:$BO,0)-2,33)=""),INDEX(Tab_DaBa[],MATCH(CONCATENATE(Liste!$C$3,$B$2543,$B$2601),Data!$BO:$BO,0)-2,13),IF(INDEX(Tab_DaBa[],MATCH(CONCATENATE(Liste!$C$3,$B$2543,$B$2601),Data!$BO:$BO,0)-2,28)&lt;&gt;"",INDEX(Tab_DaBa[],MATCH(CONCATENATE(Liste!$C$3,$B$2543,$B$2601),Data!$BO:$BO,0)-2,33),"")),"")</f>
        <v>Bez_Aus4_3</v>
      </c>
      <c r="C2613" s="38" t="str">
        <f ca="1">IF(D2611="","",4)</f>
        <v/>
      </c>
      <c r="D2613" s="35" t="str">
        <f ca="1">IFERROR(IF(AND(INDEX(Tab_DaBa[],MATCH(CONCATENATE(Liste!$C$3,$B$2543,$B$2601),Data!$BO:$BO,0)-2,33)&lt;&gt;"",INDEX(Tab_DaBa[],MATCH(CONCATENATE(Liste!$C$3,$B$2543,$B$2601),Data!$BO:$BO,0)-2,38)=""),INDEX(Tab_DaBa[],MATCH(CONCATENATE(Liste!$C$3,$B$2543,$B$2601),Data!$BO:$BO,0)-2,13),IF(INDEX(Tab_DaBa[],MATCH(CONCATENATE(Liste!$C$3,$B$2543,$B$2601),Data!$BO:$BO,0)-2,33)&lt;&gt;"",INDEX(Tab_DaBa[],MATCH(CONCATENATE(Liste!$C$3,$B$2543,$B$2601),Data!$BO:$BO,0)-2,38),"")),"")</f>
        <v/>
      </c>
      <c r="E2613" s="38" t="str">
        <f ca="1">IF(F2611="","",4)</f>
        <v/>
      </c>
      <c r="F2613" s="35" t="str">
        <f ca="1">IFERROR(IF(AND(INDEX(Tab_DaBa[],MATCH(CONCATENATE(Liste!$C$3,$B$2543,$B$2601),Data!$BO:$BO,0)-2,38)&lt;&gt;"",INDEX(Tab_DaBa[],MATCH(CONCATENATE(Liste!$C$3,$B$2543,$B$2601),Data!$BO:$BO,0)-2,43)=""),INDEX(Tab_DaBa[],MATCH(CONCATENATE(Liste!$C$3,$B$2543,$B$2601),Data!$BO:$BO,0)-2,13),IF(INDEX(Tab_DaBa[],MATCH(CONCATENATE(Liste!$C$3,$B$2543,$B$2601),Data!$BO:$BO,0)-2,38)&lt;&gt;"",INDEX(Tab_DaBa[],MATCH(CONCATENATE(Liste!$C$3,$B$2543,$B$2601),Data!$BO:$BO,0)-2,43),"")),"")</f>
        <v/>
      </c>
      <c r="G2613" s="38" t="str">
        <f ca="1">IF(H2611="","",4)</f>
        <v/>
      </c>
      <c r="H2613" s="35" t="str">
        <f ca="1">IFERROR(IF(AND(INDEX(Tab_DaBa[],MATCH(CONCATENATE(Liste!$C$3,$B$2543,$B$2601),Data!$BO:$BO,0)-2,43)&lt;&gt;"",INDEX(Tab_DaBa[],MATCH(CONCATENATE(Liste!$C$3,$B$2543,$B$2601),Data!$BO:$BO,0)-2,48)=""),INDEX(Tab_DaBa[],MATCH(CONCATENATE(Liste!$C$3,$B$2543,$B$2601),Data!$BO:$BO,0)-2,13),IF(INDEX(Tab_DaBa[],MATCH(CONCATENATE(Liste!$C$3,$B$2543,$B$2601),Data!$BO:$BO,0)-2,43)&lt;&gt;"",INDEX(Tab_DaBa[],MATCH(CONCATENATE(Liste!$C$3,$B$2543,$B$2601),Data!$BO:$BO,0)-2,48),"")),"")</f>
        <v/>
      </c>
      <c r="I2613" s="38" t="str">
        <f ca="1">IF(B2619="","",6)</f>
        <v/>
      </c>
    </row>
    <row r="2614" spans="2:9" s="16" customFormat="1" ht="15.75">
      <c r="B2614" s="35" t="str">
        <f ca="1">IFERROR(IF(AND(INDEX(Tab_DaBa[],MATCH(CONCATENATE(Liste!$C$3,$B$2543,$B$2601),Data!$BO:$BO,0)-2,28)&lt;&gt;"",INDEX(Tab_DaBa[],MATCH(CONCATENATE(Liste!$C$3,$B$2543,$B$2601),Data!$BO:$BO,0)-2,33)=""),"Performance Level: "&amp;INDEX(Tab_DaBa[],MATCH(CONCATENATE(Liste!$C$3,$B$2543,$B$2601),Data!$BO:$BO,0)-2,15),IF(INDEX(Tab_DaBa[],MATCH(CONCATENATE(Liste!$C$3,$B$2543,$B$2601),Data!$BO:$BO,0)-2,28)&lt;&gt;"","Performance Level: "&amp;INDEX(Tab_DaBa[],MATCH(CONCATENATE(Liste!$C$3,$B$2543,$B$2601),Data!$BO:$BO,0)-2,35),"")),"")</f>
        <v>Performance Level: PL_Aus4_3</v>
      </c>
      <c r="C2614" s="39"/>
      <c r="D2614" s="35" t="str">
        <f ca="1">IFERROR(IF(AND(INDEX(Tab_DaBa[],MATCH(CONCATENATE(Liste!$C$3,$B$2543,$B$2601),Data!$BO:$BO,0)-2,33)&lt;&gt;"",INDEX(Tab_DaBa[],MATCH(CONCATENATE(Liste!$C$3,$B$2543,$B$2601),Data!$BO:$BO,0)-2,38)=""),"Performance Level: "&amp;INDEX(Tab_DaBa[],MATCH(CONCATENATE(Liste!$C$3,$B$2543,$B$2601),Data!$BO:$BO,0)-2,15),IF(INDEX(Tab_DaBa[],MATCH(CONCATENATE(Liste!$C$3,$B$2543,$B$2601),Data!$BO:$BO,0)-2,33)&lt;&gt;"","Performance Level: "&amp;INDEX(Tab_DaBa[],MATCH(CONCATENATE(Liste!$C$3,$B$2543,$B$2601),Data!$BO:$BO,0)-2,40),"")),"")</f>
        <v/>
      </c>
      <c r="E2614" s="37"/>
      <c r="F2614" s="35" t="str">
        <f ca="1">IFERROR(IF(AND(INDEX(Tab_DaBa[],MATCH(CONCATENATE(Liste!$C$3,$B$2543,$B$2601),Data!$BO:$BO,0)-2,38)&lt;&gt;"",INDEX(Tab_DaBa[],MATCH(CONCATENATE(Liste!$C$3,$B$2543,$B$2601),Data!$BO:$BO,0)-2,43)=""),"Performance Level: "&amp;INDEX(Tab_DaBa[],MATCH(CONCATENATE(Liste!$C$3,$B$2543,$B$2601),Data!$BO:$BO,0)-2,15),IF(INDEX(Tab_DaBa[],MATCH(CONCATENATE(Liste!$C$3,$B$2543,$B$2601),Data!$BO:$BO,0)-2,38)&lt;&gt;"","Performance Level: "&amp;INDEX(Tab_DaBa[],MATCH(CONCATENATE(Liste!$C$3,$B$2543,$B$2601),Data!$BO:$BO,0)-2,45),"")),"")</f>
        <v/>
      </c>
      <c r="G2614" s="39"/>
      <c r="H2614" s="35" t="str">
        <f ca="1">IFERROR(IF(AND(INDEX(Tab_DaBa[],MATCH(CONCATENATE(Liste!$C$3,$B$2543,$B$2601),Data!$BO:$BO,0)-2,43)&lt;&gt;"",INDEX(Tab_DaBa[],MATCH(CONCATENATE(Liste!$C$3,$B$2543,$B$2601),Data!$BO:$BO,0)-2,48)=""),"Performance Level: "&amp;INDEX(Tab_DaBa[],MATCH(CONCATENATE(Liste!$C$3,$B$2543,$B$2601),Data!$BO:$BO,0)-2,15),IF(INDEX(Tab_DaBa[],MATCH(CONCATENATE(Liste!$C$3,$B$2543,$B$2601),Data!$BO:$BO,0)-2,43)&lt;&gt;"","Performance Level: "&amp;INDEX(Tab_DaBa[],MATCH(CONCATENATE(Liste!$C$3,$B$2543,$B$2601),Data!$BO:$BO,0)-2,50),"")),"")</f>
        <v/>
      </c>
      <c r="I2614" s="39"/>
    </row>
    <row r="2615" spans="2:9" s="16" customFormat="1" ht="15.75">
      <c r="B2615" s="35" t="str">
        <f ca="1">IFERROR(IF(AND(INDEX(Tab_DaBa[],MATCH(CONCATENATE(Liste!$C$3,$B$2543,$B$2601),Data!$BO:$BO,0)-2,28)&lt;&gt;"",INDEX(Tab_DaBa[],MATCH(CONCATENATE(Liste!$C$3,$B$2543,$B$2601),Data!$BO:$BO,0)-2,33)=""),"PFH [1/h] = "&amp;10^9*INDEX(Tab_DaBa[],MATCH(CONCATENATE(Liste!$C$3,$B$2543,$B$2601),Data!$BO:$BO,0)-2,16)&amp;"E-9",IF(INDEX(Tab_DaBa[],MATCH(CONCATENATE(Liste!$C$3,$B$2543,$B$2601),Data!$BO:$BO,0)-2,28)&lt;&gt;"","PFH [1/h] = "&amp;10^9*INDEX(Tab_DaBa[],MATCH(CONCATENATE(Liste!$C$3,$B$2543,$B$2601),Data!$BO:$BO,0)-2,36)&amp;"E-9","")),"")</f>
        <v>PFH [1/h] = 24,7E-9</v>
      </c>
      <c r="C2615" s="39"/>
      <c r="D2615" s="35" t="str">
        <f ca="1">IFERROR(IF(AND(INDEX(Tab_DaBa[],MATCH(CONCATENATE(Liste!$C$3,$B$2543,$B$2601),Data!$BO:$BO,0)-2,33)&lt;&gt;"",INDEX(Tab_DaBa[],MATCH(CONCATENATE(Liste!$C$3,$B$2543,$B$2601),Data!$BO:$BO,0)-2,38)=""),"PFH [1/h] = "&amp;10^9*INDEX(Tab_DaBa[],MATCH(CONCATENATE(Liste!$C$3,$B$2543,$B$2601),Data!$BO:$BO,0)-2,16)&amp;"E-9",IF(INDEX(Tab_DaBa[],MATCH(CONCATENATE(Liste!$C$3,$B$2543,$B$2601),Data!$BO:$BO,0)-2,33)&lt;&gt;"","PFH [1/h] = "&amp;10^9*INDEX(Tab_DaBa[],MATCH(CONCATENATE(Liste!$C$3,$B$2543,$B$2601),Data!$BO:$BO,0)-2,41)&amp;"E-9","")),"")</f>
        <v/>
      </c>
      <c r="E2615" s="37"/>
      <c r="F2615" s="35" t="str">
        <f ca="1">IFERROR(IF(AND(INDEX(Tab_DaBa[],MATCH(CONCATENATE(Liste!$C$3,$B$2543,$B$2601),Data!$BO:$BO,0)-2,38)&lt;&gt;"",INDEX(Tab_DaBa[],MATCH(CONCATENATE(Liste!$C$3,$B$2543,$B$2601),Data!$BO:$BO,0)-2,43)=""),"PFH [1/h] = "&amp;10^9*INDEX(Tab_DaBa[],MATCH(CONCATENATE(Liste!$C$3,$B$2543,$B$2601),Data!$BO:$BO,0)-2,16)&amp;"E-9",IF(INDEX(Tab_DaBa[],MATCH(CONCATENATE(Liste!$C$3,$B$2543,$B$2601),Data!$BO:$BO,0)-2,38)&lt;&gt;"","PFH [1/h] = "&amp;10^9*INDEX(Tab_DaBa[],MATCH(CONCATENATE(Liste!$C$3,$B$2543,$B$2601),Data!$BO:$BO,0)-2,46)&amp;"E-9","")),"")</f>
        <v/>
      </c>
      <c r="G2615" s="39"/>
      <c r="H2615" s="35" t="str">
        <f ca="1">IFERROR(IF(AND(INDEX(Tab_DaBa[],MATCH(CONCATENATE(Liste!$C$3,$B$2543,$B$2601),Data!$BO:$BO,0)-2,43)&lt;&gt;"",INDEX(Tab_DaBa[],MATCH(CONCATENATE(Liste!$C$3,$B$2543,$B$2601),Data!$BO:$BO,0)-2,48)=""),"PFH [1/h] = "&amp;10^9*INDEX(Tab_DaBa[],MATCH(CONCATENATE(Liste!$C$3,$B$2543,$B$2601),Data!$BO:$BO,0)-2,16)&amp;"E-9",IF(INDEX(Tab_DaBa[],MATCH(CONCATENATE(Liste!$C$3,$B$2543,$B$2601),Data!$BO:$BO,0)-2,43)&lt;&gt;"","PFH [1/h] = "&amp;10^9*INDEX(Tab_DaBa[],MATCH(CONCATENATE(Liste!$C$3,$B$2543,$B$2601),Data!$BO:$BO,0)-2,51)&amp;"E-9","")),"")</f>
        <v/>
      </c>
      <c r="I2615" s="39"/>
    </row>
    <row r="2616" spans="2:9" s="16" customFormat="1">
      <c r="B2616" s="33"/>
      <c r="C2616" s="33"/>
      <c r="D2616" s="33"/>
      <c r="E2616" s="33"/>
      <c r="F2616" s="33"/>
      <c r="G2616" s="33"/>
      <c r="H2616" s="33"/>
      <c r="I2616" s="33"/>
    </row>
    <row r="2617" spans="2:9" s="16" customFormat="1" ht="15.75">
      <c r="B2617" s="38" t="str">
        <f ca="1">IF(B2619="","",6)</f>
        <v/>
      </c>
      <c r="C2617" s="33"/>
      <c r="D2617" s="38" t="str">
        <f ca="1">IF(B2619="","",3)</f>
        <v/>
      </c>
      <c r="E2617" s="33"/>
      <c r="F2617" s="38" t="str">
        <f ca="1">IF(B2619="","",3)</f>
        <v/>
      </c>
      <c r="G2617" s="33"/>
      <c r="H2617" s="38" t="str">
        <f ca="1">IF(B2619="","",3)</f>
        <v/>
      </c>
      <c r="I2617" s="33"/>
    </row>
    <row r="2618" spans="2:9" s="16" customFormat="1" ht="15.75">
      <c r="B2618" s="39"/>
      <c r="C2618" s="33"/>
      <c r="D2618" s="33"/>
      <c r="E2618" s="33"/>
      <c r="F2618" s="33"/>
      <c r="G2618" s="33"/>
      <c r="H2618" s="33"/>
      <c r="I2618" s="33"/>
    </row>
    <row r="2619" spans="2:9" s="16" customFormat="1" ht="15.75">
      <c r="B2619" s="35" t="str">
        <f ca="1">IFERROR(IF(AND(INDEX(Tab_DaBa[],MATCH(CONCATENATE(Liste!$C$3,$B$2543,$B$2601),Data!$BO:$BO,0)-2,48)&lt;&gt;"",INDEX(Tab_DaBa[],MATCH(CONCATENATE(Liste!$C$3,$B$2543,$B$2601),Data!$BO:$BO,0)-2,53)=0),INDEX(Tab_DaBa[],MATCH(CONCATENATE(Liste!$C$3,$B$2543,$B$2601),Data!$BO:$BO,0)-2,14),IF(INDEX(Tab_DaBa[],MATCH(CONCATENATE(Liste!$C$3,$B$2543,$B$2601),Data!$BO:$BO,0)-2,48)&lt;&gt;"",INDEX(Tab_DaBa[],MATCH(CONCATENATE(Liste!$C$3,$B$2543,$B$2601),Data!$BO:$BO,0)-2,54),"")),"")</f>
        <v/>
      </c>
      <c r="C2619" s="39"/>
      <c r="D2619" s="35" t="str">
        <f ca="1">IFERROR(IF(AND(INDEX(Tab_DaBa[],MATCH(CONCATENATE(Liste!$C$3,$B$2543,$B$2601),Data!$BO:$BO,0)-2,53)&lt;&gt;"",INDEX(Tab_DaBa[],MATCH(CONCATENATE(Liste!$C$3,$B$2543,$B$2601),Data!$BO:$BO,0)-2,58)=0),INDEX(Tab_DaBa[],MATCH(CONCATENATE(Liste!$C$3,$B$2543,$B$2601),Data!$BO:$BO,0)-2,14),IF(INDEX(Tab_DaBa[],MATCH(CONCATENATE(Liste!$C$3,$B$2543,$B$2601),Data!$BO:$BO,0)-2,53)&lt;&gt;"",INDEX(Tab_DaBa[],MATCH(CONCATENATE(Liste!$C$3,$B$2543,$B$2601),Data!$BO:$BO,0)-2,59),"")),"")</f>
        <v/>
      </c>
      <c r="E2619" s="33"/>
      <c r="F2619" s="35" t="str">
        <f ca="1">IFERROR(IF(AND(INDEX(Tab_DaBa[],MATCH(CONCATENATE(Liste!$C$3,$B$2543,$B$2601),Data!$BO:$BO,0)-2,58)&lt;&gt;"",INDEX(Tab_DaBa[],MATCH(CONCATENATE(Liste!$C$3,$B$2543,$B$2601),Data!$BO:$BO,0)-2,63)=0),INDEX(Tab_DaBa[],MATCH(CONCATENATE(Liste!$C$3,$B$2543,$B$2601),Data!$BO:$BO,0)-2,14),IF(INDEX(Tab_DaBa[],MATCH(CONCATENATE(Liste!$C$3,$B$2543,$B$2601),Data!$BO:$BO,0)-2,58)&lt;&gt;"",INDEX(Tab_DaBa[],MATCH(CONCATENATE(Liste!$C$3,$B$2543,$B$2601),Data!$BO:$BO,0)-2,64),"")),"")</f>
        <v/>
      </c>
      <c r="G2619" s="39"/>
      <c r="H2619" s="35" t="str">
        <f ca="1">IFERROR(IF(INDEX(Tab_DaBa[],MATCH(CONCATENATE(Liste!$C$3,$B$2543,$B$2601),Data!$BO:$BO,0)-2,63)&lt;&gt;"",INDEX(Tab_DaBa[],MATCH(CONCATENATE(Liste!$C$3,$B$2543,$B$2601),Data!$BO:$BO,0)-2,14),""),"")</f>
        <v/>
      </c>
    </row>
    <row r="2620" spans="2:9" s="16" customFormat="1" ht="15.75">
      <c r="B2620" s="35" t="str">
        <f ca="1">IFERROR(IF(AND(INDEX(Tab_DaBa[],MATCH(CONCATENATE(Liste!$C$3,$B$2543,$B$2601),Data!$BO:$BO,0)-2,48)&lt;&gt;"",INDEX(Tab_DaBa[],MATCH(CONCATENATE(Liste!$C$3,$B$2543,$B$2601),Data!$BO:$BO,0)-2,53)=0),INDEX(Tab_DaBa[],MATCH(CONCATENATE(Liste!$C$3,$B$2543,$B$2601),Data!$BO:$BO,0)-2,12),IF(INDEX(Tab_DaBa[],MATCH(CONCATENATE(Liste!$C$3,$B$2543,$B$2601),Data!$BO:$BO,0)-2,48)&lt;&gt;"",INDEX(Tab_DaBa[],MATCH(CONCATENATE(Liste!$C$3,$B$2543,$B$2601),Data!$BO:$BO,0)-2,52),"")),"")</f>
        <v/>
      </c>
      <c r="C2620" s="39"/>
      <c r="D2620" s="35" t="str">
        <f ca="1">IFERROR(IF(AND(INDEX(Tab_DaBa[],MATCH(CONCATENATE(Liste!$C$3,$B$2543,$B$2601),Data!$BO:$BO,0)-2,53)&lt;&gt;"",INDEX(Tab_DaBa[],MATCH(CONCATENATE(Liste!$C$3,$B$2543,$B$2601),Data!$BO:$BO,0)-2,58)=0),INDEX(Tab_DaBa[],MATCH(CONCATENATE(Liste!$C$3,$B$2543,$B$2601),Data!$BO:$BO,0)-2,12),IF(INDEX(Tab_DaBa[],MATCH(CONCATENATE(Liste!$C$3,$B$2543,$B$2601),Data!$BO:$BO,0)-2,53)&lt;&gt;"",INDEX(Tab_DaBa[],MATCH(CONCATENATE(Liste!$C$3,$B$2543,$B$2601),Data!$BO:$BO,0)-2,57),"")),"")</f>
        <v/>
      </c>
      <c r="E2620" s="37"/>
      <c r="F2620" s="35" t="str">
        <f ca="1">IFERROR(IF(AND(INDEX(Tab_DaBa[],MATCH(CONCATENATE(Liste!$C$3,$B$2543,$B$2601),Data!$BO:$BO,0)-2,58)&lt;&gt;"",INDEX(Tab_DaBa[],MATCH(CONCATENATE(Liste!$C$3,$B$2543,$B$2601),Data!$BO:$BO,0)-2,63)=0),INDEX(Tab_DaBa[],MATCH(CONCATENATE(Liste!$C$3,$B$2543,$B$2601),Data!$BO:$BO,0)-2,12),IF(INDEX(Tab_DaBa[],MATCH(CONCATENATE(Liste!$C$3,$B$2543,$B$2601),Data!$BO:$BO,0)-2,58)&lt;&gt;"",INDEX(Tab_DaBa[],MATCH(CONCATENATE(Liste!$C$3,$B$2543,$B$2601),Data!$BO:$BO,0)-2,62),"")),"")</f>
        <v/>
      </c>
      <c r="G2620" s="39"/>
      <c r="H2620" s="35" t="str">
        <f ca="1">IFERROR(IF(INDEX(Tab_DaBa[],MATCH(CONCATENATE(Liste!$C$3,$B$2543,$B$2601),Data!$BO:$BO,0)-2,63)&lt;&gt;"",INDEX(Tab_DaBa[],MATCH(CONCATENATE(Liste!$C$3,$B$2543,$B$2601),Data!$BO:$BO,0)-2,12),""),"")</f>
        <v/>
      </c>
    </row>
    <row r="2621" spans="2:9" s="16" customFormat="1" ht="15.75">
      <c r="B2621" s="35" t="str">
        <f ca="1">IFERROR(IF(AND(INDEX(Tab_DaBa[],MATCH(CONCATENATE(Liste!$C$3,$B$2543,$B$2601),Data!$BO:$BO,0)-2,48)&lt;&gt;"",INDEX(Tab_DaBa[],MATCH(CONCATENATE(Liste!$C$3,$B$2543,$B$2601),Data!$BO:$BO,0)-2,53)=""),INDEX(Tab_DaBa[],MATCH(CONCATENATE(Liste!$C$3,$B$2543,$B$2601),Data!$BO:$BO,0)-2,13),IF(INDEX(Tab_DaBa[],MATCH(CONCATENATE(Liste!$C$3,$B$2543,$B$2601),Data!$BO:$BO,0)-2,48)&lt;&gt;"",INDEX(Tab_DaBa[],MATCH(CONCATENATE(Liste!$C$3,$B$2543,$B$2601),Data!$BO:$BO,0)-2,53),"")),"")</f>
        <v/>
      </c>
      <c r="C2621" s="38" t="str">
        <f ca="1">IF(D2619="","",4)</f>
        <v/>
      </c>
      <c r="D2621" s="35" t="str">
        <f ca="1">IFERROR(IF(AND(INDEX(Tab_DaBa[],MATCH(CONCATENATE(Liste!$C$3,$B$2543,$B$2601),Data!$BO:$BO,0)-2,53)&lt;&gt;"",INDEX(Tab_DaBa[],MATCH(CONCATENATE(Liste!$C$3,$B$2543,$B$2601),Data!$BO:$BO,0)-2,58)=""),INDEX(Tab_DaBa[],MATCH(CONCATENATE(Liste!$C$3,$B$2543,$B$2601),Data!$BO:$BO,0)-2,13),IF(INDEX(Tab_DaBa[],MATCH(CONCATENATE(Liste!$C$3,$B$2543,$B$2601),Data!$BO:$BO,0)-2,53)&lt;&gt;"",INDEX(Tab_DaBa[],MATCH(CONCATENATE(Liste!$C$3,$B$2543,$B$2601),Data!$BO:$BO,0)-2,58),"")),"")</f>
        <v/>
      </c>
      <c r="E2621" s="38" t="str">
        <f ca="1">IF(F2619="","",4)</f>
        <v/>
      </c>
      <c r="F2621" s="35" t="str">
        <f ca="1">IFERROR(IF(AND(INDEX(Tab_DaBa[],MATCH(CONCATENATE(Liste!$C$3,$B$2543,$B$2601),Data!$BO:$BO,0)-2,58)&lt;&gt;"",INDEX(Tab_DaBa[],MATCH(CONCATENATE(Liste!$C$3,$B$2543,$B$2601),Data!$BO:$BO,0)-2,63)=""),INDEX(Tab_DaBa[],MATCH(CONCATENATE(Liste!$C$3,$B$2543,$B$2601),Data!$BO:$BO,0)-2,13),IF(INDEX(Tab_DaBa[],MATCH(CONCATENATE(Liste!$C$3,$B$2543,$B$2601),Data!$BO:$BO,0)-2,58)&lt;&gt;"",INDEX(Tab_DaBa[],MATCH(CONCATENATE(Liste!$C$3,$B$2543,$B$2601),Data!$BO:$BO,0)-2,63),"")),"")</f>
        <v/>
      </c>
      <c r="G2621" s="38" t="str">
        <f ca="1">IF(H2619="","",4)</f>
        <v/>
      </c>
      <c r="H2621" s="35" t="str">
        <f ca="1">IFERROR(IF(INDEX(Tab_DaBa[],MATCH(CONCATENATE(Liste!$C$3,$B$2543,$B$2601),Data!$BO:$BO,0)-2,63)&lt;&gt;"",INDEX(Tab_DaBa[],MATCH(CONCATENATE(Liste!$C$3,$B$2543,$B$2601),Data!$BO:$BO,0)-2,13),""),"")</f>
        <v/>
      </c>
    </row>
    <row r="2622" spans="2:9" s="16" customFormat="1" ht="15.75">
      <c r="B2622" s="35" t="str">
        <f ca="1">IFERROR(IF(AND(INDEX(Tab_DaBa[],MATCH(CONCATENATE(Liste!$C$3,$B$2543,$B$2601),Data!$BO:$BO,0)-2,48)&lt;&gt;"",INDEX(Tab_DaBa[],MATCH(CONCATENATE(Liste!$C$3,$B$2543,$B$2601),Data!$BO:$BO,0)-2,53)=""),"Performance Level: "&amp;INDEX(Tab_DaBa[],MATCH(CONCATENATE(Liste!$C$3,$B$2543,$B$2601),Data!$BO:$BO,0)-2,15),IF(INDEX(Tab_DaBa[],MATCH(CONCATENATE(Liste!$C$3,$B$2543,$B$2601),Data!$BO:$BO,0)-2,48)&lt;&gt;"","Performance Level: "&amp;INDEX(Tab_DaBa[],MATCH(CONCATENATE(Liste!$C$3,$B$2543,$B$2601),Data!$BO:$BO,0)-2,55),"")),"")</f>
        <v/>
      </c>
      <c r="C2622" s="39"/>
      <c r="D2622" s="35" t="str">
        <f ca="1">IFERROR(IF(AND(INDEX(Tab_DaBa[],MATCH(CONCATENATE(Liste!$C$3,$B$2543,$B$2601),Data!$BO:$BO,0)-2,53)&lt;&gt;"",INDEX(Tab_DaBa[],MATCH(CONCATENATE(Liste!$C$3,$B$2543,$B$2601),Data!$BO:$BO,0)-2,58)=""),"Performance Level: "&amp;INDEX(Tab_DaBa[],MATCH(CONCATENATE(Liste!$C$3,$B$2543,$B$2601),Data!$BO:$BO,0)-2,15),IF(INDEX(Tab_DaBa[],MATCH(CONCATENATE(Liste!$C$3,$B$2543,$B$2601),Data!$BO:$BO,0)-2,53)&lt;&gt;"","Performance Level: "&amp;INDEX(Tab_DaBa[],MATCH(CONCATENATE(Liste!$C$3,$B$2543,$B$2601),Data!$BO:$BO,0)-2,60),"")),"")</f>
        <v/>
      </c>
      <c r="E2622" s="37"/>
      <c r="F2622" s="35" t="str">
        <f ca="1">IFERROR(IF(AND(INDEX(Tab_DaBa[],MATCH(CONCATENATE(Liste!$C$3,$B$2543,$B$2601),Data!$BO:$BO,0)-2,58)&lt;&gt;"",INDEX(Tab_DaBa[],MATCH(CONCATENATE(Liste!$C$3,$B$2543,$B$2601),Data!$BO:$BO,0)-2,63)=""),"Performance Level: "&amp;INDEX(Tab_DaBa[],MATCH(CONCATENATE(Liste!$C$3,$B$2543,$B$2601),Data!$BO:$BO,0)-2,15),IF(INDEX(Tab_DaBa[],MATCH(CONCATENATE(Liste!$C$3,$B$2543,$B$2601),Data!$BO:$BO,0)-2,58)&lt;&gt;"","Performance Level: "&amp;INDEX(Tab_DaBa[],MATCH(CONCATENATE(Liste!$C$3,$B$2543,$B$2601),Data!$BO:$BO,0)-2,65),"")),"")</f>
        <v/>
      </c>
      <c r="G2622" s="39"/>
      <c r="H2622" s="35" t="str">
        <f ca="1">IFERROR(IF(INDEX(Tab_DaBa[],MATCH(CONCATENATE(Liste!$C$3,$B$2543,$B$2601),Data!$BO:$BO,0)-2,63)&lt;&gt;"","Performance Level: "&amp;INDEX(Tab_DaBa[],MATCH(CONCATENATE(Liste!$C$3,$B$2543,$B$2601),Data!$BO:$BO,0)-2,15),""),"")</f>
        <v/>
      </c>
    </row>
    <row r="2623" spans="2:9" s="16" customFormat="1" ht="15.75">
      <c r="B2623" s="35" t="str">
        <f ca="1">IFERROR(IF(AND(INDEX(Tab_DaBa[],MATCH(CONCATENATE(Liste!$C$3,$B$2543,$B$2601),Data!$BO:$BO,0)-2,48)&lt;&gt;"",INDEX(Tab_DaBa[],MATCH(CONCATENATE(Liste!$C$3,$B$2543,$B$2601),Data!$BO:$BO,0)-2,53)=""),"PFH [1/h] = "&amp;10^9*INDEX(Tab_DaBa[],MATCH(CONCATENATE(Liste!$C$3,$B$2543,$B$2601),Data!$BO:$BO,0)-2,16)&amp;"E-9",IF(INDEX(Tab_DaBa[],MATCH(CONCATENATE(Liste!$C$3,$B$2543,$B$2601),Data!$BO:$BO,0)-2,48)&lt;&gt;"","PFH [1/h] = "&amp;10^9*INDEX(Tab_DaBa[],MATCH(CONCATENATE(Liste!$C$3,$B$2543,$B$2601),Data!$BO:$BO,0)-2,56)&amp;"E-9","")),"")</f>
        <v/>
      </c>
      <c r="C2623" s="39"/>
      <c r="D2623" s="35" t="str">
        <f ca="1">IFERROR(IF(AND(INDEX(Tab_DaBa[],MATCH(CONCATENATE(Liste!$C$3,$B$2543,$B$2601),Data!$BO:$BO,0)-2,53)&lt;&gt;"",INDEX(Tab_DaBa[],MATCH(CONCATENATE(Liste!$C$3,$B$2543,$B$2601),Data!$BO:$BO,0)-2,58)=""),"PFH [1/h] = "&amp;10^9*INDEX(Tab_DaBa[],MATCH(CONCATENATE(Liste!$C$3,$B$2543,$B$2601),Data!$BO:$BO,0)-2,16)&amp;"E-9",IF(INDEX(Tab_DaBa[],MATCH(CONCATENATE(Liste!$C$3,$B$2543,$B$2601),Data!$BO:$BO,0)-2,53)&lt;&gt;"","PFH [1/h] = "&amp;10^9*INDEX(Tab_DaBa[],MATCH(CONCATENATE(Liste!$C$3,$B$2543,$B$2601),Data!$BO:$BO,0)-2,61)&amp;"E-9","")),"")</f>
        <v/>
      </c>
      <c r="E2623" s="37"/>
      <c r="F2623" s="35" t="str">
        <f ca="1">IFERROR(IF(AND(INDEX(Tab_DaBa[],MATCH(CONCATENATE(Liste!$C$3,$B$2543,$B$2601),Data!$BO:$BO,0)-2,58)&lt;&gt;"",INDEX(Tab_DaBa[],MATCH(CONCATENATE(Liste!$C$3,$B$2543,$B$2601),Data!$BO:$BO,0)-2,63)=""),"PFH [1/h] = "&amp;10^9*INDEX(Tab_DaBa[],MATCH(CONCATENATE(Liste!$C$3,$B$2543,$B$2601),Data!$BO:$BO,0)-2,16)&amp;"E-9",IF(INDEX(Tab_DaBa[],MATCH(CONCATENATE(Liste!$C$3,$B$2543,$B$2601),Data!$BO:$BO,0)-2,58)&lt;&gt;"","PFH [1/h] = "&amp;10^9*INDEX(Tab_DaBa[],MATCH(CONCATENATE(Liste!$C$3,$B$2543,$B$2601),Data!$BO:$BO,0)-2,66)&amp;"E-9","")),"")</f>
        <v/>
      </c>
      <c r="G2623" s="39"/>
      <c r="H2623" s="35" t="str">
        <f ca="1">IFERROR(IF(INDEX(Tab_DaBa[],MATCH(CONCATENATE(Liste!$C$3,$B$2543,$B$2601),Data!$BO:$BO,0)-2,63)&lt;&gt;"","PFH [1/h] = "&amp;10^9*INDEX(Tab_DaBa[],MATCH(CONCATENATE(Liste!$C$3,$B$2543,$B$2601),Data!$BO:$BO,0)-2,16)&amp;"E-9",""),"")</f>
        <v/>
      </c>
    </row>
    <row r="2624" spans="2:9" s="16" customFormat="1"/>
    <row r="2625" spans="2:9" s="16" customFormat="1">
      <c r="B2625" s="43" t="str">
        <f ca="1">IF(D2625="","","Erforderlich")</f>
        <v>Erforderlich</v>
      </c>
      <c r="D2625" s="44" t="str">
        <f ca="1">IFERROR("Performance Level: "&amp;INDEX(Tab_DaBa[],MATCH(CONCATENATE(Liste!$C$3,$B$2543,$B$2601),Data!$BO:$BO,0)-2,4),"")</f>
        <v>Performance Level: PLr_ges4_3</v>
      </c>
    </row>
    <row r="2626" spans="2:9" s="16" customFormat="1">
      <c r="B2626" s="45"/>
    </row>
    <row r="2627" spans="2:9" s="16" customFormat="1">
      <c r="B2627" s="46" t="str">
        <f ca="1">IF(D2627="","","Erreicht")</f>
        <v>Erreicht</v>
      </c>
      <c r="D2627" s="47" t="str">
        <f ca="1">IFERROR("Performance Level: "&amp;INDEX(Tab_DaBa[],MATCH(CONCATENATE(Liste!$C$3,$B$2543,$B$2601),Data!$BO:$BO,0)-2,5)&amp;"          PFH [1/h] = "&amp;10^9*INDEX(Tab_DaBa[],MATCH(CONCATENATE(Liste!$C$3,$B$2543,$B$2601),Data!$BO:$BO,0)-2,6)&amp;"E-9","")</f>
        <v>Performance Level: Pl_ges4_3          PFH [1/h] = 71,7E-9</v>
      </c>
    </row>
    <row r="2628" spans="2:9" s="16" customFormat="1"/>
    <row r="2629" spans="2:9" s="16" customFormat="1">
      <c r="B2629" s="42" t="str">
        <f ca="1">IFERROR(IF(4&gt;COUNTIF(Data!$BP:$BP,CONCATENATE(Liste!$C$3,$B$2543)),"",INDEX(Tab_DaBa[],MATCH(CONCATENATE(Liste!$C$3,$B$2543),Data!$BP:$BP,0)+1,3)),"")</f>
        <v>10.4 Test10 (E+4L+A)</v>
      </c>
    </row>
    <row r="2630" spans="2:9" s="16" customFormat="1"/>
    <row r="2631" spans="2:9" s="16" customFormat="1" ht="15.75">
      <c r="B2631" s="35" t="str">
        <f ca="1">IFERROR(INDEX(Tab_DaBa[],MATCH(CONCATENATE(Liste!$C$3,$B$2543,$B$2629),Data!$BO:$BO,0)-2,9),"")</f>
        <v>Eingang</v>
      </c>
      <c r="C2631" s="54"/>
      <c r="D2631" s="35" t="str">
        <f ca="1">IFERROR(IF(INDEX(Tab_DaBa[],MATCH(CONCATENATE(Liste!$C$3,$B$2543,$B$2629),Data!$BO:$BO,0)-2,18)=0,INDEX(Tab_DaBa[],MATCH(CONCATENATE(Liste!$C$3,$B$2543,$B$2629),Data!$BO:$BO,0)-2,14),INDEX(Tab_DaBa[],MATCH(CONCATENATE(Liste!$C$3,$B$2543,$B$2629),Data!$BO:$BO,0)-2,19)),"")</f>
        <v>Logik 01</v>
      </c>
      <c r="E2631" s="33"/>
      <c r="F2631" s="35" t="str">
        <f ca="1">IFERROR(IF(AND(INDEX(Tab_DaBa[],MATCH(CONCATENATE(Liste!$C$3,$B$2543,$B$2629),Data!$BO:$BO,0)-2,18)&lt;&gt;"",INDEX(Tab_DaBa[],MATCH(CONCATENATE(Liste!$C$3,$B$2543,$B$2629),Data!$BO:$BO,0)-2,23)=0),INDEX(Tab_DaBa[],MATCH(CONCATENATE(Liste!$C$3,$B$2543,$B$2629),Data!$BO:$BO,0)-2,14),IF(INDEX(Tab_DaBa[],MATCH(CONCATENATE(Liste!$C$3,$B$2543,$B$2629),Data!$BO:$BO,0)-2,23)&lt;&gt;"",INDEX(Tab_DaBa[],MATCH(CONCATENATE(Liste!$C$3,$B$2543,$B$2629),Data!$BO:$BO,0)-2,24),"")),"")</f>
        <v>Logik 02</v>
      </c>
      <c r="G2631" s="39"/>
      <c r="H2631" s="35" t="str">
        <f ca="1">IFERROR(IF(AND(INDEX(Tab_DaBa[],MATCH(CONCATENATE(Liste!$C$3,$B$2543,$B$2629),Data!$BO:$BO,0)-2,23)&lt;&gt;"",INDEX(Tab_DaBa[],MATCH(CONCATENATE(Liste!$C$3,$B$2543,$B$2629),Data!$BO:$BO,0)-2,28)=0),INDEX(Tab_DaBa[],MATCH(CONCATENATE(Liste!$C$3,$B$2543,$B$2629),Data!$BO:$BO,0)-2,14),IF(INDEX(Tab_DaBa[],MATCH(CONCATENATE(Liste!$C$3,$B$2543,$B$2629),Data!$BO:$BO,0)-2,23)&lt;&gt;"",INDEX(Tab_DaBa[],MATCH(CONCATENATE(Liste!$C$3,$B$2543,$B$2629),Data!$BO:$BO,0)-2,29),"")),"")</f>
        <v>Logik 03</v>
      </c>
      <c r="I2631" s="39"/>
    </row>
    <row r="2632" spans="2:9" s="16" customFormat="1" ht="15.75">
      <c r="B2632" s="35" t="str">
        <f ca="1">IFERROR(INDEX(Tab_DaBa[],MATCH(CONCATENATE(Liste!$C$3,$B$2543,$B$2629),Data!$BO:$BO,0)-2,7),"")</f>
        <v>eeee-33_4</v>
      </c>
      <c r="C2632" s="54"/>
      <c r="D2632" s="35" t="str">
        <f ca="1">IFERROR(IF(INDEX(Tab_DaBa[],MATCH(CONCATENATE(Liste!$C$3,$B$2543,$B$2629),Data!$BO:$BO,0)-2,18)="",INDEX(Tab_DaBa[],MATCH(CONCATENATE(Liste!$C$3,$B$2543,$B$2629),Data!$BO:$BO,0)-2,12),INDEX(Tab_DaBa[],MATCH(CONCATENATE(Liste!$C$3,$B$2543,$B$2629),Data!$BO:$BO,0)-2,17)),"")</f>
        <v>Log01-04_04</v>
      </c>
      <c r="E2632" s="36"/>
      <c r="F2632" s="35" t="str">
        <f ca="1">IFERROR(IF(AND(INDEX(Tab_DaBa[],MATCH(CONCATENATE(Liste!$C$3,$B$2543,$B$2629),Data!$BO:$BO,0)-2,18)&lt;&gt;"",INDEX(Tab_DaBa[],MATCH(CONCATENATE(Liste!$C$3,$B$2543,$B$2629),Data!$BO:$BO,0)-2,23)=0),INDEX(Tab_DaBa[],MATCH(CONCATENATE(Liste!$C$3,$B$2543,$B$2629),Data!$BO:$BO,0)-2,12),IF(INDEX(Tab_DaBa[],MATCH(CONCATENATE(Liste!$C$3,$B$2543,$B$2629),Data!$BO:$BO,0)-2,23)&lt;&gt;"",INDEX(Tab_DaBa[],MATCH(CONCATENATE(Liste!$C$3,$B$2543,$B$2629),Data!$BO:$BO,0)-2,22),"")),"")</f>
        <v>Lo04-04_04</v>
      </c>
      <c r="G2632" s="39"/>
      <c r="H2632" s="35" t="str">
        <f ca="1">IFERROR(IF(AND(INDEX(Tab_DaBa[],MATCH(CONCATENATE(Liste!$C$3,$B$2543,$B$2629),Data!$BO:$BO,0)-2,23)&lt;&gt;"",INDEX(Tab_DaBa[],MATCH(CONCATENATE(Liste!$C$3,$B$2543,$B$2629),Data!$BO:$BO,0)-2,28)=0),INDEX(Tab_DaBa[],MATCH(CONCATENATE(Liste!$C$3,$B$2543,$B$2629),Data!$BO:$BO,0)-2,12),IF(INDEX(Tab_DaBa[],MATCH(CONCATENATE(Liste!$C$3,$B$2543,$B$2629),Data!$BO:$BO,0)-2,23)&lt;&gt;"",INDEX(Tab_DaBa[],MATCH(CONCATENATE(Liste!$C$3,$B$2543,$B$2629),Data!$BO:$BO,0)-2,27),"")),"")</f>
        <v>Lo04-44_04</v>
      </c>
      <c r="I2632" s="39"/>
    </row>
    <row r="2633" spans="2:9" s="16" customFormat="1" ht="15.75">
      <c r="B2633" s="35" t="str">
        <f ca="1">IFERROR(INDEX(Tab_DaBa[],MATCH(CONCATENATE(Liste!$C$3,$B$2543,$B$2629),Data!$BO:$BO,0)-2,8),"")</f>
        <v>Bez_Ein4_4</v>
      </c>
      <c r="C2633" s="40">
        <f ca="1">IF(D2631="","",4)</f>
        <v>4</v>
      </c>
      <c r="D2633" s="35" t="str">
        <f ca="1">IFERROR(IF(INDEX(Tab_DaBa[],MATCH(CONCATENATE(Liste!$C$3,$B$2543,$B$2629),Data!$BO:$BO,0)-2,18)="",INDEX(Tab_DaBa[],MATCH(CONCATENATE(Liste!$C$3,$B$2543,$B$2629),Data!$BO:$BO,0)-2,13),INDEX(Tab_DaBa[],MATCH(CONCATENATE(Liste!$C$3,$B$2543,$B$2629),Data!$BO:$BO,0)-2,18)),"")</f>
        <v>Bez_Log01_04_04</v>
      </c>
      <c r="E2633" s="40">
        <f ca="1">IF(F2631="","",4)</f>
        <v>4</v>
      </c>
      <c r="F2633" s="35" t="str">
        <f ca="1">IFERROR(IF(AND(INDEX(Tab_DaBa[],MATCH(CONCATENATE(Liste!$C$3,$B$2543,$B$2629),Data!$BO:$BO,0)-2,18)&lt;&gt;"",INDEX(Tab_DaBa[],MATCH(CONCATENATE(Liste!$C$3,$B$2543,$B$2629),Data!$BO:$BO,0)-2,23)=""),INDEX(Tab_DaBa[],MATCH(CONCATENATE(Liste!$C$3,$B$2543,$B$2629),Data!$BO:$BO,0)-2,13),IF(INDEX(Tab_DaBa[],MATCH(CONCATENATE(Liste!$C$3,$B$2543,$B$2629),Data!$BO:$BO,0)-2,23)&lt;&gt;"",INDEX(Tab_DaBa[],MATCH(CONCATENATE(Liste!$C$3,$B$2543,$B$2629),Data!$BO:$BO,0)-2,23),"")),"")</f>
        <v>Bez_Lo04_04</v>
      </c>
      <c r="G2633" s="38">
        <f ca="1">IF(H2631="","",4)</f>
        <v>4</v>
      </c>
      <c r="H2633" s="35" t="str">
        <f ca="1">IFERROR(IF(AND(INDEX(Tab_DaBa[],MATCH(CONCATENATE(Liste!$C$3,$B$2543,$B$2629),Data!$BO:$BO,0)-2,23)&lt;&gt;"",INDEX(Tab_DaBa[],MATCH(CONCATENATE(Liste!$C$3,$B$2543,$B$2629),Data!$BO:$BO,0)-2,28)=""),INDEX(Tab_DaBa[],MATCH(CONCATENATE(Liste!$C$3,$B$2543,$B$2629),Data!$BO:$BO,0)-2,13),IF(INDEX(Tab_DaBa[],MATCH(CONCATENATE(Liste!$C$3,$B$2543,$B$2629),Data!$BO:$BO,0)-2,23)&lt;&gt;"",INDEX(Tab_DaBa[],MATCH(CONCATENATE(Liste!$C$3,$B$2543,$B$2629),Data!$BO:$BO,0)-2,28),"")),"")</f>
        <v>Bez_Lo04_04</v>
      </c>
      <c r="I2633" s="38">
        <f ca="1">IF(B2639="","",6)</f>
        <v>6</v>
      </c>
    </row>
    <row r="2634" spans="2:9" s="16" customFormat="1" ht="15.75">
      <c r="B2634" s="35" t="str">
        <f ca="1">IFERROR("Performance Level: "&amp;INDEX(Tab_DaBa[],MATCH(CONCATENATE(Liste!$C$3,$B$2543,$B$2629),Data!$BO:$BO,0)-2,10),"")</f>
        <v>Performance Level: PL_Ein4_4</v>
      </c>
      <c r="C2634" s="54"/>
      <c r="D2634" s="35" t="str">
        <f ca="1">IFERROR(IF(INDEX(Tab_DaBa[],MATCH(CONCATENATE(Liste!$C$3,$B$2543,$B$2629),Data!$BO:$BO,0)-2,18)="","Performance Level: "&amp;INDEX(Tab_DaBa[],MATCH(CONCATENATE(Liste!$C$3,$B$2543,$B$2629),Data!$BO:$BO,0)-2,15),"Performance Level: "&amp;INDEX(Tab_DaBa[],MATCH(CONCATENATE(Liste!$C$3,$B$2543,$B$2629),Data!$BO:$BO,0)-2,20)),"")</f>
        <v>Performance Level: PL_Log01_04_04</v>
      </c>
      <c r="E2634" s="36"/>
      <c r="F2634" s="35" t="str">
        <f ca="1">IFERROR(IF(AND(INDEX(Tab_DaBa[],MATCH(CONCATENATE(Liste!$C$3,$B$2543,$B$2629),Data!$BO:$BO,0)-2,18)&lt;&gt;"",INDEX(Tab_DaBa[],MATCH(CONCATENATE(Liste!$C$3,$B$2543,$B$2629),Data!$BO:$BO,0)-2,23)=""),"Performance Level: "&amp;INDEX(Tab_DaBa[],MATCH(CONCATENATE(Liste!$C$3,$B$2543,$B$2629),Data!$BO:$BO,0)-2,15),IF(INDEX(Tab_DaBa[],MATCH(CONCATENATE(Liste!$C$3,$B$2543,$B$2629),Data!$BO:$BO,0)-2,23)&lt;&gt;"","Performance Level: "&amp;INDEX(Tab_DaBa[],MATCH(CONCATENATE(Liste!$C$3,$B$2543,$B$2629),Data!$BO:$BO,0)-2,25),"")),"")</f>
        <v>Performance Level: PL_Lo04_04</v>
      </c>
      <c r="G2634" s="39"/>
      <c r="H2634" s="35" t="str">
        <f ca="1">IFERROR(IF(AND(INDEX(Tab_DaBa[],MATCH(CONCATENATE(Liste!$C$3,$B$2543,$B$2629),Data!$BO:$BO,0)-2,23)&lt;&gt;"",INDEX(Tab_DaBa[],MATCH(CONCATENATE(Liste!$C$3,$B$2543,$B$2629),Data!$BO:$BO,0)-2,28)=""),"Performance Level: "&amp;INDEX(Tab_DaBa[],MATCH(CONCATENATE(Liste!$C$3,$B$2543,$B$2629),Data!$BO:$BO,0)-2,15),IF(INDEX(Tab_DaBa[],MATCH(CONCATENATE(Liste!$C$3,$B$2543,$B$2629),Data!$BO:$BO,0)-2,23)&lt;&gt;"","Performance Level: "&amp;INDEX(Tab_DaBa[],MATCH(CONCATENATE(Liste!$C$3,$B$2543,$B$2629),Data!$BO:$BO,0)-2,30),"")),"")</f>
        <v>Performance Level: PL_Lo04_04</v>
      </c>
      <c r="I2634" s="38"/>
    </row>
    <row r="2635" spans="2:9" s="16" customFormat="1" ht="15.75">
      <c r="B2635" s="53" t="str">
        <f ca="1">IFERROR("PFH [1/h] = "&amp;10^9*INDEX(Tab_DaBa[],MATCH(CONCATENATE(Liste!$C$3,$B$2543,$B$2629),Data!$BO:$BO,0)-2,11)&amp;"E-9","")</f>
        <v>PFH [1/h] = 42,9E-9</v>
      </c>
      <c r="C2635" s="54"/>
      <c r="D2635" s="35" t="str">
        <f ca="1">IFERROR(IF(INDEX(Tab_DaBa[],MATCH(CONCATENATE(Liste!$C$3,$B$2543,$B$2629),Data!$BO:$BO,0)-2,18)="","PFH [1/h] = "&amp;10^9*INDEX(Tab_DaBa[],MATCH(CONCATENATE(Liste!$C$3,$B$2543,$B$2629),Data!$BO:$BO,0)-2,16)&amp;"E-9","PFH [1/h] = "&amp;10^9*INDEX(Tab_DaBa[],MATCH(CONCATENATE(Liste!$C$3,$B$2543,$B$2629),Data!$BO:$BO,0)-2,21)&amp;"E-9"),"")</f>
        <v>PFH [1/h] = 4,19E-9</v>
      </c>
      <c r="E2635" s="36"/>
      <c r="F2635" s="35" t="str">
        <f ca="1">IFERROR(IF(AND(INDEX(Tab_DaBa[],MATCH(CONCATENATE(Liste!$C$3,$B$2543,$B$2629),Data!$BO:$BO,0)-2,18)&lt;&gt;"",INDEX(Tab_DaBa[],MATCH(CONCATENATE(Liste!$C$3,$B$2543,$B$2629),Data!$BO:$BO,0)-2,23)=""),"PFH [1/h] = "&amp;10^9*INDEX(Tab_DaBa[],MATCH(CONCATENATE(Liste!$C$3,$B$2543,$B$2629),Data!$BO:$BO,0)-2,16)&amp;"E-9",IF(INDEX(Tab_DaBa[],MATCH(CONCATENATE(Liste!$C$3,$B$2543,$B$2629),Data!$BO:$BO,0)-2,23)&lt;&gt;"","PFH [1/h] = "&amp;10^9*INDEX(Tab_DaBa[],MATCH(CONCATENATE(Liste!$C$3,$B$2543,$B$2629),Data!$BO:$BO,0)-2,26)&amp;"E-9","")),"")</f>
        <v>PFH [1/h] = 4,19E-9</v>
      </c>
      <c r="G2635" s="39"/>
      <c r="H2635" s="35" t="str">
        <f ca="1">IFERROR(IF(AND(INDEX(Tab_DaBa[],MATCH(CONCATENATE(Liste!$C$3,$B$2543,$B$2629),Data!$BO:$BO,0)-2,23)&lt;&gt;"",INDEX(Tab_DaBa[],MATCH(CONCATENATE(Liste!$C$3,$B$2543,$B$2629),Data!$BO:$BO,0)-2,28)=""),"PFH [1/h] = "&amp;10^9*INDEX(Tab_DaBa[],MATCH(CONCATENATE(Liste!$C$3,$B$2543,$B$2629),Data!$BO:$BO,0)-2,16)&amp;"E-9",IF(INDEX(Tab_DaBa[],MATCH(CONCATENATE(Liste!$C$3,$B$2543,$B$2629),Data!$BO:$BO,0)-2,23)&lt;&gt;"","PFH [1/h] = "&amp;10^9*INDEX(Tab_DaBa[],MATCH(CONCATENATE(Liste!$C$3,$B$2543,$B$2629),Data!$BO:$BO,0)-2,31)&amp;"E-9","")),"")</f>
        <v>PFH [1/h] = 4,19E-9</v>
      </c>
      <c r="I2635" s="39"/>
    </row>
    <row r="2636" spans="2:9" s="16" customFormat="1">
      <c r="B2636" s="33"/>
      <c r="C2636" s="34"/>
      <c r="D2636" s="33"/>
      <c r="E2636" s="33"/>
      <c r="F2636" s="33"/>
      <c r="G2636" s="33"/>
      <c r="H2636" s="33"/>
      <c r="I2636" s="33"/>
    </row>
    <row r="2637" spans="2:9" s="16" customFormat="1" ht="15.75">
      <c r="B2637" s="38">
        <f ca="1">IF(B2639="","",6)</f>
        <v>6</v>
      </c>
      <c r="C2637" s="34"/>
      <c r="D2637" s="38">
        <f ca="1">IF(B2639="","",3)</f>
        <v>3</v>
      </c>
      <c r="E2637" s="33"/>
      <c r="F2637" s="38">
        <f ca="1">IF(B2639="","",3)</f>
        <v>3</v>
      </c>
      <c r="G2637" s="33"/>
      <c r="H2637" s="38">
        <f ca="1">IF(B2639="","",3)</f>
        <v>3</v>
      </c>
      <c r="I2637" s="33"/>
    </row>
    <row r="2638" spans="2:9" s="16" customFormat="1" ht="15.75">
      <c r="B2638" s="39"/>
      <c r="C2638" s="33"/>
      <c r="D2638" s="33"/>
      <c r="E2638" s="33"/>
      <c r="F2638" s="33"/>
      <c r="G2638" s="33"/>
      <c r="H2638" s="33"/>
      <c r="I2638" s="33"/>
    </row>
    <row r="2639" spans="2:9" s="16" customFormat="1" ht="15.75">
      <c r="B2639" s="35" t="str">
        <f ca="1">IFERROR(IF(AND(INDEX(Tab_DaBa[],MATCH(CONCATENATE(Liste!$C$3,$B$2543,$B$2629),Data!$BO:$BO,0)-2,28)&lt;&gt;"",INDEX(Tab_DaBa[],MATCH(CONCATENATE(Liste!$C$3,$B$2543,$B$2629),Data!$BO:$BO,0)-2,33)=0),INDEX(Tab_DaBa[],MATCH(CONCATENATE(Liste!$C$3,$B$2543,$B$2629),Data!$BO:$BO,0)-2,14),IF(INDEX(Tab_DaBa[],MATCH(CONCATENATE(Liste!$C$3,$B$2543,$B$2629),Data!$BO:$BO,0)-2,28)&lt;&gt;"",INDEX(Tab_DaBa[],MATCH(CONCATENATE(Liste!$C$3,$B$2543,$B$2629),Data!$BO:$BO,0)-2,34),"")),"")</f>
        <v>Logik 04</v>
      </c>
      <c r="C2639" s="39"/>
      <c r="D2639" s="35" t="str">
        <f ca="1">IFERROR(IF(AND(INDEX(Tab_DaBa[],MATCH(CONCATENATE(Liste!$C$3,$B$2543,$B$2629),Data!$BO:$BO,0)-2,33)&lt;&gt;"",INDEX(Tab_DaBa[],MATCH(CONCATENATE(Liste!$C$3,$B$2543,$B$2629),Data!$BO:$BO,0)-2,38)=0),INDEX(Tab_DaBa[],MATCH(CONCATENATE(Liste!$C$3,$B$2543,$B$2629),Data!$BO:$BO,0)-2,14),IF(INDEX(Tab_DaBa[],MATCH(CONCATENATE(Liste!$C$3,$B$2543,$B$2629),Data!$BO:$BO,0)-2,33)&lt;&gt;"",INDEX(Tab_DaBa[],MATCH(CONCATENATE(Liste!$C$3,$B$2543,$B$2629),Data!$BO:$BO,0)-2,39),"")),"")</f>
        <v>Ausgang</v>
      </c>
      <c r="E2639" s="33"/>
      <c r="F2639" s="35" t="str">
        <f ca="1">IFERROR(IF(AND(INDEX(Tab_DaBa[],MATCH(CONCATENATE(Liste!$C$3,$B$2543,$B$2629),Data!$BO:$BO,0)-2,38)&lt;&gt;"",INDEX(Tab_DaBa[],MATCH(CONCATENATE(Liste!$C$3,$B$2543,$B$2629),Data!$BO:$BO,0)-2,43)=0),INDEX(Tab_DaBa[],MATCH(CONCATENATE(Liste!$C$3,$B$2543,$B$2629),Data!$BO:$BO,0)-2,14),IF(INDEX(Tab_DaBa[],MATCH(CONCATENATE(Liste!$C$3,$B$2543,$B$2629),Data!$BO:$BO,0)-2,38)&lt;&gt;"",INDEX(Tab_DaBa[],MATCH(CONCATENATE(Liste!$C$3,$B$2543,$B$2629),Data!$BO:$BO,0)-2,44),"")),"")</f>
        <v/>
      </c>
      <c r="G2639" s="39"/>
      <c r="H2639" s="35" t="str">
        <f ca="1">IFERROR(IF(AND(INDEX(Tab_DaBa[],MATCH(CONCATENATE(Liste!$C$3,$B$2543,$B$2629),Data!$BO:$BO,0)-2,43)&lt;&gt;"",INDEX(Tab_DaBa[],MATCH(CONCATENATE(Liste!$C$3,$B$2543,$B$2629),Data!$BO:$BO,0)-2,48)=0),INDEX(Tab_DaBa[],MATCH(CONCATENATE(Liste!$C$3,$B$2543,$B$2629),Data!$BO:$BO,0)-2,14),IF(INDEX(Tab_DaBa[],MATCH(CONCATENATE(Liste!$C$3,$B$2543,$B$2629),Data!$BO:$BO,0)-2,43)&lt;&gt;"",INDEX(Tab_DaBa[],MATCH(CONCATENATE(Liste!$C$3,$B$2543,$B$2629),Data!$BO:$BO,0)-2,49),"")),"")</f>
        <v/>
      </c>
      <c r="I2639" s="39"/>
    </row>
    <row r="2640" spans="2:9" s="16" customFormat="1" ht="15.75">
      <c r="B2640" s="35" t="str">
        <f ca="1">IFERROR(IF(AND(INDEX(Tab_DaBa[],MATCH(CONCATENATE(Liste!$C$3,$B$2543,$B$2629),Data!$BO:$BO,0)-2,28)&lt;&gt;"",INDEX(Tab_DaBa[],MATCH(CONCATENATE(Liste!$C$3,$B$2543,$B$2629),Data!$BO:$BO,0)-2,33)=0),INDEX(Tab_DaBa[],MATCH(CONCATENATE(Liste!$C$3,$B$2543,$B$2629),Data!$BO:$BO,0)-2,12),IF(INDEX(Tab_DaBa[],MATCH(CONCATENATE(Liste!$C$3,$B$2543,$B$2629),Data!$BO:$BO,0)-2,28)&lt;&gt;"",INDEX(Tab_DaBa[],MATCH(CONCATENATE(Liste!$C$3,$B$2543,$B$2629),Data!$BO:$BO,0)-2,32),"")),"")</f>
        <v>Lo04-44_04</v>
      </c>
      <c r="C2640" s="39"/>
      <c r="D2640" s="35" t="str">
        <f ca="1">IFERROR(IF(AND(INDEX(Tab_DaBa[],MATCH(CONCATENATE(Liste!$C$3,$B$2543,$B$2629),Data!$BO:$BO,0)-2,33)&lt;&gt;"",INDEX(Tab_DaBa[],MATCH(CONCATENATE(Liste!$C$3,$B$2543,$B$2629),Data!$BO:$BO,0)-2,38)=0),INDEX(Tab_DaBa[],MATCH(CONCATENATE(Liste!$C$3,$B$2543,$B$2629),Data!$BO:$BO,0)-2,12),IF(INDEX(Tab_DaBa[],MATCH(CONCATENATE(Liste!$C$3,$B$2543,$B$2629),Data!$BO:$BO,0)-2,33)&lt;&gt;"",INDEX(Tab_DaBa[],MATCH(CONCATENATE(Liste!$C$3,$B$2543,$B$2629),Data!$BO:$BO,0)-2,37),"")),"")</f>
        <v>aaaa-44_4</v>
      </c>
      <c r="E2640" s="37"/>
      <c r="F2640" s="35" t="str">
        <f ca="1">IFERROR(IF(AND(INDEX(Tab_DaBa[],MATCH(CONCATENATE(Liste!$C$3,$B$2543,$B$2629),Data!$BO:$BO,0)-2,38)&lt;&gt;"",INDEX(Tab_DaBa[],MATCH(CONCATENATE(Liste!$C$3,$B$2543,$B$2629),Data!$BO:$BO,0)-2,43)=0),INDEX(Tab_DaBa[],MATCH(CONCATENATE(Liste!$C$3,$B$2543,$B$2629),Data!$BO:$BO,0)-2,12),IF(INDEX(Tab_DaBa[],MATCH(CONCATENATE(Liste!$C$3,$B$2543,$B$2629),Data!$BO:$BO,0)-2,38)&lt;&gt;"",INDEX(Tab_DaBa[],MATCH(CONCATENATE(Liste!$C$3,$B$2543,$B$2629),Data!$BO:$BO,0)-2,42),"")),"")</f>
        <v/>
      </c>
      <c r="G2640" s="39"/>
      <c r="H2640" s="35" t="str">
        <f ca="1">IFERROR(IF(AND(INDEX(Tab_DaBa[],MATCH(CONCATENATE(Liste!$C$3,$B$2543,$B$2629),Data!$BO:$BO,0)-2,43)&lt;&gt;"",INDEX(Tab_DaBa[],MATCH(CONCATENATE(Liste!$C$3,$B$2543,$B$2629),Data!$BO:$BO,0)-2,48)=0),INDEX(Tab_DaBa[],MATCH(CONCATENATE(Liste!$C$3,$B$2543,$B$2629),Data!$BO:$BO,0)-2,12),IF(INDEX(Tab_DaBa[],MATCH(CONCATENATE(Liste!$C$3,$B$2543,$B$2629),Data!$BO:$BO,0)-2,43)&lt;&gt;"",INDEX(Tab_DaBa[],MATCH(CONCATENATE(Liste!$C$3,$B$2543,$B$2629),Data!$BO:$BO,0)-2,47),"")),"")</f>
        <v/>
      </c>
      <c r="I2640" s="39"/>
    </row>
    <row r="2641" spans="2:9" s="16" customFormat="1" ht="15.75">
      <c r="B2641" s="35" t="str">
        <f ca="1">IFERROR(IF(AND(INDEX(Tab_DaBa[],MATCH(CONCATENATE(Liste!$C$3,$B$2543,$B$2629),Data!$BO:$BO,0)-2,28)&lt;&gt;"",INDEX(Tab_DaBa[],MATCH(CONCATENATE(Liste!$C$3,$B$2543,$B$2629),Data!$BO:$BO,0)-2,33)=""),INDEX(Tab_DaBa[],MATCH(CONCATENATE(Liste!$C$3,$B$2543,$B$2629),Data!$BO:$BO,0)-2,13),IF(INDEX(Tab_DaBa[],MATCH(CONCATENATE(Liste!$C$3,$B$2543,$B$2629),Data!$BO:$BO,0)-2,28)&lt;&gt;"",INDEX(Tab_DaBa[],MATCH(CONCATENATE(Liste!$C$3,$B$2543,$B$2629),Data!$BO:$BO,0)-2,33),"")),"")</f>
        <v>Bez_Lo04_04</v>
      </c>
      <c r="C2641" s="38">
        <f ca="1">IF(D2639="","",4)</f>
        <v>4</v>
      </c>
      <c r="D2641" s="35" t="str">
        <f ca="1">IFERROR(IF(AND(INDEX(Tab_DaBa[],MATCH(CONCATENATE(Liste!$C$3,$B$2543,$B$2629),Data!$BO:$BO,0)-2,33)&lt;&gt;"",INDEX(Tab_DaBa[],MATCH(CONCATENATE(Liste!$C$3,$B$2543,$B$2629),Data!$BO:$BO,0)-2,38)=""),INDEX(Tab_DaBa[],MATCH(CONCATENATE(Liste!$C$3,$B$2543,$B$2629),Data!$BO:$BO,0)-2,13),IF(INDEX(Tab_DaBa[],MATCH(CONCATENATE(Liste!$C$3,$B$2543,$B$2629),Data!$BO:$BO,0)-2,33)&lt;&gt;"",INDEX(Tab_DaBa[],MATCH(CONCATENATE(Liste!$C$3,$B$2543,$B$2629),Data!$BO:$BO,0)-2,38),"")),"")</f>
        <v>Bez_Aus4_4</v>
      </c>
      <c r="E2641" s="38" t="str">
        <f ca="1">IF(F2639="","",4)</f>
        <v/>
      </c>
      <c r="F2641" s="35" t="str">
        <f ca="1">IFERROR(IF(AND(INDEX(Tab_DaBa[],MATCH(CONCATENATE(Liste!$C$3,$B$2543,$B$2629),Data!$BO:$BO,0)-2,38)&lt;&gt;"",INDEX(Tab_DaBa[],MATCH(CONCATENATE(Liste!$C$3,$B$2543,$B$2629),Data!$BO:$BO,0)-2,43)=""),INDEX(Tab_DaBa[],MATCH(CONCATENATE(Liste!$C$3,$B$2543,$B$2629),Data!$BO:$BO,0)-2,13),IF(INDEX(Tab_DaBa[],MATCH(CONCATENATE(Liste!$C$3,$B$2543,$B$2629),Data!$BO:$BO,0)-2,38)&lt;&gt;"",INDEX(Tab_DaBa[],MATCH(CONCATENATE(Liste!$C$3,$B$2543,$B$2629),Data!$BO:$BO,0)-2,43),"")),"")</f>
        <v/>
      </c>
      <c r="G2641" s="38" t="str">
        <f ca="1">IF(H2639="","",4)</f>
        <v/>
      </c>
      <c r="H2641" s="35" t="str">
        <f ca="1">IFERROR(IF(AND(INDEX(Tab_DaBa[],MATCH(CONCATENATE(Liste!$C$3,$B$2543,$B$2629),Data!$BO:$BO,0)-2,43)&lt;&gt;"",INDEX(Tab_DaBa[],MATCH(CONCATENATE(Liste!$C$3,$B$2543,$B$2629),Data!$BO:$BO,0)-2,48)=""),INDEX(Tab_DaBa[],MATCH(CONCATENATE(Liste!$C$3,$B$2543,$B$2629),Data!$BO:$BO,0)-2,13),IF(INDEX(Tab_DaBa[],MATCH(CONCATENATE(Liste!$C$3,$B$2543,$B$2629),Data!$BO:$BO,0)-2,43)&lt;&gt;"",INDEX(Tab_DaBa[],MATCH(CONCATENATE(Liste!$C$3,$B$2543,$B$2629),Data!$BO:$BO,0)-2,48),"")),"")</f>
        <v/>
      </c>
      <c r="I2641" s="38" t="str">
        <f ca="1">IF(B2647="","",6)</f>
        <v/>
      </c>
    </row>
    <row r="2642" spans="2:9" s="16" customFormat="1" ht="15.75">
      <c r="B2642" s="35" t="str">
        <f ca="1">IFERROR(IF(AND(INDEX(Tab_DaBa[],MATCH(CONCATENATE(Liste!$C$3,$B$2543,$B$2629),Data!$BO:$BO,0)-2,28)&lt;&gt;"",INDEX(Tab_DaBa[],MATCH(CONCATENATE(Liste!$C$3,$B$2543,$B$2629),Data!$BO:$BO,0)-2,33)=""),"Performance Level: "&amp;INDEX(Tab_DaBa[],MATCH(CONCATENATE(Liste!$C$3,$B$2543,$B$2629),Data!$BO:$BO,0)-2,15),IF(INDEX(Tab_DaBa[],MATCH(CONCATENATE(Liste!$C$3,$B$2543,$B$2629),Data!$BO:$BO,0)-2,28)&lt;&gt;"","Performance Level: "&amp;INDEX(Tab_DaBa[],MATCH(CONCATENATE(Liste!$C$3,$B$2543,$B$2629),Data!$BO:$BO,0)-2,35),"")),"")</f>
        <v>Performance Level: PL_Lo04_04</v>
      </c>
      <c r="C2642" s="39"/>
      <c r="D2642" s="35" t="str">
        <f ca="1">IFERROR(IF(AND(INDEX(Tab_DaBa[],MATCH(CONCATENATE(Liste!$C$3,$B$2543,$B$2629),Data!$BO:$BO,0)-2,33)&lt;&gt;"",INDEX(Tab_DaBa[],MATCH(CONCATENATE(Liste!$C$3,$B$2543,$B$2629),Data!$BO:$BO,0)-2,38)=""),"Performance Level: "&amp;INDEX(Tab_DaBa[],MATCH(CONCATENATE(Liste!$C$3,$B$2543,$B$2629),Data!$BO:$BO,0)-2,15),IF(INDEX(Tab_DaBa[],MATCH(CONCATENATE(Liste!$C$3,$B$2543,$B$2629),Data!$BO:$BO,0)-2,33)&lt;&gt;"","Performance Level: "&amp;INDEX(Tab_DaBa[],MATCH(CONCATENATE(Liste!$C$3,$B$2543,$B$2629),Data!$BO:$BO,0)-2,40),"")),"")</f>
        <v>Performance Level: PL_Aus4_4</v>
      </c>
      <c r="E2642" s="37"/>
      <c r="F2642" s="35" t="str">
        <f ca="1">IFERROR(IF(AND(INDEX(Tab_DaBa[],MATCH(CONCATENATE(Liste!$C$3,$B$2543,$B$2629),Data!$BO:$BO,0)-2,38)&lt;&gt;"",INDEX(Tab_DaBa[],MATCH(CONCATENATE(Liste!$C$3,$B$2543,$B$2629),Data!$BO:$BO,0)-2,43)=""),"Performance Level: "&amp;INDEX(Tab_DaBa[],MATCH(CONCATENATE(Liste!$C$3,$B$2543,$B$2629),Data!$BO:$BO,0)-2,15),IF(INDEX(Tab_DaBa[],MATCH(CONCATENATE(Liste!$C$3,$B$2543,$B$2629),Data!$BO:$BO,0)-2,38)&lt;&gt;"","Performance Level: "&amp;INDEX(Tab_DaBa[],MATCH(CONCATENATE(Liste!$C$3,$B$2543,$B$2629),Data!$BO:$BO,0)-2,45),"")),"")</f>
        <v/>
      </c>
      <c r="G2642" s="39"/>
      <c r="H2642" s="35" t="str">
        <f ca="1">IFERROR(IF(AND(INDEX(Tab_DaBa[],MATCH(CONCATENATE(Liste!$C$3,$B$2543,$B$2629),Data!$BO:$BO,0)-2,43)&lt;&gt;"",INDEX(Tab_DaBa[],MATCH(CONCATENATE(Liste!$C$3,$B$2543,$B$2629),Data!$BO:$BO,0)-2,48)=""),"Performance Level: "&amp;INDEX(Tab_DaBa[],MATCH(CONCATENATE(Liste!$C$3,$B$2543,$B$2629),Data!$BO:$BO,0)-2,15),IF(INDEX(Tab_DaBa[],MATCH(CONCATENATE(Liste!$C$3,$B$2543,$B$2629),Data!$BO:$BO,0)-2,43)&lt;&gt;"","Performance Level: "&amp;INDEX(Tab_DaBa[],MATCH(CONCATENATE(Liste!$C$3,$B$2543,$B$2629),Data!$BO:$BO,0)-2,50),"")),"")</f>
        <v/>
      </c>
      <c r="I2642" s="39"/>
    </row>
    <row r="2643" spans="2:9" s="16" customFormat="1" ht="15.75">
      <c r="B2643" s="35" t="str">
        <f ca="1">IFERROR(IF(AND(INDEX(Tab_DaBa[],MATCH(CONCATENATE(Liste!$C$3,$B$2543,$B$2629),Data!$BO:$BO,0)-2,28)&lt;&gt;"",INDEX(Tab_DaBa[],MATCH(CONCATENATE(Liste!$C$3,$B$2543,$B$2629),Data!$BO:$BO,0)-2,33)=""),"PFH [1/h] = "&amp;10^9*INDEX(Tab_DaBa[],MATCH(CONCATENATE(Liste!$C$3,$B$2543,$B$2629),Data!$BO:$BO,0)-2,16)&amp;"E-9",IF(INDEX(Tab_DaBa[],MATCH(CONCATENATE(Liste!$C$3,$B$2543,$B$2629),Data!$BO:$BO,0)-2,28)&lt;&gt;"","PFH [1/h] = "&amp;10^9*INDEX(Tab_DaBa[],MATCH(CONCATENATE(Liste!$C$3,$B$2543,$B$2629),Data!$BO:$BO,0)-2,36)&amp;"E-9","")),"")</f>
        <v>PFH [1/h] = 4,19E-9</v>
      </c>
      <c r="C2643" s="39"/>
      <c r="D2643" s="35" t="str">
        <f ca="1">IFERROR(IF(AND(INDEX(Tab_DaBa[],MATCH(CONCATENATE(Liste!$C$3,$B$2543,$B$2629),Data!$BO:$BO,0)-2,33)&lt;&gt;"",INDEX(Tab_DaBa[],MATCH(CONCATENATE(Liste!$C$3,$B$2543,$B$2629),Data!$BO:$BO,0)-2,38)=""),"PFH [1/h] = "&amp;10^9*INDEX(Tab_DaBa[],MATCH(CONCATENATE(Liste!$C$3,$B$2543,$B$2629),Data!$BO:$BO,0)-2,16)&amp;"E-9",IF(INDEX(Tab_DaBa[],MATCH(CONCATENATE(Liste!$C$3,$B$2543,$B$2629),Data!$BO:$BO,0)-2,33)&lt;&gt;"","PFH [1/h] = "&amp;10^9*INDEX(Tab_DaBa[],MATCH(CONCATENATE(Liste!$C$3,$B$2543,$B$2629),Data!$BO:$BO,0)-2,41)&amp;"E-9","")),"")</f>
        <v>PFH [1/h] = 24,7E-9</v>
      </c>
      <c r="E2643" s="37"/>
      <c r="F2643" s="35" t="str">
        <f ca="1">IFERROR(IF(AND(INDEX(Tab_DaBa[],MATCH(CONCATENATE(Liste!$C$3,$B$2543,$B$2629),Data!$BO:$BO,0)-2,38)&lt;&gt;"",INDEX(Tab_DaBa[],MATCH(CONCATENATE(Liste!$C$3,$B$2543,$B$2629),Data!$BO:$BO,0)-2,43)=""),"PFH [1/h] = "&amp;10^9*INDEX(Tab_DaBa[],MATCH(CONCATENATE(Liste!$C$3,$B$2543,$B$2629),Data!$BO:$BO,0)-2,16)&amp;"E-9",IF(INDEX(Tab_DaBa[],MATCH(CONCATENATE(Liste!$C$3,$B$2543,$B$2629),Data!$BO:$BO,0)-2,38)&lt;&gt;"","PFH [1/h] = "&amp;10^9*INDEX(Tab_DaBa[],MATCH(CONCATENATE(Liste!$C$3,$B$2543,$B$2629),Data!$BO:$BO,0)-2,46)&amp;"E-9","")),"")</f>
        <v/>
      </c>
      <c r="G2643" s="39"/>
      <c r="H2643" s="35" t="str">
        <f ca="1">IFERROR(IF(AND(INDEX(Tab_DaBa[],MATCH(CONCATENATE(Liste!$C$3,$B$2543,$B$2629),Data!$BO:$BO,0)-2,43)&lt;&gt;"",INDEX(Tab_DaBa[],MATCH(CONCATENATE(Liste!$C$3,$B$2543,$B$2629),Data!$BO:$BO,0)-2,48)=""),"PFH [1/h] = "&amp;10^9*INDEX(Tab_DaBa[],MATCH(CONCATENATE(Liste!$C$3,$B$2543,$B$2629),Data!$BO:$BO,0)-2,16)&amp;"E-9",IF(INDEX(Tab_DaBa[],MATCH(CONCATENATE(Liste!$C$3,$B$2543,$B$2629),Data!$BO:$BO,0)-2,43)&lt;&gt;"","PFH [1/h] = "&amp;10^9*INDEX(Tab_DaBa[],MATCH(CONCATENATE(Liste!$C$3,$B$2543,$B$2629),Data!$BO:$BO,0)-2,51)&amp;"E-9","")),"")</f>
        <v/>
      </c>
      <c r="I2643" s="39"/>
    </row>
    <row r="2644" spans="2:9" s="16" customFormat="1">
      <c r="B2644" s="33"/>
      <c r="C2644" s="33"/>
      <c r="D2644" s="33"/>
      <c r="E2644" s="33"/>
      <c r="F2644" s="33"/>
      <c r="G2644" s="33"/>
      <c r="H2644" s="33"/>
      <c r="I2644" s="33"/>
    </row>
    <row r="2645" spans="2:9" s="16" customFormat="1" ht="15.75">
      <c r="B2645" s="38" t="str">
        <f ca="1">IF(B2647="","",6)</f>
        <v/>
      </c>
      <c r="C2645" s="33"/>
      <c r="D2645" s="38" t="str">
        <f ca="1">IF(B2647="","",3)</f>
        <v/>
      </c>
      <c r="E2645" s="33"/>
      <c r="F2645" s="38" t="str">
        <f ca="1">IF(B2647="","",3)</f>
        <v/>
      </c>
      <c r="G2645" s="33"/>
      <c r="H2645" s="38" t="str">
        <f ca="1">IF(B2647="","",3)</f>
        <v/>
      </c>
      <c r="I2645" s="33"/>
    </row>
    <row r="2646" spans="2:9" s="16" customFormat="1" ht="15.75">
      <c r="B2646" s="39"/>
      <c r="C2646" s="33"/>
      <c r="D2646" s="33"/>
      <c r="E2646" s="33"/>
      <c r="F2646" s="33"/>
      <c r="G2646" s="33"/>
      <c r="H2646" s="33"/>
      <c r="I2646" s="33"/>
    </row>
    <row r="2647" spans="2:9" s="16" customFormat="1" ht="15.75">
      <c r="B2647" s="35" t="str">
        <f ca="1">IFERROR(IF(AND(INDEX(Tab_DaBa[],MATCH(CONCATENATE(Liste!$C$3,$B$2543,$B$2629),Data!$BO:$BO,0)-2,48)&lt;&gt;"",INDEX(Tab_DaBa[],MATCH(CONCATENATE(Liste!$C$3,$B$2543,$B$2629),Data!$BO:$BO,0)-2,53)=0),INDEX(Tab_DaBa[],MATCH(CONCATENATE(Liste!$C$3,$B$2543,$B$2629),Data!$BO:$BO,0)-2,14),IF(INDEX(Tab_DaBa[],MATCH(CONCATENATE(Liste!$C$3,$B$2543,$B$2629),Data!$BO:$BO,0)-2,48)&lt;&gt;"",INDEX(Tab_DaBa[],MATCH(CONCATENATE(Liste!$C$3,$B$2543,$B$2629),Data!$BO:$BO,0)-2,54),"")),"")</f>
        <v/>
      </c>
      <c r="C2647" s="39"/>
      <c r="D2647" s="35" t="str">
        <f ca="1">IFERROR(IF(AND(INDEX(Tab_DaBa[],MATCH(CONCATENATE(Liste!$C$3,$B$2543,$B$2629),Data!$BO:$BO,0)-2,53)&lt;&gt;"",INDEX(Tab_DaBa[],MATCH(CONCATENATE(Liste!$C$3,$B$2543,$B$2629),Data!$BO:$BO,0)-2,58)=0),INDEX(Tab_DaBa[],MATCH(CONCATENATE(Liste!$C$3,$B$2543,$B$2629),Data!$BO:$BO,0)-2,14),IF(INDEX(Tab_DaBa[],MATCH(CONCATENATE(Liste!$C$3,$B$2543,$B$2629),Data!$BO:$BO,0)-2,53)&lt;&gt;"",INDEX(Tab_DaBa[],MATCH(CONCATENATE(Liste!$C$3,$B$2543,$B$2629),Data!$BO:$BO,0)-2,59),"")),"")</f>
        <v/>
      </c>
      <c r="E2647" s="33"/>
      <c r="F2647" s="35" t="str">
        <f ca="1">IFERROR(IF(AND(INDEX(Tab_DaBa[],MATCH(CONCATENATE(Liste!$C$3,$B$2543,$B$2629),Data!$BO:$BO,0)-2,58)&lt;&gt;"",INDEX(Tab_DaBa[],MATCH(CONCATENATE(Liste!$C$3,$B$2543,$B$2629),Data!$BO:$BO,0)-2,63)=0),INDEX(Tab_DaBa[],MATCH(CONCATENATE(Liste!$C$3,$B$2543,$B$2629),Data!$BO:$BO,0)-2,14),IF(INDEX(Tab_DaBa[],MATCH(CONCATENATE(Liste!$C$3,$B$2543,$B$2629),Data!$BO:$BO,0)-2,58)&lt;&gt;"",INDEX(Tab_DaBa[],MATCH(CONCATENATE(Liste!$C$3,$B$2543,$B$2629),Data!$BO:$BO,0)-2,64),"")),"")</f>
        <v/>
      </c>
      <c r="G2647" s="39"/>
      <c r="H2647" s="35" t="str">
        <f ca="1">IFERROR(IF(INDEX(Tab_DaBa[],MATCH(CONCATENATE(Liste!$C$3,$B$2543,$B$2629),Data!$BO:$BO,0)-2,63)&lt;&gt;"",INDEX(Tab_DaBa[],MATCH(CONCATENATE(Liste!$C$3,$B$2543,$B$2629),Data!$BO:$BO,0)-2,14),""),"")</f>
        <v/>
      </c>
    </row>
    <row r="2648" spans="2:9" s="16" customFormat="1" ht="15.75">
      <c r="B2648" s="35" t="str">
        <f ca="1">IFERROR(IF(AND(INDEX(Tab_DaBa[],MATCH(CONCATENATE(Liste!$C$3,$B$2543,$B$2629),Data!$BO:$BO,0)-2,48)&lt;&gt;"",INDEX(Tab_DaBa[],MATCH(CONCATENATE(Liste!$C$3,$B$2543,$B$2629),Data!$BO:$BO,0)-2,53)=0),INDEX(Tab_DaBa[],MATCH(CONCATENATE(Liste!$C$3,$B$2543,$B$2629),Data!$BO:$BO,0)-2,12),IF(INDEX(Tab_DaBa[],MATCH(CONCATENATE(Liste!$C$3,$B$2543,$B$2629),Data!$BO:$BO,0)-2,48)&lt;&gt;"",INDEX(Tab_DaBa[],MATCH(CONCATENATE(Liste!$C$3,$B$2543,$B$2629),Data!$BO:$BO,0)-2,52),"")),"")</f>
        <v/>
      </c>
      <c r="C2648" s="39"/>
      <c r="D2648" s="35" t="str">
        <f ca="1">IFERROR(IF(AND(INDEX(Tab_DaBa[],MATCH(CONCATENATE(Liste!$C$3,$B$2543,$B$2629),Data!$BO:$BO,0)-2,53)&lt;&gt;"",INDEX(Tab_DaBa[],MATCH(CONCATENATE(Liste!$C$3,$B$2543,$B$2629),Data!$BO:$BO,0)-2,58)=0),INDEX(Tab_DaBa[],MATCH(CONCATENATE(Liste!$C$3,$B$2543,$B$2629),Data!$BO:$BO,0)-2,12),IF(INDEX(Tab_DaBa[],MATCH(CONCATENATE(Liste!$C$3,$B$2543,$B$2629),Data!$BO:$BO,0)-2,53)&lt;&gt;"",INDEX(Tab_DaBa[],MATCH(CONCATENATE(Liste!$C$3,$B$2543,$B$2629),Data!$BO:$BO,0)-2,57),"")),"")</f>
        <v/>
      </c>
      <c r="E2648" s="37"/>
      <c r="F2648" s="35" t="str">
        <f ca="1">IFERROR(IF(AND(INDEX(Tab_DaBa[],MATCH(CONCATENATE(Liste!$C$3,$B$2543,$B$2629),Data!$BO:$BO,0)-2,58)&lt;&gt;"",INDEX(Tab_DaBa[],MATCH(CONCATENATE(Liste!$C$3,$B$2543,$B$2629),Data!$BO:$BO,0)-2,63)=0),INDEX(Tab_DaBa[],MATCH(CONCATENATE(Liste!$C$3,$B$2543,$B$2629),Data!$BO:$BO,0)-2,12),IF(INDEX(Tab_DaBa[],MATCH(CONCATENATE(Liste!$C$3,$B$2543,$B$2629),Data!$BO:$BO,0)-2,58)&lt;&gt;"",INDEX(Tab_DaBa[],MATCH(CONCATENATE(Liste!$C$3,$B$2543,$B$2629),Data!$BO:$BO,0)-2,62),"")),"")</f>
        <v/>
      </c>
      <c r="G2648" s="39"/>
      <c r="H2648" s="35" t="str">
        <f ca="1">IFERROR(IF(INDEX(Tab_DaBa[],MATCH(CONCATENATE(Liste!$C$3,$B$2543,$B$2629),Data!$BO:$BO,0)-2,63)&lt;&gt;"",INDEX(Tab_DaBa[],MATCH(CONCATENATE(Liste!$C$3,$B$2543,$B$2629),Data!$BO:$BO,0)-2,12),""),"")</f>
        <v/>
      </c>
    </row>
    <row r="2649" spans="2:9" s="16" customFormat="1" ht="15.75">
      <c r="B2649" s="35" t="str">
        <f ca="1">IFERROR(IF(AND(INDEX(Tab_DaBa[],MATCH(CONCATENATE(Liste!$C$3,$B$2543,$B$2629),Data!$BO:$BO,0)-2,48)&lt;&gt;"",INDEX(Tab_DaBa[],MATCH(CONCATENATE(Liste!$C$3,$B$2543,$B$2629),Data!$BO:$BO,0)-2,53)=""),INDEX(Tab_DaBa[],MATCH(CONCATENATE(Liste!$C$3,$B$2543,$B$2629),Data!$BO:$BO,0)-2,13),IF(INDEX(Tab_DaBa[],MATCH(CONCATENATE(Liste!$C$3,$B$2543,$B$2629),Data!$BO:$BO,0)-2,48)&lt;&gt;"",INDEX(Tab_DaBa[],MATCH(CONCATENATE(Liste!$C$3,$B$2543,$B$2629),Data!$BO:$BO,0)-2,53),"")),"")</f>
        <v/>
      </c>
      <c r="C2649" s="38" t="str">
        <f ca="1">IF(D2647="","",4)</f>
        <v/>
      </c>
      <c r="D2649" s="35" t="str">
        <f ca="1">IFERROR(IF(AND(INDEX(Tab_DaBa[],MATCH(CONCATENATE(Liste!$C$3,$B$2543,$B$2629),Data!$BO:$BO,0)-2,53)&lt;&gt;"",INDEX(Tab_DaBa[],MATCH(CONCATENATE(Liste!$C$3,$B$2543,$B$2629),Data!$BO:$BO,0)-2,58)=""),INDEX(Tab_DaBa[],MATCH(CONCATENATE(Liste!$C$3,$B$2543,$B$2629),Data!$BO:$BO,0)-2,13),IF(INDEX(Tab_DaBa[],MATCH(CONCATENATE(Liste!$C$3,$B$2543,$B$2629),Data!$BO:$BO,0)-2,53)&lt;&gt;"",INDEX(Tab_DaBa[],MATCH(CONCATENATE(Liste!$C$3,$B$2543,$B$2629),Data!$BO:$BO,0)-2,58),"")),"")</f>
        <v/>
      </c>
      <c r="E2649" s="38" t="str">
        <f ca="1">IF(F2647="","",4)</f>
        <v/>
      </c>
      <c r="F2649" s="35" t="str">
        <f ca="1">IFERROR(IF(AND(INDEX(Tab_DaBa[],MATCH(CONCATENATE(Liste!$C$3,$B$2543,$B$2629),Data!$BO:$BO,0)-2,58)&lt;&gt;"",INDEX(Tab_DaBa[],MATCH(CONCATENATE(Liste!$C$3,$B$2543,$B$2629),Data!$BO:$BO,0)-2,63)=""),INDEX(Tab_DaBa[],MATCH(CONCATENATE(Liste!$C$3,$B$2543,$B$2629),Data!$BO:$BO,0)-2,13),IF(INDEX(Tab_DaBa[],MATCH(CONCATENATE(Liste!$C$3,$B$2543,$B$2629),Data!$BO:$BO,0)-2,58)&lt;&gt;"",INDEX(Tab_DaBa[],MATCH(CONCATENATE(Liste!$C$3,$B$2543,$B$2629),Data!$BO:$BO,0)-2,63),"")),"")</f>
        <v/>
      </c>
      <c r="G2649" s="38" t="str">
        <f ca="1">IF(H2647="","",4)</f>
        <v/>
      </c>
      <c r="H2649" s="35" t="str">
        <f ca="1">IFERROR(IF(INDEX(Tab_DaBa[],MATCH(CONCATENATE(Liste!$C$3,$B$2543,$B$2629),Data!$BO:$BO,0)-2,63)&lt;&gt;"",INDEX(Tab_DaBa[],MATCH(CONCATENATE(Liste!$C$3,$B$2543,$B$2629),Data!$BO:$BO,0)-2,13),""),"")</f>
        <v/>
      </c>
    </row>
    <row r="2650" spans="2:9" s="16" customFormat="1" ht="15.75">
      <c r="B2650" s="35" t="str">
        <f ca="1">IFERROR(IF(AND(INDEX(Tab_DaBa[],MATCH(CONCATENATE(Liste!$C$3,$B$2543,$B$2629),Data!$BO:$BO,0)-2,48)&lt;&gt;"",INDEX(Tab_DaBa[],MATCH(CONCATENATE(Liste!$C$3,$B$2543,$B$2629),Data!$BO:$BO,0)-2,53)=""),"Performance Level: "&amp;INDEX(Tab_DaBa[],MATCH(CONCATENATE(Liste!$C$3,$B$2543,$B$2629),Data!$BO:$BO,0)-2,15),IF(INDEX(Tab_DaBa[],MATCH(CONCATENATE(Liste!$C$3,$B$2543,$B$2629),Data!$BO:$BO,0)-2,48)&lt;&gt;"","Performance Level: "&amp;INDEX(Tab_DaBa[],MATCH(CONCATENATE(Liste!$C$3,$B$2543,$B$2629),Data!$BO:$BO,0)-2,55),"")),"")</f>
        <v/>
      </c>
      <c r="C2650" s="39"/>
      <c r="D2650" s="35" t="str">
        <f ca="1">IFERROR(IF(AND(INDEX(Tab_DaBa[],MATCH(CONCATENATE(Liste!$C$3,$B$2543,$B$2629),Data!$BO:$BO,0)-2,53)&lt;&gt;"",INDEX(Tab_DaBa[],MATCH(CONCATENATE(Liste!$C$3,$B$2543,$B$2629),Data!$BO:$BO,0)-2,58)=""),"Performance Level: "&amp;INDEX(Tab_DaBa[],MATCH(CONCATENATE(Liste!$C$3,$B$2543,$B$2629),Data!$BO:$BO,0)-2,15),IF(INDEX(Tab_DaBa[],MATCH(CONCATENATE(Liste!$C$3,$B$2543,$B$2629),Data!$BO:$BO,0)-2,53)&lt;&gt;"","Performance Level: "&amp;INDEX(Tab_DaBa[],MATCH(CONCATENATE(Liste!$C$3,$B$2543,$B$2629),Data!$BO:$BO,0)-2,60),"")),"")</f>
        <v/>
      </c>
      <c r="E2650" s="37"/>
      <c r="F2650" s="35" t="str">
        <f ca="1">IFERROR(IF(AND(INDEX(Tab_DaBa[],MATCH(CONCATENATE(Liste!$C$3,$B$2543,$B$2629),Data!$BO:$BO,0)-2,58)&lt;&gt;"",INDEX(Tab_DaBa[],MATCH(CONCATENATE(Liste!$C$3,$B$2543,$B$2629),Data!$BO:$BO,0)-2,63)=""),"Performance Level: "&amp;INDEX(Tab_DaBa[],MATCH(CONCATENATE(Liste!$C$3,$B$2543,$B$2629),Data!$BO:$BO,0)-2,15),IF(INDEX(Tab_DaBa[],MATCH(CONCATENATE(Liste!$C$3,$B$2543,$B$2629),Data!$BO:$BO,0)-2,58)&lt;&gt;"","Performance Level: "&amp;INDEX(Tab_DaBa[],MATCH(CONCATENATE(Liste!$C$3,$B$2543,$B$2629),Data!$BO:$BO,0)-2,65),"")),"")</f>
        <v/>
      </c>
      <c r="G2650" s="39"/>
      <c r="H2650" s="35" t="str">
        <f ca="1">IFERROR(IF(INDEX(Tab_DaBa[],MATCH(CONCATENATE(Liste!$C$3,$B$2543,$B$2629),Data!$BO:$BO,0)-2,63)&lt;&gt;"","Performance Level: "&amp;INDEX(Tab_DaBa[],MATCH(CONCATENATE(Liste!$C$3,$B$2543,$B$2629),Data!$BO:$BO,0)-2,15),""),"")</f>
        <v/>
      </c>
    </row>
    <row r="2651" spans="2:9" s="16" customFormat="1" ht="15.75">
      <c r="B2651" s="35" t="str">
        <f ca="1">IFERROR(IF(AND(INDEX(Tab_DaBa[],MATCH(CONCATENATE(Liste!$C$3,$B$2543,$B$2629),Data!$BO:$BO,0)-2,48)&lt;&gt;"",INDEX(Tab_DaBa[],MATCH(CONCATENATE(Liste!$C$3,$B$2543,$B$2629),Data!$BO:$BO,0)-2,53)=""),"PFH [1/h] = "&amp;10^9*INDEX(Tab_DaBa[],MATCH(CONCATENATE(Liste!$C$3,$B$2543,$B$2629),Data!$BO:$BO,0)-2,16)&amp;"E-9",IF(INDEX(Tab_DaBa[],MATCH(CONCATENATE(Liste!$C$3,$B$2543,$B$2629),Data!$BO:$BO,0)-2,48)&lt;&gt;"","PFH [1/h] = "&amp;10^9*INDEX(Tab_DaBa[],MATCH(CONCATENATE(Liste!$C$3,$B$2543,$B$2629),Data!$BO:$BO,0)-2,56)&amp;"E-9","")),"")</f>
        <v/>
      </c>
      <c r="C2651" s="39"/>
      <c r="D2651" s="35" t="str">
        <f ca="1">IFERROR(IF(AND(INDEX(Tab_DaBa[],MATCH(CONCATENATE(Liste!$C$3,$B$2543,$B$2629),Data!$BO:$BO,0)-2,53)&lt;&gt;"",INDEX(Tab_DaBa[],MATCH(CONCATENATE(Liste!$C$3,$B$2543,$B$2629),Data!$BO:$BO,0)-2,58)=""),"PFH [1/h] = "&amp;10^9*INDEX(Tab_DaBa[],MATCH(CONCATENATE(Liste!$C$3,$B$2543,$B$2629),Data!$BO:$BO,0)-2,16)&amp;"E-9",IF(INDEX(Tab_DaBa[],MATCH(CONCATENATE(Liste!$C$3,$B$2543,$B$2629),Data!$BO:$BO,0)-2,53)&lt;&gt;"","PFH [1/h] = "&amp;10^9*INDEX(Tab_DaBa[],MATCH(CONCATENATE(Liste!$C$3,$B$2543,$B$2629),Data!$BO:$BO,0)-2,61)&amp;"E-9","")),"")</f>
        <v/>
      </c>
      <c r="E2651" s="37"/>
      <c r="F2651" s="35" t="str">
        <f ca="1">IFERROR(IF(AND(INDEX(Tab_DaBa[],MATCH(CONCATENATE(Liste!$C$3,$B$2543,$B$2629),Data!$BO:$BO,0)-2,58)&lt;&gt;"",INDEX(Tab_DaBa[],MATCH(CONCATENATE(Liste!$C$3,$B$2543,$B$2629),Data!$BO:$BO,0)-2,63)=""),"PFH [1/h] = "&amp;10^9*INDEX(Tab_DaBa[],MATCH(CONCATENATE(Liste!$C$3,$B$2543,$B$2629),Data!$BO:$BO,0)-2,16)&amp;"E-9",IF(INDEX(Tab_DaBa[],MATCH(CONCATENATE(Liste!$C$3,$B$2543,$B$2629),Data!$BO:$BO,0)-2,58)&lt;&gt;"","PFH [1/h] = "&amp;10^9*INDEX(Tab_DaBa[],MATCH(CONCATENATE(Liste!$C$3,$B$2543,$B$2629),Data!$BO:$BO,0)-2,66)&amp;"E-9","")),"")</f>
        <v/>
      </c>
      <c r="G2651" s="39"/>
      <c r="H2651" s="35" t="str">
        <f ca="1">IFERROR(IF(INDEX(Tab_DaBa[],MATCH(CONCATENATE(Liste!$C$3,$B$2543,$B$2629),Data!$BO:$BO,0)-2,63)&lt;&gt;"","PFH [1/h] = "&amp;10^9*INDEX(Tab_DaBa[],MATCH(CONCATENATE(Liste!$C$3,$B$2543,$B$2629),Data!$BO:$BO,0)-2,16)&amp;"E-9",""),"")</f>
        <v/>
      </c>
    </row>
    <row r="2652" spans="2:9" s="16" customFormat="1"/>
    <row r="2653" spans="2:9" s="16" customFormat="1">
      <c r="B2653" s="43" t="str">
        <f ca="1">IF(D2653="","","Erforderlich")</f>
        <v>Erforderlich</v>
      </c>
      <c r="D2653" s="44" t="str">
        <f ca="1">IFERROR("Performance Level: "&amp;INDEX(Tab_DaBa[],MATCH(CONCATENATE(Liste!$C$3,$B$2543,$B$2629),Data!$BO:$BO,0)-2,4),"")</f>
        <v>Performance Level: PLr_ges4_4</v>
      </c>
    </row>
    <row r="2654" spans="2:9" s="16" customFormat="1">
      <c r="B2654" s="45"/>
    </row>
    <row r="2655" spans="2:9" s="16" customFormat="1">
      <c r="B2655" s="46" t="str">
        <f ca="1">IF(D2655="","","Erreicht")</f>
        <v>Erreicht</v>
      </c>
      <c r="D2655" s="47" t="str">
        <f ca="1">IFERROR("Performance Level: "&amp;INDEX(Tab_DaBa[],MATCH(CONCATENATE(Liste!$C$3,$B$2543,$B$2629),Data!$BO:$BO,0)-2,5)&amp;"          PFH [1/h] = "&amp;10^9*INDEX(Tab_DaBa[],MATCH(CONCATENATE(Liste!$C$3,$B$2543,$B$2629),Data!$BO:$BO,0)-2,6)&amp;"E-9","")</f>
        <v>Performance Level: Pl_ges4_4          PFH [1/h] = 71,7E-9</v>
      </c>
    </row>
    <row r="2656" spans="2:9" s="16" customFormat="1"/>
    <row r="2657" spans="2:9" s="16" customFormat="1">
      <c r="B2657" s="42" t="str">
        <f ca="1">IFERROR(IF(5&gt;COUNTIF(Data!$BP:$BP,CONCATENATE(Liste!$C$3,$B$2543)),"",INDEX(Tab_DaBa[],MATCH(CONCATENATE(Liste!$C$3,$B$2543),Data!$BP:$BP,0)+2,3)),"")</f>
        <v>10.5 Test10 (E+5L+A)</v>
      </c>
    </row>
    <row r="2658" spans="2:9" s="16" customFormat="1"/>
    <row r="2659" spans="2:9" s="16" customFormat="1" ht="15.75">
      <c r="B2659" s="35" t="str">
        <f ca="1">IFERROR(INDEX(Tab_DaBa[],MATCH(CONCATENATE(Liste!$C$3,$B$2543,$B$2657),Data!$BO:$BO,0)-2,9),"")</f>
        <v>Eingang</v>
      </c>
      <c r="C2659" s="54"/>
      <c r="D2659" s="35" t="str">
        <f ca="1">IFERROR(IF(INDEX(Tab_DaBa[],MATCH(CONCATENATE(Liste!$C$3,$B$2543,$B$2657),Data!$BO:$BO,0)-2,18)=0,INDEX(Tab_DaBa[],MATCH(CONCATENATE(Liste!$C$3,$B$2543,$B$2657),Data!$BO:$BO,0)-2,14),INDEX(Tab_DaBa[],MATCH(CONCATENATE(Liste!$C$3,$B$2543,$B$2657),Data!$BO:$BO,0)-2,19)),"")</f>
        <v>Logik 01</v>
      </c>
      <c r="E2659" s="33"/>
      <c r="F2659" s="35" t="str">
        <f ca="1">IFERROR(IF(AND(INDEX(Tab_DaBa[],MATCH(CONCATENATE(Liste!$C$3,$B$2543,$B$2657),Data!$BO:$BO,0)-2,18)&lt;&gt;"",INDEX(Tab_DaBa[],MATCH(CONCATENATE(Liste!$C$3,$B$2543,$B$2657),Data!$BO:$BO,0)-2,23)=0),INDEX(Tab_DaBa[],MATCH(CONCATENATE(Liste!$C$3,$B$2543,$B$2657),Data!$BO:$BO,0)-2,14),IF(INDEX(Tab_DaBa[],MATCH(CONCATENATE(Liste!$C$3,$B$2543,$B$2657),Data!$BO:$BO,0)-2,23)&lt;&gt;"",INDEX(Tab_DaBa[],MATCH(CONCATENATE(Liste!$C$3,$B$2543,$B$2657),Data!$BO:$BO,0)-2,24),"")),"")</f>
        <v>Logik 02</v>
      </c>
      <c r="G2659" s="39"/>
      <c r="H2659" s="35" t="str">
        <f ca="1">IFERROR(IF(AND(INDEX(Tab_DaBa[],MATCH(CONCATENATE(Liste!$C$3,$B$2543,$B$2657),Data!$BO:$BO,0)-2,23)&lt;&gt;"",INDEX(Tab_DaBa[],MATCH(CONCATENATE(Liste!$C$3,$B$2543,$B$2657),Data!$BO:$BO,0)-2,28)=0),INDEX(Tab_DaBa[],MATCH(CONCATENATE(Liste!$C$3,$B$2543,$B$2657),Data!$BO:$BO,0)-2,14),IF(INDEX(Tab_DaBa[],MATCH(CONCATENATE(Liste!$C$3,$B$2543,$B$2657),Data!$BO:$BO,0)-2,23)&lt;&gt;"",INDEX(Tab_DaBa[],MATCH(CONCATENATE(Liste!$C$3,$B$2543,$B$2657),Data!$BO:$BO,0)-2,29),"")),"")</f>
        <v>Logik 03</v>
      </c>
      <c r="I2659" s="39"/>
    </row>
    <row r="2660" spans="2:9" s="16" customFormat="1" ht="15.75">
      <c r="B2660" s="35" t="str">
        <f ca="1">IFERROR(INDEX(Tab_DaBa[],MATCH(CONCATENATE(Liste!$C$3,$B$2543,$B$2657),Data!$BO:$BO,0)-2,7),"")</f>
        <v>eeee-33_5</v>
      </c>
      <c r="C2660" s="54"/>
      <c r="D2660" s="35" t="str">
        <f ca="1">IFERROR(IF(INDEX(Tab_DaBa[],MATCH(CONCATENATE(Liste!$C$3,$B$2543,$B$2657),Data!$BO:$BO,0)-2,18)="",INDEX(Tab_DaBa[],MATCH(CONCATENATE(Liste!$C$3,$B$2543,$B$2657),Data!$BO:$BO,0)-2,12),INDEX(Tab_DaBa[],MATCH(CONCATENATE(Liste!$C$3,$B$2543,$B$2657),Data!$BO:$BO,0)-2,17)),"")</f>
        <v>Log01-04_05</v>
      </c>
      <c r="E2660" s="36"/>
      <c r="F2660" s="35" t="str">
        <f ca="1">IFERROR(IF(AND(INDEX(Tab_DaBa[],MATCH(CONCATENATE(Liste!$C$3,$B$2543,$B$2657),Data!$BO:$BO,0)-2,18)&lt;&gt;"",INDEX(Tab_DaBa[],MATCH(CONCATENATE(Liste!$C$3,$B$2543,$B$2657),Data!$BO:$BO,0)-2,23)=0),INDEX(Tab_DaBa[],MATCH(CONCATENATE(Liste!$C$3,$B$2543,$B$2657),Data!$BO:$BO,0)-2,12),IF(INDEX(Tab_DaBa[],MATCH(CONCATENATE(Liste!$C$3,$B$2543,$B$2657),Data!$BO:$BO,0)-2,23)&lt;&gt;"",INDEX(Tab_DaBa[],MATCH(CONCATENATE(Liste!$C$3,$B$2543,$B$2657),Data!$BO:$BO,0)-2,22),"")),"")</f>
        <v>Lo04-04_05</v>
      </c>
      <c r="G2660" s="39"/>
      <c r="H2660" s="35" t="str">
        <f ca="1">IFERROR(IF(AND(INDEX(Tab_DaBa[],MATCH(CONCATENATE(Liste!$C$3,$B$2543,$B$2657),Data!$BO:$BO,0)-2,23)&lt;&gt;"",INDEX(Tab_DaBa[],MATCH(CONCATENATE(Liste!$C$3,$B$2543,$B$2657),Data!$BO:$BO,0)-2,28)=0),INDEX(Tab_DaBa[],MATCH(CONCATENATE(Liste!$C$3,$B$2543,$B$2657),Data!$BO:$BO,0)-2,12),IF(INDEX(Tab_DaBa[],MATCH(CONCATENATE(Liste!$C$3,$B$2543,$B$2657),Data!$BO:$BO,0)-2,23)&lt;&gt;"",INDEX(Tab_DaBa[],MATCH(CONCATENATE(Liste!$C$3,$B$2543,$B$2657),Data!$BO:$BO,0)-2,27),"")),"")</f>
        <v>Lo04-44_05</v>
      </c>
      <c r="I2660" s="39"/>
    </row>
    <row r="2661" spans="2:9" s="16" customFormat="1" ht="15.75">
      <c r="B2661" s="35" t="str">
        <f ca="1">IFERROR(INDEX(Tab_DaBa[],MATCH(CONCATENATE(Liste!$C$3,$B$2543,$B$2657),Data!$BO:$BO,0)-2,8),"")</f>
        <v>Bez_Ein4_5</v>
      </c>
      <c r="C2661" s="40">
        <f ca="1">IF(D2659="","",4)</f>
        <v>4</v>
      </c>
      <c r="D2661" s="35" t="str">
        <f ca="1">IFERROR(IF(INDEX(Tab_DaBa[],MATCH(CONCATENATE(Liste!$C$3,$B$2543,$B$2657),Data!$BO:$BO,0)-2,18)="",INDEX(Tab_DaBa[],MATCH(CONCATENATE(Liste!$C$3,$B$2543,$B$2657),Data!$BO:$BO,0)-2,13),INDEX(Tab_DaBa[],MATCH(CONCATENATE(Liste!$C$3,$B$2543,$B$2657),Data!$BO:$BO,0)-2,18)),"")</f>
        <v>Bez_Log01_04_05</v>
      </c>
      <c r="E2661" s="40">
        <f ca="1">IF(F2659="","",4)</f>
        <v>4</v>
      </c>
      <c r="F2661" s="35" t="str">
        <f ca="1">IFERROR(IF(AND(INDEX(Tab_DaBa[],MATCH(CONCATENATE(Liste!$C$3,$B$2543,$B$2657),Data!$BO:$BO,0)-2,18)&lt;&gt;"",INDEX(Tab_DaBa[],MATCH(CONCATENATE(Liste!$C$3,$B$2543,$B$2657),Data!$BO:$BO,0)-2,23)=""),INDEX(Tab_DaBa[],MATCH(CONCATENATE(Liste!$C$3,$B$2543,$B$2657),Data!$BO:$BO,0)-2,13),IF(INDEX(Tab_DaBa[],MATCH(CONCATENATE(Liste!$C$3,$B$2543,$B$2657),Data!$BO:$BO,0)-2,23)&lt;&gt;"",INDEX(Tab_DaBa[],MATCH(CONCATENATE(Liste!$C$3,$B$2543,$B$2657),Data!$BO:$BO,0)-2,23),"")),"")</f>
        <v>Bez_Lo04_05</v>
      </c>
      <c r="G2661" s="38">
        <f ca="1">IF(H2659="","",4)</f>
        <v>4</v>
      </c>
      <c r="H2661" s="35" t="str">
        <f ca="1">IFERROR(IF(AND(INDEX(Tab_DaBa[],MATCH(CONCATENATE(Liste!$C$3,$B$2543,$B$2657),Data!$BO:$BO,0)-2,23)&lt;&gt;"",INDEX(Tab_DaBa[],MATCH(CONCATENATE(Liste!$C$3,$B$2543,$B$2657),Data!$BO:$BO,0)-2,28)=""),INDEX(Tab_DaBa[],MATCH(CONCATENATE(Liste!$C$3,$B$2543,$B$2657),Data!$BO:$BO,0)-2,13),IF(INDEX(Tab_DaBa[],MATCH(CONCATENATE(Liste!$C$3,$B$2543,$B$2657),Data!$BO:$BO,0)-2,23)&lt;&gt;"",INDEX(Tab_DaBa[],MATCH(CONCATENATE(Liste!$C$3,$B$2543,$B$2657),Data!$BO:$BO,0)-2,28),"")),"")</f>
        <v>Bez_Lo04_05</v>
      </c>
      <c r="I2661" s="38">
        <f ca="1">IF(B2667="","",6)</f>
        <v>6</v>
      </c>
    </row>
    <row r="2662" spans="2:9" s="16" customFormat="1" ht="15.75">
      <c r="B2662" s="35" t="str">
        <f ca="1">IFERROR("Performance Level: "&amp;INDEX(Tab_DaBa[],MATCH(CONCATENATE(Liste!$C$3,$B$2543,$B$2657),Data!$BO:$BO,0)-2,10),"")</f>
        <v>Performance Level: PL_Ein4_5</v>
      </c>
      <c r="C2662" s="54"/>
      <c r="D2662" s="35" t="str">
        <f ca="1">IFERROR(IF(INDEX(Tab_DaBa[],MATCH(CONCATENATE(Liste!$C$3,$B$2543,$B$2657),Data!$BO:$BO,0)-2,18)="","Performance Level: "&amp;INDEX(Tab_DaBa[],MATCH(CONCATENATE(Liste!$C$3,$B$2543,$B$2657),Data!$BO:$BO,0)-2,15),"Performance Level: "&amp;INDEX(Tab_DaBa[],MATCH(CONCATENATE(Liste!$C$3,$B$2543,$B$2657),Data!$BO:$BO,0)-2,20)),"")</f>
        <v>Performance Level: PL_Log01_04_05</v>
      </c>
      <c r="E2662" s="36"/>
      <c r="F2662" s="35" t="str">
        <f ca="1">IFERROR(IF(AND(INDEX(Tab_DaBa[],MATCH(CONCATENATE(Liste!$C$3,$B$2543,$B$2657),Data!$BO:$BO,0)-2,18)&lt;&gt;"",INDEX(Tab_DaBa[],MATCH(CONCATENATE(Liste!$C$3,$B$2543,$B$2657),Data!$BO:$BO,0)-2,23)=""),"Performance Level: "&amp;INDEX(Tab_DaBa[],MATCH(CONCATENATE(Liste!$C$3,$B$2543,$B$2657),Data!$BO:$BO,0)-2,15),IF(INDEX(Tab_DaBa[],MATCH(CONCATENATE(Liste!$C$3,$B$2543,$B$2657),Data!$BO:$BO,0)-2,23)&lt;&gt;"","Performance Level: "&amp;INDEX(Tab_DaBa[],MATCH(CONCATENATE(Liste!$C$3,$B$2543,$B$2657),Data!$BO:$BO,0)-2,25),"")),"")</f>
        <v>Performance Level: PL_Lo04_05</v>
      </c>
      <c r="G2662" s="39"/>
      <c r="H2662" s="35" t="str">
        <f ca="1">IFERROR(IF(AND(INDEX(Tab_DaBa[],MATCH(CONCATENATE(Liste!$C$3,$B$2543,$B$2657),Data!$BO:$BO,0)-2,23)&lt;&gt;"",INDEX(Tab_DaBa[],MATCH(CONCATENATE(Liste!$C$3,$B$2543,$B$2657),Data!$BO:$BO,0)-2,28)=""),"Performance Level: "&amp;INDEX(Tab_DaBa[],MATCH(CONCATENATE(Liste!$C$3,$B$2543,$B$2657),Data!$BO:$BO,0)-2,15),IF(INDEX(Tab_DaBa[],MATCH(CONCATENATE(Liste!$C$3,$B$2543,$B$2657),Data!$BO:$BO,0)-2,23)&lt;&gt;"","Performance Level: "&amp;INDEX(Tab_DaBa[],MATCH(CONCATENATE(Liste!$C$3,$B$2543,$B$2657),Data!$BO:$BO,0)-2,30),"")),"")</f>
        <v>Performance Level: PL_Lo04_05</v>
      </c>
      <c r="I2662" s="38"/>
    </row>
    <row r="2663" spans="2:9" s="16" customFormat="1" ht="15.75">
      <c r="B2663" s="53" t="str">
        <f ca="1">IFERROR("PFH [1/h] = "&amp;10^9*INDEX(Tab_DaBa[],MATCH(CONCATENATE(Liste!$C$3,$B$2543,$B$2657),Data!$BO:$BO,0)-2,11)&amp;"E-9","")</f>
        <v>PFH [1/h] = 42,9E-9</v>
      </c>
      <c r="C2663" s="54"/>
      <c r="D2663" s="35" t="str">
        <f ca="1">IFERROR(IF(INDEX(Tab_DaBa[],MATCH(CONCATENATE(Liste!$C$3,$B$2543,$B$2657),Data!$BO:$BO,0)-2,18)="","PFH [1/h] = "&amp;10^9*INDEX(Tab_DaBa[],MATCH(CONCATENATE(Liste!$C$3,$B$2543,$B$2657),Data!$BO:$BO,0)-2,16)&amp;"E-9","PFH [1/h] = "&amp;10^9*INDEX(Tab_DaBa[],MATCH(CONCATENATE(Liste!$C$3,$B$2543,$B$2657),Data!$BO:$BO,0)-2,21)&amp;"E-9"),"")</f>
        <v>PFH [1/h] = 4,19E-9</v>
      </c>
      <c r="E2663" s="36"/>
      <c r="F2663" s="35" t="str">
        <f ca="1">IFERROR(IF(AND(INDEX(Tab_DaBa[],MATCH(CONCATENATE(Liste!$C$3,$B$2543,$B$2657),Data!$BO:$BO,0)-2,18)&lt;&gt;"",INDEX(Tab_DaBa[],MATCH(CONCATENATE(Liste!$C$3,$B$2543,$B$2657),Data!$BO:$BO,0)-2,23)=""),"PFH [1/h] = "&amp;10^9*INDEX(Tab_DaBa[],MATCH(CONCATENATE(Liste!$C$3,$B$2543,$B$2657),Data!$BO:$BO,0)-2,16)&amp;"E-9",IF(INDEX(Tab_DaBa[],MATCH(CONCATENATE(Liste!$C$3,$B$2543,$B$2657),Data!$BO:$BO,0)-2,23)&lt;&gt;"","PFH [1/h] = "&amp;10^9*INDEX(Tab_DaBa[],MATCH(CONCATENATE(Liste!$C$3,$B$2543,$B$2657),Data!$BO:$BO,0)-2,26)&amp;"E-9","")),"")</f>
        <v>PFH [1/h] = 4,19E-9</v>
      </c>
      <c r="G2663" s="39"/>
      <c r="H2663" s="35" t="str">
        <f ca="1">IFERROR(IF(AND(INDEX(Tab_DaBa[],MATCH(CONCATENATE(Liste!$C$3,$B$2543,$B$2657),Data!$BO:$BO,0)-2,23)&lt;&gt;"",INDEX(Tab_DaBa[],MATCH(CONCATENATE(Liste!$C$3,$B$2543,$B$2657),Data!$BO:$BO,0)-2,28)=""),"PFH [1/h] = "&amp;10^9*INDEX(Tab_DaBa[],MATCH(CONCATENATE(Liste!$C$3,$B$2543,$B$2657),Data!$BO:$BO,0)-2,16)&amp;"E-9",IF(INDEX(Tab_DaBa[],MATCH(CONCATENATE(Liste!$C$3,$B$2543,$B$2657),Data!$BO:$BO,0)-2,23)&lt;&gt;"","PFH [1/h] = "&amp;10^9*INDEX(Tab_DaBa[],MATCH(CONCATENATE(Liste!$C$3,$B$2543,$B$2657),Data!$BO:$BO,0)-2,31)&amp;"E-9","")),"")</f>
        <v>PFH [1/h] = 4,19E-9</v>
      </c>
      <c r="I2663" s="39"/>
    </row>
    <row r="2664" spans="2:9" s="16" customFormat="1">
      <c r="B2664" s="33"/>
      <c r="C2664" s="34"/>
      <c r="D2664" s="33"/>
      <c r="E2664" s="33"/>
      <c r="F2664" s="33"/>
      <c r="G2664" s="33"/>
      <c r="H2664" s="33"/>
      <c r="I2664" s="33"/>
    </row>
    <row r="2665" spans="2:9" s="16" customFormat="1" ht="15.75">
      <c r="B2665" s="38">
        <f ca="1">IF(B2667="","",6)</f>
        <v>6</v>
      </c>
      <c r="C2665" s="34"/>
      <c r="D2665" s="38">
        <f ca="1">IF(B2667="","",3)</f>
        <v>3</v>
      </c>
      <c r="E2665" s="33"/>
      <c r="F2665" s="38">
        <f ca="1">IF(B2667="","",3)</f>
        <v>3</v>
      </c>
      <c r="G2665" s="33"/>
      <c r="H2665" s="38">
        <f ca="1">IF(B2667="","",3)</f>
        <v>3</v>
      </c>
      <c r="I2665" s="33"/>
    </row>
    <row r="2666" spans="2:9" s="16" customFormat="1" ht="15.75">
      <c r="B2666" s="39"/>
      <c r="C2666" s="33"/>
      <c r="D2666" s="33"/>
      <c r="E2666" s="33"/>
      <c r="F2666" s="33"/>
      <c r="G2666" s="33"/>
      <c r="H2666" s="33"/>
      <c r="I2666" s="33"/>
    </row>
    <row r="2667" spans="2:9" s="16" customFormat="1" ht="15.75">
      <c r="B2667" s="35" t="str">
        <f ca="1">IFERROR(IF(AND(INDEX(Tab_DaBa[],MATCH(CONCATENATE(Liste!$C$3,$B$2543,$B$2657),Data!$BO:$BO,0)-2,28)&lt;&gt;"",INDEX(Tab_DaBa[],MATCH(CONCATENATE(Liste!$C$3,$B$2543,$B$2657),Data!$BO:$BO,0)-2,33)=0),INDEX(Tab_DaBa[],MATCH(CONCATENATE(Liste!$C$3,$B$2543,$B$2657),Data!$BO:$BO,0)-2,14),IF(INDEX(Tab_DaBa[],MATCH(CONCATENATE(Liste!$C$3,$B$2543,$B$2657),Data!$BO:$BO,0)-2,28)&lt;&gt;"",INDEX(Tab_DaBa[],MATCH(CONCATENATE(Liste!$C$3,$B$2543,$B$2657),Data!$BO:$BO,0)-2,34),"")),"")</f>
        <v>Logik 04</v>
      </c>
      <c r="C2667" s="39"/>
      <c r="D2667" s="35" t="str">
        <f ca="1">IFERROR(IF(AND(INDEX(Tab_DaBa[],MATCH(CONCATENATE(Liste!$C$3,$B$2543,$B$2657),Data!$BO:$BO,0)-2,33)&lt;&gt;"",INDEX(Tab_DaBa[],MATCH(CONCATENATE(Liste!$C$3,$B$2543,$B$2657),Data!$BO:$BO,0)-2,38)=0),INDEX(Tab_DaBa[],MATCH(CONCATENATE(Liste!$C$3,$B$2543,$B$2657),Data!$BO:$BO,0)-2,14),IF(INDEX(Tab_DaBa[],MATCH(CONCATENATE(Liste!$C$3,$B$2543,$B$2657),Data!$BO:$BO,0)-2,33)&lt;&gt;"",INDEX(Tab_DaBa[],MATCH(CONCATENATE(Liste!$C$3,$B$2543,$B$2657),Data!$BO:$BO,0)-2,39),"")),"")</f>
        <v>Logik 05</v>
      </c>
      <c r="E2667" s="33"/>
      <c r="F2667" s="35" t="str">
        <f ca="1">IFERROR(IF(AND(INDEX(Tab_DaBa[],MATCH(CONCATENATE(Liste!$C$3,$B$2543,$B$2657),Data!$BO:$BO,0)-2,38)&lt;&gt;"",INDEX(Tab_DaBa[],MATCH(CONCATENATE(Liste!$C$3,$B$2543,$B$2657),Data!$BO:$BO,0)-2,43)=0),INDEX(Tab_DaBa[],MATCH(CONCATENATE(Liste!$C$3,$B$2543,$B$2657),Data!$BO:$BO,0)-2,14),IF(INDEX(Tab_DaBa[],MATCH(CONCATENATE(Liste!$C$3,$B$2543,$B$2657),Data!$BO:$BO,0)-2,38)&lt;&gt;"",INDEX(Tab_DaBa[],MATCH(CONCATENATE(Liste!$C$3,$B$2543,$B$2657),Data!$BO:$BO,0)-2,44),"")),"")</f>
        <v>Ausgang</v>
      </c>
      <c r="G2667" s="39"/>
      <c r="H2667" s="35" t="str">
        <f ca="1">IFERROR(IF(AND(INDEX(Tab_DaBa[],MATCH(CONCATENATE(Liste!$C$3,$B$2543,$B$2657),Data!$BO:$BO,0)-2,43)&lt;&gt;"",INDEX(Tab_DaBa[],MATCH(CONCATENATE(Liste!$C$3,$B$2543,$B$2657),Data!$BO:$BO,0)-2,48)=0),INDEX(Tab_DaBa[],MATCH(CONCATENATE(Liste!$C$3,$B$2543,$B$2657),Data!$BO:$BO,0)-2,14),IF(INDEX(Tab_DaBa[],MATCH(CONCATENATE(Liste!$C$3,$B$2543,$B$2657),Data!$BO:$BO,0)-2,43)&lt;&gt;"",INDEX(Tab_DaBa[],MATCH(CONCATENATE(Liste!$C$3,$B$2543,$B$2657),Data!$BO:$BO,0)-2,49),"")),"")</f>
        <v/>
      </c>
      <c r="I2667" s="39"/>
    </row>
    <row r="2668" spans="2:9" s="16" customFormat="1" ht="15.75">
      <c r="B2668" s="35" t="str">
        <f ca="1">IFERROR(IF(AND(INDEX(Tab_DaBa[],MATCH(CONCATENATE(Liste!$C$3,$B$2543,$B$2657),Data!$BO:$BO,0)-2,28)&lt;&gt;"",INDEX(Tab_DaBa[],MATCH(CONCATENATE(Liste!$C$3,$B$2543,$B$2657),Data!$BO:$BO,0)-2,33)=0),INDEX(Tab_DaBa[],MATCH(CONCATENATE(Liste!$C$3,$B$2543,$B$2657),Data!$BO:$BO,0)-2,12),IF(INDEX(Tab_DaBa[],MATCH(CONCATENATE(Liste!$C$3,$B$2543,$B$2657),Data!$BO:$BO,0)-2,28)&lt;&gt;"",INDEX(Tab_DaBa[],MATCH(CONCATENATE(Liste!$C$3,$B$2543,$B$2657),Data!$BO:$BO,0)-2,32),"")),"")</f>
        <v>Lo04-44_05</v>
      </c>
      <c r="C2668" s="39"/>
      <c r="D2668" s="35" t="str">
        <f ca="1">IFERROR(IF(AND(INDEX(Tab_DaBa[],MATCH(CONCATENATE(Liste!$C$3,$B$2543,$B$2657),Data!$BO:$BO,0)-2,33)&lt;&gt;"",INDEX(Tab_DaBa[],MATCH(CONCATENATE(Liste!$C$3,$B$2543,$B$2657),Data!$BO:$BO,0)-2,38)=0),INDEX(Tab_DaBa[],MATCH(CONCATENATE(Liste!$C$3,$B$2543,$B$2657),Data!$BO:$BO,0)-2,12),IF(INDEX(Tab_DaBa[],MATCH(CONCATENATE(Liste!$C$3,$B$2543,$B$2657),Data!$BO:$BO,0)-2,33)&lt;&gt;"",INDEX(Tab_DaBa[],MATCH(CONCATENATE(Liste!$C$3,$B$2543,$B$2657),Data!$BO:$BO,0)-2,37),"")),"")</f>
        <v>Lo04-44_05</v>
      </c>
      <c r="E2668" s="37"/>
      <c r="F2668" s="35" t="str">
        <f ca="1">IFERROR(IF(AND(INDEX(Tab_DaBa[],MATCH(CONCATENATE(Liste!$C$3,$B$2543,$B$2657),Data!$BO:$BO,0)-2,38)&lt;&gt;"",INDEX(Tab_DaBa[],MATCH(CONCATENATE(Liste!$C$3,$B$2543,$B$2657),Data!$BO:$BO,0)-2,43)=0),INDEX(Tab_DaBa[],MATCH(CONCATENATE(Liste!$C$3,$B$2543,$B$2657),Data!$BO:$BO,0)-2,12),IF(INDEX(Tab_DaBa[],MATCH(CONCATENATE(Liste!$C$3,$B$2543,$B$2657),Data!$BO:$BO,0)-2,38)&lt;&gt;"",INDEX(Tab_DaBa[],MATCH(CONCATENATE(Liste!$C$3,$B$2543,$B$2657),Data!$BO:$BO,0)-2,42),"")),"")</f>
        <v>aaaa-44_5</v>
      </c>
      <c r="G2668" s="39"/>
      <c r="H2668" s="35" t="str">
        <f ca="1">IFERROR(IF(AND(INDEX(Tab_DaBa[],MATCH(CONCATENATE(Liste!$C$3,$B$2543,$B$2657),Data!$BO:$BO,0)-2,43)&lt;&gt;"",INDEX(Tab_DaBa[],MATCH(CONCATENATE(Liste!$C$3,$B$2543,$B$2657),Data!$BO:$BO,0)-2,48)=0),INDEX(Tab_DaBa[],MATCH(CONCATENATE(Liste!$C$3,$B$2543,$B$2657),Data!$BO:$BO,0)-2,12),IF(INDEX(Tab_DaBa[],MATCH(CONCATENATE(Liste!$C$3,$B$2543,$B$2657),Data!$BO:$BO,0)-2,43)&lt;&gt;"",INDEX(Tab_DaBa[],MATCH(CONCATENATE(Liste!$C$3,$B$2543,$B$2657),Data!$BO:$BO,0)-2,47),"")),"")</f>
        <v/>
      </c>
      <c r="I2668" s="39"/>
    </row>
    <row r="2669" spans="2:9" s="16" customFormat="1" ht="15.75">
      <c r="B2669" s="35" t="str">
        <f ca="1">IFERROR(IF(AND(INDEX(Tab_DaBa[],MATCH(CONCATENATE(Liste!$C$3,$B$2543,$B$2657),Data!$BO:$BO,0)-2,28)&lt;&gt;"",INDEX(Tab_DaBa[],MATCH(CONCATENATE(Liste!$C$3,$B$2543,$B$2657),Data!$BO:$BO,0)-2,33)=""),INDEX(Tab_DaBa[],MATCH(CONCATENATE(Liste!$C$3,$B$2543,$B$2657),Data!$BO:$BO,0)-2,13),IF(INDEX(Tab_DaBa[],MATCH(CONCATENATE(Liste!$C$3,$B$2543,$B$2657),Data!$BO:$BO,0)-2,28)&lt;&gt;"",INDEX(Tab_DaBa[],MATCH(CONCATENATE(Liste!$C$3,$B$2543,$B$2657),Data!$BO:$BO,0)-2,33),"")),"")</f>
        <v>Bez_Lo04_05</v>
      </c>
      <c r="C2669" s="38">
        <f ca="1">IF(D2667="","",4)</f>
        <v>4</v>
      </c>
      <c r="D2669" s="35" t="str">
        <f ca="1">IFERROR(IF(AND(INDEX(Tab_DaBa[],MATCH(CONCATENATE(Liste!$C$3,$B$2543,$B$2657),Data!$BO:$BO,0)-2,33)&lt;&gt;"",INDEX(Tab_DaBa[],MATCH(CONCATENATE(Liste!$C$3,$B$2543,$B$2657),Data!$BO:$BO,0)-2,38)=""),INDEX(Tab_DaBa[],MATCH(CONCATENATE(Liste!$C$3,$B$2543,$B$2657),Data!$BO:$BO,0)-2,13),IF(INDEX(Tab_DaBa[],MATCH(CONCATENATE(Liste!$C$3,$B$2543,$B$2657),Data!$BO:$BO,0)-2,33)&lt;&gt;"",INDEX(Tab_DaBa[],MATCH(CONCATENATE(Liste!$C$3,$B$2543,$B$2657),Data!$BO:$BO,0)-2,38),"")),"")</f>
        <v>Bez_Lo05_05</v>
      </c>
      <c r="E2669" s="38">
        <f ca="1">IF(F2667="","",4)</f>
        <v>4</v>
      </c>
      <c r="F2669" s="35" t="str">
        <f ca="1">IFERROR(IF(AND(INDEX(Tab_DaBa[],MATCH(CONCATENATE(Liste!$C$3,$B$2543,$B$2657),Data!$BO:$BO,0)-2,38)&lt;&gt;"",INDEX(Tab_DaBa[],MATCH(CONCATENATE(Liste!$C$3,$B$2543,$B$2657),Data!$BO:$BO,0)-2,43)=""),INDEX(Tab_DaBa[],MATCH(CONCATENATE(Liste!$C$3,$B$2543,$B$2657),Data!$BO:$BO,0)-2,13),IF(INDEX(Tab_DaBa[],MATCH(CONCATENATE(Liste!$C$3,$B$2543,$B$2657),Data!$BO:$BO,0)-2,38)&lt;&gt;"",INDEX(Tab_DaBa[],MATCH(CONCATENATE(Liste!$C$3,$B$2543,$B$2657),Data!$BO:$BO,0)-2,43),"")),"")</f>
        <v>Bez_Aus4_5</v>
      </c>
      <c r="G2669" s="38" t="str">
        <f ca="1">IF(H2667="","",4)</f>
        <v/>
      </c>
      <c r="H2669" s="35" t="str">
        <f ca="1">IFERROR(IF(AND(INDEX(Tab_DaBa[],MATCH(CONCATENATE(Liste!$C$3,$B$2543,$B$2657),Data!$BO:$BO,0)-2,43)&lt;&gt;"",INDEX(Tab_DaBa[],MATCH(CONCATENATE(Liste!$C$3,$B$2543,$B$2657),Data!$BO:$BO,0)-2,48)=""),INDEX(Tab_DaBa[],MATCH(CONCATENATE(Liste!$C$3,$B$2543,$B$2657),Data!$BO:$BO,0)-2,13),IF(INDEX(Tab_DaBa[],MATCH(CONCATENATE(Liste!$C$3,$B$2543,$B$2657),Data!$BO:$BO,0)-2,43)&lt;&gt;"",INDEX(Tab_DaBa[],MATCH(CONCATENATE(Liste!$C$3,$B$2543,$B$2657),Data!$BO:$BO,0)-2,48),"")),"")</f>
        <v/>
      </c>
      <c r="I2669" s="38" t="str">
        <f ca="1">IF(B2675="","",6)</f>
        <v/>
      </c>
    </row>
    <row r="2670" spans="2:9" s="16" customFormat="1" ht="15.75">
      <c r="B2670" s="35" t="str">
        <f ca="1">IFERROR(IF(AND(INDEX(Tab_DaBa[],MATCH(CONCATENATE(Liste!$C$3,$B$2543,$B$2657),Data!$BO:$BO,0)-2,28)&lt;&gt;"",INDEX(Tab_DaBa[],MATCH(CONCATENATE(Liste!$C$3,$B$2543,$B$2657),Data!$BO:$BO,0)-2,33)=""),"Performance Level: "&amp;INDEX(Tab_DaBa[],MATCH(CONCATENATE(Liste!$C$3,$B$2543,$B$2657),Data!$BO:$BO,0)-2,15),IF(INDEX(Tab_DaBa[],MATCH(CONCATENATE(Liste!$C$3,$B$2543,$B$2657),Data!$BO:$BO,0)-2,28)&lt;&gt;"","Performance Level: "&amp;INDEX(Tab_DaBa[],MATCH(CONCATENATE(Liste!$C$3,$B$2543,$B$2657),Data!$BO:$BO,0)-2,35),"")),"")</f>
        <v>Performance Level: PL_Lo04_05</v>
      </c>
      <c r="C2670" s="39"/>
      <c r="D2670" s="35" t="str">
        <f ca="1">IFERROR(IF(AND(INDEX(Tab_DaBa[],MATCH(CONCATENATE(Liste!$C$3,$B$2543,$B$2657),Data!$BO:$BO,0)-2,33)&lt;&gt;"",INDEX(Tab_DaBa[],MATCH(CONCATENATE(Liste!$C$3,$B$2543,$B$2657),Data!$BO:$BO,0)-2,38)=""),"Performance Level: "&amp;INDEX(Tab_DaBa[],MATCH(CONCATENATE(Liste!$C$3,$B$2543,$B$2657),Data!$BO:$BO,0)-2,15),IF(INDEX(Tab_DaBa[],MATCH(CONCATENATE(Liste!$C$3,$B$2543,$B$2657),Data!$BO:$BO,0)-2,33)&lt;&gt;"","Performance Level: "&amp;INDEX(Tab_DaBa[],MATCH(CONCATENATE(Liste!$C$3,$B$2543,$B$2657),Data!$BO:$BO,0)-2,40),"")),"")</f>
        <v>Performance Level: PL_Lo03_5</v>
      </c>
      <c r="E2670" s="37"/>
      <c r="F2670" s="35" t="str">
        <f ca="1">IFERROR(IF(AND(INDEX(Tab_DaBa[],MATCH(CONCATENATE(Liste!$C$3,$B$2543,$B$2657),Data!$BO:$BO,0)-2,38)&lt;&gt;"",INDEX(Tab_DaBa[],MATCH(CONCATENATE(Liste!$C$3,$B$2543,$B$2657),Data!$BO:$BO,0)-2,43)=""),"Performance Level: "&amp;INDEX(Tab_DaBa[],MATCH(CONCATENATE(Liste!$C$3,$B$2543,$B$2657),Data!$BO:$BO,0)-2,15),IF(INDEX(Tab_DaBa[],MATCH(CONCATENATE(Liste!$C$3,$B$2543,$B$2657),Data!$BO:$BO,0)-2,38)&lt;&gt;"","Performance Level: "&amp;INDEX(Tab_DaBa[],MATCH(CONCATENATE(Liste!$C$3,$B$2543,$B$2657),Data!$BO:$BO,0)-2,45),"")),"")</f>
        <v>Performance Level: PL_Aus4_5</v>
      </c>
      <c r="G2670" s="39"/>
      <c r="H2670" s="35" t="str">
        <f ca="1">IFERROR(IF(AND(INDEX(Tab_DaBa[],MATCH(CONCATENATE(Liste!$C$3,$B$2543,$B$2657),Data!$BO:$BO,0)-2,43)&lt;&gt;"",INDEX(Tab_DaBa[],MATCH(CONCATENATE(Liste!$C$3,$B$2543,$B$2657),Data!$BO:$BO,0)-2,48)=""),"Performance Level: "&amp;INDEX(Tab_DaBa[],MATCH(CONCATENATE(Liste!$C$3,$B$2543,$B$2657),Data!$BO:$BO,0)-2,15),IF(INDEX(Tab_DaBa[],MATCH(CONCATENATE(Liste!$C$3,$B$2543,$B$2657),Data!$BO:$BO,0)-2,43)&lt;&gt;"","Performance Level: "&amp;INDEX(Tab_DaBa[],MATCH(CONCATENATE(Liste!$C$3,$B$2543,$B$2657),Data!$BO:$BO,0)-2,50),"")),"")</f>
        <v/>
      </c>
      <c r="I2670" s="39"/>
    </row>
    <row r="2671" spans="2:9" s="16" customFormat="1" ht="15.75">
      <c r="B2671" s="35" t="str">
        <f ca="1">IFERROR(IF(AND(INDEX(Tab_DaBa[],MATCH(CONCATENATE(Liste!$C$3,$B$2543,$B$2657),Data!$BO:$BO,0)-2,28)&lt;&gt;"",INDEX(Tab_DaBa[],MATCH(CONCATENATE(Liste!$C$3,$B$2543,$B$2657),Data!$BO:$BO,0)-2,33)=""),"PFH [1/h] = "&amp;10^9*INDEX(Tab_DaBa[],MATCH(CONCATENATE(Liste!$C$3,$B$2543,$B$2657),Data!$BO:$BO,0)-2,16)&amp;"E-9",IF(INDEX(Tab_DaBa[],MATCH(CONCATENATE(Liste!$C$3,$B$2543,$B$2657),Data!$BO:$BO,0)-2,28)&lt;&gt;"","PFH [1/h] = "&amp;10^9*INDEX(Tab_DaBa[],MATCH(CONCATENATE(Liste!$C$3,$B$2543,$B$2657),Data!$BO:$BO,0)-2,36)&amp;"E-9","")),"")</f>
        <v>PFH [1/h] = 4,19E-9</v>
      </c>
      <c r="C2671" s="39"/>
      <c r="D2671" s="35" t="str">
        <f ca="1">IFERROR(IF(AND(INDEX(Tab_DaBa[],MATCH(CONCATENATE(Liste!$C$3,$B$2543,$B$2657),Data!$BO:$BO,0)-2,33)&lt;&gt;"",INDEX(Tab_DaBa[],MATCH(CONCATENATE(Liste!$C$3,$B$2543,$B$2657),Data!$BO:$BO,0)-2,38)=""),"PFH [1/h] = "&amp;10^9*INDEX(Tab_DaBa[],MATCH(CONCATENATE(Liste!$C$3,$B$2543,$B$2657),Data!$BO:$BO,0)-2,16)&amp;"E-9",IF(INDEX(Tab_DaBa[],MATCH(CONCATENATE(Liste!$C$3,$B$2543,$B$2657),Data!$BO:$BO,0)-2,33)&lt;&gt;"","PFH [1/h] = "&amp;10^9*INDEX(Tab_DaBa[],MATCH(CONCATENATE(Liste!$C$3,$B$2543,$B$2657),Data!$BO:$BO,0)-2,41)&amp;"E-9","")),"")</f>
        <v>PFH [1/h] = 4,19E-9</v>
      </c>
      <c r="E2671" s="37"/>
      <c r="F2671" s="35" t="str">
        <f ca="1">IFERROR(IF(AND(INDEX(Tab_DaBa[],MATCH(CONCATENATE(Liste!$C$3,$B$2543,$B$2657),Data!$BO:$BO,0)-2,38)&lt;&gt;"",INDEX(Tab_DaBa[],MATCH(CONCATENATE(Liste!$C$3,$B$2543,$B$2657),Data!$BO:$BO,0)-2,43)=""),"PFH [1/h] = "&amp;10^9*INDEX(Tab_DaBa[],MATCH(CONCATENATE(Liste!$C$3,$B$2543,$B$2657),Data!$BO:$BO,0)-2,16)&amp;"E-9",IF(INDEX(Tab_DaBa[],MATCH(CONCATENATE(Liste!$C$3,$B$2543,$B$2657),Data!$BO:$BO,0)-2,38)&lt;&gt;"","PFH [1/h] = "&amp;10^9*INDEX(Tab_DaBa[],MATCH(CONCATENATE(Liste!$C$3,$B$2543,$B$2657),Data!$BO:$BO,0)-2,46)&amp;"E-9","")),"")</f>
        <v>PFH [1/h] = 24,7E-9</v>
      </c>
      <c r="G2671" s="39"/>
      <c r="H2671" s="35" t="str">
        <f ca="1">IFERROR(IF(AND(INDEX(Tab_DaBa[],MATCH(CONCATENATE(Liste!$C$3,$B$2543,$B$2657),Data!$BO:$BO,0)-2,43)&lt;&gt;"",INDEX(Tab_DaBa[],MATCH(CONCATENATE(Liste!$C$3,$B$2543,$B$2657),Data!$BO:$BO,0)-2,48)=""),"PFH [1/h] = "&amp;10^9*INDEX(Tab_DaBa[],MATCH(CONCATENATE(Liste!$C$3,$B$2543,$B$2657),Data!$BO:$BO,0)-2,16)&amp;"E-9",IF(INDEX(Tab_DaBa[],MATCH(CONCATENATE(Liste!$C$3,$B$2543,$B$2657),Data!$BO:$BO,0)-2,43)&lt;&gt;"","PFH [1/h] = "&amp;10^9*INDEX(Tab_DaBa[],MATCH(CONCATENATE(Liste!$C$3,$B$2543,$B$2657),Data!$BO:$BO,0)-2,51)&amp;"E-9","")),"")</f>
        <v/>
      </c>
      <c r="I2671" s="39"/>
    </row>
    <row r="2672" spans="2:9" s="16" customFormat="1">
      <c r="B2672" s="33"/>
      <c r="C2672" s="33"/>
      <c r="D2672" s="33"/>
      <c r="E2672" s="33"/>
      <c r="F2672" s="33"/>
      <c r="G2672" s="33"/>
      <c r="H2672" s="33"/>
      <c r="I2672" s="33"/>
    </row>
    <row r="2673" spans="2:9" s="16" customFormat="1" ht="15.75">
      <c r="B2673" s="38" t="str">
        <f ca="1">IF(B2675="","",6)</f>
        <v/>
      </c>
      <c r="C2673" s="33"/>
      <c r="D2673" s="38" t="str">
        <f ca="1">IF(B2675="","",3)</f>
        <v/>
      </c>
      <c r="E2673" s="33"/>
      <c r="F2673" s="38" t="str">
        <f ca="1">IF(B2675="","",3)</f>
        <v/>
      </c>
      <c r="G2673" s="33"/>
      <c r="H2673" s="38" t="str">
        <f ca="1">IF(B2675="","",3)</f>
        <v/>
      </c>
      <c r="I2673" s="33"/>
    </row>
    <row r="2674" spans="2:9" s="16" customFormat="1" ht="15.75">
      <c r="B2674" s="39"/>
      <c r="C2674" s="33"/>
      <c r="D2674" s="33"/>
      <c r="E2674" s="33"/>
      <c r="F2674" s="33"/>
      <c r="G2674" s="33"/>
      <c r="H2674" s="33"/>
      <c r="I2674" s="33"/>
    </row>
    <row r="2675" spans="2:9" s="16" customFormat="1" ht="15.75">
      <c r="B2675" s="35" t="str">
        <f ca="1">IFERROR(IF(AND(INDEX(Tab_DaBa[],MATCH(CONCATENATE(Liste!$C$3,$B$2543,$B$2657),Data!$BO:$BO,0)-2,48)&lt;&gt;"",INDEX(Tab_DaBa[],MATCH(CONCATENATE(Liste!$C$3,$B$2543,$B$2657),Data!$BO:$BO,0)-2,53)=0),INDEX(Tab_DaBa[],MATCH(CONCATENATE(Liste!$C$3,$B$2543,$B$2657),Data!$BO:$BO,0)-2,14),IF(INDEX(Tab_DaBa[],MATCH(CONCATENATE(Liste!$C$3,$B$2543,$B$2657),Data!$BO:$BO,0)-2,48)&lt;&gt;"",INDEX(Tab_DaBa[],MATCH(CONCATENATE(Liste!$C$3,$B$2543,$B$2657),Data!$BO:$BO,0)-2,54),"")),"")</f>
        <v/>
      </c>
      <c r="C2675" s="39"/>
      <c r="D2675" s="35" t="str">
        <f ca="1">IFERROR(IF(AND(INDEX(Tab_DaBa[],MATCH(CONCATENATE(Liste!$C$3,$B$2543,$B$2657),Data!$BO:$BO,0)-2,53)&lt;&gt;"",INDEX(Tab_DaBa[],MATCH(CONCATENATE(Liste!$C$3,$B$2543,$B$2657),Data!$BO:$BO,0)-2,58)=0),INDEX(Tab_DaBa[],MATCH(CONCATENATE(Liste!$C$3,$B$2543,$B$2657),Data!$BO:$BO,0)-2,14),IF(INDEX(Tab_DaBa[],MATCH(CONCATENATE(Liste!$C$3,$B$2543,$B$2657),Data!$BO:$BO,0)-2,53)&lt;&gt;"",INDEX(Tab_DaBa[],MATCH(CONCATENATE(Liste!$C$3,$B$2543,$B$2657),Data!$BO:$BO,0)-2,59),"")),"")</f>
        <v/>
      </c>
      <c r="E2675" s="33"/>
      <c r="F2675" s="35" t="str">
        <f ca="1">IFERROR(IF(AND(INDEX(Tab_DaBa[],MATCH(CONCATENATE(Liste!$C$3,$B$2543,$B$2657),Data!$BO:$BO,0)-2,58)&lt;&gt;"",INDEX(Tab_DaBa[],MATCH(CONCATENATE(Liste!$C$3,$B$2543,$B$2657),Data!$BO:$BO,0)-2,63)=0),INDEX(Tab_DaBa[],MATCH(CONCATENATE(Liste!$C$3,$B$2543,$B$2657),Data!$BO:$BO,0)-2,14),IF(INDEX(Tab_DaBa[],MATCH(CONCATENATE(Liste!$C$3,$B$2543,$B$2657),Data!$BO:$BO,0)-2,58)&lt;&gt;"",INDEX(Tab_DaBa[],MATCH(CONCATENATE(Liste!$C$3,$B$2543,$B$2657),Data!$BO:$BO,0)-2,64),"")),"")</f>
        <v/>
      </c>
      <c r="G2675" s="39"/>
      <c r="H2675" s="35" t="str">
        <f ca="1">IFERROR(IF(INDEX(Tab_DaBa[],MATCH(CONCATENATE(Liste!$C$3,$B$2543,$B$2657),Data!$BO:$BO,0)-2,63)&lt;&gt;"",INDEX(Tab_DaBa[],MATCH(CONCATENATE(Liste!$C$3,$B$2543,$B$2657),Data!$BO:$BO,0)-2,14),""),"")</f>
        <v/>
      </c>
    </row>
    <row r="2676" spans="2:9" s="16" customFormat="1" ht="15.75">
      <c r="B2676" s="35" t="str">
        <f ca="1">IFERROR(IF(AND(INDEX(Tab_DaBa[],MATCH(CONCATENATE(Liste!$C$3,$B$2543,$B$2657),Data!$BO:$BO,0)-2,48)&lt;&gt;"",INDEX(Tab_DaBa[],MATCH(CONCATENATE(Liste!$C$3,$B$2543,$B$2657),Data!$BO:$BO,0)-2,53)=0),INDEX(Tab_DaBa[],MATCH(CONCATENATE(Liste!$C$3,$B$2543,$B$2657),Data!$BO:$BO,0)-2,12),IF(INDEX(Tab_DaBa[],MATCH(CONCATENATE(Liste!$C$3,$B$2543,$B$2657),Data!$BO:$BO,0)-2,48)&lt;&gt;"",INDEX(Tab_DaBa[],MATCH(CONCATENATE(Liste!$C$3,$B$2543,$B$2657),Data!$BO:$BO,0)-2,52),"")),"")</f>
        <v/>
      </c>
      <c r="C2676" s="39"/>
      <c r="D2676" s="35" t="str">
        <f ca="1">IFERROR(IF(AND(INDEX(Tab_DaBa[],MATCH(CONCATENATE(Liste!$C$3,$B$2543,$B$2657),Data!$BO:$BO,0)-2,53)&lt;&gt;"",INDEX(Tab_DaBa[],MATCH(CONCATENATE(Liste!$C$3,$B$2543,$B$2657),Data!$BO:$BO,0)-2,58)=0),INDEX(Tab_DaBa[],MATCH(CONCATENATE(Liste!$C$3,$B$2543,$B$2657),Data!$BO:$BO,0)-2,12),IF(INDEX(Tab_DaBa[],MATCH(CONCATENATE(Liste!$C$3,$B$2543,$B$2657),Data!$BO:$BO,0)-2,53)&lt;&gt;"",INDEX(Tab_DaBa[],MATCH(CONCATENATE(Liste!$C$3,$B$2543,$B$2657),Data!$BO:$BO,0)-2,57),"")),"")</f>
        <v/>
      </c>
      <c r="E2676" s="37"/>
      <c r="F2676" s="35" t="str">
        <f ca="1">IFERROR(IF(AND(INDEX(Tab_DaBa[],MATCH(CONCATENATE(Liste!$C$3,$B$2543,$B$2657),Data!$BO:$BO,0)-2,58)&lt;&gt;"",INDEX(Tab_DaBa[],MATCH(CONCATENATE(Liste!$C$3,$B$2543,$B$2657),Data!$BO:$BO,0)-2,63)=0),INDEX(Tab_DaBa[],MATCH(CONCATENATE(Liste!$C$3,$B$2543,$B$2657),Data!$BO:$BO,0)-2,12),IF(INDEX(Tab_DaBa[],MATCH(CONCATENATE(Liste!$C$3,$B$2543,$B$2657),Data!$BO:$BO,0)-2,58)&lt;&gt;"",INDEX(Tab_DaBa[],MATCH(CONCATENATE(Liste!$C$3,$B$2543,$B$2657),Data!$BO:$BO,0)-2,62),"")),"")</f>
        <v/>
      </c>
      <c r="G2676" s="39"/>
      <c r="H2676" s="35" t="str">
        <f ca="1">IFERROR(IF(INDEX(Tab_DaBa[],MATCH(CONCATENATE(Liste!$C$3,$B$2543,$B$2657),Data!$BO:$BO,0)-2,63)&lt;&gt;"",INDEX(Tab_DaBa[],MATCH(CONCATENATE(Liste!$C$3,$B$2543,$B$2657),Data!$BO:$BO,0)-2,12),""),"")</f>
        <v/>
      </c>
    </row>
    <row r="2677" spans="2:9" s="16" customFormat="1" ht="15.75">
      <c r="B2677" s="35" t="str">
        <f ca="1">IFERROR(IF(AND(INDEX(Tab_DaBa[],MATCH(CONCATENATE(Liste!$C$3,$B$2543,$B$2657),Data!$BO:$BO,0)-2,48)&lt;&gt;"",INDEX(Tab_DaBa[],MATCH(CONCATENATE(Liste!$C$3,$B$2543,$B$2657),Data!$BO:$BO,0)-2,53)=""),INDEX(Tab_DaBa[],MATCH(CONCATENATE(Liste!$C$3,$B$2543,$B$2657),Data!$BO:$BO,0)-2,13),IF(INDEX(Tab_DaBa[],MATCH(CONCATENATE(Liste!$C$3,$B$2543,$B$2657),Data!$BO:$BO,0)-2,48)&lt;&gt;"",INDEX(Tab_DaBa[],MATCH(CONCATENATE(Liste!$C$3,$B$2543,$B$2657),Data!$BO:$BO,0)-2,53),"")),"")</f>
        <v/>
      </c>
      <c r="C2677" s="38" t="str">
        <f ca="1">IF(D2675="","",4)</f>
        <v/>
      </c>
      <c r="D2677" s="35" t="str">
        <f ca="1">IFERROR(IF(AND(INDEX(Tab_DaBa[],MATCH(CONCATENATE(Liste!$C$3,$B$2543,$B$2657),Data!$BO:$BO,0)-2,53)&lt;&gt;"",INDEX(Tab_DaBa[],MATCH(CONCATENATE(Liste!$C$3,$B$2543,$B$2657),Data!$BO:$BO,0)-2,58)=""),INDEX(Tab_DaBa[],MATCH(CONCATENATE(Liste!$C$3,$B$2543,$B$2657),Data!$BO:$BO,0)-2,13),IF(INDEX(Tab_DaBa[],MATCH(CONCATENATE(Liste!$C$3,$B$2543,$B$2657),Data!$BO:$BO,0)-2,53)&lt;&gt;"",INDEX(Tab_DaBa[],MATCH(CONCATENATE(Liste!$C$3,$B$2543,$B$2657),Data!$BO:$BO,0)-2,58),"")),"")</f>
        <v/>
      </c>
      <c r="E2677" s="38" t="str">
        <f ca="1">IF(F2675="","",4)</f>
        <v/>
      </c>
      <c r="F2677" s="35" t="str">
        <f ca="1">IFERROR(IF(AND(INDEX(Tab_DaBa[],MATCH(CONCATENATE(Liste!$C$3,$B$2543,$B$2657),Data!$BO:$BO,0)-2,58)&lt;&gt;"",INDEX(Tab_DaBa[],MATCH(CONCATENATE(Liste!$C$3,$B$2543,$B$2657),Data!$BO:$BO,0)-2,63)=""),INDEX(Tab_DaBa[],MATCH(CONCATENATE(Liste!$C$3,$B$2543,$B$2657),Data!$BO:$BO,0)-2,13),IF(INDEX(Tab_DaBa[],MATCH(CONCATENATE(Liste!$C$3,$B$2543,$B$2657),Data!$BO:$BO,0)-2,58)&lt;&gt;"",INDEX(Tab_DaBa[],MATCH(CONCATENATE(Liste!$C$3,$B$2543,$B$2657),Data!$BO:$BO,0)-2,63),"")),"")</f>
        <v/>
      </c>
      <c r="G2677" s="38" t="str">
        <f ca="1">IF(H2675="","",4)</f>
        <v/>
      </c>
      <c r="H2677" s="35" t="str">
        <f ca="1">IFERROR(IF(INDEX(Tab_DaBa[],MATCH(CONCATENATE(Liste!$C$3,$B$2543,$B$2657),Data!$BO:$BO,0)-2,63)&lt;&gt;"",INDEX(Tab_DaBa[],MATCH(CONCATENATE(Liste!$C$3,$B$2543,$B$2657),Data!$BO:$BO,0)-2,13),""),"")</f>
        <v/>
      </c>
    </row>
    <row r="2678" spans="2:9" s="16" customFormat="1" ht="15.75">
      <c r="B2678" s="35" t="str">
        <f ca="1">IFERROR(IF(AND(INDEX(Tab_DaBa[],MATCH(CONCATENATE(Liste!$C$3,$B$2543,$B$2657),Data!$BO:$BO,0)-2,48)&lt;&gt;"",INDEX(Tab_DaBa[],MATCH(CONCATENATE(Liste!$C$3,$B$2543,$B$2657),Data!$BO:$BO,0)-2,53)=""),"Performance Level: "&amp;INDEX(Tab_DaBa[],MATCH(CONCATENATE(Liste!$C$3,$B$2543,$B$2657),Data!$BO:$BO,0)-2,15),IF(INDEX(Tab_DaBa[],MATCH(CONCATENATE(Liste!$C$3,$B$2543,$B$2657),Data!$BO:$BO,0)-2,48)&lt;&gt;"","Performance Level: "&amp;INDEX(Tab_DaBa[],MATCH(CONCATENATE(Liste!$C$3,$B$2543,$B$2657),Data!$BO:$BO,0)-2,55),"")),"")</f>
        <v/>
      </c>
      <c r="C2678" s="39"/>
      <c r="D2678" s="35" t="str">
        <f ca="1">IFERROR(IF(AND(INDEX(Tab_DaBa[],MATCH(CONCATENATE(Liste!$C$3,$B$2543,$B$2657),Data!$BO:$BO,0)-2,53)&lt;&gt;"",INDEX(Tab_DaBa[],MATCH(CONCATENATE(Liste!$C$3,$B$2543,$B$2657),Data!$BO:$BO,0)-2,58)=""),"Performance Level: "&amp;INDEX(Tab_DaBa[],MATCH(CONCATENATE(Liste!$C$3,$B$2543,$B$2657),Data!$BO:$BO,0)-2,15),IF(INDEX(Tab_DaBa[],MATCH(CONCATENATE(Liste!$C$3,$B$2543,$B$2657),Data!$BO:$BO,0)-2,53)&lt;&gt;"","Performance Level: "&amp;INDEX(Tab_DaBa[],MATCH(CONCATENATE(Liste!$C$3,$B$2543,$B$2657),Data!$BO:$BO,0)-2,60),"")),"")</f>
        <v/>
      </c>
      <c r="E2678" s="37"/>
      <c r="F2678" s="35" t="str">
        <f ca="1">IFERROR(IF(AND(INDEX(Tab_DaBa[],MATCH(CONCATENATE(Liste!$C$3,$B$2543,$B$2657),Data!$BO:$BO,0)-2,58)&lt;&gt;"",INDEX(Tab_DaBa[],MATCH(CONCATENATE(Liste!$C$3,$B$2543,$B$2657),Data!$BO:$BO,0)-2,63)=""),"Performance Level: "&amp;INDEX(Tab_DaBa[],MATCH(CONCATENATE(Liste!$C$3,$B$2543,$B$2657),Data!$BO:$BO,0)-2,15),IF(INDEX(Tab_DaBa[],MATCH(CONCATENATE(Liste!$C$3,$B$2543,$B$2657),Data!$BO:$BO,0)-2,58)&lt;&gt;"","Performance Level: "&amp;INDEX(Tab_DaBa[],MATCH(CONCATENATE(Liste!$C$3,$B$2543,$B$2657),Data!$BO:$BO,0)-2,65),"")),"")</f>
        <v/>
      </c>
      <c r="G2678" s="39"/>
      <c r="H2678" s="35" t="str">
        <f ca="1">IFERROR(IF(INDEX(Tab_DaBa[],MATCH(CONCATENATE(Liste!$C$3,$B$2543,$B$2657),Data!$BO:$BO,0)-2,63)&lt;&gt;"","Performance Level: "&amp;INDEX(Tab_DaBa[],MATCH(CONCATENATE(Liste!$C$3,$B$2543,$B$2657),Data!$BO:$BO,0)-2,15),""),"")</f>
        <v/>
      </c>
    </row>
    <row r="2679" spans="2:9" s="16" customFormat="1" ht="15.75">
      <c r="B2679" s="35" t="str">
        <f ca="1">IFERROR(IF(AND(INDEX(Tab_DaBa[],MATCH(CONCATENATE(Liste!$C$3,$B$2543,$B$2657),Data!$BO:$BO,0)-2,48)&lt;&gt;"",INDEX(Tab_DaBa[],MATCH(CONCATENATE(Liste!$C$3,$B$2543,$B$2657),Data!$BO:$BO,0)-2,53)=""),"PFH [1/h] = "&amp;10^9*INDEX(Tab_DaBa[],MATCH(CONCATENATE(Liste!$C$3,$B$2543,$B$2657),Data!$BO:$BO,0)-2,16)&amp;"E-9",IF(INDEX(Tab_DaBa[],MATCH(CONCATENATE(Liste!$C$3,$B$2543,$B$2657),Data!$BO:$BO,0)-2,48)&lt;&gt;"","PFH [1/h] = "&amp;10^9*INDEX(Tab_DaBa[],MATCH(CONCATENATE(Liste!$C$3,$B$2543,$B$2657),Data!$BO:$BO,0)-2,56)&amp;"E-9","")),"")</f>
        <v/>
      </c>
      <c r="C2679" s="39"/>
      <c r="D2679" s="35" t="str">
        <f ca="1">IFERROR(IF(AND(INDEX(Tab_DaBa[],MATCH(CONCATENATE(Liste!$C$3,$B$2543,$B$2657),Data!$BO:$BO,0)-2,53)&lt;&gt;"",INDEX(Tab_DaBa[],MATCH(CONCATENATE(Liste!$C$3,$B$2543,$B$2657),Data!$BO:$BO,0)-2,58)=""),"PFH [1/h] = "&amp;10^9*INDEX(Tab_DaBa[],MATCH(CONCATENATE(Liste!$C$3,$B$2543,$B$2657),Data!$BO:$BO,0)-2,16)&amp;"E-9",IF(INDEX(Tab_DaBa[],MATCH(CONCATENATE(Liste!$C$3,$B$2543,$B$2657),Data!$BO:$BO,0)-2,53)&lt;&gt;"","PFH [1/h] = "&amp;10^9*INDEX(Tab_DaBa[],MATCH(CONCATENATE(Liste!$C$3,$B$2543,$B$2657),Data!$BO:$BO,0)-2,61)&amp;"E-9","")),"")</f>
        <v/>
      </c>
      <c r="E2679" s="37"/>
      <c r="F2679" s="35" t="str">
        <f ca="1">IFERROR(IF(AND(INDEX(Tab_DaBa[],MATCH(CONCATENATE(Liste!$C$3,$B$2543,$B$2657),Data!$BO:$BO,0)-2,58)&lt;&gt;"",INDEX(Tab_DaBa[],MATCH(CONCATENATE(Liste!$C$3,$B$2543,$B$2657),Data!$BO:$BO,0)-2,63)=""),"PFH [1/h] = "&amp;10^9*INDEX(Tab_DaBa[],MATCH(CONCATENATE(Liste!$C$3,$B$2543,$B$2657),Data!$BO:$BO,0)-2,16)&amp;"E-9",IF(INDEX(Tab_DaBa[],MATCH(CONCATENATE(Liste!$C$3,$B$2543,$B$2657),Data!$BO:$BO,0)-2,58)&lt;&gt;"","PFH [1/h] = "&amp;10^9*INDEX(Tab_DaBa[],MATCH(CONCATENATE(Liste!$C$3,$B$2543,$B$2657),Data!$BO:$BO,0)-2,66)&amp;"E-9","")),"")</f>
        <v/>
      </c>
      <c r="G2679" s="39"/>
      <c r="H2679" s="35" t="str">
        <f ca="1">IFERROR(IF(INDEX(Tab_DaBa[],MATCH(CONCATENATE(Liste!$C$3,$B$2543,$B$2657),Data!$BO:$BO,0)-2,63)&lt;&gt;"","PFH [1/h] = "&amp;10^9*INDEX(Tab_DaBa[],MATCH(CONCATENATE(Liste!$C$3,$B$2543,$B$2657),Data!$BO:$BO,0)-2,16)&amp;"E-9",""),"")</f>
        <v/>
      </c>
    </row>
    <row r="2680" spans="2:9" s="16" customFormat="1"/>
    <row r="2681" spans="2:9" s="16" customFormat="1">
      <c r="B2681" s="43" t="str">
        <f ca="1">IF(D2681="","","Erforderlich")</f>
        <v>Erforderlich</v>
      </c>
      <c r="D2681" s="44" t="str">
        <f ca="1">IFERROR("Performance Level: "&amp;INDEX(Tab_DaBa[],MATCH(CONCATENATE(Liste!$C$3,$B$2543,$B$2657),Data!$BO:$BO,0)-2,4),"")</f>
        <v>Performance Level: PLr_ges4_5</v>
      </c>
    </row>
    <row r="2682" spans="2:9" s="16" customFormat="1">
      <c r="B2682" s="45"/>
    </row>
    <row r="2683" spans="2:9" s="16" customFormat="1">
      <c r="B2683" s="46" t="str">
        <f ca="1">IF(D2683="","","Erreicht")</f>
        <v>Erreicht</v>
      </c>
      <c r="D2683" s="47" t="str">
        <f ca="1">IFERROR("Performance Level: "&amp;INDEX(Tab_DaBa[],MATCH(CONCATENATE(Liste!$C$3,$B$2543,$B$2657),Data!$BO:$BO,0)-2,5)&amp;"          PFH [1/h] = "&amp;10^9*INDEX(Tab_DaBa[],MATCH(CONCATENATE(Liste!$C$3,$B$2543,$B$2657),Data!$BO:$BO,0)-2,6)&amp;"E-9","")</f>
        <v>Performance Level: Pl_ges4_5          PFH [1/h] = 71,7E-9</v>
      </c>
    </row>
    <row r="2684" spans="2:9" s="16" customFormat="1"/>
    <row r="2685" spans="2:9" s="16" customFormat="1">
      <c r="B2685" s="42" t="str">
        <f ca="1">IFERROR(IF(6&gt;COUNTIF(Data!$BP:$BP,CONCATENATE(Liste!$C$3,$B$2543)),"",INDEX(Tab_DaBa[],MATCH(CONCATENATE(Liste!$C$3,$B$2543),Data!$BP:$BP,0)+3,3)),"")</f>
        <v>10.6 Test10 (E+6L+A)</v>
      </c>
    </row>
    <row r="2686" spans="2:9" s="16" customFormat="1"/>
    <row r="2687" spans="2:9" s="16" customFormat="1" ht="15.75">
      <c r="B2687" s="35" t="str">
        <f ca="1">IFERROR(INDEX(Tab_DaBa[],MATCH(CONCATENATE(Liste!$C$3,$B$2543,$B$2685),Data!$BO:$BO,0)-2,9),"")</f>
        <v>Eingang</v>
      </c>
      <c r="C2687" s="54"/>
      <c r="D2687" s="35" t="str">
        <f ca="1">IFERROR(IF(INDEX(Tab_DaBa[],MATCH(CONCATENATE(Liste!$C$3,$B$2543,$B$2685),Data!$BO:$BO,0)-2,18)=0,INDEX(Tab_DaBa[],MATCH(CONCATENATE(Liste!$C$3,$B$2543,$B$2685),Data!$BO:$BO,0)-2,14),INDEX(Tab_DaBa[],MATCH(CONCATENATE(Liste!$C$3,$B$2543,$B$2685),Data!$BO:$BO,0)-2,19)),"")</f>
        <v>Logik 01</v>
      </c>
      <c r="E2687" s="33"/>
      <c r="F2687" s="35" t="str">
        <f ca="1">IFERROR(IF(AND(INDEX(Tab_DaBa[],MATCH(CONCATENATE(Liste!$C$3,$B$2543,$B$2685),Data!$BO:$BO,0)-2,18)&lt;&gt;"",INDEX(Tab_DaBa[],MATCH(CONCATENATE(Liste!$C$3,$B$2543,$B$2685),Data!$BO:$BO,0)-2,23)=0),INDEX(Tab_DaBa[],MATCH(CONCATENATE(Liste!$C$3,$B$2543,$B$2685),Data!$BO:$BO,0)-2,14),IF(INDEX(Tab_DaBa[],MATCH(CONCATENATE(Liste!$C$3,$B$2543,$B$2685),Data!$BO:$BO,0)-2,23)&lt;&gt;"",INDEX(Tab_DaBa[],MATCH(CONCATENATE(Liste!$C$3,$B$2543,$B$2685),Data!$BO:$BO,0)-2,24),"")),"")</f>
        <v>Logik 02</v>
      </c>
      <c r="G2687" s="39"/>
      <c r="H2687" s="35" t="str">
        <f ca="1">IFERROR(IF(AND(INDEX(Tab_DaBa[],MATCH(CONCATENATE(Liste!$C$3,$B$2543,$B$2685),Data!$BO:$BO,0)-2,23)&lt;&gt;"",INDEX(Tab_DaBa[],MATCH(CONCATENATE(Liste!$C$3,$B$2543,$B$2685),Data!$BO:$BO,0)-2,28)=0),INDEX(Tab_DaBa[],MATCH(CONCATENATE(Liste!$C$3,$B$2543,$B$2685),Data!$BO:$BO,0)-2,14),IF(INDEX(Tab_DaBa[],MATCH(CONCATENATE(Liste!$C$3,$B$2543,$B$2685),Data!$BO:$BO,0)-2,23)&lt;&gt;"",INDEX(Tab_DaBa[],MATCH(CONCATENATE(Liste!$C$3,$B$2543,$B$2685),Data!$BO:$BO,0)-2,29),"")),"")</f>
        <v>Logik 03</v>
      </c>
      <c r="I2687" s="39"/>
    </row>
    <row r="2688" spans="2:9" s="16" customFormat="1" ht="15.75">
      <c r="B2688" s="35" t="str">
        <f ca="1">IFERROR(INDEX(Tab_DaBa[],MATCH(CONCATENATE(Liste!$C$3,$B$2543,$B$2685),Data!$BO:$BO,0)-2,7),"")</f>
        <v>eeee-33_6</v>
      </c>
      <c r="C2688" s="54"/>
      <c r="D2688" s="35" t="str">
        <f ca="1">IFERROR(IF(INDEX(Tab_DaBa[],MATCH(CONCATENATE(Liste!$C$3,$B$2543,$B$2685),Data!$BO:$BO,0)-2,18)="",INDEX(Tab_DaBa[],MATCH(CONCATENATE(Liste!$C$3,$B$2543,$B$2685),Data!$BO:$BO,0)-2,12),INDEX(Tab_DaBa[],MATCH(CONCATENATE(Liste!$C$3,$B$2543,$B$2685),Data!$BO:$BO,0)-2,17)),"")</f>
        <v>Log01-04_06</v>
      </c>
      <c r="E2688" s="36"/>
      <c r="F2688" s="35" t="str">
        <f ca="1">IFERROR(IF(AND(INDEX(Tab_DaBa[],MATCH(CONCATENATE(Liste!$C$3,$B$2543,$B$2685),Data!$BO:$BO,0)-2,18)&lt;&gt;"",INDEX(Tab_DaBa[],MATCH(CONCATENATE(Liste!$C$3,$B$2543,$B$2685),Data!$BO:$BO,0)-2,23)=0),INDEX(Tab_DaBa[],MATCH(CONCATENATE(Liste!$C$3,$B$2543,$B$2685),Data!$BO:$BO,0)-2,12),IF(INDEX(Tab_DaBa[],MATCH(CONCATENATE(Liste!$C$3,$B$2543,$B$2685),Data!$BO:$BO,0)-2,23)&lt;&gt;"",INDEX(Tab_DaBa[],MATCH(CONCATENATE(Liste!$C$3,$B$2543,$B$2685),Data!$BO:$BO,0)-2,22),"")),"")</f>
        <v>Lo04-04_06</v>
      </c>
      <c r="G2688" s="39"/>
      <c r="H2688" s="35" t="str">
        <f ca="1">IFERROR(IF(AND(INDEX(Tab_DaBa[],MATCH(CONCATENATE(Liste!$C$3,$B$2543,$B$2685),Data!$BO:$BO,0)-2,23)&lt;&gt;"",INDEX(Tab_DaBa[],MATCH(CONCATENATE(Liste!$C$3,$B$2543,$B$2685),Data!$BO:$BO,0)-2,28)=0),INDEX(Tab_DaBa[],MATCH(CONCATENATE(Liste!$C$3,$B$2543,$B$2685),Data!$BO:$BO,0)-2,12),IF(INDEX(Tab_DaBa[],MATCH(CONCATENATE(Liste!$C$3,$B$2543,$B$2685),Data!$BO:$BO,0)-2,23)&lt;&gt;"",INDEX(Tab_DaBa[],MATCH(CONCATENATE(Liste!$C$3,$B$2543,$B$2685),Data!$BO:$BO,0)-2,27),"")),"")</f>
        <v>Lo04-44_06</v>
      </c>
      <c r="I2688" s="39"/>
    </row>
    <row r="2689" spans="2:9" s="16" customFormat="1" ht="15.75">
      <c r="B2689" s="35" t="str">
        <f ca="1">IFERROR(INDEX(Tab_DaBa[],MATCH(CONCATENATE(Liste!$C$3,$B$2543,$B$2685),Data!$BO:$BO,0)-2,8),"")</f>
        <v>Bez_Ein4_6</v>
      </c>
      <c r="C2689" s="40">
        <f ca="1">IF(D2687="","",4)</f>
        <v>4</v>
      </c>
      <c r="D2689" s="35" t="str">
        <f ca="1">IFERROR(IF(INDEX(Tab_DaBa[],MATCH(CONCATENATE(Liste!$C$3,$B$2543,$B$2685),Data!$BO:$BO,0)-2,18)="",INDEX(Tab_DaBa[],MATCH(CONCATENATE(Liste!$C$3,$B$2543,$B$2685),Data!$BO:$BO,0)-2,13),INDEX(Tab_DaBa[],MATCH(CONCATENATE(Liste!$C$3,$B$2543,$B$2685),Data!$BO:$BO,0)-2,18)),"")</f>
        <v>Bez_Log01_04_06</v>
      </c>
      <c r="E2689" s="40">
        <f ca="1">IF(F2687="","",4)</f>
        <v>4</v>
      </c>
      <c r="F2689" s="35" t="str">
        <f ca="1">IFERROR(IF(AND(INDEX(Tab_DaBa[],MATCH(CONCATENATE(Liste!$C$3,$B$2543,$B$2685),Data!$BO:$BO,0)-2,18)&lt;&gt;"",INDEX(Tab_DaBa[],MATCH(CONCATENATE(Liste!$C$3,$B$2543,$B$2685),Data!$BO:$BO,0)-2,23)=""),INDEX(Tab_DaBa[],MATCH(CONCATENATE(Liste!$C$3,$B$2543,$B$2685),Data!$BO:$BO,0)-2,13),IF(INDEX(Tab_DaBa[],MATCH(CONCATENATE(Liste!$C$3,$B$2543,$B$2685),Data!$BO:$BO,0)-2,23)&lt;&gt;"",INDEX(Tab_DaBa[],MATCH(CONCATENATE(Liste!$C$3,$B$2543,$B$2685),Data!$BO:$BO,0)-2,23),"")),"")</f>
        <v>Bez_Lo04_06</v>
      </c>
      <c r="G2689" s="38">
        <f ca="1">IF(H2687="","",4)</f>
        <v>4</v>
      </c>
      <c r="H2689" s="35" t="str">
        <f ca="1">IFERROR(IF(AND(INDEX(Tab_DaBa[],MATCH(CONCATENATE(Liste!$C$3,$B$2543,$B$2685),Data!$BO:$BO,0)-2,23)&lt;&gt;"",INDEX(Tab_DaBa[],MATCH(CONCATENATE(Liste!$C$3,$B$2543,$B$2685),Data!$BO:$BO,0)-2,28)=""),INDEX(Tab_DaBa[],MATCH(CONCATENATE(Liste!$C$3,$B$2543,$B$2685),Data!$BO:$BO,0)-2,13),IF(INDEX(Tab_DaBa[],MATCH(CONCATENATE(Liste!$C$3,$B$2543,$B$2685),Data!$BO:$BO,0)-2,23)&lt;&gt;"",INDEX(Tab_DaBa[],MATCH(CONCATENATE(Liste!$C$3,$B$2543,$B$2685),Data!$BO:$BO,0)-2,28),"")),"")</f>
        <v>Bez_Lo04_06</v>
      </c>
      <c r="I2689" s="38">
        <f ca="1">IF(B2695="","",6)</f>
        <v>6</v>
      </c>
    </row>
    <row r="2690" spans="2:9" s="16" customFormat="1" ht="15.75">
      <c r="B2690" s="35" t="str">
        <f ca="1">IFERROR("Performance Level: "&amp;INDEX(Tab_DaBa[],MATCH(CONCATENATE(Liste!$C$3,$B$2543,$B$2685),Data!$BO:$BO,0)-2,10),"")</f>
        <v>Performance Level: PL_Ein4_6</v>
      </c>
      <c r="C2690" s="54"/>
      <c r="D2690" s="35" t="str">
        <f ca="1">IFERROR(IF(INDEX(Tab_DaBa[],MATCH(CONCATENATE(Liste!$C$3,$B$2543,$B$2685),Data!$BO:$BO,0)-2,18)="","Performance Level: "&amp;INDEX(Tab_DaBa[],MATCH(CONCATENATE(Liste!$C$3,$B$2543,$B$2685),Data!$BO:$BO,0)-2,15),"Performance Level: "&amp;INDEX(Tab_DaBa[],MATCH(CONCATENATE(Liste!$C$3,$B$2543,$B$2685),Data!$BO:$BO,0)-2,20)),"")</f>
        <v>Performance Level: PL_Log01_04_06</v>
      </c>
      <c r="E2690" s="36"/>
      <c r="F2690" s="35" t="str">
        <f ca="1">IFERROR(IF(AND(INDEX(Tab_DaBa[],MATCH(CONCATENATE(Liste!$C$3,$B$2543,$B$2685),Data!$BO:$BO,0)-2,18)&lt;&gt;"",INDEX(Tab_DaBa[],MATCH(CONCATENATE(Liste!$C$3,$B$2543,$B$2685),Data!$BO:$BO,0)-2,23)=""),"Performance Level: "&amp;INDEX(Tab_DaBa[],MATCH(CONCATENATE(Liste!$C$3,$B$2543,$B$2685),Data!$BO:$BO,0)-2,15),IF(INDEX(Tab_DaBa[],MATCH(CONCATENATE(Liste!$C$3,$B$2543,$B$2685),Data!$BO:$BO,0)-2,23)&lt;&gt;"","Performance Level: "&amp;INDEX(Tab_DaBa[],MATCH(CONCATENATE(Liste!$C$3,$B$2543,$B$2685),Data!$BO:$BO,0)-2,25),"")),"")</f>
        <v>Performance Level: PL_Lo04_06</v>
      </c>
      <c r="G2690" s="39"/>
      <c r="H2690" s="35" t="str">
        <f ca="1">IFERROR(IF(AND(INDEX(Tab_DaBa[],MATCH(CONCATENATE(Liste!$C$3,$B$2543,$B$2685),Data!$BO:$BO,0)-2,23)&lt;&gt;"",INDEX(Tab_DaBa[],MATCH(CONCATENATE(Liste!$C$3,$B$2543,$B$2685),Data!$BO:$BO,0)-2,28)=""),"Performance Level: "&amp;INDEX(Tab_DaBa[],MATCH(CONCATENATE(Liste!$C$3,$B$2543,$B$2685),Data!$BO:$BO,0)-2,15),IF(INDEX(Tab_DaBa[],MATCH(CONCATENATE(Liste!$C$3,$B$2543,$B$2685),Data!$BO:$BO,0)-2,23)&lt;&gt;"","Performance Level: "&amp;INDEX(Tab_DaBa[],MATCH(CONCATENATE(Liste!$C$3,$B$2543,$B$2685),Data!$BO:$BO,0)-2,30),"")),"")</f>
        <v>Performance Level: PL_Lo04_06</v>
      </c>
      <c r="I2690" s="38"/>
    </row>
    <row r="2691" spans="2:9" s="16" customFormat="1" ht="15.75">
      <c r="B2691" s="53" t="str">
        <f ca="1">IFERROR("PFH [1/h] = "&amp;10^9*INDEX(Tab_DaBa[],MATCH(CONCATENATE(Liste!$C$3,$B$2543,$B$2685),Data!$BO:$BO,0)-2,11)&amp;"E-9","")</f>
        <v>PFH [1/h] = 42,9E-9</v>
      </c>
      <c r="C2691" s="54"/>
      <c r="D2691" s="35" t="str">
        <f ca="1">IFERROR(IF(INDEX(Tab_DaBa[],MATCH(CONCATENATE(Liste!$C$3,$B$2543,$B$2685),Data!$BO:$BO,0)-2,18)="","PFH [1/h] = "&amp;10^9*INDEX(Tab_DaBa[],MATCH(CONCATENATE(Liste!$C$3,$B$2543,$B$2685),Data!$BO:$BO,0)-2,16)&amp;"E-9","PFH [1/h] = "&amp;10^9*INDEX(Tab_DaBa[],MATCH(CONCATENATE(Liste!$C$3,$B$2543,$B$2685),Data!$BO:$BO,0)-2,21)&amp;"E-9"),"")</f>
        <v>PFH [1/h] = 4,19E-9</v>
      </c>
      <c r="E2691" s="36"/>
      <c r="F2691" s="35" t="str">
        <f ca="1">IFERROR(IF(AND(INDEX(Tab_DaBa[],MATCH(CONCATENATE(Liste!$C$3,$B$2543,$B$2685),Data!$BO:$BO,0)-2,18)&lt;&gt;"",INDEX(Tab_DaBa[],MATCH(CONCATENATE(Liste!$C$3,$B$2543,$B$2685),Data!$BO:$BO,0)-2,23)=""),"PFH [1/h] = "&amp;10^9*INDEX(Tab_DaBa[],MATCH(CONCATENATE(Liste!$C$3,$B$2543,$B$2685),Data!$BO:$BO,0)-2,16)&amp;"E-9",IF(INDEX(Tab_DaBa[],MATCH(CONCATENATE(Liste!$C$3,$B$2543,$B$2685),Data!$BO:$BO,0)-2,23)&lt;&gt;"","PFH [1/h] = "&amp;10^9*INDEX(Tab_DaBa[],MATCH(CONCATENATE(Liste!$C$3,$B$2543,$B$2685),Data!$BO:$BO,0)-2,26)&amp;"E-9","")),"")</f>
        <v>PFH [1/h] = 4,19E-9</v>
      </c>
      <c r="G2691" s="39"/>
      <c r="H2691" s="35" t="str">
        <f ca="1">IFERROR(IF(AND(INDEX(Tab_DaBa[],MATCH(CONCATENATE(Liste!$C$3,$B$2543,$B$2685),Data!$BO:$BO,0)-2,23)&lt;&gt;"",INDEX(Tab_DaBa[],MATCH(CONCATENATE(Liste!$C$3,$B$2543,$B$2685),Data!$BO:$BO,0)-2,28)=""),"PFH [1/h] = "&amp;10^9*INDEX(Tab_DaBa[],MATCH(CONCATENATE(Liste!$C$3,$B$2543,$B$2685),Data!$BO:$BO,0)-2,16)&amp;"E-9",IF(INDEX(Tab_DaBa[],MATCH(CONCATENATE(Liste!$C$3,$B$2543,$B$2685),Data!$BO:$BO,0)-2,23)&lt;&gt;"","PFH [1/h] = "&amp;10^9*INDEX(Tab_DaBa[],MATCH(CONCATENATE(Liste!$C$3,$B$2543,$B$2685),Data!$BO:$BO,0)-2,31)&amp;"E-9","")),"")</f>
        <v>PFH [1/h] = 4,19E-9</v>
      </c>
      <c r="I2691" s="39"/>
    </row>
    <row r="2692" spans="2:9" s="16" customFormat="1">
      <c r="B2692" s="33"/>
      <c r="C2692" s="34"/>
      <c r="D2692" s="33"/>
      <c r="E2692" s="33"/>
      <c r="F2692" s="33"/>
      <c r="G2692" s="33"/>
      <c r="H2692" s="33"/>
      <c r="I2692" s="33"/>
    </row>
    <row r="2693" spans="2:9" s="16" customFormat="1" ht="15.75">
      <c r="B2693" s="38">
        <f ca="1">IF(B2695="","",6)</f>
        <v>6</v>
      </c>
      <c r="C2693" s="34"/>
      <c r="D2693" s="38">
        <f ca="1">IF(B2695="","",3)</f>
        <v>3</v>
      </c>
      <c r="E2693" s="33"/>
      <c r="F2693" s="38">
        <f ca="1">IF(B2695="","",3)</f>
        <v>3</v>
      </c>
      <c r="G2693" s="33"/>
      <c r="H2693" s="38">
        <f ca="1">IF(B2695="","",3)</f>
        <v>3</v>
      </c>
      <c r="I2693" s="33"/>
    </row>
    <row r="2694" spans="2:9" s="16" customFormat="1" ht="15.75">
      <c r="B2694" s="39"/>
      <c r="C2694" s="33"/>
      <c r="D2694" s="33"/>
      <c r="E2694" s="33"/>
      <c r="F2694" s="33"/>
      <c r="G2694" s="33"/>
      <c r="H2694" s="33"/>
      <c r="I2694" s="33"/>
    </row>
    <row r="2695" spans="2:9" s="16" customFormat="1" ht="15.75">
      <c r="B2695" s="35" t="str">
        <f ca="1">IFERROR(IF(AND(INDEX(Tab_DaBa[],MATCH(CONCATENATE(Liste!$C$3,$B$2543,$B$2685),Data!$BO:$BO,0)-2,28)&lt;&gt;"",INDEX(Tab_DaBa[],MATCH(CONCATENATE(Liste!$C$3,$B$2543,$B$2685),Data!$BO:$BO,0)-2,33)=0),INDEX(Tab_DaBa[],MATCH(CONCATENATE(Liste!$C$3,$B$2543,$B$2685),Data!$BO:$BO,0)-2,14),IF(INDEX(Tab_DaBa[],MATCH(CONCATENATE(Liste!$C$3,$B$2543,$B$2685),Data!$BO:$BO,0)-2,28)&lt;&gt;"",INDEX(Tab_DaBa[],MATCH(CONCATENATE(Liste!$C$3,$B$2543,$B$2685),Data!$BO:$BO,0)-2,34),"")),"")</f>
        <v>Logik 04</v>
      </c>
      <c r="C2695" s="39"/>
      <c r="D2695" s="35" t="str">
        <f ca="1">IFERROR(IF(AND(INDEX(Tab_DaBa[],MATCH(CONCATENATE(Liste!$C$3,$B$2543,$B$2685),Data!$BO:$BO,0)-2,33)&lt;&gt;"",INDEX(Tab_DaBa[],MATCH(CONCATENATE(Liste!$C$3,$B$2543,$B$2685),Data!$BO:$BO,0)-2,38)=0),INDEX(Tab_DaBa[],MATCH(CONCATENATE(Liste!$C$3,$B$2543,$B$2685),Data!$BO:$BO,0)-2,14),IF(INDEX(Tab_DaBa[],MATCH(CONCATENATE(Liste!$C$3,$B$2543,$B$2685),Data!$BO:$BO,0)-2,33)&lt;&gt;"",INDEX(Tab_DaBa[],MATCH(CONCATENATE(Liste!$C$3,$B$2543,$B$2685),Data!$BO:$BO,0)-2,39),"")),"")</f>
        <v>Logik 05</v>
      </c>
      <c r="E2695" s="33"/>
      <c r="F2695" s="35" t="str">
        <f ca="1">IFERROR(IF(AND(INDEX(Tab_DaBa[],MATCH(CONCATENATE(Liste!$C$3,$B$2543,$B$2685),Data!$BO:$BO,0)-2,38)&lt;&gt;"",INDEX(Tab_DaBa[],MATCH(CONCATENATE(Liste!$C$3,$B$2543,$B$2685),Data!$BO:$BO,0)-2,43)=0),INDEX(Tab_DaBa[],MATCH(CONCATENATE(Liste!$C$3,$B$2543,$B$2685),Data!$BO:$BO,0)-2,14),IF(INDEX(Tab_DaBa[],MATCH(CONCATENATE(Liste!$C$3,$B$2543,$B$2685),Data!$BO:$BO,0)-2,38)&lt;&gt;"",INDEX(Tab_DaBa[],MATCH(CONCATENATE(Liste!$C$3,$B$2543,$B$2685),Data!$BO:$BO,0)-2,44),"")),"")</f>
        <v>Logik 06</v>
      </c>
      <c r="G2695" s="39"/>
      <c r="H2695" s="35" t="str">
        <f ca="1">IFERROR(IF(AND(INDEX(Tab_DaBa[],MATCH(CONCATENATE(Liste!$C$3,$B$2543,$B$2685),Data!$BO:$BO,0)-2,43)&lt;&gt;"",INDEX(Tab_DaBa[],MATCH(CONCATENATE(Liste!$C$3,$B$2543,$B$2685),Data!$BO:$BO,0)-2,48)=0),INDEX(Tab_DaBa[],MATCH(CONCATENATE(Liste!$C$3,$B$2543,$B$2685),Data!$BO:$BO,0)-2,14),IF(INDEX(Tab_DaBa[],MATCH(CONCATENATE(Liste!$C$3,$B$2543,$B$2685),Data!$BO:$BO,0)-2,43)&lt;&gt;"",INDEX(Tab_DaBa[],MATCH(CONCATENATE(Liste!$C$3,$B$2543,$B$2685),Data!$BO:$BO,0)-2,49),"")),"")</f>
        <v>Ausgang</v>
      </c>
      <c r="I2695" s="39"/>
    </row>
    <row r="2696" spans="2:9" s="16" customFormat="1" ht="15.75">
      <c r="B2696" s="35" t="str">
        <f ca="1">IFERROR(IF(AND(INDEX(Tab_DaBa[],MATCH(CONCATENATE(Liste!$C$3,$B$2543,$B$2685),Data!$BO:$BO,0)-2,28)&lt;&gt;"",INDEX(Tab_DaBa[],MATCH(CONCATENATE(Liste!$C$3,$B$2543,$B$2685),Data!$BO:$BO,0)-2,33)=0),INDEX(Tab_DaBa[],MATCH(CONCATENATE(Liste!$C$3,$B$2543,$B$2685),Data!$BO:$BO,0)-2,12),IF(INDEX(Tab_DaBa[],MATCH(CONCATENATE(Liste!$C$3,$B$2543,$B$2685),Data!$BO:$BO,0)-2,28)&lt;&gt;"",INDEX(Tab_DaBa[],MATCH(CONCATENATE(Liste!$C$3,$B$2543,$B$2685),Data!$BO:$BO,0)-2,32),"")),"")</f>
        <v>Lo04-44_06</v>
      </c>
      <c r="C2696" s="39"/>
      <c r="D2696" s="35" t="str">
        <f ca="1">IFERROR(IF(AND(INDEX(Tab_DaBa[],MATCH(CONCATENATE(Liste!$C$3,$B$2543,$B$2685),Data!$BO:$BO,0)-2,33)&lt;&gt;"",INDEX(Tab_DaBa[],MATCH(CONCATENATE(Liste!$C$3,$B$2543,$B$2685),Data!$BO:$BO,0)-2,38)=0),INDEX(Tab_DaBa[],MATCH(CONCATENATE(Liste!$C$3,$B$2543,$B$2685),Data!$BO:$BO,0)-2,12),IF(INDEX(Tab_DaBa[],MATCH(CONCATENATE(Liste!$C$3,$B$2543,$B$2685),Data!$BO:$BO,0)-2,33)&lt;&gt;"",INDEX(Tab_DaBa[],MATCH(CONCATENATE(Liste!$C$3,$B$2543,$B$2685),Data!$BO:$BO,0)-2,37),"")),"")</f>
        <v>Lo04-44_06</v>
      </c>
      <c r="E2696" s="37"/>
      <c r="F2696" s="35" t="str">
        <f ca="1">IFERROR(IF(AND(INDEX(Tab_DaBa[],MATCH(CONCATENATE(Liste!$C$3,$B$2543,$B$2685),Data!$BO:$BO,0)-2,38)&lt;&gt;"",INDEX(Tab_DaBa[],MATCH(CONCATENATE(Liste!$C$3,$B$2543,$B$2685),Data!$BO:$BO,0)-2,43)=0),INDEX(Tab_DaBa[],MATCH(CONCATENATE(Liste!$C$3,$B$2543,$B$2685),Data!$BO:$BO,0)-2,12),IF(INDEX(Tab_DaBa[],MATCH(CONCATENATE(Liste!$C$3,$B$2543,$B$2685),Data!$BO:$BO,0)-2,38)&lt;&gt;"",INDEX(Tab_DaBa[],MATCH(CONCATENATE(Liste!$C$3,$B$2543,$B$2685),Data!$BO:$BO,0)-2,42),"")),"")</f>
        <v>Lo03-33_06</v>
      </c>
      <c r="G2696" s="39"/>
      <c r="H2696" s="35" t="str">
        <f ca="1">IFERROR(IF(AND(INDEX(Tab_DaBa[],MATCH(CONCATENATE(Liste!$C$3,$B$2543,$B$2685),Data!$BO:$BO,0)-2,43)&lt;&gt;"",INDEX(Tab_DaBa[],MATCH(CONCATENATE(Liste!$C$3,$B$2543,$B$2685),Data!$BO:$BO,0)-2,48)=0),INDEX(Tab_DaBa[],MATCH(CONCATENATE(Liste!$C$3,$B$2543,$B$2685),Data!$BO:$BO,0)-2,12),IF(INDEX(Tab_DaBa[],MATCH(CONCATENATE(Liste!$C$3,$B$2543,$B$2685),Data!$BO:$BO,0)-2,43)&lt;&gt;"",INDEX(Tab_DaBa[],MATCH(CONCATENATE(Liste!$C$3,$B$2543,$B$2685),Data!$BO:$BO,0)-2,47),"")),"")</f>
        <v>aaaa-44_6</v>
      </c>
      <c r="I2696" s="39"/>
    </row>
    <row r="2697" spans="2:9" s="16" customFormat="1" ht="15.75">
      <c r="B2697" s="35" t="str">
        <f ca="1">IFERROR(IF(AND(INDEX(Tab_DaBa[],MATCH(CONCATENATE(Liste!$C$3,$B$2543,$B$2685),Data!$BO:$BO,0)-2,28)&lt;&gt;"",INDEX(Tab_DaBa[],MATCH(CONCATENATE(Liste!$C$3,$B$2543,$B$2685),Data!$BO:$BO,0)-2,33)=""),INDEX(Tab_DaBa[],MATCH(CONCATENATE(Liste!$C$3,$B$2543,$B$2685),Data!$BO:$BO,0)-2,13),IF(INDEX(Tab_DaBa[],MATCH(CONCATENATE(Liste!$C$3,$B$2543,$B$2685),Data!$BO:$BO,0)-2,28)&lt;&gt;"",INDEX(Tab_DaBa[],MATCH(CONCATENATE(Liste!$C$3,$B$2543,$B$2685),Data!$BO:$BO,0)-2,33),"")),"")</f>
        <v>Bez_Lo04_06</v>
      </c>
      <c r="C2697" s="38">
        <f ca="1">IF(D2695="","",4)</f>
        <v>4</v>
      </c>
      <c r="D2697" s="35" t="str">
        <f ca="1">IFERROR(IF(AND(INDEX(Tab_DaBa[],MATCH(CONCATENATE(Liste!$C$3,$B$2543,$B$2685),Data!$BO:$BO,0)-2,33)&lt;&gt;"",INDEX(Tab_DaBa[],MATCH(CONCATENATE(Liste!$C$3,$B$2543,$B$2685),Data!$BO:$BO,0)-2,38)=""),INDEX(Tab_DaBa[],MATCH(CONCATENATE(Liste!$C$3,$B$2543,$B$2685),Data!$BO:$BO,0)-2,13),IF(INDEX(Tab_DaBa[],MATCH(CONCATENATE(Liste!$C$3,$B$2543,$B$2685),Data!$BO:$BO,0)-2,33)&lt;&gt;"",INDEX(Tab_DaBa[],MATCH(CONCATENATE(Liste!$C$3,$B$2543,$B$2685),Data!$BO:$BO,0)-2,38),"")),"")</f>
        <v>Bez_Lo03_06</v>
      </c>
      <c r="E2697" s="38">
        <f ca="1">IF(F2695="","",4)</f>
        <v>4</v>
      </c>
      <c r="F2697" s="35" t="str">
        <f ca="1">IFERROR(IF(AND(INDEX(Tab_DaBa[],MATCH(CONCATENATE(Liste!$C$3,$B$2543,$B$2685),Data!$BO:$BO,0)-2,38)&lt;&gt;"",INDEX(Tab_DaBa[],MATCH(CONCATENATE(Liste!$C$3,$B$2543,$B$2685),Data!$BO:$BO,0)-2,43)=""),INDEX(Tab_DaBa[],MATCH(CONCATENATE(Liste!$C$3,$B$2543,$B$2685),Data!$BO:$BO,0)-2,13),IF(INDEX(Tab_DaBa[],MATCH(CONCATENATE(Liste!$C$3,$B$2543,$B$2685),Data!$BO:$BO,0)-2,38)&lt;&gt;"",INDEX(Tab_DaBa[],MATCH(CONCATENATE(Liste!$C$3,$B$2543,$B$2685),Data!$BO:$BO,0)-2,43),"")),"")</f>
        <v>Bez_Lo03_06</v>
      </c>
      <c r="G2697" s="38">
        <f ca="1">IF(H2695="","",4)</f>
        <v>4</v>
      </c>
      <c r="H2697" s="35" t="str">
        <f ca="1">IFERROR(IF(AND(INDEX(Tab_DaBa[],MATCH(CONCATENATE(Liste!$C$3,$B$2543,$B$2685),Data!$BO:$BO,0)-2,43)&lt;&gt;"",INDEX(Tab_DaBa[],MATCH(CONCATENATE(Liste!$C$3,$B$2543,$B$2685),Data!$BO:$BO,0)-2,48)=""),INDEX(Tab_DaBa[],MATCH(CONCATENATE(Liste!$C$3,$B$2543,$B$2685),Data!$BO:$BO,0)-2,13),IF(INDEX(Tab_DaBa[],MATCH(CONCATENATE(Liste!$C$3,$B$2543,$B$2685),Data!$BO:$BO,0)-2,43)&lt;&gt;"",INDEX(Tab_DaBa[],MATCH(CONCATENATE(Liste!$C$3,$B$2543,$B$2685),Data!$BO:$BO,0)-2,48),"")),"")</f>
        <v>Bez_Aus4_6</v>
      </c>
      <c r="I2697" s="38" t="str">
        <f ca="1">IF(B2703="","",6)</f>
        <v/>
      </c>
    </row>
    <row r="2698" spans="2:9" s="16" customFormat="1" ht="15.75">
      <c r="B2698" s="35" t="str">
        <f ca="1">IFERROR(IF(AND(INDEX(Tab_DaBa[],MATCH(CONCATENATE(Liste!$C$3,$B$2543,$B$2685),Data!$BO:$BO,0)-2,28)&lt;&gt;"",INDEX(Tab_DaBa[],MATCH(CONCATENATE(Liste!$C$3,$B$2543,$B$2685),Data!$BO:$BO,0)-2,33)=""),"Performance Level: "&amp;INDEX(Tab_DaBa[],MATCH(CONCATENATE(Liste!$C$3,$B$2543,$B$2685),Data!$BO:$BO,0)-2,15),IF(INDEX(Tab_DaBa[],MATCH(CONCATENATE(Liste!$C$3,$B$2543,$B$2685),Data!$BO:$BO,0)-2,28)&lt;&gt;"","Performance Level: "&amp;INDEX(Tab_DaBa[],MATCH(CONCATENATE(Liste!$C$3,$B$2543,$B$2685),Data!$BO:$BO,0)-2,35),"")),"")</f>
        <v>Performance Level: PL_Lo04_06</v>
      </c>
      <c r="C2698" s="39"/>
      <c r="D2698" s="35" t="str">
        <f ca="1">IFERROR(IF(AND(INDEX(Tab_DaBa[],MATCH(CONCATENATE(Liste!$C$3,$B$2543,$B$2685),Data!$BO:$BO,0)-2,33)&lt;&gt;"",INDEX(Tab_DaBa[],MATCH(CONCATENATE(Liste!$C$3,$B$2543,$B$2685),Data!$BO:$BO,0)-2,38)=""),"Performance Level: "&amp;INDEX(Tab_DaBa[],MATCH(CONCATENATE(Liste!$C$3,$B$2543,$B$2685),Data!$BO:$BO,0)-2,15),IF(INDEX(Tab_DaBa[],MATCH(CONCATENATE(Liste!$C$3,$B$2543,$B$2685),Data!$BO:$BO,0)-2,33)&lt;&gt;"","Performance Level: "&amp;INDEX(Tab_DaBa[],MATCH(CONCATENATE(Liste!$C$3,$B$2543,$B$2685),Data!$BO:$BO,0)-2,40),"")),"")</f>
        <v>Performance Level: PL_Lo03_6</v>
      </c>
      <c r="E2698" s="37"/>
      <c r="F2698" s="35" t="str">
        <f ca="1">IFERROR(IF(AND(INDEX(Tab_DaBa[],MATCH(CONCATENATE(Liste!$C$3,$B$2543,$B$2685),Data!$BO:$BO,0)-2,38)&lt;&gt;"",INDEX(Tab_DaBa[],MATCH(CONCATENATE(Liste!$C$3,$B$2543,$B$2685),Data!$BO:$BO,0)-2,43)=""),"Performance Level: "&amp;INDEX(Tab_DaBa[],MATCH(CONCATENATE(Liste!$C$3,$B$2543,$B$2685),Data!$BO:$BO,0)-2,15),IF(INDEX(Tab_DaBa[],MATCH(CONCATENATE(Liste!$C$3,$B$2543,$B$2685),Data!$BO:$BO,0)-2,38)&lt;&gt;"","Performance Level: "&amp;INDEX(Tab_DaBa[],MATCH(CONCATENATE(Liste!$C$3,$B$2543,$B$2685),Data!$BO:$BO,0)-2,45),"")),"")</f>
        <v>Performance Level: PL_Lo03_06</v>
      </c>
      <c r="G2698" s="39"/>
      <c r="H2698" s="35" t="str">
        <f ca="1">IFERROR(IF(AND(INDEX(Tab_DaBa[],MATCH(CONCATENATE(Liste!$C$3,$B$2543,$B$2685),Data!$BO:$BO,0)-2,43)&lt;&gt;"",INDEX(Tab_DaBa[],MATCH(CONCATENATE(Liste!$C$3,$B$2543,$B$2685),Data!$BO:$BO,0)-2,48)=""),"Performance Level: "&amp;INDEX(Tab_DaBa[],MATCH(CONCATENATE(Liste!$C$3,$B$2543,$B$2685),Data!$BO:$BO,0)-2,15),IF(INDEX(Tab_DaBa[],MATCH(CONCATENATE(Liste!$C$3,$B$2543,$B$2685),Data!$BO:$BO,0)-2,43)&lt;&gt;"","Performance Level: "&amp;INDEX(Tab_DaBa[],MATCH(CONCATENATE(Liste!$C$3,$B$2543,$B$2685),Data!$BO:$BO,0)-2,50),"")),"")</f>
        <v>Performance Level: PL_Aus4_6</v>
      </c>
      <c r="I2698" s="39"/>
    </row>
    <row r="2699" spans="2:9" s="16" customFormat="1" ht="15.75">
      <c r="B2699" s="35" t="str">
        <f ca="1">IFERROR(IF(AND(INDEX(Tab_DaBa[],MATCH(CONCATENATE(Liste!$C$3,$B$2543,$B$2685),Data!$BO:$BO,0)-2,28)&lt;&gt;"",INDEX(Tab_DaBa[],MATCH(CONCATENATE(Liste!$C$3,$B$2543,$B$2685),Data!$BO:$BO,0)-2,33)=""),"PFH [1/h] = "&amp;10^9*INDEX(Tab_DaBa[],MATCH(CONCATENATE(Liste!$C$3,$B$2543,$B$2685),Data!$BO:$BO,0)-2,16)&amp;"E-9",IF(INDEX(Tab_DaBa[],MATCH(CONCATENATE(Liste!$C$3,$B$2543,$B$2685),Data!$BO:$BO,0)-2,28)&lt;&gt;"","PFH [1/h] = "&amp;10^9*INDEX(Tab_DaBa[],MATCH(CONCATENATE(Liste!$C$3,$B$2543,$B$2685),Data!$BO:$BO,0)-2,36)&amp;"E-9","")),"")</f>
        <v>PFH [1/h] = 4,19E-9</v>
      </c>
      <c r="C2699" s="39"/>
      <c r="D2699" s="35" t="str">
        <f ca="1">IFERROR(IF(AND(INDEX(Tab_DaBa[],MATCH(CONCATENATE(Liste!$C$3,$B$2543,$B$2685),Data!$BO:$BO,0)-2,33)&lt;&gt;"",INDEX(Tab_DaBa[],MATCH(CONCATENATE(Liste!$C$3,$B$2543,$B$2685),Data!$BO:$BO,0)-2,38)=""),"PFH [1/h] = "&amp;10^9*INDEX(Tab_DaBa[],MATCH(CONCATENATE(Liste!$C$3,$B$2543,$B$2685),Data!$BO:$BO,0)-2,16)&amp;"E-9",IF(INDEX(Tab_DaBa[],MATCH(CONCATENATE(Liste!$C$3,$B$2543,$B$2685),Data!$BO:$BO,0)-2,33)&lt;&gt;"","PFH [1/h] = "&amp;10^9*INDEX(Tab_DaBa[],MATCH(CONCATENATE(Liste!$C$3,$B$2543,$B$2685),Data!$BO:$BO,0)-2,41)&amp;"E-9","")),"")</f>
        <v>PFH [1/h] = 4,19E-9</v>
      </c>
      <c r="E2699" s="37"/>
      <c r="F2699" s="35" t="str">
        <f ca="1">IFERROR(IF(AND(INDEX(Tab_DaBa[],MATCH(CONCATENATE(Liste!$C$3,$B$2543,$B$2685),Data!$BO:$BO,0)-2,38)&lt;&gt;"",INDEX(Tab_DaBa[],MATCH(CONCATENATE(Liste!$C$3,$B$2543,$B$2685),Data!$BO:$BO,0)-2,43)=""),"PFH [1/h] = "&amp;10^9*INDEX(Tab_DaBa[],MATCH(CONCATENATE(Liste!$C$3,$B$2543,$B$2685),Data!$BO:$BO,0)-2,16)&amp;"E-9",IF(INDEX(Tab_DaBa[],MATCH(CONCATENATE(Liste!$C$3,$B$2543,$B$2685),Data!$BO:$BO,0)-2,38)&lt;&gt;"","PFH [1/h] = "&amp;10^9*INDEX(Tab_DaBa[],MATCH(CONCATENATE(Liste!$C$3,$B$2543,$B$2685),Data!$BO:$BO,0)-2,46)&amp;"E-9","")),"")</f>
        <v>PFH [1/h] = 4,19E-9</v>
      </c>
      <c r="G2699" s="39"/>
      <c r="H2699" s="35" t="str">
        <f ca="1">IFERROR(IF(AND(INDEX(Tab_DaBa[],MATCH(CONCATENATE(Liste!$C$3,$B$2543,$B$2685),Data!$BO:$BO,0)-2,43)&lt;&gt;"",INDEX(Tab_DaBa[],MATCH(CONCATENATE(Liste!$C$3,$B$2543,$B$2685),Data!$BO:$BO,0)-2,48)=""),"PFH [1/h] = "&amp;10^9*INDEX(Tab_DaBa[],MATCH(CONCATENATE(Liste!$C$3,$B$2543,$B$2685),Data!$BO:$BO,0)-2,16)&amp;"E-9",IF(INDEX(Tab_DaBa[],MATCH(CONCATENATE(Liste!$C$3,$B$2543,$B$2685),Data!$BO:$BO,0)-2,43)&lt;&gt;"","PFH [1/h] = "&amp;10^9*INDEX(Tab_DaBa[],MATCH(CONCATENATE(Liste!$C$3,$B$2543,$B$2685),Data!$BO:$BO,0)-2,51)&amp;"E-9","")),"")</f>
        <v>PFH [1/h] = 24,7E-9</v>
      </c>
      <c r="I2699" s="39"/>
    </row>
    <row r="2700" spans="2:9" s="16" customFormat="1">
      <c r="B2700" s="33"/>
      <c r="C2700" s="33"/>
      <c r="D2700" s="33"/>
      <c r="E2700" s="33"/>
      <c r="F2700" s="33"/>
      <c r="G2700" s="33"/>
      <c r="H2700" s="33"/>
      <c r="I2700" s="33"/>
    </row>
    <row r="2701" spans="2:9" s="16" customFormat="1" ht="15.75">
      <c r="B2701" s="38" t="str">
        <f ca="1">IF(B2703="","",6)</f>
        <v/>
      </c>
      <c r="C2701" s="33"/>
      <c r="D2701" s="38" t="str">
        <f ca="1">IF(B2703="","",3)</f>
        <v/>
      </c>
      <c r="E2701" s="33"/>
      <c r="F2701" s="38" t="str">
        <f ca="1">IF(B2703="","",3)</f>
        <v/>
      </c>
      <c r="G2701" s="33"/>
      <c r="H2701" s="38" t="str">
        <f ca="1">IF(B2703="","",3)</f>
        <v/>
      </c>
      <c r="I2701" s="33"/>
    </row>
    <row r="2702" spans="2:9" s="16" customFormat="1" ht="15.75">
      <c r="B2702" s="39"/>
      <c r="C2702" s="33"/>
      <c r="D2702" s="33"/>
      <c r="E2702" s="33"/>
      <c r="F2702" s="33"/>
      <c r="G2702" s="33"/>
      <c r="H2702" s="33"/>
      <c r="I2702" s="33"/>
    </row>
    <row r="2703" spans="2:9" s="16" customFormat="1" ht="15.75">
      <c r="B2703" s="35" t="str">
        <f ca="1">IFERROR(IF(AND(INDEX(Tab_DaBa[],MATCH(CONCATENATE(Liste!$C$3,$B$2543,$B$2685),Data!$BO:$BO,0)-2,48)&lt;&gt;"",INDEX(Tab_DaBa[],MATCH(CONCATENATE(Liste!$C$3,$B$2543,$B$2685),Data!$BO:$BO,0)-2,53)=0),INDEX(Tab_DaBa[],MATCH(CONCATENATE(Liste!$C$3,$B$2543,$B$2685),Data!$BO:$BO,0)-2,14),IF(INDEX(Tab_DaBa[],MATCH(CONCATENATE(Liste!$C$3,$B$2543,$B$2685),Data!$BO:$BO,0)-2,48)&lt;&gt;"",INDEX(Tab_DaBa[],MATCH(CONCATENATE(Liste!$C$3,$B$2543,$B$2685),Data!$BO:$BO,0)-2,54),"")),"")</f>
        <v/>
      </c>
      <c r="C2703" s="39"/>
      <c r="D2703" s="35" t="str">
        <f ca="1">IFERROR(IF(AND(INDEX(Tab_DaBa[],MATCH(CONCATENATE(Liste!$C$3,$B$2543,$B$2685),Data!$BO:$BO,0)-2,53)&lt;&gt;"",INDEX(Tab_DaBa[],MATCH(CONCATENATE(Liste!$C$3,$B$2543,$B$2685),Data!$BO:$BO,0)-2,58)=0),INDEX(Tab_DaBa[],MATCH(CONCATENATE(Liste!$C$3,$B$2543,$B$2685),Data!$BO:$BO,0)-2,14),IF(INDEX(Tab_DaBa[],MATCH(CONCATENATE(Liste!$C$3,$B$2543,$B$2685),Data!$BO:$BO,0)-2,53)&lt;&gt;"",INDEX(Tab_DaBa[],MATCH(CONCATENATE(Liste!$C$3,$B$2543,$B$2685),Data!$BO:$BO,0)-2,59),"")),"")</f>
        <v/>
      </c>
      <c r="E2703" s="33"/>
      <c r="F2703" s="35" t="str">
        <f ca="1">IFERROR(IF(AND(INDEX(Tab_DaBa[],MATCH(CONCATENATE(Liste!$C$3,$B$2543,$B$2685),Data!$BO:$BO,0)-2,58)&lt;&gt;"",INDEX(Tab_DaBa[],MATCH(CONCATENATE(Liste!$C$3,$B$2543,$B$2685),Data!$BO:$BO,0)-2,63)=0),INDEX(Tab_DaBa[],MATCH(CONCATENATE(Liste!$C$3,$B$2543,$B$2685),Data!$BO:$BO,0)-2,14),IF(INDEX(Tab_DaBa[],MATCH(CONCATENATE(Liste!$C$3,$B$2543,$B$2685),Data!$BO:$BO,0)-2,58)&lt;&gt;"",INDEX(Tab_DaBa[],MATCH(CONCATENATE(Liste!$C$3,$B$2543,$B$2685),Data!$BO:$BO,0)-2,64),"")),"")</f>
        <v/>
      </c>
      <c r="G2703" s="39"/>
      <c r="H2703" s="35" t="str">
        <f ca="1">IFERROR(IF(INDEX(Tab_DaBa[],MATCH(CONCATENATE(Liste!$C$3,$B$2543,$B$2685),Data!$BO:$BO,0)-2,63)&lt;&gt;"",INDEX(Tab_DaBa[],MATCH(CONCATENATE(Liste!$C$3,$B$2543,$B$2685),Data!$BO:$BO,0)-2,14),""),"")</f>
        <v/>
      </c>
    </row>
    <row r="2704" spans="2:9" s="16" customFormat="1" ht="15.75">
      <c r="B2704" s="35" t="str">
        <f ca="1">IFERROR(IF(AND(INDEX(Tab_DaBa[],MATCH(CONCATENATE(Liste!$C$3,$B$2543,$B$2685),Data!$BO:$BO,0)-2,48)&lt;&gt;"",INDEX(Tab_DaBa[],MATCH(CONCATENATE(Liste!$C$3,$B$2543,$B$2685),Data!$BO:$BO,0)-2,53)=0),INDEX(Tab_DaBa[],MATCH(CONCATENATE(Liste!$C$3,$B$2543,$B$2685),Data!$BO:$BO,0)-2,12),IF(INDEX(Tab_DaBa[],MATCH(CONCATENATE(Liste!$C$3,$B$2543,$B$2685),Data!$BO:$BO,0)-2,48)&lt;&gt;"",INDEX(Tab_DaBa[],MATCH(CONCATENATE(Liste!$C$3,$B$2543,$B$2685),Data!$BO:$BO,0)-2,52),"")),"")</f>
        <v/>
      </c>
      <c r="C2704" s="39"/>
      <c r="D2704" s="35" t="str">
        <f ca="1">IFERROR(IF(AND(INDEX(Tab_DaBa[],MATCH(CONCATENATE(Liste!$C$3,$B$2543,$B$2685),Data!$BO:$BO,0)-2,53)&lt;&gt;"",INDEX(Tab_DaBa[],MATCH(CONCATENATE(Liste!$C$3,$B$2543,$B$2685),Data!$BO:$BO,0)-2,58)=0),INDEX(Tab_DaBa[],MATCH(CONCATENATE(Liste!$C$3,$B$2543,$B$2685),Data!$BO:$BO,0)-2,12),IF(INDEX(Tab_DaBa[],MATCH(CONCATENATE(Liste!$C$3,$B$2543,$B$2685),Data!$BO:$BO,0)-2,53)&lt;&gt;"",INDEX(Tab_DaBa[],MATCH(CONCATENATE(Liste!$C$3,$B$2543,$B$2685),Data!$BO:$BO,0)-2,57),"")),"")</f>
        <v/>
      </c>
      <c r="E2704" s="37"/>
      <c r="F2704" s="35" t="str">
        <f ca="1">IFERROR(IF(AND(INDEX(Tab_DaBa[],MATCH(CONCATENATE(Liste!$C$3,$B$2543,$B$2685),Data!$BO:$BO,0)-2,58)&lt;&gt;"",INDEX(Tab_DaBa[],MATCH(CONCATENATE(Liste!$C$3,$B$2543,$B$2685),Data!$BO:$BO,0)-2,63)=0),INDEX(Tab_DaBa[],MATCH(CONCATENATE(Liste!$C$3,$B$2543,$B$2685),Data!$BO:$BO,0)-2,12),IF(INDEX(Tab_DaBa[],MATCH(CONCATENATE(Liste!$C$3,$B$2543,$B$2685),Data!$BO:$BO,0)-2,58)&lt;&gt;"",INDEX(Tab_DaBa[],MATCH(CONCATENATE(Liste!$C$3,$B$2543,$B$2685),Data!$BO:$BO,0)-2,62),"")),"")</f>
        <v/>
      </c>
      <c r="G2704" s="39"/>
      <c r="H2704" s="35" t="str">
        <f ca="1">IFERROR(IF(INDEX(Tab_DaBa[],MATCH(CONCATENATE(Liste!$C$3,$B$2543,$B$2685),Data!$BO:$BO,0)-2,63)&lt;&gt;"",INDEX(Tab_DaBa[],MATCH(CONCATENATE(Liste!$C$3,$B$2543,$B$2685),Data!$BO:$BO,0)-2,12),""),"")</f>
        <v/>
      </c>
    </row>
    <row r="2705" spans="2:9" s="16" customFormat="1" ht="15.75">
      <c r="B2705" s="35" t="str">
        <f ca="1">IFERROR(IF(AND(INDEX(Tab_DaBa[],MATCH(CONCATENATE(Liste!$C$3,$B$2543,$B$2685),Data!$BO:$BO,0)-2,48)&lt;&gt;"",INDEX(Tab_DaBa[],MATCH(CONCATENATE(Liste!$C$3,$B$2543,$B$2685),Data!$BO:$BO,0)-2,53)=""),INDEX(Tab_DaBa[],MATCH(CONCATENATE(Liste!$C$3,$B$2543,$B$2685),Data!$BO:$BO,0)-2,13),IF(INDEX(Tab_DaBa[],MATCH(CONCATENATE(Liste!$C$3,$B$2543,$B$2685),Data!$BO:$BO,0)-2,48)&lt;&gt;"",INDEX(Tab_DaBa[],MATCH(CONCATENATE(Liste!$C$3,$B$2543,$B$2685),Data!$BO:$BO,0)-2,53),"")),"")</f>
        <v/>
      </c>
      <c r="C2705" s="38" t="str">
        <f ca="1">IF(D2703="","",4)</f>
        <v/>
      </c>
      <c r="D2705" s="35" t="str">
        <f ca="1">IFERROR(IF(AND(INDEX(Tab_DaBa[],MATCH(CONCATENATE(Liste!$C$3,$B$2543,$B$2685),Data!$BO:$BO,0)-2,53)&lt;&gt;"",INDEX(Tab_DaBa[],MATCH(CONCATENATE(Liste!$C$3,$B$2543,$B$2685),Data!$BO:$BO,0)-2,58)=""),INDEX(Tab_DaBa[],MATCH(CONCATENATE(Liste!$C$3,$B$2543,$B$2685),Data!$BO:$BO,0)-2,13),IF(INDEX(Tab_DaBa[],MATCH(CONCATENATE(Liste!$C$3,$B$2543,$B$2685),Data!$BO:$BO,0)-2,53)&lt;&gt;"",INDEX(Tab_DaBa[],MATCH(CONCATENATE(Liste!$C$3,$B$2543,$B$2685),Data!$BO:$BO,0)-2,58),"")),"")</f>
        <v/>
      </c>
      <c r="E2705" s="38" t="str">
        <f ca="1">IF(F2703="","",4)</f>
        <v/>
      </c>
      <c r="F2705" s="35" t="str">
        <f ca="1">IFERROR(IF(AND(INDEX(Tab_DaBa[],MATCH(CONCATENATE(Liste!$C$3,$B$2543,$B$2685),Data!$BO:$BO,0)-2,58)&lt;&gt;"",INDEX(Tab_DaBa[],MATCH(CONCATENATE(Liste!$C$3,$B$2543,$B$2685),Data!$BO:$BO,0)-2,63)=""),INDEX(Tab_DaBa[],MATCH(CONCATENATE(Liste!$C$3,$B$2543,$B$2685),Data!$BO:$BO,0)-2,13),IF(INDEX(Tab_DaBa[],MATCH(CONCATENATE(Liste!$C$3,$B$2543,$B$2685),Data!$BO:$BO,0)-2,58)&lt;&gt;"",INDEX(Tab_DaBa[],MATCH(CONCATENATE(Liste!$C$3,$B$2543,$B$2685),Data!$BO:$BO,0)-2,63),"")),"")</f>
        <v/>
      </c>
      <c r="G2705" s="38" t="str">
        <f ca="1">IF(H2703="","",4)</f>
        <v/>
      </c>
      <c r="H2705" s="35" t="str">
        <f ca="1">IFERROR(IF(INDEX(Tab_DaBa[],MATCH(CONCATENATE(Liste!$C$3,$B$2543,$B$2685),Data!$BO:$BO,0)-2,63)&lt;&gt;"",INDEX(Tab_DaBa[],MATCH(CONCATENATE(Liste!$C$3,$B$2543,$B$2685),Data!$BO:$BO,0)-2,13),""),"")</f>
        <v/>
      </c>
    </row>
    <row r="2706" spans="2:9" s="16" customFormat="1" ht="15.75">
      <c r="B2706" s="35" t="str">
        <f ca="1">IFERROR(IF(AND(INDEX(Tab_DaBa[],MATCH(CONCATENATE(Liste!$C$3,$B$2543,$B$2685),Data!$BO:$BO,0)-2,48)&lt;&gt;"",INDEX(Tab_DaBa[],MATCH(CONCATENATE(Liste!$C$3,$B$2543,$B$2685),Data!$BO:$BO,0)-2,53)=""),"Performance Level: "&amp;INDEX(Tab_DaBa[],MATCH(CONCATENATE(Liste!$C$3,$B$2543,$B$2685),Data!$BO:$BO,0)-2,15),IF(INDEX(Tab_DaBa[],MATCH(CONCATENATE(Liste!$C$3,$B$2543,$B$2685),Data!$BO:$BO,0)-2,48)&lt;&gt;"","Performance Level: "&amp;INDEX(Tab_DaBa[],MATCH(CONCATENATE(Liste!$C$3,$B$2543,$B$2685),Data!$BO:$BO,0)-2,55),"")),"")</f>
        <v/>
      </c>
      <c r="C2706" s="39"/>
      <c r="D2706" s="35" t="str">
        <f ca="1">IFERROR(IF(AND(INDEX(Tab_DaBa[],MATCH(CONCATENATE(Liste!$C$3,$B$2543,$B$2685),Data!$BO:$BO,0)-2,53)&lt;&gt;"",INDEX(Tab_DaBa[],MATCH(CONCATENATE(Liste!$C$3,$B$2543,$B$2685),Data!$BO:$BO,0)-2,58)=""),"Performance Level: "&amp;INDEX(Tab_DaBa[],MATCH(CONCATENATE(Liste!$C$3,$B$2543,$B$2685),Data!$BO:$BO,0)-2,15),IF(INDEX(Tab_DaBa[],MATCH(CONCATENATE(Liste!$C$3,$B$2543,$B$2685),Data!$BO:$BO,0)-2,53)&lt;&gt;"","Performance Level: "&amp;INDEX(Tab_DaBa[],MATCH(CONCATENATE(Liste!$C$3,$B$2543,$B$2685),Data!$BO:$BO,0)-2,60),"")),"")</f>
        <v/>
      </c>
      <c r="E2706" s="37"/>
      <c r="F2706" s="35" t="str">
        <f ca="1">IFERROR(IF(AND(INDEX(Tab_DaBa[],MATCH(CONCATENATE(Liste!$C$3,$B$2543,$B$2685),Data!$BO:$BO,0)-2,58)&lt;&gt;"",INDEX(Tab_DaBa[],MATCH(CONCATENATE(Liste!$C$3,$B$2543,$B$2685),Data!$BO:$BO,0)-2,63)=""),"Performance Level: "&amp;INDEX(Tab_DaBa[],MATCH(CONCATENATE(Liste!$C$3,$B$2543,$B$2685),Data!$BO:$BO,0)-2,15),IF(INDEX(Tab_DaBa[],MATCH(CONCATENATE(Liste!$C$3,$B$2543,$B$2685),Data!$BO:$BO,0)-2,58)&lt;&gt;"","Performance Level: "&amp;INDEX(Tab_DaBa[],MATCH(CONCATENATE(Liste!$C$3,$B$2543,$B$2685),Data!$BO:$BO,0)-2,65),"")),"")</f>
        <v/>
      </c>
      <c r="G2706" s="39"/>
      <c r="H2706" s="35" t="str">
        <f ca="1">IFERROR(IF(INDEX(Tab_DaBa[],MATCH(CONCATENATE(Liste!$C$3,$B$2543,$B$2685),Data!$BO:$BO,0)-2,63)&lt;&gt;"","Performance Level: "&amp;INDEX(Tab_DaBa[],MATCH(CONCATENATE(Liste!$C$3,$B$2543,$B$2685),Data!$BO:$BO,0)-2,15),""),"")</f>
        <v/>
      </c>
    </row>
    <row r="2707" spans="2:9" s="16" customFormat="1" ht="15.75">
      <c r="B2707" s="35" t="str">
        <f ca="1">IFERROR(IF(AND(INDEX(Tab_DaBa[],MATCH(CONCATENATE(Liste!$C$3,$B$2543,$B$2685),Data!$BO:$BO,0)-2,48)&lt;&gt;"",INDEX(Tab_DaBa[],MATCH(CONCATENATE(Liste!$C$3,$B$2543,$B$2685),Data!$BO:$BO,0)-2,53)=""),"PFH [1/h] = "&amp;10^9*INDEX(Tab_DaBa[],MATCH(CONCATENATE(Liste!$C$3,$B$2543,$B$2685),Data!$BO:$BO,0)-2,16)&amp;"E-9",IF(INDEX(Tab_DaBa[],MATCH(CONCATENATE(Liste!$C$3,$B$2543,$B$2685),Data!$BO:$BO,0)-2,48)&lt;&gt;"","PFH [1/h] = "&amp;10^9*INDEX(Tab_DaBa[],MATCH(CONCATENATE(Liste!$C$3,$B$2543,$B$2685),Data!$BO:$BO,0)-2,56)&amp;"E-9","")),"")</f>
        <v/>
      </c>
      <c r="C2707" s="39"/>
      <c r="D2707" s="35" t="str">
        <f ca="1">IFERROR(IF(AND(INDEX(Tab_DaBa[],MATCH(CONCATENATE(Liste!$C$3,$B$2543,$B$2685),Data!$BO:$BO,0)-2,53)&lt;&gt;"",INDEX(Tab_DaBa[],MATCH(CONCATENATE(Liste!$C$3,$B$2543,$B$2685),Data!$BO:$BO,0)-2,58)=""),"PFH [1/h] = "&amp;10^9*INDEX(Tab_DaBa[],MATCH(CONCATENATE(Liste!$C$3,$B$2543,$B$2685),Data!$BO:$BO,0)-2,16)&amp;"E-9",IF(INDEX(Tab_DaBa[],MATCH(CONCATENATE(Liste!$C$3,$B$2543,$B$2685),Data!$BO:$BO,0)-2,53)&lt;&gt;"","PFH [1/h] = "&amp;10^9*INDEX(Tab_DaBa[],MATCH(CONCATENATE(Liste!$C$3,$B$2543,$B$2685),Data!$BO:$BO,0)-2,61)&amp;"E-9","")),"")</f>
        <v/>
      </c>
      <c r="E2707" s="37"/>
      <c r="F2707" s="35" t="str">
        <f ca="1">IFERROR(IF(AND(INDEX(Tab_DaBa[],MATCH(CONCATENATE(Liste!$C$3,$B$2543,$B$2685),Data!$BO:$BO,0)-2,58)&lt;&gt;"",INDEX(Tab_DaBa[],MATCH(CONCATENATE(Liste!$C$3,$B$2543,$B$2685),Data!$BO:$BO,0)-2,63)=""),"PFH [1/h] = "&amp;10^9*INDEX(Tab_DaBa[],MATCH(CONCATENATE(Liste!$C$3,$B$2543,$B$2685),Data!$BO:$BO,0)-2,16)&amp;"E-9",IF(INDEX(Tab_DaBa[],MATCH(CONCATENATE(Liste!$C$3,$B$2543,$B$2685),Data!$BO:$BO,0)-2,58)&lt;&gt;"","PFH [1/h] = "&amp;10^9*INDEX(Tab_DaBa[],MATCH(CONCATENATE(Liste!$C$3,$B$2543,$B$2685),Data!$BO:$BO,0)-2,66)&amp;"E-9","")),"")</f>
        <v/>
      </c>
      <c r="G2707" s="39"/>
      <c r="H2707" s="35" t="str">
        <f ca="1">IFERROR(IF(INDEX(Tab_DaBa[],MATCH(CONCATENATE(Liste!$C$3,$B$2543,$B$2685),Data!$BO:$BO,0)-2,63)&lt;&gt;"","PFH [1/h] = "&amp;10^9*INDEX(Tab_DaBa[],MATCH(CONCATENATE(Liste!$C$3,$B$2543,$B$2685),Data!$BO:$BO,0)-2,16)&amp;"E-9",""),"")</f>
        <v/>
      </c>
    </row>
    <row r="2708" spans="2:9" s="16" customFormat="1"/>
    <row r="2709" spans="2:9" s="16" customFormat="1">
      <c r="B2709" s="43" t="str">
        <f ca="1">IF(D2709="","","Erforderlich")</f>
        <v>Erforderlich</v>
      </c>
      <c r="D2709" s="44" t="str">
        <f ca="1">IFERROR("Performance Level: "&amp;INDEX(Tab_DaBa[],MATCH(CONCATENATE(Liste!$C$3,$B$2543,$B$2685),Data!$BO:$BO,0)-2,4),"")</f>
        <v>Performance Level: PLr_ges4_6</v>
      </c>
    </row>
    <row r="2710" spans="2:9" s="16" customFormat="1">
      <c r="B2710" s="45"/>
    </row>
    <row r="2711" spans="2:9" s="16" customFormat="1">
      <c r="B2711" s="46" t="str">
        <f ca="1">IF(D2711="","","Erreicht")</f>
        <v>Erreicht</v>
      </c>
      <c r="D2711" s="47" t="str">
        <f ca="1">IFERROR("Performance Level: "&amp;INDEX(Tab_DaBa[],MATCH(CONCATENATE(Liste!$C$3,$B$2543,$B$2685),Data!$BO:$BO,0)-2,5)&amp;"          PFH [1/h] = "&amp;10^9*INDEX(Tab_DaBa[],MATCH(CONCATENATE(Liste!$C$3,$B$2543,$B$2685),Data!$BO:$BO,0)-2,6)&amp;"E-9","")</f>
        <v>Performance Level: Pl_ges4_6          PFH [1/h] = 71,7E-9</v>
      </c>
    </row>
    <row r="2712" spans="2:9" s="16" customFormat="1"/>
    <row r="2713" spans="2:9" s="16" customFormat="1">
      <c r="B2713" s="42" t="str">
        <f ca="1">IFERROR(IF(7&gt;COUNTIF(Data!$BP:$BP,CONCATENATE(Liste!$C$3,$B$2543)),"",INDEX(Tab_DaBa[],MATCH(CONCATENATE(Liste!$C$3,$B$2543),Data!$BP:$BP,0)+4,3)),"")</f>
        <v>10.7 Test10 (E+7L+A)</v>
      </c>
    </row>
    <row r="2714" spans="2:9" s="16" customFormat="1"/>
    <row r="2715" spans="2:9" s="16" customFormat="1" ht="15.75">
      <c r="B2715" s="35" t="str">
        <f ca="1">IFERROR(INDEX(Tab_DaBa[],MATCH(CONCATENATE(Liste!$C$3,$B$2543,$B$2713),Data!$BO:$BO,0)-2,9),"")</f>
        <v>Eingang</v>
      </c>
      <c r="C2715" s="54"/>
      <c r="D2715" s="35" t="str">
        <f ca="1">IFERROR(IF(INDEX(Tab_DaBa[],MATCH(CONCATENATE(Liste!$C$3,$B$2543,$B$2713),Data!$BO:$BO,0)-2,18)=0,INDEX(Tab_DaBa[],MATCH(CONCATENATE(Liste!$C$3,$B$2543,$B$2713),Data!$BO:$BO,0)-2,14),INDEX(Tab_DaBa[],MATCH(CONCATENATE(Liste!$C$3,$B$2543,$B$2713),Data!$BO:$BO,0)-2,19)),"")</f>
        <v>Logik 01</v>
      </c>
      <c r="E2715" s="33"/>
      <c r="F2715" s="35" t="str">
        <f ca="1">IFERROR(IF(AND(INDEX(Tab_DaBa[],MATCH(CONCATENATE(Liste!$C$3,$B$2543,$B$2713),Data!$BO:$BO,0)-2,18)&lt;&gt;"",INDEX(Tab_DaBa[],MATCH(CONCATENATE(Liste!$C$3,$B$2543,$B$2713),Data!$BO:$BO,0)-2,23)=0),INDEX(Tab_DaBa[],MATCH(CONCATENATE(Liste!$C$3,$B$2543,$B$2713),Data!$BO:$BO,0)-2,14),IF(INDEX(Tab_DaBa[],MATCH(CONCATENATE(Liste!$C$3,$B$2543,$B$2713),Data!$BO:$BO,0)-2,23)&lt;&gt;"",INDEX(Tab_DaBa[],MATCH(CONCATENATE(Liste!$C$3,$B$2543,$B$2713),Data!$BO:$BO,0)-2,24),"")),"")</f>
        <v>Logik 02</v>
      </c>
      <c r="G2715" s="39"/>
      <c r="H2715" s="35" t="str">
        <f ca="1">IFERROR(IF(AND(INDEX(Tab_DaBa[],MATCH(CONCATENATE(Liste!$C$3,$B$2543,$B$2713),Data!$BO:$BO,0)-2,23)&lt;&gt;"",INDEX(Tab_DaBa[],MATCH(CONCATENATE(Liste!$C$3,$B$2543,$B$2713),Data!$BO:$BO,0)-2,28)=0),INDEX(Tab_DaBa[],MATCH(CONCATENATE(Liste!$C$3,$B$2543,$B$2713),Data!$BO:$BO,0)-2,14),IF(INDEX(Tab_DaBa[],MATCH(CONCATENATE(Liste!$C$3,$B$2543,$B$2713),Data!$BO:$BO,0)-2,23)&lt;&gt;"",INDEX(Tab_DaBa[],MATCH(CONCATENATE(Liste!$C$3,$B$2543,$B$2713),Data!$BO:$BO,0)-2,29),"")),"")</f>
        <v>Logik 03</v>
      </c>
      <c r="I2715" s="39"/>
    </row>
    <row r="2716" spans="2:9" s="16" customFormat="1" ht="15.75">
      <c r="B2716" s="35" t="str">
        <f ca="1">IFERROR(INDEX(Tab_DaBa[],MATCH(CONCATENATE(Liste!$C$3,$B$2543,$B$2713),Data!$BO:$BO,0)-2,7),"")</f>
        <v>eeee-33_7</v>
      </c>
      <c r="C2716" s="54"/>
      <c r="D2716" s="35" t="str">
        <f ca="1">IFERROR(IF(INDEX(Tab_DaBa[],MATCH(CONCATENATE(Liste!$C$3,$B$2543,$B$2713),Data!$BO:$BO,0)-2,18)="",INDEX(Tab_DaBa[],MATCH(CONCATENATE(Liste!$C$3,$B$2543,$B$2713),Data!$BO:$BO,0)-2,12),INDEX(Tab_DaBa[],MATCH(CONCATENATE(Liste!$C$3,$B$2543,$B$2713),Data!$BO:$BO,0)-2,17)),"")</f>
        <v>Log01-04_07</v>
      </c>
      <c r="E2716" s="36"/>
      <c r="F2716" s="35" t="str">
        <f ca="1">IFERROR(IF(AND(INDEX(Tab_DaBa[],MATCH(CONCATENATE(Liste!$C$3,$B$2543,$B$2713),Data!$BO:$BO,0)-2,18)&lt;&gt;"",INDEX(Tab_DaBa[],MATCH(CONCATENATE(Liste!$C$3,$B$2543,$B$2713),Data!$BO:$BO,0)-2,23)=0),INDEX(Tab_DaBa[],MATCH(CONCATENATE(Liste!$C$3,$B$2543,$B$2713),Data!$BO:$BO,0)-2,12),IF(INDEX(Tab_DaBa[],MATCH(CONCATENATE(Liste!$C$3,$B$2543,$B$2713),Data!$BO:$BO,0)-2,23)&lt;&gt;"",INDEX(Tab_DaBa[],MATCH(CONCATENATE(Liste!$C$3,$B$2543,$B$2713),Data!$BO:$BO,0)-2,22),"")),"")</f>
        <v>Lo04-04_07</v>
      </c>
      <c r="G2716" s="39"/>
      <c r="H2716" s="35" t="str">
        <f ca="1">IFERROR(IF(AND(INDEX(Tab_DaBa[],MATCH(CONCATENATE(Liste!$C$3,$B$2543,$B$2713),Data!$BO:$BO,0)-2,23)&lt;&gt;"",INDEX(Tab_DaBa[],MATCH(CONCATENATE(Liste!$C$3,$B$2543,$B$2713),Data!$BO:$BO,0)-2,28)=0),INDEX(Tab_DaBa[],MATCH(CONCATENATE(Liste!$C$3,$B$2543,$B$2713),Data!$BO:$BO,0)-2,12),IF(INDEX(Tab_DaBa[],MATCH(CONCATENATE(Liste!$C$3,$B$2543,$B$2713),Data!$BO:$BO,0)-2,23)&lt;&gt;"",INDEX(Tab_DaBa[],MATCH(CONCATENATE(Liste!$C$3,$B$2543,$B$2713),Data!$BO:$BO,0)-2,27),"")),"")</f>
        <v>Lo04-44_07</v>
      </c>
      <c r="I2716" s="39"/>
    </row>
    <row r="2717" spans="2:9" s="16" customFormat="1" ht="15.75">
      <c r="B2717" s="35" t="str">
        <f ca="1">IFERROR(INDEX(Tab_DaBa[],MATCH(CONCATENATE(Liste!$C$3,$B$2543,$B$2713),Data!$BO:$BO,0)-2,8),"")</f>
        <v>Bez_Ein4_7</v>
      </c>
      <c r="C2717" s="40">
        <f ca="1">IF(D2715="","",4)</f>
        <v>4</v>
      </c>
      <c r="D2717" s="35" t="str">
        <f ca="1">IFERROR(IF(INDEX(Tab_DaBa[],MATCH(CONCATENATE(Liste!$C$3,$B$2543,$B$2713),Data!$BO:$BO,0)-2,18)="",INDEX(Tab_DaBa[],MATCH(CONCATENATE(Liste!$C$3,$B$2543,$B$2713),Data!$BO:$BO,0)-2,13),INDEX(Tab_DaBa[],MATCH(CONCATENATE(Liste!$C$3,$B$2543,$B$2713),Data!$BO:$BO,0)-2,18)),"")</f>
        <v>Bez_Log01_04_07</v>
      </c>
      <c r="E2717" s="40">
        <f ca="1">IF(F2715="","",4)</f>
        <v>4</v>
      </c>
      <c r="F2717" s="35" t="str">
        <f ca="1">IFERROR(IF(AND(INDEX(Tab_DaBa[],MATCH(CONCATENATE(Liste!$C$3,$B$2543,$B$2713),Data!$BO:$BO,0)-2,18)&lt;&gt;"",INDEX(Tab_DaBa[],MATCH(CONCATENATE(Liste!$C$3,$B$2543,$B$2713),Data!$BO:$BO,0)-2,23)=""),INDEX(Tab_DaBa[],MATCH(CONCATENATE(Liste!$C$3,$B$2543,$B$2713),Data!$BO:$BO,0)-2,13),IF(INDEX(Tab_DaBa[],MATCH(CONCATENATE(Liste!$C$3,$B$2543,$B$2713),Data!$BO:$BO,0)-2,23)&lt;&gt;"",INDEX(Tab_DaBa[],MATCH(CONCATENATE(Liste!$C$3,$B$2543,$B$2713),Data!$BO:$BO,0)-2,23),"")),"")</f>
        <v>Bez_Lo04_07</v>
      </c>
      <c r="G2717" s="38">
        <f ca="1">IF(H2715="","",4)</f>
        <v>4</v>
      </c>
      <c r="H2717" s="35" t="str">
        <f ca="1">IFERROR(IF(AND(INDEX(Tab_DaBa[],MATCH(CONCATENATE(Liste!$C$3,$B$2543,$B$2713),Data!$BO:$BO,0)-2,23)&lt;&gt;"",INDEX(Tab_DaBa[],MATCH(CONCATENATE(Liste!$C$3,$B$2543,$B$2713),Data!$BO:$BO,0)-2,28)=""),INDEX(Tab_DaBa[],MATCH(CONCATENATE(Liste!$C$3,$B$2543,$B$2713),Data!$BO:$BO,0)-2,13),IF(INDEX(Tab_DaBa[],MATCH(CONCATENATE(Liste!$C$3,$B$2543,$B$2713),Data!$BO:$BO,0)-2,23)&lt;&gt;"",INDEX(Tab_DaBa[],MATCH(CONCATENATE(Liste!$C$3,$B$2543,$B$2713),Data!$BO:$BO,0)-2,28),"")),"")</f>
        <v>Bez_Lo04_07</v>
      </c>
      <c r="I2717" s="38">
        <f ca="1">IF(B2723="","",6)</f>
        <v>6</v>
      </c>
    </row>
    <row r="2718" spans="2:9" s="16" customFormat="1" ht="15.75">
      <c r="B2718" s="35" t="str">
        <f ca="1">IFERROR("Performance Level: "&amp;INDEX(Tab_DaBa[],MATCH(CONCATENATE(Liste!$C$3,$B$2543,$B$2713),Data!$BO:$BO,0)-2,10),"")</f>
        <v>Performance Level: PL_Ein4_7</v>
      </c>
      <c r="C2718" s="54"/>
      <c r="D2718" s="35" t="str">
        <f ca="1">IFERROR(IF(INDEX(Tab_DaBa[],MATCH(CONCATENATE(Liste!$C$3,$B$2543,$B$2713),Data!$BO:$BO,0)-2,18)="","Performance Level: "&amp;INDEX(Tab_DaBa[],MATCH(CONCATENATE(Liste!$C$3,$B$2543,$B$2713),Data!$BO:$BO,0)-2,15),"Performance Level: "&amp;INDEX(Tab_DaBa[],MATCH(CONCATENATE(Liste!$C$3,$B$2543,$B$2713),Data!$BO:$BO,0)-2,20)),"")</f>
        <v>Performance Level: PL_Log01_04_07</v>
      </c>
      <c r="E2718" s="36"/>
      <c r="F2718" s="35" t="str">
        <f ca="1">IFERROR(IF(AND(INDEX(Tab_DaBa[],MATCH(CONCATENATE(Liste!$C$3,$B$2543,$B$2713),Data!$BO:$BO,0)-2,18)&lt;&gt;"",INDEX(Tab_DaBa[],MATCH(CONCATENATE(Liste!$C$3,$B$2543,$B$2713),Data!$BO:$BO,0)-2,23)=""),"Performance Level: "&amp;INDEX(Tab_DaBa[],MATCH(CONCATENATE(Liste!$C$3,$B$2543,$B$2713),Data!$BO:$BO,0)-2,15),IF(INDEX(Tab_DaBa[],MATCH(CONCATENATE(Liste!$C$3,$B$2543,$B$2713),Data!$BO:$BO,0)-2,23)&lt;&gt;"","Performance Level: "&amp;INDEX(Tab_DaBa[],MATCH(CONCATENATE(Liste!$C$3,$B$2543,$B$2713),Data!$BO:$BO,0)-2,25),"")),"")</f>
        <v>Performance Level: PL_Lo04_07</v>
      </c>
      <c r="G2718" s="39"/>
      <c r="H2718" s="35" t="str">
        <f ca="1">IFERROR(IF(AND(INDEX(Tab_DaBa[],MATCH(CONCATENATE(Liste!$C$3,$B$2543,$B$2713),Data!$BO:$BO,0)-2,23)&lt;&gt;"",INDEX(Tab_DaBa[],MATCH(CONCATENATE(Liste!$C$3,$B$2543,$B$2713),Data!$BO:$BO,0)-2,28)=""),"Performance Level: "&amp;INDEX(Tab_DaBa[],MATCH(CONCATENATE(Liste!$C$3,$B$2543,$B$2713),Data!$BO:$BO,0)-2,15),IF(INDEX(Tab_DaBa[],MATCH(CONCATENATE(Liste!$C$3,$B$2543,$B$2713),Data!$BO:$BO,0)-2,23)&lt;&gt;"","Performance Level: "&amp;INDEX(Tab_DaBa[],MATCH(CONCATENATE(Liste!$C$3,$B$2543,$B$2713),Data!$BO:$BO,0)-2,30),"")),"")</f>
        <v>Performance Level: PL_Lo04_07</v>
      </c>
      <c r="I2718" s="38"/>
    </row>
    <row r="2719" spans="2:9" s="16" customFormat="1" ht="15.75">
      <c r="B2719" s="53" t="str">
        <f ca="1">IFERROR("PFH [1/h] = "&amp;10^9*INDEX(Tab_DaBa[],MATCH(CONCATENATE(Liste!$C$3,$B$2543,$B$2713),Data!$BO:$BO,0)-2,11)&amp;"E-9","")</f>
        <v>PFH [1/h] = 42,9E-9</v>
      </c>
      <c r="C2719" s="54"/>
      <c r="D2719" s="35" t="str">
        <f ca="1">IFERROR(IF(INDEX(Tab_DaBa[],MATCH(CONCATENATE(Liste!$C$3,$B$2543,$B$2713),Data!$BO:$BO,0)-2,18)="","PFH [1/h] = "&amp;10^9*INDEX(Tab_DaBa[],MATCH(CONCATENATE(Liste!$C$3,$B$2543,$B$2713),Data!$BO:$BO,0)-2,16)&amp;"E-9","PFH [1/h] = "&amp;10^9*INDEX(Tab_DaBa[],MATCH(CONCATENATE(Liste!$C$3,$B$2543,$B$2713),Data!$BO:$BO,0)-2,21)&amp;"E-9"),"")</f>
        <v>PFH [1/h] = 4,19E-9</v>
      </c>
      <c r="E2719" s="36"/>
      <c r="F2719" s="35" t="str">
        <f ca="1">IFERROR(IF(AND(INDEX(Tab_DaBa[],MATCH(CONCATENATE(Liste!$C$3,$B$2543,$B$2713),Data!$BO:$BO,0)-2,18)&lt;&gt;"",INDEX(Tab_DaBa[],MATCH(CONCATENATE(Liste!$C$3,$B$2543,$B$2713),Data!$BO:$BO,0)-2,23)=""),"PFH [1/h] = "&amp;10^9*INDEX(Tab_DaBa[],MATCH(CONCATENATE(Liste!$C$3,$B$2543,$B$2713),Data!$BO:$BO,0)-2,16)&amp;"E-9",IF(INDEX(Tab_DaBa[],MATCH(CONCATENATE(Liste!$C$3,$B$2543,$B$2713),Data!$BO:$BO,0)-2,23)&lt;&gt;"","PFH [1/h] = "&amp;10^9*INDEX(Tab_DaBa[],MATCH(CONCATENATE(Liste!$C$3,$B$2543,$B$2713),Data!$BO:$BO,0)-2,26)&amp;"E-9","")),"")</f>
        <v>PFH [1/h] = 4,19E-9</v>
      </c>
      <c r="G2719" s="39"/>
      <c r="H2719" s="35" t="str">
        <f ca="1">IFERROR(IF(AND(INDEX(Tab_DaBa[],MATCH(CONCATENATE(Liste!$C$3,$B$2543,$B$2713),Data!$BO:$BO,0)-2,23)&lt;&gt;"",INDEX(Tab_DaBa[],MATCH(CONCATENATE(Liste!$C$3,$B$2543,$B$2713),Data!$BO:$BO,0)-2,28)=""),"PFH [1/h] = "&amp;10^9*INDEX(Tab_DaBa[],MATCH(CONCATENATE(Liste!$C$3,$B$2543,$B$2713),Data!$BO:$BO,0)-2,16)&amp;"E-9",IF(INDEX(Tab_DaBa[],MATCH(CONCATENATE(Liste!$C$3,$B$2543,$B$2713),Data!$BO:$BO,0)-2,23)&lt;&gt;"","PFH [1/h] = "&amp;10^9*INDEX(Tab_DaBa[],MATCH(CONCATENATE(Liste!$C$3,$B$2543,$B$2713),Data!$BO:$BO,0)-2,31)&amp;"E-9","")),"")</f>
        <v>PFH [1/h] = 4,19E-9</v>
      </c>
      <c r="I2719" s="39"/>
    </row>
    <row r="2720" spans="2:9" s="16" customFormat="1">
      <c r="B2720" s="33"/>
      <c r="C2720" s="34"/>
      <c r="D2720" s="33"/>
      <c r="E2720" s="33"/>
      <c r="F2720" s="33"/>
      <c r="G2720" s="33"/>
      <c r="H2720" s="33"/>
      <c r="I2720" s="33"/>
    </row>
    <row r="2721" spans="2:9" s="16" customFormat="1" ht="15.75">
      <c r="B2721" s="38">
        <f ca="1">IF(B2723="","",6)</f>
        <v>6</v>
      </c>
      <c r="C2721" s="34"/>
      <c r="D2721" s="38">
        <f ca="1">IF(B2723="","",3)</f>
        <v>3</v>
      </c>
      <c r="E2721" s="33"/>
      <c r="F2721" s="38">
        <f ca="1">IF(B2723="","",3)</f>
        <v>3</v>
      </c>
      <c r="G2721" s="33"/>
      <c r="H2721" s="38">
        <f ca="1">IF(B2723="","",3)</f>
        <v>3</v>
      </c>
      <c r="I2721" s="33"/>
    </row>
    <row r="2722" spans="2:9" s="16" customFormat="1" ht="15.75">
      <c r="B2722" s="39"/>
      <c r="C2722" s="33"/>
      <c r="D2722" s="33"/>
      <c r="E2722" s="33"/>
      <c r="F2722" s="33"/>
      <c r="G2722" s="33"/>
      <c r="H2722" s="33"/>
      <c r="I2722" s="33"/>
    </row>
    <row r="2723" spans="2:9" s="16" customFormat="1" ht="15.75">
      <c r="B2723" s="35" t="str">
        <f ca="1">IFERROR(IF(AND(INDEX(Tab_DaBa[],MATCH(CONCATENATE(Liste!$C$3,$B$2543,$B$2713),Data!$BO:$BO,0)-2,28)&lt;&gt;"",INDEX(Tab_DaBa[],MATCH(CONCATENATE(Liste!$C$3,$B$2543,$B$2713),Data!$BO:$BO,0)-2,33)=0),INDEX(Tab_DaBa[],MATCH(CONCATENATE(Liste!$C$3,$B$2543,$B$2713),Data!$BO:$BO,0)-2,14),IF(INDEX(Tab_DaBa[],MATCH(CONCATENATE(Liste!$C$3,$B$2543,$B$2713),Data!$BO:$BO,0)-2,28)&lt;&gt;"",INDEX(Tab_DaBa[],MATCH(CONCATENATE(Liste!$C$3,$B$2543,$B$2713),Data!$BO:$BO,0)-2,34),"")),"")</f>
        <v>Logik 04</v>
      </c>
      <c r="C2723" s="39"/>
      <c r="D2723" s="35" t="str">
        <f ca="1">IFERROR(IF(AND(INDEX(Tab_DaBa[],MATCH(CONCATENATE(Liste!$C$3,$B$2543,$B$2713),Data!$BO:$BO,0)-2,33)&lt;&gt;"",INDEX(Tab_DaBa[],MATCH(CONCATENATE(Liste!$C$3,$B$2543,$B$2713),Data!$BO:$BO,0)-2,38)=0),INDEX(Tab_DaBa[],MATCH(CONCATENATE(Liste!$C$3,$B$2543,$B$2713),Data!$BO:$BO,0)-2,14),IF(INDEX(Tab_DaBa[],MATCH(CONCATENATE(Liste!$C$3,$B$2543,$B$2713),Data!$BO:$BO,0)-2,33)&lt;&gt;"",INDEX(Tab_DaBa[],MATCH(CONCATENATE(Liste!$C$3,$B$2543,$B$2713),Data!$BO:$BO,0)-2,39),"")),"")</f>
        <v>Logik 05</v>
      </c>
      <c r="E2723" s="33"/>
      <c r="F2723" s="35" t="str">
        <f ca="1">IFERROR(IF(AND(INDEX(Tab_DaBa[],MATCH(CONCATENATE(Liste!$C$3,$B$2543,$B$2713),Data!$BO:$BO,0)-2,38)&lt;&gt;"",INDEX(Tab_DaBa[],MATCH(CONCATENATE(Liste!$C$3,$B$2543,$B$2713),Data!$BO:$BO,0)-2,43)=0),INDEX(Tab_DaBa[],MATCH(CONCATENATE(Liste!$C$3,$B$2543,$B$2713),Data!$BO:$BO,0)-2,14),IF(INDEX(Tab_DaBa[],MATCH(CONCATENATE(Liste!$C$3,$B$2543,$B$2713),Data!$BO:$BO,0)-2,38)&lt;&gt;"",INDEX(Tab_DaBa[],MATCH(CONCATENATE(Liste!$C$3,$B$2543,$B$2713),Data!$BO:$BO,0)-2,44),"")),"")</f>
        <v>Logik 06</v>
      </c>
      <c r="G2723" s="39"/>
      <c r="H2723" s="35" t="str">
        <f ca="1">IFERROR(IF(AND(INDEX(Tab_DaBa[],MATCH(CONCATENATE(Liste!$C$3,$B$2543,$B$2713),Data!$BO:$BO,0)-2,43)&lt;&gt;"",INDEX(Tab_DaBa[],MATCH(CONCATENATE(Liste!$C$3,$B$2543,$B$2713),Data!$BO:$BO,0)-2,48)=0),INDEX(Tab_DaBa[],MATCH(CONCATENATE(Liste!$C$3,$B$2543,$B$2713),Data!$BO:$BO,0)-2,14),IF(INDEX(Tab_DaBa[],MATCH(CONCATENATE(Liste!$C$3,$B$2543,$B$2713),Data!$BO:$BO,0)-2,43)&lt;&gt;"",INDEX(Tab_DaBa[],MATCH(CONCATENATE(Liste!$C$3,$B$2543,$B$2713),Data!$BO:$BO,0)-2,49),"")),"")</f>
        <v>Logik 07</v>
      </c>
      <c r="I2723" s="39"/>
    </row>
    <row r="2724" spans="2:9" s="16" customFormat="1" ht="15.75">
      <c r="B2724" s="35" t="str">
        <f ca="1">IFERROR(IF(AND(INDEX(Tab_DaBa[],MATCH(CONCATENATE(Liste!$C$3,$B$2543,$B$2713),Data!$BO:$BO,0)-2,28)&lt;&gt;"",INDEX(Tab_DaBa[],MATCH(CONCATENATE(Liste!$C$3,$B$2543,$B$2713),Data!$BO:$BO,0)-2,33)=0),INDEX(Tab_DaBa[],MATCH(CONCATENATE(Liste!$C$3,$B$2543,$B$2713),Data!$BO:$BO,0)-2,12),IF(INDEX(Tab_DaBa[],MATCH(CONCATENATE(Liste!$C$3,$B$2543,$B$2713),Data!$BO:$BO,0)-2,28)&lt;&gt;"",INDEX(Tab_DaBa[],MATCH(CONCATENATE(Liste!$C$3,$B$2543,$B$2713),Data!$BO:$BO,0)-2,32),"")),"")</f>
        <v>Lo04-44_07</v>
      </c>
      <c r="C2724" s="39"/>
      <c r="D2724" s="35" t="str">
        <f ca="1">IFERROR(IF(AND(INDEX(Tab_DaBa[],MATCH(CONCATENATE(Liste!$C$3,$B$2543,$B$2713),Data!$BO:$BO,0)-2,33)&lt;&gt;"",INDEX(Tab_DaBa[],MATCH(CONCATENATE(Liste!$C$3,$B$2543,$B$2713),Data!$BO:$BO,0)-2,38)=0),INDEX(Tab_DaBa[],MATCH(CONCATENATE(Liste!$C$3,$B$2543,$B$2713),Data!$BO:$BO,0)-2,12),IF(INDEX(Tab_DaBa[],MATCH(CONCATENATE(Liste!$C$3,$B$2543,$B$2713),Data!$BO:$BO,0)-2,33)&lt;&gt;"",INDEX(Tab_DaBa[],MATCH(CONCATENATE(Liste!$C$3,$B$2543,$B$2713),Data!$BO:$BO,0)-2,37),"")),"")</f>
        <v>Lo04-44_07</v>
      </c>
      <c r="E2724" s="37"/>
      <c r="F2724" s="35" t="str">
        <f ca="1">IFERROR(IF(AND(INDEX(Tab_DaBa[],MATCH(CONCATENATE(Liste!$C$3,$B$2543,$B$2713),Data!$BO:$BO,0)-2,38)&lt;&gt;"",INDEX(Tab_DaBa[],MATCH(CONCATENATE(Liste!$C$3,$B$2543,$B$2713),Data!$BO:$BO,0)-2,43)=0),INDEX(Tab_DaBa[],MATCH(CONCATENATE(Liste!$C$3,$B$2543,$B$2713),Data!$BO:$BO,0)-2,12),IF(INDEX(Tab_DaBa[],MATCH(CONCATENATE(Liste!$C$3,$B$2543,$B$2713),Data!$BO:$BO,0)-2,38)&lt;&gt;"",INDEX(Tab_DaBa[],MATCH(CONCATENATE(Liste!$C$3,$B$2543,$B$2713),Data!$BO:$BO,0)-2,42),"")),"")</f>
        <v>Lo03-33_07</v>
      </c>
      <c r="G2724" s="39"/>
      <c r="H2724" s="35" t="str">
        <f ca="1">IFERROR(IF(AND(INDEX(Tab_DaBa[],MATCH(CONCATENATE(Liste!$C$3,$B$2543,$B$2713),Data!$BO:$BO,0)-2,43)&lt;&gt;"",INDEX(Tab_DaBa[],MATCH(CONCATENATE(Liste!$C$3,$B$2543,$B$2713),Data!$BO:$BO,0)-2,48)=0),INDEX(Tab_DaBa[],MATCH(CONCATENATE(Liste!$C$3,$B$2543,$B$2713),Data!$BO:$BO,0)-2,12),IF(INDEX(Tab_DaBa[],MATCH(CONCATENATE(Liste!$C$3,$B$2543,$B$2713),Data!$BO:$BO,0)-2,43)&lt;&gt;"",INDEX(Tab_DaBa[],MATCH(CONCATENATE(Liste!$C$3,$B$2543,$B$2713),Data!$BO:$BO,0)-2,47),"")),"")</f>
        <v>Lo03-33_07</v>
      </c>
      <c r="I2724" s="39"/>
    </row>
    <row r="2725" spans="2:9" s="16" customFormat="1" ht="15.75">
      <c r="B2725" s="35" t="str">
        <f ca="1">IFERROR(IF(AND(INDEX(Tab_DaBa[],MATCH(CONCATENATE(Liste!$C$3,$B$2543,$B$2713),Data!$BO:$BO,0)-2,28)&lt;&gt;"",INDEX(Tab_DaBa[],MATCH(CONCATENATE(Liste!$C$3,$B$2543,$B$2713),Data!$BO:$BO,0)-2,33)=""),INDEX(Tab_DaBa[],MATCH(CONCATENATE(Liste!$C$3,$B$2543,$B$2713),Data!$BO:$BO,0)-2,13),IF(INDEX(Tab_DaBa[],MATCH(CONCATENATE(Liste!$C$3,$B$2543,$B$2713),Data!$BO:$BO,0)-2,28)&lt;&gt;"",INDEX(Tab_DaBa[],MATCH(CONCATENATE(Liste!$C$3,$B$2543,$B$2713),Data!$BO:$BO,0)-2,33),"")),"")</f>
        <v>Bez_Lo04_07</v>
      </c>
      <c r="C2725" s="38">
        <f ca="1">IF(D2723="","",4)</f>
        <v>4</v>
      </c>
      <c r="D2725" s="35" t="str">
        <f ca="1">IFERROR(IF(AND(INDEX(Tab_DaBa[],MATCH(CONCATENATE(Liste!$C$3,$B$2543,$B$2713),Data!$BO:$BO,0)-2,33)&lt;&gt;"",INDEX(Tab_DaBa[],MATCH(CONCATENATE(Liste!$C$3,$B$2543,$B$2713),Data!$BO:$BO,0)-2,38)=""),INDEX(Tab_DaBa[],MATCH(CONCATENATE(Liste!$C$3,$B$2543,$B$2713),Data!$BO:$BO,0)-2,13),IF(INDEX(Tab_DaBa[],MATCH(CONCATENATE(Liste!$C$3,$B$2543,$B$2713),Data!$BO:$BO,0)-2,33)&lt;&gt;"",INDEX(Tab_DaBa[],MATCH(CONCATENATE(Liste!$C$3,$B$2543,$B$2713),Data!$BO:$BO,0)-2,38),"")),"")</f>
        <v>Bez_Lo03_07</v>
      </c>
      <c r="E2725" s="38">
        <f ca="1">IF(F2723="","",4)</f>
        <v>4</v>
      </c>
      <c r="F2725" s="35" t="str">
        <f ca="1">IFERROR(IF(AND(INDEX(Tab_DaBa[],MATCH(CONCATENATE(Liste!$C$3,$B$2543,$B$2713),Data!$BO:$BO,0)-2,38)&lt;&gt;"",INDEX(Tab_DaBa[],MATCH(CONCATENATE(Liste!$C$3,$B$2543,$B$2713),Data!$BO:$BO,0)-2,43)=""),INDEX(Tab_DaBa[],MATCH(CONCATENATE(Liste!$C$3,$B$2543,$B$2713),Data!$BO:$BO,0)-2,13),IF(INDEX(Tab_DaBa[],MATCH(CONCATENATE(Liste!$C$3,$B$2543,$B$2713),Data!$BO:$BO,0)-2,38)&lt;&gt;"",INDEX(Tab_DaBa[],MATCH(CONCATENATE(Liste!$C$3,$B$2543,$B$2713),Data!$BO:$BO,0)-2,43),"")),"")</f>
        <v>Bez_Lo03_07</v>
      </c>
      <c r="G2725" s="38">
        <f ca="1">IF(H2723="","",4)</f>
        <v>4</v>
      </c>
      <c r="H2725" s="35" t="str">
        <f ca="1">IFERROR(IF(AND(INDEX(Tab_DaBa[],MATCH(CONCATENATE(Liste!$C$3,$B$2543,$B$2713),Data!$BO:$BO,0)-2,43)&lt;&gt;"",INDEX(Tab_DaBa[],MATCH(CONCATENATE(Liste!$C$3,$B$2543,$B$2713),Data!$BO:$BO,0)-2,48)=""),INDEX(Tab_DaBa[],MATCH(CONCATENATE(Liste!$C$3,$B$2543,$B$2713),Data!$BO:$BO,0)-2,13),IF(INDEX(Tab_DaBa[],MATCH(CONCATENATE(Liste!$C$3,$B$2543,$B$2713),Data!$BO:$BO,0)-2,43)&lt;&gt;"",INDEX(Tab_DaBa[],MATCH(CONCATENATE(Liste!$C$3,$B$2543,$B$2713),Data!$BO:$BO,0)-2,48),"")),"")</f>
        <v>Bez_Lo03_07</v>
      </c>
      <c r="I2725" s="38">
        <f ca="1">IF(B2731="","",6)</f>
        <v>6</v>
      </c>
    </row>
    <row r="2726" spans="2:9" s="16" customFormat="1" ht="15.75">
      <c r="B2726" s="35" t="str">
        <f ca="1">IFERROR(IF(AND(INDEX(Tab_DaBa[],MATCH(CONCATENATE(Liste!$C$3,$B$2543,$B$2713),Data!$BO:$BO,0)-2,28)&lt;&gt;"",INDEX(Tab_DaBa[],MATCH(CONCATENATE(Liste!$C$3,$B$2543,$B$2713),Data!$BO:$BO,0)-2,33)=""),"Performance Level: "&amp;INDEX(Tab_DaBa[],MATCH(CONCATENATE(Liste!$C$3,$B$2543,$B$2713),Data!$BO:$BO,0)-2,15),IF(INDEX(Tab_DaBa[],MATCH(CONCATENATE(Liste!$C$3,$B$2543,$B$2713),Data!$BO:$BO,0)-2,28)&lt;&gt;"","Performance Level: "&amp;INDEX(Tab_DaBa[],MATCH(CONCATENATE(Liste!$C$3,$B$2543,$B$2713),Data!$BO:$BO,0)-2,35),"")),"")</f>
        <v>Performance Level: PL_Lo04_07</v>
      </c>
      <c r="C2726" s="39"/>
      <c r="D2726" s="35" t="str">
        <f ca="1">IFERROR(IF(AND(INDEX(Tab_DaBa[],MATCH(CONCATENATE(Liste!$C$3,$B$2543,$B$2713),Data!$BO:$BO,0)-2,33)&lt;&gt;"",INDEX(Tab_DaBa[],MATCH(CONCATENATE(Liste!$C$3,$B$2543,$B$2713),Data!$BO:$BO,0)-2,38)=""),"Performance Level: "&amp;INDEX(Tab_DaBa[],MATCH(CONCATENATE(Liste!$C$3,$B$2543,$B$2713),Data!$BO:$BO,0)-2,15),IF(INDEX(Tab_DaBa[],MATCH(CONCATENATE(Liste!$C$3,$B$2543,$B$2713),Data!$BO:$BO,0)-2,33)&lt;&gt;"","Performance Level: "&amp;INDEX(Tab_DaBa[],MATCH(CONCATENATE(Liste!$C$3,$B$2543,$B$2713),Data!$BO:$BO,0)-2,40),"")),"")</f>
        <v>Performance Level: PL_Lo03_7</v>
      </c>
      <c r="E2726" s="37"/>
      <c r="F2726" s="35" t="str">
        <f ca="1">IFERROR(IF(AND(INDEX(Tab_DaBa[],MATCH(CONCATENATE(Liste!$C$3,$B$2543,$B$2713),Data!$BO:$BO,0)-2,38)&lt;&gt;"",INDEX(Tab_DaBa[],MATCH(CONCATENATE(Liste!$C$3,$B$2543,$B$2713),Data!$BO:$BO,0)-2,43)=""),"Performance Level: "&amp;INDEX(Tab_DaBa[],MATCH(CONCATENATE(Liste!$C$3,$B$2543,$B$2713),Data!$BO:$BO,0)-2,15),IF(INDEX(Tab_DaBa[],MATCH(CONCATENATE(Liste!$C$3,$B$2543,$B$2713),Data!$BO:$BO,0)-2,38)&lt;&gt;"","Performance Level: "&amp;INDEX(Tab_DaBa[],MATCH(CONCATENATE(Liste!$C$3,$B$2543,$B$2713),Data!$BO:$BO,0)-2,45),"")),"")</f>
        <v>Performance Level: PL_Lo03_07</v>
      </c>
      <c r="G2726" s="39"/>
      <c r="H2726" s="35" t="str">
        <f ca="1">IFERROR(IF(AND(INDEX(Tab_DaBa[],MATCH(CONCATENATE(Liste!$C$3,$B$2543,$B$2713),Data!$BO:$BO,0)-2,43)&lt;&gt;"",INDEX(Tab_DaBa[],MATCH(CONCATENATE(Liste!$C$3,$B$2543,$B$2713),Data!$BO:$BO,0)-2,48)=""),"Performance Level: "&amp;INDEX(Tab_DaBa[],MATCH(CONCATENATE(Liste!$C$3,$B$2543,$B$2713),Data!$BO:$BO,0)-2,15),IF(INDEX(Tab_DaBa[],MATCH(CONCATENATE(Liste!$C$3,$B$2543,$B$2713),Data!$BO:$BO,0)-2,43)&lt;&gt;"","Performance Level: "&amp;INDEX(Tab_DaBa[],MATCH(CONCATENATE(Liste!$C$3,$B$2543,$B$2713),Data!$BO:$BO,0)-2,50),"")),"")</f>
        <v>Performance Level: PL_Lo03_07</v>
      </c>
      <c r="I2726" s="39"/>
    </row>
    <row r="2727" spans="2:9" s="16" customFormat="1" ht="15.75">
      <c r="B2727" s="35" t="str">
        <f ca="1">IFERROR(IF(AND(INDEX(Tab_DaBa[],MATCH(CONCATENATE(Liste!$C$3,$B$2543,$B$2713),Data!$BO:$BO,0)-2,28)&lt;&gt;"",INDEX(Tab_DaBa[],MATCH(CONCATENATE(Liste!$C$3,$B$2543,$B$2713),Data!$BO:$BO,0)-2,33)=""),"PFH [1/h] = "&amp;10^9*INDEX(Tab_DaBa[],MATCH(CONCATENATE(Liste!$C$3,$B$2543,$B$2713),Data!$BO:$BO,0)-2,16)&amp;"E-9",IF(INDEX(Tab_DaBa[],MATCH(CONCATENATE(Liste!$C$3,$B$2543,$B$2713),Data!$BO:$BO,0)-2,28)&lt;&gt;"","PFH [1/h] = "&amp;10^9*INDEX(Tab_DaBa[],MATCH(CONCATENATE(Liste!$C$3,$B$2543,$B$2713),Data!$BO:$BO,0)-2,36)&amp;"E-9","")),"")</f>
        <v>PFH [1/h] = 4,19E-9</v>
      </c>
      <c r="C2727" s="39"/>
      <c r="D2727" s="35" t="str">
        <f ca="1">IFERROR(IF(AND(INDEX(Tab_DaBa[],MATCH(CONCATENATE(Liste!$C$3,$B$2543,$B$2713),Data!$BO:$BO,0)-2,33)&lt;&gt;"",INDEX(Tab_DaBa[],MATCH(CONCATENATE(Liste!$C$3,$B$2543,$B$2713),Data!$BO:$BO,0)-2,38)=""),"PFH [1/h] = "&amp;10^9*INDEX(Tab_DaBa[],MATCH(CONCATENATE(Liste!$C$3,$B$2543,$B$2713),Data!$BO:$BO,0)-2,16)&amp;"E-9",IF(INDEX(Tab_DaBa[],MATCH(CONCATENATE(Liste!$C$3,$B$2543,$B$2713),Data!$BO:$BO,0)-2,33)&lt;&gt;"","PFH [1/h] = "&amp;10^9*INDEX(Tab_DaBa[],MATCH(CONCATENATE(Liste!$C$3,$B$2543,$B$2713),Data!$BO:$BO,0)-2,41)&amp;"E-9","")),"")</f>
        <v>PFH [1/h] = 4,19E-9</v>
      </c>
      <c r="E2727" s="37"/>
      <c r="F2727" s="35" t="str">
        <f ca="1">IFERROR(IF(AND(INDEX(Tab_DaBa[],MATCH(CONCATENATE(Liste!$C$3,$B$2543,$B$2713),Data!$BO:$BO,0)-2,38)&lt;&gt;"",INDEX(Tab_DaBa[],MATCH(CONCATENATE(Liste!$C$3,$B$2543,$B$2713),Data!$BO:$BO,0)-2,43)=""),"PFH [1/h] = "&amp;10^9*INDEX(Tab_DaBa[],MATCH(CONCATENATE(Liste!$C$3,$B$2543,$B$2713),Data!$BO:$BO,0)-2,16)&amp;"E-9",IF(INDEX(Tab_DaBa[],MATCH(CONCATENATE(Liste!$C$3,$B$2543,$B$2713),Data!$BO:$BO,0)-2,38)&lt;&gt;"","PFH [1/h] = "&amp;10^9*INDEX(Tab_DaBa[],MATCH(CONCATENATE(Liste!$C$3,$B$2543,$B$2713),Data!$BO:$BO,0)-2,46)&amp;"E-9","")),"")</f>
        <v>PFH [1/h] = 4,19E-9</v>
      </c>
      <c r="G2727" s="39"/>
      <c r="H2727" s="35" t="str">
        <f ca="1">IFERROR(IF(AND(INDEX(Tab_DaBa[],MATCH(CONCATENATE(Liste!$C$3,$B$2543,$B$2713),Data!$BO:$BO,0)-2,43)&lt;&gt;"",INDEX(Tab_DaBa[],MATCH(CONCATENATE(Liste!$C$3,$B$2543,$B$2713),Data!$BO:$BO,0)-2,48)=""),"PFH [1/h] = "&amp;10^9*INDEX(Tab_DaBa[],MATCH(CONCATENATE(Liste!$C$3,$B$2543,$B$2713),Data!$BO:$BO,0)-2,16)&amp;"E-9",IF(INDEX(Tab_DaBa[],MATCH(CONCATENATE(Liste!$C$3,$B$2543,$B$2713),Data!$BO:$BO,0)-2,43)&lt;&gt;"","PFH [1/h] = "&amp;10^9*INDEX(Tab_DaBa[],MATCH(CONCATENATE(Liste!$C$3,$B$2543,$B$2713),Data!$BO:$BO,0)-2,51)&amp;"E-9","")),"")</f>
        <v>PFH [1/h] = 4,19E-9</v>
      </c>
      <c r="I2727" s="39"/>
    </row>
    <row r="2728" spans="2:9" s="16" customFormat="1">
      <c r="B2728" s="33"/>
      <c r="C2728" s="33"/>
      <c r="D2728" s="33"/>
      <c r="E2728" s="33"/>
      <c r="F2728" s="33"/>
      <c r="G2728" s="33"/>
      <c r="H2728" s="33"/>
      <c r="I2728" s="33"/>
    </row>
    <row r="2729" spans="2:9" s="16" customFormat="1" ht="15.75">
      <c r="B2729" s="38">
        <f ca="1">IF(B2731="","",6)</f>
        <v>6</v>
      </c>
      <c r="C2729" s="33"/>
      <c r="D2729" s="38">
        <f ca="1">IF(B2731="","",3)</f>
        <v>3</v>
      </c>
      <c r="E2729" s="33"/>
      <c r="F2729" s="38">
        <f ca="1">IF(B2731="","",3)</f>
        <v>3</v>
      </c>
      <c r="G2729" s="33"/>
      <c r="H2729" s="38">
        <f ca="1">IF(B2731="","",3)</f>
        <v>3</v>
      </c>
      <c r="I2729" s="33"/>
    </row>
    <row r="2730" spans="2:9" s="16" customFormat="1" ht="15.75">
      <c r="B2730" s="39"/>
      <c r="C2730" s="33"/>
      <c r="D2730" s="33"/>
      <c r="E2730" s="33"/>
      <c r="F2730" s="33"/>
      <c r="G2730" s="33"/>
      <c r="H2730" s="33"/>
      <c r="I2730" s="33"/>
    </row>
    <row r="2731" spans="2:9" s="16" customFormat="1" ht="15.75">
      <c r="B2731" s="35" t="str">
        <f ca="1">IFERROR(IF(AND(INDEX(Tab_DaBa[],MATCH(CONCATENATE(Liste!$C$3,$B$2543,$B$2713),Data!$BO:$BO,0)-2,48)&lt;&gt;"",INDEX(Tab_DaBa[],MATCH(CONCATENATE(Liste!$C$3,$B$2543,$B$2713),Data!$BO:$BO,0)-2,53)=0),INDEX(Tab_DaBa[],MATCH(CONCATENATE(Liste!$C$3,$B$2543,$B$2713),Data!$BO:$BO,0)-2,14),IF(INDEX(Tab_DaBa[],MATCH(CONCATENATE(Liste!$C$3,$B$2543,$B$2713),Data!$BO:$BO,0)-2,48)&lt;&gt;"",INDEX(Tab_DaBa[],MATCH(CONCATENATE(Liste!$C$3,$B$2543,$B$2713),Data!$BO:$BO,0)-2,54),"")),"")</f>
        <v>Ausgang</v>
      </c>
      <c r="C2731" s="39"/>
      <c r="D2731" s="35" t="str">
        <f ca="1">IFERROR(IF(AND(INDEX(Tab_DaBa[],MATCH(CONCATENATE(Liste!$C$3,$B$2543,$B$2713),Data!$BO:$BO,0)-2,53)&lt;&gt;"",INDEX(Tab_DaBa[],MATCH(CONCATENATE(Liste!$C$3,$B$2543,$B$2713),Data!$BO:$BO,0)-2,58)=0),INDEX(Tab_DaBa[],MATCH(CONCATENATE(Liste!$C$3,$B$2543,$B$2713),Data!$BO:$BO,0)-2,14),IF(INDEX(Tab_DaBa[],MATCH(CONCATENATE(Liste!$C$3,$B$2543,$B$2713),Data!$BO:$BO,0)-2,53)&lt;&gt;"",INDEX(Tab_DaBa[],MATCH(CONCATENATE(Liste!$C$3,$B$2543,$B$2713),Data!$BO:$BO,0)-2,59),"")),"")</f>
        <v/>
      </c>
      <c r="E2731" s="33"/>
      <c r="F2731" s="35" t="str">
        <f ca="1">IFERROR(IF(AND(INDEX(Tab_DaBa[],MATCH(CONCATENATE(Liste!$C$3,$B$2543,$B$2713),Data!$BO:$BO,0)-2,58)&lt;&gt;"",INDEX(Tab_DaBa[],MATCH(CONCATENATE(Liste!$C$3,$B$2543,$B$2713),Data!$BO:$BO,0)-2,63)=0),INDEX(Tab_DaBa[],MATCH(CONCATENATE(Liste!$C$3,$B$2543,$B$2713),Data!$BO:$BO,0)-2,14),IF(INDEX(Tab_DaBa[],MATCH(CONCATENATE(Liste!$C$3,$B$2543,$B$2713),Data!$BO:$BO,0)-2,58)&lt;&gt;"",INDEX(Tab_DaBa[],MATCH(CONCATENATE(Liste!$C$3,$B$2543,$B$2713),Data!$BO:$BO,0)-2,64),"")),"")</f>
        <v/>
      </c>
      <c r="G2731" s="39"/>
      <c r="H2731" s="35" t="str">
        <f ca="1">IFERROR(IF(INDEX(Tab_DaBa[],MATCH(CONCATENATE(Liste!$C$3,$B$2543,$B$2713),Data!$BO:$BO,0)-2,63)&lt;&gt;"",INDEX(Tab_DaBa[],MATCH(CONCATENATE(Liste!$C$3,$B$2543,$B$2713),Data!$BO:$BO,0)-2,14),""),"")</f>
        <v/>
      </c>
    </row>
    <row r="2732" spans="2:9" s="16" customFormat="1" ht="15.75">
      <c r="B2732" s="35" t="str">
        <f ca="1">IFERROR(IF(AND(INDEX(Tab_DaBa[],MATCH(CONCATENATE(Liste!$C$3,$B$2543,$B$2713),Data!$BO:$BO,0)-2,48)&lt;&gt;"",INDEX(Tab_DaBa[],MATCH(CONCATENATE(Liste!$C$3,$B$2543,$B$2713),Data!$BO:$BO,0)-2,53)=0),INDEX(Tab_DaBa[],MATCH(CONCATENATE(Liste!$C$3,$B$2543,$B$2713),Data!$BO:$BO,0)-2,12),IF(INDEX(Tab_DaBa[],MATCH(CONCATENATE(Liste!$C$3,$B$2543,$B$2713),Data!$BO:$BO,0)-2,48)&lt;&gt;"",INDEX(Tab_DaBa[],MATCH(CONCATENATE(Liste!$C$3,$B$2543,$B$2713),Data!$BO:$BO,0)-2,52),"")),"")</f>
        <v>aaaa-44_7</v>
      </c>
      <c r="C2732" s="39"/>
      <c r="D2732" s="35" t="str">
        <f ca="1">IFERROR(IF(AND(INDEX(Tab_DaBa[],MATCH(CONCATENATE(Liste!$C$3,$B$2543,$B$2713),Data!$BO:$BO,0)-2,53)&lt;&gt;"",INDEX(Tab_DaBa[],MATCH(CONCATENATE(Liste!$C$3,$B$2543,$B$2713),Data!$BO:$BO,0)-2,58)=0),INDEX(Tab_DaBa[],MATCH(CONCATENATE(Liste!$C$3,$B$2543,$B$2713),Data!$BO:$BO,0)-2,12),IF(INDEX(Tab_DaBa[],MATCH(CONCATENATE(Liste!$C$3,$B$2543,$B$2713),Data!$BO:$BO,0)-2,53)&lt;&gt;"",INDEX(Tab_DaBa[],MATCH(CONCATENATE(Liste!$C$3,$B$2543,$B$2713),Data!$BO:$BO,0)-2,57),"")),"")</f>
        <v/>
      </c>
      <c r="E2732" s="37"/>
      <c r="F2732" s="35" t="str">
        <f ca="1">IFERROR(IF(AND(INDEX(Tab_DaBa[],MATCH(CONCATENATE(Liste!$C$3,$B$2543,$B$2713),Data!$BO:$BO,0)-2,58)&lt;&gt;"",INDEX(Tab_DaBa[],MATCH(CONCATENATE(Liste!$C$3,$B$2543,$B$2713),Data!$BO:$BO,0)-2,63)=0),INDEX(Tab_DaBa[],MATCH(CONCATENATE(Liste!$C$3,$B$2543,$B$2713),Data!$BO:$BO,0)-2,12),IF(INDEX(Tab_DaBa[],MATCH(CONCATENATE(Liste!$C$3,$B$2543,$B$2713),Data!$BO:$BO,0)-2,58)&lt;&gt;"",INDEX(Tab_DaBa[],MATCH(CONCATENATE(Liste!$C$3,$B$2543,$B$2713),Data!$BO:$BO,0)-2,62),"")),"")</f>
        <v/>
      </c>
      <c r="G2732" s="39"/>
      <c r="H2732" s="35" t="str">
        <f ca="1">IFERROR(IF(INDEX(Tab_DaBa[],MATCH(CONCATENATE(Liste!$C$3,$B$2543,$B$2713),Data!$BO:$BO,0)-2,63)&lt;&gt;"",INDEX(Tab_DaBa[],MATCH(CONCATENATE(Liste!$C$3,$B$2543,$B$2713),Data!$BO:$BO,0)-2,12),""),"")</f>
        <v/>
      </c>
    </row>
    <row r="2733" spans="2:9" s="16" customFormat="1" ht="15.75">
      <c r="B2733" s="35" t="str">
        <f ca="1">IFERROR(IF(AND(INDEX(Tab_DaBa[],MATCH(CONCATENATE(Liste!$C$3,$B$2543,$B$2713),Data!$BO:$BO,0)-2,48)&lt;&gt;"",INDEX(Tab_DaBa[],MATCH(CONCATENATE(Liste!$C$3,$B$2543,$B$2713),Data!$BO:$BO,0)-2,53)=""),INDEX(Tab_DaBa[],MATCH(CONCATENATE(Liste!$C$3,$B$2543,$B$2713),Data!$BO:$BO,0)-2,13),IF(INDEX(Tab_DaBa[],MATCH(CONCATENATE(Liste!$C$3,$B$2543,$B$2713),Data!$BO:$BO,0)-2,48)&lt;&gt;"",INDEX(Tab_DaBa[],MATCH(CONCATENATE(Liste!$C$3,$B$2543,$B$2713),Data!$BO:$BO,0)-2,53),"")),"")</f>
        <v>Bez_Aus4_7</v>
      </c>
      <c r="C2733" s="38" t="str">
        <f ca="1">IF(D2731="","",4)</f>
        <v/>
      </c>
      <c r="D2733" s="35" t="str">
        <f ca="1">IFERROR(IF(AND(INDEX(Tab_DaBa[],MATCH(CONCATENATE(Liste!$C$3,$B$2543,$B$2713),Data!$BO:$BO,0)-2,53)&lt;&gt;"",INDEX(Tab_DaBa[],MATCH(CONCATENATE(Liste!$C$3,$B$2543,$B$2713),Data!$BO:$BO,0)-2,58)=""),INDEX(Tab_DaBa[],MATCH(CONCATENATE(Liste!$C$3,$B$2543,$B$2713),Data!$BO:$BO,0)-2,13),IF(INDEX(Tab_DaBa[],MATCH(CONCATENATE(Liste!$C$3,$B$2543,$B$2713),Data!$BO:$BO,0)-2,53)&lt;&gt;"",INDEX(Tab_DaBa[],MATCH(CONCATENATE(Liste!$C$3,$B$2543,$B$2713),Data!$BO:$BO,0)-2,58),"")),"")</f>
        <v/>
      </c>
      <c r="E2733" s="38" t="str">
        <f ca="1">IF(F2731="","",4)</f>
        <v/>
      </c>
      <c r="F2733" s="35" t="str">
        <f ca="1">IFERROR(IF(AND(INDEX(Tab_DaBa[],MATCH(CONCATENATE(Liste!$C$3,$B$2543,$B$2713),Data!$BO:$BO,0)-2,58)&lt;&gt;"",INDEX(Tab_DaBa[],MATCH(CONCATENATE(Liste!$C$3,$B$2543,$B$2713),Data!$BO:$BO,0)-2,63)=""),INDEX(Tab_DaBa[],MATCH(CONCATENATE(Liste!$C$3,$B$2543,$B$2713),Data!$BO:$BO,0)-2,13),IF(INDEX(Tab_DaBa[],MATCH(CONCATENATE(Liste!$C$3,$B$2543,$B$2713),Data!$BO:$BO,0)-2,58)&lt;&gt;"",INDEX(Tab_DaBa[],MATCH(CONCATENATE(Liste!$C$3,$B$2543,$B$2713),Data!$BO:$BO,0)-2,63),"")),"")</f>
        <v/>
      </c>
      <c r="G2733" s="38" t="str">
        <f ca="1">IF(H2731="","",4)</f>
        <v/>
      </c>
      <c r="H2733" s="35" t="str">
        <f ca="1">IFERROR(IF(INDEX(Tab_DaBa[],MATCH(CONCATENATE(Liste!$C$3,$B$2543,$B$2713),Data!$BO:$BO,0)-2,63)&lt;&gt;"",INDEX(Tab_DaBa[],MATCH(CONCATENATE(Liste!$C$3,$B$2543,$B$2713),Data!$BO:$BO,0)-2,13),""),"")</f>
        <v/>
      </c>
    </row>
    <row r="2734" spans="2:9" s="16" customFormat="1" ht="15.75">
      <c r="B2734" s="35" t="str">
        <f ca="1">IFERROR(IF(AND(INDEX(Tab_DaBa[],MATCH(CONCATENATE(Liste!$C$3,$B$2543,$B$2713),Data!$BO:$BO,0)-2,48)&lt;&gt;"",INDEX(Tab_DaBa[],MATCH(CONCATENATE(Liste!$C$3,$B$2543,$B$2713),Data!$BO:$BO,0)-2,53)=""),"Performance Level: "&amp;INDEX(Tab_DaBa[],MATCH(CONCATENATE(Liste!$C$3,$B$2543,$B$2713),Data!$BO:$BO,0)-2,15),IF(INDEX(Tab_DaBa[],MATCH(CONCATENATE(Liste!$C$3,$B$2543,$B$2713),Data!$BO:$BO,0)-2,48)&lt;&gt;"","Performance Level: "&amp;INDEX(Tab_DaBa[],MATCH(CONCATENATE(Liste!$C$3,$B$2543,$B$2713),Data!$BO:$BO,0)-2,55),"")),"")</f>
        <v>Performance Level: PL_Aus4_7</v>
      </c>
      <c r="C2734" s="39"/>
      <c r="D2734" s="35" t="str">
        <f ca="1">IFERROR(IF(AND(INDEX(Tab_DaBa[],MATCH(CONCATENATE(Liste!$C$3,$B$2543,$B$2713),Data!$BO:$BO,0)-2,53)&lt;&gt;"",INDEX(Tab_DaBa[],MATCH(CONCATENATE(Liste!$C$3,$B$2543,$B$2713),Data!$BO:$BO,0)-2,58)=""),"Performance Level: "&amp;INDEX(Tab_DaBa[],MATCH(CONCATENATE(Liste!$C$3,$B$2543,$B$2713),Data!$BO:$BO,0)-2,15),IF(INDEX(Tab_DaBa[],MATCH(CONCATENATE(Liste!$C$3,$B$2543,$B$2713),Data!$BO:$BO,0)-2,53)&lt;&gt;"","Performance Level: "&amp;INDEX(Tab_DaBa[],MATCH(CONCATENATE(Liste!$C$3,$B$2543,$B$2713),Data!$BO:$BO,0)-2,60),"")),"")</f>
        <v/>
      </c>
      <c r="E2734" s="37"/>
      <c r="F2734" s="35" t="str">
        <f ca="1">IFERROR(IF(AND(INDEX(Tab_DaBa[],MATCH(CONCATENATE(Liste!$C$3,$B$2543,$B$2713),Data!$BO:$BO,0)-2,58)&lt;&gt;"",INDEX(Tab_DaBa[],MATCH(CONCATENATE(Liste!$C$3,$B$2543,$B$2713),Data!$BO:$BO,0)-2,63)=""),"Performance Level: "&amp;INDEX(Tab_DaBa[],MATCH(CONCATENATE(Liste!$C$3,$B$2543,$B$2713),Data!$BO:$BO,0)-2,15),IF(INDEX(Tab_DaBa[],MATCH(CONCATENATE(Liste!$C$3,$B$2543,$B$2713),Data!$BO:$BO,0)-2,58)&lt;&gt;"","Performance Level: "&amp;INDEX(Tab_DaBa[],MATCH(CONCATENATE(Liste!$C$3,$B$2543,$B$2713),Data!$BO:$BO,0)-2,65),"")),"")</f>
        <v/>
      </c>
      <c r="G2734" s="39"/>
      <c r="H2734" s="35" t="str">
        <f ca="1">IFERROR(IF(INDEX(Tab_DaBa[],MATCH(CONCATENATE(Liste!$C$3,$B$2543,$B$2713),Data!$BO:$BO,0)-2,63)&lt;&gt;"","Performance Level: "&amp;INDEX(Tab_DaBa[],MATCH(CONCATENATE(Liste!$C$3,$B$2543,$B$2713),Data!$BO:$BO,0)-2,15),""),"")</f>
        <v/>
      </c>
    </row>
    <row r="2735" spans="2:9" s="16" customFormat="1" ht="15.75">
      <c r="B2735" s="35" t="str">
        <f ca="1">IFERROR(IF(AND(INDEX(Tab_DaBa[],MATCH(CONCATENATE(Liste!$C$3,$B$2543,$B$2713),Data!$BO:$BO,0)-2,48)&lt;&gt;"",INDEX(Tab_DaBa[],MATCH(CONCATENATE(Liste!$C$3,$B$2543,$B$2713),Data!$BO:$BO,0)-2,53)=""),"PFH [1/h] = "&amp;10^9*INDEX(Tab_DaBa[],MATCH(CONCATENATE(Liste!$C$3,$B$2543,$B$2713),Data!$BO:$BO,0)-2,16)&amp;"E-9",IF(INDEX(Tab_DaBa[],MATCH(CONCATENATE(Liste!$C$3,$B$2543,$B$2713),Data!$BO:$BO,0)-2,48)&lt;&gt;"","PFH [1/h] = "&amp;10^9*INDEX(Tab_DaBa[],MATCH(CONCATENATE(Liste!$C$3,$B$2543,$B$2713),Data!$BO:$BO,0)-2,56)&amp;"E-9","")),"")</f>
        <v>PFH [1/h] = 24,7E-9</v>
      </c>
      <c r="C2735" s="39"/>
      <c r="D2735" s="35" t="str">
        <f ca="1">IFERROR(IF(AND(INDEX(Tab_DaBa[],MATCH(CONCATENATE(Liste!$C$3,$B$2543,$B$2713),Data!$BO:$BO,0)-2,53)&lt;&gt;"",INDEX(Tab_DaBa[],MATCH(CONCATENATE(Liste!$C$3,$B$2543,$B$2713),Data!$BO:$BO,0)-2,58)=""),"PFH [1/h] = "&amp;10^9*INDEX(Tab_DaBa[],MATCH(CONCATENATE(Liste!$C$3,$B$2543,$B$2713),Data!$BO:$BO,0)-2,16)&amp;"E-9",IF(INDEX(Tab_DaBa[],MATCH(CONCATENATE(Liste!$C$3,$B$2543,$B$2713),Data!$BO:$BO,0)-2,53)&lt;&gt;"","PFH [1/h] = "&amp;10^9*INDEX(Tab_DaBa[],MATCH(CONCATENATE(Liste!$C$3,$B$2543,$B$2713),Data!$BO:$BO,0)-2,61)&amp;"E-9","")),"")</f>
        <v/>
      </c>
      <c r="E2735" s="37"/>
      <c r="F2735" s="35" t="str">
        <f ca="1">IFERROR(IF(AND(INDEX(Tab_DaBa[],MATCH(CONCATENATE(Liste!$C$3,$B$2543,$B$2713),Data!$BO:$BO,0)-2,58)&lt;&gt;"",INDEX(Tab_DaBa[],MATCH(CONCATENATE(Liste!$C$3,$B$2543,$B$2713),Data!$BO:$BO,0)-2,63)=""),"PFH [1/h] = "&amp;10^9*INDEX(Tab_DaBa[],MATCH(CONCATENATE(Liste!$C$3,$B$2543,$B$2713),Data!$BO:$BO,0)-2,16)&amp;"E-9",IF(INDEX(Tab_DaBa[],MATCH(CONCATENATE(Liste!$C$3,$B$2543,$B$2713),Data!$BO:$BO,0)-2,58)&lt;&gt;"","PFH [1/h] = "&amp;10^9*INDEX(Tab_DaBa[],MATCH(CONCATENATE(Liste!$C$3,$B$2543,$B$2713),Data!$BO:$BO,0)-2,66)&amp;"E-9","")),"")</f>
        <v/>
      </c>
      <c r="G2735" s="39"/>
      <c r="H2735" s="35" t="str">
        <f ca="1">IFERROR(IF(INDEX(Tab_DaBa[],MATCH(CONCATENATE(Liste!$C$3,$B$2543,$B$2713),Data!$BO:$BO,0)-2,63)&lt;&gt;"","PFH [1/h] = "&amp;10^9*INDEX(Tab_DaBa[],MATCH(CONCATENATE(Liste!$C$3,$B$2543,$B$2713),Data!$BO:$BO,0)-2,16)&amp;"E-9",""),"")</f>
        <v/>
      </c>
    </row>
    <row r="2736" spans="2:9" s="16" customFormat="1"/>
    <row r="2737" spans="2:9" s="16" customFormat="1">
      <c r="B2737" s="43" t="str">
        <f ca="1">IF(D2737="","","Erforderlich")</f>
        <v>Erforderlich</v>
      </c>
      <c r="D2737" s="44" t="str">
        <f ca="1">IFERROR("Performance Level: "&amp;INDEX(Tab_DaBa[],MATCH(CONCATENATE(Liste!$C$3,$B$2543,$B$2713),Data!$BO:$BO,0)-2,4),"")</f>
        <v>Performance Level: PLr_ges4_7</v>
      </c>
    </row>
    <row r="2738" spans="2:9" s="16" customFormat="1">
      <c r="B2738" s="45"/>
    </row>
    <row r="2739" spans="2:9" s="16" customFormat="1">
      <c r="B2739" s="46" t="str">
        <f ca="1">IF(D2739="","","Erreicht")</f>
        <v>Erreicht</v>
      </c>
      <c r="D2739" s="47" t="str">
        <f ca="1">IFERROR("Performance Level: "&amp;INDEX(Tab_DaBa[],MATCH(CONCATENATE(Liste!$C$3,$B$2543,$B$2713),Data!$BO:$BO,0)-2,5)&amp;"          PFH [1/h] = "&amp;10^9*INDEX(Tab_DaBa[],MATCH(CONCATENATE(Liste!$C$3,$B$2543,$B$2713),Data!$BO:$BO,0)-2,6)&amp;"E-9","")</f>
        <v>Performance Level: Pl_ges4_7          PFH [1/h] = 71,7E-9</v>
      </c>
    </row>
    <row r="2740" spans="2:9" s="16" customFormat="1"/>
    <row r="2741" spans="2:9" s="16" customFormat="1">
      <c r="B2741" s="42" t="str">
        <f ca="1">IFERROR(IF(8&gt;COUNTIF(Data!$BP:$BP,CONCATENATE(Liste!$C$3,$B$2543)),"",INDEX(Tab_DaBa[],MATCH(CONCATENATE(Liste!$C$3,$B$2543),Data!$BP:$BP,0)+5,3)),"")</f>
        <v>10.8 Test10 (E+8L+A)</v>
      </c>
    </row>
    <row r="2742" spans="2:9" s="16" customFormat="1"/>
    <row r="2743" spans="2:9" s="16" customFormat="1" ht="15.75">
      <c r="B2743" s="35" t="str">
        <f ca="1">IFERROR(INDEX(Tab_DaBa[],MATCH(CONCATENATE(Liste!$C$3,$B$2543,$B$2741),Data!$BO:$BO,0)-2,9),"")</f>
        <v>Eingang</v>
      </c>
      <c r="C2743" s="54"/>
      <c r="D2743" s="35" t="str">
        <f ca="1">IFERROR(IF(INDEX(Tab_DaBa[],MATCH(CONCATENATE(Liste!$C$3,$B$2543,$B$2741),Data!$BO:$BO,0)-2,18)=0,INDEX(Tab_DaBa[],MATCH(CONCATENATE(Liste!$C$3,$B$2543,$B$2741),Data!$BO:$BO,0)-2,14),INDEX(Tab_DaBa[],MATCH(CONCATENATE(Liste!$C$3,$B$2543,$B$2741),Data!$BO:$BO,0)-2,19)),"")</f>
        <v>Logik 01</v>
      </c>
      <c r="E2743" s="33"/>
      <c r="F2743" s="35" t="str">
        <f ca="1">IFERROR(IF(AND(INDEX(Tab_DaBa[],MATCH(CONCATENATE(Liste!$C$3,$B$2543,$B$2741),Data!$BO:$BO,0)-2,18)&lt;&gt;"",INDEX(Tab_DaBa[],MATCH(CONCATENATE(Liste!$C$3,$B$2543,$B$2741),Data!$BO:$BO,0)-2,23)=0),INDEX(Tab_DaBa[],MATCH(CONCATENATE(Liste!$C$3,$B$2543,$B$2741),Data!$BO:$BO,0)-2,14),IF(INDEX(Tab_DaBa[],MATCH(CONCATENATE(Liste!$C$3,$B$2543,$B$2741),Data!$BO:$BO,0)-2,23)&lt;&gt;"",INDEX(Tab_DaBa[],MATCH(CONCATENATE(Liste!$C$3,$B$2543,$B$2741),Data!$BO:$BO,0)-2,24),"")),"")</f>
        <v>Logik 02</v>
      </c>
      <c r="G2743" s="39"/>
      <c r="H2743" s="35" t="str">
        <f ca="1">IFERROR(IF(AND(INDEX(Tab_DaBa[],MATCH(CONCATENATE(Liste!$C$3,$B$2543,$B$2741),Data!$BO:$BO,0)-2,23)&lt;&gt;"",INDEX(Tab_DaBa[],MATCH(CONCATENATE(Liste!$C$3,$B$2543,$B$2741),Data!$BO:$BO,0)-2,28)=0),INDEX(Tab_DaBa[],MATCH(CONCATENATE(Liste!$C$3,$B$2543,$B$2741),Data!$BO:$BO,0)-2,14),IF(INDEX(Tab_DaBa[],MATCH(CONCATENATE(Liste!$C$3,$B$2543,$B$2741),Data!$BO:$BO,0)-2,23)&lt;&gt;"",INDEX(Tab_DaBa[],MATCH(CONCATENATE(Liste!$C$3,$B$2543,$B$2741),Data!$BO:$BO,0)-2,29),"")),"")</f>
        <v>Logik 03</v>
      </c>
      <c r="I2743" s="39"/>
    </row>
    <row r="2744" spans="2:9" s="16" customFormat="1" ht="15.75">
      <c r="B2744" s="35" t="str">
        <f ca="1">IFERROR(INDEX(Tab_DaBa[],MATCH(CONCATENATE(Liste!$C$3,$B$2543,$B$2741),Data!$BO:$BO,0)-2,7),"")</f>
        <v>eeee-33_8</v>
      </c>
      <c r="C2744" s="54"/>
      <c r="D2744" s="35" t="str">
        <f ca="1">IFERROR(IF(INDEX(Tab_DaBa[],MATCH(CONCATENATE(Liste!$C$3,$B$2543,$B$2741),Data!$BO:$BO,0)-2,18)="",INDEX(Tab_DaBa[],MATCH(CONCATENATE(Liste!$C$3,$B$2543,$B$2741),Data!$BO:$BO,0)-2,12),INDEX(Tab_DaBa[],MATCH(CONCATENATE(Liste!$C$3,$B$2543,$B$2741),Data!$BO:$BO,0)-2,17)),"")</f>
        <v>Log01-04_08</v>
      </c>
      <c r="E2744" s="36"/>
      <c r="F2744" s="35" t="str">
        <f ca="1">IFERROR(IF(AND(INDEX(Tab_DaBa[],MATCH(CONCATENATE(Liste!$C$3,$B$2543,$B$2741),Data!$BO:$BO,0)-2,18)&lt;&gt;"",INDEX(Tab_DaBa[],MATCH(CONCATENATE(Liste!$C$3,$B$2543,$B$2741),Data!$BO:$BO,0)-2,23)=0),INDEX(Tab_DaBa[],MATCH(CONCATENATE(Liste!$C$3,$B$2543,$B$2741),Data!$BO:$BO,0)-2,12),IF(INDEX(Tab_DaBa[],MATCH(CONCATENATE(Liste!$C$3,$B$2543,$B$2741),Data!$BO:$BO,0)-2,23)&lt;&gt;"",INDEX(Tab_DaBa[],MATCH(CONCATENATE(Liste!$C$3,$B$2543,$B$2741),Data!$BO:$BO,0)-2,22),"")),"")</f>
        <v>Lo04-04_08</v>
      </c>
      <c r="G2744" s="39"/>
      <c r="H2744" s="35" t="str">
        <f ca="1">IFERROR(IF(AND(INDEX(Tab_DaBa[],MATCH(CONCATENATE(Liste!$C$3,$B$2543,$B$2741),Data!$BO:$BO,0)-2,23)&lt;&gt;"",INDEX(Tab_DaBa[],MATCH(CONCATENATE(Liste!$C$3,$B$2543,$B$2741),Data!$BO:$BO,0)-2,28)=0),INDEX(Tab_DaBa[],MATCH(CONCATENATE(Liste!$C$3,$B$2543,$B$2741),Data!$BO:$BO,0)-2,12),IF(INDEX(Tab_DaBa[],MATCH(CONCATENATE(Liste!$C$3,$B$2543,$B$2741),Data!$BO:$BO,0)-2,23)&lt;&gt;"",INDEX(Tab_DaBa[],MATCH(CONCATENATE(Liste!$C$3,$B$2543,$B$2741),Data!$BO:$BO,0)-2,27),"")),"")</f>
        <v>Lo04-44_08</v>
      </c>
      <c r="I2744" s="39"/>
    </row>
    <row r="2745" spans="2:9" s="16" customFormat="1" ht="15.75">
      <c r="B2745" s="35" t="str">
        <f ca="1">IFERROR(INDEX(Tab_DaBa[],MATCH(CONCATENATE(Liste!$C$3,$B$2543,$B$2741),Data!$BO:$BO,0)-2,8),"")</f>
        <v>Bez_Ein4_8</v>
      </c>
      <c r="C2745" s="40">
        <f ca="1">IF(D2743="","",4)</f>
        <v>4</v>
      </c>
      <c r="D2745" s="35" t="str">
        <f ca="1">IFERROR(IF(INDEX(Tab_DaBa[],MATCH(CONCATENATE(Liste!$C$3,$B$2543,$B$2741),Data!$BO:$BO,0)-2,18)="",INDEX(Tab_DaBa[],MATCH(CONCATENATE(Liste!$C$3,$B$2543,$B$2741),Data!$BO:$BO,0)-2,13),INDEX(Tab_DaBa[],MATCH(CONCATENATE(Liste!$C$3,$B$2543,$B$2741),Data!$BO:$BO,0)-2,18)),"")</f>
        <v>Bez_Log01_04_08</v>
      </c>
      <c r="E2745" s="40">
        <f ca="1">IF(F2743="","",4)</f>
        <v>4</v>
      </c>
      <c r="F2745" s="35" t="str">
        <f ca="1">IFERROR(IF(AND(INDEX(Tab_DaBa[],MATCH(CONCATENATE(Liste!$C$3,$B$2543,$B$2741),Data!$BO:$BO,0)-2,18)&lt;&gt;"",INDEX(Tab_DaBa[],MATCH(CONCATENATE(Liste!$C$3,$B$2543,$B$2741),Data!$BO:$BO,0)-2,23)=""),INDEX(Tab_DaBa[],MATCH(CONCATENATE(Liste!$C$3,$B$2543,$B$2741),Data!$BO:$BO,0)-2,13),IF(INDEX(Tab_DaBa[],MATCH(CONCATENATE(Liste!$C$3,$B$2543,$B$2741),Data!$BO:$BO,0)-2,23)&lt;&gt;"",INDEX(Tab_DaBa[],MATCH(CONCATENATE(Liste!$C$3,$B$2543,$B$2741),Data!$BO:$BO,0)-2,23),"")),"")</f>
        <v>Bez_Lo04_08</v>
      </c>
      <c r="G2745" s="38">
        <f ca="1">IF(H2743="","",4)</f>
        <v>4</v>
      </c>
      <c r="H2745" s="35" t="str">
        <f ca="1">IFERROR(IF(AND(INDEX(Tab_DaBa[],MATCH(CONCATENATE(Liste!$C$3,$B$2543,$B$2741),Data!$BO:$BO,0)-2,23)&lt;&gt;"",INDEX(Tab_DaBa[],MATCH(CONCATENATE(Liste!$C$3,$B$2543,$B$2741),Data!$BO:$BO,0)-2,28)=""),INDEX(Tab_DaBa[],MATCH(CONCATENATE(Liste!$C$3,$B$2543,$B$2741),Data!$BO:$BO,0)-2,13),IF(INDEX(Tab_DaBa[],MATCH(CONCATENATE(Liste!$C$3,$B$2543,$B$2741),Data!$BO:$BO,0)-2,23)&lt;&gt;"",INDEX(Tab_DaBa[],MATCH(CONCATENATE(Liste!$C$3,$B$2543,$B$2741),Data!$BO:$BO,0)-2,28),"")),"")</f>
        <v>Bez_Lo04_08</v>
      </c>
      <c r="I2745" s="38">
        <f ca="1">IF(B2751="","",6)</f>
        <v>6</v>
      </c>
    </row>
    <row r="2746" spans="2:9" s="16" customFormat="1" ht="15.75">
      <c r="B2746" s="35" t="str">
        <f ca="1">IFERROR("Performance Level: "&amp;INDEX(Tab_DaBa[],MATCH(CONCATENATE(Liste!$C$3,$B$2543,$B$2741),Data!$BO:$BO,0)-2,10),"")</f>
        <v>Performance Level: PL_Ein4_8</v>
      </c>
      <c r="C2746" s="54"/>
      <c r="D2746" s="35" t="str">
        <f ca="1">IFERROR(IF(INDEX(Tab_DaBa[],MATCH(CONCATENATE(Liste!$C$3,$B$2543,$B$2741),Data!$BO:$BO,0)-2,18)="","Performance Level: "&amp;INDEX(Tab_DaBa[],MATCH(CONCATENATE(Liste!$C$3,$B$2543,$B$2741),Data!$BO:$BO,0)-2,15),"Performance Level: "&amp;INDEX(Tab_DaBa[],MATCH(CONCATENATE(Liste!$C$3,$B$2543,$B$2741),Data!$BO:$BO,0)-2,20)),"")</f>
        <v>Performance Level: PL_Log01_04_08</v>
      </c>
      <c r="E2746" s="36"/>
      <c r="F2746" s="35" t="str">
        <f ca="1">IFERROR(IF(AND(INDEX(Tab_DaBa[],MATCH(CONCATENATE(Liste!$C$3,$B$2543,$B$2741),Data!$BO:$BO,0)-2,18)&lt;&gt;"",INDEX(Tab_DaBa[],MATCH(CONCATENATE(Liste!$C$3,$B$2543,$B$2741),Data!$BO:$BO,0)-2,23)=""),"Performance Level: "&amp;INDEX(Tab_DaBa[],MATCH(CONCATENATE(Liste!$C$3,$B$2543,$B$2741),Data!$BO:$BO,0)-2,15),IF(INDEX(Tab_DaBa[],MATCH(CONCATENATE(Liste!$C$3,$B$2543,$B$2741),Data!$BO:$BO,0)-2,23)&lt;&gt;"","Performance Level: "&amp;INDEX(Tab_DaBa[],MATCH(CONCATENATE(Liste!$C$3,$B$2543,$B$2741),Data!$BO:$BO,0)-2,25),"")),"")</f>
        <v>Performance Level: PL_Lo04_08</v>
      </c>
      <c r="G2746" s="39"/>
      <c r="H2746" s="35" t="str">
        <f ca="1">IFERROR(IF(AND(INDEX(Tab_DaBa[],MATCH(CONCATENATE(Liste!$C$3,$B$2543,$B$2741),Data!$BO:$BO,0)-2,23)&lt;&gt;"",INDEX(Tab_DaBa[],MATCH(CONCATENATE(Liste!$C$3,$B$2543,$B$2741),Data!$BO:$BO,0)-2,28)=""),"Performance Level: "&amp;INDEX(Tab_DaBa[],MATCH(CONCATENATE(Liste!$C$3,$B$2543,$B$2741),Data!$BO:$BO,0)-2,15),IF(INDEX(Tab_DaBa[],MATCH(CONCATENATE(Liste!$C$3,$B$2543,$B$2741),Data!$BO:$BO,0)-2,23)&lt;&gt;"","Performance Level: "&amp;INDEX(Tab_DaBa[],MATCH(CONCATENATE(Liste!$C$3,$B$2543,$B$2741),Data!$BO:$BO,0)-2,30),"")),"")</f>
        <v>Performance Level: PL_Lo04_08</v>
      </c>
      <c r="I2746" s="38"/>
    </row>
    <row r="2747" spans="2:9" s="16" customFormat="1" ht="15.75">
      <c r="B2747" s="53" t="str">
        <f ca="1">IFERROR("PFH [1/h] = "&amp;10^9*INDEX(Tab_DaBa[],MATCH(CONCATENATE(Liste!$C$3,$B$2543,$B$2741),Data!$BO:$BO,0)-2,11)&amp;"E-9","")</f>
        <v>PFH [1/h] = 42,9E-9</v>
      </c>
      <c r="C2747" s="54"/>
      <c r="D2747" s="35" t="str">
        <f ca="1">IFERROR(IF(INDEX(Tab_DaBa[],MATCH(CONCATENATE(Liste!$C$3,$B$2543,$B$2741),Data!$BO:$BO,0)-2,18)="","PFH [1/h] = "&amp;10^9*INDEX(Tab_DaBa[],MATCH(CONCATENATE(Liste!$C$3,$B$2543,$B$2741),Data!$BO:$BO,0)-2,16)&amp;"E-9","PFH [1/h] = "&amp;10^9*INDEX(Tab_DaBa[],MATCH(CONCATENATE(Liste!$C$3,$B$2543,$B$2741),Data!$BO:$BO,0)-2,21)&amp;"E-9"),"")</f>
        <v>PFH [1/h] = 4,19E-9</v>
      </c>
      <c r="E2747" s="36"/>
      <c r="F2747" s="35" t="str">
        <f ca="1">IFERROR(IF(AND(INDEX(Tab_DaBa[],MATCH(CONCATENATE(Liste!$C$3,$B$2543,$B$2741),Data!$BO:$BO,0)-2,18)&lt;&gt;"",INDEX(Tab_DaBa[],MATCH(CONCATENATE(Liste!$C$3,$B$2543,$B$2741),Data!$BO:$BO,0)-2,23)=""),"PFH [1/h] = "&amp;10^9*INDEX(Tab_DaBa[],MATCH(CONCATENATE(Liste!$C$3,$B$2543,$B$2741),Data!$BO:$BO,0)-2,16)&amp;"E-9",IF(INDEX(Tab_DaBa[],MATCH(CONCATENATE(Liste!$C$3,$B$2543,$B$2741),Data!$BO:$BO,0)-2,23)&lt;&gt;"","PFH [1/h] = "&amp;10^9*INDEX(Tab_DaBa[],MATCH(CONCATENATE(Liste!$C$3,$B$2543,$B$2741),Data!$BO:$BO,0)-2,26)&amp;"E-9","")),"")</f>
        <v>PFH [1/h] = 4,19E-9</v>
      </c>
      <c r="G2747" s="39"/>
      <c r="H2747" s="35" t="str">
        <f ca="1">IFERROR(IF(AND(INDEX(Tab_DaBa[],MATCH(CONCATENATE(Liste!$C$3,$B$2543,$B$2741),Data!$BO:$BO,0)-2,23)&lt;&gt;"",INDEX(Tab_DaBa[],MATCH(CONCATENATE(Liste!$C$3,$B$2543,$B$2741),Data!$BO:$BO,0)-2,28)=""),"PFH [1/h] = "&amp;10^9*INDEX(Tab_DaBa[],MATCH(CONCATENATE(Liste!$C$3,$B$2543,$B$2741),Data!$BO:$BO,0)-2,16)&amp;"E-9",IF(INDEX(Tab_DaBa[],MATCH(CONCATENATE(Liste!$C$3,$B$2543,$B$2741),Data!$BO:$BO,0)-2,23)&lt;&gt;"","PFH [1/h] = "&amp;10^9*INDEX(Tab_DaBa[],MATCH(CONCATENATE(Liste!$C$3,$B$2543,$B$2741),Data!$BO:$BO,0)-2,31)&amp;"E-9","")),"")</f>
        <v>PFH [1/h] = 4,19E-9</v>
      </c>
      <c r="I2747" s="39"/>
    </row>
    <row r="2748" spans="2:9" s="16" customFormat="1">
      <c r="B2748" s="33"/>
      <c r="C2748" s="34"/>
      <c r="D2748" s="33"/>
      <c r="E2748" s="33"/>
      <c r="F2748" s="33"/>
      <c r="G2748" s="33"/>
      <c r="H2748" s="33"/>
      <c r="I2748" s="33"/>
    </row>
    <row r="2749" spans="2:9" s="16" customFormat="1" ht="15.75">
      <c r="B2749" s="38">
        <f ca="1">IF(B2751="","",6)</f>
        <v>6</v>
      </c>
      <c r="C2749" s="34"/>
      <c r="D2749" s="38">
        <f ca="1">IF(B2751="","",3)</f>
        <v>3</v>
      </c>
      <c r="E2749" s="33"/>
      <c r="F2749" s="38">
        <f ca="1">IF(B2751="","",3)</f>
        <v>3</v>
      </c>
      <c r="G2749" s="33"/>
      <c r="H2749" s="38">
        <f ca="1">IF(B2751="","",3)</f>
        <v>3</v>
      </c>
      <c r="I2749" s="33"/>
    </row>
    <row r="2750" spans="2:9" s="16" customFormat="1" ht="15.75">
      <c r="B2750" s="39"/>
      <c r="C2750" s="33"/>
      <c r="D2750" s="33"/>
      <c r="E2750" s="33"/>
      <c r="F2750" s="33"/>
      <c r="G2750" s="33"/>
      <c r="H2750" s="33"/>
      <c r="I2750" s="33"/>
    </row>
    <row r="2751" spans="2:9" s="16" customFormat="1" ht="15.75">
      <c r="B2751" s="35" t="str">
        <f ca="1">IFERROR(IF(AND(INDEX(Tab_DaBa[],MATCH(CONCATENATE(Liste!$C$3,$B$2543,$B$2741),Data!$BO:$BO,0)-2,28)&lt;&gt;"",INDEX(Tab_DaBa[],MATCH(CONCATENATE(Liste!$C$3,$B$2543,$B$2741),Data!$BO:$BO,0)-2,33)=0),INDEX(Tab_DaBa[],MATCH(CONCATENATE(Liste!$C$3,$B$2543,$B$2741),Data!$BO:$BO,0)-2,14),IF(INDEX(Tab_DaBa[],MATCH(CONCATENATE(Liste!$C$3,$B$2543,$B$2741),Data!$BO:$BO,0)-2,28)&lt;&gt;"",INDEX(Tab_DaBa[],MATCH(CONCATENATE(Liste!$C$3,$B$2543,$B$2741),Data!$BO:$BO,0)-2,34),"")),"")</f>
        <v>Logik 04</v>
      </c>
      <c r="C2751" s="39"/>
      <c r="D2751" s="35" t="str">
        <f ca="1">IFERROR(IF(AND(INDEX(Tab_DaBa[],MATCH(CONCATENATE(Liste!$C$3,$B$2543,$B$2741),Data!$BO:$BO,0)-2,33)&lt;&gt;"",INDEX(Tab_DaBa[],MATCH(CONCATENATE(Liste!$C$3,$B$2543,$B$2741),Data!$BO:$BO,0)-2,38)=0),INDEX(Tab_DaBa[],MATCH(CONCATENATE(Liste!$C$3,$B$2543,$B$2741),Data!$BO:$BO,0)-2,14),IF(INDEX(Tab_DaBa[],MATCH(CONCATENATE(Liste!$C$3,$B$2543,$B$2741),Data!$BO:$BO,0)-2,33)&lt;&gt;"",INDEX(Tab_DaBa[],MATCH(CONCATENATE(Liste!$C$3,$B$2543,$B$2741),Data!$BO:$BO,0)-2,39),"")),"")</f>
        <v>Logik 06</v>
      </c>
      <c r="E2751" s="33"/>
      <c r="F2751" s="35" t="str">
        <f ca="1">IFERROR(IF(AND(INDEX(Tab_DaBa[],MATCH(CONCATENATE(Liste!$C$3,$B$2543,$B$2741),Data!$BO:$BO,0)-2,38)&lt;&gt;"",INDEX(Tab_DaBa[],MATCH(CONCATENATE(Liste!$C$3,$B$2543,$B$2741),Data!$BO:$BO,0)-2,43)=0),INDEX(Tab_DaBa[],MATCH(CONCATENATE(Liste!$C$3,$B$2543,$B$2741),Data!$BO:$BO,0)-2,14),IF(INDEX(Tab_DaBa[],MATCH(CONCATENATE(Liste!$C$3,$B$2543,$B$2741),Data!$BO:$BO,0)-2,38)&lt;&gt;"",INDEX(Tab_DaBa[],MATCH(CONCATENATE(Liste!$C$3,$B$2543,$B$2741),Data!$BO:$BO,0)-2,44),"")),"")</f>
        <v>Logik 06</v>
      </c>
      <c r="G2751" s="39"/>
      <c r="H2751" s="35" t="str">
        <f ca="1">IFERROR(IF(AND(INDEX(Tab_DaBa[],MATCH(CONCATENATE(Liste!$C$3,$B$2543,$B$2741),Data!$BO:$BO,0)-2,43)&lt;&gt;"",INDEX(Tab_DaBa[],MATCH(CONCATENATE(Liste!$C$3,$B$2543,$B$2741),Data!$BO:$BO,0)-2,48)=0),INDEX(Tab_DaBa[],MATCH(CONCATENATE(Liste!$C$3,$B$2543,$B$2741),Data!$BO:$BO,0)-2,14),IF(INDEX(Tab_DaBa[],MATCH(CONCATENATE(Liste!$C$3,$B$2543,$B$2741),Data!$BO:$BO,0)-2,43)&lt;&gt;"",INDEX(Tab_DaBa[],MATCH(CONCATENATE(Liste!$C$3,$B$2543,$B$2741),Data!$BO:$BO,0)-2,49),"")),"")</f>
        <v>Logik 07</v>
      </c>
      <c r="I2751" s="39"/>
    </row>
    <row r="2752" spans="2:9" s="16" customFormat="1" ht="15.75">
      <c r="B2752" s="35" t="str">
        <f ca="1">IFERROR(IF(AND(INDEX(Tab_DaBa[],MATCH(CONCATENATE(Liste!$C$3,$B$2543,$B$2741),Data!$BO:$BO,0)-2,28)&lt;&gt;"",INDEX(Tab_DaBa[],MATCH(CONCATENATE(Liste!$C$3,$B$2543,$B$2741),Data!$BO:$BO,0)-2,33)=0),INDEX(Tab_DaBa[],MATCH(CONCATENATE(Liste!$C$3,$B$2543,$B$2741),Data!$BO:$BO,0)-2,12),IF(INDEX(Tab_DaBa[],MATCH(CONCATENATE(Liste!$C$3,$B$2543,$B$2741),Data!$BO:$BO,0)-2,28)&lt;&gt;"",INDEX(Tab_DaBa[],MATCH(CONCATENATE(Liste!$C$3,$B$2543,$B$2741),Data!$BO:$BO,0)-2,32),"")),"")</f>
        <v>Lo04-44_08</v>
      </c>
      <c r="C2752" s="39"/>
      <c r="D2752" s="35" t="str">
        <f ca="1">IFERROR(IF(AND(INDEX(Tab_DaBa[],MATCH(CONCATENATE(Liste!$C$3,$B$2543,$B$2741),Data!$BO:$BO,0)-2,33)&lt;&gt;"",INDEX(Tab_DaBa[],MATCH(CONCATENATE(Liste!$C$3,$B$2543,$B$2741),Data!$BO:$BO,0)-2,38)=0),INDEX(Tab_DaBa[],MATCH(CONCATENATE(Liste!$C$3,$B$2543,$B$2741),Data!$BO:$BO,0)-2,12),IF(INDEX(Tab_DaBa[],MATCH(CONCATENATE(Liste!$C$3,$B$2543,$B$2741),Data!$BO:$BO,0)-2,33)&lt;&gt;"",INDEX(Tab_DaBa[],MATCH(CONCATENATE(Liste!$C$3,$B$2543,$B$2741),Data!$BO:$BO,0)-2,37),"")),"")</f>
        <v>Lo04-44_08</v>
      </c>
      <c r="E2752" s="37"/>
      <c r="F2752" s="35" t="str">
        <f ca="1">IFERROR(IF(AND(INDEX(Tab_DaBa[],MATCH(CONCATENATE(Liste!$C$3,$B$2543,$B$2741),Data!$BO:$BO,0)-2,38)&lt;&gt;"",INDEX(Tab_DaBa[],MATCH(CONCATENATE(Liste!$C$3,$B$2543,$B$2741),Data!$BO:$BO,0)-2,43)=0),INDEX(Tab_DaBa[],MATCH(CONCATENATE(Liste!$C$3,$B$2543,$B$2741),Data!$BO:$BO,0)-2,12),IF(INDEX(Tab_DaBa[],MATCH(CONCATENATE(Liste!$C$3,$B$2543,$B$2741),Data!$BO:$BO,0)-2,38)&lt;&gt;"",INDEX(Tab_DaBa[],MATCH(CONCATENATE(Liste!$C$3,$B$2543,$B$2741),Data!$BO:$BO,0)-2,42),"")),"")</f>
        <v>Lo03-33_08</v>
      </c>
      <c r="G2752" s="39"/>
      <c r="H2752" s="35" t="str">
        <f ca="1">IFERROR(IF(AND(INDEX(Tab_DaBa[],MATCH(CONCATENATE(Liste!$C$3,$B$2543,$B$2741),Data!$BO:$BO,0)-2,43)&lt;&gt;"",INDEX(Tab_DaBa[],MATCH(CONCATENATE(Liste!$C$3,$B$2543,$B$2741),Data!$BO:$BO,0)-2,48)=0),INDEX(Tab_DaBa[],MATCH(CONCATENATE(Liste!$C$3,$B$2543,$B$2741),Data!$BO:$BO,0)-2,12),IF(INDEX(Tab_DaBa[],MATCH(CONCATENATE(Liste!$C$3,$B$2543,$B$2741),Data!$BO:$BO,0)-2,43)&lt;&gt;"",INDEX(Tab_DaBa[],MATCH(CONCATENATE(Liste!$C$3,$B$2543,$B$2741),Data!$BO:$BO,0)-2,47),"")),"")</f>
        <v>Lo03-33_08</v>
      </c>
      <c r="I2752" s="39"/>
    </row>
    <row r="2753" spans="2:9" s="16" customFormat="1" ht="15.75">
      <c r="B2753" s="35" t="str">
        <f ca="1">IFERROR(IF(AND(INDEX(Tab_DaBa[],MATCH(CONCATENATE(Liste!$C$3,$B$2543,$B$2741),Data!$BO:$BO,0)-2,28)&lt;&gt;"",INDEX(Tab_DaBa[],MATCH(CONCATENATE(Liste!$C$3,$B$2543,$B$2741),Data!$BO:$BO,0)-2,33)=""),INDEX(Tab_DaBa[],MATCH(CONCATENATE(Liste!$C$3,$B$2543,$B$2741),Data!$BO:$BO,0)-2,13),IF(INDEX(Tab_DaBa[],MATCH(CONCATENATE(Liste!$C$3,$B$2543,$B$2741),Data!$BO:$BO,0)-2,28)&lt;&gt;"",INDEX(Tab_DaBa[],MATCH(CONCATENATE(Liste!$C$3,$B$2543,$B$2741),Data!$BO:$BO,0)-2,33),"")),"")</f>
        <v>Bez_Lo04_08</v>
      </c>
      <c r="C2753" s="38">
        <f ca="1">IF(D2751="","",4)</f>
        <v>4</v>
      </c>
      <c r="D2753" s="35" t="str">
        <f ca="1">IFERROR(IF(AND(INDEX(Tab_DaBa[],MATCH(CONCATENATE(Liste!$C$3,$B$2543,$B$2741),Data!$BO:$BO,0)-2,33)&lt;&gt;"",INDEX(Tab_DaBa[],MATCH(CONCATENATE(Liste!$C$3,$B$2543,$B$2741),Data!$BO:$BO,0)-2,38)=""),INDEX(Tab_DaBa[],MATCH(CONCATENATE(Liste!$C$3,$B$2543,$B$2741),Data!$BO:$BO,0)-2,13),IF(INDEX(Tab_DaBa[],MATCH(CONCATENATE(Liste!$C$3,$B$2543,$B$2741),Data!$BO:$BO,0)-2,33)&lt;&gt;"",INDEX(Tab_DaBa[],MATCH(CONCATENATE(Liste!$C$3,$B$2543,$B$2741),Data!$BO:$BO,0)-2,38),"")),"")</f>
        <v>Bez_Lo03_08</v>
      </c>
      <c r="E2753" s="38">
        <f ca="1">IF(F2751="","",4)</f>
        <v>4</v>
      </c>
      <c r="F2753" s="35" t="str">
        <f ca="1">IFERROR(IF(AND(INDEX(Tab_DaBa[],MATCH(CONCATENATE(Liste!$C$3,$B$2543,$B$2741),Data!$BO:$BO,0)-2,38)&lt;&gt;"",INDEX(Tab_DaBa[],MATCH(CONCATENATE(Liste!$C$3,$B$2543,$B$2741),Data!$BO:$BO,0)-2,43)=""),INDEX(Tab_DaBa[],MATCH(CONCATENATE(Liste!$C$3,$B$2543,$B$2741),Data!$BO:$BO,0)-2,13),IF(INDEX(Tab_DaBa[],MATCH(CONCATENATE(Liste!$C$3,$B$2543,$B$2741),Data!$BO:$BO,0)-2,38)&lt;&gt;"",INDEX(Tab_DaBa[],MATCH(CONCATENATE(Liste!$C$3,$B$2543,$B$2741),Data!$BO:$BO,0)-2,43),"")),"")</f>
        <v>Bez_Lo03_08</v>
      </c>
      <c r="G2753" s="38">
        <f ca="1">IF(H2751="","",4)</f>
        <v>4</v>
      </c>
      <c r="H2753" s="35" t="str">
        <f ca="1">IFERROR(IF(AND(INDEX(Tab_DaBa[],MATCH(CONCATENATE(Liste!$C$3,$B$2543,$B$2741),Data!$BO:$BO,0)-2,43)&lt;&gt;"",INDEX(Tab_DaBa[],MATCH(CONCATENATE(Liste!$C$3,$B$2543,$B$2741),Data!$BO:$BO,0)-2,48)=""),INDEX(Tab_DaBa[],MATCH(CONCATENATE(Liste!$C$3,$B$2543,$B$2741),Data!$BO:$BO,0)-2,13),IF(INDEX(Tab_DaBa[],MATCH(CONCATENATE(Liste!$C$3,$B$2543,$B$2741),Data!$BO:$BO,0)-2,43)&lt;&gt;"",INDEX(Tab_DaBa[],MATCH(CONCATENATE(Liste!$C$3,$B$2543,$B$2741),Data!$BO:$BO,0)-2,48),"")),"")</f>
        <v>Bez_Lo03_08</v>
      </c>
      <c r="I2753" s="38">
        <f ca="1">IF(B2759="","",6)</f>
        <v>6</v>
      </c>
    </row>
    <row r="2754" spans="2:9" s="16" customFormat="1" ht="15.75">
      <c r="B2754" s="35" t="str">
        <f ca="1">IFERROR(IF(AND(INDEX(Tab_DaBa[],MATCH(CONCATENATE(Liste!$C$3,$B$2543,$B$2741),Data!$BO:$BO,0)-2,28)&lt;&gt;"",INDEX(Tab_DaBa[],MATCH(CONCATENATE(Liste!$C$3,$B$2543,$B$2741),Data!$BO:$BO,0)-2,33)=""),"Performance Level: "&amp;INDEX(Tab_DaBa[],MATCH(CONCATENATE(Liste!$C$3,$B$2543,$B$2741),Data!$BO:$BO,0)-2,15),IF(INDEX(Tab_DaBa[],MATCH(CONCATENATE(Liste!$C$3,$B$2543,$B$2741),Data!$BO:$BO,0)-2,28)&lt;&gt;"","Performance Level: "&amp;INDEX(Tab_DaBa[],MATCH(CONCATENATE(Liste!$C$3,$B$2543,$B$2741),Data!$BO:$BO,0)-2,35),"")),"")</f>
        <v>Performance Level: PL_Lo04_08</v>
      </c>
      <c r="C2754" s="39"/>
      <c r="D2754" s="35" t="str">
        <f ca="1">IFERROR(IF(AND(INDEX(Tab_DaBa[],MATCH(CONCATENATE(Liste!$C$3,$B$2543,$B$2741),Data!$BO:$BO,0)-2,33)&lt;&gt;"",INDEX(Tab_DaBa[],MATCH(CONCATENATE(Liste!$C$3,$B$2543,$B$2741),Data!$BO:$BO,0)-2,38)=""),"Performance Level: "&amp;INDEX(Tab_DaBa[],MATCH(CONCATENATE(Liste!$C$3,$B$2543,$B$2741),Data!$BO:$BO,0)-2,15),IF(INDEX(Tab_DaBa[],MATCH(CONCATENATE(Liste!$C$3,$B$2543,$B$2741),Data!$BO:$BO,0)-2,33)&lt;&gt;"","Performance Level: "&amp;INDEX(Tab_DaBa[],MATCH(CONCATENATE(Liste!$C$3,$B$2543,$B$2741),Data!$BO:$BO,0)-2,40),"")),"")</f>
        <v>Performance Level: PL_Lo03_8</v>
      </c>
      <c r="E2754" s="37"/>
      <c r="F2754" s="35" t="str">
        <f ca="1">IFERROR(IF(AND(INDEX(Tab_DaBa[],MATCH(CONCATENATE(Liste!$C$3,$B$2543,$B$2741),Data!$BO:$BO,0)-2,38)&lt;&gt;"",INDEX(Tab_DaBa[],MATCH(CONCATENATE(Liste!$C$3,$B$2543,$B$2741),Data!$BO:$BO,0)-2,43)=""),"Performance Level: "&amp;INDEX(Tab_DaBa[],MATCH(CONCATENATE(Liste!$C$3,$B$2543,$B$2741),Data!$BO:$BO,0)-2,15),IF(INDEX(Tab_DaBa[],MATCH(CONCATENATE(Liste!$C$3,$B$2543,$B$2741),Data!$BO:$BO,0)-2,38)&lt;&gt;"","Performance Level: "&amp;INDEX(Tab_DaBa[],MATCH(CONCATENATE(Liste!$C$3,$B$2543,$B$2741),Data!$BO:$BO,0)-2,45),"")),"")</f>
        <v>Performance Level: PL_Lo03_08</v>
      </c>
      <c r="G2754" s="39"/>
      <c r="H2754" s="35" t="str">
        <f ca="1">IFERROR(IF(AND(INDEX(Tab_DaBa[],MATCH(CONCATENATE(Liste!$C$3,$B$2543,$B$2741),Data!$BO:$BO,0)-2,43)&lt;&gt;"",INDEX(Tab_DaBa[],MATCH(CONCATENATE(Liste!$C$3,$B$2543,$B$2741),Data!$BO:$BO,0)-2,48)=""),"Performance Level: "&amp;INDEX(Tab_DaBa[],MATCH(CONCATENATE(Liste!$C$3,$B$2543,$B$2741),Data!$BO:$BO,0)-2,15),IF(INDEX(Tab_DaBa[],MATCH(CONCATENATE(Liste!$C$3,$B$2543,$B$2741),Data!$BO:$BO,0)-2,43)&lt;&gt;"","Performance Level: "&amp;INDEX(Tab_DaBa[],MATCH(CONCATENATE(Liste!$C$3,$B$2543,$B$2741),Data!$BO:$BO,0)-2,50),"")),"")</f>
        <v>Performance Level: PL_Lo03_08</v>
      </c>
      <c r="I2754" s="39"/>
    </row>
    <row r="2755" spans="2:9" s="16" customFormat="1" ht="15.75">
      <c r="B2755" s="35" t="str">
        <f ca="1">IFERROR(IF(AND(INDEX(Tab_DaBa[],MATCH(CONCATENATE(Liste!$C$3,$B$2543,$B$2741),Data!$BO:$BO,0)-2,28)&lt;&gt;"",INDEX(Tab_DaBa[],MATCH(CONCATENATE(Liste!$C$3,$B$2543,$B$2741),Data!$BO:$BO,0)-2,33)=""),"PFH [1/h] = "&amp;10^9*INDEX(Tab_DaBa[],MATCH(CONCATENATE(Liste!$C$3,$B$2543,$B$2741),Data!$BO:$BO,0)-2,16)&amp;"E-9",IF(INDEX(Tab_DaBa[],MATCH(CONCATENATE(Liste!$C$3,$B$2543,$B$2741),Data!$BO:$BO,0)-2,28)&lt;&gt;"","PFH [1/h] = "&amp;10^9*INDEX(Tab_DaBa[],MATCH(CONCATENATE(Liste!$C$3,$B$2543,$B$2741),Data!$BO:$BO,0)-2,36)&amp;"E-9","")),"")</f>
        <v>PFH [1/h] = 4,19E-9</v>
      </c>
      <c r="C2755" s="39"/>
      <c r="D2755" s="35" t="str">
        <f ca="1">IFERROR(IF(AND(INDEX(Tab_DaBa[],MATCH(CONCATENATE(Liste!$C$3,$B$2543,$B$2741),Data!$BO:$BO,0)-2,33)&lt;&gt;"",INDEX(Tab_DaBa[],MATCH(CONCATENATE(Liste!$C$3,$B$2543,$B$2741),Data!$BO:$BO,0)-2,38)=""),"PFH [1/h] = "&amp;10^9*INDEX(Tab_DaBa[],MATCH(CONCATENATE(Liste!$C$3,$B$2543,$B$2741),Data!$BO:$BO,0)-2,16)&amp;"E-9",IF(INDEX(Tab_DaBa[],MATCH(CONCATENATE(Liste!$C$3,$B$2543,$B$2741),Data!$BO:$BO,0)-2,33)&lt;&gt;"","PFH [1/h] = "&amp;10^9*INDEX(Tab_DaBa[],MATCH(CONCATENATE(Liste!$C$3,$B$2543,$B$2741),Data!$BO:$BO,0)-2,41)&amp;"E-9","")),"")</f>
        <v>PFH [1/h] = 4,19E-9</v>
      </c>
      <c r="E2755" s="37"/>
      <c r="F2755" s="35" t="str">
        <f ca="1">IFERROR(IF(AND(INDEX(Tab_DaBa[],MATCH(CONCATENATE(Liste!$C$3,$B$2543,$B$2741),Data!$BO:$BO,0)-2,38)&lt;&gt;"",INDEX(Tab_DaBa[],MATCH(CONCATENATE(Liste!$C$3,$B$2543,$B$2741),Data!$BO:$BO,0)-2,43)=""),"PFH [1/h] = "&amp;10^9*INDEX(Tab_DaBa[],MATCH(CONCATENATE(Liste!$C$3,$B$2543,$B$2741),Data!$BO:$BO,0)-2,16)&amp;"E-9",IF(INDEX(Tab_DaBa[],MATCH(CONCATENATE(Liste!$C$3,$B$2543,$B$2741),Data!$BO:$BO,0)-2,38)&lt;&gt;"","PFH [1/h] = "&amp;10^9*INDEX(Tab_DaBa[],MATCH(CONCATENATE(Liste!$C$3,$B$2543,$B$2741),Data!$BO:$BO,0)-2,46)&amp;"E-9","")),"")</f>
        <v>PFH [1/h] = 4,19E-9</v>
      </c>
      <c r="G2755" s="39"/>
      <c r="H2755" s="35" t="str">
        <f ca="1">IFERROR(IF(AND(INDEX(Tab_DaBa[],MATCH(CONCATENATE(Liste!$C$3,$B$2543,$B$2741),Data!$BO:$BO,0)-2,43)&lt;&gt;"",INDEX(Tab_DaBa[],MATCH(CONCATENATE(Liste!$C$3,$B$2543,$B$2741),Data!$BO:$BO,0)-2,48)=""),"PFH [1/h] = "&amp;10^9*INDEX(Tab_DaBa[],MATCH(CONCATENATE(Liste!$C$3,$B$2543,$B$2741),Data!$BO:$BO,0)-2,16)&amp;"E-9",IF(INDEX(Tab_DaBa[],MATCH(CONCATENATE(Liste!$C$3,$B$2543,$B$2741),Data!$BO:$BO,0)-2,43)&lt;&gt;"","PFH [1/h] = "&amp;10^9*INDEX(Tab_DaBa[],MATCH(CONCATENATE(Liste!$C$3,$B$2543,$B$2741),Data!$BO:$BO,0)-2,51)&amp;"E-9","")),"")</f>
        <v>PFH [1/h] = 4,19E-9</v>
      </c>
      <c r="I2755" s="39"/>
    </row>
    <row r="2756" spans="2:9" s="16" customFormat="1">
      <c r="B2756" s="33"/>
      <c r="C2756" s="33"/>
      <c r="D2756" s="33"/>
      <c r="E2756" s="33"/>
      <c r="F2756" s="33"/>
      <c r="G2756" s="33"/>
      <c r="H2756" s="33"/>
      <c r="I2756" s="33"/>
    </row>
    <row r="2757" spans="2:9" s="16" customFormat="1" ht="15.75">
      <c r="B2757" s="38">
        <f ca="1">IF(B2759="","",6)</f>
        <v>6</v>
      </c>
      <c r="C2757" s="33"/>
      <c r="D2757" s="38">
        <f ca="1">IF(B2759="","",3)</f>
        <v>3</v>
      </c>
      <c r="E2757" s="33"/>
      <c r="F2757" s="38">
        <f ca="1">IF(B2759="","",3)</f>
        <v>3</v>
      </c>
      <c r="G2757" s="33"/>
      <c r="H2757" s="38">
        <f ca="1">IF(B2759="","",3)</f>
        <v>3</v>
      </c>
      <c r="I2757" s="33"/>
    </row>
    <row r="2758" spans="2:9" s="16" customFormat="1" ht="15.75">
      <c r="B2758" s="39"/>
      <c r="C2758" s="33"/>
      <c r="D2758" s="33"/>
      <c r="E2758" s="33"/>
      <c r="F2758" s="33"/>
      <c r="G2758" s="33"/>
      <c r="H2758" s="33"/>
      <c r="I2758" s="33"/>
    </row>
    <row r="2759" spans="2:9" s="16" customFormat="1" ht="15.75">
      <c r="B2759" s="35" t="str">
        <f ca="1">IFERROR(IF(AND(INDEX(Tab_DaBa[],MATCH(CONCATENATE(Liste!$C$3,$B$2543,$B$2741),Data!$BO:$BO,0)-2,48)&lt;&gt;"",INDEX(Tab_DaBa[],MATCH(CONCATENATE(Liste!$C$3,$B$2543,$B$2741),Data!$BO:$BO,0)-2,53)=0),INDEX(Tab_DaBa[],MATCH(CONCATENATE(Liste!$C$3,$B$2543,$B$2741),Data!$BO:$BO,0)-2,14),IF(INDEX(Tab_DaBa[],MATCH(CONCATENATE(Liste!$C$3,$B$2543,$B$2741),Data!$BO:$BO,0)-2,48)&lt;&gt;"",INDEX(Tab_DaBa[],MATCH(CONCATENATE(Liste!$C$3,$B$2543,$B$2741),Data!$BO:$BO,0)-2,54),"")),"")</f>
        <v>Logik 08</v>
      </c>
      <c r="C2759" s="39"/>
      <c r="D2759" s="35" t="str">
        <f ca="1">IFERROR(IF(AND(INDEX(Tab_DaBa[],MATCH(CONCATENATE(Liste!$C$3,$B$2543,$B$2741),Data!$BO:$BO,0)-2,53)&lt;&gt;"",INDEX(Tab_DaBa[],MATCH(CONCATENATE(Liste!$C$3,$B$2543,$B$2741),Data!$BO:$BO,0)-2,58)=0),INDEX(Tab_DaBa[],MATCH(CONCATENATE(Liste!$C$3,$B$2543,$B$2741),Data!$BO:$BO,0)-2,14),IF(INDEX(Tab_DaBa[],MATCH(CONCATENATE(Liste!$C$3,$B$2543,$B$2741),Data!$BO:$BO,0)-2,53)&lt;&gt;"",INDEX(Tab_DaBa[],MATCH(CONCATENATE(Liste!$C$3,$B$2543,$B$2741),Data!$BO:$BO,0)-2,59),"")),"")</f>
        <v>Ausgang</v>
      </c>
      <c r="E2759" s="33"/>
      <c r="F2759" s="35" t="str">
        <f ca="1">IFERROR(IF(AND(INDEX(Tab_DaBa[],MATCH(CONCATENATE(Liste!$C$3,$B$2543,$B$2741),Data!$BO:$BO,0)-2,58)&lt;&gt;"",INDEX(Tab_DaBa[],MATCH(CONCATENATE(Liste!$C$3,$B$2543,$B$2741),Data!$BO:$BO,0)-2,63)=0),INDEX(Tab_DaBa[],MATCH(CONCATENATE(Liste!$C$3,$B$2543,$B$2741),Data!$BO:$BO,0)-2,14),IF(INDEX(Tab_DaBa[],MATCH(CONCATENATE(Liste!$C$3,$B$2543,$B$2741),Data!$BO:$BO,0)-2,58)&lt;&gt;"",INDEX(Tab_DaBa[],MATCH(CONCATENATE(Liste!$C$3,$B$2543,$B$2741),Data!$BO:$BO,0)-2,64),"")),"")</f>
        <v/>
      </c>
      <c r="G2759" s="39"/>
      <c r="H2759" s="35" t="str">
        <f ca="1">IFERROR(IF(INDEX(Tab_DaBa[],MATCH(CONCATENATE(Liste!$C$3,$B$2543,$B$2741),Data!$BO:$BO,0)-2,63)&lt;&gt;"",INDEX(Tab_DaBa[],MATCH(CONCATENATE(Liste!$C$3,$B$2543,$B$2741),Data!$BO:$BO,0)-2,14),""),"")</f>
        <v/>
      </c>
    </row>
    <row r="2760" spans="2:9" s="16" customFormat="1" ht="15.75">
      <c r="B2760" s="35" t="str">
        <f ca="1">IFERROR(IF(AND(INDEX(Tab_DaBa[],MATCH(CONCATENATE(Liste!$C$3,$B$2543,$B$2741),Data!$BO:$BO,0)-2,48)&lt;&gt;"",INDEX(Tab_DaBa[],MATCH(CONCATENATE(Liste!$C$3,$B$2543,$B$2741),Data!$BO:$BO,0)-2,53)=0),INDEX(Tab_DaBa[],MATCH(CONCATENATE(Liste!$C$3,$B$2543,$B$2741),Data!$BO:$BO,0)-2,12),IF(INDEX(Tab_DaBa[],MATCH(CONCATENATE(Liste!$C$3,$B$2543,$B$2741),Data!$BO:$BO,0)-2,48)&lt;&gt;"",INDEX(Tab_DaBa[],MATCH(CONCATENATE(Liste!$C$3,$B$2543,$B$2741),Data!$BO:$BO,0)-2,52),"")),"")</f>
        <v>Lo03-88_08</v>
      </c>
      <c r="C2760" s="39"/>
      <c r="D2760" s="35" t="str">
        <f ca="1">IFERROR(IF(AND(INDEX(Tab_DaBa[],MATCH(CONCATENATE(Liste!$C$3,$B$2543,$B$2741),Data!$BO:$BO,0)-2,53)&lt;&gt;"",INDEX(Tab_DaBa[],MATCH(CONCATENATE(Liste!$C$3,$B$2543,$B$2741),Data!$BO:$BO,0)-2,58)=0),INDEX(Tab_DaBa[],MATCH(CONCATENATE(Liste!$C$3,$B$2543,$B$2741),Data!$BO:$BO,0)-2,12),IF(INDEX(Tab_DaBa[],MATCH(CONCATENATE(Liste!$C$3,$B$2543,$B$2741),Data!$BO:$BO,0)-2,53)&lt;&gt;"",INDEX(Tab_DaBa[],MATCH(CONCATENATE(Liste!$C$3,$B$2543,$B$2741),Data!$BO:$BO,0)-2,57),"")),"")</f>
        <v>aaaa-44_8</v>
      </c>
      <c r="E2760" s="37"/>
      <c r="F2760" s="35" t="str">
        <f ca="1">IFERROR(IF(AND(INDEX(Tab_DaBa[],MATCH(CONCATENATE(Liste!$C$3,$B$2543,$B$2741),Data!$BO:$BO,0)-2,58)&lt;&gt;"",INDEX(Tab_DaBa[],MATCH(CONCATENATE(Liste!$C$3,$B$2543,$B$2741),Data!$BO:$BO,0)-2,63)=0),INDEX(Tab_DaBa[],MATCH(CONCATENATE(Liste!$C$3,$B$2543,$B$2741),Data!$BO:$BO,0)-2,12),IF(INDEX(Tab_DaBa[],MATCH(CONCATENATE(Liste!$C$3,$B$2543,$B$2741),Data!$BO:$BO,0)-2,58)&lt;&gt;"",INDEX(Tab_DaBa[],MATCH(CONCATENATE(Liste!$C$3,$B$2543,$B$2741),Data!$BO:$BO,0)-2,62),"")),"")</f>
        <v/>
      </c>
      <c r="G2760" s="39"/>
      <c r="H2760" s="35" t="str">
        <f ca="1">IFERROR(IF(INDEX(Tab_DaBa[],MATCH(CONCATENATE(Liste!$C$3,$B$2543,$B$2741),Data!$BO:$BO,0)-2,63)&lt;&gt;"",INDEX(Tab_DaBa[],MATCH(CONCATENATE(Liste!$C$3,$B$2543,$B$2741),Data!$BO:$BO,0)-2,12),""),"")</f>
        <v/>
      </c>
    </row>
    <row r="2761" spans="2:9" s="16" customFormat="1" ht="15.75">
      <c r="B2761" s="35" t="str">
        <f ca="1">IFERROR(IF(AND(INDEX(Tab_DaBa[],MATCH(CONCATENATE(Liste!$C$3,$B$2543,$B$2741),Data!$BO:$BO,0)-2,48)&lt;&gt;"",INDEX(Tab_DaBa[],MATCH(CONCATENATE(Liste!$C$3,$B$2543,$B$2741),Data!$BO:$BO,0)-2,53)=""),INDEX(Tab_DaBa[],MATCH(CONCATENATE(Liste!$C$3,$B$2543,$B$2741),Data!$BO:$BO,0)-2,13),IF(INDEX(Tab_DaBa[],MATCH(CONCATENATE(Liste!$C$3,$B$2543,$B$2741),Data!$BO:$BO,0)-2,48)&lt;&gt;"",INDEX(Tab_DaBa[],MATCH(CONCATENATE(Liste!$C$3,$B$2543,$B$2741),Data!$BO:$BO,0)-2,53),"")),"")</f>
        <v>Bez_Lo03_08</v>
      </c>
      <c r="C2761" s="38">
        <f ca="1">IF(D2759="","",4)</f>
        <v>4</v>
      </c>
      <c r="D2761" s="35" t="str">
        <f ca="1">IFERROR(IF(AND(INDEX(Tab_DaBa[],MATCH(CONCATENATE(Liste!$C$3,$B$2543,$B$2741),Data!$BO:$BO,0)-2,53)&lt;&gt;"",INDEX(Tab_DaBa[],MATCH(CONCATENATE(Liste!$C$3,$B$2543,$B$2741),Data!$BO:$BO,0)-2,58)=""),INDEX(Tab_DaBa[],MATCH(CONCATENATE(Liste!$C$3,$B$2543,$B$2741),Data!$BO:$BO,0)-2,13),IF(INDEX(Tab_DaBa[],MATCH(CONCATENATE(Liste!$C$3,$B$2543,$B$2741),Data!$BO:$BO,0)-2,53)&lt;&gt;"",INDEX(Tab_DaBa[],MATCH(CONCATENATE(Liste!$C$3,$B$2543,$B$2741),Data!$BO:$BO,0)-2,58),"")),"")</f>
        <v>Bez_Aus4_8</v>
      </c>
      <c r="E2761" s="38" t="str">
        <f ca="1">IF(F2759="","",4)</f>
        <v/>
      </c>
      <c r="F2761" s="35" t="str">
        <f ca="1">IFERROR(IF(AND(INDEX(Tab_DaBa[],MATCH(CONCATENATE(Liste!$C$3,$B$2543,$B$2741),Data!$BO:$BO,0)-2,58)&lt;&gt;"",INDEX(Tab_DaBa[],MATCH(CONCATENATE(Liste!$C$3,$B$2543,$B$2741),Data!$BO:$BO,0)-2,63)=""),INDEX(Tab_DaBa[],MATCH(CONCATENATE(Liste!$C$3,$B$2543,$B$2741),Data!$BO:$BO,0)-2,13),IF(INDEX(Tab_DaBa[],MATCH(CONCATENATE(Liste!$C$3,$B$2543,$B$2741),Data!$BO:$BO,0)-2,58)&lt;&gt;"",INDEX(Tab_DaBa[],MATCH(CONCATENATE(Liste!$C$3,$B$2543,$B$2741),Data!$BO:$BO,0)-2,63),"")),"")</f>
        <v/>
      </c>
      <c r="G2761" s="38" t="str">
        <f ca="1">IF(H2759="","",4)</f>
        <v/>
      </c>
      <c r="H2761" s="35" t="str">
        <f ca="1">IFERROR(IF(INDEX(Tab_DaBa[],MATCH(CONCATENATE(Liste!$C$3,$B$2543,$B$2741),Data!$BO:$BO,0)-2,63)&lt;&gt;"",INDEX(Tab_DaBa[],MATCH(CONCATENATE(Liste!$C$3,$B$2543,$B$2741),Data!$BO:$BO,0)-2,13),""),"")</f>
        <v/>
      </c>
    </row>
    <row r="2762" spans="2:9" s="16" customFormat="1" ht="15.75">
      <c r="B2762" s="35" t="str">
        <f ca="1">IFERROR(IF(AND(INDEX(Tab_DaBa[],MATCH(CONCATENATE(Liste!$C$3,$B$2543,$B$2741),Data!$BO:$BO,0)-2,48)&lt;&gt;"",INDEX(Tab_DaBa[],MATCH(CONCATENATE(Liste!$C$3,$B$2543,$B$2741),Data!$BO:$BO,0)-2,53)=""),"Performance Level: "&amp;INDEX(Tab_DaBa[],MATCH(CONCATENATE(Liste!$C$3,$B$2543,$B$2741),Data!$BO:$BO,0)-2,15),IF(INDEX(Tab_DaBa[],MATCH(CONCATENATE(Liste!$C$3,$B$2543,$B$2741),Data!$BO:$BO,0)-2,48)&lt;&gt;"","Performance Level: "&amp;INDEX(Tab_DaBa[],MATCH(CONCATENATE(Liste!$C$3,$B$2543,$B$2741),Data!$BO:$BO,0)-2,55),"")),"")</f>
        <v>Performance Level: PL_Lo03_08</v>
      </c>
      <c r="C2762" s="39"/>
      <c r="D2762" s="35" t="str">
        <f ca="1">IFERROR(IF(AND(INDEX(Tab_DaBa[],MATCH(CONCATENATE(Liste!$C$3,$B$2543,$B$2741),Data!$BO:$BO,0)-2,53)&lt;&gt;"",INDEX(Tab_DaBa[],MATCH(CONCATENATE(Liste!$C$3,$B$2543,$B$2741),Data!$BO:$BO,0)-2,58)=""),"Performance Level: "&amp;INDEX(Tab_DaBa[],MATCH(CONCATENATE(Liste!$C$3,$B$2543,$B$2741),Data!$BO:$BO,0)-2,15),IF(INDEX(Tab_DaBa[],MATCH(CONCATENATE(Liste!$C$3,$B$2543,$B$2741),Data!$BO:$BO,0)-2,53)&lt;&gt;"","Performance Level: "&amp;INDEX(Tab_DaBa[],MATCH(CONCATENATE(Liste!$C$3,$B$2543,$B$2741),Data!$BO:$BO,0)-2,60),"")),"")</f>
        <v>Performance Level: PL_Aus4_8</v>
      </c>
      <c r="E2762" s="37"/>
      <c r="F2762" s="35" t="str">
        <f ca="1">IFERROR(IF(AND(INDEX(Tab_DaBa[],MATCH(CONCATENATE(Liste!$C$3,$B$2543,$B$2741),Data!$BO:$BO,0)-2,58)&lt;&gt;"",INDEX(Tab_DaBa[],MATCH(CONCATENATE(Liste!$C$3,$B$2543,$B$2741),Data!$BO:$BO,0)-2,63)=""),"Performance Level: "&amp;INDEX(Tab_DaBa[],MATCH(CONCATENATE(Liste!$C$3,$B$2543,$B$2741),Data!$BO:$BO,0)-2,15),IF(INDEX(Tab_DaBa[],MATCH(CONCATENATE(Liste!$C$3,$B$2543,$B$2741),Data!$BO:$BO,0)-2,58)&lt;&gt;"","Performance Level: "&amp;INDEX(Tab_DaBa[],MATCH(CONCATENATE(Liste!$C$3,$B$2543,$B$2741),Data!$BO:$BO,0)-2,65),"")),"")</f>
        <v/>
      </c>
      <c r="G2762" s="39"/>
      <c r="H2762" s="35" t="str">
        <f ca="1">IFERROR(IF(INDEX(Tab_DaBa[],MATCH(CONCATENATE(Liste!$C$3,$B$2543,$B$2741),Data!$BO:$BO,0)-2,63)&lt;&gt;"","Performance Level: "&amp;INDEX(Tab_DaBa[],MATCH(CONCATENATE(Liste!$C$3,$B$2543,$B$2741),Data!$BO:$BO,0)-2,15),""),"")</f>
        <v/>
      </c>
    </row>
    <row r="2763" spans="2:9" s="16" customFormat="1" ht="15.75">
      <c r="B2763" s="35" t="str">
        <f ca="1">IFERROR(IF(AND(INDEX(Tab_DaBa[],MATCH(CONCATENATE(Liste!$C$3,$B$2543,$B$2741),Data!$BO:$BO,0)-2,48)&lt;&gt;"",INDEX(Tab_DaBa[],MATCH(CONCATENATE(Liste!$C$3,$B$2543,$B$2741),Data!$BO:$BO,0)-2,53)=""),"PFH [1/h] = "&amp;10^9*INDEX(Tab_DaBa[],MATCH(CONCATENATE(Liste!$C$3,$B$2543,$B$2741),Data!$BO:$BO,0)-2,16)&amp;"E-9",IF(INDEX(Tab_DaBa[],MATCH(CONCATENATE(Liste!$C$3,$B$2543,$B$2741),Data!$BO:$BO,0)-2,48)&lt;&gt;"","PFH [1/h] = "&amp;10^9*INDEX(Tab_DaBa[],MATCH(CONCATENATE(Liste!$C$3,$B$2543,$B$2741),Data!$BO:$BO,0)-2,56)&amp;"E-9","")),"")</f>
        <v>PFH [1/h] = 4,19E-9</v>
      </c>
      <c r="C2763" s="39"/>
      <c r="D2763" s="35" t="str">
        <f ca="1">IFERROR(IF(AND(INDEX(Tab_DaBa[],MATCH(CONCATENATE(Liste!$C$3,$B$2543,$B$2741),Data!$BO:$BO,0)-2,53)&lt;&gt;"",INDEX(Tab_DaBa[],MATCH(CONCATENATE(Liste!$C$3,$B$2543,$B$2741),Data!$BO:$BO,0)-2,58)=""),"PFH [1/h] = "&amp;10^9*INDEX(Tab_DaBa[],MATCH(CONCATENATE(Liste!$C$3,$B$2543,$B$2741),Data!$BO:$BO,0)-2,16)&amp;"E-9",IF(INDEX(Tab_DaBa[],MATCH(CONCATENATE(Liste!$C$3,$B$2543,$B$2741),Data!$BO:$BO,0)-2,53)&lt;&gt;"","PFH [1/h] = "&amp;10^9*INDEX(Tab_DaBa[],MATCH(CONCATENATE(Liste!$C$3,$B$2543,$B$2741),Data!$BO:$BO,0)-2,61)&amp;"E-9","")),"")</f>
        <v>PFH [1/h] = 24,7E-9</v>
      </c>
      <c r="E2763" s="37"/>
      <c r="F2763" s="35" t="str">
        <f ca="1">IFERROR(IF(AND(INDEX(Tab_DaBa[],MATCH(CONCATENATE(Liste!$C$3,$B$2543,$B$2741),Data!$BO:$BO,0)-2,58)&lt;&gt;"",INDEX(Tab_DaBa[],MATCH(CONCATENATE(Liste!$C$3,$B$2543,$B$2741),Data!$BO:$BO,0)-2,63)=""),"PFH [1/h] = "&amp;10^9*INDEX(Tab_DaBa[],MATCH(CONCATENATE(Liste!$C$3,$B$2543,$B$2741),Data!$BO:$BO,0)-2,16)&amp;"E-9",IF(INDEX(Tab_DaBa[],MATCH(CONCATENATE(Liste!$C$3,$B$2543,$B$2741),Data!$BO:$BO,0)-2,58)&lt;&gt;"","PFH [1/h] = "&amp;10^9*INDEX(Tab_DaBa[],MATCH(CONCATENATE(Liste!$C$3,$B$2543,$B$2741),Data!$BO:$BO,0)-2,66)&amp;"E-9","")),"")</f>
        <v/>
      </c>
      <c r="G2763" s="39"/>
      <c r="H2763" s="35" t="str">
        <f ca="1">IFERROR(IF(INDEX(Tab_DaBa[],MATCH(CONCATENATE(Liste!$C$3,$B$2543,$B$2741),Data!$BO:$BO,0)-2,63)&lt;&gt;"","PFH [1/h] = "&amp;10^9*INDEX(Tab_DaBa[],MATCH(CONCATENATE(Liste!$C$3,$B$2543,$B$2741),Data!$BO:$BO,0)-2,16)&amp;"E-9",""),"")</f>
        <v/>
      </c>
    </row>
    <row r="2764" spans="2:9" s="16" customFormat="1"/>
    <row r="2765" spans="2:9" s="16" customFormat="1">
      <c r="B2765" s="43" t="str">
        <f ca="1">IF(D2765="","","Erforderlich")</f>
        <v>Erforderlich</v>
      </c>
      <c r="D2765" s="44" t="str">
        <f ca="1">IFERROR("Performance Level: "&amp;INDEX(Tab_DaBa[],MATCH(CONCATENATE(Liste!$C$3,$B$2543,$B$2741),Data!$BO:$BO,0)-2,4),"")</f>
        <v>Performance Level: PLr_ges4_8</v>
      </c>
    </row>
    <row r="2766" spans="2:9" s="16" customFormat="1">
      <c r="B2766" s="45"/>
    </row>
    <row r="2767" spans="2:9" s="16" customFormat="1">
      <c r="B2767" s="46" t="str">
        <f ca="1">IF(D2767="","","Erreicht")</f>
        <v>Erreicht</v>
      </c>
      <c r="D2767" s="47" t="str">
        <f ca="1">IFERROR("Performance Level: "&amp;INDEX(Tab_DaBa[],MATCH(CONCATENATE(Liste!$C$3,$B$2543,$B$2741),Data!$BO:$BO,0)-2,5)&amp;"          PFH [1/h] = "&amp;10^9*INDEX(Tab_DaBa[],MATCH(CONCATENATE(Liste!$C$3,$B$2543,$B$2741),Data!$BO:$BO,0)-2,6)&amp;"E-9","")</f>
        <v>Performance Level: Pl_ges4_8          PFH [1/h] = 71,7E-9</v>
      </c>
    </row>
    <row r="2768" spans="2:9" s="16" customFormat="1">
      <c r="B2768" s="50"/>
      <c r="C2768" s="49"/>
      <c r="D2768" s="49"/>
    </row>
    <row r="2769" spans="2:9" s="16" customFormat="1">
      <c r="B2769" s="42" t="str">
        <f ca="1">IFERROR(IF(9&gt;COUNTIF(Data!$BP:$BP,CONCATENATE(Liste!$C$3,$B$2543)),"",INDEX(Tab_DaBa[],MATCH(CONCATENATE(Liste!$C$3,$B$2543),Data!$BP:$BP,0)+6,3)),"")</f>
        <v>10.9 Test10 (E+9L+A)</v>
      </c>
    </row>
    <row r="2770" spans="2:9" s="16" customFormat="1"/>
    <row r="2771" spans="2:9" s="16" customFormat="1" ht="15.75">
      <c r="B2771" s="35" t="str">
        <f ca="1">IFERROR(INDEX(Tab_DaBa[],MATCH(CONCATENATE(Liste!$C$3,$B$2543,$B$2769),Data!$BO:$BO,0)-2,9),"")</f>
        <v>Eingang</v>
      </c>
      <c r="C2771" s="54"/>
      <c r="D2771" s="35" t="str">
        <f ca="1">IFERROR(IF(INDEX(Tab_DaBa[],MATCH(CONCATENATE(Liste!$C$3,$B$2543,$B$2769),Data!$BO:$BO,0)-2,18)=0,INDEX(Tab_DaBa[],MATCH(CONCATENATE(Liste!$C$3,$B$2543,$B$2769),Data!$BO:$BO,0)-2,14),INDEX(Tab_DaBa[],MATCH(CONCATENATE(Liste!$C$3,$B$2543,$B$2769),Data!$BO:$BO,0)-2,19)),"")</f>
        <v>Logik 01</v>
      </c>
      <c r="E2771" s="33"/>
      <c r="F2771" s="35" t="str">
        <f ca="1">IFERROR(IF(AND(INDEX(Tab_DaBa[],MATCH(CONCATENATE(Liste!$C$3,$B$2543,$B$2769),Data!$BO:$BO,0)-2,18)&lt;&gt;"",INDEX(Tab_DaBa[],MATCH(CONCATENATE(Liste!$C$3,$B$2543,$B$2769),Data!$BO:$BO,0)-2,23)=0),INDEX(Tab_DaBa[],MATCH(CONCATENATE(Liste!$C$3,$B$2543,$B$2769),Data!$BO:$BO,0)-2,14),IF(INDEX(Tab_DaBa[],MATCH(CONCATENATE(Liste!$C$3,$B$2543,$B$2769),Data!$BO:$BO,0)-2,23)&lt;&gt;"",INDEX(Tab_DaBa[],MATCH(CONCATENATE(Liste!$C$3,$B$2543,$B$2769),Data!$BO:$BO,0)-2,24),"")),"")</f>
        <v>Logik 02</v>
      </c>
      <c r="G2771" s="39"/>
      <c r="H2771" s="35" t="str">
        <f ca="1">IFERROR(IF(AND(INDEX(Tab_DaBa[],MATCH(CONCATENATE(Liste!$C$3,$B$2543,$B$2769),Data!$BO:$BO,0)-2,23)&lt;&gt;"",INDEX(Tab_DaBa[],MATCH(CONCATENATE(Liste!$C$3,$B$2543,$B$2769),Data!$BO:$BO,0)-2,28)=0),INDEX(Tab_DaBa[],MATCH(CONCATENATE(Liste!$C$3,$B$2543,$B$2769),Data!$BO:$BO,0)-2,14),IF(INDEX(Tab_DaBa[],MATCH(CONCATENATE(Liste!$C$3,$B$2543,$B$2769),Data!$BO:$BO,0)-2,23)&lt;&gt;"",INDEX(Tab_DaBa[],MATCH(CONCATENATE(Liste!$C$3,$B$2543,$B$2769),Data!$BO:$BO,0)-2,29),"")),"")</f>
        <v>Logik 03</v>
      </c>
      <c r="I2771" s="39"/>
    </row>
    <row r="2772" spans="2:9" s="16" customFormat="1" ht="15.75">
      <c r="B2772" s="35" t="str">
        <f ca="1">IFERROR(INDEX(Tab_DaBa[],MATCH(CONCATENATE(Liste!$C$3,$B$2543,$B$2769),Data!$BO:$BO,0)-2,7),"")</f>
        <v>eeee-33_9</v>
      </c>
      <c r="C2772" s="54"/>
      <c r="D2772" s="35" t="str">
        <f ca="1">IFERROR(IF(INDEX(Tab_DaBa[],MATCH(CONCATENATE(Liste!$C$3,$B$2543,$B$2769),Data!$BO:$BO,0)-2,18)="",INDEX(Tab_DaBa[],MATCH(CONCATENATE(Liste!$C$3,$B$2543,$B$2769),Data!$BO:$BO,0)-2,12),INDEX(Tab_DaBa[],MATCH(CONCATENATE(Liste!$C$3,$B$2543,$B$2769),Data!$BO:$BO,0)-2,17)),"")</f>
        <v>Log01-04_09</v>
      </c>
      <c r="E2772" s="36"/>
      <c r="F2772" s="35" t="str">
        <f ca="1">IFERROR(IF(AND(INDEX(Tab_DaBa[],MATCH(CONCATENATE(Liste!$C$3,$B$2543,$B$2769),Data!$BO:$BO,0)-2,18)&lt;&gt;"",INDEX(Tab_DaBa[],MATCH(CONCATENATE(Liste!$C$3,$B$2543,$B$2769),Data!$BO:$BO,0)-2,23)=0),INDEX(Tab_DaBa[],MATCH(CONCATENATE(Liste!$C$3,$B$2543,$B$2769),Data!$BO:$BO,0)-2,12),IF(INDEX(Tab_DaBa[],MATCH(CONCATENATE(Liste!$C$3,$B$2543,$B$2769),Data!$BO:$BO,0)-2,23)&lt;&gt;"",INDEX(Tab_DaBa[],MATCH(CONCATENATE(Liste!$C$3,$B$2543,$B$2769),Data!$BO:$BO,0)-2,22),"")),"")</f>
        <v>Lo04-04_09</v>
      </c>
      <c r="G2772" s="39"/>
      <c r="H2772" s="35" t="str">
        <f ca="1">IFERROR(IF(AND(INDEX(Tab_DaBa[],MATCH(CONCATENATE(Liste!$C$3,$B$2543,$B$2769),Data!$BO:$BO,0)-2,23)&lt;&gt;"",INDEX(Tab_DaBa[],MATCH(CONCATENATE(Liste!$C$3,$B$2543,$B$2769),Data!$BO:$BO,0)-2,28)=0),INDEX(Tab_DaBa[],MATCH(CONCATENATE(Liste!$C$3,$B$2543,$B$2769),Data!$BO:$BO,0)-2,12),IF(INDEX(Tab_DaBa[],MATCH(CONCATENATE(Liste!$C$3,$B$2543,$B$2769),Data!$BO:$BO,0)-2,23)&lt;&gt;"",INDEX(Tab_DaBa[],MATCH(CONCATENATE(Liste!$C$3,$B$2543,$B$2769),Data!$BO:$BO,0)-2,27),"")),"")</f>
        <v>Lo04-44_09</v>
      </c>
      <c r="I2772" s="39"/>
    </row>
    <row r="2773" spans="2:9" s="16" customFormat="1" ht="15.75">
      <c r="B2773" s="35" t="str">
        <f ca="1">IFERROR(INDEX(Tab_DaBa[],MATCH(CONCATENATE(Liste!$C$3,$B$2543,$B$2769),Data!$BO:$BO,0)-2,8),"")</f>
        <v>Bez_Ein4_9</v>
      </c>
      <c r="C2773" s="40">
        <f ca="1">IF(D2771="","",4)</f>
        <v>4</v>
      </c>
      <c r="D2773" s="35" t="str">
        <f ca="1">IFERROR(IF(INDEX(Tab_DaBa[],MATCH(CONCATENATE(Liste!$C$3,$B$2543,$B$2769),Data!$BO:$BO,0)-2,18)="",INDEX(Tab_DaBa[],MATCH(CONCATENATE(Liste!$C$3,$B$2543,$B$2769),Data!$BO:$BO,0)-2,13),INDEX(Tab_DaBa[],MATCH(CONCATENATE(Liste!$C$3,$B$2543,$B$2769),Data!$BO:$BO,0)-2,18)),"")</f>
        <v>Bez_Log01_04_09</v>
      </c>
      <c r="E2773" s="40">
        <f ca="1">IF(F2771="","",4)</f>
        <v>4</v>
      </c>
      <c r="F2773" s="35" t="str">
        <f ca="1">IFERROR(IF(AND(INDEX(Tab_DaBa[],MATCH(CONCATENATE(Liste!$C$3,$B$2543,$B$2769),Data!$BO:$BO,0)-2,18)&lt;&gt;"",INDEX(Tab_DaBa[],MATCH(CONCATENATE(Liste!$C$3,$B$2543,$B$2769),Data!$BO:$BO,0)-2,23)=""),INDEX(Tab_DaBa[],MATCH(CONCATENATE(Liste!$C$3,$B$2543,$B$2769),Data!$BO:$BO,0)-2,13),IF(INDEX(Tab_DaBa[],MATCH(CONCATENATE(Liste!$C$3,$B$2543,$B$2769),Data!$BO:$BO,0)-2,23)&lt;&gt;"",INDEX(Tab_DaBa[],MATCH(CONCATENATE(Liste!$C$3,$B$2543,$B$2769),Data!$BO:$BO,0)-2,23),"")),"")</f>
        <v>Bez_Lo04_09</v>
      </c>
      <c r="G2773" s="38">
        <f ca="1">IF(H2771="","",4)</f>
        <v>4</v>
      </c>
      <c r="H2773" s="35" t="str">
        <f ca="1">IFERROR(IF(AND(INDEX(Tab_DaBa[],MATCH(CONCATENATE(Liste!$C$3,$B$2543,$B$2769),Data!$BO:$BO,0)-2,23)&lt;&gt;"",INDEX(Tab_DaBa[],MATCH(CONCATENATE(Liste!$C$3,$B$2543,$B$2769),Data!$BO:$BO,0)-2,28)=""),INDEX(Tab_DaBa[],MATCH(CONCATENATE(Liste!$C$3,$B$2543,$B$2769),Data!$BO:$BO,0)-2,13),IF(INDEX(Tab_DaBa[],MATCH(CONCATENATE(Liste!$C$3,$B$2543,$B$2769),Data!$BO:$BO,0)-2,23)&lt;&gt;"",INDEX(Tab_DaBa[],MATCH(CONCATENATE(Liste!$C$3,$B$2543,$B$2769),Data!$BO:$BO,0)-2,28),"")),"")</f>
        <v>Bez_Lo04_09</v>
      </c>
      <c r="I2773" s="38">
        <f ca="1">IF(B2779="","",6)</f>
        <v>6</v>
      </c>
    </row>
    <row r="2774" spans="2:9" s="16" customFormat="1" ht="15.75">
      <c r="B2774" s="35" t="str">
        <f ca="1">IFERROR("Performance Level: "&amp;INDEX(Tab_DaBa[],MATCH(CONCATENATE(Liste!$C$3,$B$2543,$B$2769),Data!$BO:$BO,0)-2,10),"")</f>
        <v>Performance Level: PL_Ein4_9</v>
      </c>
      <c r="C2774" s="54"/>
      <c r="D2774" s="35" t="str">
        <f ca="1">IFERROR(IF(INDEX(Tab_DaBa[],MATCH(CONCATENATE(Liste!$C$3,$B$2543,$B$2769),Data!$BO:$BO,0)-2,18)="","Performance Level: "&amp;INDEX(Tab_DaBa[],MATCH(CONCATENATE(Liste!$C$3,$B$2543,$B$2769),Data!$BO:$BO,0)-2,15),"Performance Level: "&amp;INDEX(Tab_DaBa[],MATCH(CONCATENATE(Liste!$C$3,$B$2543,$B$2769),Data!$BO:$BO,0)-2,20)),"")</f>
        <v>Performance Level: PL_Log01_04_09</v>
      </c>
      <c r="E2774" s="36"/>
      <c r="F2774" s="35" t="str">
        <f ca="1">IFERROR(IF(AND(INDEX(Tab_DaBa[],MATCH(CONCATENATE(Liste!$C$3,$B$2543,$B$2769),Data!$BO:$BO,0)-2,18)&lt;&gt;"",INDEX(Tab_DaBa[],MATCH(CONCATENATE(Liste!$C$3,$B$2543,$B$2769),Data!$BO:$BO,0)-2,23)=""),"Performance Level: "&amp;INDEX(Tab_DaBa[],MATCH(CONCATENATE(Liste!$C$3,$B$2543,$B$2769),Data!$BO:$BO,0)-2,15),IF(INDEX(Tab_DaBa[],MATCH(CONCATENATE(Liste!$C$3,$B$2543,$B$2769),Data!$BO:$BO,0)-2,23)&lt;&gt;"","Performance Level: "&amp;INDEX(Tab_DaBa[],MATCH(CONCATENATE(Liste!$C$3,$B$2543,$B$2769),Data!$BO:$BO,0)-2,25),"")),"")</f>
        <v>Performance Level: PL_Lo04_09</v>
      </c>
      <c r="G2774" s="39"/>
      <c r="H2774" s="35" t="str">
        <f ca="1">IFERROR(IF(AND(INDEX(Tab_DaBa[],MATCH(CONCATENATE(Liste!$C$3,$B$2543,$B$2769),Data!$BO:$BO,0)-2,23)&lt;&gt;"",INDEX(Tab_DaBa[],MATCH(CONCATENATE(Liste!$C$3,$B$2543,$B$2769),Data!$BO:$BO,0)-2,28)=""),"Performance Level: "&amp;INDEX(Tab_DaBa[],MATCH(CONCATENATE(Liste!$C$3,$B$2543,$B$2769),Data!$BO:$BO,0)-2,15),IF(INDEX(Tab_DaBa[],MATCH(CONCATENATE(Liste!$C$3,$B$2543,$B$2769),Data!$BO:$BO,0)-2,23)&lt;&gt;"","Performance Level: "&amp;INDEX(Tab_DaBa[],MATCH(CONCATENATE(Liste!$C$3,$B$2543,$B$2769),Data!$BO:$BO,0)-2,30),"")),"")</f>
        <v>Performance Level: PL_Lo04_09</v>
      </c>
      <c r="I2774" s="38"/>
    </row>
    <row r="2775" spans="2:9" s="16" customFormat="1" ht="15.75">
      <c r="B2775" s="53" t="str">
        <f ca="1">IFERROR("PFH [1/h] = "&amp;10^9*INDEX(Tab_DaBa[],MATCH(CONCATENATE(Liste!$C$3,$B$2543,$B$2769),Data!$BO:$BO,0)-2,11)&amp;"E-9","")</f>
        <v>PFH [1/h] = 42,9E-9</v>
      </c>
      <c r="C2775" s="54"/>
      <c r="D2775" s="35" t="str">
        <f ca="1">IFERROR(IF(INDEX(Tab_DaBa[],MATCH(CONCATENATE(Liste!$C$3,$B$2543,$B$2769),Data!$BO:$BO,0)-2,18)="","PFH [1/h] = "&amp;10^9*INDEX(Tab_DaBa[],MATCH(CONCATENATE(Liste!$C$3,$B$2543,$B$2769),Data!$BO:$BO,0)-2,16)&amp;"E-9","PFH [1/h] = "&amp;10^9*INDEX(Tab_DaBa[],MATCH(CONCATENATE(Liste!$C$3,$B$2543,$B$2769),Data!$BO:$BO,0)-2,21)&amp;"E-9"),"")</f>
        <v>PFH [1/h] = 4,19E-9</v>
      </c>
      <c r="E2775" s="36"/>
      <c r="F2775" s="35" t="str">
        <f ca="1">IFERROR(IF(AND(INDEX(Tab_DaBa[],MATCH(CONCATENATE(Liste!$C$3,$B$2543,$B$2769),Data!$BO:$BO,0)-2,18)&lt;&gt;"",INDEX(Tab_DaBa[],MATCH(CONCATENATE(Liste!$C$3,$B$2543,$B$2769),Data!$BO:$BO,0)-2,23)=""),"PFH [1/h] = "&amp;10^9*INDEX(Tab_DaBa[],MATCH(CONCATENATE(Liste!$C$3,$B$2543,$B$2769),Data!$BO:$BO,0)-2,16)&amp;"E-9",IF(INDEX(Tab_DaBa[],MATCH(CONCATENATE(Liste!$C$3,$B$2543,$B$2769),Data!$BO:$BO,0)-2,23)&lt;&gt;"","PFH [1/h] = "&amp;10^9*INDEX(Tab_DaBa[],MATCH(CONCATENATE(Liste!$C$3,$B$2543,$B$2769),Data!$BO:$BO,0)-2,26)&amp;"E-9","")),"")</f>
        <v>PFH [1/h] = 4,19E-9</v>
      </c>
      <c r="G2775" s="39"/>
      <c r="H2775" s="35" t="str">
        <f ca="1">IFERROR(IF(AND(INDEX(Tab_DaBa[],MATCH(CONCATENATE(Liste!$C$3,$B$2543,$B$2769),Data!$BO:$BO,0)-2,23)&lt;&gt;"",INDEX(Tab_DaBa[],MATCH(CONCATENATE(Liste!$C$3,$B$2543,$B$2769),Data!$BO:$BO,0)-2,28)=""),"PFH [1/h] = "&amp;10^9*INDEX(Tab_DaBa[],MATCH(CONCATENATE(Liste!$C$3,$B$2543,$B$2769),Data!$BO:$BO,0)-2,16)&amp;"E-9",IF(INDEX(Tab_DaBa[],MATCH(CONCATENATE(Liste!$C$3,$B$2543,$B$2769),Data!$BO:$BO,0)-2,23)&lt;&gt;"","PFH [1/h] = "&amp;10^9*INDEX(Tab_DaBa[],MATCH(CONCATENATE(Liste!$C$3,$B$2543,$B$2769),Data!$BO:$BO,0)-2,31)&amp;"E-9","")),"")</f>
        <v>PFH [1/h] = 4,19E-9</v>
      </c>
      <c r="I2775" s="39"/>
    </row>
    <row r="2776" spans="2:9" s="16" customFormat="1">
      <c r="B2776" s="33"/>
      <c r="C2776" s="34"/>
      <c r="D2776" s="33"/>
      <c r="E2776" s="33"/>
      <c r="F2776" s="33"/>
      <c r="G2776" s="33"/>
      <c r="H2776" s="33"/>
      <c r="I2776" s="33"/>
    </row>
    <row r="2777" spans="2:9" s="16" customFormat="1" ht="15.75">
      <c r="B2777" s="38">
        <f ca="1">IF(B2779="","",6)</f>
        <v>6</v>
      </c>
      <c r="C2777" s="34"/>
      <c r="D2777" s="38">
        <f ca="1">IF(B2779="","",3)</f>
        <v>3</v>
      </c>
      <c r="E2777" s="33"/>
      <c r="F2777" s="38">
        <f ca="1">IF(B2779="","",3)</f>
        <v>3</v>
      </c>
      <c r="G2777" s="33"/>
      <c r="H2777" s="38">
        <f ca="1">IF(B2779="","",3)</f>
        <v>3</v>
      </c>
      <c r="I2777" s="33"/>
    </row>
    <row r="2778" spans="2:9" s="16" customFormat="1" ht="15.75">
      <c r="B2778" s="39"/>
      <c r="C2778" s="33"/>
      <c r="D2778" s="33"/>
      <c r="E2778" s="33"/>
      <c r="F2778" s="33"/>
      <c r="G2778" s="33"/>
      <c r="H2778" s="33"/>
      <c r="I2778" s="33"/>
    </row>
    <row r="2779" spans="2:9" s="16" customFormat="1" ht="15.75">
      <c r="B2779" s="35" t="str">
        <f ca="1">IFERROR(IF(AND(INDEX(Tab_DaBa[],MATCH(CONCATENATE(Liste!$C$3,$B$2543,$B$2769),Data!$BO:$BO,0)-2,28)&lt;&gt;"",INDEX(Tab_DaBa[],MATCH(CONCATENATE(Liste!$C$3,$B$2543,$B$2769),Data!$BO:$BO,0)-2,33)=0),INDEX(Tab_DaBa[],MATCH(CONCATENATE(Liste!$C$3,$B$2543,$B$2769),Data!$BO:$BO,0)-2,14),IF(INDEX(Tab_DaBa[],MATCH(CONCATENATE(Liste!$C$3,$B$2543,$B$2769),Data!$BO:$BO,0)-2,28)&lt;&gt;"",INDEX(Tab_DaBa[],MATCH(CONCATENATE(Liste!$C$3,$B$2543,$B$2769),Data!$BO:$BO,0)-2,34),"")),"")</f>
        <v>Logik 04</v>
      </c>
      <c r="C2779" s="39"/>
      <c r="D2779" s="35" t="str">
        <f ca="1">IFERROR(IF(AND(INDEX(Tab_DaBa[],MATCH(CONCATENATE(Liste!$C$3,$B$2543,$B$2769),Data!$BO:$BO,0)-2,33)&lt;&gt;"",INDEX(Tab_DaBa[],MATCH(CONCATENATE(Liste!$C$3,$B$2543,$B$2769),Data!$BO:$BO,0)-2,38)=0),INDEX(Tab_DaBa[],MATCH(CONCATENATE(Liste!$C$3,$B$2543,$B$2769),Data!$BO:$BO,0)-2,14),IF(INDEX(Tab_DaBa[],MATCH(CONCATENATE(Liste!$C$3,$B$2543,$B$2769),Data!$BO:$BO,0)-2,33)&lt;&gt;"",INDEX(Tab_DaBa[],MATCH(CONCATENATE(Liste!$C$3,$B$2543,$B$2769),Data!$BO:$BO,0)-2,39),"")),"")</f>
        <v>Logik 07</v>
      </c>
      <c r="E2779" s="33"/>
      <c r="F2779" s="35" t="str">
        <f ca="1">IFERROR(IF(AND(INDEX(Tab_DaBa[],MATCH(CONCATENATE(Liste!$C$3,$B$2543,$B$2769),Data!$BO:$BO,0)-2,38)&lt;&gt;"",INDEX(Tab_DaBa[],MATCH(CONCATENATE(Liste!$C$3,$B$2543,$B$2769),Data!$BO:$BO,0)-2,43)=0),INDEX(Tab_DaBa[],MATCH(CONCATENATE(Liste!$C$3,$B$2543,$B$2769),Data!$BO:$BO,0)-2,14),IF(INDEX(Tab_DaBa[],MATCH(CONCATENATE(Liste!$C$3,$B$2543,$B$2769),Data!$BO:$BO,0)-2,38)&lt;&gt;"",INDEX(Tab_DaBa[],MATCH(CONCATENATE(Liste!$C$3,$B$2543,$B$2769),Data!$BO:$BO,0)-2,44),"")),"")</f>
        <v>Logik 06</v>
      </c>
      <c r="G2779" s="39"/>
      <c r="H2779" s="35" t="str">
        <f ca="1">IFERROR(IF(AND(INDEX(Tab_DaBa[],MATCH(CONCATENATE(Liste!$C$3,$B$2543,$B$2769),Data!$BO:$BO,0)-2,43)&lt;&gt;"",INDEX(Tab_DaBa[],MATCH(CONCATENATE(Liste!$C$3,$B$2543,$B$2769),Data!$BO:$BO,0)-2,48)=0),INDEX(Tab_DaBa[],MATCH(CONCATENATE(Liste!$C$3,$B$2543,$B$2769),Data!$BO:$BO,0)-2,14),IF(INDEX(Tab_DaBa[],MATCH(CONCATENATE(Liste!$C$3,$B$2543,$B$2769),Data!$BO:$BO,0)-2,43)&lt;&gt;"",INDEX(Tab_DaBa[],MATCH(CONCATENATE(Liste!$C$3,$B$2543,$B$2769),Data!$BO:$BO,0)-2,49),"")),"")</f>
        <v>Logik 07</v>
      </c>
      <c r="I2779" s="39"/>
    </row>
    <row r="2780" spans="2:9" s="16" customFormat="1" ht="15.75">
      <c r="B2780" s="35" t="str">
        <f ca="1">IFERROR(IF(AND(INDEX(Tab_DaBa[],MATCH(CONCATENATE(Liste!$C$3,$B$2543,$B$2769),Data!$BO:$BO,0)-2,28)&lt;&gt;"",INDEX(Tab_DaBa[],MATCH(CONCATENATE(Liste!$C$3,$B$2543,$B$2769),Data!$BO:$BO,0)-2,33)=0),INDEX(Tab_DaBa[],MATCH(CONCATENATE(Liste!$C$3,$B$2543,$B$2769),Data!$BO:$BO,0)-2,12),IF(INDEX(Tab_DaBa[],MATCH(CONCATENATE(Liste!$C$3,$B$2543,$B$2769),Data!$BO:$BO,0)-2,28)&lt;&gt;"",INDEX(Tab_DaBa[],MATCH(CONCATENATE(Liste!$C$3,$B$2543,$B$2769),Data!$BO:$BO,0)-2,32),"")),"")</f>
        <v>Lo04-44_09</v>
      </c>
      <c r="C2780" s="39"/>
      <c r="D2780" s="35" t="str">
        <f ca="1">IFERROR(IF(AND(INDEX(Tab_DaBa[],MATCH(CONCATENATE(Liste!$C$3,$B$2543,$B$2769),Data!$BO:$BO,0)-2,33)&lt;&gt;"",INDEX(Tab_DaBa[],MATCH(CONCATENATE(Liste!$C$3,$B$2543,$B$2769),Data!$BO:$BO,0)-2,38)=0),INDEX(Tab_DaBa[],MATCH(CONCATENATE(Liste!$C$3,$B$2543,$B$2769),Data!$BO:$BO,0)-2,12),IF(INDEX(Tab_DaBa[],MATCH(CONCATENATE(Liste!$C$3,$B$2543,$B$2769),Data!$BO:$BO,0)-2,33)&lt;&gt;"",INDEX(Tab_DaBa[],MATCH(CONCATENATE(Liste!$C$3,$B$2543,$B$2769),Data!$BO:$BO,0)-2,37),"")),"")</f>
        <v>Lo04-44_09</v>
      </c>
      <c r="E2780" s="37"/>
      <c r="F2780" s="35" t="str">
        <f ca="1">IFERROR(IF(AND(INDEX(Tab_DaBa[],MATCH(CONCATENATE(Liste!$C$3,$B$2543,$B$2769),Data!$BO:$BO,0)-2,38)&lt;&gt;"",INDEX(Tab_DaBa[],MATCH(CONCATENATE(Liste!$C$3,$B$2543,$B$2769),Data!$BO:$BO,0)-2,43)=0),INDEX(Tab_DaBa[],MATCH(CONCATENATE(Liste!$C$3,$B$2543,$B$2769),Data!$BO:$BO,0)-2,12),IF(INDEX(Tab_DaBa[],MATCH(CONCATENATE(Liste!$C$3,$B$2543,$B$2769),Data!$BO:$BO,0)-2,38)&lt;&gt;"",INDEX(Tab_DaBa[],MATCH(CONCATENATE(Liste!$C$3,$B$2543,$B$2769),Data!$BO:$BO,0)-2,42),"")),"")</f>
        <v>Lo03-33_09</v>
      </c>
      <c r="G2780" s="39"/>
      <c r="H2780" s="35" t="str">
        <f ca="1">IFERROR(IF(AND(INDEX(Tab_DaBa[],MATCH(CONCATENATE(Liste!$C$3,$B$2543,$B$2769),Data!$BO:$BO,0)-2,43)&lt;&gt;"",INDEX(Tab_DaBa[],MATCH(CONCATENATE(Liste!$C$3,$B$2543,$B$2769),Data!$BO:$BO,0)-2,48)=0),INDEX(Tab_DaBa[],MATCH(CONCATENATE(Liste!$C$3,$B$2543,$B$2769),Data!$BO:$BO,0)-2,12),IF(INDEX(Tab_DaBa[],MATCH(CONCATENATE(Liste!$C$3,$B$2543,$B$2769),Data!$BO:$BO,0)-2,43)&lt;&gt;"",INDEX(Tab_DaBa[],MATCH(CONCATENATE(Liste!$C$3,$B$2543,$B$2769),Data!$BO:$BO,0)-2,47),"")),"")</f>
        <v>Lo03-33_09</v>
      </c>
      <c r="I2780" s="39"/>
    </row>
    <row r="2781" spans="2:9" s="16" customFormat="1" ht="15.75">
      <c r="B2781" s="35" t="str">
        <f ca="1">IFERROR(IF(AND(INDEX(Tab_DaBa[],MATCH(CONCATENATE(Liste!$C$3,$B$2543,$B$2769),Data!$BO:$BO,0)-2,28)&lt;&gt;"",INDEX(Tab_DaBa[],MATCH(CONCATENATE(Liste!$C$3,$B$2543,$B$2769),Data!$BO:$BO,0)-2,33)=""),INDEX(Tab_DaBa[],MATCH(CONCATENATE(Liste!$C$3,$B$2543,$B$2769),Data!$BO:$BO,0)-2,13),IF(INDEX(Tab_DaBa[],MATCH(CONCATENATE(Liste!$C$3,$B$2543,$B$2769),Data!$BO:$BO,0)-2,28)&lt;&gt;"",INDEX(Tab_DaBa[],MATCH(CONCATENATE(Liste!$C$3,$B$2543,$B$2769),Data!$BO:$BO,0)-2,33),"")),"")</f>
        <v>Bez_Lo04_09</v>
      </c>
      <c r="C2781" s="38">
        <f ca="1">IF(D2779="","",4)</f>
        <v>4</v>
      </c>
      <c r="D2781" s="35" t="str">
        <f ca="1">IFERROR(IF(AND(INDEX(Tab_DaBa[],MATCH(CONCATENATE(Liste!$C$3,$B$2543,$B$2769),Data!$BO:$BO,0)-2,33)&lt;&gt;"",INDEX(Tab_DaBa[],MATCH(CONCATENATE(Liste!$C$3,$B$2543,$B$2769),Data!$BO:$BO,0)-2,38)=""),INDEX(Tab_DaBa[],MATCH(CONCATENATE(Liste!$C$3,$B$2543,$B$2769),Data!$BO:$BO,0)-2,13),IF(INDEX(Tab_DaBa[],MATCH(CONCATENATE(Liste!$C$3,$B$2543,$B$2769),Data!$BO:$BO,0)-2,33)&lt;&gt;"",INDEX(Tab_DaBa[],MATCH(CONCATENATE(Liste!$C$3,$B$2543,$B$2769),Data!$BO:$BO,0)-2,38),"")),"")</f>
        <v>Bez_Lo03_09</v>
      </c>
      <c r="E2781" s="38">
        <f ca="1">IF(F2779="","",4)</f>
        <v>4</v>
      </c>
      <c r="F2781" s="35" t="str">
        <f ca="1">IFERROR(IF(AND(INDEX(Tab_DaBa[],MATCH(CONCATENATE(Liste!$C$3,$B$2543,$B$2769),Data!$BO:$BO,0)-2,38)&lt;&gt;"",INDEX(Tab_DaBa[],MATCH(CONCATENATE(Liste!$C$3,$B$2543,$B$2769),Data!$BO:$BO,0)-2,43)=""),INDEX(Tab_DaBa[],MATCH(CONCATENATE(Liste!$C$3,$B$2543,$B$2769),Data!$BO:$BO,0)-2,13),IF(INDEX(Tab_DaBa[],MATCH(CONCATENATE(Liste!$C$3,$B$2543,$B$2769),Data!$BO:$BO,0)-2,38)&lt;&gt;"",INDEX(Tab_DaBa[],MATCH(CONCATENATE(Liste!$C$3,$B$2543,$B$2769),Data!$BO:$BO,0)-2,43),"")),"")</f>
        <v>Bez_Lo03_09</v>
      </c>
      <c r="G2781" s="38">
        <f ca="1">IF(H2779="","",4)</f>
        <v>4</v>
      </c>
      <c r="H2781" s="35" t="str">
        <f ca="1">IFERROR(IF(AND(INDEX(Tab_DaBa[],MATCH(CONCATENATE(Liste!$C$3,$B$2543,$B$2769),Data!$BO:$BO,0)-2,43)&lt;&gt;"",INDEX(Tab_DaBa[],MATCH(CONCATENATE(Liste!$C$3,$B$2543,$B$2769),Data!$BO:$BO,0)-2,48)=""),INDEX(Tab_DaBa[],MATCH(CONCATENATE(Liste!$C$3,$B$2543,$B$2769),Data!$BO:$BO,0)-2,13),IF(INDEX(Tab_DaBa[],MATCH(CONCATENATE(Liste!$C$3,$B$2543,$B$2769),Data!$BO:$BO,0)-2,43)&lt;&gt;"",INDEX(Tab_DaBa[],MATCH(CONCATENATE(Liste!$C$3,$B$2543,$B$2769),Data!$BO:$BO,0)-2,48),"")),"")</f>
        <v>Bez_Lo03_09</v>
      </c>
      <c r="I2781" s="38">
        <f ca="1">IF(B2787="","",6)</f>
        <v>6</v>
      </c>
    </row>
    <row r="2782" spans="2:9" s="16" customFormat="1" ht="15.75">
      <c r="B2782" s="35" t="str">
        <f ca="1">IFERROR(IF(AND(INDEX(Tab_DaBa[],MATCH(CONCATENATE(Liste!$C$3,$B$2543,$B$2769),Data!$BO:$BO,0)-2,28)&lt;&gt;"",INDEX(Tab_DaBa[],MATCH(CONCATENATE(Liste!$C$3,$B$2543,$B$2769),Data!$BO:$BO,0)-2,33)=""),"Performance Level: "&amp;INDEX(Tab_DaBa[],MATCH(CONCATENATE(Liste!$C$3,$B$2543,$B$2769),Data!$BO:$BO,0)-2,15),IF(INDEX(Tab_DaBa[],MATCH(CONCATENATE(Liste!$C$3,$B$2543,$B$2769),Data!$BO:$BO,0)-2,28)&lt;&gt;"","Performance Level: "&amp;INDEX(Tab_DaBa[],MATCH(CONCATENATE(Liste!$C$3,$B$2543,$B$2769),Data!$BO:$BO,0)-2,35),"")),"")</f>
        <v>Performance Level: PL_Lo04_09</v>
      </c>
      <c r="C2782" s="39"/>
      <c r="D2782" s="35" t="str">
        <f ca="1">IFERROR(IF(AND(INDEX(Tab_DaBa[],MATCH(CONCATENATE(Liste!$C$3,$B$2543,$B$2769),Data!$BO:$BO,0)-2,33)&lt;&gt;"",INDEX(Tab_DaBa[],MATCH(CONCATENATE(Liste!$C$3,$B$2543,$B$2769),Data!$BO:$BO,0)-2,38)=""),"Performance Level: "&amp;INDEX(Tab_DaBa[],MATCH(CONCATENATE(Liste!$C$3,$B$2543,$B$2769),Data!$BO:$BO,0)-2,15),IF(INDEX(Tab_DaBa[],MATCH(CONCATENATE(Liste!$C$3,$B$2543,$B$2769),Data!$BO:$BO,0)-2,33)&lt;&gt;"","Performance Level: "&amp;INDEX(Tab_DaBa[],MATCH(CONCATENATE(Liste!$C$3,$B$2543,$B$2769),Data!$BO:$BO,0)-2,40),"")),"")</f>
        <v>Performance Level: PL_Lo03_9</v>
      </c>
      <c r="E2782" s="37"/>
      <c r="F2782" s="35" t="str">
        <f ca="1">IFERROR(IF(AND(INDEX(Tab_DaBa[],MATCH(CONCATENATE(Liste!$C$3,$B$2543,$B$2769),Data!$BO:$BO,0)-2,38)&lt;&gt;"",INDEX(Tab_DaBa[],MATCH(CONCATENATE(Liste!$C$3,$B$2543,$B$2769),Data!$BO:$BO,0)-2,43)=""),"Performance Level: "&amp;INDEX(Tab_DaBa[],MATCH(CONCATENATE(Liste!$C$3,$B$2543,$B$2769),Data!$BO:$BO,0)-2,15),IF(INDEX(Tab_DaBa[],MATCH(CONCATENATE(Liste!$C$3,$B$2543,$B$2769),Data!$BO:$BO,0)-2,38)&lt;&gt;"","Performance Level: "&amp;INDEX(Tab_DaBa[],MATCH(CONCATENATE(Liste!$C$3,$B$2543,$B$2769),Data!$BO:$BO,0)-2,45),"")),"")</f>
        <v>Performance Level: PL_Lo03_09</v>
      </c>
      <c r="G2782" s="39"/>
      <c r="H2782" s="35" t="str">
        <f ca="1">IFERROR(IF(AND(INDEX(Tab_DaBa[],MATCH(CONCATENATE(Liste!$C$3,$B$2543,$B$2769),Data!$BO:$BO,0)-2,43)&lt;&gt;"",INDEX(Tab_DaBa[],MATCH(CONCATENATE(Liste!$C$3,$B$2543,$B$2769),Data!$BO:$BO,0)-2,48)=""),"Performance Level: "&amp;INDEX(Tab_DaBa[],MATCH(CONCATENATE(Liste!$C$3,$B$2543,$B$2769),Data!$BO:$BO,0)-2,15),IF(INDEX(Tab_DaBa[],MATCH(CONCATENATE(Liste!$C$3,$B$2543,$B$2769),Data!$BO:$BO,0)-2,43)&lt;&gt;"","Performance Level: "&amp;INDEX(Tab_DaBa[],MATCH(CONCATENATE(Liste!$C$3,$B$2543,$B$2769),Data!$BO:$BO,0)-2,50),"")),"")</f>
        <v>Performance Level: PL_Lo03_09</v>
      </c>
      <c r="I2782" s="39"/>
    </row>
    <row r="2783" spans="2:9" s="16" customFormat="1" ht="15.75">
      <c r="B2783" s="35" t="str">
        <f ca="1">IFERROR(IF(AND(INDEX(Tab_DaBa[],MATCH(CONCATENATE(Liste!$C$3,$B$2543,$B$2769),Data!$BO:$BO,0)-2,28)&lt;&gt;"",INDEX(Tab_DaBa[],MATCH(CONCATENATE(Liste!$C$3,$B$2543,$B$2769),Data!$BO:$BO,0)-2,33)=""),"PFH [1/h] = "&amp;10^9*INDEX(Tab_DaBa[],MATCH(CONCATENATE(Liste!$C$3,$B$2543,$B$2769),Data!$BO:$BO,0)-2,16)&amp;"E-9",IF(INDEX(Tab_DaBa[],MATCH(CONCATENATE(Liste!$C$3,$B$2543,$B$2769),Data!$BO:$BO,0)-2,28)&lt;&gt;"","PFH [1/h] = "&amp;10^9*INDEX(Tab_DaBa[],MATCH(CONCATENATE(Liste!$C$3,$B$2543,$B$2769),Data!$BO:$BO,0)-2,36)&amp;"E-9","")),"")</f>
        <v>PFH [1/h] = 4,19E-9</v>
      </c>
      <c r="C2783" s="39"/>
      <c r="D2783" s="35" t="str">
        <f ca="1">IFERROR(IF(AND(INDEX(Tab_DaBa[],MATCH(CONCATENATE(Liste!$C$3,$B$2543,$B$2769),Data!$BO:$BO,0)-2,33)&lt;&gt;"",INDEX(Tab_DaBa[],MATCH(CONCATENATE(Liste!$C$3,$B$2543,$B$2769),Data!$BO:$BO,0)-2,38)=""),"PFH [1/h] = "&amp;10^9*INDEX(Tab_DaBa[],MATCH(CONCATENATE(Liste!$C$3,$B$2543,$B$2769),Data!$BO:$BO,0)-2,16)&amp;"E-9",IF(INDEX(Tab_DaBa[],MATCH(CONCATENATE(Liste!$C$3,$B$2543,$B$2769),Data!$BO:$BO,0)-2,33)&lt;&gt;"","PFH [1/h] = "&amp;10^9*INDEX(Tab_DaBa[],MATCH(CONCATENATE(Liste!$C$3,$B$2543,$B$2769),Data!$BO:$BO,0)-2,41)&amp;"E-9","")),"")</f>
        <v>PFH [1/h] = 4,19E-9</v>
      </c>
      <c r="E2783" s="37"/>
      <c r="F2783" s="35" t="str">
        <f ca="1">IFERROR(IF(AND(INDEX(Tab_DaBa[],MATCH(CONCATENATE(Liste!$C$3,$B$2543,$B$2769),Data!$BO:$BO,0)-2,38)&lt;&gt;"",INDEX(Tab_DaBa[],MATCH(CONCATENATE(Liste!$C$3,$B$2543,$B$2769),Data!$BO:$BO,0)-2,43)=""),"PFH [1/h] = "&amp;10^9*INDEX(Tab_DaBa[],MATCH(CONCATENATE(Liste!$C$3,$B$2543,$B$2769),Data!$BO:$BO,0)-2,16)&amp;"E-9",IF(INDEX(Tab_DaBa[],MATCH(CONCATENATE(Liste!$C$3,$B$2543,$B$2769),Data!$BO:$BO,0)-2,38)&lt;&gt;"","PFH [1/h] = "&amp;10^9*INDEX(Tab_DaBa[],MATCH(CONCATENATE(Liste!$C$3,$B$2543,$B$2769),Data!$BO:$BO,0)-2,46)&amp;"E-9","")),"")</f>
        <v>PFH [1/h] = 4,19E-9</v>
      </c>
      <c r="G2783" s="39"/>
      <c r="H2783" s="35" t="str">
        <f ca="1">IFERROR(IF(AND(INDEX(Tab_DaBa[],MATCH(CONCATENATE(Liste!$C$3,$B$2543,$B$2769),Data!$BO:$BO,0)-2,43)&lt;&gt;"",INDEX(Tab_DaBa[],MATCH(CONCATENATE(Liste!$C$3,$B$2543,$B$2769),Data!$BO:$BO,0)-2,48)=""),"PFH [1/h] = "&amp;10^9*INDEX(Tab_DaBa[],MATCH(CONCATENATE(Liste!$C$3,$B$2543,$B$2769),Data!$BO:$BO,0)-2,16)&amp;"E-9",IF(INDEX(Tab_DaBa[],MATCH(CONCATENATE(Liste!$C$3,$B$2543,$B$2769),Data!$BO:$BO,0)-2,43)&lt;&gt;"","PFH [1/h] = "&amp;10^9*INDEX(Tab_DaBa[],MATCH(CONCATENATE(Liste!$C$3,$B$2543,$B$2769),Data!$BO:$BO,0)-2,51)&amp;"E-9","")),"")</f>
        <v>PFH [1/h] = 4,19E-9</v>
      </c>
      <c r="I2783" s="39"/>
    </row>
    <row r="2784" spans="2:9" s="16" customFormat="1">
      <c r="B2784" s="33"/>
      <c r="C2784" s="33"/>
      <c r="D2784" s="33"/>
      <c r="E2784" s="33"/>
      <c r="F2784" s="33"/>
      <c r="G2784" s="33"/>
      <c r="H2784" s="33"/>
      <c r="I2784" s="33"/>
    </row>
    <row r="2785" spans="2:9" s="16" customFormat="1" ht="15.75">
      <c r="B2785" s="38">
        <f ca="1">IF(B2787="","",6)</f>
        <v>6</v>
      </c>
      <c r="C2785" s="33"/>
      <c r="D2785" s="38">
        <f ca="1">IF(B2787="","",3)</f>
        <v>3</v>
      </c>
      <c r="E2785" s="33"/>
      <c r="F2785" s="38">
        <f ca="1">IF(B2787="","",3)</f>
        <v>3</v>
      </c>
      <c r="G2785" s="33"/>
      <c r="H2785" s="38">
        <f ca="1">IF(B2787="","",3)</f>
        <v>3</v>
      </c>
      <c r="I2785" s="33"/>
    </row>
    <row r="2786" spans="2:9" s="16" customFormat="1" ht="15.75">
      <c r="B2786" s="39"/>
      <c r="C2786" s="33"/>
      <c r="D2786" s="33"/>
      <c r="E2786" s="33"/>
      <c r="F2786" s="33"/>
      <c r="G2786" s="33"/>
      <c r="H2786" s="33"/>
      <c r="I2786" s="33"/>
    </row>
    <row r="2787" spans="2:9" s="16" customFormat="1" ht="15.75">
      <c r="B2787" s="35" t="str">
        <f ca="1">IFERROR(IF(AND(INDEX(Tab_DaBa[],MATCH(CONCATENATE(Liste!$C$3,$B$2543,$B$2769),Data!$BO:$BO,0)-2,48)&lt;&gt;"",INDEX(Tab_DaBa[],MATCH(CONCATENATE(Liste!$C$3,$B$2543,$B$2769),Data!$BO:$BO,0)-2,53)=0),INDEX(Tab_DaBa[],MATCH(CONCATENATE(Liste!$C$3,$B$2543,$B$2769),Data!$BO:$BO,0)-2,14),IF(INDEX(Tab_DaBa[],MATCH(CONCATENATE(Liste!$C$3,$B$2543,$B$2769),Data!$BO:$BO,0)-2,48)&lt;&gt;"",INDEX(Tab_DaBa[],MATCH(CONCATENATE(Liste!$C$3,$B$2543,$B$2769),Data!$BO:$BO,0)-2,54),"")),"")</f>
        <v>Logik 08</v>
      </c>
      <c r="C2787" s="39"/>
      <c r="D2787" s="35" t="str">
        <f ca="1">IFERROR(IF(AND(INDEX(Tab_DaBa[],MATCH(CONCATENATE(Liste!$C$3,$B$2543,$B$2769),Data!$BO:$BO,0)-2,53)&lt;&gt;"",INDEX(Tab_DaBa[],MATCH(CONCATENATE(Liste!$C$3,$B$2543,$B$2769),Data!$BO:$BO,0)-2,58)=0),INDEX(Tab_DaBa[],MATCH(CONCATENATE(Liste!$C$3,$B$2543,$B$2769),Data!$BO:$BO,0)-2,14),IF(INDEX(Tab_DaBa[],MATCH(CONCATENATE(Liste!$C$3,$B$2543,$B$2769),Data!$BO:$BO,0)-2,53)&lt;&gt;"",INDEX(Tab_DaBa[],MATCH(CONCATENATE(Liste!$C$3,$B$2543,$B$2769),Data!$BO:$BO,0)-2,59),"")),"")</f>
        <v>Logik 09</v>
      </c>
      <c r="E2787" s="33"/>
      <c r="F2787" s="35" t="str">
        <f ca="1">IFERROR(IF(AND(INDEX(Tab_DaBa[],MATCH(CONCATENATE(Liste!$C$3,$B$2543,$B$2769),Data!$BO:$BO,0)-2,58)&lt;&gt;"",INDEX(Tab_DaBa[],MATCH(CONCATENATE(Liste!$C$3,$B$2543,$B$2769),Data!$BO:$BO,0)-2,63)=0),INDEX(Tab_DaBa[],MATCH(CONCATENATE(Liste!$C$3,$B$2543,$B$2769),Data!$BO:$BO,0)-2,14),IF(INDEX(Tab_DaBa[],MATCH(CONCATENATE(Liste!$C$3,$B$2543,$B$2769),Data!$BO:$BO,0)-2,58)&lt;&gt;"",INDEX(Tab_DaBa[],MATCH(CONCATENATE(Liste!$C$3,$B$2543,$B$2769),Data!$BO:$BO,0)-2,64),"")),"")</f>
        <v>Ausgang</v>
      </c>
      <c r="G2787" s="39"/>
      <c r="H2787" s="35" t="str">
        <f ca="1">IFERROR(IF(INDEX(Tab_DaBa[],MATCH(CONCATENATE(Liste!$C$3,$B$2543,$B$2769),Data!$BO:$BO,0)-2,63)&lt;&gt;"",INDEX(Tab_DaBa[],MATCH(CONCATENATE(Liste!$C$3,$B$2543,$B$2769),Data!$BO:$BO,0)-2,14),""),"")</f>
        <v/>
      </c>
    </row>
    <row r="2788" spans="2:9" s="16" customFormat="1" ht="15.75">
      <c r="B2788" s="35" t="str">
        <f ca="1">IFERROR(IF(AND(INDEX(Tab_DaBa[],MATCH(CONCATENATE(Liste!$C$3,$B$2543,$B$2769),Data!$BO:$BO,0)-2,48)&lt;&gt;"",INDEX(Tab_DaBa[],MATCH(CONCATENATE(Liste!$C$3,$B$2543,$B$2769),Data!$BO:$BO,0)-2,53)=0),INDEX(Tab_DaBa[],MATCH(CONCATENATE(Liste!$C$3,$B$2543,$B$2769),Data!$BO:$BO,0)-2,12),IF(INDEX(Tab_DaBa[],MATCH(CONCATENATE(Liste!$C$3,$B$2543,$B$2769),Data!$BO:$BO,0)-2,48)&lt;&gt;"",INDEX(Tab_DaBa[],MATCH(CONCATENATE(Liste!$C$3,$B$2543,$B$2769),Data!$BO:$BO,0)-2,52),"")),"")</f>
        <v>Lo03-88_09</v>
      </c>
      <c r="C2788" s="39"/>
      <c r="D2788" s="35" t="str">
        <f ca="1">IFERROR(IF(AND(INDEX(Tab_DaBa[],MATCH(CONCATENATE(Liste!$C$3,$B$2543,$B$2769),Data!$BO:$BO,0)-2,53)&lt;&gt;"",INDEX(Tab_DaBa[],MATCH(CONCATENATE(Liste!$C$3,$B$2543,$B$2769),Data!$BO:$BO,0)-2,58)=0),INDEX(Tab_DaBa[],MATCH(CONCATENATE(Liste!$C$3,$B$2543,$B$2769),Data!$BO:$BO,0)-2,12),IF(INDEX(Tab_DaBa[],MATCH(CONCATENATE(Liste!$C$3,$B$2543,$B$2769),Data!$BO:$BO,0)-2,53)&lt;&gt;"",INDEX(Tab_DaBa[],MATCH(CONCATENATE(Liste!$C$3,$B$2543,$B$2769),Data!$BO:$BO,0)-2,57),"")),"")</f>
        <v>Lo03-33_09</v>
      </c>
      <c r="E2788" s="37"/>
      <c r="F2788" s="35" t="str">
        <f ca="1">IFERROR(IF(AND(INDEX(Tab_DaBa[],MATCH(CONCATENATE(Liste!$C$3,$B$2543,$B$2769),Data!$BO:$BO,0)-2,58)&lt;&gt;"",INDEX(Tab_DaBa[],MATCH(CONCATENATE(Liste!$C$3,$B$2543,$B$2769),Data!$BO:$BO,0)-2,63)=0),INDEX(Tab_DaBa[],MATCH(CONCATENATE(Liste!$C$3,$B$2543,$B$2769),Data!$BO:$BO,0)-2,12),IF(INDEX(Tab_DaBa[],MATCH(CONCATENATE(Liste!$C$3,$B$2543,$B$2769),Data!$BO:$BO,0)-2,58)&lt;&gt;"",INDEX(Tab_DaBa[],MATCH(CONCATENATE(Liste!$C$3,$B$2543,$B$2769),Data!$BO:$BO,0)-2,62),"")),"")</f>
        <v>aaaa-44_9</v>
      </c>
      <c r="G2788" s="39"/>
      <c r="H2788" s="35" t="str">
        <f ca="1">IFERROR(IF(INDEX(Tab_DaBa[],MATCH(CONCATENATE(Liste!$C$3,$B$2543,$B$2769),Data!$BO:$BO,0)-2,63)&lt;&gt;"",INDEX(Tab_DaBa[],MATCH(CONCATENATE(Liste!$C$3,$B$2543,$B$2769),Data!$BO:$BO,0)-2,12),""),"")</f>
        <v/>
      </c>
    </row>
    <row r="2789" spans="2:9" s="16" customFormat="1" ht="15.75">
      <c r="B2789" s="35" t="str">
        <f ca="1">IFERROR(IF(AND(INDEX(Tab_DaBa[],MATCH(CONCATENATE(Liste!$C$3,$B$2543,$B$2769),Data!$BO:$BO,0)-2,48)&lt;&gt;"",INDEX(Tab_DaBa[],MATCH(CONCATENATE(Liste!$C$3,$B$2543,$B$2769),Data!$BO:$BO,0)-2,53)=""),INDEX(Tab_DaBa[],MATCH(CONCATENATE(Liste!$C$3,$B$2543,$B$2769),Data!$BO:$BO,0)-2,13),IF(INDEX(Tab_DaBa[],MATCH(CONCATENATE(Liste!$C$3,$B$2543,$B$2769),Data!$BO:$BO,0)-2,48)&lt;&gt;"",INDEX(Tab_DaBa[],MATCH(CONCATENATE(Liste!$C$3,$B$2543,$B$2769),Data!$BO:$BO,0)-2,53),"")),"")</f>
        <v>Bez_Lo03_09</v>
      </c>
      <c r="C2789" s="38">
        <f ca="1">IF(D2787="","",4)</f>
        <v>4</v>
      </c>
      <c r="D2789" s="35" t="str">
        <f ca="1">IFERROR(IF(AND(INDEX(Tab_DaBa[],MATCH(CONCATENATE(Liste!$C$3,$B$2543,$B$2769),Data!$BO:$BO,0)-2,53)&lt;&gt;"",INDEX(Tab_DaBa[],MATCH(CONCATENATE(Liste!$C$3,$B$2543,$B$2769),Data!$BO:$BO,0)-2,58)=""),INDEX(Tab_DaBa[],MATCH(CONCATENATE(Liste!$C$3,$B$2543,$B$2769),Data!$BO:$BO,0)-2,13),IF(INDEX(Tab_DaBa[],MATCH(CONCATENATE(Liste!$C$3,$B$2543,$B$2769),Data!$BO:$BO,0)-2,53)&lt;&gt;"",INDEX(Tab_DaBa[],MATCH(CONCATENATE(Liste!$C$3,$B$2543,$B$2769),Data!$BO:$BO,0)-2,58),"")),"")</f>
        <v>Bez_Lo03_09</v>
      </c>
      <c r="E2789" s="38">
        <f ca="1">IF(F2787="","",4)</f>
        <v>4</v>
      </c>
      <c r="F2789" s="35" t="str">
        <f ca="1">IFERROR(IF(AND(INDEX(Tab_DaBa[],MATCH(CONCATENATE(Liste!$C$3,$B$2543,$B$2769),Data!$BO:$BO,0)-2,58)&lt;&gt;"",INDEX(Tab_DaBa[],MATCH(CONCATENATE(Liste!$C$3,$B$2543,$B$2769),Data!$BO:$BO,0)-2,63)=""),INDEX(Tab_DaBa[],MATCH(CONCATENATE(Liste!$C$3,$B$2543,$B$2769),Data!$BO:$BO,0)-2,13),IF(INDEX(Tab_DaBa[],MATCH(CONCATENATE(Liste!$C$3,$B$2543,$B$2769),Data!$BO:$BO,0)-2,58)&lt;&gt;"",INDEX(Tab_DaBa[],MATCH(CONCATENATE(Liste!$C$3,$B$2543,$B$2769),Data!$BO:$BO,0)-2,63),"")),"")</f>
        <v>Bez_Aus4_9</v>
      </c>
      <c r="G2789" s="38" t="str">
        <f ca="1">IF(H2787="","",4)</f>
        <v/>
      </c>
      <c r="H2789" s="35" t="str">
        <f ca="1">IFERROR(IF(INDEX(Tab_DaBa[],MATCH(CONCATENATE(Liste!$C$3,$B$2543,$B$2769),Data!$BO:$BO,0)-2,63)&lt;&gt;"",INDEX(Tab_DaBa[],MATCH(CONCATENATE(Liste!$C$3,$B$2543,$B$2769),Data!$BO:$BO,0)-2,13),""),"")</f>
        <v/>
      </c>
    </row>
    <row r="2790" spans="2:9" s="16" customFormat="1" ht="15.75">
      <c r="B2790" s="35" t="str">
        <f ca="1">IFERROR(IF(AND(INDEX(Tab_DaBa[],MATCH(CONCATENATE(Liste!$C$3,$B$2543,$B$2769),Data!$BO:$BO,0)-2,48)&lt;&gt;"",INDEX(Tab_DaBa[],MATCH(CONCATENATE(Liste!$C$3,$B$2543,$B$2769),Data!$BO:$BO,0)-2,53)=""),"Performance Level: "&amp;INDEX(Tab_DaBa[],MATCH(CONCATENATE(Liste!$C$3,$B$2543,$B$2769),Data!$BO:$BO,0)-2,15),IF(INDEX(Tab_DaBa[],MATCH(CONCATENATE(Liste!$C$3,$B$2543,$B$2769),Data!$BO:$BO,0)-2,48)&lt;&gt;"","Performance Level: "&amp;INDEX(Tab_DaBa[],MATCH(CONCATENATE(Liste!$C$3,$B$2543,$B$2769),Data!$BO:$BO,0)-2,55),"")),"")</f>
        <v>Performance Level: PL_Lo03_09</v>
      </c>
      <c r="C2790" s="39"/>
      <c r="D2790" s="35" t="str">
        <f ca="1">IFERROR(IF(AND(INDEX(Tab_DaBa[],MATCH(CONCATENATE(Liste!$C$3,$B$2543,$B$2769),Data!$BO:$BO,0)-2,53)&lt;&gt;"",INDEX(Tab_DaBa[],MATCH(CONCATENATE(Liste!$C$3,$B$2543,$B$2769),Data!$BO:$BO,0)-2,58)=""),"Performance Level: "&amp;INDEX(Tab_DaBa[],MATCH(CONCATENATE(Liste!$C$3,$B$2543,$B$2769),Data!$BO:$BO,0)-2,15),IF(INDEX(Tab_DaBa[],MATCH(CONCATENATE(Liste!$C$3,$B$2543,$B$2769),Data!$BO:$BO,0)-2,53)&lt;&gt;"","Performance Level: "&amp;INDEX(Tab_DaBa[],MATCH(CONCATENATE(Liste!$C$3,$B$2543,$B$2769),Data!$BO:$BO,0)-2,60),"")),"")</f>
        <v>Performance Level: PL_Lo03_09</v>
      </c>
      <c r="E2790" s="37"/>
      <c r="F2790" s="35" t="str">
        <f ca="1">IFERROR(IF(AND(INDEX(Tab_DaBa[],MATCH(CONCATENATE(Liste!$C$3,$B$2543,$B$2769),Data!$BO:$BO,0)-2,58)&lt;&gt;"",INDEX(Tab_DaBa[],MATCH(CONCATENATE(Liste!$C$3,$B$2543,$B$2769),Data!$BO:$BO,0)-2,63)=""),"Performance Level: "&amp;INDEX(Tab_DaBa[],MATCH(CONCATENATE(Liste!$C$3,$B$2543,$B$2769),Data!$BO:$BO,0)-2,15),IF(INDEX(Tab_DaBa[],MATCH(CONCATENATE(Liste!$C$3,$B$2543,$B$2769),Data!$BO:$BO,0)-2,58)&lt;&gt;"","Performance Level: "&amp;INDEX(Tab_DaBa[],MATCH(CONCATENATE(Liste!$C$3,$B$2543,$B$2769),Data!$BO:$BO,0)-2,65),"")),"")</f>
        <v>Performance Level: PL_Aus4_9</v>
      </c>
      <c r="G2790" s="39"/>
      <c r="H2790" s="35" t="str">
        <f ca="1">IFERROR(IF(INDEX(Tab_DaBa[],MATCH(CONCATENATE(Liste!$C$3,$B$2543,$B$2769),Data!$BO:$BO,0)-2,63)&lt;&gt;"","Performance Level: "&amp;INDEX(Tab_DaBa[],MATCH(CONCATENATE(Liste!$C$3,$B$2543,$B$2769),Data!$BO:$BO,0)-2,15),""),"")</f>
        <v/>
      </c>
    </row>
    <row r="2791" spans="2:9" s="16" customFormat="1" ht="15.75">
      <c r="B2791" s="35" t="str">
        <f ca="1">IFERROR(IF(AND(INDEX(Tab_DaBa[],MATCH(CONCATENATE(Liste!$C$3,$B$2543,$B$2769),Data!$BO:$BO,0)-2,48)&lt;&gt;"",INDEX(Tab_DaBa[],MATCH(CONCATENATE(Liste!$C$3,$B$2543,$B$2769),Data!$BO:$BO,0)-2,53)=""),"PFH [1/h] = "&amp;10^9*INDEX(Tab_DaBa[],MATCH(CONCATENATE(Liste!$C$3,$B$2543,$B$2769),Data!$BO:$BO,0)-2,16)&amp;"E-9",IF(INDEX(Tab_DaBa[],MATCH(CONCATENATE(Liste!$C$3,$B$2543,$B$2769),Data!$BO:$BO,0)-2,48)&lt;&gt;"","PFH [1/h] = "&amp;10^9*INDEX(Tab_DaBa[],MATCH(CONCATENATE(Liste!$C$3,$B$2543,$B$2769),Data!$BO:$BO,0)-2,56)&amp;"E-9","")),"")</f>
        <v>PFH [1/h] = 4,19E-9</v>
      </c>
      <c r="C2791" s="39"/>
      <c r="D2791" s="35" t="str">
        <f ca="1">IFERROR(IF(AND(INDEX(Tab_DaBa[],MATCH(CONCATENATE(Liste!$C$3,$B$2543,$B$2769),Data!$BO:$BO,0)-2,53)&lt;&gt;"",INDEX(Tab_DaBa[],MATCH(CONCATENATE(Liste!$C$3,$B$2543,$B$2769),Data!$BO:$BO,0)-2,58)=""),"PFH [1/h] = "&amp;10^9*INDEX(Tab_DaBa[],MATCH(CONCATENATE(Liste!$C$3,$B$2543,$B$2769),Data!$BO:$BO,0)-2,16)&amp;"E-9",IF(INDEX(Tab_DaBa[],MATCH(CONCATENATE(Liste!$C$3,$B$2543,$B$2769),Data!$BO:$BO,0)-2,53)&lt;&gt;"","PFH [1/h] = "&amp;10^9*INDEX(Tab_DaBa[],MATCH(CONCATENATE(Liste!$C$3,$B$2543,$B$2769),Data!$BO:$BO,0)-2,61)&amp;"E-9","")),"")</f>
        <v>PFH [1/h] = 4,19E-9</v>
      </c>
      <c r="E2791" s="37"/>
      <c r="F2791" s="35" t="str">
        <f ca="1">IFERROR(IF(AND(INDEX(Tab_DaBa[],MATCH(CONCATENATE(Liste!$C$3,$B$2543,$B$2769),Data!$BO:$BO,0)-2,58)&lt;&gt;"",INDEX(Tab_DaBa[],MATCH(CONCATENATE(Liste!$C$3,$B$2543,$B$2769),Data!$BO:$BO,0)-2,63)=""),"PFH [1/h] = "&amp;10^9*INDEX(Tab_DaBa[],MATCH(CONCATENATE(Liste!$C$3,$B$2543,$B$2769),Data!$BO:$BO,0)-2,16)&amp;"E-9",IF(INDEX(Tab_DaBa[],MATCH(CONCATENATE(Liste!$C$3,$B$2543,$B$2769),Data!$BO:$BO,0)-2,58)&lt;&gt;"","PFH [1/h] = "&amp;10^9*INDEX(Tab_DaBa[],MATCH(CONCATENATE(Liste!$C$3,$B$2543,$B$2769),Data!$BO:$BO,0)-2,66)&amp;"E-9","")),"")</f>
        <v>PFH [1/h] = 24,7E-9</v>
      </c>
      <c r="G2791" s="39"/>
      <c r="H2791" s="35" t="str">
        <f ca="1">IFERROR(IF(INDEX(Tab_DaBa[],MATCH(CONCATENATE(Liste!$C$3,$B$2543,$B$2769),Data!$BO:$BO,0)-2,63)&lt;&gt;"","PFH [1/h] = "&amp;10^9*INDEX(Tab_DaBa[],MATCH(CONCATENATE(Liste!$C$3,$B$2543,$B$2769),Data!$BO:$BO,0)-2,16)&amp;"E-9",""),"")</f>
        <v/>
      </c>
    </row>
    <row r="2792" spans="2:9" s="16" customFormat="1"/>
    <row r="2793" spans="2:9" s="16" customFormat="1">
      <c r="B2793" s="43" t="str">
        <f ca="1">IF(D2793="","","Erforderlich")</f>
        <v>Erforderlich</v>
      </c>
      <c r="D2793" s="44" t="str">
        <f ca="1">IFERROR("Performance Level: "&amp;INDEX(Tab_DaBa[],MATCH(CONCATENATE(Liste!$C$3,$B$2543,$B$2769),Data!$BO:$BO,0)-2,4),"")</f>
        <v>Performance Level: PLr_ges4_9</v>
      </c>
    </row>
    <row r="2794" spans="2:9" s="16" customFormat="1">
      <c r="B2794" s="45"/>
    </row>
    <row r="2795" spans="2:9" s="16" customFormat="1">
      <c r="B2795" s="46" t="str">
        <f ca="1">IF(D2795="","","Erreicht")</f>
        <v>Erreicht</v>
      </c>
      <c r="D2795" s="47" t="str">
        <f ca="1">IFERROR("Performance Level: "&amp;INDEX(Tab_DaBa[],MATCH(CONCATENATE(Liste!$C$3,$B$2543,$B$2769),Data!$BO:$BO,0)-2,5)&amp;"          PFH [1/h] = "&amp;10^9*INDEX(Tab_DaBa[],MATCH(CONCATENATE(Liste!$C$3,$B$2543,$B$2769),Data!$BO:$BO,0)-2,6)&amp;"E-9","")</f>
        <v>Performance Level: Pl_ges4_9          PFH [1/h] = 71,7E-9</v>
      </c>
    </row>
    <row r="2796" spans="2:9" s="16" customFormat="1">
      <c r="B2796" s="50"/>
      <c r="C2796" s="49"/>
      <c r="D2796" s="49"/>
    </row>
    <row r="2797" spans="2:9" s="16" customFormat="1">
      <c r="B2797" s="42" t="str">
        <f ca="1">IFERROR(IF(10&gt;COUNTIF(Data!$BP:$BP,CONCATENATE(Liste!$C$3,$B$2543)),"",INDEX(Tab_DaBa[],MATCH(CONCATENATE(Liste!$C$3,$B$2543),Data!$BP:$BP,0)+7,3)),"")</f>
        <v>10.10 Test10 (E+10L+A)</v>
      </c>
    </row>
    <row r="2798" spans="2:9" s="16" customFormat="1"/>
    <row r="2799" spans="2:9" s="16" customFormat="1" ht="15.75">
      <c r="B2799" s="35" t="str">
        <f ca="1">IFERROR(INDEX(Tab_DaBa[],MATCH(CONCATENATE(Liste!$C$3,$B$2543,$B$2797),Data!$BO:$BO,0)-2,9),"")</f>
        <v>Eingang</v>
      </c>
      <c r="C2799" s="54"/>
      <c r="D2799" s="35" t="str">
        <f ca="1">IFERROR(IF(INDEX(Tab_DaBa[],MATCH(CONCATENATE(Liste!$C$3,$B$2543,$B$2797),Data!$BO:$BO,0)-2,18)=0,INDEX(Tab_DaBa[],MATCH(CONCATENATE(Liste!$C$3,$B$2543,$B$2797),Data!$BO:$BO,0)-2,14),INDEX(Tab_DaBa[],MATCH(CONCATENATE(Liste!$C$3,$B$2543,$B$2797),Data!$BO:$BO,0)-2,19)),"")</f>
        <v>Logik 01</v>
      </c>
      <c r="E2799" s="33"/>
      <c r="F2799" s="35" t="str">
        <f ca="1">IFERROR(IF(AND(INDEX(Tab_DaBa[],MATCH(CONCATENATE(Liste!$C$3,$B$2543,$B$2797),Data!$BO:$BO,0)-2,18)&lt;&gt;"",INDEX(Tab_DaBa[],MATCH(CONCATENATE(Liste!$C$3,$B$2543,$B$2797),Data!$BO:$BO,0)-2,23)=0),INDEX(Tab_DaBa[],MATCH(CONCATENATE(Liste!$C$3,$B$2543,$B$2797),Data!$BO:$BO,0)-2,14),IF(INDEX(Tab_DaBa[],MATCH(CONCATENATE(Liste!$C$3,$B$2543,$B$2797),Data!$BO:$BO,0)-2,23)&lt;&gt;"",INDEX(Tab_DaBa[],MATCH(CONCATENATE(Liste!$C$3,$B$2543,$B$2797),Data!$BO:$BO,0)-2,24),"")),"")</f>
        <v>Logik 02</v>
      </c>
      <c r="G2799" s="39"/>
      <c r="H2799" s="35" t="str">
        <f ca="1">IFERROR(IF(AND(INDEX(Tab_DaBa[],MATCH(CONCATENATE(Liste!$C$3,$B$2543,$B$2797),Data!$BO:$BO,0)-2,23)&lt;&gt;"",INDEX(Tab_DaBa[],MATCH(CONCATENATE(Liste!$C$3,$B$2543,$B$2797),Data!$BO:$BO,0)-2,28)=0),INDEX(Tab_DaBa[],MATCH(CONCATENATE(Liste!$C$3,$B$2543,$B$2797),Data!$BO:$BO,0)-2,14),IF(INDEX(Tab_DaBa[],MATCH(CONCATENATE(Liste!$C$3,$B$2543,$B$2797),Data!$BO:$BO,0)-2,23)&lt;&gt;"",INDEX(Tab_DaBa[],MATCH(CONCATENATE(Liste!$C$3,$B$2543,$B$2797),Data!$BO:$BO,0)-2,29),"")),"")</f>
        <v>Logik 03</v>
      </c>
      <c r="I2799" s="39"/>
    </row>
    <row r="2800" spans="2:9" s="16" customFormat="1" ht="15.75">
      <c r="B2800" s="35" t="str">
        <f ca="1">IFERROR(INDEX(Tab_DaBa[],MATCH(CONCATENATE(Liste!$C$3,$B$2543,$B$2797),Data!$BO:$BO,0)-2,7),"")</f>
        <v>eeee-33_10</v>
      </c>
      <c r="C2800" s="54"/>
      <c r="D2800" s="35" t="str">
        <f ca="1">IFERROR(IF(INDEX(Tab_DaBa[],MATCH(CONCATENATE(Liste!$C$3,$B$2543,$B$2797),Data!$BO:$BO,0)-2,18)="",INDEX(Tab_DaBa[],MATCH(CONCATENATE(Liste!$C$3,$B$2543,$B$2797),Data!$BO:$BO,0)-2,12),INDEX(Tab_DaBa[],MATCH(CONCATENATE(Liste!$C$3,$B$2543,$B$2797),Data!$BO:$BO,0)-2,17)),"")</f>
        <v>Log01-04_10</v>
      </c>
      <c r="E2800" s="36"/>
      <c r="F2800" s="35" t="str">
        <f ca="1">IFERROR(IF(AND(INDEX(Tab_DaBa[],MATCH(CONCATENATE(Liste!$C$3,$B$2543,$B$2797),Data!$BO:$BO,0)-2,18)&lt;&gt;"",INDEX(Tab_DaBa[],MATCH(CONCATENATE(Liste!$C$3,$B$2543,$B$2797),Data!$BO:$BO,0)-2,23)=0),INDEX(Tab_DaBa[],MATCH(CONCATENATE(Liste!$C$3,$B$2543,$B$2797),Data!$BO:$BO,0)-2,12),IF(INDEX(Tab_DaBa[],MATCH(CONCATENATE(Liste!$C$3,$B$2543,$B$2797),Data!$BO:$BO,0)-2,23)&lt;&gt;"",INDEX(Tab_DaBa[],MATCH(CONCATENATE(Liste!$C$3,$B$2543,$B$2797),Data!$BO:$BO,0)-2,22),"")),"")</f>
        <v>Lo04-04_10</v>
      </c>
      <c r="G2800" s="39"/>
      <c r="H2800" s="35" t="str">
        <f ca="1">IFERROR(IF(AND(INDEX(Tab_DaBa[],MATCH(CONCATENATE(Liste!$C$3,$B$2543,$B$2797),Data!$BO:$BO,0)-2,23)&lt;&gt;"",INDEX(Tab_DaBa[],MATCH(CONCATENATE(Liste!$C$3,$B$2543,$B$2797),Data!$BO:$BO,0)-2,28)=0),INDEX(Tab_DaBa[],MATCH(CONCATENATE(Liste!$C$3,$B$2543,$B$2797),Data!$BO:$BO,0)-2,12),IF(INDEX(Tab_DaBa[],MATCH(CONCATENATE(Liste!$C$3,$B$2543,$B$2797),Data!$BO:$BO,0)-2,23)&lt;&gt;"",INDEX(Tab_DaBa[],MATCH(CONCATENATE(Liste!$C$3,$B$2543,$B$2797),Data!$BO:$BO,0)-2,27),"")),"")</f>
        <v>Lo04-44_10</v>
      </c>
      <c r="I2800" s="39"/>
    </row>
    <row r="2801" spans="2:9" s="16" customFormat="1" ht="15.75">
      <c r="B2801" s="35" t="str">
        <f ca="1">IFERROR(INDEX(Tab_DaBa[],MATCH(CONCATENATE(Liste!$C$3,$B$2543,$B$2797),Data!$BO:$BO,0)-2,8),"")</f>
        <v>Bez_Ein4_10</v>
      </c>
      <c r="C2801" s="40">
        <f ca="1">IF(D2799="","",4)</f>
        <v>4</v>
      </c>
      <c r="D2801" s="35" t="str">
        <f ca="1">IFERROR(IF(INDEX(Tab_DaBa[],MATCH(CONCATENATE(Liste!$C$3,$B$2543,$B$2797),Data!$BO:$BO,0)-2,18)="",INDEX(Tab_DaBa[],MATCH(CONCATENATE(Liste!$C$3,$B$2543,$B$2797),Data!$BO:$BO,0)-2,13),INDEX(Tab_DaBa[],MATCH(CONCATENATE(Liste!$C$3,$B$2543,$B$2797),Data!$BO:$BO,0)-2,18)),"")</f>
        <v>Bez_Log01_04_10</v>
      </c>
      <c r="E2801" s="40">
        <f ca="1">IF(F2799="","",4)</f>
        <v>4</v>
      </c>
      <c r="F2801" s="35" t="str">
        <f ca="1">IFERROR(IF(AND(INDEX(Tab_DaBa[],MATCH(CONCATENATE(Liste!$C$3,$B$2543,$B$2797),Data!$BO:$BO,0)-2,18)&lt;&gt;"",INDEX(Tab_DaBa[],MATCH(CONCATENATE(Liste!$C$3,$B$2543,$B$2797),Data!$BO:$BO,0)-2,23)=""),INDEX(Tab_DaBa[],MATCH(CONCATENATE(Liste!$C$3,$B$2543,$B$2797),Data!$BO:$BO,0)-2,13),IF(INDEX(Tab_DaBa[],MATCH(CONCATENATE(Liste!$C$3,$B$2543,$B$2797),Data!$BO:$BO,0)-2,23)&lt;&gt;"",INDEX(Tab_DaBa[],MATCH(CONCATENATE(Liste!$C$3,$B$2543,$B$2797),Data!$BO:$BO,0)-2,23),"")),"")</f>
        <v>Bez_Lo04_10</v>
      </c>
      <c r="G2801" s="38">
        <f ca="1">IF(H2799="","",4)</f>
        <v>4</v>
      </c>
      <c r="H2801" s="35" t="str">
        <f ca="1">IFERROR(IF(AND(INDEX(Tab_DaBa[],MATCH(CONCATENATE(Liste!$C$3,$B$2543,$B$2797),Data!$BO:$BO,0)-2,23)&lt;&gt;"",INDEX(Tab_DaBa[],MATCH(CONCATENATE(Liste!$C$3,$B$2543,$B$2797),Data!$BO:$BO,0)-2,28)=""),INDEX(Tab_DaBa[],MATCH(CONCATENATE(Liste!$C$3,$B$2543,$B$2797),Data!$BO:$BO,0)-2,13),IF(INDEX(Tab_DaBa[],MATCH(CONCATENATE(Liste!$C$3,$B$2543,$B$2797),Data!$BO:$BO,0)-2,23)&lt;&gt;"",INDEX(Tab_DaBa[],MATCH(CONCATENATE(Liste!$C$3,$B$2543,$B$2797),Data!$BO:$BO,0)-2,28),"")),"")</f>
        <v>Bez_Lo04_10</v>
      </c>
      <c r="I2801" s="38">
        <f ca="1">IF(B2807="","",6)</f>
        <v>6</v>
      </c>
    </row>
    <row r="2802" spans="2:9" s="16" customFormat="1" ht="15.75">
      <c r="B2802" s="35" t="str">
        <f ca="1">IFERROR("Performance Level: "&amp;INDEX(Tab_DaBa[],MATCH(CONCATENATE(Liste!$C$3,$B$2543,$B$2797),Data!$BO:$BO,0)-2,10),"")</f>
        <v>Performance Level: PL_Ein4_10</v>
      </c>
      <c r="C2802" s="54"/>
      <c r="D2802" s="35" t="str">
        <f ca="1">IFERROR(IF(INDEX(Tab_DaBa[],MATCH(CONCATENATE(Liste!$C$3,$B$2543,$B$2797),Data!$BO:$BO,0)-2,18)="","Performance Level: "&amp;INDEX(Tab_DaBa[],MATCH(CONCATENATE(Liste!$C$3,$B$2543,$B$2797),Data!$BO:$BO,0)-2,15),"Performance Level: "&amp;INDEX(Tab_DaBa[],MATCH(CONCATENATE(Liste!$C$3,$B$2543,$B$2797),Data!$BO:$BO,0)-2,20)),"")</f>
        <v>Performance Level: PL_Log01_04_10</v>
      </c>
      <c r="E2802" s="36"/>
      <c r="F2802" s="35" t="str">
        <f ca="1">IFERROR(IF(AND(INDEX(Tab_DaBa[],MATCH(CONCATENATE(Liste!$C$3,$B$2543,$B$2797),Data!$BO:$BO,0)-2,18)&lt;&gt;"",INDEX(Tab_DaBa[],MATCH(CONCATENATE(Liste!$C$3,$B$2543,$B$2797),Data!$BO:$BO,0)-2,23)=""),"Performance Level: "&amp;INDEX(Tab_DaBa[],MATCH(CONCATENATE(Liste!$C$3,$B$2543,$B$2797),Data!$BO:$BO,0)-2,15),IF(INDEX(Tab_DaBa[],MATCH(CONCATENATE(Liste!$C$3,$B$2543,$B$2797),Data!$BO:$BO,0)-2,23)&lt;&gt;"","Performance Level: "&amp;INDEX(Tab_DaBa[],MATCH(CONCATENATE(Liste!$C$3,$B$2543,$B$2797),Data!$BO:$BO,0)-2,25),"")),"")</f>
        <v>Performance Level: PL_Lo04_10</v>
      </c>
      <c r="G2802" s="39"/>
      <c r="H2802" s="35" t="str">
        <f ca="1">IFERROR(IF(AND(INDEX(Tab_DaBa[],MATCH(CONCATENATE(Liste!$C$3,$B$2543,$B$2797),Data!$BO:$BO,0)-2,23)&lt;&gt;"",INDEX(Tab_DaBa[],MATCH(CONCATENATE(Liste!$C$3,$B$2543,$B$2797),Data!$BO:$BO,0)-2,28)=""),"Performance Level: "&amp;INDEX(Tab_DaBa[],MATCH(CONCATENATE(Liste!$C$3,$B$2543,$B$2797),Data!$BO:$BO,0)-2,15),IF(INDEX(Tab_DaBa[],MATCH(CONCATENATE(Liste!$C$3,$B$2543,$B$2797),Data!$BO:$BO,0)-2,23)&lt;&gt;"","Performance Level: "&amp;INDEX(Tab_DaBa[],MATCH(CONCATENATE(Liste!$C$3,$B$2543,$B$2797),Data!$BO:$BO,0)-2,30),"")),"")</f>
        <v>Performance Level: PL_Lo04_10</v>
      </c>
      <c r="I2802" s="38"/>
    </row>
    <row r="2803" spans="2:9" s="16" customFormat="1" ht="15.75">
      <c r="B2803" s="53" t="str">
        <f ca="1">IFERROR("PFH [1/h] = "&amp;10^9*INDEX(Tab_DaBa[],MATCH(CONCATENATE(Liste!$C$3,$B$2543,$B$2797),Data!$BO:$BO,0)-2,11)&amp;"E-9","")</f>
        <v>PFH [1/h] = 42,9E-9</v>
      </c>
      <c r="C2803" s="54"/>
      <c r="D2803" s="35" t="str">
        <f ca="1">IFERROR(IF(INDEX(Tab_DaBa[],MATCH(CONCATENATE(Liste!$C$3,$B$2543,$B$2797),Data!$BO:$BO,0)-2,18)="","PFH [1/h] = "&amp;10^9*INDEX(Tab_DaBa[],MATCH(CONCATENATE(Liste!$C$3,$B$2543,$B$2797),Data!$BO:$BO,0)-2,16)&amp;"E-9","PFH [1/h] = "&amp;10^9*INDEX(Tab_DaBa[],MATCH(CONCATENATE(Liste!$C$3,$B$2543,$B$2797),Data!$BO:$BO,0)-2,21)&amp;"E-9"),"")</f>
        <v>PFH [1/h] = 4,19E-9</v>
      </c>
      <c r="E2803" s="36"/>
      <c r="F2803" s="35" t="str">
        <f ca="1">IFERROR(IF(AND(INDEX(Tab_DaBa[],MATCH(CONCATENATE(Liste!$C$3,$B$2543,$B$2797),Data!$BO:$BO,0)-2,18)&lt;&gt;"",INDEX(Tab_DaBa[],MATCH(CONCATENATE(Liste!$C$3,$B$2543,$B$2797),Data!$BO:$BO,0)-2,23)=""),"PFH [1/h] = "&amp;10^9*INDEX(Tab_DaBa[],MATCH(CONCATENATE(Liste!$C$3,$B$2543,$B$2797),Data!$BO:$BO,0)-2,16)&amp;"E-9",IF(INDEX(Tab_DaBa[],MATCH(CONCATENATE(Liste!$C$3,$B$2543,$B$2797),Data!$BO:$BO,0)-2,23)&lt;&gt;"","PFH [1/h] = "&amp;10^9*INDEX(Tab_DaBa[],MATCH(CONCATENATE(Liste!$C$3,$B$2543,$B$2797),Data!$BO:$BO,0)-2,26)&amp;"E-9","")),"")</f>
        <v>PFH [1/h] = 4,19E-9</v>
      </c>
      <c r="G2803" s="39"/>
      <c r="H2803" s="35" t="str">
        <f ca="1">IFERROR(IF(AND(INDEX(Tab_DaBa[],MATCH(CONCATENATE(Liste!$C$3,$B$2543,$B$2797),Data!$BO:$BO,0)-2,23)&lt;&gt;"",INDEX(Tab_DaBa[],MATCH(CONCATENATE(Liste!$C$3,$B$2543,$B$2797),Data!$BO:$BO,0)-2,28)=""),"PFH [1/h] = "&amp;10^9*INDEX(Tab_DaBa[],MATCH(CONCATENATE(Liste!$C$3,$B$2543,$B$2797),Data!$BO:$BO,0)-2,16)&amp;"E-9",IF(INDEX(Tab_DaBa[],MATCH(CONCATENATE(Liste!$C$3,$B$2543,$B$2797),Data!$BO:$BO,0)-2,23)&lt;&gt;"","PFH [1/h] = "&amp;10^9*INDEX(Tab_DaBa[],MATCH(CONCATENATE(Liste!$C$3,$B$2543,$B$2797),Data!$BO:$BO,0)-2,31)&amp;"E-9","")),"")</f>
        <v>PFH [1/h] = 4,19E-9</v>
      </c>
      <c r="I2803" s="39"/>
    </row>
    <row r="2804" spans="2:9" s="16" customFormat="1">
      <c r="B2804" s="33"/>
      <c r="C2804" s="34"/>
      <c r="D2804" s="33"/>
      <c r="E2804" s="33"/>
      <c r="F2804" s="33"/>
      <c r="G2804" s="33"/>
      <c r="H2804" s="33"/>
      <c r="I2804" s="33"/>
    </row>
    <row r="2805" spans="2:9" s="16" customFormat="1" ht="15.75">
      <c r="B2805" s="38">
        <f ca="1">IF(B2807="","",6)</f>
        <v>6</v>
      </c>
      <c r="C2805" s="34"/>
      <c r="D2805" s="38">
        <f ca="1">IF(B2807="","",3)</f>
        <v>3</v>
      </c>
      <c r="E2805" s="33"/>
      <c r="F2805" s="38">
        <f ca="1">IF(B2807="","",3)</f>
        <v>3</v>
      </c>
      <c r="G2805" s="33"/>
      <c r="H2805" s="38">
        <f ca="1">IF(B2807="","",3)</f>
        <v>3</v>
      </c>
      <c r="I2805" s="33"/>
    </row>
    <row r="2806" spans="2:9" s="16" customFormat="1" ht="15.75">
      <c r="B2806" s="39"/>
      <c r="C2806" s="33"/>
      <c r="D2806" s="33"/>
      <c r="E2806" s="33"/>
      <c r="F2806" s="33"/>
      <c r="G2806" s="33"/>
      <c r="H2806" s="33"/>
      <c r="I2806" s="33"/>
    </row>
    <row r="2807" spans="2:9" s="16" customFormat="1" ht="15.75">
      <c r="B2807" s="35" t="str">
        <f ca="1">IFERROR(IF(AND(INDEX(Tab_DaBa[],MATCH(CONCATENATE(Liste!$C$3,$B$2543,$B$2797),Data!$BO:$BO,0)-2,28)&lt;&gt;"",INDEX(Tab_DaBa[],MATCH(CONCATENATE(Liste!$C$3,$B$2543,$B$2797),Data!$BO:$BO,0)-2,33)=0),INDEX(Tab_DaBa[],MATCH(CONCATENATE(Liste!$C$3,$B$2543,$B$2797),Data!$BO:$BO,0)-2,14),IF(INDEX(Tab_DaBa[],MATCH(CONCATENATE(Liste!$C$3,$B$2543,$B$2797),Data!$BO:$BO,0)-2,28)&lt;&gt;"",INDEX(Tab_DaBa[],MATCH(CONCATENATE(Liste!$C$3,$B$2543,$B$2797),Data!$BO:$BO,0)-2,34),"")),"")</f>
        <v>Logik 04</v>
      </c>
      <c r="C2807" s="39"/>
      <c r="D2807" s="35" t="str">
        <f ca="1">IFERROR(IF(AND(INDEX(Tab_DaBa[],MATCH(CONCATENATE(Liste!$C$3,$B$2543,$B$2797),Data!$BO:$BO,0)-2,33)&lt;&gt;"",INDEX(Tab_DaBa[],MATCH(CONCATENATE(Liste!$C$3,$B$2543,$B$2797),Data!$BO:$BO,0)-2,38)=0),INDEX(Tab_DaBa[],MATCH(CONCATENATE(Liste!$C$3,$B$2543,$B$2797),Data!$BO:$BO,0)-2,14),IF(INDEX(Tab_DaBa[],MATCH(CONCATENATE(Liste!$C$3,$B$2543,$B$2797),Data!$BO:$BO,0)-2,33)&lt;&gt;"",INDEX(Tab_DaBa[],MATCH(CONCATENATE(Liste!$C$3,$B$2543,$B$2797),Data!$BO:$BO,0)-2,39),"")),"")</f>
        <v>Logik 08</v>
      </c>
      <c r="E2807" s="33"/>
      <c r="F2807" s="35" t="str">
        <f ca="1">IFERROR(IF(AND(INDEX(Tab_DaBa[],MATCH(CONCATENATE(Liste!$C$3,$B$2543,$B$2797),Data!$BO:$BO,0)-2,38)&lt;&gt;"",INDEX(Tab_DaBa[],MATCH(CONCATENATE(Liste!$C$3,$B$2543,$B$2797),Data!$BO:$BO,0)-2,43)=0),INDEX(Tab_DaBa[],MATCH(CONCATENATE(Liste!$C$3,$B$2543,$B$2797),Data!$BO:$BO,0)-2,14),IF(INDEX(Tab_DaBa[],MATCH(CONCATENATE(Liste!$C$3,$B$2543,$B$2797),Data!$BO:$BO,0)-2,38)&lt;&gt;"",INDEX(Tab_DaBa[],MATCH(CONCATENATE(Liste!$C$3,$B$2543,$B$2797),Data!$BO:$BO,0)-2,44),"")),"")</f>
        <v>Logik 06</v>
      </c>
      <c r="G2807" s="39"/>
      <c r="H2807" s="35" t="str">
        <f ca="1">IFERROR(IF(AND(INDEX(Tab_DaBa[],MATCH(CONCATENATE(Liste!$C$3,$B$2543,$B$2797),Data!$BO:$BO,0)-2,43)&lt;&gt;"",INDEX(Tab_DaBa[],MATCH(CONCATENATE(Liste!$C$3,$B$2543,$B$2797),Data!$BO:$BO,0)-2,48)=0),INDEX(Tab_DaBa[],MATCH(CONCATENATE(Liste!$C$3,$B$2543,$B$2797),Data!$BO:$BO,0)-2,14),IF(INDEX(Tab_DaBa[],MATCH(CONCATENATE(Liste!$C$3,$B$2543,$B$2797),Data!$BO:$BO,0)-2,43)&lt;&gt;"",INDEX(Tab_DaBa[],MATCH(CONCATENATE(Liste!$C$3,$B$2543,$B$2797),Data!$BO:$BO,0)-2,49),"")),"")</f>
        <v>Logik 07</v>
      </c>
      <c r="I2807" s="39"/>
    </row>
    <row r="2808" spans="2:9" s="16" customFormat="1" ht="15.75">
      <c r="B2808" s="35" t="str">
        <f ca="1">IFERROR(IF(AND(INDEX(Tab_DaBa[],MATCH(CONCATENATE(Liste!$C$3,$B$2543,$B$2797),Data!$BO:$BO,0)-2,28)&lt;&gt;"",INDEX(Tab_DaBa[],MATCH(CONCATENATE(Liste!$C$3,$B$2543,$B$2797),Data!$BO:$BO,0)-2,33)=0),INDEX(Tab_DaBa[],MATCH(CONCATENATE(Liste!$C$3,$B$2543,$B$2797),Data!$BO:$BO,0)-2,12),IF(INDEX(Tab_DaBa[],MATCH(CONCATENATE(Liste!$C$3,$B$2543,$B$2797),Data!$BO:$BO,0)-2,28)&lt;&gt;"",INDEX(Tab_DaBa[],MATCH(CONCATENATE(Liste!$C$3,$B$2543,$B$2797),Data!$BO:$BO,0)-2,32),"")),"")</f>
        <v>Lo04-44_10</v>
      </c>
      <c r="C2808" s="39"/>
      <c r="D2808" s="35" t="str">
        <f ca="1">IFERROR(IF(AND(INDEX(Tab_DaBa[],MATCH(CONCATENATE(Liste!$C$3,$B$2543,$B$2797),Data!$BO:$BO,0)-2,33)&lt;&gt;"",INDEX(Tab_DaBa[],MATCH(CONCATENATE(Liste!$C$3,$B$2543,$B$2797),Data!$BO:$BO,0)-2,38)=0),INDEX(Tab_DaBa[],MATCH(CONCATENATE(Liste!$C$3,$B$2543,$B$2797),Data!$BO:$BO,0)-2,12),IF(INDEX(Tab_DaBa[],MATCH(CONCATENATE(Liste!$C$3,$B$2543,$B$2797),Data!$BO:$BO,0)-2,33)&lt;&gt;"",INDEX(Tab_DaBa[],MATCH(CONCATENATE(Liste!$C$3,$B$2543,$B$2797),Data!$BO:$BO,0)-2,37),"")),"")</f>
        <v>Lo04-44_10</v>
      </c>
      <c r="E2808" s="37"/>
      <c r="F2808" s="35" t="str">
        <f ca="1">IFERROR(IF(AND(INDEX(Tab_DaBa[],MATCH(CONCATENATE(Liste!$C$3,$B$2543,$B$2797),Data!$BO:$BO,0)-2,38)&lt;&gt;"",INDEX(Tab_DaBa[],MATCH(CONCATENATE(Liste!$C$3,$B$2543,$B$2797),Data!$BO:$BO,0)-2,43)=0),INDEX(Tab_DaBa[],MATCH(CONCATENATE(Liste!$C$3,$B$2543,$B$2797),Data!$BO:$BO,0)-2,12),IF(INDEX(Tab_DaBa[],MATCH(CONCATENATE(Liste!$C$3,$B$2543,$B$2797),Data!$BO:$BO,0)-2,38)&lt;&gt;"",INDEX(Tab_DaBa[],MATCH(CONCATENATE(Liste!$C$3,$B$2543,$B$2797),Data!$BO:$BO,0)-2,42),"")),"")</f>
        <v>Lo03-33_10</v>
      </c>
      <c r="G2808" s="39"/>
      <c r="H2808" s="35" t="str">
        <f ca="1">IFERROR(IF(AND(INDEX(Tab_DaBa[],MATCH(CONCATENATE(Liste!$C$3,$B$2543,$B$2797),Data!$BO:$BO,0)-2,43)&lt;&gt;"",INDEX(Tab_DaBa[],MATCH(CONCATENATE(Liste!$C$3,$B$2543,$B$2797),Data!$BO:$BO,0)-2,48)=0),INDEX(Tab_DaBa[],MATCH(CONCATENATE(Liste!$C$3,$B$2543,$B$2797),Data!$BO:$BO,0)-2,12),IF(INDEX(Tab_DaBa[],MATCH(CONCATENATE(Liste!$C$3,$B$2543,$B$2797),Data!$BO:$BO,0)-2,43)&lt;&gt;"",INDEX(Tab_DaBa[],MATCH(CONCATENATE(Liste!$C$3,$B$2543,$B$2797),Data!$BO:$BO,0)-2,47),"")),"")</f>
        <v>Lo03-33_10</v>
      </c>
      <c r="I2808" s="39"/>
    </row>
    <row r="2809" spans="2:9" s="16" customFormat="1" ht="15.75">
      <c r="B2809" s="35" t="str">
        <f ca="1">IFERROR(IF(AND(INDEX(Tab_DaBa[],MATCH(CONCATENATE(Liste!$C$3,$B$2543,$B$2797),Data!$BO:$BO,0)-2,28)&lt;&gt;"",INDEX(Tab_DaBa[],MATCH(CONCATENATE(Liste!$C$3,$B$2543,$B$2797),Data!$BO:$BO,0)-2,33)=""),INDEX(Tab_DaBa[],MATCH(CONCATENATE(Liste!$C$3,$B$2543,$B$2797),Data!$BO:$BO,0)-2,13),IF(INDEX(Tab_DaBa[],MATCH(CONCATENATE(Liste!$C$3,$B$2543,$B$2797),Data!$BO:$BO,0)-2,28)&lt;&gt;"",INDEX(Tab_DaBa[],MATCH(CONCATENATE(Liste!$C$3,$B$2543,$B$2797),Data!$BO:$BO,0)-2,33),"")),"")</f>
        <v>Bez_Lo04_10</v>
      </c>
      <c r="C2809" s="38">
        <f ca="1">IF(D2807="","",4)</f>
        <v>4</v>
      </c>
      <c r="D2809" s="35" t="str">
        <f ca="1">IFERROR(IF(AND(INDEX(Tab_DaBa[],MATCH(CONCATENATE(Liste!$C$3,$B$2543,$B$2797),Data!$BO:$BO,0)-2,33)&lt;&gt;"",INDEX(Tab_DaBa[],MATCH(CONCATENATE(Liste!$C$3,$B$2543,$B$2797),Data!$BO:$BO,0)-2,38)=""),INDEX(Tab_DaBa[],MATCH(CONCATENATE(Liste!$C$3,$B$2543,$B$2797),Data!$BO:$BO,0)-2,13),IF(INDEX(Tab_DaBa[],MATCH(CONCATENATE(Liste!$C$3,$B$2543,$B$2797),Data!$BO:$BO,0)-2,33)&lt;&gt;"",INDEX(Tab_DaBa[],MATCH(CONCATENATE(Liste!$C$3,$B$2543,$B$2797),Data!$BO:$BO,0)-2,38),"")),"")</f>
        <v>Bez_Lo03_10</v>
      </c>
      <c r="E2809" s="38">
        <f ca="1">IF(F2807="","",4)</f>
        <v>4</v>
      </c>
      <c r="F2809" s="35" t="str">
        <f ca="1">IFERROR(IF(AND(INDEX(Tab_DaBa[],MATCH(CONCATENATE(Liste!$C$3,$B$2543,$B$2797),Data!$BO:$BO,0)-2,38)&lt;&gt;"",INDEX(Tab_DaBa[],MATCH(CONCATENATE(Liste!$C$3,$B$2543,$B$2797),Data!$BO:$BO,0)-2,43)=""),INDEX(Tab_DaBa[],MATCH(CONCATENATE(Liste!$C$3,$B$2543,$B$2797),Data!$BO:$BO,0)-2,13),IF(INDEX(Tab_DaBa[],MATCH(CONCATENATE(Liste!$C$3,$B$2543,$B$2797),Data!$BO:$BO,0)-2,38)&lt;&gt;"",INDEX(Tab_DaBa[],MATCH(CONCATENATE(Liste!$C$3,$B$2543,$B$2797),Data!$BO:$BO,0)-2,43),"")),"")</f>
        <v>Bez_Lo03_10</v>
      </c>
      <c r="G2809" s="38">
        <f ca="1">IF(H2807="","",4)</f>
        <v>4</v>
      </c>
      <c r="H2809" s="35" t="str">
        <f ca="1">IFERROR(IF(AND(INDEX(Tab_DaBa[],MATCH(CONCATENATE(Liste!$C$3,$B$2543,$B$2797),Data!$BO:$BO,0)-2,43)&lt;&gt;"",INDEX(Tab_DaBa[],MATCH(CONCATENATE(Liste!$C$3,$B$2543,$B$2797),Data!$BO:$BO,0)-2,48)=""),INDEX(Tab_DaBa[],MATCH(CONCATENATE(Liste!$C$3,$B$2543,$B$2797),Data!$BO:$BO,0)-2,13),IF(INDEX(Tab_DaBa[],MATCH(CONCATENATE(Liste!$C$3,$B$2543,$B$2797),Data!$BO:$BO,0)-2,43)&lt;&gt;"",INDEX(Tab_DaBa[],MATCH(CONCATENATE(Liste!$C$3,$B$2543,$B$2797),Data!$BO:$BO,0)-2,48),"")),"")</f>
        <v>Bez_Lo03_10</v>
      </c>
      <c r="I2809" s="38">
        <f ca="1">IF(B2815="","",6)</f>
        <v>6</v>
      </c>
    </row>
    <row r="2810" spans="2:9" s="16" customFormat="1" ht="15.75">
      <c r="B2810" s="35" t="str">
        <f ca="1">IFERROR(IF(AND(INDEX(Tab_DaBa[],MATCH(CONCATENATE(Liste!$C$3,$B$2543,$B$2797),Data!$BO:$BO,0)-2,28)&lt;&gt;"",INDEX(Tab_DaBa[],MATCH(CONCATENATE(Liste!$C$3,$B$2543,$B$2797),Data!$BO:$BO,0)-2,33)=""),"Performance Level: "&amp;INDEX(Tab_DaBa[],MATCH(CONCATENATE(Liste!$C$3,$B$2543,$B$2797),Data!$BO:$BO,0)-2,15),IF(INDEX(Tab_DaBa[],MATCH(CONCATENATE(Liste!$C$3,$B$2543,$B$2797),Data!$BO:$BO,0)-2,28)&lt;&gt;"","Performance Level: "&amp;INDEX(Tab_DaBa[],MATCH(CONCATENATE(Liste!$C$3,$B$2543,$B$2797),Data!$BO:$BO,0)-2,35),"")),"")</f>
        <v>Performance Level: PL_Lo04_10</v>
      </c>
      <c r="C2810" s="39"/>
      <c r="D2810" s="35" t="str">
        <f ca="1">IFERROR(IF(AND(INDEX(Tab_DaBa[],MATCH(CONCATENATE(Liste!$C$3,$B$2543,$B$2797),Data!$BO:$BO,0)-2,33)&lt;&gt;"",INDEX(Tab_DaBa[],MATCH(CONCATENATE(Liste!$C$3,$B$2543,$B$2797),Data!$BO:$BO,0)-2,38)=""),"Performance Level: "&amp;INDEX(Tab_DaBa[],MATCH(CONCATENATE(Liste!$C$3,$B$2543,$B$2797),Data!$BO:$BO,0)-2,15),IF(INDEX(Tab_DaBa[],MATCH(CONCATENATE(Liste!$C$3,$B$2543,$B$2797),Data!$BO:$BO,0)-2,33)&lt;&gt;"","Performance Level: "&amp;INDEX(Tab_DaBa[],MATCH(CONCATENATE(Liste!$C$3,$B$2543,$B$2797),Data!$BO:$BO,0)-2,40),"")),"")</f>
        <v>Performance Level: PL_Lo03_10</v>
      </c>
      <c r="E2810" s="37"/>
      <c r="F2810" s="35" t="str">
        <f ca="1">IFERROR(IF(AND(INDEX(Tab_DaBa[],MATCH(CONCATENATE(Liste!$C$3,$B$2543,$B$2797),Data!$BO:$BO,0)-2,38)&lt;&gt;"",INDEX(Tab_DaBa[],MATCH(CONCATENATE(Liste!$C$3,$B$2543,$B$2797),Data!$BO:$BO,0)-2,43)=""),"Performance Level: "&amp;INDEX(Tab_DaBa[],MATCH(CONCATENATE(Liste!$C$3,$B$2543,$B$2797),Data!$BO:$BO,0)-2,15),IF(INDEX(Tab_DaBa[],MATCH(CONCATENATE(Liste!$C$3,$B$2543,$B$2797),Data!$BO:$BO,0)-2,38)&lt;&gt;"","Performance Level: "&amp;INDEX(Tab_DaBa[],MATCH(CONCATENATE(Liste!$C$3,$B$2543,$B$2797),Data!$BO:$BO,0)-2,45),"")),"")</f>
        <v>Performance Level: PL_Lo03_10</v>
      </c>
      <c r="G2810" s="39"/>
      <c r="H2810" s="35" t="str">
        <f ca="1">IFERROR(IF(AND(INDEX(Tab_DaBa[],MATCH(CONCATENATE(Liste!$C$3,$B$2543,$B$2797),Data!$BO:$BO,0)-2,43)&lt;&gt;"",INDEX(Tab_DaBa[],MATCH(CONCATENATE(Liste!$C$3,$B$2543,$B$2797),Data!$BO:$BO,0)-2,48)=""),"Performance Level: "&amp;INDEX(Tab_DaBa[],MATCH(CONCATENATE(Liste!$C$3,$B$2543,$B$2797),Data!$BO:$BO,0)-2,15),IF(INDEX(Tab_DaBa[],MATCH(CONCATENATE(Liste!$C$3,$B$2543,$B$2797),Data!$BO:$BO,0)-2,43)&lt;&gt;"","Performance Level: "&amp;INDEX(Tab_DaBa[],MATCH(CONCATENATE(Liste!$C$3,$B$2543,$B$2797),Data!$BO:$BO,0)-2,50),"")),"")</f>
        <v>Performance Level: PL_Lo03_10</v>
      </c>
      <c r="I2810" s="39"/>
    </row>
    <row r="2811" spans="2:9" s="16" customFormat="1" ht="15.75">
      <c r="B2811" s="35" t="str">
        <f ca="1">IFERROR(IF(AND(INDEX(Tab_DaBa[],MATCH(CONCATENATE(Liste!$C$3,$B$2543,$B$2797),Data!$BO:$BO,0)-2,28)&lt;&gt;"",INDEX(Tab_DaBa[],MATCH(CONCATENATE(Liste!$C$3,$B$2543,$B$2797),Data!$BO:$BO,0)-2,33)=""),"PFH [1/h] = "&amp;10^9*INDEX(Tab_DaBa[],MATCH(CONCATENATE(Liste!$C$3,$B$2543,$B$2797),Data!$BO:$BO,0)-2,16)&amp;"E-9",IF(INDEX(Tab_DaBa[],MATCH(CONCATENATE(Liste!$C$3,$B$2543,$B$2797),Data!$BO:$BO,0)-2,28)&lt;&gt;"","PFH [1/h] = "&amp;10^9*INDEX(Tab_DaBa[],MATCH(CONCATENATE(Liste!$C$3,$B$2543,$B$2797),Data!$BO:$BO,0)-2,36)&amp;"E-9","")),"")</f>
        <v>PFH [1/h] = 4,19E-9</v>
      </c>
      <c r="C2811" s="39"/>
      <c r="D2811" s="35" t="str">
        <f ca="1">IFERROR(IF(AND(INDEX(Tab_DaBa[],MATCH(CONCATENATE(Liste!$C$3,$B$2543,$B$2797),Data!$BO:$BO,0)-2,33)&lt;&gt;"",INDEX(Tab_DaBa[],MATCH(CONCATENATE(Liste!$C$3,$B$2543,$B$2797),Data!$BO:$BO,0)-2,38)=""),"PFH [1/h] = "&amp;10^9*INDEX(Tab_DaBa[],MATCH(CONCATENATE(Liste!$C$3,$B$2543,$B$2797),Data!$BO:$BO,0)-2,16)&amp;"E-9",IF(INDEX(Tab_DaBa[],MATCH(CONCATENATE(Liste!$C$3,$B$2543,$B$2797),Data!$BO:$BO,0)-2,33)&lt;&gt;"","PFH [1/h] = "&amp;10^9*INDEX(Tab_DaBa[],MATCH(CONCATENATE(Liste!$C$3,$B$2543,$B$2797),Data!$BO:$BO,0)-2,41)&amp;"E-9","")),"")</f>
        <v>PFH [1/h] = 4,19E-9</v>
      </c>
      <c r="E2811" s="37"/>
      <c r="F2811" s="35" t="str">
        <f ca="1">IFERROR(IF(AND(INDEX(Tab_DaBa[],MATCH(CONCATENATE(Liste!$C$3,$B$2543,$B$2797),Data!$BO:$BO,0)-2,38)&lt;&gt;"",INDEX(Tab_DaBa[],MATCH(CONCATENATE(Liste!$C$3,$B$2543,$B$2797),Data!$BO:$BO,0)-2,43)=""),"PFH [1/h] = "&amp;10^9*INDEX(Tab_DaBa[],MATCH(CONCATENATE(Liste!$C$3,$B$2543,$B$2797),Data!$BO:$BO,0)-2,16)&amp;"E-9",IF(INDEX(Tab_DaBa[],MATCH(CONCATENATE(Liste!$C$3,$B$2543,$B$2797),Data!$BO:$BO,0)-2,38)&lt;&gt;"","PFH [1/h] = "&amp;10^9*INDEX(Tab_DaBa[],MATCH(CONCATENATE(Liste!$C$3,$B$2543,$B$2797),Data!$BO:$BO,0)-2,46)&amp;"E-9","")),"")</f>
        <v>PFH [1/h] = 4,19E-9</v>
      </c>
      <c r="G2811" s="39"/>
      <c r="H2811" s="35" t="str">
        <f ca="1">IFERROR(IF(AND(INDEX(Tab_DaBa[],MATCH(CONCATENATE(Liste!$C$3,$B$2543,$B$2797),Data!$BO:$BO,0)-2,43)&lt;&gt;"",INDEX(Tab_DaBa[],MATCH(CONCATENATE(Liste!$C$3,$B$2543,$B$2797),Data!$BO:$BO,0)-2,48)=""),"PFH [1/h] = "&amp;10^9*INDEX(Tab_DaBa[],MATCH(CONCATENATE(Liste!$C$3,$B$2543,$B$2797),Data!$BO:$BO,0)-2,16)&amp;"E-9",IF(INDEX(Tab_DaBa[],MATCH(CONCATENATE(Liste!$C$3,$B$2543,$B$2797),Data!$BO:$BO,0)-2,43)&lt;&gt;"","PFH [1/h] = "&amp;10^9*INDEX(Tab_DaBa[],MATCH(CONCATENATE(Liste!$C$3,$B$2543,$B$2797),Data!$BO:$BO,0)-2,51)&amp;"E-9","")),"")</f>
        <v>PFH [1/h] = 4,19E-9</v>
      </c>
      <c r="I2811" s="39"/>
    </row>
    <row r="2812" spans="2:9" s="16" customFormat="1">
      <c r="B2812" s="33"/>
      <c r="C2812" s="33"/>
      <c r="D2812" s="33"/>
      <c r="E2812" s="33"/>
      <c r="F2812" s="33"/>
      <c r="G2812" s="33"/>
      <c r="H2812" s="33"/>
      <c r="I2812" s="33"/>
    </row>
    <row r="2813" spans="2:9" s="16" customFormat="1" ht="15.75">
      <c r="B2813" s="38">
        <f ca="1">IF(B2815="","",6)</f>
        <v>6</v>
      </c>
      <c r="C2813" s="33"/>
      <c r="D2813" s="38">
        <f ca="1">IF(B2815="","",3)</f>
        <v>3</v>
      </c>
      <c r="E2813" s="33"/>
      <c r="F2813" s="38">
        <f ca="1">IF(B2815="","",3)</f>
        <v>3</v>
      </c>
      <c r="G2813" s="33"/>
      <c r="H2813" s="38">
        <f ca="1">IF(B2815="","",3)</f>
        <v>3</v>
      </c>
      <c r="I2813" s="33"/>
    </row>
    <row r="2814" spans="2:9" s="16" customFormat="1" ht="15.75">
      <c r="B2814" s="39"/>
      <c r="C2814" s="33"/>
      <c r="D2814" s="33"/>
      <c r="E2814" s="33"/>
      <c r="F2814" s="33"/>
      <c r="G2814" s="33"/>
      <c r="H2814" s="33"/>
      <c r="I2814" s="33"/>
    </row>
    <row r="2815" spans="2:9" s="16" customFormat="1" ht="15.75">
      <c r="B2815" s="35" t="str">
        <f ca="1">IFERROR(IF(AND(INDEX(Tab_DaBa[],MATCH(CONCATENATE(Liste!$C$3,$B$2543,$B$2797),Data!$BO:$BO,0)-2,48)&lt;&gt;"",INDEX(Tab_DaBa[],MATCH(CONCATENATE(Liste!$C$3,$B$2543,$B$2797),Data!$BO:$BO,0)-2,53)=0),INDEX(Tab_DaBa[],MATCH(CONCATENATE(Liste!$C$3,$B$2543,$B$2797),Data!$BO:$BO,0)-2,14),IF(INDEX(Tab_DaBa[],MATCH(CONCATENATE(Liste!$C$3,$B$2543,$B$2797),Data!$BO:$BO,0)-2,48)&lt;&gt;"",INDEX(Tab_DaBa[],MATCH(CONCATENATE(Liste!$C$3,$B$2543,$B$2797),Data!$BO:$BO,0)-2,54),"")),"")</f>
        <v>Logik 08</v>
      </c>
      <c r="C2815" s="39"/>
      <c r="D2815" s="35" t="str">
        <f ca="1">IFERROR(IF(AND(INDEX(Tab_DaBa[],MATCH(CONCATENATE(Liste!$C$3,$B$2543,$B$2797),Data!$BO:$BO,0)-2,53)&lt;&gt;"",INDEX(Tab_DaBa[],MATCH(CONCATENATE(Liste!$C$3,$B$2543,$B$2797),Data!$BO:$BO,0)-2,58)=0),INDEX(Tab_DaBa[],MATCH(CONCATENATE(Liste!$C$3,$B$2543,$B$2797),Data!$BO:$BO,0)-2,14),IF(INDEX(Tab_DaBa[],MATCH(CONCATENATE(Liste!$C$3,$B$2543,$B$2797),Data!$BO:$BO,0)-2,53)&lt;&gt;"",INDEX(Tab_DaBa[],MATCH(CONCATENATE(Liste!$C$3,$B$2543,$B$2797),Data!$BO:$BO,0)-2,59),"")),"")</f>
        <v>Logik 09</v>
      </c>
      <c r="E2815" s="33"/>
      <c r="F2815" s="35" t="str">
        <f ca="1">IFERROR(IF(AND(INDEX(Tab_DaBa[],MATCH(CONCATENATE(Liste!$C$3,$B$2543,$B$2797),Data!$BO:$BO,0)-2,58)&lt;&gt;"",INDEX(Tab_DaBa[],MATCH(CONCATENATE(Liste!$C$3,$B$2543,$B$2797),Data!$BO:$BO,0)-2,63)=0),INDEX(Tab_DaBa[],MATCH(CONCATENATE(Liste!$C$3,$B$2543,$B$2797),Data!$BO:$BO,0)-2,14),IF(INDEX(Tab_DaBa[],MATCH(CONCATENATE(Liste!$C$3,$B$2543,$B$2797),Data!$BO:$BO,0)-2,58)&lt;&gt;"",INDEX(Tab_DaBa[],MATCH(CONCATENATE(Liste!$C$3,$B$2543,$B$2797),Data!$BO:$BO,0)-2,64),"")),"")</f>
        <v>Logik 10</v>
      </c>
      <c r="G2815" s="39"/>
      <c r="H2815" s="35" t="str">
        <f ca="1">IFERROR(IF(INDEX(Tab_DaBa[],MATCH(CONCATENATE(Liste!$C$3,$B$2543,$B$2797),Data!$BO:$BO,0)-2,63)&lt;&gt;"",INDEX(Tab_DaBa[],MATCH(CONCATENATE(Liste!$C$3,$B$2543,$B$2797),Data!$BO:$BO,0)-2,14),""),"")</f>
        <v>Ausgang</v>
      </c>
    </row>
    <row r="2816" spans="2:9" s="16" customFormat="1" ht="15.75">
      <c r="B2816" s="35" t="str">
        <f ca="1">IFERROR(IF(AND(INDEX(Tab_DaBa[],MATCH(CONCATENATE(Liste!$C$3,$B$2543,$B$2797),Data!$BO:$BO,0)-2,48)&lt;&gt;"",INDEX(Tab_DaBa[],MATCH(CONCATENATE(Liste!$C$3,$B$2543,$B$2797),Data!$BO:$BO,0)-2,53)=0),INDEX(Tab_DaBa[],MATCH(CONCATENATE(Liste!$C$3,$B$2543,$B$2797),Data!$BO:$BO,0)-2,12),IF(INDEX(Tab_DaBa[],MATCH(CONCATENATE(Liste!$C$3,$B$2543,$B$2797),Data!$BO:$BO,0)-2,48)&lt;&gt;"",INDEX(Tab_DaBa[],MATCH(CONCATENATE(Liste!$C$3,$B$2543,$B$2797),Data!$BO:$BO,0)-2,52),"")),"")</f>
        <v>Lo03-88_10</v>
      </c>
      <c r="C2816" s="39"/>
      <c r="D2816" s="35" t="str">
        <f ca="1">IFERROR(IF(AND(INDEX(Tab_DaBa[],MATCH(CONCATENATE(Liste!$C$3,$B$2543,$B$2797),Data!$BO:$BO,0)-2,53)&lt;&gt;"",INDEX(Tab_DaBa[],MATCH(CONCATENATE(Liste!$C$3,$B$2543,$B$2797),Data!$BO:$BO,0)-2,58)=0),INDEX(Tab_DaBa[],MATCH(CONCATENATE(Liste!$C$3,$B$2543,$B$2797),Data!$BO:$BO,0)-2,12),IF(INDEX(Tab_DaBa[],MATCH(CONCATENATE(Liste!$C$3,$B$2543,$B$2797),Data!$BO:$BO,0)-2,53)&lt;&gt;"",INDEX(Tab_DaBa[],MATCH(CONCATENATE(Liste!$C$3,$B$2543,$B$2797),Data!$BO:$BO,0)-2,57),"")),"")</f>
        <v>Lo03-33_10</v>
      </c>
      <c r="E2816" s="37"/>
      <c r="F2816" s="35" t="str">
        <f ca="1">IFERROR(IF(AND(INDEX(Tab_DaBa[],MATCH(CONCATENATE(Liste!$C$3,$B$2543,$B$2797),Data!$BO:$BO,0)-2,58)&lt;&gt;"",INDEX(Tab_DaBa[],MATCH(CONCATENATE(Liste!$C$3,$B$2543,$B$2797),Data!$BO:$BO,0)-2,63)=0),INDEX(Tab_DaBa[],MATCH(CONCATENATE(Liste!$C$3,$B$2543,$B$2797),Data!$BO:$BO,0)-2,12),IF(INDEX(Tab_DaBa[],MATCH(CONCATENATE(Liste!$C$3,$B$2543,$B$2797),Data!$BO:$BO,0)-2,58)&lt;&gt;"",INDEX(Tab_DaBa[],MATCH(CONCATENATE(Liste!$C$3,$B$2543,$B$2797),Data!$BO:$BO,0)-2,62),"")),"")</f>
        <v>Lo03-10_10</v>
      </c>
      <c r="G2816" s="39"/>
      <c r="H2816" s="35" t="str">
        <f ca="1">IFERROR(IF(INDEX(Tab_DaBa[],MATCH(CONCATENATE(Liste!$C$3,$B$2543,$B$2797),Data!$BO:$BO,0)-2,63)&lt;&gt;"",INDEX(Tab_DaBa[],MATCH(CONCATENATE(Liste!$C$3,$B$2543,$B$2797),Data!$BO:$BO,0)-2,12),""),"")</f>
        <v>aaaa-44_10</v>
      </c>
    </row>
    <row r="2817" spans="2:9" s="16" customFormat="1" ht="15.75">
      <c r="B2817" s="35" t="str">
        <f ca="1">IFERROR(IF(AND(INDEX(Tab_DaBa[],MATCH(CONCATENATE(Liste!$C$3,$B$2543,$B$2797),Data!$BO:$BO,0)-2,48)&lt;&gt;"",INDEX(Tab_DaBa[],MATCH(CONCATENATE(Liste!$C$3,$B$2543,$B$2797),Data!$BO:$BO,0)-2,53)=""),INDEX(Tab_DaBa[],MATCH(CONCATENATE(Liste!$C$3,$B$2543,$B$2797),Data!$BO:$BO,0)-2,13),IF(INDEX(Tab_DaBa[],MATCH(CONCATENATE(Liste!$C$3,$B$2543,$B$2797),Data!$BO:$BO,0)-2,48)&lt;&gt;"",INDEX(Tab_DaBa[],MATCH(CONCATENATE(Liste!$C$3,$B$2543,$B$2797),Data!$BO:$BO,0)-2,53),"")),"")</f>
        <v>Bez_Lo03_10</v>
      </c>
      <c r="C2817" s="38">
        <f ca="1">IF(D2815="","",4)</f>
        <v>4</v>
      </c>
      <c r="D2817" s="35" t="str">
        <f ca="1">IFERROR(IF(AND(INDEX(Tab_DaBa[],MATCH(CONCATENATE(Liste!$C$3,$B$2543,$B$2797),Data!$BO:$BO,0)-2,53)&lt;&gt;"",INDEX(Tab_DaBa[],MATCH(CONCATENATE(Liste!$C$3,$B$2543,$B$2797),Data!$BO:$BO,0)-2,58)=""),INDEX(Tab_DaBa[],MATCH(CONCATENATE(Liste!$C$3,$B$2543,$B$2797),Data!$BO:$BO,0)-2,13),IF(INDEX(Tab_DaBa[],MATCH(CONCATENATE(Liste!$C$3,$B$2543,$B$2797),Data!$BO:$BO,0)-2,53)&lt;&gt;"",INDEX(Tab_DaBa[],MATCH(CONCATENATE(Liste!$C$3,$B$2543,$B$2797),Data!$BO:$BO,0)-2,58),"")),"")</f>
        <v>Bez_Lo03_10</v>
      </c>
      <c r="E2817" s="38">
        <f ca="1">IF(F2815="","",4)</f>
        <v>4</v>
      </c>
      <c r="F2817" s="35" t="str">
        <f ca="1">IFERROR(IF(AND(INDEX(Tab_DaBa[],MATCH(CONCATENATE(Liste!$C$3,$B$2543,$B$2797),Data!$BO:$BO,0)-2,58)&lt;&gt;"",INDEX(Tab_DaBa[],MATCH(CONCATENATE(Liste!$C$3,$B$2543,$B$2797),Data!$BO:$BO,0)-2,63)=""),INDEX(Tab_DaBa[],MATCH(CONCATENATE(Liste!$C$3,$B$2543,$B$2797),Data!$BO:$BO,0)-2,13),IF(INDEX(Tab_DaBa[],MATCH(CONCATENATE(Liste!$C$3,$B$2543,$B$2797),Data!$BO:$BO,0)-2,58)&lt;&gt;"",INDEX(Tab_DaBa[],MATCH(CONCATENATE(Liste!$C$3,$B$2543,$B$2797),Data!$BO:$BO,0)-2,63),"")),"")</f>
        <v>Bez_Lo03_10</v>
      </c>
      <c r="G2817" s="38">
        <f ca="1">IF(H2815="","",4)</f>
        <v>4</v>
      </c>
      <c r="H2817" s="35" t="str">
        <f ca="1">IFERROR(IF(INDEX(Tab_DaBa[],MATCH(CONCATENATE(Liste!$C$3,$B$2543,$B$2797),Data!$BO:$BO,0)-2,63)&lt;&gt;"",INDEX(Tab_DaBa[],MATCH(CONCATENATE(Liste!$C$3,$B$2543,$B$2797),Data!$BO:$BO,0)-2,13),""),"")</f>
        <v>Bez_Aus4_10</v>
      </c>
    </row>
    <row r="2818" spans="2:9" s="16" customFormat="1" ht="15.75">
      <c r="B2818" s="35" t="str">
        <f ca="1">IFERROR(IF(AND(INDEX(Tab_DaBa[],MATCH(CONCATENATE(Liste!$C$3,$B$2543,$B$2797),Data!$BO:$BO,0)-2,48)&lt;&gt;"",INDEX(Tab_DaBa[],MATCH(CONCATENATE(Liste!$C$3,$B$2543,$B$2797),Data!$BO:$BO,0)-2,53)=""),"Performance Level: "&amp;INDEX(Tab_DaBa[],MATCH(CONCATENATE(Liste!$C$3,$B$2543,$B$2797),Data!$BO:$BO,0)-2,15),IF(INDEX(Tab_DaBa[],MATCH(CONCATENATE(Liste!$C$3,$B$2543,$B$2797),Data!$BO:$BO,0)-2,48)&lt;&gt;"","Performance Level: "&amp;INDEX(Tab_DaBa[],MATCH(CONCATENATE(Liste!$C$3,$B$2543,$B$2797),Data!$BO:$BO,0)-2,55),"")),"")</f>
        <v>Performance Level: PL_Lo03_10</v>
      </c>
      <c r="C2818" s="39"/>
      <c r="D2818" s="35" t="str">
        <f ca="1">IFERROR(IF(AND(INDEX(Tab_DaBa[],MATCH(CONCATENATE(Liste!$C$3,$B$2543,$B$2797),Data!$BO:$BO,0)-2,53)&lt;&gt;"",INDEX(Tab_DaBa[],MATCH(CONCATENATE(Liste!$C$3,$B$2543,$B$2797),Data!$BO:$BO,0)-2,58)=""),"Performance Level: "&amp;INDEX(Tab_DaBa[],MATCH(CONCATENATE(Liste!$C$3,$B$2543,$B$2797),Data!$BO:$BO,0)-2,15),IF(INDEX(Tab_DaBa[],MATCH(CONCATENATE(Liste!$C$3,$B$2543,$B$2797),Data!$BO:$BO,0)-2,53)&lt;&gt;"","Performance Level: "&amp;INDEX(Tab_DaBa[],MATCH(CONCATENATE(Liste!$C$3,$B$2543,$B$2797),Data!$BO:$BO,0)-2,60),"")),"")</f>
        <v>Performance Level: PL_Lo03_10</v>
      </c>
      <c r="E2818" s="37"/>
      <c r="F2818" s="35" t="str">
        <f ca="1">IFERROR(IF(AND(INDEX(Tab_DaBa[],MATCH(CONCATENATE(Liste!$C$3,$B$2543,$B$2797),Data!$BO:$BO,0)-2,58)&lt;&gt;"",INDEX(Tab_DaBa[],MATCH(CONCATENATE(Liste!$C$3,$B$2543,$B$2797),Data!$BO:$BO,0)-2,63)=""),"Performance Level: "&amp;INDEX(Tab_DaBa[],MATCH(CONCATENATE(Liste!$C$3,$B$2543,$B$2797),Data!$BO:$BO,0)-2,15),IF(INDEX(Tab_DaBa[],MATCH(CONCATENATE(Liste!$C$3,$B$2543,$B$2797),Data!$BO:$BO,0)-2,58)&lt;&gt;"","Performance Level: "&amp;INDEX(Tab_DaBa[],MATCH(CONCATENATE(Liste!$C$3,$B$2543,$B$2797),Data!$BO:$BO,0)-2,65),"")),"")</f>
        <v>Performance Level: PL_Lo03_10</v>
      </c>
      <c r="G2818" s="39"/>
      <c r="H2818" s="35" t="str">
        <f ca="1">IFERROR(IF(INDEX(Tab_DaBa[],MATCH(CONCATENATE(Liste!$C$3,$B$2543,$B$2797),Data!$BO:$BO,0)-2,63)&lt;&gt;"","Performance Level: "&amp;INDEX(Tab_DaBa[],MATCH(CONCATENATE(Liste!$C$3,$B$2543,$B$2797),Data!$BO:$BO,0)-2,15),""),"")</f>
        <v>Performance Level: PL_Aus4_10</v>
      </c>
    </row>
    <row r="2819" spans="2:9" s="16" customFormat="1" ht="15.75">
      <c r="B2819" s="35" t="str">
        <f ca="1">IFERROR(IF(AND(INDEX(Tab_DaBa[],MATCH(CONCATENATE(Liste!$C$3,$B$2543,$B$2797),Data!$BO:$BO,0)-2,48)&lt;&gt;"",INDEX(Tab_DaBa[],MATCH(CONCATENATE(Liste!$C$3,$B$2543,$B$2797),Data!$BO:$BO,0)-2,53)=""),"PFH [1/h] = "&amp;10^9*INDEX(Tab_DaBa[],MATCH(CONCATENATE(Liste!$C$3,$B$2543,$B$2797),Data!$BO:$BO,0)-2,16)&amp;"E-9",IF(INDEX(Tab_DaBa[],MATCH(CONCATENATE(Liste!$C$3,$B$2543,$B$2797),Data!$BO:$BO,0)-2,48)&lt;&gt;"","PFH [1/h] = "&amp;10^9*INDEX(Tab_DaBa[],MATCH(CONCATENATE(Liste!$C$3,$B$2543,$B$2797),Data!$BO:$BO,0)-2,56)&amp;"E-9","")),"")</f>
        <v>PFH [1/h] = 4,19E-9</v>
      </c>
      <c r="C2819" s="39"/>
      <c r="D2819" s="35" t="str">
        <f ca="1">IFERROR(IF(AND(INDEX(Tab_DaBa[],MATCH(CONCATENATE(Liste!$C$3,$B$2543,$B$2797),Data!$BO:$BO,0)-2,53)&lt;&gt;"",INDEX(Tab_DaBa[],MATCH(CONCATENATE(Liste!$C$3,$B$2543,$B$2797),Data!$BO:$BO,0)-2,58)=""),"PFH [1/h] = "&amp;10^9*INDEX(Tab_DaBa[],MATCH(CONCATENATE(Liste!$C$3,$B$2543,$B$2797),Data!$BO:$BO,0)-2,16)&amp;"E-9",IF(INDEX(Tab_DaBa[],MATCH(CONCATENATE(Liste!$C$3,$B$2543,$B$2797),Data!$BO:$BO,0)-2,53)&lt;&gt;"","PFH [1/h] = "&amp;10^9*INDEX(Tab_DaBa[],MATCH(CONCATENATE(Liste!$C$3,$B$2543,$B$2797),Data!$BO:$BO,0)-2,61)&amp;"E-9","")),"")</f>
        <v>PFH [1/h] = 4,19E-9</v>
      </c>
      <c r="E2819" s="37"/>
      <c r="F2819" s="35" t="str">
        <f ca="1">IFERROR(IF(AND(INDEX(Tab_DaBa[],MATCH(CONCATENATE(Liste!$C$3,$B$2543,$B$2797),Data!$BO:$BO,0)-2,58)&lt;&gt;"",INDEX(Tab_DaBa[],MATCH(CONCATENATE(Liste!$C$3,$B$2543,$B$2797),Data!$BO:$BO,0)-2,63)=""),"PFH [1/h] = "&amp;10^9*INDEX(Tab_DaBa[],MATCH(CONCATENATE(Liste!$C$3,$B$2543,$B$2797),Data!$BO:$BO,0)-2,16)&amp;"E-9",IF(INDEX(Tab_DaBa[],MATCH(CONCATENATE(Liste!$C$3,$B$2543,$B$2797),Data!$BO:$BO,0)-2,58)&lt;&gt;"","PFH [1/h] = "&amp;10^9*INDEX(Tab_DaBa[],MATCH(CONCATENATE(Liste!$C$3,$B$2543,$B$2797),Data!$BO:$BO,0)-2,66)&amp;"E-9","")),"")</f>
        <v>PFH [1/h] = 4,19E-9</v>
      </c>
      <c r="G2819" s="39"/>
      <c r="H2819" s="35" t="str">
        <f ca="1">IFERROR(IF(INDEX(Tab_DaBa[],MATCH(CONCATENATE(Liste!$C$3,$B$2543,$B$2797),Data!$BO:$BO,0)-2,63)&lt;&gt;"","PFH [1/h] = "&amp;10^9*INDEX(Tab_DaBa[],MATCH(CONCATENATE(Liste!$C$3,$B$2543,$B$2797),Data!$BO:$BO,0)-2,16)&amp;"E-9",""),"")</f>
        <v>PFH [1/h] = 24,7E-9</v>
      </c>
    </row>
    <row r="2820" spans="2:9" s="16" customFormat="1"/>
    <row r="2821" spans="2:9" s="16" customFormat="1">
      <c r="B2821" s="43" t="str">
        <f ca="1">IF(D2821="","","Erforderlich")</f>
        <v>Erforderlich</v>
      </c>
      <c r="D2821" s="44" t="str">
        <f ca="1">IFERROR("Performance Level: "&amp;INDEX(Tab_DaBa[],MATCH(CONCATENATE(Liste!$C$3,$B$2543,$B$2797),Data!$BO:$BO,0)-2,4),"")</f>
        <v>Performance Level: PLr_ges4_10</v>
      </c>
    </row>
    <row r="2822" spans="2:9" s="16" customFormat="1">
      <c r="B2822" s="45"/>
    </row>
    <row r="2823" spans="2:9" s="16" customFormat="1">
      <c r="B2823" s="46" t="str">
        <f ca="1">IF(D2823="","","Erreicht")</f>
        <v>Erreicht</v>
      </c>
      <c r="D2823" s="47" t="str">
        <f ca="1">IFERROR("Performance Level: "&amp;INDEX(Tab_DaBa[],MATCH(CONCATENATE(Liste!$C$3,$B$2543,$B$2797),Data!$BO:$BO,0)-2,5)&amp;"          PFH [1/h] = "&amp;10^9*INDEX(Tab_DaBa[],MATCH(CONCATENATE(Liste!$C$3,$B$2543,$B$2797),Data!$BO:$BO,0)-2,6)&amp;"E-9","")</f>
        <v>Performance Level: Pl_ges4_10          PFH [1/h] = 71,7E-9</v>
      </c>
    </row>
    <row r="2824" spans="2:9" s="16" customFormat="1"/>
    <row r="2825" spans="2:9" s="16" customFormat="1">
      <c r="B2825" s="55" t="str">
        <f ca="1">Liste!$D$14</f>
        <v>11. Test11</v>
      </c>
    </row>
    <row r="2826" spans="2:9" s="16" customFormat="1"/>
    <row r="2827" spans="2:9" s="16" customFormat="1">
      <c r="B2827" s="42" t="str">
        <f ca="1">IFERROR(IF(1&gt;COUNTIF(Data!$BP:$BP,CONCATENATE(Liste!$C$3,$B$2825)),"",INDEX(Tab_DaBa[],MATCH(CONCATENATE(Liste!$C$3,$B$2825),Data!$BP:$BP,0)-2,3)),"")</f>
        <v>11.1 Test11 (E+1L+A)</v>
      </c>
    </row>
    <row r="2828" spans="2:9" s="16" customFormat="1"/>
    <row r="2829" spans="2:9" s="16" customFormat="1" ht="15.75">
      <c r="B2829" s="35" t="str">
        <f ca="1">IFERROR(INDEX(Tab_DaBa[],MATCH(CONCATENATE(Liste!$C$3,$B$2825,$B$2827),Data!$BO:$BO,0)-2,9),"")</f>
        <v>Eingang</v>
      </c>
      <c r="C2829" s="54"/>
      <c r="D2829" s="35" t="str">
        <f ca="1">IFERROR(IF(INDEX(Tab_DaBa[],MATCH(CONCATENATE(Liste!$C$3,$B$2825,$B$2827),Data!$BO:$BO,0)-2,18)=0,INDEX(Tab_DaBa[],MATCH(CONCATENATE(Liste!$C$3,$B$2825,$B$2827),Data!$BO:$BO,0)-2,14),INDEX(Tab_DaBa[],MATCH(CONCATENATE(Liste!$C$3,$B$2825,$B$2827),Data!$BO:$BO,0)-2,19)),"")</f>
        <v>Logik 01</v>
      </c>
      <c r="E2829" s="33"/>
      <c r="F2829" s="35" t="str">
        <f ca="1">IFERROR(IF(AND(INDEX(Tab_DaBa[],MATCH(CONCATENATE(Liste!$C$3,$B$2825,$B$2827),Data!$BO:$BO,0)-2,18)&lt;&gt;"",INDEX(Tab_DaBa[],MATCH(CONCATENATE(Liste!$C$3,$B$2825,$B$2827),Data!$BO:$BO,0)-2,23)=0),INDEX(Tab_DaBa[],MATCH(CONCATENATE(Liste!$C$3,$B$2825,$B$2827),Data!$BO:$BO,0)-2,14),IF(INDEX(Tab_DaBa[],MATCH(CONCATENATE(Liste!$C$3,$B$2825,$B$2827),Data!$BO:$BO,0)-2,23)&lt;&gt;"",INDEX(Tab_DaBa[],MATCH(CONCATENATE(Liste!$C$3,$B$2825,$B$2827),Data!$BO:$BO,0)-2,24),"")),"")</f>
        <v>Ausgang</v>
      </c>
      <c r="G2829" s="39"/>
      <c r="H2829" s="35" t="str">
        <f ca="1">IFERROR(IF(AND(INDEX(Tab_DaBa[],MATCH(CONCATENATE(Liste!$C$3,$B$2825,$B$2827),Data!$BO:$BO,0)-2,23)&lt;&gt;"",INDEX(Tab_DaBa[],MATCH(CONCATENATE(Liste!$C$3,$B$2825,$B$2827),Data!$BO:$BO,0)-2,28)=0),INDEX(Tab_DaBa[],MATCH(CONCATENATE(Liste!$C$3,$B$2825,$B$2827),Data!$BO:$BO,0)-2,14),IF(INDEX(Tab_DaBa[],MATCH(CONCATENATE(Liste!$C$3,$B$2825,$B$2827),Data!$BO:$BO,0)-2,23)&lt;&gt;"",INDEX(Tab_DaBa[],MATCH(CONCATENATE(Liste!$C$3,$B$2825,$B$2827),Data!$BO:$BO,0)-2,29),"")),"")</f>
        <v/>
      </c>
      <c r="I2829" s="39"/>
    </row>
    <row r="2830" spans="2:9" s="16" customFormat="1" ht="15.75">
      <c r="B2830" s="35" t="str">
        <f ca="1">IFERROR(INDEX(Tab_DaBa[],MATCH(CONCATENATE(Liste!$C$3,$B$2825,$B$2827),Data!$BO:$BO,0)-2,7),"")</f>
        <v>eeee-33_1</v>
      </c>
      <c r="C2830" s="54"/>
      <c r="D2830" s="35" t="str">
        <f ca="1">IFERROR(IF(INDEX(Tab_DaBa[],MATCH(CONCATENATE(Liste!$C$3,$B$2825,$B$2827),Data!$BO:$BO,0)-2,18)="",INDEX(Tab_DaBa[],MATCH(CONCATENATE(Liste!$C$3,$B$2825,$B$2827),Data!$BO:$BO,0)-2,12),INDEX(Tab_DaBa[],MATCH(CONCATENATE(Liste!$C$3,$B$2825,$B$2827),Data!$BO:$BO,0)-2,17)),"")</f>
        <v>Log01-04_01</v>
      </c>
      <c r="E2830" s="36"/>
      <c r="F2830" s="35" t="str">
        <f ca="1">IFERROR(IF(AND(INDEX(Tab_DaBa[],MATCH(CONCATENATE(Liste!$C$3,$B$2825,$B$2827),Data!$BO:$BO,0)-2,18)&lt;&gt;"",INDEX(Tab_DaBa[],MATCH(CONCATENATE(Liste!$C$3,$B$2825,$B$2827),Data!$BO:$BO,0)-2,23)=0),INDEX(Tab_DaBa[],MATCH(CONCATENATE(Liste!$C$3,$B$2825,$B$2827),Data!$BO:$BO,0)-2,12),IF(INDEX(Tab_DaBa[],MATCH(CONCATENATE(Liste!$C$3,$B$2825,$B$2827),Data!$BO:$BO,0)-2,23)&lt;&gt;"",INDEX(Tab_DaBa[],MATCH(CONCATENATE(Liste!$C$3,$B$2825,$B$2827),Data!$BO:$BO,0)-2,22),"")),"")</f>
        <v>aaaa-44_1</v>
      </c>
      <c r="G2830" s="39"/>
      <c r="H2830" s="35" t="str">
        <f ca="1">IFERROR(IF(AND(INDEX(Tab_DaBa[],MATCH(CONCATENATE(Liste!$C$3,$B$2825,$B$2827),Data!$BO:$BO,0)-2,23)&lt;&gt;"",INDEX(Tab_DaBa[],MATCH(CONCATENATE(Liste!$C$3,$B$2825,$B$2827),Data!$BO:$BO,0)-2,28)=0),INDEX(Tab_DaBa[],MATCH(CONCATENATE(Liste!$C$3,$B$2825,$B$2827),Data!$BO:$BO,0)-2,12),IF(INDEX(Tab_DaBa[],MATCH(CONCATENATE(Liste!$C$3,$B$2825,$B$2827),Data!$BO:$BO,0)-2,23)&lt;&gt;"",INDEX(Tab_DaBa[],MATCH(CONCATENATE(Liste!$C$3,$B$2825,$B$2827),Data!$BO:$BO,0)-2,27),"")),"")</f>
        <v/>
      </c>
      <c r="I2830" s="39"/>
    </row>
    <row r="2831" spans="2:9" s="16" customFormat="1" ht="15.75">
      <c r="B2831" s="35" t="str">
        <f ca="1">IFERROR(INDEX(Tab_DaBa[],MATCH(CONCATENATE(Liste!$C$3,$B$2825,$B$2827),Data!$BO:$BO,0)-2,8),"")</f>
        <v>Bez_Ein4_1</v>
      </c>
      <c r="C2831" s="40">
        <f ca="1">IF(D2829="","",4)</f>
        <v>4</v>
      </c>
      <c r="D2831" s="35" t="str">
        <f ca="1">IFERROR(IF(INDEX(Tab_DaBa[],MATCH(CONCATENATE(Liste!$C$3,$B$2825,$B$2827),Data!$BO:$BO,0)-2,18)="",INDEX(Tab_DaBa[],MATCH(CONCATENATE(Liste!$C$3,$B$2825,$B$2827),Data!$BO:$BO,0)-2,13),INDEX(Tab_DaBa[],MATCH(CONCATENATE(Liste!$C$3,$B$2825,$B$2827),Data!$BO:$BO,0)-2,18)),"")</f>
        <v>Bez_Log01_04_01</v>
      </c>
      <c r="E2831" s="40">
        <f ca="1">IF(F2829="","",4)</f>
        <v>4</v>
      </c>
      <c r="F2831" s="35" t="str">
        <f ca="1">IFERROR(IF(AND(INDEX(Tab_DaBa[],MATCH(CONCATENATE(Liste!$C$3,$B$2825,$B$2827),Data!$BO:$BO,0)-2,18)&lt;&gt;"",INDEX(Tab_DaBa[],MATCH(CONCATENATE(Liste!$C$3,$B$2825,$B$2827),Data!$BO:$BO,0)-2,23)=""),INDEX(Tab_DaBa[],MATCH(CONCATENATE(Liste!$C$3,$B$2825,$B$2827),Data!$BO:$BO,0)-2,13),IF(INDEX(Tab_DaBa[],MATCH(CONCATENATE(Liste!$C$3,$B$2825,$B$2827),Data!$BO:$BO,0)-2,23)&lt;&gt;"",INDEX(Tab_DaBa[],MATCH(CONCATENATE(Liste!$C$3,$B$2825,$B$2827),Data!$BO:$BO,0)-2,23),"")),"")</f>
        <v>Bez_Aus4_1</v>
      </c>
      <c r="G2831" s="38" t="str">
        <f ca="1">IF(H2829="","",4)</f>
        <v/>
      </c>
      <c r="H2831" s="35" t="str">
        <f ca="1">IFERROR(IF(AND(INDEX(Tab_DaBa[],MATCH(CONCATENATE(Liste!$C$3,$B$2825,$B$2827),Data!$BO:$BO,0)-2,23)&lt;&gt;"",INDEX(Tab_DaBa[],MATCH(CONCATENATE(Liste!$C$3,$B$2825,$B$2827),Data!$BO:$BO,0)-2,28)=""),INDEX(Tab_DaBa[],MATCH(CONCATENATE(Liste!$C$3,$B$2825,$B$2827),Data!$BO:$BO,0)-2,13),IF(INDEX(Tab_DaBa[],MATCH(CONCATENATE(Liste!$C$3,$B$2825,$B$2827),Data!$BO:$BO,0)-2,23)&lt;&gt;"",INDEX(Tab_DaBa[],MATCH(CONCATENATE(Liste!$C$3,$B$2825,$B$2827),Data!$BO:$BO,0)-2,28),"")),"")</f>
        <v/>
      </c>
      <c r="I2831" s="38" t="str">
        <f ca="1">IF(B2837="","",6)</f>
        <v/>
      </c>
    </row>
    <row r="2832" spans="2:9" s="16" customFormat="1" ht="15.75">
      <c r="B2832" s="35" t="str">
        <f ca="1">IFERROR("Performance Level: "&amp;INDEX(Tab_DaBa[],MATCH(CONCATENATE(Liste!$C$3,$B$2825,$B$2827),Data!$BO:$BO,0)-2,10),"")</f>
        <v>Performance Level: PL_Ein4_1</v>
      </c>
      <c r="C2832" s="54"/>
      <c r="D2832" s="35" t="str">
        <f ca="1">IFERROR(IF(INDEX(Tab_DaBa[],MATCH(CONCATENATE(Liste!$C$3,$B$2825,$B$2827),Data!$BO:$BO,0)-2,18)="","Performance Level: "&amp;INDEX(Tab_DaBa[],MATCH(CONCATENATE(Liste!$C$3,$B$2825,$B$2827),Data!$BO:$BO,0)-2,15),"Performance Level: "&amp;INDEX(Tab_DaBa[],MATCH(CONCATENATE(Liste!$C$3,$B$2825,$B$2827),Data!$BO:$BO,0)-2,20)),"")</f>
        <v>Performance Level: PL_Log01_04_01</v>
      </c>
      <c r="E2832" s="36"/>
      <c r="F2832" s="35" t="str">
        <f ca="1">IFERROR(IF(AND(INDEX(Tab_DaBa[],MATCH(CONCATENATE(Liste!$C$3,$B$2825,$B$2827),Data!$BO:$BO,0)-2,18)&lt;&gt;"",INDEX(Tab_DaBa[],MATCH(CONCATENATE(Liste!$C$3,$B$2825,$B$2827),Data!$BO:$BO,0)-2,23)=""),"Performance Level: "&amp;INDEX(Tab_DaBa[],MATCH(CONCATENATE(Liste!$C$3,$B$2825,$B$2827),Data!$BO:$BO,0)-2,15),IF(INDEX(Tab_DaBa[],MATCH(CONCATENATE(Liste!$C$3,$B$2825,$B$2827),Data!$BO:$BO,0)-2,23)&lt;&gt;"","Performance Level: "&amp;INDEX(Tab_DaBa[],MATCH(CONCATENATE(Liste!$C$3,$B$2825,$B$2827),Data!$BO:$BO,0)-2,25),"")),"")</f>
        <v>Performance Level: PL_Aus4_1</v>
      </c>
      <c r="G2832" s="39"/>
      <c r="H2832" s="35" t="str">
        <f ca="1">IFERROR(IF(AND(INDEX(Tab_DaBa[],MATCH(CONCATENATE(Liste!$C$3,$B$2825,$B$2827),Data!$BO:$BO,0)-2,23)&lt;&gt;"",INDEX(Tab_DaBa[],MATCH(CONCATENATE(Liste!$C$3,$B$2825,$B$2827),Data!$BO:$BO,0)-2,28)=""),"Performance Level: "&amp;INDEX(Tab_DaBa[],MATCH(CONCATENATE(Liste!$C$3,$B$2825,$B$2827),Data!$BO:$BO,0)-2,15),IF(INDEX(Tab_DaBa[],MATCH(CONCATENATE(Liste!$C$3,$B$2825,$B$2827),Data!$BO:$BO,0)-2,23)&lt;&gt;"","Performance Level: "&amp;INDEX(Tab_DaBa[],MATCH(CONCATENATE(Liste!$C$3,$B$2825,$B$2827),Data!$BO:$BO,0)-2,30),"")),"")</f>
        <v/>
      </c>
      <c r="I2832" s="38"/>
    </row>
    <row r="2833" spans="2:9" s="16" customFormat="1" ht="15.75">
      <c r="B2833" s="53" t="str">
        <f ca="1">IFERROR("PFH [1/h] = "&amp;10^9*INDEX(Tab_DaBa[],MATCH(CONCATENATE(Liste!$C$3,$B$2825,$B$2827),Data!$BO:$BO,0)-2,11)&amp;"E-9","")</f>
        <v>PFH [1/h] = 42,9E-9</v>
      </c>
      <c r="C2833" s="54"/>
      <c r="D2833" s="35" t="str">
        <f ca="1">IFERROR(IF(INDEX(Tab_DaBa[],MATCH(CONCATENATE(Liste!$C$3,$B$2825,$B$2827),Data!$BO:$BO,0)-2,18)="","PFH [1/h] = "&amp;10^9*INDEX(Tab_DaBa[],MATCH(CONCATENATE(Liste!$C$3,$B$2825,$B$2827),Data!$BO:$BO,0)-2,16)&amp;"E-9","PFH [1/h] = "&amp;10^9*INDEX(Tab_DaBa[],MATCH(CONCATENATE(Liste!$C$3,$B$2825,$B$2827),Data!$BO:$BO,0)-2,21)&amp;"E-9"),"")</f>
        <v>PFH [1/h] = 4,19E-9</v>
      </c>
      <c r="E2833" s="36"/>
      <c r="F2833" s="35" t="str">
        <f ca="1">IFERROR(IF(AND(INDEX(Tab_DaBa[],MATCH(CONCATENATE(Liste!$C$3,$B$2825,$B$2827),Data!$BO:$BO,0)-2,18)&lt;&gt;"",INDEX(Tab_DaBa[],MATCH(CONCATENATE(Liste!$C$3,$B$2825,$B$2827),Data!$BO:$BO,0)-2,23)=""),"PFH [1/h] = "&amp;10^9*INDEX(Tab_DaBa[],MATCH(CONCATENATE(Liste!$C$3,$B$2825,$B$2827),Data!$BO:$BO,0)-2,16)&amp;"E-9",IF(INDEX(Tab_DaBa[],MATCH(CONCATENATE(Liste!$C$3,$B$2825,$B$2827),Data!$BO:$BO,0)-2,23)&lt;&gt;"","PFH [1/h] = "&amp;10^9*INDEX(Tab_DaBa[],MATCH(CONCATENATE(Liste!$C$3,$B$2825,$B$2827),Data!$BO:$BO,0)-2,26)&amp;"E-9","")),"")</f>
        <v>PFH [1/h] = 24,7E-9</v>
      </c>
      <c r="G2833" s="39"/>
      <c r="H2833" s="35" t="str">
        <f ca="1">IFERROR(IF(AND(INDEX(Tab_DaBa[],MATCH(CONCATENATE(Liste!$C$3,$B$2825,$B$2827),Data!$BO:$BO,0)-2,23)&lt;&gt;"",INDEX(Tab_DaBa[],MATCH(CONCATENATE(Liste!$C$3,$B$2825,$B$2827),Data!$BO:$BO,0)-2,28)=""),"PFH [1/h] = "&amp;10^9*INDEX(Tab_DaBa[],MATCH(CONCATENATE(Liste!$C$3,$B$2825,$B$2827),Data!$BO:$BO,0)-2,16)&amp;"E-9",IF(INDEX(Tab_DaBa[],MATCH(CONCATENATE(Liste!$C$3,$B$2825,$B$2827),Data!$BO:$BO,0)-2,23)&lt;&gt;"","PFH [1/h] = "&amp;10^9*INDEX(Tab_DaBa[],MATCH(CONCATENATE(Liste!$C$3,$B$2825,$B$2827),Data!$BO:$BO,0)-2,31)&amp;"E-9","")),"")</f>
        <v/>
      </c>
      <c r="I2833" s="39"/>
    </row>
    <row r="2834" spans="2:9" s="16" customFormat="1">
      <c r="B2834" s="33"/>
      <c r="C2834" s="34"/>
      <c r="D2834" s="33"/>
      <c r="E2834" s="33"/>
      <c r="F2834" s="33"/>
      <c r="G2834" s="33"/>
      <c r="H2834" s="33"/>
      <c r="I2834" s="33"/>
    </row>
    <row r="2835" spans="2:9" s="16" customFormat="1" ht="15.75">
      <c r="B2835" s="38" t="str">
        <f ca="1">IF(B2837="","",6)</f>
        <v/>
      </c>
      <c r="C2835" s="34"/>
      <c r="D2835" s="38" t="str">
        <f ca="1">IF(B2837="","",3)</f>
        <v/>
      </c>
      <c r="E2835" s="33"/>
      <c r="F2835" s="38" t="str">
        <f ca="1">IF(B2837="","",3)</f>
        <v/>
      </c>
      <c r="G2835" s="33"/>
      <c r="H2835" s="38" t="str">
        <f ca="1">IF(B2837="","",3)</f>
        <v/>
      </c>
      <c r="I2835" s="33"/>
    </row>
    <row r="2836" spans="2:9" s="16" customFormat="1" ht="15.75">
      <c r="B2836" s="39"/>
      <c r="C2836" s="33"/>
      <c r="D2836" s="33"/>
      <c r="E2836" s="33"/>
      <c r="F2836" s="33"/>
      <c r="G2836" s="33"/>
      <c r="H2836" s="33"/>
      <c r="I2836" s="33"/>
    </row>
    <row r="2837" spans="2:9" s="16" customFormat="1" ht="15.75">
      <c r="B2837" s="35" t="str">
        <f ca="1">IFERROR(IF(AND(INDEX(Tab_DaBa[],MATCH(CONCATENATE(Liste!$C$3,$B$2825,$B$2827),Data!$BO:$BO,0)-2,28)&lt;&gt;"",INDEX(Tab_DaBa[],MATCH(CONCATENATE(Liste!$C$3,$B$2825,$B$2827),Data!$BO:$BO,0)-2,33)=0),INDEX(Tab_DaBa[],MATCH(CONCATENATE(Liste!$C$3,$B$2825,$B$2827),Data!$BO:$BO,0)-2,14),IF(INDEX(Tab_DaBa[],MATCH(CONCATENATE(Liste!$C$3,$B$2825,$B$2827),Data!$BO:$BO,0)-2,28)&lt;&gt;"",INDEX(Tab_DaBa[],MATCH(CONCATENATE(Liste!$C$3,$B$2825,$B$2827),Data!$BO:$BO,0)-2,34),"")),"")</f>
        <v/>
      </c>
      <c r="C2837" s="39"/>
      <c r="D2837" s="35" t="str">
        <f ca="1">IFERROR(IF(AND(INDEX(Tab_DaBa[],MATCH(CONCATENATE(Liste!$C$3,$B$2825,$B$2827),Data!$BO:$BO,0)-2,33)&lt;&gt;"",INDEX(Tab_DaBa[],MATCH(CONCATENATE(Liste!$C$3,$B$2825,$B$2827),Data!$BO:$BO,0)-2,38)=0),INDEX(Tab_DaBa[],MATCH(CONCATENATE(Liste!$C$3,$B$2825,$B$2827),Data!$BO:$BO,0)-2,14),IF(INDEX(Tab_DaBa[],MATCH(CONCATENATE(Liste!$C$3,$B$2825,$B$2827),Data!$BO:$BO,0)-2,33)&lt;&gt;"",INDEX(Tab_DaBa[],MATCH(CONCATENATE(Liste!$C$3,$B$2825,$B$2827),Data!$BO:$BO,0)-2,39),"")),"")</f>
        <v/>
      </c>
      <c r="E2837" s="33"/>
      <c r="F2837" s="35" t="str">
        <f ca="1">IFERROR(IF(AND(INDEX(Tab_DaBa[],MATCH(CONCATENATE(Liste!$C$3,$B$2825,$B$2827),Data!$BO:$BO,0)-2,38)&lt;&gt;"",INDEX(Tab_DaBa[],MATCH(CONCATENATE(Liste!$C$3,$B$2825,$B$2827),Data!$BO:$BO,0)-2,43)=0),INDEX(Tab_DaBa[],MATCH(CONCATENATE(Liste!$C$3,$B$2825,$B$2827),Data!$BO:$BO,0)-2,14),IF(INDEX(Tab_DaBa[],MATCH(CONCATENATE(Liste!$C$3,$B$2825,$B$2827),Data!$BO:$BO,0)-2,38)&lt;&gt;"",INDEX(Tab_DaBa[],MATCH(CONCATENATE(Liste!$C$3,$B$2825,$B$2827),Data!$BO:$BO,0)-2,44),"")),"")</f>
        <v/>
      </c>
      <c r="G2837" s="39"/>
      <c r="H2837" s="35" t="str">
        <f ca="1">IFERROR(IF(AND(INDEX(Tab_DaBa[],MATCH(CONCATENATE(Liste!$C$3,$B$2825,$B$2827),Data!$BO:$BO,0)-2,43)&lt;&gt;"",INDEX(Tab_DaBa[],MATCH(CONCATENATE(Liste!$C$3,$B$2825,$B$2827),Data!$BO:$BO,0)-2,48)=0),INDEX(Tab_DaBa[],MATCH(CONCATENATE(Liste!$C$3,$B$2825,$B$2827),Data!$BO:$BO,0)-2,14),IF(INDEX(Tab_DaBa[],MATCH(CONCATENATE(Liste!$C$3,$B$2825,$B$2827),Data!$BO:$BO,0)-2,43)&lt;&gt;"",INDEX(Tab_DaBa[],MATCH(CONCATENATE(Liste!$C$3,$B$2825,$B$2827),Data!$BO:$BO,0)-2,49),"")),"")</f>
        <v/>
      </c>
      <c r="I2837" s="39"/>
    </row>
    <row r="2838" spans="2:9" s="16" customFormat="1" ht="15.75">
      <c r="B2838" s="35" t="str">
        <f ca="1">IFERROR(IF(AND(INDEX(Tab_DaBa[],MATCH(CONCATENATE(Liste!$C$3,$B$2825,$B$2827),Data!$BO:$BO,0)-2,28)&lt;&gt;"",INDEX(Tab_DaBa[],MATCH(CONCATENATE(Liste!$C$3,$B$2825,$B$2827),Data!$BO:$BO,0)-2,33)=0),INDEX(Tab_DaBa[],MATCH(CONCATENATE(Liste!$C$3,$B$2825,$B$2827),Data!$BO:$BO,0)-2,12),IF(INDEX(Tab_DaBa[],MATCH(CONCATENATE(Liste!$C$3,$B$2825,$B$2827),Data!$BO:$BO,0)-2,28)&lt;&gt;"",INDEX(Tab_DaBa[],MATCH(CONCATENATE(Liste!$C$3,$B$2825,$B$2827),Data!$BO:$BO,0)-2,32),"")),"")</f>
        <v/>
      </c>
      <c r="C2838" s="39"/>
      <c r="D2838" s="35" t="str">
        <f ca="1">IFERROR(IF(AND(INDEX(Tab_DaBa[],MATCH(CONCATENATE(Liste!$C$3,$B$2825,$B$2827),Data!$BO:$BO,0)-2,33)&lt;&gt;"",INDEX(Tab_DaBa[],MATCH(CONCATENATE(Liste!$C$3,$B$2825,$B$2827),Data!$BO:$BO,0)-2,38)=0),INDEX(Tab_DaBa[],MATCH(CONCATENATE(Liste!$C$3,$B$2825,$B$2827),Data!$BO:$BO,0)-2,12),IF(INDEX(Tab_DaBa[],MATCH(CONCATENATE(Liste!$C$3,$B$2825,$B$2827),Data!$BO:$BO,0)-2,33)&lt;&gt;"",INDEX(Tab_DaBa[],MATCH(CONCATENATE(Liste!$C$3,$B$2825,$B$2827),Data!$BO:$BO,0)-2,37),"")),"")</f>
        <v/>
      </c>
      <c r="E2838" s="37"/>
      <c r="F2838" s="35" t="str">
        <f ca="1">IFERROR(IF(AND(INDEX(Tab_DaBa[],MATCH(CONCATENATE(Liste!$C$3,$B$2825,$B$2827),Data!$BO:$BO,0)-2,38)&lt;&gt;"",INDEX(Tab_DaBa[],MATCH(CONCATENATE(Liste!$C$3,$B$2825,$B$2827),Data!$BO:$BO,0)-2,43)=0),INDEX(Tab_DaBa[],MATCH(CONCATENATE(Liste!$C$3,$B$2825,$B$2827),Data!$BO:$BO,0)-2,12),IF(INDEX(Tab_DaBa[],MATCH(CONCATENATE(Liste!$C$3,$B$2825,$B$2827),Data!$BO:$BO,0)-2,38)&lt;&gt;"",INDEX(Tab_DaBa[],MATCH(CONCATENATE(Liste!$C$3,$B$2825,$B$2827),Data!$BO:$BO,0)-2,42),"")),"")</f>
        <v/>
      </c>
      <c r="G2838" s="39"/>
      <c r="H2838" s="35" t="str">
        <f ca="1">IFERROR(IF(AND(INDEX(Tab_DaBa[],MATCH(CONCATENATE(Liste!$C$3,$B$2825,$B$2827),Data!$BO:$BO,0)-2,43)&lt;&gt;"",INDEX(Tab_DaBa[],MATCH(CONCATENATE(Liste!$C$3,$B$2825,$B$2827),Data!$BO:$BO,0)-2,48)=0),INDEX(Tab_DaBa[],MATCH(CONCATENATE(Liste!$C$3,$B$2825,$B$2827),Data!$BO:$BO,0)-2,12),IF(INDEX(Tab_DaBa[],MATCH(CONCATENATE(Liste!$C$3,$B$2825,$B$2827),Data!$BO:$BO,0)-2,43)&lt;&gt;"",INDEX(Tab_DaBa[],MATCH(CONCATENATE(Liste!$C$3,$B$2825,$B$2827),Data!$BO:$BO,0)-2,47),"")),"")</f>
        <v/>
      </c>
      <c r="I2838" s="39"/>
    </row>
    <row r="2839" spans="2:9" s="16" customFormat="1" ht="15.75">
      <c r="B2839" s="35" t="str">
        <f ca="1">IFERROR(IF(AND(INDEX(Tab_DaBa[],MATCH(CONCATENATE(Liste!$C$3,$B$2825,$B$2827),Data!$BO:$BO,0)-2,28)&lt;&gt;"",INDEX(Tab_DaBa[],MATCH(CONCATENATE(Liste!$C$3,$B$2825,$B$2827),Data!$BO:$BO,0)-2,33)=""),INDEX(Tab_DaBa[],MATCH(CONCATENATE(Liste!$C$3,$B$2825,$B$2827),Data!$BO:$BO,0)-2,13),IF(INDEX(Tab_DaBa[],MATCH(CONCATENATE(Liste!$C$3,$B$2825,$B$2827),Data!$BO:$BO,0)-2,28)&lt;&gt;"",INDEX(Tab_DaBa[],MATCH(CONCATENATE(Liste!$C$3,$B$2825,$B$2827),Data!$BO:$BO,0)-2,33),"")),"")</f>
        <v/>
      </c>
      <c r="C2839" s="38" t="str">
        <f ca="1">IF(D2837="","",4)</f>
        <v/>
      </c>
      <c r="D2839" s="35" t="str">
        <f ca="1">IFERROR(IF(AND(INDEX(Tab_DaBa[],MATCH(CONCATENATE(Liste!$C$3,$B$2825,$B$2827),Data!$BO:$BO,0)-2,33)&lt;&gt;"",INDEX(Tab_DaBa[],MATCH(CONCATENATE(Liste!$C$3,$B$2825,$B$2827),Data!$BO:$BO,0)-2,38)=""),INDEX(Tab_DaBa[],MATCH(CONCATENATE(Liste!$C$3,$B$2825,$B$2827),Data!$BO:$BO,0)-2,13),IF(INDEX(Tab_DaBa[],MATCH(CONCATENATE(Liste!$C$3,$B$2825,$B$2827),Data!$BO:$BO,0)-2,33)&lt;&gt;"",INDEX(Tab_DaBa[],MATCH(CONCATENATE(Liste!$C$3,$B$2825,$B$2827),Data!$BO:$BO,0)-2,38),"")),"")</f>
        <v/>
      </c>
      <c r="E2839" s="38" t="str">
        <f ca="1">IF(F2837="","",4)</f>
        <v/>
      </c>
      <c r="F2839" s="35" t="str">
        <f ca="1">IFERROR(IF(AND(INDEX(Tab_DaBa[],MATCH(CONCATENATE(Liste!$C$3,$B$2825,$B$2827),Data!$BO:$BO,0)-2,38)&lt;&gt;"",INDEX(Tab_DaBa[],MATCH(CONCATENATE(Liste!$C$3,$B$2825,$B$2827),Data!$BO:$BO,0)-2,43)=""),INDEX(Tab_DaBa[],MATCH(CONCATENATE(Liste!$C$3,$B$2825,$B$2827),Data!$BO:$BO,0)-2,13),IF(INDEX(Tab_DaBa[],MATCH(CONCATENATE(Liste!$C$3,$B$2825,$B$2827),Data!$BO:$BO,0)-2,38)&lt;&gt;"",INDEX(Tab_DaBa[],MATCH(CONCATENATE(Liste!$C$3,$B$2825,$B$2827),Data!$BO:$BO,0)-2,43),"")),"")</f>
        <v/>
      </c>
      <c r="G2839" s="38" t="str">
        <f ca="1">IF(H2837="","",4)</f>
        <v/>
      </c>
      <c r="H2839" s="35" t="str">
        <f ca="1">IFERROR(IF(AND(INDEX(Tab_DaBa[],MATCH(CONCATENATE(Liste!$C$3,$B$2825,$B$2827),Data!$BO:$BO,0)-2,43)&lt;&gt;"",INDEX(Tab_DaBa[],MATCH(CONCATENATE(Liste!$C$3,$B$2825,$B$2827),Data!$BO:$BO,0)-2,48)=""),INDEX(Tab_DaBa[],MATCH(CONCATENATE(Liste!$C$3,$B$2825,$B$2827),Data!$BO:$BO,0)-2,13),IF(INDEX(Tab_DaBa[],MATCH(CONCATENATE(Liste!$C$3,$B$2825,$B$2827),Data!$BO:$BO,0)-2,43)&lt;&gt;"",INDEX(Tab_DaBa[],MATCH(CONCATENATE(Liste!$C$3,$B$2825,$B$2827),Data!$BO:$BO,0)-2,48),"")),"")</f>
        <v/>
      </c>
      <c r="I2839" s="38" t="str">
        <f ca="1">IF(B2845="","",6)</f>
        <v/>
      </c>
    </row>
    <row r="2840" spans="2:9" s="16" customFormat="1" ht="15.75">
      <c r="B2840" s="35" t="str">
        <f ca="1">IFERROR(IF(AND(INDEX(Tab_DaBa[],MATCH(CONCATENATE(Liste!$C$3,$B$2825,$B$2827),Data!$BO:$BO,0)-2,28)&lt;&gt;"",INDEX(Tab_DaBa[],MATCH(CONCATENATE(Liste!$C$3,$B$2825,$B$2827),Data!$BO:$BO,0)-2,33)=""),"Performance Level: "&amp;INDEX(Tab_DaBa[],MATCH(CONCATENATE(Liste!$C$3,$B$2825,$B$2827),Data!$BO:$BO,0)-2,15),IF(INDEX(Tab_DaBa[],MATCH(CONCATENATE(Liste!$C$3,$B$2825,$B$2827),Data!$BO:$BO,0)-2,28)&lt;&gt;"","Performance Level: "&amp;INDEX(Tab_DaBa[],MATCH(CONCATENATE(Liste!$C$3,$B$2825,$B$2827),Data!$BO:$BO,0)-2,35),"")),"")</f>
        <v/>
      </c>
      <c r="C2840" s="39"/>
      <c r="D2840" s="35" t="str">
        <f ca="1">IFERROR(IF(AND(INDEX(Tab_DaBa[],MATCH(CONCATENATE(Liste!$C$3,$B$2825,$B$2827),Data!$BO:$BO,0)-2,33)&lt;&gt;"",INDEX(Tab_DaBa[],MATCH(CONCATENATE(Liste!$C$3,$B$2825,$B$2827),Data!$BO:$BO,0)-2,38)=""),"Performance Level: "&amp;INDEX(Tab_DaBa[],MATCH(CONCATENATE(Liste!$C$3,$B$2825,$B$2827),Data!$BO:$BO,0)-2,15),IF(INDEX(Tab_DaBa[],MATCH(CONCATENATE(Liste!$C$3,$B$2825,$B$2827),Data!$BO:$BO,0)-2,33)&lt;&gt;"","Performance Level: "&amp;INDEX(Tab_DaBa[],MATCH(CONCATENATE(Liste!$C$3,$B$2825,$B$2827),Data!$BO:$BO,0)-2,40),"")),"")</f>
        <v/>
      </c>
      <c r="E2840" s="37"/>
      <c r="F2840" s="35" t="str">
        <f ca="1">IFERROR(IF(AND(INDEX(Tab_DaBa[],MATCH(CONCATENATE(Liste!$C$3,$B$2825,$B$2827),Data!$BO:$BO,0)-2,38)&lt;&gt;"",INDEX(Tab_DaBa[],MATCH(CONCATENATE(Liste!$C$3,$B$2825,$B$2827),Data!$BO:$BO,0)-2,43)=""),"Performance Level: "&amp;INDEX(Tab_DaBa[],MATCH(CONCATENATE(Liste!$C$3,$B$2825,$B$2827),Data!$BO:$BO,0)-2,15),IF(INDEX(Tab_DaBa[],MATCH(CONCATENATE(Liste!$C$3,$B$2825,$B$2827),Data!$BO:$BO,0)-2,38)&lt;&gt;"","Performance Level: "&amp;INDEX(Tab_DaBa[],MATCH(CONCATENATE(Liste!$C$3,$B$2825,$B$2827),Data!$BO:$BO,0)-2,45),"")),"")</f>
        <v/>
      </c>
      <c r="G2840" s="39"/>
      <c r="H2840" s="35" t="str">
        <f ca="1">IFERROR(IF(AND(INDEX(Tab_DaBa[],MATCH(CONCATENATE(Liste!$C$3,$B$2825,$B$2827),Data!$BO:$BO,0)-2,43)&lt;&gt;"",INDEX(Tab_DaBa[],MATCH(CONCATENATE(Liste!$C$3,$B$2825,$B$2827),Data!$BO:$BO,0)-2,48)=""),"Performance Level: "&amp;INDEX(Tab_DaBa[],MATCH(CONCATENATE(Liste!$C$3,$B$2825,$B$2827),Data!$BO:$BO,0)-2,15),IF(INDEX(Tab_DaBa[],MATCH(CONCATENATE(Liste!$C$3,$B$2825,$B$2827),Data!$BO:$BO,0)-2,43)&lt;&gt;"","Performance Level: "&amp;INDEX(Tab_DaBa[],MATCH(CONCATENATE(Liste!$C$3,$B$2825,$B$2827),Data!$BO:$BO,0)-2,50),"")),"")</f>
        <v/>
      </c>
      <c r="I2840" s="39"/>
    </row>
    <row r="2841" spans="2:9" s="16" customFormat="1" ht="15.75">
      <c r="B2841" s="35" t="str">
        <f ca="1">IFERROR(IF(AND(INDEX(Tab_DaBa[],MATCH(CONCATENATE(Liste!$C$3,$B$2825,$B$2827),Data!$BO:$BO,0)-2,28)&lt;&gt;"",INDEX(Tab_DaBa[],MATCH(CONCATENATE(Liste!$C$3,$B$2825,$B$2827),Data!$BO:$BO,0)-2,33)=""),"PFH [1/h] = "&amp;10^9*INDEX(Tab_DaBa[],MATCH(CONCATENATE(Liste!$C$3,$B$2825,$B$2827),Data!$BO:$BO,0)-2,16)&amp;"E-9",IF(INDEX(Tab_DaBa[],MATCH(CONCATENATE(Liste!$C$3,$B$2825,$B$2827),Data!$BO:$BO,0)-2,28)&lt;&gt;"","PFH [1/h] = "&amp;10^9*INDEX(Tab_DaBa[],MATCH(CONCATENATE(Liste!$C$3,$B$2825,$B$2827),Data!$BO:$BO,0)-2,36)&amp;"E-9","")),"")</f>
        <v/>
      </c>
      <c r="C2841" s="39"/>
      <c r="D2841" s="35" t="str">
        <f ca="1">IFERROR(IF(AND(INDEX(Tab_DaBa[],MATCH(CONCATENATE(Liste!$C$3,$B$2825,$B$2827),Data!$BO:$BO,0)-2,33)&lt;&gt;"",INDEX(Tab_DaBa[],MATCH(CONCATENATE(Liste!$C$3,$B$2825,$B$2827),Data!$BO:$BO,0)-2,38)=""),"PFH [1/h] = "&amp;10^9*INDEX(Tab_DaBa[],MATCH(CONCATENATE(Liste!$C$3,$B$2825,$B$2827),Data!$BO:$BO,0)-2,16)&amp;"E-9",IF(INDEX(Tab_DaBa[],MATCH(CONCATENATE(Liste!$C$3,$B$2825,$B$2827),Data!$BO:$BO,0)-2,33)&lt;&gt;"","PFH [1/h] = "&amp;10^9*INDEX(Tab_DaBa[],MATCH(CONCATENATE(Liste!$C$3,$B$2825,$B$2827),Data!$BO:$BO,0)-2,41)&amp;"E-9","")),"")</f>
        <v/>
      </c>
      <c r="E2841" s="37"/>
      <c r="F2841" s="35" t="str">
        <f ca="1">IFERROR(IF(AND(INDEX(Tab_DaBa[],MATCH(CONCATENATE(Liste!$C$3,$B$2825,$B$2827),Data!$BO:$BO,0)-2,38)&lt;&gt;"",INDEX(Tab_DaBa[],MATCH(CONCATENATE(Liste!$C$3,$B$2825,$B$2827),Data!$BO:$BO,0)-2,43)=""),"PFH [1/h] = "&amp;10^9*INDEX(Tab_DaBa[],MATCH(CONCATENATE(Liste!$C$3,$B$2825,$B$2827),Data!$BO:$BO,0)-2,16)&amp;"E-9",IF(INDEX(Tab_DaBa[],MATCH(CONCATENATE(Liste!$C$3,$B$2825,$B$2827),Data!$BO:$BO,0)-2,38)&lt;&gt;"","PFH [1/h] = "&amp;10^9*INDEX(Tab_DaBa[],MATCH(CONCATENATE(Liste!$C$3,$B$2825,$B$2827),Data!$BO:$BO,0)-2,46)&amp;"E-9","")),"")</f>
        <v/>
      </c>
      <c r="G2841" s="39"/>
      <c r="H2841" s="35" t="str">
        <f ca="1">IFERROR(IF(AND(INDEX(Tab_DaBa[],MATCH(CONCATENATE(Liste!$C$3,$B$2825,$B$2827),Data!$BO:$BO,0)-2,43)&lt;&gt;"",INDEX(Tab_DaBa[],MATCH(CONCATENATE(Liste!$C$3,$B$2825,$B$2827),Data!$BO:$BO,0)-2,48)=""),"PFH [1/h] = "&amp;10^9*INDEX(Tab_DaBa[],MATCH(CONCATENATE(Liste!$C$3,$B$2825,$B$2827),Data!$BO:$BO,0)-2,16)&amp;"E-9",IF(INDEX(Tab_DaBa[],MATCH(CONCATENATE(Liste!$C$3,$B$2825,$B$2827),Data!$BO:$BO,0)-2,43)&lt;&gt;"","PFH [1/h] = "&amp;10^9*INDEX(Tab_DaBa[],MATCH(CONCATENATE(Liste!$C$3,$B$2825,$B$2827),Data!$BO:$BO,0)-2,51)&amp;"E-9","")),"")</f>
        <v/>
      </c>
      <c r="I2841" s="39"/>
    </row>
    <row r="2842" spans="2:9" s="16" customFormat="1">
      <c r="B2842" s="33"/>
      <c r="C2842" s="33"/>
      <c r="D2842" s="33"/>
      <c r="E2842" s="33"/>
      <c r="F2842" s="33"/>
      <c r="G2842" s="33"/>
      <c r="H2842" s="33"/>
      <c r="I2842" s="33"/>
    </row>
    <row r="2843" spans="2:9" s="16" customFormat="1" ht="15.75">
      <c r="B2843" s="38" t="str">
        <f ca="1">IF(B2845="","",6)</f>
        <v/>
      </c>
      <c r="C2843" s="33"/>
      <c r="D2843" s="38" t="str">
        <f ca="1">IF(B2845="","",3)</f>
        <v/>
      </c>
      <c r="E2843" s="33"/>
      <c r="F2843" s="38" t="str">
        <f ca="1">IF(B2845="","",3)</f>
        <v/>
      </c>
      <c r="G2843" s="33"/>
      <c r="H2843" s="38" t="str">
        <f ca="1">IF(B2845="","",3)</f>
        <v/>
      </c>
      <c r="I2843" s="33"/>
    </row>
    <row r="2844" spans="2:9" s="16" customFormat="1" ht="15.75">
      <c r="B2844" s="39"/>
      <c r="C2844" s="33"/>
      <c r="D2844" s="33"/>
      <c r="E2844" s="33"/>
      <c r="F2844" s="33"/>
      <c r="G2844" s="33"/>
      <c r="H2844" s="33"/>
      <c r="I2844" s="33"/>
    </row>
    <row r="2845" spans="2:9" s="16" customFormat="1" ht="15.75">
      <c r="B2845" s="35" t="str">
        <f ca="1">IFERROR(IF(AND(INDEX(Tab_DaBa[],MATCH(CONCATENATE(Liste!$C$3,$B$2825,$B$2827),Data!$BO:$BO,0)-2,48)&lt;&gt;"",INDEX(Tab_DaBa[],MATCH(CONCATENATE(Liste!$C$3,$B$2825,$B$2827),Data!$BO:$BO,0)-2,53)=0),INDEX(Tab_DaBa[],MATCH(CONCATENATE(Liste!$C$3,$B$2825,$B$2827),Data!$BO:$BO,0)-2,14),IF(INDEX(Tab_DaBa[],MATCH(CONCATENATE(Liste!$C$3,$B$2825,$B$2827),Data!$BO:$BO,0)-2,48)&lt;&gt;"",INDEX(Tab_DaBa[],MATCH(CONCATENATE(Liste!$C$3,$B$2825,$B$2827),Data!$BO:$BO,0)-2,54),"")),"")</f>
        <v/>
      </c>
      <c r="C2845" s="39"/>
      <c r="D2845" s="35" t="str">
        <f ca="1">IFERROR(IF(AND(INDEX(Tab_DaBa[],MATCH(CONCATENATE(Liste!$C$3,$B$2825,$B$2827),Data!$BO:$BO,0)-2,53)&lt;&gt;"",INDEX(Tab_DaBa[],MATCH(CONCATENATE(Liste!$C$3,$B$2825,$B$2827),Data!$BO:$BO,0)-2,58)=0),INDEX(Tab_DaBa[],MATCH(CONCATENATE(Liste!$C$3,$B$2825,$B$2827),Data!$BO:$BO,0)-2,14),IF(INDEX(Tab_DaBa[],MATCH(CONCATENATE(Liste!$C$3,$B$2825,$B$2827),Data!$BO:$BO,0)-2,53)&lt;&gt;"",INDEX(Tab_DaBa[],MATCH(CONCATENATE(Liste!$C$3,$B$2825,$B$2827),Data!$BO:$BO,0)-2,59),"")),"")</f>
        <v/>
      </c>
      <c r="E2845" s="33"/>
      <c r="F2845" s="35" t="str">
        <f ca="1">IFERROR(IF(AND(INDEX(Tab_DaBa[],MATCH(CONCATENATE(Liste!$C$3,$B$2825,$B$2827),Data!$BO:$BO,0)-2,58)&lt;&gt;"",INDEX(Tab_DaBa[],MATCH(CONCATENATE(Liste!$C$3,$B$2825,$B$2827),Data!$BO:$BO,0)-2,63)=0),INDEX(Tab_DaBa[],MATCH(CONCATENATE(Liste!$C$3,$B$2825,$B$2827),Data!$BO:$BO,0)-2,14),IF(INDEX(Tab_DaBa[],MATCH(CONCATENATE(Liste!$C$3,$B$2825,$B$2827),Data!$BO:$BO,0)-2,58)&lt;&gt;"",INDEX(Tab_DaBa[],MATCH(CONCATENATE(Liste!$C$3,$B$2825,$B$2827),Data!$BO:$BO,0)-2,64),"")),"")</f>
        <v/>
      </c>
      <c r="G2845" s="39"/>
      <c r="H2845" s="35" t="str">
        <f ca="1">IFERROR(IF(INDEX(Tab_DaBa[],MATCH(CONCATENATE(Liste!$C$3,$B$2825,$B$2827),Data!$BO:$BO,0)-2,63)&lt;&gt;"",INDEX(Tab_DaBa[],MATCH(CONCATENATE(Liste!$C$3,$B$2825,$B$2827),Data!$BO:$BO,0)-2,14),""),"")</f>
        <v/>
      </c>
    </row>
    <row r="2846" spans="2:9" s="16" customFormat="1" ht="15.75">
      <c r="B2846" s="35" t="str">
        <f ca="1">IFERROR(IF(AND(INDEX(Tab_DaBa[],MATCH(CONCATENATE(Liste!$C$3,$B$2825,$B$2827),Data!$BO:$BO,0)-2,48)&lt;&gt;"",INDEX(Tab_DaBa[],MATCH(CONCATENATE(Liste!$C$3,$B$2825,$B$2827),Data!$BO:$BO,0)-2,53)=0),INDEX(Tab_DaBa[],MATCH(CONCATENATE(Liste!$C$3,$B$2825,$B$2827),Data!$BO:$BO,0)-2,12),IF(INDEX(Tab_DaBa[],MATCH(CONCATENATE(Liste!$C$3,$B$2825,$B$2827),Data!$BO:$BO,0)-2,48)&lt;&gt;"",INDEX(Tab_DaBa[],MATCH(CONCATENATE(Liste!$C$3,$B$2825,$B$2827),Data!$BO:$BO,0)-2,52),"")),"")</f>
        <v/>
      </c>
      <c r="C2846" s="39"/>
      <c r="D2846" s="35" t="str">
        <f ca="1">IFERROR(IF(AND(INDEX(Tab_DaBa[],MATCH(CONCATENATE(Liste!$C$3,$B$2825,$B$2827),Data!$BO:$BO,0)-2,53)&lt;&gt;"",INDEX(Tab_DaBa[],MATCH(CONCATENATE(Liste!$C$3,$B$2825,$B$2827),Data!$BO:$BO,0)-2,58)=0),INDEX(Tab_DaBa[],MATCH(CONCATENATE(Liste!$C$3,$B$2825,$B$2827),Data!$BO:$BO,0)-2,12),IF(INDEX(Tab_DaBa[],MATCH(CONCATENATE(Liste!$C$3,$B$2825,$B$2827),Data!$BO:$BO,0)-2,53)&lt;&gt;"",INDEX(Tab_DaBa[],MATCH(CONCATENATE(Liste!$C$3,$B$2825,$B$2827),Data!$BO:$BO,0)-2,57),"")),"")</f>
        <v/>
      </c>
      <c r="E2846" s="37"/>
      <c r="F2846" s="35" t="str">
        <f ca="1">IFERROR(IF(AND(INDEX(Tab_DaBa[],MATCH(CONCATENATE(Liste!$C$3,$B$2825,$B$2827),Data!$BO:$BO,0)-2,58)&lt;&gt;"",INDEX(Tab_DaBa[],MATCH(CONCATENATE(Liste!$C$3,$B$2825,$B$2827),Data!$BO:$BO,0)-2,63)=0),INDEX(Tab_DaBa[],MATCH(CONCATENATE(Liste!$C$3,$B$2825,$B$2827),Data!$BO:$BO,0)-2,12),IF(INDEX(Tab_DaBa[],MATCH(CONCATENATE(Liste!$C$3,$B$2825,$B$2827),Data!$BO:$BO,0)-2,58)&lt;&gt;"",INDEX(Tab_DaBa[],MATCH(CONCATENATE(Liste!$C$3,$B$2825,$B$2827),Data!$BO:$BO,0)-2,62),"")),"")</f>
        <v/>
      </c>
      <c r="G2846" s="39"/>
      <c r="H2846" s="35" t="str">
        <f ca="1">IFERROR(IF(INDEX(Tab_DaBa[],MATCH(CONCATENATE(Liste!$C$3,$B$2825,$B$2827),Data!$BO:$BO,0)-2,63)&lt;&gt;"",INDEX(Tab_DaBa[],MATCH(CONCATENATE(Liste!$C$3,$B$2825,$B$2827),Data!$BO:$BO,0)-2,12),""),"")</f>
        <v/>
      </c>
    </row>
    <row r="2847" spans="2:9" s="16" customFormat="1" ht="15.75">
      <c r="B2847" s="35" t="str">
        <f ca="1">IFERROR(IF(AND(INDEX(Tab_DaBa[],MATCH(CONCATENATE(Liste!$C$3,$B$2825,$B$2827),Data!$BO:$BO,0)-2,48)&lt;&gt;"",INDEX(Tab_DaBa[],MATCH(CONCATENATE(Liste!$C$3,$B$2825,$B$2827),Data!$BO:$BO,0)-2,53)=""),INDEX(Tab_DaBa[],MATCH(CONCATENATE(Liste!$C$3,$B$2825,$B$2827),Data!$BO:$BO,0)-2,13),IF(INDEX(Tab_DaBa[],MATCH(CONCATENATE(Liste!$C$3,$B$2825,$B$2827),Data!$BO:$BO,0)-2,48)&lt;&gt;"",INDEX(Tab_DaBa[],MATCH(CONCATENATE(Liste!$C$3,$B$2825,$B$2827),Data!$BO:$BO,0)-2,53),"")),"")</f>
        <v/>
      </c>
      <c r="C2847" s="38" t="str">
        <f ca="1">IF(D2845="","",4)</f>
        <v/>
      </c>
      <c r="D2847" s="35" t="str">
        <f ca="1">IFERROR(IF(AND(INDEX(Tab_DaBa[],MATCH(CONCATENATE(Liste!$C$3,$B$2825,$B$2827),Data!$BO:$BO,0)-2,53)&lt;&gt;"",INDEX(Tab_DaBa[],MATCH(CONCATENATE(Liste!$C$3,$B$2825,$B$2827),Data!$BO:$BO,0)-2,58)=""),INDEX(Tab_DaBa[],MATCH(CONCATENATE(Liste!$C$3,$B$2825,$B$2827),Data!$BO:$BO,0)-2,13),IF(INDEX(Tab_DaBa[],MATCH(CONCATENATE(Liste!$C$3,$B$2825,$B$2827),Data!$BO:$BO,0)-2,53)&lt;&gt;"",INDEX(Tab_DaBa[],MATCH(CONCATENATE(Liste!$C$3,$B$2825,$B$2827),Data!$BO:$BO,0)-2,58),"")),"")</f>
        <v/>
      </c>
      <c r="E2847" s="38" t="str">
        <f ca="1">IF(F2845="","",4)</f>
        <v/>
      </c>
      <c r="F2847" s="35" t="str">
        <f ca="1">IFERROR(IF(AND(INDEX(Tab_DaBa[],MATCH(CONCATENATE(Liste!$C$3,$B$2825,$B$2827),Data!$BO:$BO,0)-2,58)&lt;&gt;"",INDEX(Tab_DaBa[],MATCH(CONCATENATE(Liste!$C$3,$B$2825,$B$2827),Data!$BO:$BO,0)-2,63)=""),INDEX(Tab_DaBa[],MATCH(CONCATENATE(Liste!$C$3,$B$2825,$B$2827),Data!$BO:$BO,0)-2,13),IF(INDEX(Tab_DaBa[],MATCH(CONCATENATE(Liste!$C$3,$B$2825,$B$2827),Data!$BO:$BO,0)-2,58)&lt;&gt;"",INDEX(Tab_DaBa[],MATCH(CONCATENATE(Liste!$C$3,$B$2825,$B$2827),Data!$BO:$BO,0)-2,63),"")),"")</f>
        <v/>
      </c>
      <c r="G2847" s="38" t="str">
        <f ca="1">IF(H2845="","",4)</f>
        <v/>
      </c>
      <c r="H2847" s="35" t="str">
        <f ca="1">IFERROR(IF(INDEX(Tab_DaBa[],MATCH(CONCATENATE(Liste!$C$3,$B$2825,$B$2827),Data!$BO:$BO,0)-2,63)&lt;&gt;"",INDEX(Tab_DaBa[],MATCH(CONCATENATE(Liste!$C$3,$B$2825,$B$2827),Data!$BO:$BO,0)-2,13),""),"")</f>
        <v/>
      </c>
    </row>
    <row r="2848" spans="2:9" s="16" customFormat="1" ht="15.75">
      <c r="B2848" s="35" t="str">
        <f ca="1">IFERROR(IF(AND(INDEX(Tab_DaBa[],MATCH(CONCATENATE(Liste!$C$3,$B$2825,$B$2827),Data!$BO:$BO,0)-2,48)&lt;&gt;"",INDEX(Tab_DaBa[],MATCH(CONCATENATE(Liste!$C$3,$B$2825,$B$2827),Data!$BO:$BO,0)-2,53)=""),"Performance Level: "&amp;INDEX(Tab_DaBa[],MATCH(CONCATENATE(Liste!$C$3,$B$2825,$B$2827),Data!$BO:$BO,0)-2,15),IF(INDEX(Tab_DaBa[],MATCH(CONCATENATE(Liste!$C$3,$B$2825,$B$2827),Data!$BO:$BO,0)-2,48)&lt;&gt;"","Performance Level: "&amp;INDEX(Tab_DaBa[],MATCH(CONCATENATE(Liste!$C$3,$B$2825,$B$2827),Data!$BO:$BO,0)-2,55),"")),"")</f>
        <v/>
      </c>
      <c r="C2848" s="39"/>
      <c r="D2848" s="35" t="str">
        <f ca="1">IFERROR(IF(AND(INDEX(Tab_DaBa[],MATCH(CONCATENATE(Liste!$C$3,$B$2825,$B$2827),Data!$BO:$BO,0)-2,53)&lt;&gt;"",INDEX(Tab_DaBa[],MATCH(CONCATENATE(Liste!$C$3,$B$2825,$B$2827),Data!$BO:$BO,0)-2,58)=""),"Performance Level: "&amp;INDEX(Tab_DaBa[],MATCH(CONCATENATE(Liste!$C$3,$B$2825,$B$2827),Data!$BO:$BO,0)-2,15),IF(INDEX(Tab_DaBa[],MATCH(CONCATENATE(Liste!$C$3,$B$2825,$B$2827),Data!$BO:$BO,0)-2,53)&lt;&gt;"","Performance Level: "&amp;INDEX(Tab_DaBa[],MATCH(CONCATENATE(Liste!$C$3,$B$2825,$B$2827),Data!$BO:$BO,0)-2,60),"")),"")</f>
        <v/>
      </c>
      <c r="E2848" s="37"/>
      <c r="F2848" s="35" t="str">
        <f ca="1">IFERROR(IF(AND(INDEX(Tab_DaBa[],MATCH(CONCATENATE(Liste!$C$3,$B$2825,$B$2827),Data!$BO:$BO,0)-2,58)&lt;&gt;"",INDEX(Tab_DaBa[],MATCH(CONCATENATE(Liste!$C$3,$B$2825,$B$2827),Data!$BO:$BO,0)-2,63)=""),"Performance Level: "&amp;INDEX(Tab_DaBa[],MATCH(CONCATENATE(Liste!$C$3,$B$2825,$B$2827),Data!$BO:$BO,0)-2,15),IF(INDEX(Tab_DaBa[],MATCH(CONCATENATE(Liste!$C$3,$B$2825,$B$2827),Data!$BO:$BO,0)-2,58)&lt;&gt;"","Performance Level: "&amp;INDEX(Tab_DaBa[],MATCH(CONCATENATE(Liste!$C$3,$B$2825,$B$2827),Data!$BO:$BO,0)-2,65),"")),"")</f>
        <v/>
      </c>
      <c r="G2848" s="39"/>
      <c r="H2848" s="35" t="str">
        <f ca="1">IFERROR(IF(INDEX(Tab_DaBa[],MATCH(CONCATENATE(Liste!$C$3,$B$2825,$B$2827),Data!$BO:$BO,0)-2,63)&lt;&gt;"","Performance Level: "&amp;INDEX(Tab_DaBa[],MATCH(CONCATENATE(Liste!$C$3,$B$2825,$B$2827),Data!$BO:$BO,0)-2,15),""),"")</f>
        <v/>
      </c>
    </row>
    <row r="2849" spans="2:9" s="16" customFormat="1" ht="15.75">
      <c r="B2849" s="35" t="str">
        <f ca="1">IFERROR(IF(AND(INDEX(Tab_DaBa[],MATCH(CONCATENATE(Liste!$C$3,$B$2825,$B$2827),Data!$BO:$BO,0)-2,48)&lt;&gt;"",INDEX(Tab_DaBa[],MATCH(CONCATENATE(Liste!$C$3,$B$2825,$B$2827),Data!$BO:$BO,0)-2,53)=""),"PFH [1/h] = "&amp;10^9*INDEX(Tab_DaBa[],MATCH(CONCATENATE(Liste!$C$3,$B$2825,$B$2827),Data!$BO:$BO,0)-2,16)&amp;"E-9",IF(INDEX(Tab_DaBa[],MATCH(CONCATENATE(Liste!$C$3,$B$2825,$B$2827),Data!$BO:$BO,0)-2,48)&lt;&gt;"","PFH [1/h] = "&amp;10^9*INDEX(Tab_DaBa[],MATCH(CONCATENATE(Liste!$C$3,$B$2825,$B$2827),Data!$BO:$BO,0)-2,56)&amp;"E-9","")),"")</f>
        <v/>
      </c>
      <c r="C2849" s="39"/>
      <c r="D2849" s="35" t="str">
        <f ca="1">IFERROR(IF(AND(INDEX(Tab_DaBa[],MATCH(CONCATENATE(Liste!$C$3,$B$2825,$B$2827),Data!$BO:$BO,0)-2,53)&lt;&gt;"",INDEX(Tab_DaBa[],MATCH(CONCATENATE(Liste!$C$3,$B$2825,$B$2827),Data!$BO:$BO,0)-2,58)=""),"PFH [1/h] = "&amp;10^9*INDEX(Tab_DaBa[],MATCH(CONCATENATE(Liste!$C$3,$B$2825,$B$2827),Data!$BO:$BO,0)-2,16)&amp;"E-9",IF(INDEX(Tab_DaBa[],MATCH(CONCATENATE(Liste!$C$3,$B$2825,$B$2827),Data!$BO:$BO,0)-2,53)&lt;&gt;"","PFH [1/h] = "&amp;10^9*INDEX(Tab_DaBa[],MATCH(CONCATENATE(Liste!$C$3,$B$2825,$B$2827),Data!$BO:$BO,0)-2,61)&amp;"E-9","")),"")</f>
        <v/>
      </c>
      <c r="E2849" s="37"/>
      <c r="F2849" s="35" t="str">
        <f ca="1">IFERROR(IF(AND(INDEX(Tab_DaBa[],MATCH(CONCATENATE(Liste!$C$3,$B$2825,$B$2827),Data!$BO:$BO,0)-2,58)&lt;&gt;"",INDEX(Tab_DaBa[],MATCH(CONCATENATE(Liste!$C$3,$B$2825,$B$2827),Data!$BO:$BO,0)-2,63)=""),"PFH [1/h] = "&amp;10^9*INDEX(Tab_DaBa[],MATCH(CONCATENATE(Liste!$C$3,$B$2825,$B$2827),Data!$BO:$BO,0)-2,16)&amp;"E-9",IF(INDEX(Tab_DaBa[],MATCH(CONCATENATE(Liste!$C$3,$B$2825,$B$2827),Data!$BO:$BO,0)-2,58)&lt;&gt;"","PFH [1/h] = "&amp;10^9*INDEX(Tab_DaBa[],MATCH(CONCATENATE(Liste!$C$3,$B$2825,$B$2827),Data!$BO:$BO,0)-2,66)&amp;"E-9","")),"")</f>
        <v/>
      </c>
      <c r="G2849" s="39"/>
      <c r="H2849" s="35" t="str">
        <f ca="1">IFERROR(IF(INDEX(Tab_DaBa[],MATCH(CONCATENATE(Liste!$C$3,$B$2825,$B$2827),Data!$BO:$BO,0)-2,63)&lt;&gt;"","PFH [1/h] = "&amp;10^9*INDEX(Tab_DaBa[],MATCH(CONCATENATE(Liste!$C$3,$B$2825,$B$2827),Data!$BO:$BO,0)-2,16)&amp;"E-9",""),"")</f>
        <v/>
      </c>
    </row>
    <row r="2850" spans="2:9" s="16" customFormat="1"/>
    <row r="2851" spans="2:9" s="16" customFormat="1">
      <c r="B2851" s="43" t="str">
        <f ca="1">IF(D2851="","","Erforderlich")</f>
        <v>Erforderlich</v>
      </c>
      <c r="D2851" s="44" t="str">
        <f ca="1">IFERROR("Performance Level: "&amp;INDEX(Tab_DaBa[],MATCH(CONCATENATE(Liste!$C$3,$B$2825,$B$2827),Data!$BO:$BO,0)-2,4),"")</f>
        <v>Performance Level: PLr_ges4_1</v>
      </c>
    </row>
    <row r="2852" spans="2:9" s="16" customFormat="1">
      <c r="B2852" s="45"/>
    </row>
    <row r="2853" spans="2:9" s="16" customFormat="1">
      <c r="B2853" s="46" t="str">
        <f ca="1">IF(D2853="","","Erreicht")</f>
        <v>Erreicht</v>
      </c>
      <c r="D2853" s="47" t="str">
        <f ca="1">IFERROR("Performance Level: "&amp;INDEX(Tab_DaBa[],MATCH(CONCATENATE(Liste!$C$3,$B$2825,$B$2827),Data!$BO:$BO,0)-2,5)&amp;"          PFH [1/h] = "&amp;10^9*INDEX(Tab_DaBa[],MATCH(CONCATENATE(Liste!$C$3,$B$2825,$B$2827),Data!$BO:$BO,0)-2,6)&amp;"E-9","")</f>
        <v>Performance Level: Pl_ges4_1          PFH [1/h] = 71,7E-9</v>
      </c>
    </row>
    <row r="2854" spans="2:9" s="16" customFormat="1"/>
    <row r="2855" spans="2:9" s="16" customFormat="1">
      <c r="B2855" s="42" t="str">
        <f ca="1">IFERROR(IF(2&gt;COUNTIF(Data!$BP:$BP,CONCATENATE(Liste!$C$3,$B$2825)),"",INDEX(Tab_DaBa[],MATCH(CONCATENATE(Liste!$C$3,$B$2825),Data!$BP:$BP,0)-1,3)),"")</f>
        <v>11.2 Test11 (E+2L+A)</v>
      </c>
    </row>
    <row r="2856" spans="2:9" s="16" customFormat="1"/>
    <row r="2857" spans="2:9" s="16" customFormat="1" ht="15.75">
      <c r="B2857" s="35" t="str">
        <f ca="1">IFERROR(INDEX(Tab_DaBa[],MATCH(CONCATENATE(Liste!$C$3,$B$2825,$B$2855),Data!$BO:$BO,0)-2,9),"")</f>
        <v>Eingang</v>
      </c>
      <c r="C2857" s="54"/>
      <c r="D2857" s="35" t="str">
        <f ca="1">IFERROR(IF(INDEX(Tab_DaBa[],MATCH(CONCATENATE(Liste!$C$3,$B$2825,$B$2855),Data!$BO:$BO,0)-2,18)=0,INDEX(Tab_DaBa[],MATCH(CONCATENATE(Liste!$C$3,$B$2825,$B$2855),Data!$BO:$BO,0)-2,14),INDEX(Tab_DaBa[],MATCH(CONCATENATE(Liste!$C$3,$B$2825,$B$2855),Data!$BO:$BO,0)-2,19)),"")</f>
        <v>Logik 01</v>
      </c>
      <c r="E2857" s="33"/>
      <c r="F2857" s="35" t="str">
        <f ca="1">IFERROR(IF(AND(INDEX(Tab_DaBa[],MATCH(CONCATENATE(Liste!$C$3,$B$2825,$B$2855),Data!$BO:$BO,0)-2,18)&lt;&gt;"",INDEX(Tab_DaBa[],MATCH(CONCATENATE(Liste!$C$3,$B$2825,$B$2855),Data!$BO:$BO,0)-2,23)=0),INDEX(Tab_DaBa[],MATCH(CONCATENATE(Liste!$C$3,$B$2825,$B$2855),Data!$BO:$BO,0)-2,14),IF(INDEX(Tab_DaBa[],MATCH(CONCATENATE(Liste!$C$3,$B$2825,$B$2855),Data!$BO:$BO,0)-2,23)&lt;&gt;"",INDEX(Tab_DaBa[],MATCH(CONCATENATE(Liste!$C$3,$B$2825,$B$2855),Data!$BO:$BO,0)-2,24),"")),"")</f>
        <v>Logik 02</v>
      </c>
      <c r="G2857" s="39"/>
      <c r="H2857" s="35" t="str">
        <f ca="1">IFERROR(IF(AND(INDEX(Tab_DaBa[],MATCH(CONCATENATE(Liste!$C$3,$B$2825,$B$2855),Data!$BO:$BO,0)-2,23)&lt;&gt;"",INDEX(Tab_DaBa[],MATCH(CONCATENATE(Liste!$C$3,$B$2825,$B$2855),Data!$BO:$BO,0)-2,28)=0),INDEX(Tab_DaBa[],MATCH(CONCATENATE(Liste!$C$3,$B$2825,$B$2855),Data!$BO:$BO,0)-2,14),IF(INDEX(Tab_DaBa[],MATCH(CONCATENATE(Liste!$C$3,$B$2825,$B$2855),Data!$BO:$BO,0)-2,23)&lt;&gt;"",INDEX(Tab_DaBa[],MATCH(CONCATENATE(Liste!$C$3,$B$2825,$B$2855),Data!$BO:$BO,0)-2,29),"")),"")</f>
        <v>Ausgang</v>
      </c>
      <c r="I2857" s="39"/>
    </row>
    <row r="2858" spans="2:9" s="16" customFormat="1" ht="15.75">
      <c r="B2858" s="35" t="str">
        <f ca="1">IFERROR(INDEX(Tab_DaBa[],MATCH(CONCATENATE(Liste!$C$3,$B$2825,$B$2855),Data!$BO:$BO,0)-2,7),"")</f>
        <v>eeee-33_2</v>
      </c>
      <c r="C2858" s="54"/>
      <c r="D2858" s="35" t="str">
        <f ca="1">IFERROR(IF(INDEX(Tab_DaBa[],MATCH(CONCATENATE(Liste!$C$3,$B$2825,$B$2855),Data!$BO:$BO,0)-2,18)="",INDEX(Tab_DaBa[],MATCH(CONCATENATE(Liste!$C$3,$B$2825,$B$2855),Data!$BO:$BO,0)-2,12),INDEX(Tab_DaBa[],MATCH(CONCATENATE(Liste!$C$3,$B$2825,$B$2855),Data!$BO:$BO,0)-2,17)),"")</f>
        <v>Log01-04_02</v>
      </c>
      <c r="E2858" s="36"/>
      <c r="F2858" s="35" t="str">
        <f ca="1">IFERROR(IF(AND(INDEX(Tab_DaBa[],MATCH(CONCATENATE(Liste!$C$3,$B$2825,$B$2855),Data!$BO:$BO,0)-2,18)&lt;&gt;"",INDEX(Tab_DaBa[],MATCH(CONCATENATE(Liste!$C$3,$B$2825,$B$2855),Data!$BO:$BO,0)-2,23)=0),INDEX(Tab_DaBa[],MATCH(CONCATENATE(Liste!$C$3,$B$2825,$B$2855),Data!$BO:$BO,0)-2,12),IF(INDEX(Tab_DaBa[],MATCH(CONCATENATE(Liste!$C$3,$B$2825,$B$2855),Data!$BO:$BO,0)-2,23)&lt;&gt;"",INDEX(Tab_DaBa[],MATCH(CONCATENATE(Liste!$C$3,$B$2825,$B$2855),Data!$BO:$BO,0)-2,22),"")),"")</f>
        <v>Lo04-04_02</v>
      </c>
      <c r="G2858" s="39"/>
      <c r="H2858" s="35" t="str">
        <f ca="1">IFERROR(IF(AND(INDEX(Tab_DaBa[],MATCH(CONCATENATE(Liste!$C$3,$B$2825,$B$2855),Data!$BO:$BO,0)-2,23)&lt;&gt;"",INDEX(Tab_DaBa[],MATCH(CONCATENATE(Liste!$C$3,$B$2825,$B$2855),Data!$BO:$BO,0)-2,28)=0),INDEX(Tab_DaBa[],MATCH(CONCATENATE(Liste!$C$3,$B$2825,$B$2855),Data!$BO:$BO,0)-2,12),IF(INDEX(Tab_DaBa[],MATCH(CONCATENATE(Liste!$C$3,$B$2825,$B$2855),Data!$BO:$BO,0)-2,23)&lt;&gt;"",INDEX(Tab_DaBa[],MATCH(CONCATENATE(Liste!$C$3,$B$2825,$B$2855),Data!$BO:$BO,0)-2,27),"")),"")</f>
        <v>aaaa-44_2</v>
      </c>
      <c r="I2858" s="39"/>
    </row>
    <row r="2859" spans="2:9" s="16" customFormat="1" ht="15.75">
      <c r="B2859" s="35" t="str">
        <f ca="1">IFERROR(INDEX(Tab_DaBa[],MATCH(CONCATENATE(Liste!$C$3,$B$2825,$B$2855),Data!$BO:$BO,0)-2,8),"")</f>
        <v>Bez_Ein4_2</v>
      </c>
      <c r="C2859" s="40">
        <f ca="1">IF(D2857="","",4)</f>
        <v>4</v>
      </c>
      <c r="D2859" s="35" t="str">
        <f ca="1">IFERROR(IF(INDEX(Tab_DaBa[],MATCH(CONCATENATE(Liste!$C$3,$B$2825,$B$2855),Data!$BO:$BO,0)-2,18)="",INDEX(Tab_DaBa[],MATCH(CONCATENATE(Liste!$C$3,$B$2825,$B$2855),Data!$BO:$BO,0)-2,13),INDEX(Tab_DaBa[],MATCH(CONCATENATE(Liste!$C$3,$B$2825,$B$2855),Data!$BO:$BO,0)-2,18)),"")</f>
        <v>Bez_Log01_04_02</v>
      </c>
      <c r="E2859" s="40">
        <f ca="1">IF(F2857="","",4)</f>
        <v>4</v>
      </c>
      <c r="F2859" s="35" t="str">
        <f ca="1">IFERROR(IF(AND(INDEX(Tab_DaBa[],MATCH(CONCATENATE(Liste!$C$3,$B$2825,$B$2855),Data!$BO:$BO,0)-2,18)&lt;&gt;"",INDEX(Tab_DaBa[],MATCH(CONCATENATE(Liste!$C$3,$B$2825,$B$2855),Data!$BO:$BO,0)-2,23)=""),INDEX(Tab_DaBa[],MATCH(CONCATENATE(Liste!$C$3,$B$2825,$B$2855),Data!$BO:$BO,0)-2,13),IF(INDEX(Tab_DaBa[],MATCH(CONCATENATE(Liste!$C$3,$B$2825,$B$2855),Data!$BO:$BO,0)-2,23)&lt;&gt;"",INDEX(Tab_DaBa[],MATCH(CONCATENATE(Liste!$C$3,$B$2825,$B$2855),Data!$BO:$BO,0)-2,23),"")),"")</f>
        <v>Bez_Lo04_02</v>
      </c>
      <c r="G2859" s="38">
        <f ca="1">IF(H2857="","",4)</f>
        <v>4</v>
      </c>
      <c r="H2859" s="35" t="str">
        <f ca="1">IFERROR(IF(AND(INDEX(Tab_DaBa[],MATCH(CONCATENATE(Liste!$C$3,$B$2825,$B$2855),Data!$BO:$BO,0)-2,23)&lt;&gt;"",INDEX(Tab_DaBa[],MATCH(CONCATENATE(Liste!$C$3,$B$2825,$B$2855),Data!$BO:$BO,0)-2,28)=""),INDEX(Tab_DaBa[],MATCH(CONCATENATE(Liste!$C$3,$B$2825,$B$2855),Data!$BO:$BO,0)-2,13),IF(INDEX(Tab_DaBa[],MATCH(CONCATENATE(Liste!$C$3,$B$2825,$B$2855),Data!$BO:$BO,0)-2,23)&lt;&gt;"",INDEX(Tab_DaBa[],MATCH(CONCATENATE(Liste!$C$3,$B$2825,$B$2855),Data!$BO:$BO,0)-2,28),"")),"")</f>
        <v>Bez_Aus4_2</v>
      </c>
      <c r="I2859" s="38" t="str">
        <f ca="1">IF(B2865="","",6)</f>
        <v/>
      </c>
    </row>
    <row r="2860" spans="2:9" s="16" customFormat="1" ht="15.75">
      <c r="B2860" s="35" t="str">
        <f ca="1">IFERROR("Performance Level: "&amp;INDEX(Tab_DaBa[],MATCH(CONCATENATE(Liste!$C$3,$B$2825,$B$2855),Data!$BO:$BO,0)-2,10),"")</f>
        <v>Performance Level: PL_Ein4_2</v>
      </c>
      <c r="C2860" s="54"/>
      <c r="D2860" s="35" t="str">
        <f ca="1">IFERROR(IF(INDEX(Tab_DaBa[],MATCH(CONCATENATE(Liste!$C$3,$B$2825,$B$2855),Data!$BO:$BO,0)-2,18)="","Performance Level: "&amp;INDEX(Tab_DaBa[],MATCH(CONCATENATE(Liste!$C$3,$B$2825,$B$2855),Data!$BO:$BO,0)-2,15),"Performance Level: "&amp;INDEX(Tab_DaBa[],MATCH(CONCATENATE(Liste!$C$3,$B$2825,$B$2855),Data!$BO:$BO,0)-2,20)),"")</f>
        <v>Performance Level: PL_Log01_04_02</v>
      </c>
      <c r="E2860" s="36"/>
      <c r="F2860" s="35" t="str">
        <f ca="1">IFERROR(IF(AND(INDEX(Tab_DaBa[],MATCH(CONCATENATE(Liste!$C$3,$B$2825,$B$2855),Data!$BO:$BO,0)-2,18)&lt;&gt;"",INDEX(Tab_DaBa[],MATCH(CONCATENATE(Liste!$C$3,$B$2825,$B$2855),Data!$BO:$BO,0)-2,23)=""),"Performance Level: "&amp;INDEX(Tab_DaBa[],MATCH(CONCATENATE(Liste!$C$3,$B$2825,$B$2855),Data!$BO:$BO,0)-2,15),IF(INDEX(Tab_DaBa[],MATCH(CONCATENATE(Liste!$C$3,$B$2825,$B$2855),Data!$BO:$BO,0)-2,23)&lt;&gt;"","Performance Level: "&amp;INDEX(Tab_DaBa[],MATCH(CONCATENATE(Liste!$C$3,$B$2825,$B$2855),Data!$BO:$BO,0)-2,25),"")),"")</f>
        <v>Performance Level: PL_Lo04_02</v>
      </c>
      <c r="G2860" s="39"/>
      <c r="H2860" s="35" t="str">
        <f ca="1">IFERROR(IF(AND(INDEX(Tab_DaBa[],MATCH(CONCATENATE(Liste!$C$3,$B$2825,$B$2855),Data!$BO:$BO,0)-2,23)&lt;&gt;"",INDEX(Tab_DaBa[],MATCH(CONCATENATE(Liste!$C$3,$B$2825,$B$2855),Data!$BO:$BO,0)-2,28)=""),"Performance Level: "&amp;INDEX(Tab_DaBa[],MATCH(CONCATENATE(Liste!$C$3,$B$2825,$B$2855),Data!$BO:$BO,0)-2,15),IF(INDEX(Tab_DaBa[],MATCH(CONCATENATE(Liste!$C$3,$B$2825,$B$2855),Data!$BO:$BO,0)-2,23)&lt;&gt;"","Performance Level: "&amp;INDEX(Tab_DaBa[],MATCH(CONCATENATE(Liste!$C$3,$B$2825,$B$2855),Data!$BO:$BO,0)-2,30),"")),"")</f>
        <v>Performance Level: PL_Aus4_2</v>
      </c>
      <c r="I2860" s="38"/>
    </row>
    <row r="2861" spans="2:9" s="16" customFormat="1" ht="15.75">
      <c r="B2861" s="53" t="str">
        <f ca="1">IFERROR("PFH [1/h] = "&amp;10^9*INDEX(Tab_DaBa[],MATCH(CONCATENATE(Liste!$C$3,$B$2825,$B$2855),Data!$BO:$BO,0)-2,11)&amp;"E-9","")</f>
        <v>PFH [1/h] = 42,9E-9</v>
      </c>
      <c r="C2861" s="54"/>
      <c r="D2861" s="35" t="str">
        <f ca="1">IFERROR(IF(INDEX(Tab_DaBa[],MATCH(CONCATENATE(Liste!$C$3,$B$2825,$B$2855),Data!$BO:$BO,0)-2,18)="","PFH [1/h] = "&amp;10^9*INDEX(Tab_DaBa[],MATCH(CONCATENATE(Liste!$C$3,$B$2825,$B$2855),Data!$BO:$BO,0)-2,16)&amp;"E-9","PFH [1/h] = "&amp;10^9*INDEX(Tab_DaBa[],MATCH(CONCATENATE(Liste!$C$3,$B$2825,$B$2855),Data!$BO:$BO,0)-2,21)&amp;"E-9"),"")</f>
        <v>PFH [1/h] = 4,19E-9</v>
      </c>
      <c r="E2861" s="36"/>
      <c r="F2861" s="35" t="str">
        <f ca="1">IFERROR(IF(AND(INDEX(Tab_DaBa[],MATCH(CONCATENATE(Liste!$C$3,$B$2825,$B$2855),Data!$BO:$BO,0)-2,18)&lt;&gt;"",INDEX(Tab_DaBa[],MATCH(CONCATENATE(Liste!$C$3,$B$2825,$B$2855),Data!$BO:$BO,0)-2,23)=""),"PFH [1/h] = "&amp;10^9*INDEX(Tab_DaBa[],MATCH(CONCATENATE(Liste!$C$3,$B$2825,$B$2855),Data!$BO:$BO,0)-2,16)&amp;"E-9",IF(INDEX(Tab_DaBa[],MATCH(CONCATENATE(Liste!$C$3,$B$2825,$B$2855),Data!$BO:$BO,0)-2,23)&lt;&gt;"","PFH [1/h] = "&amp;10^9*INDEX(Tab_DaBa[],MATCH(CONCATENATE(Liste!$C$3,$B$2825,$B$2855),Data!$BO:$BO,0)-2,26)&amp;"E-9","")),"")</f>
        <v>PFH [1/h] = 4,19E-9</v>
      </c>
      <c r="G2861" s="39"/>
      <c r="H2861" s="35" t="str">
        <f ca="1">IFERROR(IF(AND(INDEX(Tab_DaBa[],MATCH(CONCATENATE(Liste!$C$3,$B$2825,$B$2855),Data!$BO:$BO,0)-2,23)&lt;&gt;"",INDEX(Tab_DaBa[],MATCH(CONCATENATE(Liste!$C$3,$B$2825,$B$2855),Data!$BO:$BO,0)-2,28)=""),"PFH [1/h] = "&amp;10^9*INDEX(Tab_DaBa[],MATCH(CONCATENATE(Liste!$C$3,$B$2825,$B$2855),Data!$BO:$BO,0)-2,16)&amp;"E-9",IF(INDEX(Tab_DaBa[],MATCH(CONCATENATE(Liste!$C$3,$B$2825,$B$2855),Data!$BO:$BO,0)-2,23)&lt;&gt;"","PFH [1/h] = "&amp;10^9*INDEX(Tab_DaBa[],MATCH(CONCATENATE(Liste!$C$3,$B$2825,$B$2855),Data!$BO:$BO,0)-2,31)&amp;"E-9","")),"")</f>
        <v>PFH [1/h] = 24,7E-9</v>
      </c>
      <c r="I2861" s="39"/>
    </row>
    <row r="2862" spans="2:9" s="16" customFormat="1">
      <c r="B2862" s="33"/>
      <c r="C2862" s="34"/>
      <c r="D2862" s="33"/>
      <c r="E2862" s="33"/>
      <c r="F2862" s="33"/>
      <c r="G2862" s="33"/>
      <c r="H2862" s="33"/>
      <c r="I2862" s="33"/>
    </row>
    <row r="2863" spans="2:9" s="16" customFormat="1" ht="15.75">
      <c r="B2863" s="38" t="str">
        <f ca="1">IF(B2865="","",6)</f>
        <v/>
      </c>
      <c r="C2863" s="34"/>
      <c r="D2863" s="38" t="str">
        <f ca="1">IF(B2865="","",3)</f>
        <v/>
      </c>
      <c r="E2863" s="33"/>
      <c r="F2863" s="38" t="str">
        <f ca="1">IF(B2865="","",3)</f>
        <v/>
      </c>
      <c r="G2863" s="33"/>
      <c r="H2863" s="38" t="str">
        <f ca="1">IF(B2865="","",3)</f>
        <v/>
      </c>
      <c r="I2863" s="33"/>
    </row>
    <row r="2864" spans="2:9" s="16" customFormat="1" ht="15.75">
      <c r="B2864" s="39"/>
      <c r="C2864" s="33"/>
      <c r="D2864" s="33"/>
      <c r="E2864" s="33"/>
      <c r="F2864" s="33"/>
      <c r="G2864" s="33"/>
      <c r="H2864" s="33"/>
      <c r="I2864" s="33"/>
    </row>
    <row r="2865" spans="2:9" s="16" customFormat="1" ht="15.75">
      <c r="B2865" s="35" t="str">
        <f ca="1">IFERROR(IF(AND(INDEX(Tab_DaBa[],MATCH(CONCATENATE(Liste!$C$3,$B$2825,$B$2855),Data!$BO:$BO,0)-2,28)&lt;&gt;"",INDEX(Tab_DaBa[],MATCH(CONCATENATE(Liste!$C$3,$B$2825,$B$2855),Data!$BO:$BO,0)-2,33)=0),INDEX(Tab_DaBa[],MATCH(CONCATENATE(Liste!$C$3,$B$2825,$B$2855),Data!$BO:$BO,0)-2,14),IF(INDEX(Tab_DaBa[],MATCH(CONCATENATE(Liste!$C$3,$B$2825,$B$2855),Data!$BO:$BO,0)-2,28)&lt;&gt;"",INDEX(Tab_DaBa[],MATCH(CONCATENATE(Liste!$C$3,$B$2825,$B$2855),Data!$BO:$BO,0)-2,34),"")),"")</f>
        <v/>
      </c>
      <c r="C2865" s="39"/>
      <c r="D2865" s="35" t="str">
        <f ca="1">IFERROR(IF(AND(INDEX(Tab_DaBa[],MATCH(CONCATENATE(Liste!$C$3,$B$2825,$B$2855),Data!$BO:$BO,0)-2,33)&lt;&gt;"",INDEX(Tab_DaBa[],MATCH(CONCATENATE(Liste!$C$3,$B$2825,$B$2855),Data!$BO:$BO,0)-2,38)=0),INDEX(Tab_DaBa[],MATCH(CONCATENATE(Liste!$C$3,$B$2825,$B$2855),Data!$BO:$BO,0)-2,14),IF(INDEX(Tab_DaBa[],MATCH(CONCATENATE(Liste!$C$3,$B$2825,$B$2855),Data!$BO:$BO,0)-2,33)&lt;&gt;"",INDEX(Tab_DaBa[],MATCH(CONCATENATE(Liste!$C$3,$B$2825,$B$2855),Data!$BO:$BO,0)-2,39),"")),"")</f>
        <v/>
      </c>
      <c r="E2865" s="33"/>
      <c r="F2865" s="35" t="str">
        <f ca="1">IFERROR(IF(AND(INDEX(Tab_DaBa[],MATCH(CONCATENATE(Liste!$C$3,$B$2825,$B$2855),Data!$BO:$BO,0)-2,38)&lt;&gt;"",INDEX(Tab_DaBa[],MATCH(CONCATENATE(Liste!$C$3,$B$2825,$B$2855),Data!$BO:$BO,0)-2,43)=0),INDEX(Tab_DaBa[],MATCH(CONCATENATE(Liste!$C$3,$B$2825,$B$2855),Data!$BO:$BO,0)-2,14),IF(INDEX(Tab_DaBa[],MATCH(CONCATENATE(Liste!$C$3,$B$2825,$B$2855),Data!$BO:$BO,0)-2,38)&lt;&gt;"",INDEX(Tab_DaBa[],MATCH(CONCATENATE(Liste!$C$3,$B$2825,$B$2855),Data!$BO:$BO,0)-2,44),"")),"")</f>
        <v/>
      </c>
      <c r="G2865" s="39"/>
      <c r="H2865" s="35" t="str">
        <f ca="1">IFERROR(IF(AND(INDEX(Tab_DaBa[],MATCH(CONCATENATE(Liste!$C$3,$B$2825,$B$2855),Data!$BO:$BO,0)-2,43)&lt;&gt;"",INDEX(Tab_DaBa[],MATCH(CONCATENATE(Liste!$C$3,$B$2825,$B$2855),Data!$BO:$BO,0)-2,48)=0),INDEX(Tab_DaBa[],MATCH(CONCATENATE(Liste!$C$3,$B$2825,$B$2855),Data!$BO:$BO,0)-2,14),IF(INDEX(Tab_DaBa[],MATCH(CONCATENATE(Liste!$C$3,$B$2825,$B$2855),Data!$BO:$BO,0)-2,43)&lt;&gt;"",INDEX(Tab_DaBa[],MATCH(CONCATENATE(Liste!$C$3,$B$2825,$B$2855),Data!$BO:$BO,0)-2,49),"")),"")</f>
        <v/>
      </c>
      <c r="I2865" s="39"/>
    </row>
    <row r="2866" spans="2:9" s="16" customFormat="1" ht="15.75">
      <c r="B2866" s="35" t="str">
        <f ca="1">IFERROR(IF(AND(INDEX(Tab_DaBa[],MATCH(CONCATENATE(Liste!$C$3,$B$2825,$B$2855),Data!$BO:$BO,0)-2,28)&lt;&gt;"",INDEX(Tab_DaBa[],MATCH(CONCATENATE(Liste!$C$3,$B$2825,$B$2855),Data!$BO:$BO,0)-2,33)=0),INDEX(Tab_DaBa[],MATCH(CONCATENATE(Liste!$C$3,$B$2825,$B$2855),Data!$BO:$BO,0)-2,12),IF(INDEX(Tab_DaBa[],MATCH(CONCATENATE(Liste!$C$3,$B$2825,$B$2855),Data!$BO:$BO,0)-2,28)&lt;&gt;"",INDEX(Tab_DaBa[],MATCH(CONCATENATE(Liste!$C$3,$B$2825,$B$2855),Data!$BO:$BO,0)-2,32),"")),"")</f>
        <v/>
      </c>
      <c r="C2866" s="39"/>
      <c r="D2866" s="35" t="str">
        <f ca="1">IFERROR(IF(AND(INDEX(Tab_DaBa[],MATCH(CONCATENATE(Liste!$C$3,$B$2825,$B$2855),Data!$BO:$BO,0)-2,33)&lt;&gt;"",INDEX(Tab_DaBa[],MATCH(CONCATENATE(Liste!$C$3,$B$2825,$B$2855),Data!$BO:$BO,0)-2,38)=0),INDEX(Tab_DaBa[],MATCH(CONCATENATE(Liste!$C$3,$B$2825,$B$2855),Data!$BO:$BO,0)-2,12),IF(INDEX(Tab_DaBa[],MATCH(CONCATENATE(Liste!$C$3,$B$2825,$B$2855),Data!$BO:$BO,0)-2,33)&lt;&gt;"",INDEX(Tab_DaBa[],MATCH(CONCATENATE(Liste!$C$3,$B$2825,$B$2855),Data!$BO:$BO,0)-2,37),"")),"")</f>
        <v/>
      </c>
      <c r="E2866" s="37"/>
      <c r="F2866" s="35" t="str">
        <f ca="1">IFERROR(IF(AND(INDEX(Tab_DaBa[],MATCH(CONCATENATE(Liste!$C$3,$B$2825,$B$2855),Data!$BO:$BO,0)-2,38)&lt;&gt;"",INDEX(Tab_DaBa[],MATCH(CONCATENATE(Liste!$C$3,$B$2825,$B$2855),Data!$BO:$BO,0)-2,43)=0),INDEX(Tab_DaBa[],MATCH(CONCATENATE(Liste!$C$3,$B$2825,$B$2855),Data!$BO:$BO,0)-2,12),IF(INDEX(Tab_DaBa[],MATCH(CONCATENATE(Liste!$C$3,$B$2825,$B$2855),Data!$BO:$BO,0)-2,38)&lt;&gt;"",INDEX(Tab_DaBa[],MATCH(CONCATENATE(Liste!$C$3,$B$2825,$B$2855),Data!$BO:$BO,0)-2,42),"")),"")</f>
        <v/>
      </c>
      <c r="G2866" s="39"/>
      <c r="H2866" s="35" t="str">
        <f ca="1">IFERROR(IF(AND(INDEX(Tab_DaBa[],MATCH(CONCATENATE(Liste!$C$3,$B$2825,$B$2855),Data!$BO:$BO,0)-2,43)&lt;&gt;"",INDEX(Tab_DaBa[],MATCH(CONCATENATE(Liste!$C$3,$B$2825,$B$2855),Data!$BO:$BO,0)-2,48)=0),INDEX(Tab_DaBa[],MATCH(CONCATENATE(Liste!$C$3,$B$2825,$B$2855),Data!$BO:$BO,0)-2,12),IF(INDEX(Tab_DaBa[],MATCH(CONCATENATE(Liste!$C$3,$B$2825,$B$2855),Data!$BO:$BO,0)-2,43)&lt;&gt;"",INDEX(Tab_DaBa[],MATCH(CONCATENATE(Liste!$C$3,$B$2825,$B$2855),Data!$BO:$BO,0)-2,47),"")),"")</f>
        <v/>
      </c>
      <c r="I2866" s="39"/>
    </row>
    <row r="2867" spans="2:9" s="16" customFormat="1" ht="15.75">
      <c r="B2867" s="35" t="str">
        <f ca="1">IFERROR(IF(AND(INDEX(Tab_DaBa[],MATCH(CONCATENATE(Liste!$C$3,$B$2825,$B$2855),Data!$BO:$BO,0)-2,28)&lt;&gt;"",INDEX(Tab_DaBa[],MATCH(CONCATENATE(Liste!$C$3,$B$2825,$B$2855),Data!$BO:$BO,0)-2,33)=""),INDEX(Tab_DaBa[],MATCH(CONCATENATE(Liste!$C$3,$B$2825,$B$2855),Data!$BO:$BO,0)-2,13),IF(INDEX(Tab_DaBa[],MATCH(CONCATENATE(Liste!$C$3,$B$2825,$B$2855),Data!$BO:$BO,0)-2,28)&lt;&gt;"",INDEX(Tab_DaBa[],MATCH(CONCATENATE(Liste!$C$3,$B$2825,$B$2855),Data!$BO:$BO,0)-2,33),"")),"")</f>
        <v/>
      </c>
      <c r="C2867" s="38" t="str">
        <f ca="1">IF(D2865="","",4)</f>
        <v/>
      </c>
      <c r="D2867" s="35" t="str">
        <f ca="1">IFERROR(IF(AND(INDEX(Tab_DaBa[],MATCH(CONCATENATE(Liste!$C$3,$B$2825,$B$2855),Data!$BO:$BO,0)-2,33)&lt;&gt;"",INDEX(Tab_DaBa[],MATCH(CONCATENATE(Liste!$C$3,$B$2825,$B$2855),Data!$BO:$BO,0)-2,38)=""),INDEX(Tab_DaBa[],MATCH(CONCATENATE(Liste!$C$3,$B$2825,$B$2855),Data!$BO:$BO,0)-2,13),IF(INDEX(Tab_DaBa[],MATCH(CONCATENATE(Liste!$C$3,$B$2825,$B$2855),Data!$BO:$BO,0)-2,33)&lt;&gt;"",INDEX(Tab_DaBa[],MATCH(CONCATENATE(Liste!$C$3,$B$2825,$B$2855),Data!$BO:$BO,0)-2,38),"")),"")</f>
        <v/>
      </c>
      <c r="E2867" s="38" t="str">
        <f ca="1">IF(F2865="","",4)</f>
        <v/>
      </c>
      <c r="F2867" s="35" t="str">
        <f ca="1">IFERROR(IF(AND(INDEX(Tab_DaBa[],MATCH(CONCATENATE(Liste!$C$3,$B$2825,$B$2855),Data!$BO:$BO,0)-2,38)&lt;&gt;"",INDEX(Tab_DaBa[],MATCH(CONCATENATE(Liste!$C$3,$B$2825,$B$2855),Data!$BO:$BO,0)-2,43)=""),INDEX(Tab_DaBa[],MATCH(CONCATENATE(Liste!$C$3,$B$2825,$B$2855),Data!$BO:$BO,0)-2,13),IF(INDEX(Tab_DaBa[],MATCH(CONCATENATE(Liste!$C$3,$B$2825,$B$2855),Data!$BO:$BO,0)-2,38)&lt;&gt;"",INDEX(Tab_DaBa[],MATCH(CONCATENATE(Liste!$C$3,$B$2825,$B$2855),Data!$BO:$BO,0)-2,43),"")),"")</f>
        <v/>
      </c>
      <c r="G2867" s="38" t="str">
        <f ca="1">IF(H2865="","",4)</f>
        <v/>
      </c>
      <c r="H2867" s="35" t="str">
        <f ca="1">IFERROR(IF(AND(INDEX(Tab_DaBa[],MATCH(CONCATENATE(Liste!$C$3,$B$2825,$B$2855),Data!$BO:$BO,0)-2,43)&lt;&gt;"",INDEX(Tab_DaBa[],MATCH(CONCATENATE(Liste!$C$3,$B$2825,$B$2855),Data!$BO:$BO,0)-2,48)=""),INDEX(Tab_DaBa[],MATCH(CONCATENATE(Liste!$C$3,$B$2825,$B$2855),Data!$BO:$BO,0)-2,13),IF(INDEX(Tab_DaBa[],MATCH(CONCATENATE(Liste!$C$3,$B$2825,$B$2855),Data!$BO:$BO,0)-2,43)&lt;&gt;"",INDEX(Tab_DaBa[],MATCH(CONCATENATE(Liste!$C$3,$B$2825,$B$2855),Data!$BO:$BO,0)-2,48),"")),"")</f>
        <v/>
      </c>
      <c r="I2867" s="38" t="str">
        <f ca="1">IF(B2873="","",6)</f>
        <v/>
      </c>
    </row>
    <row r="2868" spans="2:9" s="16" customFormat="1" ht="15.75">
      <c r="B2868" s="35" t="str">
        <f ca="1">IFERROR(IF(AND(INDEX(Tab_DaBa[],MATCH(CONCATENATE(Liste!$C$3,$B$2825,$B$2855),Data!$BO:$BO,0)-2,28)&lt;&gt;"",INDEX(Tab_DaBa[],MATCH(CONCATENATE(Liste!$C$3,$B$2825,$B$2855),Data!$BO:$BO,0)-2,33)=""),"Performance Level: "&amp;INDEX(Tab_DaBa[],MATCH(CONCATENATE(Liste!$C$3,$B$2825,$B$2855),Data!$BO:$BO,0)-2,15),IF(INDEX(Tab_DaBa[],MATCH(CONCATENATE(Liste!$C$3,$B$2825,$B$2855),Data!$BO:$BO,0)-2,28)&lt;&gt;"","Performance Level: "&amp;INDEX(Tab_DaBa[],MATCH(CONCATENATE(Liste!$C$3,$B$2825,$B$2855),Data!$BO:$BO,0)-2,35),"")),"")</f>
        <v/>
      </c>
      <c r="C2868" s="39"/>
      <c r="D2868" s="35" t="str">
        <f ca="1">IFERROR(IF(AND(INDEX(Tab_DaBa[],MATCH(CONCATENATE(Liste!$C$3,$B$2825,$B$2855),Data!$BO:$BO,0)-2,33)&lt;&gt;"",INDEX(Tab_DaBa[],MATCH(CONCATENATE(Liste!$C$3,$B$2825,$B$2855),Data!$BO:$BO,0)-2,38)=""),"Performance Level: "&amp;INDEX(Tab_DaBa[],MATCH(CONCATENATE(Liste!$C$3,$B$2825,$B$2855),Data!$BO:$BO,0)-2,15),IF(INDEX(Tab_DaBa[],MATCH(CONCATENATE(Liste!$C$3,$B$2825,$B$2855),Data!$BO:$BO,0)-2,33)&lt;&gt;"","Performance Level: "&amp;INDEX(Tab_DaBa[],MATCH(CONCATENATE(Liste!$C$3,$B$2825,$B$2855),Data!$BO:$BO,0)-2,40),"")),"")</f>
        <v/>
      </c>
      <c r="E2868" s="37"/>
      <c r="F2868" s="35" t="str">
        <f ca="1">IFERROR(IF(AND(INDEX(Tab_DaBa[],MATCH(CONCATENATE(Liste!$C$3,$B$2825,$B$2855),Data!$BO:$BO,0)-2,38)&lt;&gt;"",INDEX(Tab_DaBa[],MATCH(CONCATENATE(Liste!$C$3,$B$2825,$B$2855),Data!$BO:$BO,0)-2,43)=""),"Performance Level: "&amp;INDEX(Tab_DaBa[],MATCH(CONCATENATE(Liste!$C$3,$B$2825,$B$2855),Data!$BO:$BO,0)-2,15),IF(INDEX(Tab_DaBa[],MATCH(CONCATENATE(Liste!$C$3,$B$2825,$B$2855),Data!$BO:$BO,0)-2,38)&lt;&gt;"","Performance Level: "&amp;INDEX(Tab_DaBa[],MATCH(CONCATENATE(Liste!$C$3,$B$2825,$B$2855),Data!$BO:$BO,0)-2,45),"")),"")</f>
        <v/>
      </c>
      <c r="G2868" s="39"/>
      <c r="H2868" s="35" t="str">
        <f ca="1">IFERROR(IF(AND(INDEX(Tab_DaBa[],MATCH(CONCATENATE(Liste!$C$3,$B$2825,$B$2855),Data!$BO:$BO,0)-2,43)&lt;&gt;"",INDEX(Tab_DaBa[],MATCH(CONCATENATE(Liste!$C$3,$B$2825,$B$2855),Data!$BO:$BO,0)-2,48)=""),"Performance Level: "&amp;INDEX(Tab_DaBa[],MATCH(CONCATENATE(Liste!$C$3,$B$2825,$B$2855),Data!$BO:$BO,0)-2,15),IF(INDEX(Tab_DaBa[],MATCH(CONCATENATE(Liste!$C$3,$B$2825,$B$2855),Data!$BO:$BO,0)-2,43)&lt;&gt;"","Performance Level: "&amp;INDEX(Tab_DaBa[],MATCH(CONCATENATE(Liste!$C$3,$B$2825,$B$2855),Data!$BO:$BO,0)-2,50),"")),"")</f>
        <v/>
      </c>
      <c r="I2868" s="39"/>
    </row>
    <row r="2869" spans="2:9" s="16" customFormat="1" ht="15.75">
      <c r="B2869" s="35" t="str">
        <f ca="1">IFERROR(IF(AND(INDEX(Tab_DaBa[],MATCH(CONCATENATE(Liste!$C$3,$B$2825,$B$2855),Data!$BO:$BO,0)-2,28)&lt;&gt;"",INDEX(Tab_DaBa[],MATCH(CONCATENATE(Liste!$C$3,$B$2825,$B$2855),Data!$BO:$BO,0)-2,33)=""),"PFH [1/h] = "&amp;10^9*INDEX(Tab_DaBa[],MATCH(CONCATENATE(Liste!$C$3,$B$2825,$B$2855),Data!$BO:$BO,0)-2,16)&amp;"E-9",IF(INDEX(Tab_DaBa[],MATCH(CONCATENATE(Liste!$C$3,$B$2825,$B$2855),Data!$BO:$BO,0)-2,28)&lt;&gt;"","PFH [1/h] = "&amp;10^9*INDEX(Tab_DaBa[],MATCH(CONCATENATE(Liste!$C$3,$B$2825,$B$2855),Data!$BO:$BO,0)-2,36)&amp;"E-9","")),"")</f>
        <v/>
      </c>
      <c r="C2869" s="39"/>
      <c r="D2869" s="35" t="str">
        <f ca="1">IFERROR(IF(AND(INDEX(Tab_DaBa[],MATCH(CONCATENATE(Liste!$C$3,$B$2825,$B$2855),Data!$BO:$BO,0)-2,33)&lt;&gt;"",INDEX(Tab_DaBa[],MATCH(CONCATENATE(Liste!$C$3,$B$2825,$B$2855),Data!$BO:$BO,0)-2,38)=""),"PFH [1/h] = "&amp;10^9*INDEX(Tab_DaBa[],MATCH(CONCATENATE(Liste!$C$3,$B$2825,$B$2855),Data!$BO:$BO,0)-2,16)&amp;"E-9",IF(INDEX(Tab_DaBa[],MATCH(CONCATENATE(Liste!$C$3,$B$2825,$B$2855),Data!$BO:$BO,0)-2,33)&lt;&gt;"","PFH [1/h] = "&amp;10^9*INDEX(Tab_DaBa[],MATCH(CONCATENATE(Liste!$C$3,$B$2825,$B$2855),Data!$BO:$BO,0)-2,41)&amp;"E-9","")),"")</f>
        <v/>
      </c>
      <c r="E2869" s="37"/>
      <c r="F2869" s="35" t="str">
        <f ca="1">IFERROR(IF(AND(INDEX(Tab_DaBa[],MATCH(CONCATENATE(Liste!$C$3,$B$2825,$B$2855),Data!$BO:$BO,0)-2,38)&lt;&gt;"",INDEX(Tab_DaBa[],MATCH(CONCATENATE(Liste!$C$3,$B$2825,$B$2855),Data!$BO:$BO,0)-2,43)=""),"PFH [1/h] = "&amp;10^9*INDEX(Tab_DaBa[],MATCH(CONCATENATE(Liste!$C$3,$B$2825,$B$2855),Data!$BO:$BO,0)-2,16)&amp;"E-9",IF(INDEX(Tab_DaBa[],MATCH(CONCATENATE(Liste!$C$3,$B$2825,$B$2855),Data!$BO:$BO,0)-2,38)&lt;&gt;"","PFH [1/h] = "&amp;10^9*INDEX(Tab_DaBa[],MATCH(CONCATENATE(Liste!$C$3,$B$2825,$B$2855),Data!$BO:$BO,0)-2,46)&amp;"E-9","")),"")</f>
        <v/>
      </c>
      <c r="G2869" s="39"/>
      <c r="H2869" s="35" t="str">
        <f ca="1">IFERROR(IF(AND(INDEX(Tab_DaBa[],MATCH(CONCATENATE(Liste!$C$3,$B$2825,$B$2855),Data!$BO:$BO,0)-2,43)&lt;&gt;"",INDEX(Tab_DaBa[],MATCH(CONCATENATE(Liste!$C$3,$B$2825,$B$2855),Data!$BO:$BO,0)-2,48)=""),"PFH [1/h] = "&amp;10^9*INDEX(Tab_DaBa[],MATCH(CONCATENATE(Liste!$C$3,$B$2825,$B$2855),Data!$BO:$BO,0)-2,16)&amp;"E-9",IF(INDEX(Tab_DaBa[],MATCH(CONCATENATE(Liste!$C$3,$B$2825,$B$2855),Data!$BO:$BO,0)-2,43)&lt;&gt;"","PFH [1/h] = "&amp;10^9*INDEX(Tab_DaBa[],MATCH(CONCATENATE(Liste!$C$3,$B$2825,$B$2855),Data!$BO:$BO,0)-2,51)&amp;"E-9","")),"")</f>
        <v/>
      </c>
      <c r="I2869" s="39"/>
    </row>
    <row r="2870" spans="2:9" s="16" customFormat="1">
      <c r="B2870" s="33"/>
      <c r="C2870" s="33"/>
      <c r="D2870" s="33"/>
      <c r="E2870" s="33"/>
      <c r="F2870" s="33"/>
      <c r="G2870" s="33"/>
      <c r="H2870" s="33"/>
      <c r="I2870" s="33"/>
    </row>
    <row r="2871" spans="2:9" s="16" customFormat="1" ht="15.75">
      <c r="B2871" s="38" t="str">
        <f ca="1">IF(B2873="","",6)</f>
        <v/>
      </c>
      <c r="C2871" s="33"/>
      <c r="D2871" s="38" t="str">
        <f ca="1">IF(B2873="","",3)</f>
        <v/>
      </c>
      <c r="E2871" s="33"/>
      <c r="F2871" s="38" t="str">
        <f ca="1">IF(B2873="","",3)</f>
        <v/>
      </c>
      <c r="G2871" s="33"/>
      <c r="H2871" s="38" t="str">
        <f ca="1">IF(B2873="","",3)</f>
        <v/>
      </c>
      <c r="I2871" s="33"/>
    </row>
    <row r="2872" spans="2:9" s="16" customFormat="1" ht="15.75">
      <c r="B2872" s="39"/>
      <c r="C2872" s="33"/>
      <c r="D2872" s="33"/>
      <c r="E2872" s="33"/>
      <c r="F2872" s="33"/>
      <c r="G2872" s="33"/>
      <c r="H2872" s="33"/>
      <c r="I2872" s="33"/>
    </row>
    <row r="2873" spans="2:9" s="16" customFormat="1" ht="15.75">
      <c r="B2873" s="35" t="str">
        <f ca="1">IFERROR(IF(AND(INDEX(Tab_DaBa[],MATCH(CONCATENATE(Liste!$C$3,$B$2825,$B$2855),Data!$BO:$BO,0)-2,48)&lt;&gt;"",INDEX(Tab_DaBa[],MATCH(CONCATENATE(Liste!$C$3,$B$2825,$B$2855),Data!$BO:$BO,0)-2,53)=0),INDEX(Tab_DaBa[],MATCH(CONCATENATE(Liste!$C$3,$B$2825,$B$2855),Data!$BO:$BO,0)-2,14),IF(INDEX(Tab_DaBa[],MATCH(CONCATENATE(Liste!$C$3,$B$2825,$B$2855),Data!$BO:$BO,0)-2,48)&lt;&gt;"",INDEX(Tab_DaBa[],MATCH(CONCATENATE(Liste!$C$3,$B$2825,$B$2855),Data!$BO:$BO,0)-2,54),"")),"")</f>
        <v/>
      </c>
      <c r="C2873" s="39"/>
      <c r="D2873" s="35" t="str">
        <f ca="1">IFERROR(IF(AND(INDEX(Tab_DaBa[],MATCH(CONCATENATE(Liste!$C$3,$B$2825,$B$2855),Data!$BO:$BO,0)-2,53)&lt;&gt;"",INDEX(Tab_DaBa[],MATCH(CONCATENATE(Liste!$C$3,$B$2825,$B$2855),Data!$BO:$BO,0)-2,58)=0),INDEX(Tab_DaBa[],MATCH(CONCATENATE(Liste!$C$3,$B$2825,$B$2855),Data!$BO:$BO,0)-2,14),IF(INDEX(Tab_DaBa[],MATCH(CONCATENATE(Liste!$C$3,$B$2825,$B$2855),Data!$BO:$BO,0)-2,53)&lt;&gt;"",INDEX(Tab_DaBa[],MATCH(CONCATENATE(Liste!$C$3,$B$2825,$B$2855),Data!$BO:$BO,0)-2,59),"")),"")</f>
        <v/>
      </c>
      <c r="E2873" s="33"/>
      <c r="F2873" s="35" t="str">
        <f ca="1">IFERROR(IF(AND(INDEX(Tab_DaBa[],MATCH(CONCATENATE(Liste!$C$3,$B$2825,$B$2855),Data!$BO:$BO,0)-2,58)&lt;&gt;"",INDEX(Tab_DaBa[],MATCH(CONCATENATE(Liste!$C$3,$B$2825,$B$2855),Data!$BO:$BO,0)-2,63)=0),INDEX(Tab_DaBa[],MATCH(CONCATENATE(Liste!$C$3,$B$2825,$B$2855),Data!$BO:$BO,0)-2,14),IF(INDEX(Tab_DaBa[],MATCH(CONCATENATE(Liste!$C$3,$B$2825,$B$2855),Data!$BO:$BO,0)-2,58)&lt;&gt;"",INDEX(Tab_DaBa[],MATCH(CONCATENATE(Liste!$C$3,$B$2825,$B$2855),Data!$BO:$BO,0)-2,64),"")),"")</f>
        <v/>
      </c>
      <c r="G2873" s="39"/>
      <c r="H2873" s="35" t="str">
        <f ca="1">IFERROR(IF(INDEX(Tab_DaBa[],MATCH(CONCATENATE(Liste!$C$3,$B$2825,$B$2855),Data!$BO:$BO,0)-2,63)&lt;&gt;"",INDEX(Tab_DaBa[],MATCH(CONCATENATE(Liste!$C$3,$B$2825,$B$2855),Data!$BO:$BO,0)-2,14),""),"")</f>
        <v/>
      </c>
    </row>
    <row r="2874" spans="2:9" s="16" customFormat="1" ht="15.75">
      <c r="B2874" s="35" t="str">
        <f ca="1">IFERROR(IF(AND(INDEX(Tab_DaBa[],MATCH(CONCATENATE(Liste!$C$3,$B$2825,$B$2855),Data!$BO:$BO,0)-2,48)&lt;&gt;"",INDEX(Tab_DaBa[],MATCH(CONCATENATE(Liste!$C$3,$B$2825,$B$2855),Data!$BO:$BO,0)-2,53)=0),INDEX(Tab_DaBa[],MATCH(CONCATENATE(Liste!$C$3,$B$2825,$B$2855),Data!$BO:$BO,0)-2,12),IF(INDEX(Tab_DaBa[],MATCH(CONCATENATE(Liste!$C$3,$B$2825,$B$2855),Data!$BO:$BO,0)-2,48)&lt;&gt;"",INDEX(Tab_DaBa[],MATCH(CONCATENATE(Liste!$C$3,$B$2825,$B$2855),Data!$BO:$BO,0)-2,52),"")),"")</f>
        <v/>
      </c>
      <c r="C2874" s="39"/>
      <c r="D2874" s="35" t="str">
        <f ca="1">IFERROR(IF(AND(INDEX(Tab_DaBa[],MATCH(CONCATENATE(Liste!$C$3,$B$2825,$B$2855),Data!$BO:$BO,0)-2,53)&lt;&gt;"",INDEX(Tab_DaBa[],MATCH(CONCATENATE(Liste!$C$3,$B$2825,$B$2855),Data!$BO:$BO,0)-2,58)=0),INDEX(Tab_DaBa[],MATCH(CONCATENATE(Liste!$C$3,$B$2825,$B$2855),Data!$BO:$BO,0)-2,12),IF(INDEX(Tab_DaBa[],MATCH(CONCATENATE(Liste!$C$3,$B$2825,$B$2855),Data!$BO:$BO,0)-2,53)&lt;&gt;"",INDEX(Tab_DaBa[],MATCH(CONCATENATE(Liste!$C$3,$B$2825,$B$2855),Data!$BO:$BO,0)-2,57),"")),"")</f>
        <v/>
      </c>
      <c r="E2874" s="37"/>
      <c r="F2874" s="35" t="str">
        <f ca="1">IFERROR(IF(AND(INDEX(Tab_DaBa[],MATCH(CONCATENATE(Liste!$C$3,$B$2825,$B$2855),Data!$BO:$BO,0)-2,58)&lt;&gt;"",INDEX(Tab_DaBa[],MATCH(CONCATENATE(Liste!$C$3,$B$2825,$B$2855),Data!$BO:$BO,0)-2,63)=0),INDEX(Tab_DaBa[],MATCH(CONCATENATE(Liste!$C$3,$B$2825,$B$2855),Data!$BO:$BO,0)-2,12),IF(INDEX(Tab_DaBa[],MATCH(CONCATENATE(Liste!$C$3,$B$2825,$B$2855),Data!$BO:$BO,0)-2,58)&lt;&gt;"",INDEX(Tab_DaBa[],MATCH(CONCATENATE(Liste!$C$3,$B$2825,$B$2855),Data!$BO:$BO,0)-2,62),"")),"")</f>
        <v/>
      </c>
      <c r="G2874" s="39"/>
      <c r="H2874" s="35" t="str">
        <f ca="1">IFERROR(IF(INDEX(Tab_DaBa[],MATCH(CONCATENATE(Liste!$C$3,$B$2825,$B$2855),Data!$BO:$BO,0)-2,63)&lt;&gt;"",INDEX(Tab_DaBa[],MATCH(CONCATENATE(Liste!$C$3,$B$2825,$B$2855),Data!$BO:$BO,0)-2,12),""),"")</f>
        <v/>
      </c>
    </row>
    <row r="2875" spans="2:9" s="16" customFormat="1" ht="15.75">
      <c r="B2875" s="35" t="str">
        <f ca="1">IFERROR(IF(AND(INDEX(Tab_DaBa[],MATCH(CONCATENATE(Liste!$C$3,$B$2825,$B$2855),Data!$BO:$BO,0)-2,48)&lt;&gt;"",INDEX(Tab_DaBa[],MATCH(CONCATENATE(Liste!$C$3,$B$2825,$B$2855),Data!$BO:$BO,0)-2,53)=""),INDEX(Tab_DaBa[],MATCH(CONCATENATE(Liste!$C$3,$B$2825,$B$2855),Data!$BO:$BO,0)-2,13),IF(INDEX(Tab_DaBa[],MATCH(CONCATENATE(Liste!$C$3,$B$2825,$B$2855),Data!$BO:$BO,0)-2,48)&lt;&gt;"",INDEX(Tab_DaBa[],MATCH(CONCATENATE(Liste!$C$3,$B$2825,$B$2855),Data!$BO:$BO,0)-2,53),"")),"")</f>
        <v/>
      </c>
      <c r="C2875" s="38" t="str">
        <f ca="1">IF(D2873="","",4)</f>
        <v/>
      </c>
      <c r="D2875" s="35" t="str">
        <f ca="1">IFERROR(IF(AND(INDEX(Tab_DaBa[],MATCH(CONCATENATE(Liste!$C$3,$B$2825,$B$2855),Data!$BO:$BO,0)-2,53)&lt;&gt;"",INDEX(Tab_DaBa[],MATCH(CONCATENATE(Liste!$C$3,$B$2825,$B$2855),Data!$BO:$BO,0)-2,58)=""),INDEX(Tab_DaBa[],MATCH(CONCATENATE(Liste!$C$3,$B$2825,$B$2855),Data!$BO:$BO,0)-2,13),IF(INDEX(Tab_DaBa[],MATCH(CONCATENATE(Liste!$C$3,$B$2825,$B$2855),Data!$BO:$BO,0)-2,53)&lt;&gt;"",INDEX(Tab_DaBa[],MATCH(CONCATENATE(Liste!$C$3,$B$2825,$B$2855),Data!$BO:$BO,0)-2,58),"")),"")</f>
        <v/>
      </c>
      <c r="E2875" s="38" t="str">
        <f ca="1">IF(F2873="","",4)</f>
        <v/>
      </c>
      <c r="F2875" s="35" t="str">
        <f ca="1">IFERROR(IF(AND(INDEX(Tab_DaBa[],MATCH(CONCATENATE(Liste!$C$3,$B$2825,$B$2855),Data!$BO:$BO,0)-2,58)&lt;&gt;"",INDEX(Tab_DaBa[],MATCH(CONCATENATE(Liste!$C$3,$B$2825,$B$2855),Data!$BO:$BO,0)-2,63)=""),INDEX(Tab_DaBa[],MATCH(CONCATENATE(Liste!$C$3,$B$2825,$B$2855),Data!$BO:$BO,0)-2,13),IF(INDEX(Tab_DaBa[],MATCH(CONCATENATE(Liste!$C$3,$B$2825,$B$2855),Data!$BO:$BO,0)-2,58)&lt;&gt;"",INDEX(Tab_DaBa[],MATCH(CONCATENATE(Liste!$C$3,$B$2825,$B$2855),Data!$BO:$BO,0)-2,63),"")),"")</f>
        <v/>
      </c>
      <c r="G2875" s="38" t="str">
        <f ca="1">IF(H2873="","",4)</f>
        <v/>
      </c>
      <c r="H2875" s="35" t="str">
        <f ca="1">IFERROR(IF(INDEX(Tab_DaBa[],MATCH(CONCATENATE(Liste!$C$3,$B$2825,$B$2855),Data!$BO:$BO,0)-2,63)&lt;&gt;"",INDEX(Tab_DaBa[],MATCH(CONCATENATE(Liste!$C$3,$B$2825,$B$2855),Data!$BO:$BO,0)-2,13),""),"")</f>
        <v/>
      </c>
    </row>
    <row r="2876" spans="2:9" s="16" customFormat="1" ht="15.75">
      <c r="B2876" s="35" t="str">
        <f ca="1">IFERROR(IF(AND(INDEX(Tab_DaBa[],MATCH(CONCATENATE(Liste!$C$3,$B$2825,$B$2855),Data!$BO:$BO,0)-2,48)&lt;&gt;"",INDEX(Tab_DaBa[],MATCH(CONCATENATE(Liste!$C$3,$B$2825,$B$2855),Data!$BO:$BO,0)-2,53)=""),"Performance Level: "&amp;INDEX(Tab_DaBa[],MATCH(CONCATENATE(Liste!$C$3,$B$2825,$B$2855),Data!$BO:$BO,0)-2,15),IF(INDEX(Tab_DaBa[],MATCH(CONCATENATE(Liste!$C$3,$B$2825,$B$2855),Data!$BO:$BO,0)-2,48)&lt;&gt;"","Performance Level: "&amp;INDEX(Tab_DaBa[],MATCH(CONCATENATE(Liste!$C$3,$B$2825,$B$2855),Data!$BO:$BO,0)-2,55),"")),"")</f>
        <v/>
      </c>
      <c r="C2876" s="39"/>
      <c r="D2876" s="35" t="str">
        <f ca="1">IFERROR(IF(AND(INDEX(Tab_DaBa[],MATCH(CONCATENATE(Liste!$C$3,$B$2825,$B$2855),Data!$BO:$BO,0)-2,53)&lt;&gt;"",INDEX(Tab_DaBa[],MATCH(CONCATENATE(Liste!$C$3,$B$2825,$B$2855),Data!$BO:$BO,0)-2,58)=""),"Performance Level: "&amp;INDEX(Tab_DaBa[],MATCH(CONCATENATE(Liste!$C$3,$B$2825,$B$2855),Data!$BO:$BO,0)-2,15),IF(INDEX(Tab_DaBa[],MATCH(CONCATENATE(Liste!$C$3,$B$2825,$B$2855),Data!$BO:$BO,0)-2,53)&lt;&gt;"","Performance Level: "&amp;INDEX(Tab_DaBa[],MATCH(CONCATENATE(Liste!$C$3,$B$2825,$B$2855),Data!$BO:$BO,0)-2,60),"")),"")</f>
        <v/>
      </c>
      <c r="E2876" s="37"/>
      <c r="F2876" s="35" t="str">
        <f ca="1">IFERROR(IF(AND(INDEX(Tab_DaBa[],MATCH(CONCATENATE(Liste!$C$3,$B$2825,$B$2855),Data!$BO:$BO,0)-2,58)&lt;&gt;"",INDEX(Tab_DaBa[],MATCH(CONCATENATE(Liste!$C$3,$B$2825,$B$2855),Data!$BO:$BO,0)-2,63)=""),"Performance Level: "&amp;INDEX(Tab_DaBa[],MATCH(CONCATENATE(Liste!$C$3,$B$2825,$B$2855),Data!$BO:$BO,0)-2,15),IF(INDEX(Tab_DaBa[],MATCH(CONCATENATE(Liste!$C$3,$B$2825,$B$2855),Data!$BO:$BO,0)-2,58)&lt;&gt;"","Performance Level: "&amp;INDEX(Tab_DaBa[],MATCH(CONCATENATE(Liste!$C$3,$B$2825,$B$2855),Data!$BO:$BO,0)-2,65),"")),"")</f>
        <v/>
      </c>
      <c r="G2876" s="39"/>
      <c r="H2876" s="35" t="str">
        <f ca="1">IFERROR(IF(INDEX(Tab_DaBa[],MATCH(CONCATENATE(Liste!$C$3,$B$2825,$B$2855),Data!$BO:$BO,0)-2,63)&lt;&gt;"","Performance Level: "&amp;INDEX(Tab_DaBa[],MATCH(CONCATENATE(Liste!$C$3,$B$2825,$B$2855),Data!$BO:$BO,0)-2,15),""),"")</f>
        <v/>
      </c>
    </row>
    <row r="2877" spans="2:9" s="16" customFormat="1" ht="15.75">
      <c r="B2877" s="35" t="str">
        <f ca="1">IFERROR(IF(AND(INDEX(Tab_DaBa[],MATCH(CONCATENATE(Liste!$C$3,$B$2825,$B$2855),Data!$BO:$BO,0)-2,48)&lt;&gt;"",INDEX(Tab_DaBa[],MATCH(CONCATENATE(Liste!$C$3,$B$2825,$B$2855),Data!$BO:$BO,0)-2,53)=""),"PFH [1/h] = "&amp;10^9*INDEX(Tab_DaBa[],MATCH(CONCATENATE(Liste!$C$3,$B$2825,$B$2855),Data!$BO:$BO,0)-2,16)&amp;"E-9",IF(INDEX(Tab_DaBa[],MATCH(CONCATENATE(Liste!$C$3,$B$2825,$B$2855),Data!$BO:$BO,0)-2,48)&lt;&gt;"","PFH [1/h] = "&amp;10^9*INDEX(Tab_DaBa[],MATCH(CONCATENATE(Liste!$C$3,$B$2825,$B$2855),Data!$BO:$BO,0)-2,56)&amp;"E-9","")),"")</f>
        <v/>
      </c>
      <c r="C2877" s="39"/>
      <c r="D2877" s="35" t="str">
        <f ca="1">IFERROR(IF(AND(INDEX(Tab_DaBa[],MATCH(CONCATENATE(Liste!$C$3,$B$2825,$B$2855),Data!$BO:$BO,0)-2,53)&lt;&gt;"",INDEX(Tab_DaBa[],MATCH(CONCATENATE(Liste!$C$3,$B$2825,$B$2855),Data!$BO:$BO,0)-2,58)=""),"PFH [1/h] = "&amp;10^9*INDEX(Tab_DaBa[],MATCH(CONCATENATE(Liste!$C$3,$B$2825,$B$2855),Data!$BO:$BO,0)-2,16)&amp;"E-9",IF(INDEX(Tab_DaBa[],MATCH(CONCATENATE(Liste!$C$3,$B$2825,$B$2855),Data!$BO:$BO,0)-2,53)&lt;&gt;"","PFH [1/h] = "&amp;10^9*INDEX(Tab_DaBa[],MATCH(CONCATENATE(Liste!$C$3,$B$2825,$B$2855),Data!$BO:$BO,0)-2,61)&amp;"E-9","")),"")</f>
        <v/>
      </c>
      <c r="E2877" s="37"/>
      <c r="F2877" s="35" t="str">
        <f ca="1">IFERROR(IF(AND(INDEX(Tab_DaBa[],MATCH(CONCATENATE(Liste!$C$3,$B$2825,$B$2855),Data!$BO:$BO,0)-2,58)&lt;&gt;"",INDEX(Tab_DaBa[],MATCH(CONCATENATE(Liste!$C$3,$B$2825,$B$2855),Data!$BO:$BO,0)-2,63)=""),"PFH [1/h] = "&amp;10^9*INDEX(Tab_DaBa[],MATCH(CONCATENATE(Liste!$C$3,$B$2825,$B$2855),Data!$BO:$BO,0)-2,16)&amp;"E-9",IF(INDEX(Tab_DaBa[],MATCH(CONCATENATE(Liste!$C$3,$B$2825,$B$2855),Data!$BO:$BO,0)-2,58)&lt;&gt;"","PFH [1/h] = "&amp;10^9*INDEX(Tab_DaBa[],MATCH(CONCATENATE(Liste!$C$3,$B$2825,$B$2855),Data!$BO:$BO,0)-2,66)&amp;"E-9","")),"")</f>
        <v/>
      </c>
      <c r="G2877" s="39"/>
      <c r="H2877" s="35" t="str">
        <f ca="1">IFERROR(IF(INDEX(Tab_DaBa[],MATCH(CONCATENATE(Liste!$C$3,$B$2825,$B$2855),Data!$BO:$BO,0)-2,63)&lt;&gt;"","PFH [1/h] = "&amp;10^9*INDEX(Tab_DaBa[],MATCH(CONCATENATE(Liste!$C$3,$B$2825,$B$2855),Data!$BO:$BO,0)-2,16)&amp;"E-9",""),"")</f>
        <v/>
      </c>
    </row>
    <row r="2878" spans="2:9" s="16" customFormat="1"/>
    <row r="2879" spans="2:9" s="16" customFormat="1">
      <c r="B2879" s="43" t="str">
        <f ca="1">IF(D2879="","","Erforderlich")</f>
        <v>Erforderlich</v>
      </c>
      <c r="D2879" s="44" t="str">
        <f ca="1">IFERROR("Performance Level: "&amp;INDEX(Tab_DaBa[],MATCH(CONCATENATE(Liste!$C$3,$B$2825,$B$2855),Data!$BO:$BO,0)-2,4),"")</f>
        <v>Performance Level: PLr_ges4_2</v>
      </c>
    </row>
    <row r="2880" spans="2:9" s="16" customFormat="1">
      <c r="B2880" s="45"/>
    </row>
    <row r="2881" spans="2:9" s="16" customFormat="1">
      <c r="B2881" s="46" t="str">
        <f ca="1">IF(D2881="","","Erreicht")</f>
        <v>Erreicht</v>
      </c>
      <c r="D2881" s="47" t="str">
        <f ca="1">IFERROR("Performance Level: "&amp;INDEX(Tab_DaBa[],MATCH(CONCATENATE(Liste!$C$3,$B$2825,$B$2855),Data!$BO:$BO,0)-2,5)&amp;"          PFH [1/h] = "&amp;10^9*INDEX(Tab_DaBa[],MATCH(CONCATENATE(Liste!$C$3,$B$2825,$B$2855),Data!$BO:$BO,0)-2,6)&amp;"E-9","")</f>
        <v>Performance Level: Pl_ges4_2          PFH [1/h] = 71,7E-9</v>
      </c>
    </row>
    <row r="2882" spans="2:9" s="16" customFormat="1"/>
    <row r="2883" spans="2:9" s="16" customFormat="1">
      <c r="B2883" s="42" t="str">
        <f ca="1">IFERROR(IF(3&gt;COUNTIF(Data!$BP:$BP,CONCATENATE(Liste!$C$3,$B$2825)),"",INDEX(Tab_DaBa[],MATCH(CONCATENATE(Liste!$C$3,$B$2825),Data!$BP:$BP,0),3)),"")</f>
        <v>11.3 Test11 (E+3L+A)</v>
      </c>
    </row>
    <row r="2884" spans="2:9" s="16" customFormat="1"/>
    <row r="2885" spans="2:9" s="16" customFormat="1" ht="15.75">
      <c r="B2885" s="35" t="str">
        <f ca="1">IFERROR(INDEX(Tab_DaBa[],MATCH(CONCATENATE(Liste!$C$3,$B$2825,$B$2883),Data!$BO:$BO,0)-2,9),"")</f>
        <v>Eingang</v>
      </c>
      <c r="C2885" s="54"/>
      <c r="D2885" s="35" t="str">
        <f ca="1">IFERROR(IF(INDEX(Tab_DaBa[],MATCH(CONCATENATE(Liste!$C$3,$B$2825,$B$2883),Data!$BO:$BO,0)-2,18)=0,INDEX(Tab_DaBa[],MATCH(CONCATENATE(Liste!$C$3,$B$2825,$B$2883),Data!$BO:$BO,0)-2,14),INDEX(Tab_DaBa[],MATCH(CONCATENATE(Liste!$C$3,$B$2825,$B$2883),Data!$BO:$BO,0)-2,19)),"")</f>
        <v>Logik 01</v>
      </c>
      <c r="E2885" s="33"/>
      <c r="F2885" s="35" t="str">
        <f ca="1">IFERROR(IF(AND(INDEX(Tab_DaBa[],MATCH(CONCATENATE(Liste!$C$3,$B$2825,$B$2883),Data!$BO:$BO,0)-2,18)&lt;&gt;"",INDEX(Tab_DaBa[],MATCH(CONCATENATE(Liste!$C$3,$B$2825,$B$2883),Data!$BO:$BO,0)-2,23)=0),INDEX(Tab_DaBa[],MATCH(CONCATENATE(Liste!$C$3,$B$2825,$B$2883),Data!$BO:$BO,0)-2,14),IF(INDEX(Tab_DaBa[],MATCH(CONCATENATE(Liste!$C$3,$B$2825,$B$2883),Data!$BO:$BO,0)-2,23)&lt;&gt;"",INDEX(Tab_DaBa[],MATCH(CONCATENATE(Liste!$C$3,$B$2825,$B$2883),Data!$BO:$BO,0)-2,24),"")),"")</f>
        <v>Logik 02</v>
      </c>
      <c r="G2885" s="39"/>
      <c r="H2885" s="35" t="str">
        <f ca="1">IFERROR(IF(AND(INDEX(Tab_DaBa[],MATCH(CONCATENATE(Liste!$C$3,$B$2825,$B$2883),Data!$BO:$BO,0)-2,23)&lt;&gt;"",INDEX(Tab_DaBa[],MATCH(CONCATENATE(Liste!$C$3,$B$2825,$B$2883),Data!$BO:$BO,0)-2,28)=0),INDEX(Tab_DaBa[],MATCH(CONCATENATE(Liste!$C$3,$B$2825,$B$2883),Data!$BO:$BO,0)-2,14),IF(INDEX(Tab_DaBa[],MATCH(CONCATENATE(Liste!$C$3,$B$2825,$B$2883),Data!$BO:$BO,0)-2,23)&lt;&gt;"",INDEX(Tab_DaBa[],MATCH(CONCATENATE(Liste!$C$3,$B$2825,$B$2883),Data!$BO:$BO,0)-2,29),"")),"")</f>
        <v>Logik 03</v>
      </c>
      <c r="I2885" s="39"/>
    </row>
    <row r="2886" spans="2:9" s="16" customFormat="1" ht="15.75">
      <c r="B2886" s="35" t="str">
        <f ca="1">IFERROR(INDEX(Tab_DaBa[],MATCH(CONCATENATE(Liste!$C$3,$B$2825,$B$2883),Data!$BO:$BO,0)-2,7),"")</f>
        <v>eeee-33_3</v>
      </c>
      <c r="C2886" s="54"/>
      <c r="D2886" s="35" t="str">
        <f ca="1">IFERROR(IF(INDEX(Tab_DaBa[],MATCH(CONCATENATE(Liste!$C$3,$B$2825,$B$2883),Data!$BO:$BO,0)-2,18)="",INDEX(Tab_DaBa[],MATCH(CONCATENATE(Liste!$C$3,$B$2825,$B$2883),Data!$BO:$BO,0)-2,12),INDEX(Tab_DaBa[],MATCH(CONCATENATE(Liste!$C$3,$B$2825,$B$2883),Data!$BO:$BO,0)-2,17)),"")</f>
        <v>Log01-04_03</v>
      </c>
      <c r="E2886" s="36"/>
      <c r="F2886" s="35" t="str">
        <f ca="1">IFERROR(IF(AND(INDEX(Tab_DaBa[],MATCH(CONCATENATE(Liste!$C$3,$B$2825,$B$2883),Data!$BO:$BO,0)-2,18)&lt;&gt;"",INDEX(Tab_DaBa[],MATCH(CONCATENATE(Liste!$C$3,$B$2825,$B$2883),Data!$BO:$BO,0)-2,23)=0),INDEX(Tab_DaBa[],MATCH(CONCATENATE(Liste!$C$3,$B$2825,$B$2883),Data!$BO:$BO,0)-2,12),IF(INDEX(Tab_DaBa[],MATCH(CONCATENATE(Liste!$C$3,$B$2825,$B$2883),Data!$BO:$BO,0)-2,23)&lt;&gt;"",INDEX(Tab_DaBa[],MATCH(CONCATENATE(Liste!$C$3,$B$2825,$B$2883),Data!$BO:$BO,0)-2,22),"")),"")</f>
        <v>Lo04-04_03</v>
      </c>
      <c r="G2886" s="39"/>
      <c r="H2886" s="35" t="str">
        <f ca="1">IFERROR(IF(AND(INDEX(Tab_DaBa[],MATCH(CONCATENATE(Liste!$C$3,$B$2825,$B$2883),Data!$BO:$BO,0)-2,23)&lt;&gt;"",INDEX(Tab_DaBa[],MATCH(CONCATENATE(Liste!$C$3,$B$2825,$B$2883),Data!$BO:$BO,0)-2,28)=0),INDEX(Tab_DaBa[],MATCH(CONCATENATE(Liste!$C$3,$B$2825,$B$2883),Data!$BO:$BO,0)-2,12),IF(INDEX(Tab_DaBa[],MATCH(CONCATENATE(Liste!$C$3,$B$2825,$B$2883),Data!$BO:$BO,0)-2,23)&lt;&gt;"",INDEX(Tab_DaBa[],MATCH(CONCATENATE(Liste!$C$3,$B$2825,$B$2883),Data!$BO:$BO,0)-2,27),"")),"")</f>
        <v>Lo04-44_03</v>
      </c>
      <c r="I2886" s="39"/>
    </row>
    <row r="2887" spans="2:9" s="16" customFormat="1" ht="15.75">
      <c r="B2887" s="35" t="str">
        <f ca="1">IFERROR(INDEX(Tab_DaBa[],MATCH(CONCATENATE(Liste!$C$3,$B$2825,$B$2883),Data!$BO:$BO,0)-2,8),"")</f>
        <v>Bez_Ein4_3</v>
      </c>
      <c r="C2887" s="40">
        <f ca="1">IF(D2885="","",4)</f>
        <v>4</v>
      </c>
      <c r="D2887" s="35" t="str">
        <f ca="1">IFERROR(IF(INDEX(Tab_DaBa[],MATCH(CONCATENATE(Liste!$C$3,$B$2825,$B$2883),Data!$BO:$BO,0)-2,18)="",INDEX(Tab_DaBa[],MATCH(CONCATENATE(Liste!$C$3,$B$2825,$B$2883),Data!$BO:$BO,0)-2,13),INDEX(Tab_DaBa[],MATCH(CONCATENATE(Liste!$C$3,$B$2825,$B$2883),Data!$BO:$BO,0)-2,18)),"")</f>
        <v>Bez_Log01_04_03</v>
      </c>
      <c r="E2887" s="40">
        <f ca="1">IF(F2885="","",4)</f>
        <v>4</v>
      </c>
      <c r="F2887" s="35" t="str">
        <f ca="1">IFERROR(IF(AND(INDEX(Tab_DaBa[],MATCH(CONCATENATE(Liste!$C$3,$B$2825,$B$2883),Data!$BO:$BO,0)-2,18)&lt;&gt;"",INDEX(Tab_DaBa[],MATCH(CONCATENATE(Liste!$C$3,$B$2825,$B$2883),Data!$BO:$BO,0)-2,23)=""),INDEX(Tab_DaBa[],MATCH(CONCATENATE(Liste!$C$3,$B$2825,$B$2883),Data!$BO:$BO,0)-2,13),IF(INDEX(Tab_DaBa[],MATCH(CONCATENATE(Liste!$C$3,$B$2825,$B$2883),Data!$BO:$BO,0)-2,23)&lt;&gt;"",INDEX(Tab_DaBa[],MATCH(CONCATENATE(Liste!$C$3,$B$2825,$B$2883),Data!$BO:$BO,0)-2,23),"")),"")</f>
        <v>Bez_Lo04_03</v>
      </c>
      <c r="G2887" s="38">
        <f ca="1">IF(H2885="","",4)</f>
        <v>4</v>
      </c>
      <c r="H2887" s="35" t="str">
        <f ca="1">IFERROR(IF(AND(INDEX(Tab_DaBa[],MATCH(CONCATENATE(Liste!$C$3,$B$2825,$B$2883),Data!$BO:$BO,0)-2,23)&lt;&gt;"",INDEX(Tab_DaBa[],MATCH(CONCATENATE(Liste!$C$3,$B$2825,$B$2883),Data!$BO:$BO,0)-2,28)=""),INDEX(Tab_DaBa[],MATCH(CONCATENATE(Liste!$C$3,$B$2825,$B$2883),Data!$BO:$BO,0)-2,13),IF(INDEX(Tab_DaBa[],MATCH(CONCATENATE(Liste!$C$3,$B$2825,$B$2883),Data!$BO:$BO,0)-2,23)&lt;&gt;"",INDEX(Tab_DaBa[],MATCH(CONCATENATE(Liste!$C$3,$B$2825,$B$2883),Data!$BO:$BO,0)-2,28),"")),"")</f>
        <v>Bez_Lo04_03</v>
      </c>
      <c r="I2887" s="38">
        <f ca="1">IF(B2893="","",6)</f>
        <v>6</v>
      </c>
    </row>
    <row r="2888" spans="2:9" s="16" customFormat="1" ht="15.75">
      <c r="B2888" s="35" t="str">
        <f ca="1">IFERROR("Performance Level: "&amp;INDEX(Tab_DaBa[],MATCH(CONCATENATE(Liste!$C$3,$B$2825,$B$2883),Data!$BO:$BO,0)-2,10),"")</f>
        <v>Performance Level: PL_Ein4_3</v>
      </c>
      <c r="C2888" s="54"/>
      <c r="D2888" s="35" t="str">
        <f ca="1">IFERROR(IF(INDEX(Tab_DaBa[],MATCH(CONCATENATE(Liste!$C$3,$B$2825,$B$2883),Data!$BO:$BO,0)-2,18)="","Performance Level: "&amp;INDEX(Tab_DaBa[],MATCH(CONCATENATE(Liste!$C$3,$B$2825,$B$2883),Data!$BO:$BO,0)-2,15),"Performance Level: "&amp;INDEX(Tab_DaBa[],MATCH(CONCATENATE(Liste!$C$3,$B$2825,$B$2883),Data!$BO:$BO,0)-2,20)),"")</f>
        <v>Performance Level: PL_Log01_04_03</v>
      </c>
      <c r="E2888" s="36"/>
      <c r="F2888" s="35" t="str">
        <f ca="1">IFERROR(IF(AND(INDEX(Tab_DaBa[],MATCH(CONCATENATE(Liste!$C$3,$B$2825,$B$2883),Data!$BO:$BO,0)-2,18)&lt;&gt;"",INDEX(Tab_DaBa[],MATCH(CONCATENATE(Liste!$C$3,$B$2825,$B$2883),Data!$BO:$BO,0)-2,23)=""),"Performance Level: "&amp;INDEX(Tab_DaBa[],MATCH(CONCATENATE(Liste!$C$3,$B$2825,$B$2883),Data!$BO:$BO,0)-2,15),IF(INDEX(Tab_DaBa[],MATCH(CONCATENATE(Liste!$C$3,$B$2825,$B$2883),Data!$BO:$BO,0)-2,23)&lt;&gt;"","Performance Level: "&amp;INDEX(Tab_DaBa[],MATCH(CONCATENATE(Liste!$C$3,$B$2825,$B$2883),Data!$BO:$BO,0)-2,25),"")),"")</f>
        <v>Performance Level: PL_Lo04_03</v>
      </c>
      <c r="G2888" s="39"/>
      <c r="H2888" s="35" t="str">
        <f ca="1">IFERROR(IF(AND(INDEX(Tab_DaBa[],MATCH(CONCATENATE(Liste!$C$3,$B$2825,$B$2883),Data!$BO:$BO,0)-2,23)&lt;&gt;"",INDEX(Tab_DaBa[],MATCH(CONCATENATE(Liste!$C$3,$B$2825,$B$2883),Data!$BO:$BO,0)-2,28)=""),"Performance Level: "&amp;INDEX(Tab_DaBa[],MATCH(CONCATENATE(Liste!$C$3,$B$2825,$B$2883),Data!$BO:$BO,0)-2,15),IF(INDEX(Tab_DaBa[],MATCH(CONCATENATE(Liste!$C$3,$B$2825,$B$2883),Data!$BO:$BO,0)-2,23)&lt;&gt;"","Performance Level: "&amp;INDEX(Tab_DaBa[],MATCH(CONCATENATE(Liste!$C$3,$B$2825,$B$2883),Data!$BO:$BO,0)-2,30),"")),"")</f>
        <v>Performance Level: PL_Lo04_03</v>
      </c>
      <c r="I2888" s="38"/>
    </row>
    <row r="2889" spans="2:9" s="16" customFormat="1" ht="15.75">
      <c r="B2889" s="53" t="str">
        <f ca="1">IFERROR("PFH [1/h] = "&amp;10^9*INDEX(Tab_DaBa[],MATCH(CONCATENATE(Liste!$C$3,$B$2825,$B$2883),Data!$BO:$BO,0)-2,11)&amp;"E-9","")</f>
        <v>PFH [1/h] = 42,9E-9</v>
      </c>
      <c r="C2889" s="54"/>
      <c r="D2889" s="35" t="str">
        <f ca="1">IFERROR(IF(INDEX(Tab_DaBa[],MATCH(CONCATENATE(Liste!$C$3,$B$2825,$B$2883),Data!$BO:$BO,0)-2,18)="","PFH [1/h] = "&amp;10^9*INDEX(Tab_DaBa[],MATCH(CONCATENATE(Liste!$C$3,$B$2825,$B$2883),Data!$BO:$BO,0)-2,16)&amp;"E-9","PFH [1/h] = "&amp;10^9*INDEX(Tab_DaBa[],MATCH(CONCATENATE(Liste!$C$3,$B$2825,$B$2883),Data!$BO:$BO,0)-2,21)&amp;"E-9"),"")</f>
        <v>PFH [1/h] = 4,19E-9</v>
      </c>
      <c r="E2889" s="36"/>
      <c r="F2889" s="35" t="str">
        <f ca="1">IFERROR(IF(AND(INDEX(Tab_DaBa[],MATCH(CONCATENATE(Liste!$C$3,$B$2825,$B$2883),Data!$BO:$BO,0)-2,18)&lt;&gt;"",INDEX(Tab_DaBa[],MATCH(CONCATENATE(Liste!$C$3,$B$2825,$B$2883),Data!$BO:$BO,0)-2,23)=""),"PFH [1/h] = "&amp;10^9*INDEX(Tab_DaBa[],MATCH(CONCATENATE(Liste!$C$3,$B$2825,$B$2883),Data!$BO:$BO,0)-2,16)&amp;"E-9",IF(INDEX(Tab_DaBa[],MATCH(CONCATENATE(Liste!$C$3,$B$2825,$B$2883),Data!$BO:$BO,0)-2,23)&lt;&gt;"","PFH [1/h] = "&amp;10^9*INDEX(Tab_DaBa[],MATCH(CONCATENATE(Liste!$C$3,$B$2825,$B$2883),Data!$BO:$BO,0)-2,26)&amp;"E-9","")),"")</f>
        <v>PFH [1/h] = 4,19E-9</v>
      </c>
      <c r="G2889" s="39"/>
      <c r="H2889" s="35" t="str">
        <f ca="1">IFERROR(IF(AND(INDEX(Tab_DaBa[],MATCH(CONCATENATE(Liste!$C$3,$B$2825,$B$2883),Data!$BO:$BO,0)-2,23)&lt;&gt;"",INDEX(Tab_DaBa[],MATCH(CONCATENATE(Liste!$C$3,$B$2825,$B$2883),Data!$BO:$BO,0)-2,28)=""),"PFH [1/h] = "&amp;10^9*INDEX(Tab_DaBa[],MATCH(CONCATENATE(Liste!$C$3,$B$2825,$B$2883),Data!$BO:$BO,0)-2,16)&amp;"E-9",IF(INDEX(Tab_DaBa[],MATCH(CONCATENATE(Liste!$C$3,$B$2825,$B$2883),Data!$BO:$BO,0)-2,23)&lt;&gt;"","PFH [1/h] = "&amp;10^9*INDEX(Tab_DaBa[],MATCH(CONCATENATE(Liste!$C$3,$B$2825,$B$2883),Data!$BO:$BO,0)-2,31)&amp;"E-9","")),"")</f>
        <v>PFH [1/h] = 4,19E-9</v>
      </c>
      <c r="I2889" s="39"/>
    </row>
    <row r="2890" spans="2:9" s="16" customFormat="1">
      <c r="B2890" s="33"/>
      <c r="C2890" s="34"/>
      <c r="D2890" s="33"/>
      <c r="E2890" s="33"/>
      <c r="F2890" s="33"/>
      <c r="G2890" s="33"/>
      <c r="H2890" s="33"/>
      <c r="I2890" s="33"/>
    </row>
    <row r="2891" spans="2:9" s="16" customFormat="1" ht="15.75">
      <c r="B2891" s="38">
        <f ca="1">IF(B2893="","",6)</f>
        <v>6</v>
      </c>
      <c r="C2891" s="34"/>
      <c r="D2891" s="38">
        <f ca="1">IF(B2893="","",3)</f>
        <v>3</v>
      </c>
      <c r="E2891" s="33"/>
      <c r="F2891" s="38">
        <f ca="1">IF(B2893="","",3)</f>
        <v>3</v>
      </c>
      <c r="G2891" s="33"/>
      <c r="H2891" s="38">
        <f ca="1">IF(B2893="","",3)</f>
        <v>3</v>
      </c>
      <c r="I2891" s="33"/>
    </row>
    <row r="2892" spans="2:9" s="16" customFormat="1" ht="15.75">
      <c r="B2892" s="39"/>
      <c r="C2892" s="33"/>
      <c r="D2892" s="33"/>
      <c r="E2892" s="33"/>
      <c r="F2892" s="33"/>
      <c r="G2892" s="33"/>
      <c r="H2892" s="33"/>
      <c r="I2892" s="33"/>
    </row>
    <row r="2893" spans="2:9" s="16" customFormat="1" ht="15.75">
      <c r="B2893" s="35" t="str">
        <f ca="1">IFERROR(IF(AND(INDEX(Tab_DaBa[],MATCH(CONCATENATE(Liste!$C$3,$B$2825,$B$2883),Data!$BO:$BO,0)-2,28)&lt;&gt;"",INDEX(Tab_DaBa[],MATCH(CONCATENATE(Liste!$C$3,$B$2825,$B$2883),Data!$BO:$BO,0)-2,33)=0),INDEX(Tab_DaBa[],MATCH(CONCATENATE(Liste!$C$3,$B$2825,$B$2883),Data!$BO:$BO,0)-2,14),IF(INDEX(Tab_DaBa[],MATCH(CONCATENATE(Liste!$C$3,$B$2825,$B$2883),Data!$BO:$BO,0)-2,28)&lt;&gt;"",INDEX(Tab_DaBa[],MATCH(CONCATENATE(Liste!$C$3,$B$2825,$B$2883),Data!$BO:$BO,0)-2,34),"")),"")</f>
        <v>Ausgang</v>
      </c>
      <c r="C2893" s="39"/>
      <c r="D2893" s="35" t="str">
        <f ca="1">IFERROR(IF(AND(INDEX(Tab_DaBa[],MATCH(CONCATENATE(Liste!$C$3,$B$2825,$B$2883),Data!$BO:$BO,0)-2,33)&lt;&gt;"",INDEX(Tab_DaBa[],MATCH(CONCATENATE(Liste!$C$3,$B$2825,$B$2883),Data!$BO:$BO,0)-2,38)=0),INDEX(Tab_DaBa[],MATCH(CONCATENATE(Liste!$C$3,$B$2825,$B$2883),Data!$BO:$BO,0)-2,14),IF(INDEX(Tab_DaBa[],MATCH(CONCATENATE(Liste!$C$3,$B$2825,$B$2883),Data!$BO:$BO,0)-2,33)&lt;&gt;"",INDEX(Tab_DaBa[],MATCH(CONCATENATE(Liste!$C$3,$B$2825,$B$2883),Data!$BO:$BO,0)-2,39),"")),"")</f>
        <v/>
      </c>
      <c r="E2893" s="33"/>
      <c r="F2893" s="35" t="str">
        <f ca="1">IFERROR(IF(AND(INDEX(Tab_DaBa[],MATCH(CONCATENATE(Liste!$C$3,$B$2825,$B$2883),Data!$BO:$BO,0)-2,38)&lt;&gt;"",INDEX(Tab_DaBa[],MATCH(CONCATENATE(Liste!$C$3,$B$2825,$B$2883),Data!$BO:$BO,0)-2,43)=0),INDEX(Tab_DaBa[],MATCH(CONCATENATE(Liste!$C$3,$B$2825,$B$2883),Data!$BO:$BO,0)-2,14),IF(INDEX(Tab_DaBa[],MATCH(CONCATENATE(Liste!$C$3,$B$2825,$B$2883),Data!$BO:$BO,0)-2,38)&lt;&gt;"",INDEX(Tab_DaBa[],MATCH(CONCATENATE(Liste!$C$3,$B$2825,$B$2883),Data!$BO:$BO,0)-2,44),"")),"")</f>
        <v/>
      </c>
      <c r="G2893" s="39"/>
      <c r="H2893" s="35" t="str">
        <f ca="1">IFERROR(IF(AND(INDEX(Tab_DaBa[],MATCH(CONCATENATE(Liste!$C$3,$B$2825,$B$2883),Data!$BO:$BO,0)-2,43)&lt;&gt;"",INDEX(Tab_DaBa[],MATCH(CONCATENATE(Liste!$C$3,$B$2825,$B$2883),Data!$BO:$BO,0)-2,48)=0),INDEX(Tab_DaBa[],MATCH(CONCATENATE(Liste!$C$3,$B$2825,$B$2883),Data!$BO:$BO,0)-2,14),IF(INDEX(Tab_DaBa[],MATCH(CONCATENATE(Liste!$C$3,$B$2825,$B$2883),Data!$BO:$BO,0)-2,43)&lt;&gt;"",INDEX(Tab_DaBa[],MATCH(CONCATENATE(Liste!$C$3,$B$2825,$B$2883),Data!$BO:$BO,0)-2,49),"")),"")</f>
        <v/>
      </c>
      <c r="I2893" s="39"/>
    </row>
    <row r="2894" spans="2:9" s="16" customFormat="1" ht="15.75">
      <c r="B2894" s="35" t="str">
        <f ca="1">IFERROR(IF(AND(INDEX(Tab_DaBa[],MATCH(CONCATENATE(Liste!$C$3,$B$2825,$B$2883),Data!$BO:$BO,0)-2,28)&lt;&gt;"",INDEX(Tab_DaBa[],MATCH(CONCATENATE(Liste!$C$3,$B$2825,$B$2883),Data!$BO:$BO,0)-2,33)=0),INDEX(Tab_DaBa[],MATCH(CONCATENATE(Liste!$C$3,$B$2825,$B$2883),Data!$BO:$BO,0)-2,12),IF(INDEX(Tab_DaBa[],MATCH(CONCATENATE(Liste!$C$3,$B$2825,$B$2883),Data!$BO:$BO,0)-2,28)&lt;&gt;"",INDEX(Tab_DaBa[],MATCH(CONCATENATE(Liste!$C$3,$B$2825,$B$2883),Data!$BO:$BO,0)-2,32),"")),"")</f>
        <v>aaaa-44_3</v>
      </c>
      <c r="C2894" s="39"/>
      <c r="D2894" s="35" t="str">
        <f ca="1">IFERROR(IF(AND(INDEX(Tab_DaBa[],MATCH(CONCATENATE(Liste!$C$3,$B$2825,$B$2883),Data!$BO:$BO,0)-2,33)&lt;&gt;"",INDEX(Tab_DaBa[],MATCH(CONCATENATE(Liste!$C$3,$B$2825,$B$2883),Data!$BO:$BO,0)-2,38)=0),INDEX(Tab_DaBa[],MATCH(CONCATENATE(Liste!$C$3,$B$2825,$B$2883),Data!$BO:$BO,0)-2,12),IF(INDEX(Tab_DaBa[],MATCH(CONCATENATE(Liste!$C$3,$B$2825,$B$2883),Data!$BO:$BO,0)-2,33)&lt;&gt;"",INDEX(Tab_DaBa[],MATCH(CONCATENATE(Liste!$C$3,$B$2825,$B$2883),Data!$BO:$BO,0)-2,37),"")),"")</f>
        <v/>
      </c>
      <c r="E2894" s="37"/>
      <c r="F2894" s="35" t="str">
        <f ca="1">IFERROR(IF(AND(INDEX(Tab_DaBa[],MATCH(CONCATENATE(Liste!$C$3,$B$2825,$B$2883),Data!$BO:$BO,0)-2,38)&lt;&gt;"",INDEX(Tab_DaBa[],MATCH(CONCATENATE(Liste!$C$3,$B$2825,$B$2883),Data!$BO:$BO,0)-2,43)=0),INDEX(Tab_DaBa[],MATCH(CONCATENATE(Liste!$C$3,$B$2825,$B$2883),Data!$BO:$BO,0)-2,12),IF(INDEX(Tab_DaBa[],MATCH(CONCATENATE(Liste!$C$3,$B$2825,$B$2883),Data!$BO:$BO,0)-2,38)&lt;&gt;"",INDEX(Tab_DaBa[],MATCH(CONCATENATE(Liste!$C$3,$B$2825,$B$2883),Data!$BO:$BO,0)-2,42),"")),"")</f>
        <v/>
      </c>
      <c r="G2894" s="39"/>
      <c r="H2894" s="35" t="str">
        <f ca="1">IFERROR(IF(AND(INDEX(Tab_DaBa[],MATCH(CONCATENATE(Liste!$C$3,$B$2825,$B$2883),Data!$BO:$BO,0)-2,43)&lt;&gt;"",INDEX(Tab_DaBa[],MATCH(CONCATENATE(Liste!$C$3,$B$2825,$B$2883),Data!$BO:$BO,0)-2,48)=0),INDEX(Tab_DaBa[],MATCH(CONCATENATE(Liste!$C$3,$B$2825,$B$2883),Data!$BO:$BO,0)-2,12),IF(INDEX(Tab_DaBa[],MATCH(CONCATENATE(Liste!$C$3,$B$2825,$B$2883),Data!$BO:$BO,0)-2,43)&lt;&gt;"",INDEX(Tab_DaBa[],MATCH(CONCATENATE(Liste!$C$3,$B$2825,$B$2883),Data!$BO:$BO,0)-2,47),"")),"")</f>
        <v/>
      </c>
      <c r="I2894" s="39"/>
    </row>
    <row r="2895" spans="2:9" s="16" customFormat="1" ht="15.75">
      <c r="B2895" s="35" t="str">
        <f ca="1">IFERROR(IF(AND(INDEX(Tab_DaBa[],MATCH(CONCATENATE(Liste!$C$3,$B$2825,$B$2883),Data!$BO:$BO,0)-2,28)&lt;&gt;"",INDEX(Tab_DaBa[],MATCH(CONCATENATE(Liste!$C$3,$B$2825,$B$2883),Data!$BO:$BO,0)-2,33)=""),INDEX(Tab_DaBa[],MATCH(CONCATENATE(Liste!$C$3,$B$2825,$B$2883),Data!$BO:$BO,0)-2,13),IF(INDEX(Tab_DaBa[],MATCH(CONCATENATE(Liste!$C$3,$B$2825,$B$2883),Data!$BO:$BO,0)-2,28)&lt;&gt;"",INDEX(Tab_DaBa[],MATCH(CONCATENATE(Liste!$C$3,$B$2825,$B$2883),Data!$BO:$BO,0)-2,33),"")),"")</f>
        <v>Bez_Aus4_3</v>
      </c>
      <c r="C2895" s="38" t="str">
        <f ca="1">IF(D2893="","",4)</f>
        <v/>
      </c>
      <c r="D2895" s="35" t="str">
        <f ca="1">IFERROR(IF(AND(INDEX(Tab_DaBa[],MATCH(CONCATENATE(Liste!$C$3,$B$2825,$B$2883),Data!$BO:$BO,0)-2,33)&lt;&gt;"",INDEX(Tab_DaBa[],MATCH(CONCATENATE(Liste!$C$3,$B$2825,$B$2883),Data!$BO:$BO,0)-2,38)=""),INDEX(Tab_DaBa[],MATCH(CONCATENATE(Liste!$C$3,$B$2825,$B$2883),Data!$BO:$BO,0)-2,13),IF(INDEX(Tab_DaBa[],MATCH(CONCATENATE(Liste!$C$3,$B$2825,$B$2883),Data!$BO:$BO,0)-2,33)&lt;&gt;"",INDEX(Tab_DaBa[],MATCH(CONCATENATE(Liste!$C$3,$B$2825,$B$2883),Data!$BO:$BO,0)-2,38),"")),"")</f>
        <v/>
      </c>
      <c r="E2895" s="38" t="str">
        <f ca="1">IF(F2893="","",4)</f>
        <v/>
      </c>
      <c r="F2895" s="35" t="str">
        <f ca="1">IFERROR(IF(AND(INDEX(Tab_DaBa[],MATCH(CONCATENATE(Liste!$C$3,$B$2825,$B$2883),Data!$BO:$BO,0)-2,38)&lt;&gt;"",INDEX(Tab_DaBa[],MATCH(CONCATENATE(Liste!$C$3,$B$2825,$B$2883),Data!$BO:$BO,0)-2,43)=""),INDEX(Tab_DaBa[],MATCH(CONCATENATE(Liste!$C$3,$B$2825,$B$2883),Data!$BO:$BO,0)-2,13),IF(INDEX(Tab_DaBa[],MATCH(CONCATENATE(Liste!$C$3,$B$2825,$B$2883),Data!$BO:$BO,0)-2,38)&lt;&gt;"",INDEX(Tab_DaBa[],MATCH(CONCATENATE(Liste!$C$3,$B$2825,$B$2883),Data!$BO:$BO,0)-2,43),"")),"")</f>
        <v/>
      </c>
      <c r="G2895" s="38" t="str">
        <f ca="1">IF(H2893="","",4)</f>
        <v/>
      </c>
      <c r="H2895" s="35" t="str">
        <f ca="1">IFERROR(IF(AND(INDEX(Tab_DaBa[],MATCH(CONCATENATE(Liste!$C$3,$B$2825,$B$2883),Data!$BO:$BO,0)-2,43)&lt;&gt;"",INDEX(Tab_DaBa[],MATCH(CONCATENATE(Liste!$C$3,$B$2825,$B$2883),Data!$BO:$BO,0)-2,48)=""),INDEX(Tab_DaBa[],MATCH(CONCATENATE(Liste!$C$3,$B$2825,$B$2883),Data!$BO:$BO,0)-2,13),IF(INDEX(Tab_DaBa[],MATCH(CONCATENATE(Liste!$C$3,$B$2825,$B$2883),Data!$BO:$BO,0)-2,43)&lt;&gt;"",INDEX(Tab_DaBa[],MATCH(CONCATENATE(Liste!$C$3,$B$2825,$B$2883),Data!$BO:$BO,0)-2,48),"")),"")</f>
        <v/>
      </c>
      <c r="I2895" s="38" t="str">
        <f ca="1">IF(B2901="","",6)</f>
        <v/>
      </c>
    </row>
    <row r="2896" spans="2:9" s="16" customFormat="1" ht="15.75">
      <c r="B2896" s="35" t="str">
        <f ca="1">IFERROR(IF(AND(INDEX(Tab_DaBa[],MATCH(CONCATENATE(Liste!$C$3,$B$2825,$B$2883),Data!$BO:$BO,0)-2,28)&lt;&gt;"",INDEX(Tab_DaBa[],MATCH(CONCATENATE(Liste!$C$3,$B$2825,$B$2883),Data!$BO:$BO,0)-2,33)=""),"Performance Level: "&amp;INDEX(Tab_DaBa[],MATCH(CONCATENATE(Liste!$C$3,$B$2825,$B$2883),Data!$BO:$BO,0)-2,15),IF(INDEX(Tab_DaBa[],MATCH(CONCATENATE(Liste!$C$3,$B$2825,$B$2883),Data!$BO:$BO,0)-2,28)&lt;&gt;"","Performance Level: "&amp;INDEX(Tab_DaBa[],MATCH(CONCATENATE(Liste!$C$3,$B$2825,$B$2883),Data!$BO:$BO,0)-2,35),"")),"")</f>
        <v>Performance Level: PL_Aus4_3</v>
      </c>
      <c r="C2896" s="39"/>
      <c r="D2896" s="35" t="str">
        <f ca="1">IFERROR(IF(AND(INDEX(Tab_DaBa[],MATCH(CONCATENATE(Liste!$C$3,$B$2825,$B$2883),Data!$BO:$BO,0)-2,33)&lt;&gt;"",INDEX(Tab_DaBa[],MATCH(CONCATENATE(Liste!$C$3,$B$2825,$B$2883),Data!$BO:$BO,0)-2,38)=""),"Performance Level: "&amp;INDEX(Tab_DaBa[],MATCH(CONCATENATE(Liste!$C$3,$B$2825,$B$2883),Data!$BO:$BO,0)-2,15),IF(INDEX(Tab_DaBa[],MATCH(CONCATENATE(Liste!$C$3,$B$2825,$B$2883),Data!$BO:$BO,0)-2,33)&lt;&gt;"","Performance Level: "&amp;INDEX(Tab_DaBa[],MATCH(CONCATENATE(Liste!$C$3,$B$2825,$B$2883),Data!$BO:$BO,0)-2,40),"")),"")</f>
        <v/>
      </c>
      <c r="E2896" s="37"/>
      <c r="F2896" s="35" t="str">
        <f ca="1">IFERROR(IF(AND(INDEX(Tab_DaBa[],MATCH(CONCATENATE(Liste!$C$3,$B$2825,$B$2883),Data!$BO:$BO,0)-2,38)&lt;&gt;"",INDEX(Tab_DaBa[],MATCH(CONCATENATE(Liste!$C$3,$B$2825,$B$2883),Data!$BO:$BO,0)-2,43)=""),"Performance Level: "&amp;INDEX(Tab_DaBa[],MATCH(CONCATENATE(Liste!$C$3,$B$2825,$B$2883),Data!$BO:$BO,0)-2,15),IF(INDEX(Tab_DaBa[],MATCH(CONCATENATE(Liste!$C$3,$B$2825,$B$2883),Data!$BO:$BO,0)-2,38)&lt;&gt;"","Performance Level: "&amp;INDEX(Tab_DaBa[],MATCH(CONCATENATE(Liste!$C$3,$B$2825,$B$2883),Data!$BO:$BO,0)-2,45),"")),"")</f>
        <v/>
      </c>
      <c r="G2896" s="39"/>
      <c r="H2896" s="35" t="str">
        <f ca="1">IFERROR(IF(AND(INDEX(Tab_DaBa[],MATCH(CONCATENATE(Liste!$C$3,$B$2825,$B$2883),Data!$BO:$BO,0)-2,43)&lt;&gt;"",INDEX(Tab_DaBa[],MATCH(CONCATENATE(Liste!$C$3,$B$2825,$B$2883),Data!$BO:$BO,0)-2,48)=""),"Performance Level: "&amp;INDEX(Tab_DaBa[],MATCH(CONCATENATE(Liste!$C$3,$B$2825,$B$2883),Data!$BO:$BO,0)-2,15),IF(INDEX(Tab_DaBa[],MATCH(CONCATENATE(Liste!$C$3,$B$2825,$B$2883),Data!$BO:$BO,0)-2,43)&lt;&gt;"","Performance Level: "&amp;INDEX(Tab_DaBa[],MATCH(CONCATENATE(Liste!$C$3,$B$2825,$B$2883),Data!$BO:$BO,0)-2,50),"")),"")</f>
        <v/>
      </c>
      <c r="I2896" s="39"/>
    </row>
    <row r="2897" spans="2:9" s="16" customFormat="1" ht="15.75">
      <c r="B2897" s="35" t="str">
        <f ca="1">IFERROR(IF(AND(INDEX(Tab_DaBa[],MATCH(CONCATENATE(Liste!$C$3,$B$2825,$B$2883),Data!$BO:$BO,0)-2,28)&lt;&gt;"",INDEX(Tab_DaBa[],MATCH(CONCATENATE(Liste!$C$3,$B$2825,$B$2883),Data!$BO:$BO,0)-2,33)=""),"PFH [1/h] = "&amp;10^9*INDEX(Tab_DaBa[],MATCH(CONCATENATE(Liste!$C$3,$B$2825,$B$2883),Data!$BO:$BO,0)-2,16)&amp;"E-9",IF(INDEX(Tab_DaBa[],MATCH(CONCATENATE(Liste!$C$3,$B$2825,$B$2883),Data!$BO:$BO,0)-2,28)&lt;&gt;"","PFH [1/h] = "&amp;10^9*INDEX(Tab_DaBa[],MATCH(CONCATENATE(Liste!$C$3,$B$2825,$B$2883),Data!$BO:$BO,0)-2,36)&amp;"E-9","")),"")</f>
        <v>PFH [1/h] = 24,7E-9</v>
      </c>
      <c r="C2897" s="39"/>
      <c r="D2897" s="35" t="str">
        <f ca="1">IFERROR(IF(AND(INDEX(Tab_DaBa[],MATCH(CONCATENATE(Liste!$C$3,$B$2825,$B$2883),Data!$BO:$BO,0)-2,33)&lt;&gt;"",INDEX(Tab_DaBa[],MATCH(CONCATENATE(Liste!$C$3,$B$2825,$B$2883),Data!$BO:$BO,0)-2,38)=""),"PFH [1/h] = "&amp;10^9*INDEX(Tab_DaBa[],MATCH(CONCATENATE(Liste!$C$3,$B$2825,$B$2883),Data!$BO:$BO,0)-2,16)&amp;"E-9",IF(INDEX(Tab_DaBa[],MATCH(CONCATENATE(Liste!$C$3,$B$2825,$B$2883),Data!$BO:$BO,0)-2,33)&lt;&gt;"","PFH [1/h] = "&amp;10^9*INDEX(Tab_DaBa[],MATCH(CONCATENATE(Liste!$C$3,$B$2825,$B$2883),Data!$BO:$BO,0)-2,41)&amp;"E-9","")),"")</f>
        <v/>
      </c>
      <c r="E2897" s="37"/>
      <c r="F2897" s="35" t="str">
        <f ca="1">IFERROR(IF(AND(INDEX(Tab_DaBa[],MATCH(CONCATENATE(Liste!$C$3,$B$2825,$B$2883),Data!$BO:$BO,0)-2,38)&lt;&gt;"",INDEX(Tab_DaBa[],MATCH(CONCATENATE(Liste!$C$3,$B$2825,$B$2883),Data!$BO:$BO,0)-2,43)=""),"PFH [1/h] = "&amp;10^9*INDEX(Tab_DaBa[],MATCH(CONCATENATE(Liste!$C$3,$B$2825,$B$2883),Data!$BO:$BO,0)-2,16)&amp;"E-9",IF(INDEX(Tab_DaBa[],MATCH(CONCATENATE(Liste!$C$3,$B$2825,$B$2883),Data!$BO:$BO,0)-2,38)&lt;&gt;"","PFH [1/h] = "&amp;10^9*INDEX(Tab_DaBa[],MATCH(CONCATENATE(Liste!$C$3,$B$2825,$B$2883),Data!$BO:$BO,0)-2,46)&amp;"E-9","")),"")</f>
        <v/>
      </c>
      <c r="G2897" s="39"/>
      <c r="H2897" s="35" t="str">
        <f ca="1">IFERROR(IF(AND(INDEX(Tab_DaBa[],MATCH(CONCATENATE(Liste!$C$3,$B$2825,$B$2883),Data!$BO:$BO,0)-2,43)&lt;&gt;"",INDEX(Tab_DaBa[],MATCH(CONCATENATE(Liste!$C$3,$B$2825,$B$2883),Data!$BO:$BO,0)-2,48)=""),"PFH [1/h] = "&amp;10^9*INDEX(Tab_DaBa[],MATCH(CONCATENATE(Liste!$C$3,$B$2825,$B$2883),Data!$BO:$BO,0)-2,16)&amp;"E-9",IF(INDEX(Tab_DaBa[],MATCH(CONCATENATE(Liste!$C$3,$B$2825,$B$2883),Data!$BO:$BO,0)-2,43)&lt;&gt;"","PFH [1/h] = "&amp;10^9*INDEX(Tab_DaBa[],MATCH(CONCATENATE(Liste!$C$3,$B$2825,$B$2883),Data!$BO:$BO,0)-2,51)&amp;"E-9","")),"")</f>
        <v/>
      </c>
      <c r="I2897" s="39"/>
    </row>
    <row r="2898" spans="2:9" s="16" customFormat="1">
      <c r="B2898" s="33"/>
      <c r="C2898" s="33"/>
      <c r="D2898" s="33"/>
      <c r="E2898" s="33"/>
      <c r="F2898" s="33"/>
      <c r="G2898" s="33"/>
      <c r="H2898" s="33"/>
      <c r="I2898" s="33"/>
    </row>
    <row r="2899" spans="2:9" s="16" customFormat="1" ht="15.75">
      <c r="B2899" s="38" t="str">
        <f ca="1">IF(B2901="","",6)</f>
        <v/>
      </c>
      <c r="C2899" s="33"/>
      <c r="D2899" s="38" t="str">
        <f ca="1">IF(B2901="","",3)</f>
        <v/>
      </c>
      <c r="E2899" s="33"/>
      <c r="F2899" s="38" t="str">
        <f ca="1">IF(B2901="","",3)</f>
        <v/>
      </c>
      <c r="G2899" s="33"/>
      <c r="H2899" s="38" t="str">
        <f ca="1">IF(B2901="","",3)</f>
        <v/>
      </c>
      <c r="I2899" s="33"/>
    </row>
    <row r="2900" spans="2:9" s="16" customFormat="1" ht="15.75">
      <c r="B2900" s="39"/>
      <c r="C2900" s="33"/>
      <c r="D2900" s="33"/>
      <c r="E2900" s="33"/>
      <c r="F2900" s="33"/>
      <c r="G2900" s="33"/>
      <c r="H2900" s="33"/>
      <c r="I2900" s="33"/>
    </row>
    <row r="2901" spans="2:9" s="16" customFormat="1" ht="15.75">
      <c r="B2901" s="35" t="str">
        <f ca="1">IFERROR(IF(AND(INDEX(Tab_DaBa[],MATCH(CONCATENATE(Liste!$C$3,$B$2825,$B$2883),Data!$BO:$BO,0)-2,48)&lt;&gt;"",INDEX(Tab_DaBa[],MATCH(CONCATENATE(Liste!$C$3,$B$2825,$B$2883),Data!$BO:$BO,0)-2,53)=0),INDEX(Tab_DaBa[],MATCH(CONCATENATE(Liste!$C$3,$B$2825,$B$2883),Data!$BO:$BO,0)-2,14),IF(INDEX(Tab_DaBa[],MATCH(CONCATENATE(Liste!$C$3,$B$2825,$B$2883),Data!$BO:$BO,0)-2,48)&lt;&gt;"",INDEX(Tab_DaBa[],MATCH(CONCATENATE(Liste!$C$3,$B$2825,$B$2883),Data!$BO:$BO,0)-2,54),"")),"")</f>
        <v/>
      </c>
      <c r="C2901" s="39"/>
      <c r="D2901" s="35" t="str">
        <f ca="1">IFERROR(IF(AND(INDEX(Tab_DaBa[],MATCH(CONCATENATE(Liste!$C$3,$B$2825,$B$2883),Data!$BO:$BO,0)-2,53)&lt;&gt;"",INDEX(Tab_DaBa[],MATCH(CONCATENATE(Liste!$C$3,$B$2825,$B$2883),Data!$BO:$BO,0)-2,58)=0),INDEX(Tab_DaBa[],MATCH(CONCATENATE(Liste!$C$3,$B$2825,$B$2883),Data!$BO:$BO,0)-2,14),IF(INDEX(Tab_DaBa[],MATCH(CONCATENATE(Liste!$C$3,$B$2825,$B$2883),Data!$BO:$BO,0)-2,53)&lt;&gt;"",INDEX(Tab_DaBa[],MATCH(CONCATENATE(Liste!$C$3,$B$2825,$B$2883),Data!$BO:$BO,0)-2,59),"")),"")</f>
        <v/>
      </c>
      <c r="E2901" s="33"/>
      <c r="F2901" s="35" t="str">
        <f ca="1">IFERROR(IF(AND(INDEX(Tab_DaBa[],MATCH(CONCATENATE(Liste!$C$3,$B$2825,$B$2883),Data!$BO:$BO,0)-2,58)&lt;&gt;"",INDEX(Tab_DaBa[],MATCH(CONCATENATE(Liste!$C$3,$B$2825,$B$2883),Data!$BO:$BO,0)-2,63)=0),INDEX(Tab_DaBa[],MATCH(CONCATENATE(Liste!$C$3,$B$2825,$B$2883),Data!$BO:$BO,0)-2,14),IF(INDEX(Tab_DaBa[],MATCH(CONCATENATE(Liste!$C$3,$B$2825,$B$2883),Data!$BO:$BO,0)-2,58)&lt;&gt;"",INDEX(Tab_DaBa[],MATCH(CONCATENATE(Liste!$C$3,$B$2825,$B$2883),Data!$BO:$BO,0)-2,64),"")),"")</f>
        <v/>
      </c>
      <c r="G2901" s="39"/>
      <c r="H2901" s="35" t="str">
        <f ca="1">IFERROR(IF(INDEX(Tab_DaBa[],MATCH(CONCATENATE(Liste!$C$3,$B$2825,$B$2883),Data!$BO:$BO,0)-2,63)&lt;&gt;"",INDEX(Tab_DaBa[],MATCH(CONCATENATE(Liste!$C$3,$B$2825,$B$2883),Data!$BO:$BO,0)-2,14),""),"")</f>
        <v/>
      </c>
    </row>
    <row r="2902" spans="2:9" s="16" customFormat="1" ht="15.75">
      <c r="B2902" s="35" t="str">
        <f ca="1">IFERROR(IF(AND(INDEX(Tab_DaBa[],MATCH(CONCATENATE(Liste!$C$3,$B$2825,$B$2883),Data!$BO:$BO,0)-2,48)&lt;&gt;"",INDEX(Tab_DaBa[],MATCH(CONCATENATE(Liste!$C$3,$B$2825,$B$2883),Data!$BO:$BO,0)-2,53)=0),INDEX(Tab_DaBa[],MATCH(CONCATENATE(Liste!$C$3,$B$2825,$B$2883),Data!$BO:$BO,0)-2,12),IF(INDEX(Tab_DaBa[],MATCH(CONCATENATE(Liste!$C$3,$B$2825,$B$2883),Data!$BO:$BO,0)-2,48)&lt;&gt;"",INDEX(Tab_DaBa[],MATCH(CONCATENATE(Liste!$C$3,$B$2825,$B$2883),Data!$BO:$BO,0)-2,52),"")),"")</f>
        <v/>
      </c>
      <c r="C2902" s="39"/>
      <c r="D2902" s="35" t="str">
        <f ca="1">IFERROR(IF(AND(INDEX(Tab_DaBa[],MATCH(CONCATENATE(Liste!$C$3,$B$2825,$B$2883),Data!$BO:$BO,0)-2,53)&lt;&gt;"",INDEX(Tab_DaBa[],MATCH(CONCATENATE(Liste!$C$3,$B$2825,$B$2883),Data!$BO:$BO,0)-2,58)=0),INDEX(Tab_DaBa[],MATCH(CONCATENATE(Liste!$C$3,$B$2825,$B$2883),Data!$BO:$BO,0)-2,12),IF(INDEX(Tab_DaBa[],MATCH(CONCATENATE(Liste!$C$3,$B$2825,$B$2883),Data!$BO:$BO,0)-2,53)&lt;&gt;"",INDEX(Tab_DaBa[],MATCH(CONCATENATE(Liste!$C$3,$B$2825,$B$2883),Data!$BO:$BO,0)-2,57),"")),"")</f>
        <v/>
      </c>
      <c r="E2902" s="37"/>
      <c r="F2902" s="35" t="str">
        <f ca="1">IFERROR(IF(AND(INDEX(Tab_DaBa[],MATCH(CONCATENATE(Liste!$C$3,$B$2825,$B$2883),Data!$BO:$BO,0)-2,58)&lt;&gt;"",INDEX(Tab_DaBa[],MATCH(CONCATENATE(Liste!$C$3,$B$2825,$B$2883),Data!$BO:$BO,0)-2,63)=0),INDEX(Tab_DaBa[],MATCH(CONCATENATE(Liste!$C$3,$B$2825,$B$2883),Data!$BO:$BO,0)-2,12),IF(INDEX(Tab_DaBa[],MATCH(CONCATENATE(Liste!$C$3,$B$2825,$B$2883),Data!$BO:$BO,0)-2,58)&lt;&gt;"",INDEX(Tab_DaBa[],MATCH(CONCATENATE(Liste!$C$3,$B$2825,$B$2883),Data!$BO:$BO,0)-2,62),"")),"")</f>
        <v/>
      </c>
      <c r="G2902" s="39"/>
      <c r="H2902" s="35" t="str">
        <f ca="1">IFERROR(IF(INDEX(Tab_DaBa[],MATCH(CONCATENATE(Liste!$C$3,$B$2825,$B$2883),Data!$BO:$BO,0)-2,63)&lt;&gt;"",INDEX(Tab_DaBa[],MATCH(CONCATENATE(Liste!$C$3,$B$2825,$B$2883),Data!$BO:$BO,0)-2,12),""),"")</f>
        <v/>
      </c>
    </row>
    <row r="2903" spans="2:9" s="16" customFormat="1" ht="15.75">
      <c r="B2903" s="35" t="str">
        <f ca="1">IFERROR(IF(AND(INDEX(Tab_DaBa[],MATCH(CONCATENATE(Liste!$C$3,$B$2825,$B$2883),Data!$BO:$BO,0)-2,48)&lt;&gt;"",INDEX(Tab_DaBa[],MATCH(CONCATENATE(Liste!$C$3,$B$2825,$B$2883),Data!$BO:$BO,0)-2,53)=""),INDEX(Tab_DaBa[],MATCH(CONCATENATE(Liste!$C$3,$B$2825,$B$2883),Data!$BO:$BO,0)-2,13),IF(INDEX(Tab_DaBa[],MATCH(CONCATENATE(Liste!$C$3,$B$2825,$B$2883),Data!$BO:$BO,0)-2,48)&lt;&gt;"",INDEX(Tab_DaBa[],MATCH(CONCATENATE(Liste!$C$3,$B$2825,$B$2883),Data!$BO:$BO,0)-2,53),"")),"")</f>
        <v/>
      </c>
      <c r="C2903" s="38" t="str">
        <f ca="1">IF(D2901="","",4)</f>
        <v/>
      </c>
      <c r="D2903" s="35" t="str">
        <f ca="1">IFERROR(IF(AND(INDEX(Tab_DaBa[],MATCH(CONCATENATE(Liste!$C$3,$B$2825,$B$2883),Data!$BO:$BO,0)-2,53)&lt;&gt;"",INDEX(Tab_DaBa[],MATCH(CONCATENATE(Liste!$C$3,$B$2825,$B$2883),Data!$BO:$BO,0)-2,58)=""),INDEX(Tab_DaBa[],MATCH(CONCATENATE(Liste!$C$3,$B$2825,$B$2883),Data!$BO:$BO,0)-2,13),IF(INDEX(Tab_DaBa[],MATCH(CONCATENATE(Liste!$C$3,$B$2825,$B$2883),Data!$BO:$BO,0)-2,53)&lt;&gt;"",INDEX(Tab_DaBa[],MATCH(CONCATENATE(Liste!$C$3,$B$2825,$B$2883),Data!$BO:$BO,0)-2,58),"")),"")</f>
        <v/>
      </c>
      <c r="E2903" s="38" t="str">
        <f ca="1">IF(F2901="","",4)</f>
        <v/>
      </c>
      <c r="F2903" s="35" t="str">
        <f ca="1">IFERROR(IF(AND(INDEX(Tab_DaBa[],MATCH(CONCATENATE(Liste!$C$3,$B$2825,$B$2883),Data!$BO:$BO,0)-2,58)&lt;&gt;"",INDEX(Tab_DaBa[],MATCH(CONCATENATE(Liste!$C$3,$B$2825,$B$2883),Data!$BO:$BO,0)-2,63)=""),INDEX(Tab_DaBa[],MATCH(CONCATENATE(Liste!$C$3,$B$2825,$B$2883),Data!$BO:$BO,0)-2,13),IF(INDEX(Tab_DaBa[],MATCH(CONCATENATE(Liste!$C$3,$B$2825,$B$2883),Data!$BO:$BO,0)-2,58)&lt;&gt;"",INDEX(Tab_DaBa[],MATCH(CONCATENATE(Liste!$C$3,$B$2825,$B$2883),Data!$BO:$BO,0)-2,63),"")),"")</f>
        <v/>
      </c>
      <c r="G2903" s="38" t="str">
        <f ca="1">IF(H2901="","",4)</f>
        <v/>
      </c>
      <c r="H2903" s="35" t="str">
        <f ca="1">IFERROR(IF(INDEX(Tab_DaBa[],MATCH(CONCATENATE(Liste!$C$3,$B$2825,$B$2883),Data!$BO:$BO,0)-2,63)&lt;&gt;"",INDEX(Tab_DaBa[],MATCH(CONCATENATE(Liste!$C$3,$B$2825,$B$2883),Data!$BO:$BO,0)-2,13),""),"")</f>
        <v/>
      </c>
    </row>
    <row r="2904" spans="2:9" s="16" customFormat="1" ht="15.75">
      <c r="B2904" s="35" t="str">
        <f ca="1">IFERROR(IF(AND(INDEX(Tab_DaBa[],MATCH(CONCATENATE(Liste!$C$3,$B$2825,$B$2883),Data!$BO:$BO,0)-2,48)&lt;&gt;"",INDEX(Tab_DaBa[],MATCH(CONCATENATE(Liste!$C$3,$B$2825,$B$2883),Data!$BO:$BO,0)-2,53)=""),"Performance Level: "&amp;INDEX(Tab_DaBa[],MATCH(CONCATENATE(Liste!$C$3,$B$2825,$B$2883),Data!$BO:$BO,0)-2,15),IF(INDEX(Tab_DaBa[],MATCH(CONCATENATE(Liste!$C$3,$B$2825,$B$2883),Data!$BO:$BO,0)-2,48)&lt;&gt;"","Performance Level: "&amp;INDEX(Tab_DaBa[],MATCH(CONCATENATE(Liste!$C$3,$B$2825,$B$2883),Data!$BO:$BO,0)-2,55),"")),"")</f>
        <v/>
      </c>
      <c r="C2904" s="39"/>
      <c r="D2904" s="35" t="str">
        <f ca="1">IFERROR(IF(AND(INDEX(Tab_DaBa[],MATCH(CONCATENATE(Liste!$C$3,$B$2825,$B$2883),Data!$BO:$BO,0)-2,53)&lt;&gt;"",INDEX(Tab_DaBa[],MATCH(CONCATENATE(Liste!$C$3,$B$2825,$B$2883),Data!$BO:$BO,0)-2,58)=""),"Performance Level: "&amp;INDEX(Tab_DaBa[],MATCH(CONCATENATE(Liste!$C$3,$B$2825,$B$2883),Data!$BO:$BO,0)-2,15),IF(INDEX(Tab_DaBa[],MATCH(CONCATENATE(Liste!$C$3,$B$2825,$B$2883),Data!$BO:$BO,0)-2,53)&lt;&gt;"","Performance Level: "&amp;INDEX(Tab_DaBa[],MATCH(CONCATENATE(Liste!$C$3,$B$2825,$B$2883),Data!$BO:$BO,0)-2,60),"")),"")</f>
        <v/>
      </c>
      <c r="E2904" s="37"/>
      <c r="F2904" s="35" t="str">
        <f ca="1">IFERROR(IF(AND(INDEX(Tab_DaBa[],MATCH(CONCATENATE(Liste!$C$3,$B$2825,$B$2883),Data!$BO:$BO,0)-2,58)&lt;&gt;"",INDEX(Tab_DaBa[],MATCH(CONCATENATE(Liste!$C$3,$B$2825,$B$2883),Data!$BO:$BO,0)-2,63)=""),"Performance Level: "&amp;INDEX(Tab_DaBa[],MATCH(CONCATENATE(Liste!$C$3,$B$2825,$B$2883),Data!$BO:$BO,0)-2,15),IF(INDEX(Tab_DaBa[],MATCH(CONCATENATE(Liste!$C$3,$B$2825,$B$2883),Data!$BO:$BO,0)-2,58)&lt;&gt;"","Performance Level: "&amp;INDEX(Tab_DaBa[],MATCH(CONCATENATE(Liste!$C$3,$B$2825,$B$2883),Data!$BO:$BO,0)-2,65),"")),"")</f>
        <v/>
      </c>
      <c r="G2904" s="39"/>
      <c r="H2904" s="35" t="str">
        <f ca="1">IFERROR(IF(INDEX(Tab_DaBa[],MATCH(CONCATENATE(Liste!$C$3,$B$2825,$B$2883),Data!$BO:$BO,0)-2,63)&lt;&gt;"","Performance Level: "&amp;INDEX(Tab_DaBa[],MATCH(CONCATENATE(Liste!$C$3,$B$2825,$B$2883),Data!$BO:$BO,0)-2,15),""),"")</f>
        <v/>
      </c>
    </row>
    <row r="2905" spans="2:9" s="16" customFormat="1" ht="15.75">
      <c r="B2905" s="35" t="str">
        <f ca="1">IFERROR(IF(AND(INDEX(Tab_DaBa[],MATCH(CONCATENATE(Liste!$C$3,$B$2825,$B$2883),Data!$BO:$BO,0)-2,48)&lt;&gt;"",INDEX(Tab_DaBa[],MATCH(CONCATENATE(Liste!$C$3,$B$2825,$B$2883),Data!$BO:$BO,0)-2,53)=""),"PFH [1/h] = "&amp;10^9*INDEX(Tab_DaBa[],MATCH(CONCATENATE(Liste!$C$3,$B$2825,$B$2883),Data!$BO:$BO,0)-2,16)&amp;"E-9",IF(INDEX(Tab_DaBa[],MATCH(CONCATENATE(Liste!$C$3,$B$2825,$B$2883),Data!$BO:$BO,0)-2,48)&lt;&gt;"","PFH [1/h] = "&amp;10^9*INDEX(Tab_DaBa[],MATCH(CONCATENATE(Liste!$C$3,$B$2825,$B$2883),Data!$BO:$BO,0)-2,56)&amp;"E-9","")),"")</f>
        <v/>
      </c>
      <c r="C2905" s="39"/>
      <c r="D2905" s="35" t="str">
        <f ca="1">IFERROR(IF(AND(INDEX(Tab_DaBa[],MATCH(CONCATENATE(Liste!$C$3,$B$2825,$B$2883),Data!$BO:$BO,0)-2,53)&lt;&gt;"",INDEX(Tab_DaBa[],MATCH(CONCATENATE(Liste!$C$3,$B$2825,$B$2883),Data!$BO:$BO,0)-2,58)=""),"PFH [1/h] = "&amp;10^9*INDEX(Tab_DaBa[],MATCH(CONCATENATE(Liste!$C$3,$B$2825,$B$2883),Data!$BO:$BO,0)-2,16)&amp;"E-9",IF(INDEX(Tab_DaBa[],MATCH(CONCATENATE(Liste!$C$3,$B$2825,$B$2883),Data!$BO:$BO,0)-2,53)&lt;&gt;"","PFH [1/h] = "&amp;10^9*INDEX(Tab_DaBa[],MATCH(CONCATENATE(Liste!$C$3,$B$2825,$B$2883),Data!$BO:$BO,0)-2,61)&amp;"E-9","")),"")</f>
        <v/>
      </c>
      <c r="E2905" s="37"/>
      <c r="F2905" s="35" t="str">
        <f ca="1">IFERROR(IF(AND(INDEX(Tab_DaBa[],MATCH(CONCATENATE(Liste!$C$3,$B$2825,$B$2883),Data!$BO:$BO,0)-2,58)&lt;&gt;"",INDEX(Tab_DaBa[],MATCH(CONCATENATE(Liste!$C$3,$B$2825,$B$2883),Data!$BO:$BO,0)-2,63)=""),"PFH [1/h] = "&amp;10^9*INDEX(Tab_DaBa[],MATCH(CONCATENATE(Liste!$C$3,$B$2825,$B$2883),Data!$BO:$BO,0)-2,16)&amp;"E-9",IF(INDEX(Tab_DaBa[],MATCH(CONCATENATE(Liste!$C$3,$B$2825,$B$2883),Data!$BO:$BO,0)-2,58)&lt;&gt;"","PFH [1/h] = "&amp;10^9*INDEX(Tab_DaBa[],MATCH(CONCATENATE(Liste!$C$3,$B$2825,$B$2883),Data!$BO:$BO,0)-2,66)&amp;"E-9","")),"")</f>
        <v/>
      </c>
      <c r="G2905" s="39"/>
      <c r="H2905" s="35" t="str">
        <f ca="1">IFERROR(IF(INDEX(Tab_DaBa[],MATCH(CONCATENATE(Liste!$C$3,$B$2825,$B$2883),Data!$BO:$BO,0)-2,63)&lt;&gt;"","PFH [1/h] = "&amp;10^9*INDEX(Tab_DaBa[],MATCH(CONCATENATE(Liste!$C$3,$B$2825,$B$2883),Data!$BO:$BO,0)-2,16)&amp;"E-9",""),"")</f>
        <v/>
      </c>
    </row>
    <row r="2906" spans="2:9" s="16" customFormat="1"/>
    <row r="2907" spans="2:9" s="16" customFormat="1">
      <c r="B2907" s="43" t="str">
        <f ca="1">IF(D2907="","","Erforderlich")</f>
        <v>Erforderlich</v>
      </c>
      <c r="D2907" s="44" t="str">
        <f ca="1">IFERROR("Performance Level: "&amp;INDEX(Tab_DaBa[],MATCH(CONCATENATE(Liste!$C$3,$B$2825,$B$2883),Data!$BO:$BO,0)-2,4),"")</f>
        <v>Performance Level: PLr_ges4_3</v>
      </c>
    </row>
    <row r="2908" spans="2:9" s="16" customFormat="1">
      <c r="B2908" s="45"/>
    </row>
    <row r="2909" spans="2:9" s="16" customFormat="1">
      <c r="B2909" s="46" t="str">
        <f ca="1">IF(D2909="","","Erreicht")</f>
        <v>Erreicht</v>
      </c>
      <c r="D2909" s="47" t="str">
        <f ca="1">IFERROR("Performance Level: "&amp;INDEX(Tab_DaBa[],MATCH(CONCATENATE(Liste!$C$3,$B$2825,$B$2883),Data!$BO:$BO,0)-2,5)&amp;"          PFH [1/h] = "&amp;10^9*INDEX(Tab_DaBa[],MATCH(CONCATENATE(Liste!$C$3,$B$2825,$B$2883),Data!$BO:$BO,0)-2,6)&amp;"E-9","")</f>
        <v>Performance Level: Pl_ges4_3          PFH [1/h] = 71,7E-9</v>
      </c>
    </row>
    <row r="2910" spans="2:9" s="16" customFormat="1"/>
    <row r="2911" spans="2:9" s="16" customFormat="1">
      <c r="B2911" s="42" t="str">
        <f ca="1">IFERROR(IF(4&gt;COUNTIF(Data!$BP:$BP,CONCATENATE(Liste!$C$3,$B$2825)),"",INDEX(Tab_DaBa[],MATCH(CONCATENATE(Liste!$C$3,$B$2825),Data!$BP:$BP,0)+1,3)),"")</f>
        <v>11.4 Test11 (E+4L+A)</v>
      </c>
    </row>
    <row r="2912" spans="2:9" s="16" customFormat="1"/>
    <row r="2913" spans="2:9" s="16" customFormat="1" ht="15.75">
      <c r="B2913" s="35" t="str">
        <f ca="1">IFERROR(INDEX(Tab_DaBa[],MATCH(CONCATENATE(Liste!$C$3,$B$2825,$B$2911),Data!$BO:$BO,0)-2,9),"")</f>
        <v>Eingang</v>
      </c>
      <c r="C2913" s="54"/>
      <c r="D2913" s="35" t="str">
        <f ca="1">IFERROR(IF(INDEX(Tab_DaBa[],MATCH(CONCATENATE(Liste!$C$3,$B$2825,$B$2911),Data!$BO:$BO,0)-2,18)=0,INDEX(Tab_DaBa[],MATCH(CONCATENATE(Liste!$C$3,$B$2825,$B$2911),Data!$BO:$BO,0)-2,14),INDEX(Tab_DaBa[],MATCH(CONCATENATE(Liste!$C$3,$B$2825,$B$2911),Data!$BO:$BO,0)-2,19)),"")</f>
        <v>Logik 01</v>
      </c>
      <c r="E2913" s="33"/>
      <c r="F2913" s="35" t="str">
        <f ca="1">IFERROR(IF(AND(INDEX(Tab_DaBa[],MATCH(CONCATENATE(Liste!$C$3,$B$2825,$B$2911),Data!$BO:$BO,0)-2,18)&lt;&gt;"",INDEX(Tab_DaBa[],MATCH(CONCATENATE(Liste!$C$3,$B$2825,$B$2911),Data!$BO:$BO,0)-2,23)=0),INDEX(Tab_DaBa[],MATCH(CONCATENATE(Liste!$C$3,$B$2825,$B$2911),Data!$BO:$BO,0)-2,14),IF(INDEX(Tab_DaBa[],MATCH(CONCATENATE(Liste!$C$3,$B$2825,$B$2911),Data!$BO:$BO,0)-2,23)&lt;&gt;"",INDEX(Tab_DaBa[],MATCH(CONCATENATE(Liste!$C$3,$B$2825,$B$2911),Data!$BO:$BO,0)-2,24),"")),"")</f>
        <v>Logik 02</v>
      </c>
      <c r="G2913" s="39"/>
      <c r="H2913" s="35" t="str">
        <f ca="1">IFERROR(IF(AND(INDEX(Tab_DaBa[],MATCH(CONCATENATE(Liste!$C$3,$B$2825,$B$2911),Data!$BO:$BO,0)-2,23)&lt;&gt;"",INDEX(Tab_DaBa[],MATCH(CONCATENATE(Liste!$C$3,$B$2825,$B$2911),Data!$BO:$BO,0)-2,28)=0),INDEX(Tab_DaBa[],MATCH(CONCATENATE(Liste!$C$3,$B$2825,$B$2911),Data!$BO:$BO,0)-2,14),IF(INDEX(Tab_DaBa[],MATCH(CONCATENATE(Liste!$C$3,$B$2825,$B$2911),Data!$BO:$BO,0)-2,23)&lt;&gt;"",INDEX(Tab_DaBa[],MATCH(CONCATENATE(Liste!$C$3,$B$2825,$B$2911),Data!$BO:$BO,0)-2,29),"")),"")</f>
        <v>Logik 03</v>
      </c>
      <c r="I2913" s="39"/>
    </row>
    <row r="2914" spans="2:9" s="16" customFormat="1" ht="15.75">
      <c r="B2914" s="35" t="str">
        <f ca="1">IFERROR(INDEX(Tab_DaBa[],MATCH(CONCATENATE(Liste!$C$3,$B$2825,$B$2911),Data!$BO:$BO,0)-2,7),"")</f>
        <v>eeee-33_4</v>
      </c>
      <c r="C2914" s="54"/>
      <c r="D2914" s="35" t="str">
        <f ca="1">IFERROR(IF(INDEX(Tab_DaBa[],MATCH(CONCATENATE(Liste!$C$3,$B$2825,$B$2911),Data!$BO:$BO,0)-2,18)="",INDEX(Tab_DaBa[],MATCH(CONCATENATE(Liste!$C$3,$B$2825,$B$2911),Data!$BO:$BO,0)-2,12),INDEX(Tab_DaBa[],MATCH(CONCATENATE(Liste!$C$3,$B$2825,$B$2911),Data!$BO:$BO,0)-2,17)),"")</f>
        <v>Log01-04_04</v>
      </c>
      <c r="E2914" s="36"/>
      <c r="F2914" s="35" t="str">
        <f ca="1">IFERROR(IF(AND(INDEX(Tab_DaBa[],MATCH(CONCATENATE(Liste!$C$3,$B$2825,$B$2911),Data!$BO:$BO,0)-2,18)&lt;&gt;"",INDEX(Tab_DaBa[],MATCH(CONCATENATE(Liste!$C$3,$B$2825,$B$2911),Data!$BO:$BO,0)-2,23)=0),INDEX(Tab_DaBa[],MATCH(CONCATENATE(Liste!$C$3,$B$2825,$B$2911),Data!$BO:$BO,0)-2,12),IF(INDEX(Tab_DaBa[],MATCH(CONCATENATE(Liste!$C$3,$B$2825,$B$2911),Data!$BO:$BO,0)-2,23)&lt;&gt;"",INDEX(Tab_DaBa[],MATCH(CONCATENATE(Liste!$C$3,$B$2825,$B$2911),Data!$BO:$BO,0)-2,22),"")),"")</f>
        <v>Lo04-04_04</v>
      </c>
      <c r="G2914" s="39"/>
      <c r="H2914" s="35" t="str">
        <f ca="1">IFERROR(IF(AND(INDEX(Tab_DaBa[],MATCH(CONCATENATE(Liste!$C$3,$B$2825,$B$2911),Data!$BO:$BO,0)-2,23)&lt;&gt;"",INDEX(Tab_DaBa[],MATCH(CONCATENATE(Liste!$C$3,$B$2825,$B$2911),Data!$BO:$BO,0)-2,28)=0),INDEX(Tab_DaBa[],MATCH(CONCATENATE(Liste!$C$3,$B$2825,$B$2911),Data!$BO:$BO,0)-2,12),IF(INDEX(Tab_DaBa[],MATCH(CONCATENATE(Liste!$C$3,$B$2825,$B$2911),Data!$BO:$BO,0)-2,23)&lt;&gt;"",INDEX(Tab_DaBa[],MATCH(CONCATENATE(Liste!$C$3,$B$2825,$B$2911),Data!$BO:$BO,0)-2,27),"")),"")</f>
        <v>Lo04-44_04</v>
      </c>
      <c r="I2914" s="39"/>
    </row>
    <row r="2915" spans="2:9" s="16" customFormat="1" ht="15.75">
      <c r="B2915" s="35" t="str">
        <f ca="1">IFERROR(INDEX(Tab_DaBa[],MATCH(CONCATENATE(Liste!$C$3,$B$2825,$B$2911),Data!$BO:$BO,0)-2,8),"")</f>
        <v>Bez_Ein4_4</v>
      </c>
      <c r="C2915" s="40">
        <f ca="1">IF(D2913="","",4)</f>
        <v>4</v>
      </c>
      <c r="D2915" s="35" t="str">
        <f ca="1">IFERROR(IF(INDEX(Tab_DaBa[],MATCH(CONCATENATE(Liste!$C$3,$B$2825,$B$2911),Data!$BO:$BO,0)-2,18)="",INDEX(Tab_DaBa[],MATCH(CONCATENATE(Liste!$C$3,$B$2825,$B$2911),Data!$BO:$BO,0)-2,13),INDEX(Tab_DaBa[],MATCH(CONCATENATE(Liste!$C$3,$B$2825,$B$2911),Data!$BO:$BO,0)-2,18)),"")</f>
        <v>Bez_Log01_04_04</v>
      </c>
      <c r="E2915" s="40">
        <f ca="1">IF(F2913="","",4)</f>
        <v>4</v>
      </c>
      <c r="F2915" s="35" t="str">
        <f ca="1">IFERROR(IF(AND(INDEX(Tab_DaBa[],MATCH(CONCATENATE(Liste!$C$3,$B$2825,$B$2911),Data!$BO:$BO,0)-2,18)&lt;&gt;"",INDEX(Tab_DaBa[],MATCH(CONCATENATE(Liste!$C$3,$B$2825,$B$2911),Data!$BO:$BO,0)-2,23)=""),INDEX(Tab_DaBa[],MATCH(CONCATENATE(Liste!$C$3,$B$2825,$B$2911),Data!$BO:$BO,0)-2,13),IF(INDEX(Tab_DaBa[],MATCH(CONCATENATE(Liste!$C$3,$B$2825,$B$2911),Data!$BO:$BO,0)-2,23)&lt;&gt;"",INDEX(Tab_DaBa[],MATCH(CONCATENATE(Liste!$C$3,$B$2825,$B$2911),Data!$BO:$BO,0)-2,23),"")),"")</f>
        <v>Bez_Lo04_04</v>
      </c>
      <c r="G2915" s="38">
        <f ca="1">IF(H2913="","",4)</f>
        <v>4</v>
      </c>
      <c r="H2915" s="35" t="str">
        <f ca="1">IFERROR(IF(AND(INDEX(Tab_DaBa[],MATCH(CONCATENATE(Liste!$C$3,$B$2825,$B$2911),Data!$BO:$BO,0)-2,23)&lt;&gt;"",INDEX(Tab_DaBa[],MATCH(CONCATENATE(Liste!$C$3,$B$2825,$B$2911),Data!$BO:$BO,0)-2,28)=""),INDEX(Tab_DaBa[],MATCH(CONCATENATE(Liste!$C$3,$B$2825,$B$2911),Data!$BO:$BO,0)-2,13),IF(INDEX(Tab_DaBa[],MATCH(CONCATENATE(Liste!$C$3,$B$2825,$B$2911),Data!$BO:$BO,0)-2,23)&lt;&gt;"",INDEX(Tab_DaBa[],MATCH(CONCATENATE(Liste!$C$3,$B$2825,$B$2911),Data!$BO:$BO,0)-2,28),"")),"")</f>
        <v>Bez_Lo04_04</v>
      </c>
      <c r="I2915" s="38">
        <f ca="1">IF(B2921="","",6)</f>
        <v>6</v>
      </c>
    </row>
    <row r="2916" spans="2:9" s="16" customFormat="1" ht="15.75">
      <c r="B2916" s="35" t="str">
        <f ca="1">IFERROR("Performance Level: "&amp;INDEX(Tab_DaBa[],MATCH(CONCATENATE(Liste!$C$3,$B$2825,$B$2911),Data!$BO:$BO,0)-2,10),"")</f>
        <v>Performance Level: PL_Ein4_4</v>
      </c>
      <c r="C2916" s="54"/>
      <c r="D2916" s="35" t="str">
        <f ca="1">IFERROR(IF(INDEX(Tab_DaBa[],MATCH(CONCATENATE(Liste!$C$3,$B$2825,$B$2911),Data!$BO:$BO,0)-2,18)="","Performance Level: "&amp;INDEX(Tab_DaBa[],MATCH(CONCATENATE(Liste!$C$3,$B$2825,$B$2911),Data!$BO:$BO,0)-2,15),"Performance Level: "&amp;INDEX(Tab_DaBa[],MATCH(CONCATENATE(Liste!$C$3,$B$2825,$B$2911),Data!$BO:$BO,0)-2,20)),"")</f>
        <v>Performance Level: PL_Log01_04_04</v>
      </c>
      <c r="E2916" s="36"/>
      <c r="F2916" s="35" t="str">
        <f ca="1">IFERROR(IF(AND(INDEX(Tab_DaBa[],MATCH(CONCATENATE(Liste!$C$3,$B$2825,$B$2911),Data!$BO:$BO,0)-2,18)&lt;&gt;"",INDEX(Tab_DaBa[],MATCH(CONCATENATE(Liste!$C$3,$B$2825,$B$2911),Data!$BO:$BO,0)-2,23)=""),"Performance Level: "&amp;INDEX(Tab_DaBa[],MATCH(CONCATENATE(Liste!$C$3,$B$2825,$B$2911),Data!$BO:$BO,0)-2,15),IF(INDEX(Tab_DaBa[],MATCH(CONCATENATE(Liste!$C$3,$B$2825,$B$2911),Data!$BO:$BO,0)-2,23)&lt;&gt;"","Performance Level: "&amp;INDEX(Tab_DaBa[],MATCH(CONCATENATE(Liste!$C$3,$B$2825,$B$2911),Data!$BO:$BO,0)-2,25),"")),"")</f>
        <v>Performance Level: PL_Lo04_04</v>
      </c>
      <c r="G2916" s="39"/>
      <c r="H2916" s="35" t="str">
        <f ca="1">IFERROR(IF(AND(INDEX(Tab_DaBa[],MATCH(CONCATENATE(Liste!$C$3,$B$2825,$B$2911),Data!$BO:$BO,0)-2,23)&lt;&gt;"",INDEX(Tab_DaBa[],MATCH(CONCATENATE(Liste!$C$3,$B$2825,$B$2911),Data!$BO:$BO,0)-2,28)=""),"Performance Level: "&amp;INDEX(Tab_DaBa[],MATCH(CONCATENATE(Liste!$C$3,$B$2825,$B$2911),Data!$BO:$BO,0)-2,15),IF(INDEX(Tab_DaBa[],MATCH(CONCATENATE(Liste!$C$3,$B$2825,$B$2911),Data!$BO:$BO,0)-2,23)&lt;&gt;"","Performance Level: "&amp;INDEX(Tab_DaBa[],MATCH(CONCATENATE(Liste!$C$3,$B$2825,$B$2911),Data!$BO:$BO,0)-2,30),"")),"")</f>
        <v>Performance Level: PL_Lo04_04</v>
      </c>
      <c r="I2916" s="38"/>
    </row>
    <row r="2917" spans="2:9" s="16" customFormat="1" ht="15.75">
      <c r="B2917" s="53" t="str">
        <f ca="1">IFERROR("PFH [1/h] = "&amp;10^9*INDEX(Tab_DaBa[],MATCH(CONCATENATE(Liste!$C$3,$B$2825,$B$2911),Data!$BO:$BO,0)-2,11)&amp;"E-9","")</f>
        <v>PFH [1/h] = 42,9E-9</v>
      </c>
      <c r="C2917" s="54"/>
      <c r="D2917" s="35" t="str">
        <f ca="1">IFERROR(IF(INDEX(Tab_DaBa[],MATCH(CONCATENATE(Liste!$C$3,$B$2825,$B$2911),Data!$BO:$BO,0)-2,18)="","PFH [1/h] = "&amp;10^9*INDEX(Tab_DaBa[],MATCH(CONCATENATE(Liste!$C$3,$B$2825,$B$2911),Data!$BO:$BO,0)-2,16)&amp;"E-9","PFH [1/h] = "&amp;10^9*INDEX(Tab_DaBa[],MATCH(CONCATENATE(Liste!$C$3,$B$2825,$B$2911),Data!$BO:$BO,0)-2,21)&amp;"E-9"),"")</f>
        <v>PFH [1/h] = 4,19E-9</v>
      </c>
      <c r="E2917" s="36"/>
      <c r="F2917" s="35" t="str">
        <f ca="1">IFERROR(IF(AND(INDEX(Tab_DaBa[],MATCH(CONCATENATE(Liste!$C$3,$B$2825,$B$2911),Data!$BO:$BO,0)-2,18)&lt;&gt;"",INDEX(Tab_DaBa[],MATCH(CONCATENATE(Liste!$C$3,$B$2825,$B$2911),Data!$BO:$BO,0)-2,23)=""),"PFH [1/h] = "&amp;10^9*INDEX(Tab_DaBa[],MATCH(CONCATENATE(Liste!$C$3,$B$2825,$B$2911),Data!$BO:$BO,0)-2,16)&amp;"E-9",IF(INDEX(Tab_DaBa[],MATCH(CONCATENATE(Liste!$C$3,$B$2825,$B$2911),Data!$BO:$BO,0)-2,23)&lt;&gt;"","PFH [1/h] = "&amp;10^9*INDEX(Tab_DaBa[],MATCH(CONCATENATE(Liste!$C$3,$B$2825,$B$2911),Data!$BO:$BO,0)-2,26)&amp;"E-9","")),"")</f>
        <v>PFH [1/h] = 4,19E-9</v>
      </c>
      <c r="G2917" s="39"/>
      <c r="H2917" s="35" t="str">
        <f ca="1">IFERROR(IF(AND(INDEX(Tab_DaBa[],MATCH(CONCATENATE(Liste!$C$3,$B$2825,$B$2911),Data!$BO:$BO,0)-2,23)&lt;&gt;"",INDEX(Tab_DaBa[],MATCH(CONCATENATE(Liste!$C$3,$B$2825,$B$2911),Data!$BO:$BO,0)-2,28)=""),"PFH [1/h] = "&amp;10^9*INDEX(Tab_DaBa[],MATCH(CONCATENATE(Liste!$C$3,$B$2825,$B$2911),Data!$BO:$BO,0)-2,16)&amp;"E-9",IF(INDEX(Tab_DaBa[],MATCH(CONCATENATE(Liste!$C$3,$B$2825,$B$2911),Data!$BO:$BO,0)-2,23)&lt;&gt;"","PFH [1/h] = "&amp;10^9*INDEX(Tab_DaBa[],MATCH(CONCATENATE(Liste!$C$3,$B$2825,$B$2911),Data!$BO:$BO,0)-2,31)&amp;"E-9","")),"")</f>
        <v>PFH [1/h] = 4,19E-9</v>
      </c>
      <c r="I2917" s="39"/>
    </row>
    <row r="2918" spans="2:9" s="16" customFormat="1">
      <c r="B2918" s="33"/>
      <c r="C2918" s="34"/>
      <c r="D2918" s="33"/>
      <c r="E2918" s="33"/>
      <c r="F2918" s="33"/>
      <c r="G2918" s="33"/>
      <c r="H2918" s="33"/>
      <c r="I2918" s="33"/>
    </row>
    <row r="2919" spans="2:9" s="16" customFormat="1" ht="15.75">
      <c r="B2919" s="38">
        <f ca="1">IF(B2921="","",6)</f>
        <v>6</v>
      </c>
      <c r="C2919" s="34"/>
      <c r="D2919" s="38">
        <f ca="1">IF(B2921="","",3)</f>
        <v>3</v>
      </c>
      <c r="E2919" s="33"/>
      <c r="F2919" s="38">
        <f ca="1">IF(B2921="","",3)</f>
        <v>3</v>
      </c>
      <c r="G2919" s="33"/>
      <c r="H2919" s="38">
        <f ca="1">IF(B2921="","",3)</f>
        <v>3</v>
      </c>
      <c r="I2919" s="33"/>
    </row>
    <row r="2920" spans="2:9" s="16" customFormat="1" ht="15.75">
      <c r="B2920" s="39"/>
      <c r="C2920" s="33"/>
      <c r="D2920" s="33"/>
      <c r="E2920" s="33"/>
      <c r="F2920" s="33"/>
      <c r="G2920" s="33"/>
      <c r="H2920" s="33"/>
      <c r="I2920" s="33"/>
    </row>
    <row r="2921" spans="2:9" s="16" customFormat="1" ht="15.75">
      <c r="B2921" s="35" t="str">
        <f ca="1">IFERROR(IF(AND(INDEX(Tab_DaBa[],MATCH(CONCATENATE(Liste!$C$3,$B$2825,$B$2911),Data!$BO:$BO,0)-2,28)&lt;&gt;"",INDEX(Tab_DaBa[],MATCH(CONCATENATE(Liste!$C$3,$B$2825,$B$2911),Data!$BO:$BO,0)-2,33)=0),INDEX(Tab_DaBa[],MATCH(CONCATENATE(Liste!$C$3,$B$2825,$B$2911),Data!$BO:$BO,0)-2,14),IF(INDEX(Tab_DaBa[],MATCH(CONCATENATE(Liste!$C$3,$B$2825,$B$2911),Data!$BO:$BO,0)-2,28)&lt;&gt;"",INDEX(Tab_DaBa[],MATCH(CONCATENATE(Liste!$C$3,$B$2825,$B$2911),Data!$BO:$BO,0)-2,34),"")),"")</f>
        <v>Logik 04</v>
      </c>
      <c r="C2921" s="39"/>
      <c r="D2921" s="35" t="str">
        <f ca="1">IFERROR(IF(AND(INDEX(Tab_DaBa[],MATCH(CONCATENATE(Liste!$C$3,$B$2825,$B$2911),Data!$BO:$BO,0)-2,33)&lt;&gt;"",INDEX(Tab_DaBa[],MATCH(CONCATENATE(Liste!$C$3,$B$2825,$B$2911),Data!$BO:$BO,0)-2,38)=0),INDEX(Tab_DaBa[],MATCH(CONCATENATE(Liste!$C$3,$B$2825,$B$2911),Data!$BO:$BO,0)-2,14),IF(INDEX(Tab_DaBa[],MATCH(CONCATENATE(Liste!$C$3,$B$2825,$B$2911),Data!$BO:$BO,0)-2,33)&lt;&gt;"",INDEX(Tab_DaBa[],MATCH(CONCATENATE(Liste!$C$3,$B$2825,$B$2911),Data!$BO:$BO,0)-2,39),"")),"")</f>
        <v>Ausgang</v>
      </c>
      <c r="E2921" s="33"/>
      <c r="F2921" s="35" t="str">
        <f ca="1">IFERROR(IF(AND(INDEX(Tab_DaBa[],MATCH(CONCATENATE(Liste!$C$3,$B$2825,$B$2911),Data!$BO:$BO,0)-2,38)&lt;&gt;"",INDEX(Tab_DaBa[],MATCH(CONCATENATE(Liste!$C$3,$B$2825,$B$2911),Data!$BO:$BO,0)-2,43)=0),INDEX(Tab_DaBa[],MATCH(CONCATENATE(Liste!$C$3,$B$2825,$B$2911),Data!$BO:$BO,0)-2,14),IF(INDEX(Tab_DaBa[],MATCH(CONCATENATE(Liste!$C$3,$B$2825,$B$2911),Data!$BO:$BO,0)-2,38)&lt;&gt;"",INDEX(Tab_DaBa[],MATCH(CONCATENATE(Liste!$C$3,$B$2825,$B$2911),Data!$BO:$BO,0)-2,44),"")),"")</f>
        <v/>
      </c>
      <c r="G2921" s="39"/>
      <c r="H2921" s="35" t="str">
        <f ca="1">IFERROR(IF(AND(INDEX(Tab_DaBa[],MATCH(CONCATENATE(Liste!$C$3,$B$2825,$B$2911),Data!$BO:$BO,0)-2,43)&lt;&gt;"",INDEX(Tab_DaBa[],MATCH(CONCATENATE(Liste!$C$3,$B$2825,$B$2911),Data!$BO:$BO,0)-2,48)=0),INDEX(Tab_DaBa[],MATCH(CONCATENATE(Liste!$C$3,$B$2825,$B$2911),Data!$BO:$BO,0)-2,14),IF(INDEX(Tab_DaBa[],MATCH(CONCATENATE(Liste!$C$3,$B$2825,$B$2911),Data!$BO:$BO,0)-2,43)&lt;&gt;"",INDEX(Tab_DaBa[],MATCH(CONCATENATE(Liste!$C$3,$B$2825,$B$2911),Data!$BO:$BO,0)-2,49),"")),"")</f>
        <v/>
      </c>
      <c r="I2921" s="39"/>
    </row>
    <row r="2922" spans="2:9" s="16" customFormat="1" ht="15.75">
      <c r="B2922" s="35" t="str">
        <f ca="1">IFERROR(IF(AND(INDEX(Tab_DaBa[],MATCH(CONCATENATE(Liste!$C$3,$B$2825,$B$2911),Data!$BO:$BO,0)-2,28)&lt;&gt;"",INDEX(Tab_DaBa[],MATCH(CONCATENATE(Liste!$C$3,$B$2825,$B$2911),Data!$BO:$BO,0)-2,33)=0),INDEX(Tab_DaBa[],MATCH(CONCATENATE(Liste!$C$3,$B$2825,$B$2911),Data!$BO:$BO,0)-2,12),IF(INDEX(Tab_DaBa[],MATCH(CONCATENATE(Liste!$C$3,$B$2825,$B$2911),Data!$BO:$BO,0)-2,28)&lt;&gt;"",INDEX(Tab_DaBa[],MATCH(CONCATENATE(Liste!$C$3,$B$2825,$B$2911),Data!$BO:$BO,0)-2,32),"")),"")</f>
        <v>Lo04-44_04</v>
      </c>
      <c r="C2922" s="39"/>
      <c r="D2922" s="35" t="str">
        <f ca="1">IFERROR(IF(AND(INDEX(Tab_DaBa[],MATCH(CONCATENATE(Liste!$C$3,$B$2825,$B$2911),Data!$BO:$BO,0)-2,33)&lt;&gt;"",INDEX(Tab_DaBa[],MATCH(CONCATENATE(Liste!$C$3,$B$2825,$B$2911),Data!$BO:$BO,0)-2,38)=0),INDEX(Tab_DaBa[],MATCH(CONCATENATE(Liste!$C$3,$B$2825,$B$2911),Data!$BO:$BO,0)-2,12),IF(INDEX(Tab_DaBa[],MATCH(CONCATENATE(Liste!$C$3,$B$2825,$B$2911),Data!$BO:$BO,0)-2,33)&lt;&gt;"",INDEX(Tab_DaBa[],MATCH(CONCATENATE(Liste!$C$3,$B$2825,$B$2911),Data!$BO:$BO,0)-2,37),"")),"")</f>
        <v>aaaa-44_4</v>
      </c>
      <c r="E2922" s="37"/>
      <c r="F2922" s="35" t="str">
        <f ca="1">IFERROR(IF(AND(INDEX(Tab_DaBa[],MATCH(CONCATENATE(Liste!$C$3,$B$2825,$B$2911),Data!$BO:$BO,0)-2,38)&lt;&gt;"",INDEX(Tab_DaBa[],MATCH(CONCATENATE(Liste!$C$3,$B$2825,$B$2911),Data!$BO:$BO,0)-2,43)=0),INDEX(Tab_DaBa[],MATCH(CONCATENATE(Liste!$C$3,$B$2825,$B$2911),Data!$BO:$BO,0)-2,12),IF(INDEX(Tab_DaBa[],MATCH(CONCATENATE(Liste!$C$3,$B$2825,$B$2911),Data!$BO:$BO,0)-2,38)&lt;&gt;"",INDEX(Tab_DaBa[],MATCH(CONCATENATE(Liste!$C$3,$B$2825,$B$2911),Data!$BO:$BO,0)-2,42),"")),"")</f>
        <v/>
      </c>
      <c r="G2922" s="39"/>
      <c r="H2922" s="35" t="str">
        <f ca="1">IFERROR(IF(AND(INDEX(Tab_DaBa[],MATCH(CONCATENATE(Liste!$C$3,$B$2825,$B$2911),Data!$BO:$BO,0)-2,43)&lt;&gt;"",INDEX(Tab_DaBa[],MATCH(CONCATENATE(Liste!$C$3,$B$2825,$B$2911),Data!$BO:$BO,0)-2,48)=0),INDEX(Tab_DaBa[],MATCH(CONCATENATE(Liste!$C$3,$B$2825,$B$2911),Data!$BO:$BO,0)-2,12),IF(INDEX(Tab_DaBa[],MATCH(CONCATENATE(Liste!$C$3,$B$2825,$B$2911),Data!$BO:$BO,0)-2,43)&lt;&gt;"",INDEX(Tab_DaBa[],MATCH(CONCATENATE(Liste!$C$3,$B$2825,$B$2911),Data!$BO:$BO,0)-2,47),"")),"")</f>
        <v/>
      </c>
      <c r="I2922" s="39"/>
    </row>
    <row r="2923" spans="2:9" s="16" customFormat="1" ht="15.75">
      <c r="B2923" s="35" t="str">
        <f ca="1">IFERROR(IF(AND(INDEX(Tab_DaBa[],MATCH(CONCATENATE(Liste!$C$3,$B$2825,$B$2911),Data!$BO:$BO,0)-2,28)&lt;&gt;"",INDEX(Tab_DaBa[],MATCH(CONCATENATE(Liste!$C$3,$B$2825,$B$2911),Data!$BO:$BO,0)-2,33)=""),INDEX(Tab_DaBa[],MATCH(CONCATENATE(Liste!$C$3,$B$2825,$B$2911),Data!$BO:$BO,0)-2,13),IF(INDEX(Tab_DaBa[],MATCH(CONCATENATE(Liste!$C$3,$B$2825,$B$2911),Data!$BO:$BO,0)-2,28)&lt;&gt;"",INDEX(Tab_DaBa[],MATCH(CONCATENATE(Liste!$C$3,$B$2825,$B$2911),Data!$BO:$BO,0)-2,33),"")),"")</f>
        <v>Bez_Lo04_04</v>
      </c>
      <c r="C2923" s="38">
        <f ca="1">IF(D2921="","",4)</f>
        <v>4</v>
      </c>
      <c r="D2923" s="35" t="str">
        <f ca="1">IFERROR(IF(AND(INDEX(Tab_DaBa[],MATCH(CONCATENATE(Liste!$C$3,$B$2825,$B$2911),Data!$BO:$BO,0)-2,33)&lt;&gt;"",INDEX(Tab_DaBa[],MATCH(CONCATENATE(Liste!$C$3,$B$2825,$B$2911),Data!$BO:$BO,0)-2,38)=""),INDEX(Tab_DaBa[],MATCH(CONCATENATE(Liste!$C$3,$B$2825,$B$2911),Data!$BO:$BO,0)-2,13),IF(INDEX(Tab_DaBa[],MATCH(CONCATENATE(Liste!$C$3,$B$2825,$B$2911),Data!$BO:$BO,0)-2,33)&lt;&gt;"",INDEX(Tab_DaBa[],MATCH(CONCATENATE(Liste!$C$3,$B$2825,$B$2911),Data!$BO:$BO,0)-2,38),"")),"")</f>
        <v>Bez_Aus4_4</v>
      </c>
      <c r="E2923" s="38" t="str">
        <f ca="1">IF(F2921="","",4)</f>
        <v/>
      </c>
      <c r="F2923" s="35" t="str">
        <f ca="1">IFERROR(IF(AND(INDEX(Tab_DaBa[],MATCH(CONCATENATE(Liste!$C$3,$B$2825,$B$2911),Data!$BO:$BO,0)-2,38)&lt;&gt;"",INDEX(Tab_DaBa[],MATCH(CONCATENATE(Liste!$C$3,$B$2825,$B$2911),Data!$BO:$BO,0)-2,43)=""),INDEX(Tab_DaBa[],MATCH(CONCATENATE(Liste!$C$3,$B$2825,$B$2911),Data!$BO:$BO,0)-2,13),IF(INDEX(Tab_DaBa[],MATCH(CONCATENATE(Liste!$C$3,$B$2825,$B$2911),Data!$BO:$BO,0)-2,38)&lt;&gt;"",INDEX(Tab_DaBa[],MATCH(CONCATENATE(Liste!$C$3,$B$2825,$B$2911),Data!$BO:$BO,0)-2,43),"")),"")</f>
        <v/>
      </c>
      <c r="G2923" s="38" t="str">
        <f ca="1">IF(H2921="","",4)</f>
        <v/>
      </c>
      <c r="H2923" s="35" t="str">
        <f ca="1">IFERROR(IF(AND(INDEX(Tab_DaBa[],MATCH(CONCATENATE(Liste!$C$3,$B$2825,$B$2911),Data!$BO:$BO,0)-2,43)&lt;&gt;"",INDEX(Tab_DaBa[],MATCH(CONCATENATE(Liste!$C$3,$B$2825,$B$2911),Data!$BO:$BO,0)-2,48)=""),INDEX(Tab_DaBa[],MATCH(CONCATENATE(Liste!$C$3,$B$2825,$B$2911),Data!$BO:$BO,0)-2,13),IF(INDEX(Tab_DaBa[],MATCH(CONCATENATE(Liste!$C$3,$B$2825,$B$2911),Data!$BO:$BO,0)-2,43)&lt;&gt;"",INDEX(Tab_DaBa[],MATCH(CONCATENATE(Liste!$C$3,$B$2825,$B$2911),Data!$BO:$BO,0)-2,48),"")),"")</f>
        <v/>
      </c>
      <c r="I2923" s="38" t="str">
        <f ca="1">IF(B2929="","",6)</f>
        <v/>
      </c>
    </row>
    <row r="2924" spans="2:9" s="16" customFormat="1" ht="15.75">
      <c r="B2924" s="35" t="str">
        <f ca="1">IFERROR(IF(AND(INDEX(Tab_DaBa[],MATCH(CONCATENATE(Liste!$C$3,$B$2825,$B$2911),Data!$BO:$BO,0)-2,28)&lt;&gt;"",INDEX(Tab_DaBa[],MATCH(CONCATENATE(Liste!$C$3,$B$2825,$B$2911),Data!$BO:$BO,0)-2,33)=""),"Performance Level: "&amp;INDEX(Tab_DaBa[],MATCH(CONCATENATE(Liste!$C$3,$B$2825,$B$2911),Data!$BO:$BO,0)-2,15),IF(INDEX(Tab_DaBa[],MATCH(CONCATENATE(Liste!$C$3,$B$2825,$B$2911),Data!$BO:$BO,0)-2,28)&lt;&gt;"","Performance Level: "&amp;INDEX(Tab_DaBa[],MATCH(CONCATENATE(Liste!$C$3,$B$2825,$B$2911),Data!$BO:$BO,0)-2,35),"")),"")</f>
        <v>Performance Level: PL_Lo04_04</v>
      </c>
      <c r="C2924" s="39"/>
      <c r="D2924" s="35" t="str">
        <f ca="1">IFERROR(IF(AND(INDEX(Tab_DaBa[],MATCH(CONCATENATE(Liste!$C$3,$B$2825,$B$2911),Data!$BO:$BO,0)-2,33)&lt;&gt;"",INDEX(Tab_DaBa[],MATCH(CONCATENATE(Liste!$C$3,$B$2825,$B$2911),Data!$BO:$BO,0)-2,38)=""),"Performance Level: "&amp;INDEX(Tab_DaBa[],MATCH(CONCATENATE(Liste!$C$3,$B$2825,$B$2911),Data!$BO:$BO,0)-2,15),IF(INDEX(Tab_DaBa[],MATCH(CONCATENATE(Liste!$C$3,$B$2825,$B$2911),Data!$BO:$BO,0)-2,33)&lt;&gt;"","Performance Level: "&amp;INDEX(Tab_DaBa[],MATCH(CONCATENATE(Liste!$C$3,$B$2825,$B$2911),Data!$BO:$BO,0)-2,40),"")),"")</f>
        <v>Performance Level: PL_Aus4_4</v>
      </c>
      <c r="E2924" s="37"/>
      <c r="F2924" s="35" t="str">
        <f ca="1">IFERROR(IF(AND(INDEX(Tab_DaBa[],MATCH(CONCATENATE(Liste!$C$3,$B$2825,$B$2911),Data!$BO:$BO,0)-2,38)&lt;&gt;"",INDEX(Tab_DaBa[],MATCH(CONCATENATE(Liste!$C$3,$B$2825,$B$2911),Data!$BO:$BO,0)-2,43)=""),"Performance Level: "&amp;INDEX(Tab_DaBa[],MATCH(CONCATENATE(Liste!$C$3,$B$2825,$B$2911),Data!$BO:$BO,0)-2,15),IF(INDEX(Tab_DaBa[],MATCH(CONCATENATE(Liste!$C$3,$B$2825,$B$2911),Data!$BO:$BO,0)-2,38)&lt;&gt;"","Performance Level: "&amp;INDEX(Tab_DaBa[],MATCH(CONCATENATE(Liste!$C$3,$B$2825,$B$2911),Data!$BO:$BO,0)-2,45),"")),"")</f>
        <v/>
      </c>
      <c r="G2924" s="39"/>
      <c r="H2924" s="35" t="str">
        <f ca="1">IFERROR(IF(AND(INDEX(Tab_DaBa[],MATCH(CONCATENATE(Liste!$C$3,$B$2825,$B$2911),Data!$BO:$BO,0)-2,43)&lt;&gt;"",INDEX(Tab_DaBa[],MATCH(CONCATENATE(Liste!$C$3,$B$2825,$B$2911),Data!$BO:$BO,0)-2,48)=""),"Performance Level: "&amp;INDEX(Tab_DaBa[],MATCH(CONCATENATE(Liste!$C$3,$B$2825,$B$2911),Data!$BO:$BO,0)-2,15),IF(INDEX(Tab_DaBa[],MATCH(CONCATENATE(Liste!$C$3,$B$2825,$B$2911),Data!$BO:$BO,0)-2,43)&lt;&gt;"","Performance Level: "&amp;INDEX(Tab_DaBa[],MATCH(CONCATENATE(Liste!$C$3,$B$2825,$B$2911),Data!$BO:$BO,0)-2,50),"")),"")</f>
        <v/>
      </c>
      <c r="I2924" s="39"/>
    </row>
    <row r="2925" spans="2:9" s="16" customFormat="1" ht="15.75">
      <c r="B2925" s="35" t="str">
        <f ca="1">IFERROR(IF(AND(INDEX(Tab_DaBa[],MATCH(CONCATENATE(Liste!$C$3,$B$2825,$B$2911),Data!$BO:$BO,0)-2,28)&lt;&gt;"",INDEX(Tab_DaBa[],MATCH(CONCATENATE(Liste!$C$3,$B$2825,$B$2911),Data!$BO:$BO,0)-2,33)=""),"PFH [1/h] = "&amp;10^9*INDEX(Tab_DaBa[],MATCH(CONCATENATE(Liste!$C$3,$B$2825,$B$2911),Data!$BO:$BO,0)-2,16)&amp;"E-9",IF(INDEX(Tab_DaBa[],MATCH(CONCATENATE(Liste!$C$3,$B$2825,$B$2911),Data!$BO:$BO,0)-2,28)&lt;&gt;"","PFH [1/h] = "&amp;10^9*INDEX(Tab_DaBa[],MATCH(CONCATENATE(Liste!$C$3,$B$2825,$B$2911),Data!$BO:$BO,0)-2,36)&amp;"E-9","")),"")</f>
        <v>PFH [1/h] = 4,19E-9</v>
      </c>
      <c r="C2925" s="39"/>
      <c r="D2925" s="35" t="str">
        <f ca="1">IFERROR(IF(AND(INDEX(Tab_DaBa[],MATCH(CONCATENATE(Liste!$C$3,$B$2825,$B$2911),Data!$BO:$BO,0)-2,33)&lt;&gt;"",INDEX(Tab_DaBa[],MATCH(CONCATENATE(Liste!$C$3,$B$2825,$B$2911),Data!$BO:$BO,0)-2,38)=""),"PFH [1/h] = "&amp;10^9*INDEX(Tab_DaBa[],MATCH(CONCATENATE(Liste!$C$3,$B$2825,$B$2911),Data!$BO:$BO,0)-2,16)&amp;"E-9",IF(INDEX(Tab_DaBa[],MATCH(CONCATENATE(Liste!$C$3,$B$2825,$B$2911),Data!$BO:$BO,0)-2,33)&lt;&gt;"","PFH [1/h] = "&amp;10^9*INDEX(Tab_DaBa[],MATCH(CONCATENATE(Liste!$C$3,$B$2825,$B$2911),Data!$BO:$BO,0)-2,41)&amp;"E-9","")),"")</f>
        <v>PFH [1/h] = 24,7E-9</v>
      </c>
      <c r="E2925" s="37"/>
      <c r="F2925" s="35" t="str">
        <f ca="1">IFERROR(IF(AND(INDEX(Tab_DaBa[],MATCH(CONCATENATE(Liste!$C$3,$B$2825,$B$2911),Data!$BO:$BO,0)-2,38)&lt;&gt;"",INDEX(Tab_DaBa[],MATCH(CONCATENATE(Liste!$C$3,$B$2825,$B$2911),Data!$BO:$BO,0)-2,43)=""),"PFH [1/h] = "&amp;10^9*INDEX(Tab_DaBa[],MATCH(CONCATENATE(Liste!$C$3,$B$2825,$B$2911),Data!$BO:$BO,0)-2,16)&amp;"E-9",IF(INDEX(Tab_DaBa[],MATCH(CONCATENATE(Liste!$C$3,$B$2825,$B$2911),Data!$BO:$BO,0)-2,38)&lt;&gt;"","PFH [1/h] = "&amp;10^9*INDEX(Tab_DaBa[],MATCH(CONCATENATE(Liste!$C$3,$B$2825,$B$2911),Data!$BO:$BO,0)-2,46)&amp;"E-9","")),"")</f>
        <v/>
      </c>
      <c r="G2925" s="39"/>
      <c r="H2925" s="35" t="str">
        <f ca="1">IFERROR(IF(AND(INDEX(Tab_DaBa[],MATCH(CONCATENATE(Liste!$C$3,$B$2825,$B$2911),Data!$BO:$BO,0)-2,43)&lt;&gt;"",INDEX(Tab_DaBa[],MATCH(CONCATENATE(Liste!$C$3,$B$2825,$B$2911),Data!$BO:$BO,0)-2,48)=""),"PFH [1/h] = "&amp;10^9*INDEX(Tab_DaBa[],MATCH(CONCATENATE(Liste!$C$3,$B$2825,$B$2911),Data!$BO:$BO,0)-2,16)&amp;"E-9",IF(INDEX(Tab_DaBa[],MATCH(CONCATENATE(Liste!$C$3,$B$2825,$B$2911),Data!$BO:$BO,0)-2,43)&lt;&gt;"","PFH [1/h] = "&amp;10^9*INDEX(Tab_DaBa[],MATCH(CONCATENATE(Liste!$C$3,$B$2825,$B$2911),Data!$BO:$BO,0)-2,51)&amp;"E-9","")),"")</f>
        <v/>
      </c>
      <c r="I2925" s="39"/>
    </row>
    <row r="2926" spans="2:9" s="16" customFormat="1">
      <c r="B2926" s="33"/>
      <c r="C2926" s="33"/>
      <c r="D2926" s="33"/>
      <c r="E2926" s="33"/>
      <c r="F2926" s="33"/>
      <c r="G2926" s="33"/>
      <c r="H2926" s="33"/>
      <c r="I2926" s="33"/>
    </row>
    <row r="2927" spans="2:9" s="16" customFormat="1" ht="15.75">
      <c r="B2927" s="38" t="str">
        <f ca="1">IF(B2929="","",6)</f>
        <v/>
      </c>
      <c r="C2927" s="33"/>
      <c r="D2927" s="38" t="str">
        <f ca="1">IF(B2929="","",3)</f>
        <v/>
      </c>
      <c r="E2927" s="33"/>
      <c r="F2927" s="38" t="str">
        <f ca="1">IF(B2929="","",3)</f>
        <v/>
      </c>
      <c r="G2927" s="33"/>
      <c r="H2927" s="38" t="str">
        <f ca="1">IF(B2929="","",3)</f>
        <v/>
      </c>
      <c r="I2927" s="33"/>
    </row>
    <row r="2928" spans="2:9" s="16" customFormat="1" ht="15.75">
      <c r="B2928" s="39"/>
      <c r="C2928" s="33"/>
      <c r="D2928" s="33"/>
      <c r="E2928" s="33"/>
      <c r="F2928" s="33"/>
      <c r="G2928" s="33"/>
      <c r="H2928" s="33"/>
      <c r="I2928" s="33"/>
    </row>
    <row r="2929" spans="2:9" s="16" customFormat="1" ht="15.75">
      <c r="B2929" s="35" t="str">
        <f ca="1">IFERROR(IF(AND(INDEX(Tab_DaBa[],MATCH(CONCATENATE(Liste!$C$3,$B$2825,$B$2911),Data!$BO:$BO,0)-2,48)&lt;&gt;"",INDEX(Tab_DaBa[],MATCH(CONCATENATE(Liste!$C$3,$B$2825,$B$2911),Data!$BO:$BO,0)-2,53)=0),INDEX(Tab_DaBa[],MATCH(CONCATENATE(Liste!$C$3,$B$2825,$B$2911),Data!$BO:$BO,0)-2,14),IF(INDEX(Tab_DaBa[],MATCH(CONCATENATE(Liste!$C$3,$B$2825,$B$2911),Data!$BO:$BO,0)-2,48)&lt;&gt;"",INDEX(Tab_DaBa[],MATCH(CONCATENATE(Liste!$C$3,$B$2825,$B$2911),Data!$BO:$BO,0)-2,54),"")),"")</f>
        <v/>
      </c>
      <c r="C2929" s="39"/>
      <c r="D2929" s="35" t="str">
        <f ca="1">IFERROR(IF(AND(INDEX(Tab_DaBa[],MATCH(CONCATENATE(Liste!$C$3,$B$2825,$B$2911),Data!$BO:$BO,0)-2,53)&lt;&gt;"",INDEX(Tab_DaBa[],MATCH(CONCATENATE(Liste!$C$3,$B$2825,$B$2911),Data!$BO:$BO,0)-2,58)=0),INDEX(Tab_DaBa[],MATCH(CONCATENATE(Liste!$C$3,$B$2825,$B$2911),Data!$BO:$BO,0)-2,14),IF(INDEX(Tab_DaBa[],MATCH(CONCATENATE(Liste!$C$3,$B$2825,$B$2911),Data!$BO:$BO,0)-2,53)&lt;&gt;"",INDEX(Tab_DaBa[],MATCH(CONCATENATE(Liste!$C$3,$B$2825,$B$2911),Data!$BO:$BO,0)-2,59),"")),"")</f>
        <v/>
      </c>
      <c r="E2929" s="33"/>
      <c r="F2929" s="35" t="str">
        <f ca="1">IFERROR(IF(AND(INDEX(Tab_DaBa[],MATCH(CONCATENATE(Liste!$C$3,$B$2825,$B$2911),Data!$BO:$BO,0)-2,58)&lt;&gt;"",INDEX(Tab_DaBa[],MATCH(CONCATENATE(Liste!$C$3,$B$2825,$B$2911),Data!$BO:$BO,0)-2,63)=0),INDEX(Tab_DaBa[],MATCH(CONCATENATE(Liste!$C$3,$B$2825,$B$2911),Data!$BO:$BO,0)-2,14),IF(INDEX(Tab_DaBa[],MATCH(CONCATENATE(Liste!$C$3,$B$2825,$B$2911),Data!$BO:$BO,0)-2,58)&lt;&gt;"",INDEX(Tab_DaBa[],MATCH(CONCATENATE(Liste!$C$3,$B$2825,$B$2911),Data!$BO:$BO,0)-2,64),"")),"")</f>
        <v/>
      </c>
      <c r="G2929" s="39"/>
      <c r="H2929" s="35" t="str">
        <f ca="1">IFERROR(IF(INDEX(Tab_DaBa[],MATCH(CONCATENATE(Liste!$C$3,$B$2825,$B$2911),Data!$BO:$BO,0)-2,63)&lt;&gt;"",INDEX(Tab_DaBa[],MATCH(CONCATENATE(Liste!$C$3,$B$2825,$B$2911),Data!$BO:$BO,0)-2,14),""),"")</f>
        <v/>
      </c>
    </row>
    <row r="2930" spans="2:9" s="16" customFormat="1" ht="15.75">
      <c r="B2930" s="35" t="str">
        <f ca="1">IFERROR(IF(AND(INDEX(Tab_DaBa[],MATCH(CONCATENATE(Liste!$C$3,$B$2825,$B$2911),Data!$BO:$BO,0)-2,48)&lt;&gt;"",INDEX(Tab_DaBa[],MATCH(CONCATENATE(Liste!$C$3,$B$2825,$B$2911),Data!$BO:$BO,0)-2,53)=0),INDEX(Tab_DaBa[],MATCH(CONCATENATE(Liste!$C$3,$B$2825,$B$2911),Data!$BO:$BO,0)-2,12),IF(INDEX(Tab_DaBa[],MATCH(CONCATENATE(Liste!$C$3,$B$2825,$B$2911),Data!$BO:$BO,0)-2,48)&lt;&gt;"",INDEX(Tab_DaBa[],MATCH(CONCATENATE(Liste!$C$3,$B$2825,$B$2911),Data!$BO:$BO,0)-2,52),"")),"")</f>
        <v/>
      </c>
      <c r="C2930" s="39"/>
      <c r="D2930" s="35" t="str">
        <f ca="1">IFERROR(IF(AND(INDEX(Tab_DaBa[],MATCH(CONCATENATE(Liste!$C$3,$B$2825,$B$2911),Data!$BO:$BO,0)-2,53)&lt;&gt;"",INDEX(Tab_DaBa[],MATCH(CONCATENATE(Liste!$C$3,$B$2825,$B$2911),Data!$BO:$BO,0)-2,58)=0),INDEX(Tab_DaBa[],MATCH(CONCATENATE(Liste!$C$3,$B$2825,$B$2911),Data!$BO:$BO,0)-2,12),IF(INDEX(Tab_DaBa[],MATCH(CONCATENATE(Liste!$C$3,$B$2825,$B$2911),Data!$BO:$BO,0)-2,53)&lt;&gt;"",INDEX(Tab_DaBa[],MATCH(CONCATENATE(Liste!$C$3,$B$2825,$B$2911),Data!$BO:$BO,0)-2,57),"")),"")</f>
        <v/>
      </c>
      <c r="E2930" s="37"/>
      <c r="F2930" s="35" t="str">
        <f ca="1">IFERROR(IF(AND(INDEX(Tab_DaBa[],MATCH(CONCATENATE(Liste!$C$3,$B$2825,$B$2911),Data!$BO:$BO,0)-2,58)&lt;&gt;"",INDEX(Tab_DaBa[],MATCH(CONCATENATE(Liste!$C$3,$B$2825,$B$2911),Data!$BO:$BO,0)-2,63)=0),INDEX(Tab_DaBa[],MATCH(CONCATENATE(Liste!$C$3,$B$2825,$B$2911),Data!$BO:$BO,0)-2,12),IF(INDEX(Tab_DaBa[],MATCH(CONCATENATE(Liste!$C$3,$B$2825,$B$2911),Data!$BO:$BO,0)-2,58)&lt;&gt;"",INDEX(Tab_DaBa[],MATCH(CONCATENATE(Liste!$C$3,$B$2825,$B$2911),Data!$BO:$BO,0)-2,62),"")),"")</f>
        <v/>
      </c>
      <c r="G2930" s="39"/>
      <c r="H2930" s="35" t="str">
        <f ca="1">IFERROR(IF(INDEX(Tab_DaBa[],MATCH(CONCATENATE(Liste!$C$3,$B$2825,$B$2911),Data!$BO:$BO,0)-2,63)&lt;&gt;"",INDEX(Tab_DaBa[],MATCH(CONCATENATE(Liste!$C$3,$B$2825,$B$2911),Data!$BO:$BO,0)-2,12),""),"")</f>
        <v/>
      </c>
    </row>
    <row r="2931" spans="2:9" s="16" customFormat="1" ht="15.75">
      <c r="B2931" s="35" t="str">
        <f ca="1">IFERROR(IF(AND(INDEX(Tab_DaBa[],MATCH(CONCATENATE(Liste!$C$3,$B$2825,$B$2911),Data!$BO:$BO,0)-2,48)&lt;&gt;"",INDEX(Tab_DaBa[],MATCH(CONCATENATE(Liste!$C$3,$B$2825,$B$2911),Data!$BO:$BO,0)-2,53)=""),INDEX(Tab_DaBa[],MATCH(CONCATENATE(Liste!$C$3,$B$2825,$B$2911),Data!$BO:$BO,0)-2,13),IF(INDEX(Tab_DaBa[],MATCH(CONCATENATE(Liste!$C$3,$B$2825,$B$2911),Data!$BO:$BO,0)-2,48)&lt;&gt;"",INDEX(Tab_DaBa[],MATCH(CONCATENATE(Liste!$C$3,$B$2825,$B$2911),Data!$BO:$BO,0)-2,53),"")),"")</f>
        <v/>
      </c>
      <c r="C2931" s="38" t="str">
        <f ca="1">IF(D2929="","",4)</f>
        <v/>
      </c>
      <c r="D2931" s="35" t="str">
        <f ca="1">IFERROR(IF(AND(INDEX(Tab_DaBa[],MATCH(CONCATENATE(Liste!$C$3,$B$2825,$B$2911),Data!$BO:$BO,0)-2,53)&lt;&gt;"",INDEX(Tab_DaBa[],MATCH(CONCATENATE(Liste!$C$3,$B$2825,$B$2911),Data!$BO:$BO,0)-2,58)=""),INDEX(Tab_DaBa[],MATCH(CONCATENATE(Liste!$C$3,$B$2825,$B$2911),Data!$BO:$BO,0)-2,13),IF(INDEX(Tab_DaBa[],MATCH(CONCATENATE(Liste!$C$3,$B$2825,$B$2911),Data!$BO:$BO,0)-2,53)&lt;&gt;"",INDEX(Tab_DaBa[],MATCH(CONCATENATE(Liste!$C$3,$B$2825,$B$2911),Data!$BO:$BO,0)-2,58),"")),"")</f>
        <v/>
      </c>
      <c r="E2931" s="38" t="str">
        <f ca="1">IF(F2929="","",4)</f>
        <v/>
      </c>
      <c r="F2931" s="35" t="str">
        <f ca="1">IFERROR(IF(AND(INDEX(Tab_DaBa[],MATCH(CONCATENATE(Liste!$C$3,$B$2825,$B$2911),Data!$BO:$BO,0)-2,58)&lt;&gt;"",INDEX(Tab_DaBa[],MATCH(CONCATENATE(Liste!$C$3,$B$2825,$B$2911),Data!$BO:$BO,0)-2,63)=""),INDEX(Tab_DaBa[],MATCH(CONCATENATE(Liste!$C$3,$B$2825,$B$2911),Data!$BO:$BO,0)-2,13),IF(INDEX(Tab_DaBa[],MATCH(CONCATENATE(Liste!$C$3,$B$2825,$B$2911),Data!$BO:$BO,0)-2,58)&lt;&gt;"",INDEX(Tab_DaBa[],MATCH(CONCATENATE(Liste!$C$3,$B$2825,$B$2911),Data!$BO:$BO,0)-2,63),"")),"")</f>
        <v/>
      </c>
      <c r="G2931" s="38" t="str">
        <f ca="1">IF(H2929="","",4)</f>
        <v/>
      </c>
      <c r="H2931" s="35" t="str">
        <f ca="1">IFERROR(IF(INDEX(Tab_DaBa[],MATCH(CONCATENATE(Liste!$C$3,$B$2825,$B$2911),Data!$BO:$BO,0)-2,63)&lt;&gt;"",INDEX(Tab_DaBa[],MATCH(CONCATENATE(Liste!$C$3,$B$2825,$B$2911),Data!$BO:$BO,0)-2,13),""),"")</f>
        <v/>
      </c>
    </row>
    <row r="2932" spans="2:9" s="16" customFormat="1" ht="15.75">
      <c r="B2932" s="35" t="str">
        <f ca="1">IFERROR(IF(AND(INDEX(Tab_DaBa[],MATCH(CONCATENATE(Liste!$C$3,$B$2825,$B$2911),Data!$BO:$BO,0)-2,48)&lt;&gt;"",INDEX(Tab_DaBa[],MATCH(CONCATENATE(Liste!$C$3,$B$2825,$B$2911),Data!$BO:$BO,0)-2,53)=""),"Performance Level: "&amp;INDEX(Tab_DaBa[],MATCH(CONCATENATE(Liste!$C$3,$B$2825,$B$2911),Data!$BO:$BO,0)-2,15),IF(INDEX(Tab_DaBa[],MATCH(CONCATENATE(Liste!$C$3,$B$2825,$B$2911),Data!$BO:$BO,0)-2,48)&lt;&gt;"","Performance Level: "&amp;INDEX(Tab_DaBa[],MATCH(CONCATENATE(Liste!$C$3,$B$2825,$B$2911),Data!$BO:$BO,0)-2,55),"")),"")</f>
        <v/>
      </c>
      <c r="C2932" s="39"/>
      <c r="D2932" s="35" t="str">
        <f ca="1">IFERROR(IF(AND(INDEX(Tab_DaBa[],MATCH(CONCATENATE(Liste!$C$3,$B$2825,$B$2911),Data!$BO:$BO,0)-2,53)&lt;&gt;"",INDEX(Tab_DaBa[],MATCH(CONCATENATE(Liste!$C$3,$B$2825,$B$2911),Data!$BO:$BO,0)-2,58)=""),"Performance Level: "&amp;INDEX(Tab_DaBa[],MATCH(CONCATENATE(Liste!$C$3,$B$2825,$B$2911),Data!$BO:$BO,0)-2,15),IF(INDEX(Tab_DaBa[],MATCH(CONCATENATE(Liste!$C$3,$B$2825,$B$2911),Data!$BO:$BO,0)-2,53)&lt;&gt;"","Performance Level: "&amp;INDEX(Tab_DaBa[],MATCH(CONCATENATE(Liste!$C$3,$B$2825,$B$2911),Data!$BO:$BO,0)-2,60),"")),"")</f>
        <v/>
      </c>
      <c r="E2932" s="37"/>
      <c r="F2932" s="35" t="str">
        <f ca="1">IFERROR(IF(AND(INDEX(Tab_DaBa[],MATCH(CONCATENATE(Liste!$C$3,$B$2825,$B$2911),Data!$BO:$BO,0)-2,58)&lt;&gt;"",INDEX(Tab_DaBa[],MATCH(CONCATENATE(Liste!$C$3,$B$2825,$B$2911),Data!$BO:$BO,0)-2,63)=""),"Performance Level: "&amp;INDEX(Tab_DaBa[],MATCH(CONCATENATE(Liste!$C$3,$B$2825,$B$2911),Data!$BO:$BO,0)-2,15),IF(INDEX(Tab_DaBa[],MATCH(CONCATENATE(Liste!$C$3,$B$2825,$B$2911),Data!$BO:$BO,0)-2,58)&lt;&gt;"","Performance Level: "&amp;INDEX(Tab_DaBa[],MATCH(CONCATENATE(Liste!$C$3,$B$2825,$B$2911),Data!$BO:$BO,0)-2,65),"")),"")</f>
        <v/>
      </c>
      <c r="G2932" s="39"/>
      <c r="H2932" s="35" t="str">
        <f ca="1">IFERROR(IF(INDEX(Tab_DaBa[],MATCH(CONCATENATE(Liste!$C$3,$B$2825,$B$2911),Data!$BO:$BO,0)-2,63)&lt;&gt;"","Performance Level: "&amp;INDEX(Tab_DaBa[],MATCH(CONCATENATE(Liste!$C$3,$B$2825,$B$2911),Data!$BO:$BO,0)-2,15),""),"")</f>
        <v/>
      </c>
    </row>
    <row r="2933" spans="2:9" s="16" customFormat="1" ht="15.75">
      <c r="B2933" s="35" t="str">
        <f ca="1">IFERROR(IF(AND(INDEX(Tab_DaBa[],MATCH(CONCATENATE(Liste!$C$3,$B$2825,$B$2911),Data!$BO:$BO,0)-2,48)&lt;&gt;"",INDEX(Tab_DaBa[],MATCH(CONCATENATE(Liste!$C$3,$B$2825,$B$2911),Data!$BO:$BO,0)-2,53)=""),"PFH [1/h] = "&amp;10^9*INDEX(Tab_DaBa[],MATCH(CONCATENATE(Liste!$C$3,$B$2825,$B$2911),Data!$BO:$BO,0)-2,16)&amp;"E-9",IF(INDEX(Tab_DaBa[],MATCH(CONCATENATE(Liste!$C$3,$B$2825,$B$2911),Data!$BO:$BO,0)-2,48)&lt;&gt;"","PFH [1/h] = "&amp;10^9*INDEX(Tab_DaBa[],MATCH(CONCATENATE(Liste!$C$3,$B$2825,$B$2911),Data!$BO:$BO,0)-2,56)&amp;"E-9","")),"")</f>
        <v/>
      </c>
      <c r="C2933" s="39"/>
      <c r="D2933" s="35" t="str">
        <f ca="1">IFERROR(IF(AND(INDEX(Tab_DaBa[],MATCH(CONCATENATE(Liste!$C$3,$B$2825,$B$2911),Data!$BO:$BO,0)-2,53)&lt;&gt;"",INDEX(Tab_DaBa[],MATCH(CONCATENATE(Liste!$C$3,$B$2825,$B$2911),Data!$BO:$BO,0)-2,58)=""),"PFH [1/h] = "&amp;10^9*INDEX(Tab_DaBa[],MATCH(CONCATENATE(Liste!$C$3,$B$2825,$B$2911),Data!$BO:$BO,0)-2,16)&amp;"E-9",IF(INDEX(Tab_DaBa[],MATCH(CONCATENATE(Liste!$C$3,$B$2825,$B$2911),Data!$BO:$BO,0)-2,53)&lt;&gt;"","PFH [1/h] = "&amp;10^9*INDEX(Tab_DaBa[],MATCH(CONCATENATE(Liste!$C$3,$B$2825,$B$2911),Data!$BO:$BO,0)-2,61)&amp;"E-9","")),"")</f>
        <v/>
      </c>
      <c r="E2933" s="37"/>
      <c r="F2933" s="35" t="str">
        <f ca="1">IFERROR(IF(AND(INDEX(Tab_DaBa[],MATCH(CONCATENATE(Liste!$C$3,$B$2825,$B$2911),Data!$BO:$BO,0)-2,58)&lt;&gt;"",INDEX(Tab_DaBa[],MATCH(CONCATENATE(Liste!$C$3,$B$2825,$B$2911),Data!$BO:$BO,0)-2,63)=""),"PFH [1/h] = "&amp;10^9*INDEX(Tab_DaBa[],MATCH(CONCATENATE(Liste!$C$3,$B$2825,$B$2911),Data!$BO:$BO,0)-2,16)&amp;"E-9",IF(INDEX(Tab_DaBa[],MATCH(CONCATENATE(Liste!$C$3,$B$2825,$B$2911),Data!$BO:$BO,0)-2,58)&lt;&gt;"","PFH [1/h] = "&amp;10^9*INDEX(Tab_DaBa[],MATCH(CONCATENATE(Liste!$C$3,$B$2825,$B$2911),Data!$BO:$BO,0)-2,66)&amp;"E-9","")),"")</f>
        <v/>
      </c>
      <c r="G2933" s="39"/>
      <c r="H2933" s="35" t="str">
        <f ca="1">IFERROR(IF(INDEX(Tab_DaBa[],MATCH(CONCATENATE(Liste!$C$3,$B$2825,$B$2911),Data!$BO:$BO,0)-2,63)&lt;&gt;"","PFH [1/h] = "&amp;10^9*INDEX(Tab_DaBa[],MATCH(CONCATENATE(Liste!$C$3,$B$2825,$B$2911),Data!$BO:$BO,0)-2,16)&amp;"E-9",""),"")</f>
        <v/>
      </c>
    </row>
    <row r="2934" spans="2:9" s="16" customFormat="1"/>
    <row r="2935" spans="2:9" s="16" customFormat="1">
      <c r="B2935" s="43" t="str">
        <f ca="1">IF(D2935="","","Erforderlich")</f>
        <v>Erforderlich</v>
      </c>
      <c r="D2935" s="44" t="str">
        <f ca="1">IFERROR("Performance Level: "&amp;INDEX(Tab_DaBa[],MATCH(CONCATENATE(Liste!$C$3,$B$2825,$B$2911),Data!$BO:$BO,0)-2,4),"")</f>
        <v>Performance Level: PLr_ges4_4</v>
      </c>
    </row>
    <row r="2936" spans="2:9" s="16" customFormat="1">
      <c r="B2936" s="45"/>
    </row>
    <row r="2937" spans="2:9" s="16" customFormat="1">
      <c r="B2937" s="46" t="str">
        <f ca="1">IF(D2937="","","Erreicht")</f>
        <v>Erreicht</v>
      </c>
      <c r="D2937" s="47" t="str">
        <f ca="1">IFERROR("Performance Level: "&amp;INDEX(Tab_DaBa[],MATCH(CONCATENATE(Liste!$C$3,$B$2825,$B$2911),Data!$BO:$BO,0)-2,5)&amp;"          PFH [1/h] = "&amp;10^9*INDEX(Tab_DaBa[],MATCH(CONCATENATE(Liste!$C$3,$B$2825,$B$2911),Data!$BO:$BO,0)-2,6)&amp;"E-9","")</f>
        <v>Performance Level: Pl_ges4_4          PFH [1/h] = 71,7E-9</v>
      </c>
    </row>
    <row r="2938" spans="2:9" s="16" customFormat="1"/>
    <row r="2939" spans="2:9" s="16" customFormat="1">
      <c r="B2939" s="42" t="str">
        <f ca="1">IFERROR(IF(5&gt;COUNTIF(Data!$BP:$BP,CONCATENATE(Liste!$C$3,$B$2825)),"",INDEX(Tab_DaBa[],MATCH(CONCATENATE(Liste!$C$3,$B$2825),Data!$BP:$BP,0)+2,3)),"")</f>
        <v>11.5 Test11 (E+5L+A)</v>
      </c>
    </row>
    <row r="2940" spans="2:9" s="16" customFormat="1"/>
    <row r="2941" spans="2:9" s="16" customFormat="1" ht="15.75">
      <c r="B2941" s="35" t="str">
        <f ca="1">IFERROR(INDEX(Tab_DaBa[],MATCH(CONCATENATE(Liste!$C$3,$B$2825,$B$2939),Data!$BO:$BO,0)-2,9),"")</f>
        <v>Eingang</v>
      </c>
      <c r="C2941" s="54"/>
      <c r="D2941" s="35" t="str">
        <f ca="1">IFERROR(IF(INDEX(Tab_DaBa[],MATCH(CONCATENATE(Liste!$C$3,$B$2825,$B$2939),Data!$BO:$BO,0)-2,18)=0,INDEX(Tab_DaBa[],MATCH(CONCATENATE(Liste!$C$3,$B$2825,$B$2939),Data!$BO:$BO,0)-2,14),INDEX(Tab_DaBa[],MATCH(CONCATENATE(Liste!$C$3,$B$2825,$B$2939),Data!$BO:$BO,0)-2,19)),"")</f>
        <v>Logik 01</v>
      </c>
      <c r="E2941" s="33"/>
      <c r="F2941" s="35" t="str">
        <f ca="1">IFERROR(IF(AND(INDEX(Tab_DaBa[],MATCH(CONCATENATE(Liste!$C$3,$B$2825,$B$2939),Data!$BO:$BO,0)-2,18)&lt;&gt;"",INDEX(Tab_DaBa[],MATCH(CONCATENATE(Liste!$C$3,$B$2825,$B$2939),Data!$BO:$BO,0)-2,23)=0),INDEX(Tab_DaBa[],MATCH(CONCATENATE(Liste!$C$3,$B$2825,$B$2939),Data!$BO:$BO,0)-2,14),IF(INDEX(Tab_DaBa[],MATCH(CONCATENATE(Liste!$C$3,$B$2825,$B$2939),Data!$BO:$BO,0)-2,23)&lt;&gt;"",INDEX(Tab_DaBa[],MATCH(CONCATENATE(Liste!$C$3,$B$2825,$B$2939),Data!$BO:$BO,0)-2,24),"")),"")</f>
        <v>Logik 02</v>
      </c>
      <c r="G2941" s="39"/>
      <c r="H2941" s="35" t="str">
        <f ca="1">IFERROR(IF(AND(INDEX(Tab_DaBa[],MATCH(CONCATENATE(Liste!$C$3,$B$2825,$B$2939),Data!$BO:$BO,0)-2,23)&lt;&gt;"",INDEX(Tab_DaBa[],MATCH(CONCATENATE(Liste!$C$3,$B$2825,$B$2939),Data!$BO:$BO,0)-2,28)=0),INDEX(Tab_DaBa[],MATCH(CONCATENATE(Liste!$C$3,$B$2825,$B$2939),Data!$BO:$BO,0)-2,14),IF(INDEX(Tab_DaBa[],MATCH(CONCATENATE(Liste!$C$3,$B$2825,$B$2939),Data!$BO:$BO,0)-2,23)&lt;&gt;"",INDEX(Tab_DaBa[],MATCH(CONCATENATE(Liste!$C$3,$B$2825,$B$2939),Data!$BO:$BO,0)-2,29),"")),"")</f>
        <v>Logik 03</v>
      </c>
      <c r="I2941" s="39"/>
    </row>
    <row r="2942" spans="2:9" s="16" customFormat="1" ht="15.75">
      <c r="B2942" s="35" t="str">
        <f ca="1">IFERROR(INDEX(Tab_DaBa[],MATCH(CONCATENATE(Liste!$C$3,$B$2825,$B$2939),Data!$BO:$BO,0)-2,7),"")</f>
        <v>eeee-33_5</v>
      </c>
      <c r="C2942" s="54"/>
      <c r="D2942" s="35" t="str">
        <f ca="1">IFERROR(IF(INDEX(Tab_DaBa[],MATCH(CONCATENATE(Liste!$C$3,$B$2825,$B$2939),Data!$BO:$BO,0)-2,18)="",INDEX(Tab_DaBa[],MATCH(CONCATENATE(Liste!$C$3,$B$2825,$B$2939),Data!$BO:$BO,0)-2,12),INDEX(Tab_DaBa[],MATCH(CONCATENATE(Liste!$C$3,$B$2825,$B$2939),Data!$BO:$BO,0)-2,17)),"")</f>
        <v>Log01-04_05</v>
      </c>
      <c r="E2942" s="36"/>
      <c r="F2942" s="35" t="str">
        <f ca="1">IFERROR(IF(AND(INDEX(Tab_DaBa[],MATCH(CONCATENATE(Liste!$C$3,$B$2825,$B$2939),Data!$BO:$BO,0)-2,18)&lt;&gt;"",INDEX(Tab_DaBa[],MATCH(CONCATENATE(Liste!$C$3,$B$2825,$B$2939),Data!$BO:$BO,0)-2,23)=0),INDEX(Tab_DaBa[],MATCH(CONCATENATE(Liste!$C$3,$B$2825,$B$2939),Data!$BO:$BO,0)-2,12),IF(INDEX(Tab_DaBa[],MATCH(CONCATENATE(Liste!$C$3,$B$2825,$B$2939),Data!$BO:$BO,0)-2,23)&lt;&gt;"",INDEX(Tab_DaBa[],MATCH(CONCATENATE(Liste!$C$3,$B$2825,$B$2939),Data!$BO:$BO,0)-2,22),"")),"")</f>
        <v>Lo04-04_05</v>
      </c>
      <c r="G2942" s="39"/>
      <c r="H2942" s="35" t="str">
        <f ca="1">IFERROR(IF(AND(INDEX(Tab_DaBa[],MATCH(CONCATENATE(Liste!$C$3,$B$2825,$B$2939),Data!$BO:$BO,0)-2,23)&lt;&gt;"",INDEX(Tab_DaBa[],MATCH(CONCATENATE(Liste!$C$3,$B$2825,$B$2939),Data!$BO:$BO,0)-2,28)=0),INDEX(Tab_DaBa[],MATCH(CONCATENATE(Liste!$C$3,$B$2825,$B$2939),Data!$BO:$BO,0)-2,12),IF(INDEX(Tab_DaBa[],MATCH(CONCATENATE(Liste!$C$3,$B$2825,$B$2939),Data!$BO:$BO,0)-2,23)&lt;&gt;"",INDEX(Tab_DaBa[],MATCH(CONCATENATE(Liste!$C$3,$B$2825,$B$2939),Data!$BO:$BO,0)-2,27),"")),"")</f>
        <v>Lo04-44_05</v>
      </c>
      <c r="I2942" s="39"/>
    </row>
    <row r="2943" spans="2:9" s="16" customFormat="1" ht="15.75">
      <c r="B2943" s="35" t="str">
        <f ca="1">IFERROR(INDEX(Tab_DaBa[],MATCH(CONCATENATE(Liste!$C$3,$B$2825,$B$2939),Data!$BO:$BO,0)-2,8),"")</f>
        <v>Bez_Ein4_5</v>
      </c>
      <c r="C2943" s="40">
        <f ca="1">IF(D2941="","",4)</f>
        <v>4</v>
      </c>
      <c r="D2943" s="35" t="str">
        <f ca="1">IFERROR(IF(INDEX(Tab_DaBa[],MATCH(CONCATENATE(Liste!$C$3,$B$2825,$B$2939),Data!$BO:$BO,0)-2,18)="",INDEX(Tab_DaBa[],MATCH(CONCATENATE(Liste!$C$3,$B$2825,$B$2939),Data!$BO:$BO,0)-2,13),INDEX(Tab_DaBa[],MATCH(CONCATENATE(Liste!$C$3,$B$2825,$B$2939),Data!$BO:$BO,0)-2,18)),"")</f>
        <v>Bez_Log01_04_05</v>
      </c>
      <c r="E2943" s="40">
        <f ca="1">IF(F2941="","",4)</f>
        <v>4</v>
      </c>
      <c r="F2943" s="35" t="str">
        <f ca="1">IFERROR(IF(AND(INDEX(Tab_DaBa[],MATCH(CONCATENATE(Liste!$C$3,$B$2825,$B$2939),Data!$BO:$BO,0)-2,18)&lt;&gt;"",INDEX(Tab_DaBa[],MATCH(CONCATENATE(Liste!$C$3,$B$2825,$B$2939),Data!$BO:$BO,0)-2,23)=""),INDEX(Tab_DaBa[],MATCH(CONCATENATE(Liste!$C$3,$B$2825,$B$2939),Data!$BO:$BO,0)-2,13),IF(INDEX(Tab_DaBa[],MATCH(CONCATENATE(Liste!$C$3,$B$2825,$B$2939),Data!$BO:$BO,0)-2,23)&lt;&gt;"",INDEX(Tab_DaBa[],MATCH(CONCATENATE(Liste!$C$3,$B$2825,$B$2939),Data!$BO:$BO,0)-2,23),"")),"")</f>
        <v>Bez_Lo04_05</v>
      </c>
      <c r="G2943" s="38">
        <f ca="1">IF(H2941="","",4)</f>
        <v>4</v>
      </c>
      <c r="H2943" s="35" t="str">
        <f ca="1">IFERROR(IF(AND(INDEX(Tab_DaBa[],MATCH(CONCATENATE(Liste!$C$3,$B$2825,$B$2939),Data!$BO:$BO,0)-2,23)&lt;&gt;"",INDEX(Tab_DaBa[],MATCH(CONCATENATE(Liste!$C$3,$B$2825,$B$2939),Data!$BO:$BO,0)-2,28)=""),INDEX(Tab_DaBa[],MATCH(CONCATENATE(Liste!$C$3,$B$2825,$B$2939),Data!$BO:$BO,0)-2,13),IF(INDEX(Tab_DaBa[],MATCH(CONCATENATE(Liste!$C$3,$B$2825,$B$2939),Data!$BO:$BO,0)-2,23)&lt;&gt;"",INDEX(Tab_DaBa[],MATCH(CONCATENATE(Liste!$C$3,$B$2825,$B$2939),Data!$BO:$BO,0)-2,28),"")),"")</f>
        <v>Bez_Lo04_05</v>
      </c>
      <c r="I2943" s="38">
        <f ca="1">IF(B2949="","",6)</f>
        <v>6</v>
      </c>
    </row>
    <row r="2944" spans="2:9" s="16" customFormat="1" ht="15.75">
      <c r="B2944" s="35" t="str">
        <f ca="1">IFERROR("Performance Level: "&amp;INDEX(Tab_DaBa[],MATCH(CONCATENATE(Liste!$C$3,$B$2825,$B$2939),Data!$BO:$BO,0)-2,10),"")</f>
        <v>Performance Level: PL_Ein4_5</v>
      </c>
      <c r="C2944" s="54"/>
      <c r="D2944" s="35" t="str">
        <f ca="1">IFERROR(IF(INDEX(Tab_DaBa[],MATCH(CONCATENATE(Liste!$C$3,$B$2825,$B$2939),Data!$BO:$BO,0)-2,18)="","Performance Level: "&amp;INDEX(Tab_DaBa[],MATCH(CONCATENATE(Liste!$C$3,$B$2825,$B$2939),Data!$BO:$BO,0)-2,15),"Performance Level: "&amp;INDEX(Tab_DaBa[],MATCH(CONCATENATE(Liste!$C$3,$B$2825,$B$2939),Data!$BO:$BO,0)-2,20)),"")</f>
        <v>Performance Level: PL_Log01_04_05</v>
      </c>
      <c r="E2944" s="36"/>
      <c r="F2944" s="35" t="str">
        <f ca="1">IFERROR(IF(AND(INDEX(Tab_DaBa[],MATCH(CONCATENATE(Liste!$C$3,$B$2825,$B$2939),Data!$BO:$BO,0)-2,18)&lt;&gt;"",INDEX(Tab_DaBa[],MATCH(CONCATENATE(Liste!$C$3,$B$2825,$B$2939),Data!$BO:$BO,0)-2,23)=""),"Performance Level: "&amp;INDEX(Tab_DaBa[],MATCH(CONCATENATE(Liste!$C$3,$B$2825,$B$2939),Data!$BO:$BO,0)-2,15),IF(INDEX(Tab_DaBa[],MATCH(CONCATENATE(Liste!$C$3,$B$2825,$B$2939),Data!$BO:$BO,0)-2,23)&lt;&gt;"","Performance Level: "&amp;INDEX(Tab_DaBa[],MATCH(CONCATENATE(Liste!$C$3,$B$2825,$B$2939),Data!$BO:$BO,0)-2,25),"")),"")</f>
        <v>Performance Level: PL_Lo04_05</v>
      </c>
      <c r="G2944" s="39"/>
      <c r="H2944" s="35" t="str">
        <f ca="1">IFERROR(IF(AND(INDEX(Tab_DaBa[],MATCH(CONCATENATE(Liste!$C$3,$B$2825,$B$2939),Data!$BO:$BO,0)-2,23)&lt;&gt;"",INDEX(Tab_DaBa[],MATCH(CONCATENATE(Liste!$C$3,$B$2825,$B$2939),Data!$BO:$BO,0)-2,28)=""),"Performance Level: "&amp;INDEX(Tab_DaBa[],MATCH(CONCATENATE(Liste!$C$3,$B$2825,$B$2939),Data!$BO:$BO,0)-2,15),IF(INDEX(Tab_DaBa[],MATCH(CONCATENATE(Liste!$C$3,$B$2825,$B$2939),Data!$BO:$BO,0)-2,23)&lt;&gt;"","Performance Level: "&amp;INDEX(Tab_DaBa[],MATCH(CONCATENATE(Liste!$C$3,$B$2825,$B$2939),Data!$BO:$BO,0)-2,30),"")),"")</f>
        <v>Performance Level: PL_Lo04_05</v>
      </c>
      <c r="I2944" s="38"/>
    </row>
    <row r="2945" spans="2:9" s="16" customFormat="1" ht="15.75">
      <c r="B2945" s="53" t="str">
        <f ca="1">IFERROR("PFH [1/h] = "&amp;10^9*INDEX(Tab_DaBa[],MATCH(CONCATENATE(Liste!$C$3,$B$2825,$B$2939),Data!$BO:$BO,0)-2,11)&amp;"E-9","")</f>
        <v>PFH [1/h] = 42,9E-9</v>
      </c>
      <c r="C2945" s="54"/>
      <c r="D2945" s="35" t="str">
        <f ca="1">IFERROR(IF(INDEX(Tab_DaBa[],MATCH(CONCATENATE(Liste!$C$3,$B$2825,$B$2939),Data!$BO:$BO,0)-2,18)="","PFH [1/h] = "&amp;10^9*INDEX(Tab_DaBa[],MATCH(CONCATENATE(Liste!$C$3,$B$2825,$B$2939),Data!$BO:$BO,0)-2,16)&amp;"E-9","PFH [1/h] = "&amp;10^9*INDEX(Tab_DaBa[],MATCH(CONCATENATE(Liste!$C$3,$B$2825,$B$2939),Data!$BO:$BO,0)-2,21)&amp;"E-9"),"")</f>
        <v>PFH [1/h] = 4,19E-9</v>
      </c>
      <c r="E2945" s="36"/>
      <c r="F2945" s="35" t="str">
        <f ca="1">IFERROR(IF(AND(INDEX(Tab_DaBa[],MATCH(CONCATENATE(Liste!$C$3,$B$2825,$B$2939),Data!$BO:$BO,0)-2,18)&lt;&gt;"",INDEX(Tab_DaBa[],MATCH(CONCATENATE(Liste!$C$3,$B$2825,$B$2939),Data!$BO:$BO,0)-2,23)=""),"PFH [1/h] = "&amp;10^9*INDEX(Tab_DaBa[],MATCH(CONCATENATE(Liste!$C$3,$B$2825,$B$2939),Data!$BO:$BO,0)-2,16)&amp;"E-9",IF(INDEX(Tab_DaBa[],MATCH(CONCATENATE(Liste!$C$3,$B$2825,$B$2939),Data!$BO:$BO,0)-2,23)&lt;&gt;"","PFH [1/h] = "&amp;10^9*INDEX(Tab_DaBa[],MATCH(CONCATENATE(Liste!$C$3,$B$2825,$B$2939),Data!$BO:$BO,0)-2,26)&amp;"E-9","")),"")</f>
        <v>PFH [1/h] = 4,19E-9</v>
      </c>
      <c r="G2945" s="39"/>
      <c r="H2945" s="35" t="str">
        <f ca="1">IFERROR(IF(AND(INDEX(Tab_DaBa[],MATCH(CONCATENATE(Liste!$C$3,$B$2825,$B$2939),Data!$BO:$BO,0)-2,23)&lt;&gt;"",INDEX(Tab_DaBa[],MATCH(CONCATENATE(Liste!$C$3,$B$2825,$B$2939),Data!$BO:$BO,0)-2,28)=""),"PFH [1/h] = "&amp;10^9*INDEX(Tab_DaBa[],MATCH(CONCATENATE(Liste!$C$3,$B$2825,$B$2939),Data!$BO:$BO,0)-2,16)&amp;"E-9",IF(INDEX(Tab_DaBa[],MATCH(CONCATENATE(Liste!$C$3,$B$2825,$B$2939),Data!$BO:$BO,0)-2,23)&lt;&gt;"","PFH [1/h] = "&amp;10^9*INDEX(Tab_DaBa[],MATCH(CONCATENATE(Liste!$C$3,$B$2825,$B$2939),Data!$BO:$BO,0)-2,31)&amp;"E-9","")),"")</f>
        <v>PFH [1/h] = 4,19E-9</v>
      </c>
      <c r="I2945" s="39"/>
    </row>
    <row r="2946" spans="2:9" s="16" customFormat="1">
      <c r="B2946" s="33"/>
      <c r="C2946" s="34"/>
      <c r="D2946" s="33"/>
      <c r="E2946" s="33"/>
      <c r="F2946" s="33"/>
      <c r="G2946" s="33"/>
      <c r="H2946" s="33"/>
      <c r="I2946" s="33"/>
    </row>
    <row r="2947" spans="2:9" s="16" customFormat="1" ht="15.75">
      <c r="B2947" s="38">
        <f ca="1">IF(B2949="","",6)</f>
        <v>6</v>
      </c>
      <c r="C2947" s="34"/>
      <c r="D2947" s="38">
        <f ca="1">IF(B2949="","",3)</f>
        <v>3</v>
      </c>
      <c r="E2947" s="33"/>
      <c r="F2947" s="38">
        <f ca="1">IF(B2949="","",3)</f>
        <v>3</v>
      </c>
      <c r="G2947" s="33"/>
      <c r="H2947" s="38">
        <f ca="1">IF(B2949="","",3)</f>
        <v>3</v>
      </c>
      <c r="I2947" s="33"/>
    </row>
    <row r="2948" spans="2:9" s="16" customFormat="1" ht="15.75">
      <c r="B2948" s="39"/>
      <c r="C2948" s="33"/>
      <c r="D2948" s="33"/>
      <c r="E2948" s="33"/>
      <c r="F2948" s="33"/>
      <c r="G2948" s="33"/>
      <c r="H2948" s="33"/>
      <c r="I2948" s="33"/>
    </row>
    <row r="2949" spans="2:9" s="16" customFormat="1" ht="15.75">
      <c r="B2949" s="35" t="str">
        <f ca="1">IFERROR(IF(AND(INDEX(Tab_DaBa[],MATCH(CONCATENATE(Liste!$C$3,$B$2825,$B$2939),Data!$BO:$BO,0)-2,28)&lt;&gt;"",INDEX(Tab_DaBa[],MATCH(CONCATENATE(Liste!$C$3,$B$2825,$B$2939),Data!$BO:$BO,0)-2,33)=0),INDEX(Tab_DaBa[],MATCH(CONCATENATE(Liste!$C$3,$B$2825,$B$2939),Data!$BO:$BO,0)-2,14),IF(INDEX(Tab_DaBa[],MATCH(CONCATENATE(Liste!$C$3,$B$2825,$B$2939),Data!$BO:$BO,0)-2,28)&lt;&gt;"",INDEX(Tab_DaBa[],MATCH(CONCATENATE(Liste!$C$3,$B$2825,$B$2939),Data!$BO:$BO,0)-2,34),"")),"")</f>
        <v>Logik 04</v>
      </c>
      <c r="C2949" s="39"/>
      <c r="D2949" s="35" t="str">
        <f ca="1">IFERROR(IF(AND(INDEX(Tab_DaBa[],MATCH(CONCATENATE(Liste!$C$3,$B$2825,$B$2939),Data!$BO:$BO,0)-2,33)&lt;&gt;"",INDEX(Tab_DaBa[],MATCH(CONCATENATE(Liste!$C$3,$B$2825,$B$2939),Data!$BO:$BO,0)-2,38)=0),INDEX(Tab_DaBa[],MATCH(CONCATENATE(Liste!$C$3,$B$2825,$B$2939),Data!$BO:$BO,0)-2,14),IF(INDEX(Tab_DaBa[],MATCH(CONCATENATE(Liste!$C$3,$B$2825,$B$2939),Data!$BO:$BO,0)-2,33)&lt;&gt;"",INDEX(Tab_DaBa[],MATCH(CONCATENATE(Liste!$C$3,$B$2825,$B$2939),Data!$BO:$BO,0)-2,39),"")),"")</f>
        <v>Logik 05</v>
      </c>
      <c r="E2949" s="33"/>
      <c r="F2949" s="35" t="str">
        <f ca="1">IFERROR(IF(AND(INDEX(Tab_DaBa[],MATCH(CONCATENATE(Liste!$C$3,$B$2825,$B$2939),Data!$BO:$BO,0)-2,38)&lt;&gt;"",INDEX(Tab_DaBa[],MATCH(CONCATENATE(Liste!$C$3,$B$2825,$B$2939),Data!$BO:$BO,0)-2,43)=0),INDEX(Tab_DaBa[],MATCH(CONCATENATE(Liste!$C$3,$B$2825,$B$2939),Data!$BO:$BO,0)-2,14),IF(INDEX(Tab_DaBa[],MATCH(CONCATENATE(Liste!$C$3,$B$2825,$B$2939),Data!$BO:$BO,0)-2,38)&lt;&gt;"",INDEX(Tab_DaBa[],MATCH(CONCATENATE(Liste!$C$3,$B$2825,$B$2939),Data!$BO:$BO,0)-2,44),"")),"")</f>
        <v>Ausgang</v>
      </c>
      <c r="G2949" s="39"/>
      <c r="H2949" s="35" t="str">
        <f ca="1">IFERROR(IF(AND(INDEX(Tab_DaBa[],MATCH(CONCATENATE(Liste!$C$3,$B$2825,$B$2939),Data!$BO:$BO,0)-2,43)&lt;&gt;"",INDEX(Tab_DaBa[],MATCH(CONCATENATE(Liste!$C$3,$B$2825,$B$2939),Data!$BO:$BO,0)-2,48)=0),INDEX(Tab_DaBa[],MATCH(CONCATENATE(Liste!$C$3,$B$2825,$B$2939),Data!$BO:$BO,0)-2,14),IF(INDEX(Tab_DaBa[],MATCH(CONCATENATE(Liste!$C$3,$B$2825,$B$2939),Data!$BO:$BO,0)-2,43)&lt;&gt;"",INDEX(Tab_DaBa[],MATCH(CONCATENATE(Liste!$C$3,$B$2825,$B$2939),Data!$BO:$BO,0)-2,49),"")),"")</f>
        <v/>
      </c>
      <c r="I2949" s="39"/>
    </row>
    <row r="2950" spans="2:9" s="16" customFormat="1" ht="15.75">
      <c r="B2950" s="35" t="str">
        <f ca="1">IFERROR(IF(AND(INDEX(Tab_DaBa[],MATCH(CONCATENATE(Liste!$C$3,$B$2825,$B$2939),Data!$BO:$BO,0)-2,28)&lt;&gt;"",INDEX(Tab_DaBa[],MATCH(CONCATENATE(Liste!$C$3,$B$2825,$B$2939),Data!$BO:$BO,0)-2,33)=0),INDEX(Tab_DaBa[],MATCH(CONCATENATE(Liste!$C$3,$B$2825,$B$2939),Data!$BO:$BO,0)-2,12),IF(INDEX(Tab_DaBa[],MATCH(CONCATENATE(Liste!$C$3,$B$2825,$B$2939),Data!$BO:$BO,0)-2,28)&lt;&gt;"",INDEX(Tab_DaBa[],MATCH(CONCATENATE(Liste!$C$3,$B$2825,$B$2939),Data!$BO:$BO,0)-2,32),"")),"")</f>
        <v>Lo04-44_05</v>
      </c>
      <c r="C2950" s="39"/>
      <c r="D2950" s="35" t="str">
        <f ca="1">IFERROR(IF(AND(INDEX(Tab_DaBa[],MATCH(CONCATENATE(Liste!$C$3,$B$2825,$B$2939),Data!$BO:$BO,0)-2,33)&lt;&gt;"",INDEX(Tab_DaBa[],MATCH(CONCATENATE(Liste!$C$3,$B$2825,$B$2939),Data!$BO:$BO,0)-2,38)=0),INDEX(Tab_DaBa[],MATCH(CONCATENATE(Liste!$C$3,$B$2825,$B$2939),Data!$BO:$BO,0)-2,12),IF(INDEX(Tab_DaBa[],MATCH(CONCATENATE(Liste!$C$3,$B$2825,$B$2939),Data!$BO:$BO,0)-2,33)&lt;&gt;"",INDEX(Tab_DaBa[],MATCH(CONCATENATE(Liste!$C$3,$B$2825,$B$2939),Data!$BO:$BO,0)-2,37),"")),"")</f>
        <v>Lo04-44_05</v>
      </c>
      <c r="E2950" s="37"/>
      <c r="F2950" s="35" t="str">
        <f ca="1">IFERROR(IF(AND(INDEX(Tab_DaBa[],MATCH(CONCATENATE(Liste!$C$3,$B$2825,$B$2939),Data!$BO:$BO,0)-2,38)&lt;&gt;"",INDEX(Tab_DaBa[],MATCH(CONCATENATE(Liste!$C$3,$B$2825,$B$2939),Data!$BO:$BO,0)-2,43)=0),INDEX(Tab_DaBa[],MATCH(CONCATENATE(Liste!$C$3,$B$2825,$B$2939),Data!$BO:$BO,0)-2,12),IF(INDEX(Tab_DaBa[],MATCH(CONCATENATE(Liste!$C$3,$B$2825,$B$2939),Data!$BO:$BO,0)-2,38)&lt;&gt;"",INDEX(Tab_DaBa[],MATCH(CONCATENATE(Liste!$C$3,$B$2825,$B$2939),Data!$BO:$BO,0)-2,42),"")),"")</f>
        <v>aaaa-44_5</v>
      </c>
      <c r="G2950" s="39"/>
      <c r="H2950" s="35" t="str">
        <f ca="1">IFERROR(IF(AND(INDEX(Tab_DaBa[],MATCH(CONCATENATE(Liste!$C$3,$B$2825,$B$2939),Data!$BO:$BO,0)-2,43)&lt;&gt;"",INDEX(Tab_DaBa[],MATCH(CONCATENATE(Liste!$C$3,$B$2825,$B$2939),Data!$BO:$BO,0)-2,48)=0),INDEX(Tab_DaBa[],MATCH(CONCATENATE(Liste!$C$3,$B$2825,$B$2939),Data!$BO:$BO,0)-2,12),IF(INDEX(Tab_DaBa[],MATCH(CONCATENATE(Liste!$C$3,$B$2825,$B$2939),Data!$BO:$BO,0)-2,43)&lt;&gt;"",INDEX(Tab_DaBa[],MATCH(CONCATENATE(Liste!$C$3,$B$2825,$B$2939),Data!$BO:$BO,0)-2,47),"")),"")</f>
        <v/>
      </c>
      <c r="I2950" s="39"/>
    </row>
    <row r="2951" spans="2:9" s="16" customFormat="1" ht="15.75">
      <c r="B2951" s="35" t="str">
        <f ca="1">IFERROR(IF(AND(INDEX(Tab_DaBa[],MATCH(CONCATENATE(Liste!$C$3,$B$2825,$B$2939),Data!$BO:$BO,0)-2,28)&lt;&gt;"",INDEX(Tab_DaBa[],MATCH(CONCATENATE(Liste!$C$3,$B$2825,$B$2939),Data!$BO:$BO,0)-2,33)=""),INDEX(Tab_DaBa[],MATCH(CONCATENATE(Liste!$C$3,$B$2825,$B$2939),Data!$BO:$BO,0)-2,13),IF(INDEX(Tab_DaBa[],MATCH(CONCATENATE(Liste!$C$3,$B$2825,$B$2939),Data!$BO:$BO,0)-2,28)&lt;&gt;"",INDEX(Tab_DaBa[],MATCH(CONCATENATE(Liste!$C$3,$B$2825,$B$2939),Data!$BO:$BO,0)-2,33),"")),"")</f>
        <v>Bez_Lo04_05</v>
      </c>
      <c r="C2951" s="38">
        <f ca="1">IF(D2949="","",4)</f>
        <v>4</v>
      </c>
      <c r="D2951" s="35" t="str">
        <f ca="1">IFERROR(IF(AND(INDEX(Tab_DaBa[],MATCH(CONCATENATE(Liste!$C$3,$B$2825,$B$2939),Data!$BO:$BO,0)-2,33)&lt;&gt;"",INDEX(Tab_DaBa[],MATCH(CONCATENATE(Liste!$C$3,$B$2825,$B$2939),Data!$BO:$BO,0)-2,38)=""),INDEX(Tab_DaBa[],MATCH(CONCATENATE(Liste!$C$3,$B$2825,$B$2939),Data!$BO:$BO,0)-2,13),IF(INDEX(Tab_DaBa[],MATCH(CONCATENATE(Liste!$C$3,$B$2825,$B$2939),Data!$BO:$BO,0)-2,33)&lt;&gt;"",INDEX(Tab_DaBa[],MATCH(CONCATENATE(Liste!$C$3,$B$2825,$B$2939),Data!$BO:$BO,0)-2,38),"")),"")</f>
        <v>Bez_Lo05_05</v>
      </c>
      <c r="E2951" s="38">
        <f ca="1">IF(F2949="","",4)</f>
        <v>4</v>
      </c>
      <c r="F2951" s="35" t="str">
        <f ca="1">IFERROR(IF(AND(INDEX(Tab_DaBa[],MATCH(CONCATENATE(Liste!$C$3,$B$2825,$B$2939),Data!$BO:$BO,0)-2,38)&lt;&gt;"",INDEX(Tab_DaBa[],MATCH(CONCATENATE(Liste!$C$3,$B$2825,$B$2939),Data!$BO:$BO,0)-2,43)=""),INDEX(Tab_DaBa[],MATCH(CONCATENATE(Liste!$C$3,$B$2825,$B$2939),Data!$BO:$BO,0)-2,13),IF(INDEX(Tab_DaBa[],MATCH(CONCATENATE(Liste!$C$3,$B$2825,$B$2939),Data!$BO:$BO,0)-2,38)&lt;&gt;"",INDEX(Tab_DaBa[],MATCH(CONCATENATE(Liste!$C$3,$B$2825,$B$2939),Data!$BO:$BO,0)-2,43),"")),"")</f>
        <v>Bez_Aus4_5</v>
      </c>
      <c r="G2951" s="38" t="str">
        <f ca="1">IF(H2949="","",4)</f>
        <v/>
      </c>
      <c r="H2951" s="35" t="str">
        <f ca="1">IFERROR(IF(AND(INDEX(Tab_DaBa[],MATCH(CONCATENATE(Liste!$C$3,$B$2825,$B$2939),Data!$BO:$BO,0)-2,43)&lt;&gt;"",INDEX(Tab_DaBa[],MATCH(CONCATENATE(Liste!$C$3,$B$2825,$B$2939),Data!$BO:$BO,0)-2,48)=""),INDEX(Tab_DaBa[],MATCH(CONCATENATE(Liste!$C$3,$B$2825,$B$2939),Data!$BO:$BO,0)-2,13),IF(INDEX(Tab_DaBa[],MATCH(CONCATENATE(Liste!$C$3,$B$2825,$B$2939),Data!$BO:$BO,0)-2,43)&lt;&gt;"",INDEX(Tab_DaBa[],MATCH(CONCATENATE(Liste!$C$3,$B$2825,$B$2939),Data!$BO:$BO,0)-2,48),"")),"")</f>
        <v/>
      </c>
      <c r="I2951" s="38" t="str">
        <f ca="1">IF(B2957="","",6)</f>
        <v/>
      </c>
    </row>
    <row r="2952" spans="2:9" s="16" customFormat="1" ht="15.75">
      <c r="B2952" s="35" t="str">
        <f ca="1">IFERROR(IF(AND(INDEX(Tab_DaBa[],MATCH(CONCATENATE(Liste!$C$3,$B$2825,$B$2939),Data!$BO:$BO,0)-2,28)&lt;&gt;"",INDEX(Tab_DaBa[],MATCH(CONCATENATE(Liste!$C$3,$B$2825,$B$2939),Data!$BO:$BO,0)-2,33)=""),"Performance Level: "&amp;INDEX(Tab_DaBa[],MATCH(CONCATENATE(Liste!$C$3,$B$2825,$B$2939),Data!$BO:$BO,0)-2,15),IF(INDEX(Tab_DaBa[],MATCH(CONCATENATE(Liste!$C$3,$B$2825,$B$2939),Data!$BO:$BO,0)-2,28)&lt;&gt;"","Performance Level: "&amp;INDEX(Tab_DaBa[],MATCH(CONCATENATE(Liste!$C$3,$B$2825,$B$2939),Data!$BO:$BO,0)-2,35),"")),"")</f>
        <v>Performance Level: PL_Lo04_05</v>
      </c>
      <c r="C2952" s="39"/>
      <c r="D2952" s="35" t="str">
        <f ca="1">IFERROR(IF(AND(INDEX(Tab_DaBa[],MATCH(CONCATENATE(Liste!$C$3,$B$2825,$B$2939),Data!$BO:$BO,0)-2,33)&lt;&gt;"",INDEX(Tab_DaBa[],MATCH(CONCATENATE(Liste!$C$3,$B$2825,$B$2939),Data!$BO:$BO,0)-2,38)=""),"Performance Level: "&amp;INDEX(Tab_DaBa[],MATCH(CONCATENATE(Liste!$C$3,$B$2825,$B$2939),Data!$BO:$BO,0)-2,15),IF(INDEX(Tab_DaBa[],MATCH(CONCATENATE(Liste!$C$3,$B$2825,$B$2939),Data!$BO:$BO,0)-2,33)&lt;&gt;"","Performance Level: "&amp;INDEX(Tab_DaBa[],MATCH(CONCATENATE(Liste!$C$3,$B$2825,$B$2939),Data!$BO:$BO,0)-2,40),"")),"")</f>
        <v>Performance Level: PL_Lo03_5</v>
      </c>
      <c r="E2952" s="37"/>
      <c r="F2952" s="35" t="str">
        <f ca="1">IFERROR(IF(AND(INDEX(Tab_DaBa[],MATCH(CONCATENATE(Liste!$C$3,$B$2825,$B$2939),Data!$BO:$BO,0)-2,38)&lt;&gt;"",INDEX(Tab_DaBa[],MATCH(CONCATENATE(Liste!$C$3,$B$2825,$B$2939),Data!$BO:$BO,0)-2,43)=""),"Performance Level: "&amp;INDEX(Tab_DaBa[],MATCH(CONCATENATE(Liste!$C$3,$B$2825,$B$2939),Data!$BO:$BO,0)-2,15),IF(INDEX(Tab_DaBa[],MATCH(CONCATENATE(Liste!$C$3,$B$2825,$B$2939),Data!$BO:$BO,0)-2,38)&lt;&gt;"","Performance Level: "&amp;INDEX(Tab_DaBa[],MATCH(CONCATENATE(Liste!$C$3,$B$2825,$B$2939),Data!$BO:$BO,0)-2,45),"")),"")</f>
        <v>Performance Level: PL_Aus4_5</v>
      </c>
      <c r="G2952" s="39"/>
      <c r="H2952" s="35" t="str">
        <f ca="1">IFERROR(IF(AND(INDEX(Tab_DaBa[],MATCH(CONCATENATE(Liste!$C$3,$B$2825,$B$2939),Data!$BO:$BO,0)-2,43)&lt;&gt;"",INDEX(Tab_DaBa[],MATCH(CONCATENATE(Liste!$C$3,$B$2825,$B$2939),Data!$BO:$BO,0)-2,48)=""),"Performance Level: "&amp;INDEX(Tab_DaBa[],MATCH(CONCATENATE(Liste!$C$3,$B$2825,$B$2939),Data!$BO:$BO,0)-2,15),IF(INDEX(Tab_DaBa[],MATCH(CONCATENATE(Liste!$C$3,$B$2825,$B$2939),Data!$BO:$BO,0)-2,43)&lt;&gt;"","Performance Level: "&amp;INDEX(Tab_DaBa[],MATCH(CONCATENATE(Liste!$C$3,$B$2825,$B$2939),Data!$BO:$BO,0)-2,50),"")),"")</f>
        <v/>
      </c>
      <c r="I2952" s="39"/>
    </row>
    <row r="2953" spans="2:9" s="16" customFormat="1" ht="15.75">
      <c r="B2953" s="35" t="str">
        <f ca="1">IFERROR(IF(AND(INDEX(Tab_DaBa[],MATCH(CONCATENATE(Liste!$C$3,$B$2825,$B$2939),Data!$BO:$BO,0)-2,28)&lt;&gt;"",INDEX(Tab_DaBa[],MATCH(CONCATENATE(Liste!$C$3,$B$2825,$B$2939),Data!$BO:$BO,0)-2,33)=""),"PFH [1/h] = "&amp;10^9*INDEX(Tab_DaBa[],MATCH(CONCATENATE(Liste!$C$3,$B$2825,$B$2939),Data!$BO:$BO,0)-2,16)&amp;"E-9",IF(INDEX(Tab_DaBa[],MATCH(CONCATENATE(Liste!$C$3,$B$2825,$B$2939),Data!$BO:$BO,0)-2,28)&lt;&gt;"","PFH [1/h] = "&amp;10^9*INDEX(Tab_DaBa[],MATCH(CONCATENATE(Liste!$C$3,$B$2825,$B$2939),Data!$BO:$BO,0)-2,36)&amp;"E-9","")),"")</f>
        <v>PFH [1/h] = 4,19E-9</v>
      </c>
      <c r="C2953" s="39"/>
      <c r="D2953" s="35" t="str">
        <f ca="1">IFERROR(IF(AND(INDEX(Tab_DaBa[],MATCH(CONCATENATE(Liste!$C$3,$B$2825,$B$2939),Data!$BO:$BO,0)-2,33)&lt;&gt;"",INDEX(Tab_DaBa[],MATCH(CONCATENATE(Liste!$C$3,$B$2825,$B$2939),Data!$BO:$BO,0)-2,38)=""),"PFH [1/h] = "&amp;10^9*INDEX(Tab_DaBa[],MATCH(CONCATENATE(Liste!$C$3,$B$2825,$B$2939),Data!$BO:$BO,0)-2,16)&amp;"E-9",IF(INDEX(Tab_DaBa[],MATCH(CONCATENATE(Liste!$C$3,$B$2825,$B$2939),Data!$BO:$BO,0)-2,33)&lt;&gt;"","PFH [1/h] = "&amp;10^9*INDEX(Tab_DaBa[],MATCH(CONCATENATE(Liste!$C$3,$B$2825,$B$2939),Data!$BO:$BO,0)-2,41)&amp;"E-9","")),"")</f>
        <v>PFH [1/h] = 4,19E-9</v>
      </c>
      <c r="E2953" s="37"/>
      <c r="F2953" s="35" t="str">
        <f ca="1">IFERROR(IF(AND(INDEX(Tab_DaBa[],MATCH(CONCATENATE(Liste!$C$3,$B$2825,$B$2939),Data!$BO:$BO,0)-2,38)&lt;&gt;"",INDEX(Tab_DaBa[],MATCH(CONCATENATE(Liste!$C$3,$B$2825,$B$2939),Data!$BO:$BO,0)-2,43)=""),"PFH [1/h] = "&amp;10^9*INDEX(Tab_DaBa[],MATCH(CONCATENATE(Liste!$C$3,$B$2825,$B$2939),Data!$BO:$BO,0)-2,16)&amp;"E-9",IF(INDEX(Tab_DaBa[],MATCH(CONCATENATE(Liste!$C$3,$B$2825,$B$2939),Data!$BO:$BO,0)-2,38)&lt;&gt;"","PFH [1/h] = "&amp;10^9*INDEX(Tab_DaBa[],MATCH(CONCATENATE(Liste!$C$3,$B$2825,$B$2939),Data!$BO:$BO,0)-2,46)&amp;"E-9","")),"")</f>
        <v>PFH [1/h] = 24,7E-9</v>
      </c>
      <c r="G2953" s="39"/>
      <c r="H2953" s="35" t="str">
        <f ca="1">IFERROR(IF(AND(INDEX(Tab_DaBa[],MATCH(CONCATENATE(Liste!$C$3,$B$2825,$B$2939),Data!$BO:$BO,0)-2,43)&lt;&gt;"",INDEX(Tab_DaBa[],MATCH(CONCATENATE(Liste!$C$3,$B$2825,$B$2939),Data!$BO:$BO,0)-2,48)=""),"PFH [1/h] = "&amp;10^9*INDEX(Tab_DaBa[],MATCH(CONCATENATE(Liste!$C$3,$B$2825,$B$2939),Data!$BO:$BO,0)-2,16)&amp;"E-9",IF(INDEX(Tab_DaBa[],MATCH(CONCATENATE(Liste!$C$3,$B$2825,$B$2939),Data!$BO:$BO,0)-2,43)&lt;&gt;"","PFH [1/h] = "&amp;10^9*INDEX(Tab_DaBa[],MATCH(CONCATENATE(Liste!$C$3,$B$2825,$B$2939),Data!$BO:$BO,0)-2,51)&amp;"E-9","")),"")</f>
        <v/>
      </c>
      <c r="I2953" s="39"/>
    </row>
    <row r="2954" spans="2:9" s="16" customFormat="1">
      <c r="B2954" s="33"/>
      <c r="C2954" s="33"/>
      <c r="D2954" s="33"/>
      <c r="E2954" s="33"/>
      <c r="F2954" s="33"/>
      <c r="G2954" s="33"/>
      <c r="H2954" s="33"/>
      <c r="I2954" s="33"/>
    </row>
    <row r="2955" spans="2:9" s="16" customFormat="1" ht="15.75">
      <c r="B2955" s="38" t="str">
        <f ca="1">IF(B2957="","",6)</f>
        <v/>
      </c>
      <c r="C2955" s="33"/>
      <c r="D2955" s="38" t="str">
        <f ca="1">IF(B2957="","",3)</f>
        <v/>
      </c>
      <c r="E2955" s="33"/>
      <c r="F2955" s="38" t="str">
        <f ca="1">IF(B2957="","",3)</f>
        <v/>
      </c>
      <c r="G2955" s="33"/>
      <c r="H2955" s="38" t="str">
        <f ca="1">IF(B2957="","",3)</f>
        <v/>
      </c>
      <c r="I2955" s="33"/>
    </row>
    <row r="2956" spans="2:9" s="16" customFormat="1" ht="15.75">
      <c r="B2956" s="39"/>
      <c r="C2956" s="33"/>
      <c r="D2956" s="33"/>
      <c r="E2956" s="33"/>
      <c r="F2956" s="33"/>
      <c r="G2956" s="33"/>
      <c r="H2956" s="33"/>
      <c r="I2956" s="33"/>
    </row>
    <row r="2957" spans="2:9" s="16" customFormat="1" ht="15.75">
      <c r="B2957" s="35" t="str">
        <f ca="1">IFERROR(IF(AND(INDEX(Tab_DaBa[],MATCH(CONCATENATE(Liste!$C$3,$B$2825,$B$2939),Data!$BO:$BO,0)-2,48)&lt;&gt;"",INDEX(Tab_DaBa[],MATCH(CONCATENATE(Liste!$C$3,$B$2825,$B$2939),Data!$BO:$BO,0)-2,53)=0),INDEX(Tab_DaBa[],MATCH(CONCATENATE(Liste!$C$3,$B$2825,$B$2939),Data!$BO:$BO,0)-2,14),IF(INDEX(Tab_DaBa[],MATCH(CONCATENATE(Liste!$C$3,$B$2825,$B$2939),Data!$BO:$BO,0)-2,48)&lt;&gt;"",INDEX(Tab_DaBa[],MATCH(CONCATENATE(Liste!$C$3,$B$2825,$B$2939),Data!$BO:$BO,0)-2,54),"")),"")</f>
        <v/>
      </c>
      <c r="C2957" s="39"/>
      <c r="D2957" s="35" t="str">
        <f ca="1">IFERROR(IF(AND(INDEX(Tab_DaBa[],MATCH(CONCATENATE(Liste!$C$3,$B$2825,$B$2939),Data!$BO:$BO,0)-2,53)&lt;&gt;"",INDEX(Tab_DaBa[],MATCH(CONCATENATE(Liste!$C$3,$B$2825,$B$2939),Data!$BO:$BO,0)-2,58)=0),INDEX(Tab_DaBa[],MATCH(CONCATENATE(Liste!$C$3,$B$2825,$B$2939),Data!$BO:$BO,0)-2,14),IF(INDEX(Tab_DaBa[],MATCH(CONCATENATE(Liste!$C$3,$B$2825,$B$2939),Data!$BO:$BO,0)-2,53)&lt;&gt;"",INDEX(Tab_DaBa[],MATCH(CONCATENATE(Liste!$C$3,$B$2825,$B$2939),Data!$BO:$BO,0)-2,59),"")),"")</f>
        <v/>
      </c>
      <c r="E2957" s="33"/>
      <c r="F2957" s="35" t="str">
        <f ca="1">IFERROR(IF(AND(INDEX(Tab_DaBa[],MATCH(CONCATENATE(Liste!$C$3,$B$2825,$B$2939),Data!$BO:$BO,0)-2,58)&lt;&gt;"",INDEX(Tab_DaBa[],MATCH(CONCATENATE(Liste!$C$3,$B$2825,$B$2939),Data!$BO:$BO,0)-2,63)=0),INDEX(Tab_DaBa[],MATCH(CONCATENATE(Liste!$C$3,$B$2825,$B$2939),Data!$BO:$BO,0)-2,14),IF(INDEX(Tab_DaBa[],MATCH(CONCATENATE(Liste!$C$3,$B$2825,$B$2939),Data!$BO:$BO,0)-2,58)&lt;&gt;"",INDEX(Tab_DaBa[],MATCH(CONCATENATE(Liste!$C$3,$B$2825,$B$2939),Data!$BO:$BO,0)-2,64),"")),"")</f>
        <v/>
      </c>
      <c r="G2957" s="39"/>
      <c r="H2957" s="35" t="str">
        <f ca="1">IFERROR(IF(INDEX(Tab_DaBa[],MATCH(CONCATENATE(Liste!$C$3,$B$2825,$B$2939),Data!$BO:$BO,0)-2,63)&lt;&gt;"",INDEX(Tab_DaBa[],MATCH(CONCATENATE(Liste!$C$3,$B$2825,$B$2939),Data!$BO:$BO,0)-2,14),""),"")</f>
        <v/>
      </c>
    </row>
    <row r="2958" spans="2:9" s="16" customFormat="1" ht="15.75">
      <c r="B2958" s="35" t="str">
        <f ca="1">IFERROR(IF(AND(INDEX(Tab_DaBa[],MATCH(CONCATENATE(Liste!$C$3,$B$2825,$B$2939),Data!$BO:$BO,0)-2,48)&lt;&gt;"",INDEX(Tab_DaBa[],MATCH(CONCATENATE(Liste!$C$3,$B$2825,$B$2939),Data!$BO:$BO,0)-2,53)=0),INDEX(Tab_DaBa[],MATCH(CONCATENATE(Liste!$C$3,$B$2825,$B$2939),Data!$BO:$BO,0)-2,12),IF(INDEX(Tab_DaBa[],MATCH(CONCATENATE(Liste!$C$3,$B$2825,$B$2939),Data!$BO:$BO,0)-2,48)&lt;&gt;"",INDEX(Tab_DaBa[],MATCH(CONCATENATE(Liste!$C$3,$B$2825,$B$2939),Data!$BO:$BO,0)-2,52),"")),"")</f>
        <v/>
      </c>
      <c r="C2958" s="39"/>
      <c r="D2958" s="35" t="str">
        <f ca="1">IFERROR(IF(AND(INDEX(Tab_DaBa[],MATCH(CONCATENATE(Liste!$C$3,$B$2825,$B$2939),Data!$BO:$BO,0)-2,53)&lt;&gt;"",INDEX(Tab_DaBa[],MATCH(CONCATENATE(Liste!$C$3,$B$2825,$B$2939),Data!$BO:$BO,0)-2,58)=0),INDEX(Tab_DaBa[],MATCH(CONCATENATE(Liste!$C$3,$B$2825,$B$2939),Data!$BO:$BO,0)-2,12),IF(INDEX(Tab_DaBa[],MATCH(CONCATENATE(Liste!$C$3,$B$2825,$B$2939),Data!$BO:$BO,0)-2,53)&lt;&gt;"",INDEX(Tab_DaBa[],MATCH(CONCATENATE(Liste!$C$3,$B$2825,$B$2939),Data!$BO:$BO,0)-2,57),"")),"")</f>
        <v/>
      </c>
      <c r="E2958" s="37"/>
      <c r="F2958" s="35" t="str">
        <f ca="1">IFERROR(IF(AND(INDEX(Tab_DaBa[],MATCH(CONCATENATE(Liste!$C$3,$B$2825,$B$2939),Data!$BO:$BO,0)-2,58)&lt;&gt;"",INDEX(Tab_DaBa[],MATCH(CONCATENATE(Liste!$C$3,$B$2825,$B$2939),Data!$BO:$BO,0)-2,63)=0),INDEX(Tab_DaBa[],MATCH(CONCATENATE(Liste!$C$3,$B$2825,$B$2939),Data!$BO:$BO,0)-2,12),IF(INDEX(Tab_DaBa[],MATCH(CONCATENATE(Liste!$C$3,$B$2825,$B$2939),Data!$BO:$BO,0)-2,58)&lt;&gt;"",INDEX(Tab_DaBa[],MATCH(CONCATENATE(Liste!$C$3,$B$2825,$B$2939),Data!$BO:$BO,0)-2,62),"")),"")</f>
        <v/>
      </c>
      <c r="G2958" s="39"/>
      <c r="H2958" s="35" t="str">
        <f ca="1">IFERROR(IF(INDEX(Tab_DaBa[],MATCH(CONCATENATE(Liste!$C$3,$B$2825,$B$2939),Data!$BO:$BO,0)-2,63)&lt;&gt;"",INDEX(Tab_DaBa[],MATCH(CONCATENATE(Liste!$C$3,$B$2825,$B$2939),Data!$BO:$BO,0)-2,12),""),"")</f>
        <v/>
      </c>
    </row>
    <row r="2959" spans="2:9" s="16" customFormat="1" ht="15.75">
      <c r="B2959" s="35" t="str">
        <f ca="1">IFERROR(IF(AND(INDEX(Tab_DaBa[],MATCH(CONCATENATE(Liste!$C$3,$B$2825,$B$2939),Data!$BO:$BO,0)-2,48)&lt;&gt;"",INDEX(Tab_DaBa[],MATCH(CONCATENATE(Liste!$C$3,$B$2825,$B$2939),Data!$BO:$BO,0)-2,53)=""),INDEX(Tab_DaBa[],MATCH(CONCATENATE(Liste!$C$3,$B$2825,$B$2939),Data!$BO:$BO,0)-2,13),IF(INDEX(Tab_DaBa[],MATCH(CONCATENATE(Liste!$C$3,$B$2825,$B$2939),Data!$BO:$BO,0)-2,48)&lt;&gt;"",INDEX(Tab_DaBa[],MATCH(CONCATENATE(Liste!$C$3,$B$2825,$B$2939),Data!$BO:$BO,0)-2,53),"")),"")</f>
        <v/>
      </c>
      <c r="C2959" s="38" t="str">
        <f ca="1">IF(D2957="","",4)</f>
        <v/>
      </c>
      <c r="D2959" s="35" t="str">
        <f ca="1">IFERROR(IF(AND(INDEX(Tab_DaBa[],MATCH(CONCATENATE(Liste!$C$3,$B$2825,$B$2939),Data!$BO:$BO,0)-2,53)&lt;&gt;"",INDEX(Tab_DaBa[],MATCH(CONCATENATE(Liste!$C$3,$B$2825,$B$2939),Data!$BO:$BO,0)-2,58)=""),INDEX(Tab_DaBa[],MATCH(CONCATENATE(Liste!$C$3,$B$2825,$B$2939),Data!$BO:$BO,0)-2,13),IF(INDEX(Tab_DaBa[],MATCH(CONCATENATE(Liste!$C$3,$B$2825,$B$2939),Data!$BO:$BO,0)-2,53)&lt;&gt;"",INDEX(Tab_DaBa[],MATCH(CONCATENATE(Liste!$C$3,$B$2825,$B$2939),Data!$BO:$BO,0)-2,58),"")),"")</f>
        <v/>
      </c>
      <c r="E2959" s="38" t="str">
        <f ca="1">IF(F2957="","",4)</f>
        <v/>
      </c>
      <c r="F2959" s="35" t="str">
        <f ca="1">IFERROR(IF(AND(INDEX(Tab_DaBa[],MATCH(CONCATENATE(Liste!$C$3,$B$2825,$B$2939),Data!$BO:$BO,0)-2,58)&lt;&gt;"",INDEX(Tab_DaBa[],MATCH(CONCATENATE(Liste!$C$3,$B$2825,$B$2939),Data!$BO:$BO,0)-2,63)=""),INDEX(Tab_DaBa[],MATCH(CONCATENATE(Liste!$C$3,$B$2825,$B$2939),Data!$BO:$BO,0)-2,13),IF(INDEX(Tab_DaBa[],MATCH(CONCATENATE(Liste!$C$3,$B$2825,$B$2939),Data!$BO:$BO,0)-2,58)&lt;&gt;"",INDEX(Tab_DaBa[],MATCH(CONCATENATE(Liste!$C$3,$B$2825,$B$2939),Data!$BO:$BO,0)-2,63),"")),"")</f>
        <v/>
      </c>
      <c r="G2959" s="38" t="str">
        <f ca="1">IF(H2957="","",4)</f>
        <v/>
      </c>
      <c r="H2959" s="35" t="str">
        <f ca="1">IFERROR(IF(INDEX(Tab_DaBa[],MATCH(CONCATENATE(Liste!$C$3,$B$2825,$B$2939),Data!$BO:$BO,0)-2,63)&lt;&gt;"",INDEX(Tab_DaBa[],MATCH(CONCATENATE(Liste!$C$3,$B$2825,$B$2939),Data!$BO:$BO,0)-2,13),""),"")</f>
        <v/>
      </c>
    </row>
    <row r="2960" spans="2:9" s="16" customFormat="1" ht="15.75">
      <c r="B2960" s="35" t="str">
        <f ca="1">IFERROR(IF(AND(INDEX(Tab_DaBa[],MATCH(CONCATENATE(Liste!$C$3,$B$2825,$B$2939),Data!$BO:$BO,0)-2,48)&lt;&gt;"",INDEX(Tab_DaBa[],MATCH(CONCATENATE(Liste!$C$3,$B$2825,$B$2939),Data!$BO:$BO,0)-2,53)=""),"Performance Level: "&amp;INDEX(Tab_DaBa[],MATCH(CONCATENATE(Liste!$C$3,$B$2825,$B$2939),Data!$BO:$BO,0)-2,15),IF(INDEX(Tab_DaBa[],MATCH(CONCATENATE(Liste!$C$3,$B$2825,$B$2939),Data!$BO:$BO,0)-2,48)&lt;&gt;"","Performance Level: "&amp;INDEX(Tab_DaBa[],MATCH(CONCATENATE(Liste!$C$3,$B$2825,$B$2939),Data!$BO:$BO,0)-2,55),"")),"")</f>
        <v/>
      </c>
      <c r="C2960" s="39"/>
      <c r="D2960" s="35" t="str">
        <f ca="1">IFERROR(IF(AND(INDEX(Tab_DaBa[],MATCH(CONCATENATE(Liste!$C$3,$B$2825,$B$2939),Data!$BO:$BO,0)-2,53)&lt;&gt;"",INDEX(Tab_DaBa[],MATCH(CONCATENATE(Liste!$C$3,$B$2825,$B$2939),Data!$BO:$BO,0)-2,58)=""),"Performance Level: "&amp;INDEX(Tab_DaBa[],MATCH(CONCATENATE(Liste!$C$3,$B$2825,$B$2939),Data!$BO:$BO,0)-2,15),IF(INDEX(Tab_DaBa[],MATCH(CONCATENATE(Liste!$C$3,$B$2825,$B$2939),Data!$BO:$BO,0)-2,53)&lt;&gt;"","Performance Level: "&amp;INDEX(Tab_DaBa[],MATCH(CONCATENATE(Liste!$C$3,$B$2825,$B$2939),Data!$BO:$BO,0)-2,60),"")),"")</f>
        <v/>
      </c>
      <c r="E2960" s="37"/>
      <c r="F2960" s="35" t="str">
        <f ca="1">IFERROR(IF(AND(INDEX(Tab_DaBa[],MATCH(CONCATENATE(Liste!$C$3,$B$2825,$B$2939),Data!$BO:$BO,0)-2,58)&lt;&gt;"",INDEX(Tab_DaBa[],MATCH(CONCATENATE(Liste!$C$3,$B$2825,$B$2939),Data!$BO:$BO,0)-2,63)=""),"Performance Level: "&amp;INDEX(Tab_DaBa[],MATCH(CONCATENATE(Liste!$C$3,$B$2825,$B$2939),Data!$BO:$BO,0)-2,15),IF(INDEX(Tab_DaBa[],MATCH(CONCATENATE(Liste!$C$3,$B$2825,$B$2939),Data!$BO:$BO,0)-2,58)&lt;&gt;"","Performance Level: "&amp;INDEX(Tab_DaBa[],MATCH(CONCATENATE(Liste!$C$3,$B$2825,$B$2939),Data!$BO:$BO,0)-2,65),"")),"")</f>
        <v/>
      </c>
      <c r="G2960" s="39"/>
      <c r="H2960" s="35" t="str">
        <f ca="1">IFERROR(IF(INDEX(Tab_DaBa[],MATCH(CONCATENATE(Liste!$C$3,$B$2825,$B$2939),Data!$BO:$BO,0)-2,63)&lt;&gt;"","Performance Level: "&amp;INDEX(Tab_DaBa[],MATCH(CONCATENATE(Liste!$C$3,$B$2825,$B$2939),Data!$BO:$BO,0)-2,15),""),"")</f>
        <v/>
      </c>
    </row>
    <row r="2961" spans="2:9" s="16" customFormat="1" ht="15.75">
      <c r="B2961" s="35" t="str">
        <f ca="1">IFERROR(IF(AND(INDEX(Tab_DaBa[],MATCH(CONCATENATE(Liste!$C$3,$B$2825,$B$2939),Data!$BO:$BO,0)-2,48)&lt;&gt;"",INDEX(Tab_DaBa[],MATCH(CONCATENATE(Liste!$C$3,$B$2825,$B$2939),Data!$BO:$BO,0)-2,53)=""),"PFH [1/h] = "&amp;10^9*INDEX(Tab_DaBa[],MATCH(CONCATENATE(Liste!$C$3,$B$2825,$B$2939),Data!$BO:$BO,0)-2,16)&amp;"E-9",IF(INDEX(Tab_DaBa[],MATCH(CONCATENATE(Liste!$C$3,$B$2825,$B$2939),Data!$BO:$BO,0)-2,48)&lt;&gt;"","PFH [1/h] = "&amp;10^9*INDEX(Tab_DaBa[],MATCH(CONCATENATE(Liste!$C$3,$B$2825,$B$2939),Data!$BO:$BO,0)-2,56)&amp;"E-9","")),"")</f>
        <v/>
      </c>
      <c r="C2961" s="39"/>
      <c r="D2961" s="35" t="str">
        <f ca="1">IFERROR(IF(AND(INDEX(Tab_DaBa[],MATCH(CONCATENATE(Liste!$C$3,$B$2825,$B$2939),Data!$BO:$BO,0)-2,53)&lt;&gt;"",INDEX(Tab_DaBa[],MATCH(CONCATENATE(Liste!$C$3,$B$2825,$B$2939),Data!$BO:$BO,0)-2,58)=""),"PFH [1/h] = "&amp;10^9*INDEX(Tab_DaBa[],MATCH(CONCATENATE(Liste!$C$3,$B$2825,$B$2939),Data!$BO:$BO,0)-2,16)&amp;"E-9",IF(INDEX(Tab_DaBa[],MATCH(CONCATENATE(Liste!$C$3,$B$2825,$B$2939),Data!$BO:$BO,0)-2,53)&lt;&gt;"","PFH [1/h] = "&amp;10^9*INDEX(Tab_DaBa[],MATCH(CONCATENATE(Liste!$C$3,$B$2825,$B$2939),Data!$BO:$BO,0)-2,61)&amp;"E-9","")),"")</f>
        <v/>
      </c>
      <c r="E2961" s="37"/>
      <c r="F2961" s="35" t="str">
        <f ca="1">IFERROR(IF(AND(INDEX(Tab_DaBa[],MATCH(CONCATENATE(Liste!$C$3,$B$2825,$B$2939),Data!$BO:$BO,0)-2,58)&lt;&gt;"",INDEX(Tab_DaBa[],MATCH(CONCATENATE(Liste!$C$3,$B$2825,$B$2939),Data!$BO:$BO,0)-2,63)=""),"PFH [1/h] = "&amp;10^9*INDEX(Tab_DaBa[],MATCH(CONCATENATE(Liste!$C$3,$B$2825,$B$2939),Data!$BO:$BO,0)-2,16)&amp;"E-9",IF(INDEX(Tab_DaBa[],MATCH(CONCATENATE(Liste!$C$3,$B$2825,$B$2939),Data!$BO:$BO,0)-2,58)&lt;&gt;"","PFH [1/h] = "&amp;10^9*INDEX(Tab_DaBa[],MATCH(CONCATENATE(Liste!$C$3,$B$2825,$B$2939),Data!$BO:$BO,0)-2,66)&amp;"E-9","")),"")</f>
        <v/>
      </c>
      <c r="G2961" s="39"/>
      <c r="H2961" s="35" t="str">
        <f ca="1">IFERROR(IF(INDEX(Tab_DaBa[],MATCH(CONCATENATE(Liste!$C$3,$B$2825,$B$2939),Data!$BO:$BO,0)-2,63)&lt;&gt;"","PFH [1/h] = "&amp;10^9*INDEX(Tab_DaBa[],MATCH(CONCATENATE(Liste!$C$3,$B$2825,$B$2939),Data!$BO:$BO,0)-2,16)&amp;"E-9",""),"")</f>
        <v/>
      </c>
    </row>
    <row r="2962" spans="2:9" s="16" customFormat="1"/>
    <row r="2963" spans="2:9" s="16" customFormat="1">
      <c r="B2963" s="43" t="str">
        <f ca="1">IF(D2963="","","Erforderlich")</f>
        <v>Erforderlich</v>
      </c>
      <c r="D2963" s="44" t="str">
        <f ca="1">IFERROR("Performance Level: "&amp;INDEX(Tab_DaBa[],MATCH(CONCATENATE(Liste!$C$3,$B$2825,$B$2939),Data!$BO:$BO,0)-2,4),"")</f>
        <v>Performance Level: PLr_ges4_5</v>
      </c>
    </row>
    <row r="2964" spans="2:9" s="16" customFormat="1">
      <c r="B2964" s="45"/>
    </row>
    <row r="2965" spans="2:9" s="16" customFormat="1">
      <c r="B2965" s="46" t="str">
        <f ca="1">IF(D2965="","","Erreicht")</f>
        <v>Erreicht</v>
      </c>
      <c r="D2965" s="47" t="str">
        <f ca="1">IFERROR("Performance Level: "&amp;INDEX(Tab_DaBa[],MATCH(CONCATENATE(Liste!$C$3,$B$2825,$B$2939),Data!$BO:$BO,0)-2,5)&amp;"          PFH [1/h] = "&amp;10^9*INDEX(Tab_DaBa[],MATCH(CONCATENATE(Liste!$C$3,$B$2825,$B$2939),Data!$BO:$BO,0)-2,6)&amp;"E-9","")</f>
        <v>Performance Level: Pl_ges4_5          PFH [1/h] = 71,7E-9</v>
      </c>
    </row>
    <row r="2966" spans="2:9" s="16" customFormat="1"/>
    <row r="2967" spans="2:9" s="16" customFormat="1">
      <c r="B2967" s="42" t="str">
        <f ca="1">IFERROR(IF(6&gt;COUNTIF(Data!$BP:$BP,CONCATENATE(Liste!$C$3,$B$2825)),"",INDEX(Tab_DaBa[],MATCH(CONCATENATE(Liste!$C$3,$B$2825),Data!$BP:$BP,0)+3,3)),"")</f>
        <v>11.6 Test11 (E+6L+A)</v>
      </c>
    </row>
    <row r="2968" spans="2:9" s="16" customFormat="1"/>
    <row r="2969" spans="2:9" s="16" customFormat="1" ht="15.75">
      <c r="B2969" s="35" t="str">
        <f ca="1">IFERROR(INDEX(Tab_DaBa[],MATCH(CONCATENATE(Liste!$C$3,$B$2825,$B$2967),Data!$BO:$BO,0)-2,9),"")</f>
        <v>Eingang</v>
      </c>
      <c r="C2969" s="54"/>
      <c r="D2969" s="35" t="str">
        <f ca="1">IFERROR(IF(INDEX(Tab_DaBa[],MATCH(CONCATENATE(Liste!$C$3,$B$2825,$B$2967),Data!$BO:$BO,0)-2,18)=0,INDEX(Tab_DaBa[],MATCH(CONCATENATE(Liste!$C$3,$B$2825,$B$2967),Data!$BO:$BO,0)-2,14),INDEX(Tab_DaBa[],MATCH(CONCATENATE(Liste!$C$3,$B$2825,$B$2967),Data!$BO:$BO,0)-2,19)),"")</f>
        <v>Logik 01</v>
      </c>
      <c r="E2969" s="33"/>
      <c r="F2969" s="35" t="str">
        <f ca="1">IFERROR(IF(AND(INDEX(Tab_DaBa[],MATCH(CONCATENATE(Liste!$C$3,$B$2825,$B$2967),Data!$BO:$BO,0)-2,18)&lt;&gt;"",INDEX(Tab_DaBa[],MATCH(CONCATENATE(Liste!$C$3,$B$2825,$B$2967),Data!$BO:$BO,0)-2,23)=0),INDEX(Tab_DaBa[],MATCH(CONCATENATE(Liste!$C$3,$B$2825,$B$2967),Data!$BO:$BO,0)-2,14),IF(INDEX(Tab_DaBa[],MATCH(CONCATENATE(Liste!$C$3,$B$2825,$B$2967),Data!$BO:$BO,0)-2,23)&lt;&gt;"",INDEX(Tab_DaBa[],MATCH(CONCATENATE(Liste!$C$3,$B$2825,$B$2967),Data!$BO:$BO,0)-2,24),"")),"")</f>
        <v>Logik 02</v>
      </c>
      <c r="G2969" s="39"/>
      <c r="H2969" s="35" t="str">
        <f ca="1">IFERROR(IF(AND(INDEX(Tab_DaBa[],MATCH(CONCATENATE(Liste!$C$3,$B$2825,$B$2967),Data!$BO:$BO,0)-2,23)&lt;&gt;"",INDEX(Tab_DaBa[],MATCH(CONCATENATE(Liste!$C$3,$B$2825,$B$2967),Data!$BO:$BO,0)-2,28)=0),INDEX(Tab_DaBa[],MATCH(CONCATENATE(Liste!$C$3,$B$2825,$B$2967),Data!$BO:$BO,0)-2,14),IF(INDEX(Tab_DaBa[],MATCH(CONCATENATE(Liste!$C$3,$B$2825,$B$2967),Data!$BO:$BO,0)-2,23)&lt;&gt;"",INDEX(Tab_DaBa[],MATCH(CONCATENATE(Liste!$C$3,$B$2825,$B$2967),Data!$BO:$BO,0)-2,29),"")),"")</f>
        <v>Logik 03</v>
      </c>
      <c r="I2969" s="39"/>
    </row>
    <row r="2970" spans="2:9" s="16" customFormat="1" ht="15.75">
      <c r="B2970" s="35" t="str">
        <f ca="1">IFERROR(INDEX(Tab_DaBa[],MATCH(CONCATENATE(Liste!$C$3,$B$2825,$B$2967),Data!$BO:$BO,0)-2,7),"")</f>
        <v>eeee-33_6</v>
      </c>
      <c r="C2970" s="54"/>
      <c r="D2970" s="35" t="str">
        <f ca="1">IFERROR(IF(INDEX(Tab_DaBa[],MATCH(CONCATENATE(Liste!$C$3,$B$2825,$B$2967),Data!$BO:$BO,0)-2,18)="",INDEX(Tab_DaBa[],MATCH(CONCATENATE(Liste!$C$3,$B$2825,$B$2967),Data!$BO:$BO,0)-2,12),INDEX(Tab_DaBa[],MATCH(CONCATENATE(Liste!$C$3,$B$2825,$B$2967),Data!$BO:$BO,0)-2,17)),"")</f>
        <v>Log01-04_06</v>
      </c>
      <c r="E2970" s="36"/>
      <c r="F2970" s="35" t="str">
        <f ca="1">IFERROR(IF(AND(INDEX(Tab_DaBa[],MATCH(CONCATENATE(Liste!$C$3,$B$2825,$B$2967),Data!$BO:$BO,0)-2,18)&lt;&gt;"",INDEX(Tab_DaBa[],MATCH(CONCATENATE(Liste!$C$3,$B$2825,$B$2967),Data!$BO:$BO,0)-2,23)=0),INDEX(Tab_DaBa[],MATCH(CONCATENATE(Liste!$C$3,$B$2825,$B$2967),Data!$BO:$BO,0)-2,12),IF(INDEX(Tab_DaBa[],MATCH(CONCATENATE(Liste!$C$3,$B$2825,$B$2967),Data!$BO:$BO,0)-2,23)&lt;&gt;"",INDEX(Tab_DaBa[],MATCH(CONCATENATE(Liste!$C$3,$B$2825,$B$2967),Data!$BO:$BO,0)-2,22),"")),"")</f>
        <v>Lo04-04_06</v>
      </c>
      <c r="G2970" s="39"/>
      <c r="H2970" s="35" t="str">
        <f ca="1">IFERROR(IF(AND(INDEX(Tab_DaBa[],MATCH(CONCATENATE(Liste!$C$3,$B$2825,$B$2967),Data!$BO:$BO,0)-2,23)&lt;&gt;"",INDEX(Tab_DaBa[],MATCH(CONCATENATE(Liste!$C$3,$B$2825,$B$2967),Data!$BO:$BO,0)-2,28)=0),INDEX(Tab_DaBa[],MATCH(CONCATENATE(Liste!$C$3,$B$2825,$B$2967),Data!$BO:$BO,0)-2,12),IF(INDEX(Tab_DaBa[],MATCH(CONCATENATE(Liste!$C$3,$B$2825,$B$2967),Data!$BO:$BO,0)-2,23)&lt;&gt;"",INDEX(Tab_DaBa[],MATCH(CONCATENATE(Liste!$C$3,$B$2825,$B$2967),Data!$BO:$BO,0)-2,27),"")),"")</f>
        <v>Lo04-44_06</v>
      </c>
      <c r="I2970" s="39"/>
    </row>
    <row r="2971" spans="2:9" s="16" customFormat="1" ht="15.75">
      <c r="B2971" s="35" t="str">
        <f ca="1">IFERROR(INDEX(Tab_DaBa[],MATCH(CONCATENATE(Liste!$C$3,$B$2825,$B$2967),Data!$BO:$BO,0)-2,8),"")</f>
        <v>Bez_Ein4_6</v>
      </c>
      <c r="C2971" s="40">
        <f ca="1">IF(D2969="","",4)</f>
        <v>4</v>
      </c>
      <c r="D2971" s="35" t="str">
        <f ca="1">IFERROR(IF(INDEX(Tab_DaBa[],MATCH(CONCATENATE(Liste!$C$3,$B$2825,$B$2967),Data!$BO:$BO,0)-2,18)="",INDEX(Tab_DaBa[],MATCH(CONCATENATE(Liste!$C$3,$B$2825,$B$2967),Data!$BO:$BO,0)-2,13),INDEX(Tab_DaBa[],MATCH(CONCATENATE(Liste!$C$3,$B$2825,$B$2967),Data!$BO:$BO,0)-2,18)),"")</f>
        <v>Bez_Log01_04_06</v>
      </c>
      <c r="E2971" s="40">
        <f ca="1">IF(F2969="","",4)</f>
        <v>4</v>
      </c>
      <c r="F2971" s="35" t="str">
        <f ca="1">IFERROR(IF(AND(INDEX(Tab_DaBa[],MATCH(CONCATENATE(Liste!$C$3,$B$2825,$B$2967),Data!$BO:$BO,0)-2,18)&lt;&gt;"",INDEX(Tab_DaBa[],MATCH(CONCATENATE(Liste!$C$3,$B$2825,$B$2967),Data!$BO:$BO,0)-2,23)=""),INDEX(Tab_DaBa[],MATCH(CONCATENATE(Liste!$C$3,$B$2825,$B$2967),Data!$BO:$BO,0)-2,13),IF(INDEX(Tab_DaBa[],MATCH(CONCATENATE(Liste!$C$3,$B$2825,$B$2967),Data!$BO:$BO,0)-2,23)&lt;&gt;"",INDEX(Tab_DaBa[],MATCH(CONCATENATE(Liste!$C$3,$B$2825,$B$2967),Data!$BO:$BO,0)-2,23),"")),"")</f>
        <v>Bez_Lo04_06</v>
      </c>
      <c r="G2971" s="38">
        <f ca="1">IF(H2969="","",4)</f>
        <v>4</v>
      </c>
      <c r="H2971" s="35" t="str">
        <f ca="1">IFERROR(IF(AND(INDEX(Tab_DaBa[],MATCH(CONCATENATE(Liste!$C$3,$B$2825,$B$2967),Data!$BO:$BO,0)-2,23)&lt;&gt;"",INDEX(Tab_DaBa[],MATCH(CONCATENATE(Liste!$C$3,$B$2825,$B$2967),Data!$BO:$BO,0)-2,28)=""),INDEX(Tab_DaBa[],MATCH(CONCATENATE(Liste!$C$3,$B$2825,$B$2967),Data!$BO:$BO,0)-2,13),IF(INDEX(Tab_DaBa[],MATCH(CONCATENATE(Liste!$C$3,$B$2825,$B$2967),Data!$BO:$BO,0)-2,23)&lt;&gt;"",INDEX(Tab_DaBa[],MATCH(CONCATENATE(Liste!$C$3,$B$2825,$B$2967),Data!$BO:$BO,0)-2,28),"")),"")</f>
        <v>Bez_Lo04_06</v>
      </c>
      <c r="I2971" s="38">
        <f ca="1">IF(B2977="","",6)</f>
        <v>6</v>
      </c>
    </row>
    <row r="2972" spans="2:9" s="16" customFormat="1" ht="15.75">
      <c r="B2972" s="35" t="str">
        <f ca="1">IFERROR("Performance Level: "&amp;INDEX(Tab_DaBa[],MATCH(CONCATENATE(Liste!$C$3,$B$2825,$B$2967),Data!$BO:$BO,0)-2,10),"")</f>
        <v>Performance Level: PL_Ein4_6</v>
      </c>
      <c r="C2972" s="54"/>
      <c r="D2972" s="35" t="str">
        <f ca="1">IFERROR(IF(INDEX(Tab_DaBa[],MATCH(CONCATENATE(Liste!$C$3,$B$2825,$B$2967),Data!$BO:$BO,0)-2,18)="","Performance Level: "&amp;INDEX(Tab_DaBa[],MATCH(CONCATENATE(Liste!$C$3,$B$2825,$B$2967),Data!$BO:$BO,0)-2,15),"Performance Level: "&amp;INDEX(Tab_DaBa[],MATCH(CONCATENATE(Liste!$C$3,$B$2825,$B$2967),Data!$BO:$BO,0)-2,20)),"")</f>
        <v>Performance Level: PL_Log01_04_06</v>
      </c>
      <c r="E2972" s="36"/>
      <c r="F2972" s="35" t="str">
        <f ca="1">IFERROR(IF(AND(INDEX(Tab_DaBa[],MATCH(CONCATENATE(Liste!$C$3,$B$2825,$B$2967),Data!$BO:$BO,0)-2,18)&lt;&gt;"",INDEX(Tab_DaBa[],MATCH(CONCATENATE(Liste!$C$3,$B$2825,$B$2967),Data!$BO:$BO,0)-2,23)=""),"Performance Level: "&amp;INDEX(Tab_DaBa[],MATCH(CONCATENATE(Liste!$C$3,$B$2825,$B$2967),Data!$BO:$BO,0)-2,15),IF(INDEX(Tab_DaBa[],MATCH(CONCATENATE(Liste!$C$3,$B$2825,$B$2967),Data!$BO:$BO,0)-2,23)&lt;&gt;"","Performance Level: "&amp;INDEX(Tab_DaBa[],MATCH(CONCATENATE(Liste!$C$3,$B$2825,$B$2967),Data!$BO:$BO,0)-2,25),"")),"")</f>
        <v>Performance Level: PL_Lo04_06</v>
      </c>
      <c r="G2972" s="39"/>
      <c r="H2972" s="35" t="str">
        <f ca="1">IFERROR(IF(AND(INDEX(Tab_DaBa[],MATCH(CONCATENATE(Liste!$C$3,$B$2825,$B$2967),Data!$BO:$BO,0)-2,23)&lt;&gt;"",INDEX(Tab_DaBa[],MATCH(CONCATENATE(Liste!$C$3,$B$2825,$B$2967),Data!$BO:$BO,0)-2,28)=""),"Performance Level: "&amp;INDEX(Tab_DaBa[],MATCH(CONCATENATE(Liste!$C$3,$B$2825,$B$2967),Data!$BO:$BO,0)-2,15),IF(INDEX(Tab_DaBa[],MATCH(CONCATENATE(Liste!$C$3,$B$2825,$B$2967),Data!$BO:$BO,0)-2,23)&lt;&gt;"","Performance Level: "&amp;INDEX(Tab_DaBa[],MATCH(CONCATENATE(Liste!$C$3,$B$2825,$B$2967),Data!$BO:$BO,0)-2,30),"")),"")</f>
        <v>Performance Level: PL_Lo04_06</v>
      </c>
      <c r="I2972" s="38"/>
    </row>
    <row r="2973" spans="2:9" s="16" customFormat="1" ht="15.75">
      <c r="B2973" s="53" t="str">
        <f ca="1">IFERROR("PFH [1/h] = "&amp;10^9*INDEX(Tab_DaBa[],MATCH(CONCATENATE(Liste!$C$3,$B$2825,$B$2967),Data!$BO:$BO,0)-2,11)&amp;"E-9","")</f>
        <v>PFH [1/h] = 42,9E-9</v>
      </c>
      <c r="C2973" s="54"/>
      <c r="D2973" s="35" t="str">
        <f ca="1">IFERROR(IF(INDEX(Tab_DaBa[],MATCH(CONCATENATE(Liste!$C$3,$B$2825,$B$2967),Data!$BO:$BO,0)-2,18)="","PFH [1/h] = "&amp;10^9*INDEX(Tab_DaBa[],MATCH(CONCATENATE(Liste!$C$3,$B$2825,$B$2967),Data!$BO:$BO,0)-2,16)&amp;"E-9","PFH [1/h] = "&amp;10^9*INDEX(Tab_DaBa[],MATCH(CONCATENATE(Liste!$C$3,$B$2825,$B$2967),Data!$BO:$BO,0)-2,21)&amp;"E-9"),"")</f>
        <v>PFH [1/h] = 4,19E-9</v>
      </c>
      <c r="E2973" s="36"/>
      <c r="F2973" s="35" t="str">
        <f ca="1">IFERROR(IF(AND(INDEX(Tab_DaBa[],MATCH(CONCATENATE(Liste!$C$3,$B$2825,$B$2967),Data!$BO:$BO,0)-2,18)&lt;&gt;"",INDEX(Tab_DaBa[],MATCH(CONCATENATE(Liste!$C$3,$B$2825,$B$2967),Data!$BO:$BO,0)-2,23)=""),"PFH [1/h] = "&amp;10^9*INDEX(Tab_DaBa[],MATCH(CONCATENATE(Liste!$C$3,$B$2825,$B$2967),Data!$BO:$BO,0)-2,16)&amp;"E-9",IF(INDEX(Tab_DaBa[],MATCH(CONCATENATE(Liste!$C$3,$B$2825,$B$2967),Data!$BO:$BO,0)-2,23)&lt;&gt;"","PFH [1/h] = "&amp;10^9*INDEX(Tab_DaBa[],MATCH(CONCATENATE(Liste!$C$3,$B$2825,$B$2967),Data!$BO:$BO,0)-2,26)&amp;"E-9","")),"")</f>
        <v>PFH [1/h] = 4,19E-9</v>
      </c>
      <c r="G2973" s="39"/>
      <c r="H2973" s="35" t="str">
        <f ca="1">IFERROR(IF(AND(INDEX(Tab_DaBa[],MATCH(CONCATENATE(Liste!$C$3,$B$2825,$B$2967),Data!$BO:$BO,0)-2,23)&lt;&gt;"",INDEX(Tab_DaBa[],MATCH(CONCATENATE(Liste!$C$3,$B$2825,$B$2967),Data!$BO:$BO,0)-2,28)=""),"PFH [1/h] = "&amp;10^9*INDEX(Tab_DaBa[],MATCH(CONCATENATE(Liste!$C$3,$B$2825,$B$2967),Data!$BO:$BO,0)-2,16)&amp;"E-9",IF(INDEX(Tab_DaBa[],MATCH(CONCATENATE(Liste!$C$3,$B$2825,$B$2967),Data!$BO:$BO,0)-2,23)&lt;&gt;"","PFH [1/h] = "&amp;10^9*INDEX(Tab_DaBa[],MATCH(CONCATENATE(Liste!$C$3,$B$2825,$B$2967),Data!$BO:$BO,0)-2,31)&amp;"E-9","")),"")</f>
        <v>PFH [1/h] = 4,19E-9</v>
      </c>
      <c r="I2973" s="39"/>
    </row>
    <row r="2974" spans="2:9" s="16" customFormat="1">
      <c r="B2974" s="33"/>
      <c r="C2974" s="34"/>
      <c r="D2974" s="33"/>
      <c r="E2974" s="33"/>
      <c r="F2974" s="33"/>
      <c r="G2974" s="33"/>
      <c r="H2974" s="33"/>
      <c r="I2974" s="33"/>
    </row>
    <row r="2975" spans="2:9" s="16" customFormat="1" ht="15.75">
      <c r="B2975" s="38">
        <f ca="1">IF(B2977="","",6)</f>
        <v>6</v>
      </c>
      <c r="C2975" s="34"/>
      <c r="D2975" s="38">
        <f ca="1">IF(B2977="","",3)</f>
        <v>3</v>
      </c>
      <c r="E2975" s="33"/>
      <c r="F2975" s="38">
        <f ca="1">IF(B2977="","",3)</f>
        <v>3</v>
      </c>
      <c r="G2975" s="33"/>
      <c r="H2975" s="38">
        <f ca="1">IF(B2977="","",3)</f>
        <v>3</v>
      </c>
      <c r="I2975" s="33"/>
    </row>
    <row r="2976" spans="2:9" s="16" customFormat="1" ht="15.75">
      <c r="B2976" s="39"/>
      <c r="C2976" s="33"/>
      <c r="D2976" s="33"/>
      <c r="E2976" s="33"/>
      <c r="F2976" s="33"/>
      <c r="G2976" s="33"/>
      <c r="H2976" s="33"/>
      <c r="I2976" s="33"/>
    </row>
    <row r="2977" spans="2:9" s="16" customFormat="1" ht="15.75">
      <c r="B2977" s="35" t="str">
        <f ca="1">IFERROR(IF(AND(INDEX(Tab_DaBa[],MATCH(CONCATENATE(Liste!$C$3,$B$2825,$B$2967),Data!$BO:$BO,0)-2,28)&lt;&gt;"",INDEX(Tab_DaBa[],MATCH(CONCATENATE(Liste!$C$3,$B$2825,$B$2967),Data!$BO:$BO,0)-2,33)=0),INDEX(Tab_DaBa[],MATCH(CONCATENATE(Liste!$C$3,$B$2825,$B$2967),Data!$BO:$BO,0)-2,14),IF(INDEX(Tab_DaBa[],MATCH(CONCATENATE(Liste!$C$3,$B$2825,$B$2967),Data!$BO:$BO,0)-2,28)&lt;&gt;"",INDEX(Tab_DaBa[],MATCH(CONCATENATE(Liste!$C$3,$B$2825,$B$2967),Data!$BO:$BO,0)-2,34),"")),"")</f>
        <v>Logik 04</v>
      </c>
      <c r="C2977" s="39"/>
      <c r="D2977" s="35" t="str">
        <f ca="1">IFERROR(IF(AND(INDEX(Tab_DaBa[],MATCH(CONCATENATE(Liste!$C$3,$B$2825,$B$2967),Data!$BO:$BO,0)-2,33)&lt;&gt;"",INDEX(Tab_DaBa[],MATCH(CONCATENATE(Liste!$C$3,$B$2825,$B$2967),Data!$BO:$BO,0)-2,38)=0),INDEX(Tab_DaBa[],MATCH(CONCATENATE(Liste!$C$3,$B$2825,$B$2967),Data!$BO:$BO,0)-2,14),IF(INDEX(Tab_DaBa[],MATCH(CONCATENATE(Liste!$C$3,$B$2825,$B$2967),Data!$BO:$BO,0)-2,33)&lt;&gt;"",INDEX(Tab_DaBa[],MATCH(CONCATENATE(Liste!$C$3,$B$2825,$B$2967),Data!$BO:$BO,0)-2,39),"")),"")</f>
        <v>Logik 05</v>
      </c>
      <c r="E2977" s="33"/>
      <c r="F2977" s="35" t="str">
        <f ca="1">IFERROR(IF(AND(INDEX(Tab_DaBa[],MATCH(CONCATENATE(Liste!$C$3,$B$2825,$B$2967),Data!$BO:$BO,0)-2,38)&lt;&gt;"",INDEX(Tab_DaBa[],MATCH(CONCATENATE(Liste!$C$3,$B$2825,$B$2967),Data!$BO:$BO,0)-2,43)=0),INDEX(Tab_DaBa[],MATCH(CONCATENATE(Liste!$C$3,$B$2825,$B$2967),Data!$BO:$BO,0)-2,14),IF(INDEX(Tab_DaBa[],MATCH(CONCATENATE(Liste!$C$3,$B$2825,$B$2967),Data!$BO:$BO,0)-2,38)&lt;&gt;"",INDEX(Tab_DaBa[],MATCH(CONCATENATE(Liste!$C$3,$B$2825,$B$2967),Data!$BO:$BO,0)-2,44),"")),"")</f>
        <v>Logik 06</v>
      </c>
      <c r="G2977" s="39"/>
      <c r="H2977" s="35" t="str">
        <f ca="1">IFERROR(IF(AND(INDEX(Tab_DaBa[],MATCH(CONCATENATE(Liste!$C$3,$B$2825,$B$2967),Data!$BO:$BO,0)-2,43)&lt;&gt;"",INDEX(Tab_DaBa[],MATCH(CONCATENATE(Liste!$C$3,$B$2825,$B$2967),Data!$BO:$BO,0)-2,48)=0),INDEX(Tab_DaBa[],MATCH(CONCATENATE(Liste!$C$3,$B$2825,$B$2967),Data!$BO:$BO,0)-2,14),IF(INDEX(Tab_DaBa[],MATCH(CONCATENATE(Liste!$C$3,$B$2825,$B$2967),Data!$BO:$BO,0)-2,43)&lt;&gt;"",INDEX(Tab_DaBa[],MATCH(CONCATENATE(Liste!$C$3,$B$2825,$B$2967),Data!$BO:$BO,0)-2,49),"")),"")</f>
        <v>Ausgang</v>
      </c>
      <c r="I2977" s="39"/>
    </row>
    <row r="2978" spans="2:9" s="16" customFormat="1" ht="15.75">
      <c r="B2978" s="35" t="str">
        <f ca="1">IFERROR(IF(AND(INDEX(Tab_DaBa[],MATCH(CONCATENATE(Liste!$C$3,$B$2825,$B$2967),Data!$BO:$BO,0)-2,28)&lt;&gt;"",INDEX(Tab_DaBa[],MATCH(CONCATENATE(Liste!$C$3,$B$2825,$B$2967),Data!$BO:$BO,0)-2,33)=0),INDEX(Tab_DaBa[],MATCH(CONCATENATE(Liste!$C$3,$B$2825,$B$2967),Data!$BO:$BO,0)-2,12),IF(INDEX(Tab_DaBa[],MATCH(CONCATENATE(Liste!$C$3,$B$2825,$B$2967),Data!$BO:$BO,0)-2,28)&lt;&gt;"",INDEX(Tab_DaBa[],MATCH(CONCATENATE(Liste!$C$3,$B$2825,$B$2967),Data!$BO:$BO,0)-2,32),"")),"")</f>
        <v>Lo04-44_06</v>
      </c>
      <c r="C2978" s="39"/>
      <c r="D2978" s="35" t="str">
        <f ca="1">IFERROR(IF(AND(INDEX(Tab_DaBa[],MATCH(CONCATENATE(Liste!$C$3,$B$2825,$B$2967),Data!$BO:$BO,0)-2,33)&lt;&gt;"",INDEX(Tab_DaBa[],MATCH(CONCATENATE(Liste!$C$3,$B$2825,$B$2967),Data!$BO:$BO,0)-2,38)=0),INDEX(Tab_DaBa[],MATCH(CONCATENATE(Liste!$C$3,$B$2825,$B$2967),Data!$BO:$BO,0)-2,12),IF(INDEX(Tab_DaBa[],MATCH(CONCATENATE(Liste!$C$3,$B$2825,$B$2967),Data!$BO:$BO,0)-2,33)&lt;&gt;"",INDEX(Tab_DaBa[],MATCH(CONCATENATE(Liste!$C$3,$B$2825,$B$2967),Data!$BO:$BO,0)-2,37),"")),"")</f>
        <v>Lo04-44_06</v>
      </c>
      <c r="E2978" s="37"/>
      <c r="F2978" s="35" t="str">
        <f ca="1">IFERROR(IF(AND(INDEX(Tab_DaBa[],MATCH(CONCATENATE(Liste!$C$3,$B$2825,$B$2967),Data!$BO:$BO,0)-2,38)&lt;&gt;"",INDEX(Tab_DaBa[],MATCH(CONCATENATE(Liste!$C$3,$B$2825,$B$2967),Data!$BO:$BO,0)-2,43)=0),INDEX(Tab_DaBa[],MATCH(CONCATENATE(Liste!$C$3,$B$2825,$B$2967),Data!$BO:$BO,0)-2,12),IF(INDEX(Tab_DaBa[],MATCH(CONCATENATE(Liste!$C$3,$B$2825,$B$2967),Data!$BO:$BO,0)-2,38)&lt;&gt;"",INDEX(Tab_DaBa[],MATCH(CONCATENATE(Liste!$C$3,$B$2825,$B$2967),Data!$BO:$BO,0)-2,42),"")),"")</f>
        <v>Lo03-33_06</v>
      </c>
      <c r="G2978" s="39"/>
      <c r="H2978" s="35" t="str">
        <f ca="1">IFERROR(IF(AND(INDEX(Tab_DaBa[],MATCH(CONCATENATE(Liste!$C$3,$B$2825,$B$2967),Data!$BO:$BO,0)-2,43)&lt;&gt;"",INDEX(Tab_DaBa[],MATCH(CONCATENATE(Liste!$C$3,$B$2825,$B$2967),Data!$BO:$BO,0)-2,48)=0),INDEX(Tab_DaBa[],MATCH(CONCATENATE(Liste!$C$3,$B$2825,$B$2967),Data!$BO:$BO,0)-2,12),IF(INDEX(Tab_DaBa[],MATCH(CONCATENATE(Liste!$C$3,$B$2825,$B$2967),Data!$BO:$BO,0)-2,43)&lt;&gt;"",INDEX(Tab_DaBa[],MATCH(CONCATENATE(Liste!$C$3,$B$2825,$B$2967),Data!$BO:$BO,0)-2,47),"")),"")</f>
        <v>aaaa-44_6</v>
      </c>
      <c r="I2978" s="39"/>
    </row>
    <row r="2979" spans="2:9" s="16" customFormat="1" ht="15.75">
      <c r="B2979" s="35" t="str">
        <f ca="1">IFERROR(IF(AND(INDEX(Tab_DaBa[],MATCH(CONCATENATE(Liste!$C$3,$B$2825,$B$2967),Data!$BO:$BO,0)-2,28)&lt;&gt;"",INDEX(Tab_DaBa[],MATCH(CONCATENATE(Liste!$C$3,$B$2825,$B$2967),Data!$BO:$BO,0)-2,33)=""),INDEX(Tab_DaBa[],MATCH(CONCATENATE(Liste!$C$3,$B$2825,$B$2967),Data!$BO:$BO,0)-2,13),IF(INDEX(Tab_DaBa[],MATCH(CONCATENATE(Liste!$C$3,$B$2825,$B$2967),Data!$BO:$BO,0)-2,28)&lt;&gt;"",INDEX(Tab_DaBa[],MATCH(CONCATENATE(Liste!$C$3,$B$2825,$B$2967),Data!$BO:$BO,0)-2,33),"")),"")</f>
        <v>Bez_Lo04_06</v>
      </c>
      <c r="C2979" s="38">
        <f ca="1">IF(D2977="","",4)</f>
        <v>4</v>
      </c>
      <c r="D2979" s="35" t="str">
        <f ca="1">IFERROR(IF(AND(INDEX(Tab_DaBa[],MATCH(CONCATENATE(Liste!$C$3,$B$2825,$B$2967),Data!$BO:$BO,0)-2,33)&lt;&gt;"",INDEX(Tab_DaBa[],MATCH(CONCATENATE(Liste!$C$3,$B$2825,$B$2967),Data!$BO:$BO,0)-2,38)=""),INDEX(Tab_DaBa[],MATCH(CONCATENATE(Liste!$C$3,$B$2825,$B$2967),Data!$BO:$BO,0)-2,13),IF(INDEX(Tab_DaBa[],MATCH(CONCATENATE(Liste!$C$3,$B$2825,$B$2967),Data!$BO:$BO,0)-2,33)&lt;&gt;"",INDEX(Tab_DaBa[],MATCH(CONCATENATE(Liste!$C$3,$B$2825,$B$2967),Data!$BO:$BO,0)-2,38),"")),"")</f>
        <v>Bez_Lo03_06</v>
      </c>
      <c r="E2979" s="38">
        <f ca="1">IF(F2977="","",4)</f>
        <v>4</v>
      </c>
      <c r="F2979" s="35" t="str">
        <f ca="1">IFERROR(IF(AND(INDEX(Tab_DaBa[],MATCH(CONCATENATE(Liste!$C$3,$B$2825,$B$2967),Data!$BO:$BO,0)-2,38)&lt;&gt;"",INDEX(Tab_DaBa[],MATCH(CONCATENATE(Liste!$C$3,$B$2825,$B$2967),Data!$BO:$BO,0)-2,43)=""),INDEX(Tab_DaBa[],MATCH(CONCATENATE(Liste!$C$3,$B$2825,$B$2967),Data!$BO:$BO,0)-2,13),IF(INDEX(Tab_DaBa[],MATCH(CONCATENATE(Liste!$C$3,$B$2825,$B$2967),Data!$BO:$BO,0)-2,38)&lt;&gt;"",INDEX(Tab_DaBa[],MATCH(CONCATENATE(Liste!$C$3,$B$2825,$B$2967),Data!$BO:$BO,0)-2,43),"")),"")</f>
        <v>Bez_Lo03_06</v>
      </c>
      <c r="G2979" s="38">
        <f ca="1">IF(H2977="","",4)</f>
        <v>4</v>
      </c>
      <c r="H2979" s="35" t="str">
        <f ca="1">IFERROR(IF(AND(INDEX(Tab_DaBa[],MATCH(CONCATENATE(Liste!$C$3,$B$2825,$B$2967),Data!$BO:$BO,0)-2,43)&lt;&gt;"",INDEX(Tab_DaBa[],MATCH(CONCATENATE(Liste!$C$3,$B$2825,$B$2967),Data!$BO:$BO,0)-2,48)=""),INDEX(Tab_DaBa[],MATCH(CONCATENATE(Liste!$C$3,$B$2825,$B$2967),Data!$BO:$BO,0)-2,13),IF(INDEX(Tab_DaBa[],MATCH(CONCATENATE(Liste!$C$3,$B$2825,$B$2967),Data!$BO:$BO,0)-2,43)&lt;&gt;"",INDEX(Tab_DaBa[],MATCH(CONCATENATE(Liste!$C$3,$B$2825,$B$2967),Data!$BO:$BO,0)-2,48),"")),"")</f>
        <v>Bez_Aus4_6</v>
      </c>
      <c r="I2979" s="38" t="str">
        <f ca="1">IF(B2985="","",6)</f>
        <v/>
      </c>
    </row>
    <row r="2980" spans="2:9" s="16" customFormat="1" ht="15.75">
      <c r="B2980" s="35" t="str">
        <f ca="1">IFERROR(IF(AND(INDEX(Tab_DaBa[],MATCH(CONCATENATE(Liste!$C$3,$B$2825,$B$2967),Data!$BO:$BO,0)-2,28)&lt;&gt;"",INDEX(Tab_DaBa[],MATCH(CONCATENATE(Liste!$C$3,$B$2825,$B$2967),Data!$BO:$BO,0)-2,33)=""),"Performance Level: "&amp;INDEX(Tab_DaBa[],MATCH(CONCATENATE(Liste!$C$3,$B$2825,$B$2967),Data!$BO:$BO,0)-2,15),IF(INDEX(Tab_DaBa[],MATCH(CONCATENATE(Liste!$C$3,$B$2825,$B$2967),Data!$BO:$BO,0)-2,28)&lt;&gt;"","Performance Level: "&amp;INDEX(Tab_DaBa[],MATCH(CONCATENATE(Liste!$C$3,$B$2825,$B$2967),Data!$BO:$BO,0)-2,35),"")),"")</f>
        <v>Performance Level: PL_Lo04_06</v>
      </c>
      <c r="C2980" s="39"/>
      <c r="D2980" s="35" t="str">
        <f ca="1">IFERROR(IF(AND(INDEX(Tab_DaBa[],MATCH(CONCATENATE(Liste!$C$3,$B$2825,$B$2967),Data!$BO:$BO,0)-2,33)&lt;&gt;"",INDEX(Tab_DaBa[],MATCH(CONCATENATE(Liste!$C$3,$B$2825,$B$2967),Data!$BO:$BO,0)-2,38)=""),"Performance Level: "&amp;INDEX(Tab_DaBa[],MATCH(CONCATENATE(Liste!$C$3,$B$2825,$B$2967),Data!$BO:$BO,0)-2,15),IF(INDEX(Tab_DaBa[],MATCH(CONCATENATE(Liste!$C$3,$B$2825,$B$2967),Data!$BO:$BO,0)-2,33)&lt;&gt;"","Performance Level: "&amp;INDEX(Tab_DaBa[],MATCH(CONCATENATE(Liste!$C$3,$B$2825,$B$2967),Data!$BO:$BO,0)-2,40),"")),"")</f>
        <v>Performance Level: PL_Lo03_6</v>
      </c>
      <c r="E2980" s="37"/>
      <c r="F2980" s="35" t="str">
        <f ca="1">IFERROR(IF(AND(INDEX(Tab_DaBa[],MATCH(CONCATENATE(Liste!$C$3,$B$2825,$B$2967),Data!$BO:$BO,0)-2,38)&lt;&gt;"",INDEX(Tab_DaBa[],MATCH(CONCATENATE(Liste!$C$3,$B$2825,$B$2967),Data!$BO:$BO,0)-2,43)=""),"Performance Level: "&amp;INDEX(Tab_DaBa[],MATCH(CONCATENATE(Liste!$C$3,$B$2825,$B$2967),Data!$BO:$BO,0)-2,15),IF(INDEX(Tab_DaBa[],MATCH(CONCATENATE(Liste!$C$3,$B$2825,$B$2967),Data!$BO:$BO,0)-2,38)&lt;&gt;"","Performance Level: "&amp;INDEX(Tab_DaBa[],MATCH(CONCATENATE(Liste!$C$3,$B$2825,$B$2967),Data!$BO:$BO,0)-2,45),"")),"")</f>
        <v>Performance Level: PL_Lo03_06</v>
      </c>
      <c r="G2980" s="39"/>
      <c r="H2980" s="35" t="str">
        <f ca="1">IFERROR(IF(AND(INDEX(Tab_DaBa[],MATCH(CONCATENATE(Liste!$C$3,$B$2825,$B$2967),Data!$BO:$BO,0)-2,43)&lt;&gt;"",INDEX(Tab_DaBa[],MATCH(CONCATENATE(Liste!$C$3,$B$2825,$B$2967),Data!$BO:$BO,0)-2,48)=""),"Performance Level: "&amp;INDEX(Tab_DaBa[],MATCH(CONCATENATE(Liste!$C$3,$B$2825,$B$2967),Data!$BO:$BO,0)-2,15),IF(INDEX(Tab_DaBa[],MATCH(CONCATENATE(Liste!$C$3,$B$2825,$B$2967),Data!$BO:$BO,0)-2,43)&lt;&gt;"","Performance Level: "&amp;INDEX(Tab_DaBa[],MATCH(CONCATENATE(Liste!$C$3,$B$2825,$B$2967),Data!$BO:$BO,0)-2,50),"")),"")</f>
        <v>Performance Level: PL_Aus4_6</v>
      </c>
      <c r="I2980" s="39"/>
    </row>
    <row r="2981" spans="2:9" s="16" customFormat="1" ht="15.75">
      <c r="B2981" s="35" t="str">
        <f ca="1">IFERROR(IF(AND(INDEX(Tab_DaBa[],MATCH(CONCATENATE(Liste!$C$3,$B$2825,$B$2967),Data!$BO:$BO,0)-2,28)&lt;&gt;"",INDEX(Tab_DaBa[],MATCH(CONCATENATE(Liste!$C$3,$B$2825,$B$2967),Data!$BO:$BO,0)-2,33)=""),"PFH [1/h] = "&amp;10^9*INDEX(Tab_DaBa[],MATCH(CONCATENATE(Liste!$C$3,$B$2825,$B$2967),Data!$BO:$BO,0)-2,16)&amp;"E-9",IF(INDEX(Tab_DaBa[],MATCH(CONCATENATE(Liste!$C$3,$B$2825,$B$2967),Data!$BO:$BO,0)-2,28)&lt;&gt;"","PFH [1/h] = "&amp;10^9*INDEX(Tab_DaBa[],MATCH(CONCATENATE(Liste!$C$3,$B$2825,$B$2967),Data!$BO:$BO,0)-2,36)&amp;"E-9","")),"")</f>
        <v>PFH [1/h] = 4,19E-9</v>
      </c>
      <c r="C2981" s="39"/>
      <c r="D2981" s="35" t="str">
        <f ca="1">IFERROR(IF(AND(INDEX(Tab_DaBa[],MATCH(CONCATENATE(Liste!$C$3,$B$2825,$B$2967),Data!$BO:$BO,0)-2,33)&lt;&gt;"",INDEX(Tab_DaBa[],MATCH(CONCATENATE(Liste!$C$3,$B$2825,$B$2967),Data!$BO:$BO,0)-2,38)=""),"PFH [1/h] = "&amp;10^9*INDEX(Tab_DaBa[],MATCH(CONCATENATE(Liste!$C$3,$B$2825,$B$2967),Data!$BO:$BO,0)-2,16)&amp;"E-9",IF(INDEX(Tab_DaBa[],MATCH(CONCATENATE(Liste!$C$3,$B$2825,$B$2967),Data!$BO:$BO,0)-2,33)&lt;&gt;"","PFH [1/h] = "&amp;10^9*INDEX(Tab_DaBa[],MATCH(CONCATENATE(Liste!$C$3,$B$2825,$B$2967),Data!$BO:$BO,0)-2,41)&amp;"E-9","")),"")</f>
        <v>PFH [1/h] = 4,19E-9</v>
      </c>
      <c r="E2981" s="37"/>
      <c r="F2981" s="35" t="str">
        <f ca="1">IFERROR(IF(AND(INDEX(Tab_DaBa[],MATCH(CONCATENATE(Liste!$C$3,$B$2825,$B$2967),Data!$BO:$BO,0)-2,38)&lt;&gt;"",INDEX(Tab_DaBa[],MATCH(CONCATENATE(Liste!$C$3,$B$2825,$B$2967),Data!$BO:$BO,0)-2,43)=""),"PFH [1/h] = "&amp;10^9*INDEX(Tab_DaBa[],MATCH(CONCATENATE(Liste!$C$3,$B$2825,$B$2967),Data!$BO:$BO,0)-2,16)&amp;"E-9",IF(INDEX(Tab_DaBa[],MATCH(CONCATENATE(Liste!$C$3,$B$2825,$B$2967),Data!$BO:$BO,0)-2,38)&lt;&gt;"","PFH [1/h] = "&amp;10^9*INDEX(Tab_DaBa[],MATCH(CONCATENATE(Liste!$C$3,$B$2825,$B$2967),Data!$BO:$BO,0)-2,46)&amp;"E-9","")),"")</f>
        <v>PFH [1/h] = 4,19E-9</v>
      </c>
      <c r="G2981" s="39"/>
      <c r="H2981" s="35" t="str">
        <f ca="1">IFERROR(IF(AND(INDEX(Tab_DaBa[],MATCH(CONCATENATE(Liste!$C$3,$B$2825,$B$2967),Data!$BO:$BO,0)-2,43)&lt;&gt;"",INDEX(Tab_DaBa[],MATCH(CONCATENATE(Liste!$C$3,$B$2825,$B$2967),Data!$BO:$BO,0)-2,48)=""),"PFH [1/h] = "&amp;10^9*INDEX(Tab_DaBa[],MATCH(CONCATENATE(Liste!$C$3,$B$2825,$B$2967),Data!$BO:$BO,0)-2,16)&amp;"E-9",IF(INDEX(Tab_DaBa[],MATCH(CONCATENATE(Liste!$C$3,$B$2825,$B$2967),Data!$BO:$BO,0)-2,43)&lt;&gt;"","PFH [1/h] = "&amp;10^9*INDEX(Tab_DaBa[],MATCH(CONCATENATE(Liste!$C$3,$B$2825,$B$2967),Data!$BO:$BO,0)-2,51)&amp;"E-9","")),"")</f>
        <v>PFH [1/h] = 24,7E-9</v>
      </c>
      <c r="I2981" s="39"/>
    </row>
    <row r="2982" spans="2:9" s="16" customFormat="1">
      <c r="B2982" s="33"/>
      <c r="C2982" s="33"/>
      <c r="D2982" s="33"/>
      <c r="E2982" s="33"/>
      <c r="F2982" s="33"/>
      <c r="G2982" s="33"/>
      <c r="H2982" s="33"/>
      <c r="I2982" s="33"/>
    </row>
    <row r="2983" spans="2:9" s="16" customFormat="1" ht="15.75">
      <c r="B2983" s="38" t="str">
        <f ca="1">IF(B2985="","",6)</f>
        <v/>
      </c>
      <c r="C2983" s="33"/>
      <c r="D2983" s="38" t="str">
        <f ca="1">IF(B2985="","",3)</f>
        <v/>
      </c>
      <c r="E2983" s="33"/>
      <c r="F2983" s="38" t="str">
        <f ca="1">IF(B2985="","",3)</f>
        <v/>
      </c>
      <c r="G2983" s="33"/>
      <c r="H2983" s="38" t="str">
        <f ca="1">IF(B2985="","",3)</f>
        <v/>
      </c>
      <c r="I2983" s="33"/>
    </row>
    <row r="2984" spans="2:9" s="16" customFormat="1" ht="15.75">
      <c r="B2984" s="39"/>
      <c r="C2984" s="33"/>
      <c r="D2984" s="33"/>
      <c r="E2984" s="33"/>
      <c r="F2984" s="33"/>
      <c r="G2984" s="33"/>
      <c r="H2984" s="33"/>
      <c r="I2984" s="33"/>
    </row>
    <row r="2985" spans="2:9" s="16" customFormat="1" ht="15.75">
      <c r="B2985" s="35" t="str">
        <f ca="1">IFERROR(IF(AND(INDEX(Tab_DaBa[],MATCH(CONCATENATE(Liste!$C$3,$B$2825,$B$2967),Data!$BO:$BO,0)-2,48)&lt;&gt;"",INDEX(Tab_DaBa[],MATCH(CONCATENATE(Liste!$C$3,$B$2825,$B$2967),Data!$BO:$BO,0)-2,53)=0),INDEX(Tab_DaBa[],MATCH(CONCATENATE(Liste!$C$3,$B$2825,$B$2967),Data!$BO:$BO,0)-2,14),IF(INDEX(Tab_DaBa[],MATCH(CONCATENATE(Liste!$C$3,$B$2825,$B$2967),Data!$BO:$BO,0)-2,48)&lt;&gt;"",INDEX(Tab_DaBa[],MATCH(CONCATENATE(Liste!$C$3,$B$2825,$B$2967),Data!$BO:$BO,0)-2,54),"")),"")</f>
        <v/>
      </c>
      <c r="C2985" s="39"/>
      <c r="D2985" s="35" t="str">
        <f ca="1">IFERROR(IF(AND(INDEX(Tab_DaBa[],MATCH(CONCATENATE(Liste!$C$3,$B$2825,$B$2967),Data!$BO:$BO,0)-2,53)&lt;&gt;"",INDEX(Tab_DaBa[],MATCH(CONCATENATE(Liste!$C$3,$B$2825,$B$2967),Data!$BO:$BO,0)-2,58)=0),INDEX(Tab_DaBa[],MATCH(CONCATENATE(Liste!$C$3,$B$2825,$B$2967),Data!$BO:$BO,0)-2,14),IF(INDEX(Tab_DaBa[],MATCH(CONCATENATE(Liste!$C$3,$B$2825,$B$2967),Data!$BO:$BO,0)-2,53)&lt;&gt;"",INDEX(Tab_DaBa[],MATCH(CONCATENATE(Liste!$C$3,$B$2825,$B$2967),Data!$BO:$BO,0)-2,59),"")),"")</f>
        <v/>
      </c>
      <c r="E2985" s="33"/>
      <c r="F2985" s="35" t="str">
        <f ca="1">IFERROR(IF(AND(INDEX(Tab_DaBa[],MATCH(CONCATENATE(Liste!$C$3,$B$2825,$B$2967),Data!$BO:$BO,0)-2,58)&lt;&gt;"",INDEX(Tab_DaBa[],MATCH(CONCATENATE(Liste!$C$3,$B$2825,$B$2967),Data!$BO:$BO,0)-2,63)=0),INDEX(Tab_DaBa[],MATCH(CONCATENATE(Liste!$C$3,$B$2825,$B$2967),Data!$BO:$BO,0)-2,14),IF(INDEX(Tab_DaBa[],MATCH(CONCATENATE(Liste!$C$3,$B$2825,$B$2967),Data!$BO:$BO,0)-2,58)&lt;&gt;"",INDEX(Tab_DaBa[],MATCH(CONCATENATE(Liste!$C$3,$B$2825,$B$2967),Data!$BO:$BO,0)-2,64),"")),"")</f>
        <v/>
      </c>
      <c r="G2985" s="39"/>
      <c r="H2985" s="35" t="str">
        <f ca="1">IFERROR(IF(INDEX(Tab_DaBa[],MATCH(CONCATENATE(Liste!$C$3,$B$2825,$B$2967),Data!$BO:$BO,0)-2,63)&lt;&gt;"",INDEX(Tab_DaBa[],MATCH(CONCATENATE(Liste!$C$3,$B$2825,$B$2967),Data!$BO:$BO,0)-2,14),""),"")</f>
        <v/>
      </c>
    </row>
    <row r="2986" spans="2:9" s="16" customFormat="1" ht="15.75">
      <c r="B2986" s="35" t="str">
        <f ca="1">IFERROR(IF(AND(INDEX(Tab_DaBa[],MATCH(CONCATENATE(Liste!$C$3,$B$2825,$B$2967),Data!$BO:$BO,0)-2,48)&lt;&gt;"",INDEX(Tab_DaBa[],MATCH(CONCATENATE(Liste!$C$3,$B$2825,$B$2967),Data!$BO:$BO,0)-2,53)=0),INDEX(Tab_DaBa[],MATCH(CONCATENATE(Liste!$C$3,$B$2825,$B$2967),Data!$BO:$BO,0)-2,12),IF(INDEX(Tab_DaBa[],MATCH(CONCATENATE(Liste!$C$3,$B$2825,$B$2967),Data!$BO:$BO,0)-2,48)&lt;&gt;"",INDEX(Tab_DaBa[],MATCH(CONCATENATE(Liste!$C$3,$B$2825,$B$2967),Data!$BO:$BO,0)-2,52),"")),"")</f>
        <v/>
      </c>
      <c r="C2986" s="39"/>
      <c r="D2986" s="35" t="str">
        <f ca="1">IFERROR(IF(AND(INDEX(Tab_DaBa[],MATCH(CONCATENATE(Liste!$C$3,$B$2825,$B$2967),Data!$BO:$BO,0)-2,53)&lt;&gt;"",INDEX(Tab_DaBa[],MATCH(CONCATENATE(Liste!$C$3,$B$2825,$B$2967),Data!$BO:$BO,0)-2,58)=0),INDEX(Tab_DaBa[],MATCH(CONCATENATE(Liste!$C$3,$B$2825,$B$2967),Data!$BO:$BO,0)-2,12),IF(INDEX(Tab_DaBa[],MATCH(CONCATENATE(Liste!$C$3,$B$2825,$B$2967),Data!$BO:$BO,0)-2,53)&lt;&gt;"",INDEX(Tab_DaBa[],MATCH(CONCATENATE(Liste!$C$3,$B$2825,$B$2967),Data!$BO:$BO,0)-2,57),"")),"")</f>
        <v/>
      </c>
      <c r="E2986" s="37"/>
      <c r="F2986" s="35" t="str">
        <f ca="1">IFERROR(IF(AND(INDEX(Tab_DaBa[],MATCH(CONCATENATE(Liste!$C$3,$B$2825,$B$2967),Data!$BO:$BO,0)-2,58)&lt;&gt;"",INDEX(Tab_DaBa[],MATCH(CONCATENATE(Liste!$C$3,$B$2825,$B$2967),Data!$BO:$BO,0)-2,63)=0),INDEX(Tab_DaBa[],MATCH(CONCATENATE(Liste!$C$3,$B$2825,$B$2967),Data!$BO:$BO,0)-2,12),IF(INDEX(Tab_DaBa[],MATCH(CONCATENATE(Liste!$C$3,$B$2825,$B$2967),Data!$BO:$BO,0)-2,58)&lt;&gt;"",INDEX(Tab_DaBa[],MATCH(CONCATENATE(Liste!$C$3,$B$2825,$B$2967),Data!$BO:$BO,0)-2,62),"")),"")</f>
        <v/>
      </c>
      <c r="G2986" s="39"/>
      <c r="H2986" s="35" t="str">
        <f ca="1">IFERROR(IF(INDEX(Tab_DaBa[],MATCH(CONCATENATE(Liste!$C$3,$B$2825,$B$2967),Data!$BO:$BO,0)-2,63)&lt;&gt;"",INDEX(Tab_DaBa[],MATCH(CONCATENATE(Liste!$C$3,$B$2825,$B$2967),Data!$BO:$BO,0)-2,12),""),"")</f>
        <v/>
      </c>
    </row>
    <row r="2987" spans="2:9" s="16" customFormat="1" ht="15.75">
      <c r="B2987" s="35" t="str">
        <f ca="1">IFERROR(IF(AND(INDEX(Tab_DaBa[],MATCH(CONCATENATE(Liste!$C$3,$B$2825,$B$2967),Data!$BO:$BO,0)-2,48)&lt;&gt;"",INDEX(Tab_DaBa[],MATCH(CONCATENATE(Liste!$C$3,$B$2825,$B$2967),Data!$BO:$BO,0)-2,53)=""),INDEX(Tab_DaBa[],MATCH(CONCATENATE(Liste!$C$3,$B$2825,$B$2967),Data!$BO:$BO,0)-2,13),IF(INDEX(Tab_DaBa[],MATCH(CONCATENATE(Liste!$C$3,$B$2825,$B$2967),Data!$BO:$BO,0)-2,48)&lt;&gt;"",INDEX(Tab_DaBa[],MATCH(CONCATENATE(Liste!$C$3,$B$2825,$B$2967),Data!$BO:$BO,0)-2,53),"")),"")</f>
        <v/>
      </c>
      <c r="C2987" s="38" t="str">
        <f ca="1">IF(D2985="","",4)</f>
        <v/>
      </c>
      <c r="D2987" s="35" t="str">
        <f ca="1">IFERROR(IF(AND(INDEX(Tab_DaBa[],MATCH(CONCATENATE(Liste!$C$3,$B$2825,$B$2967),Data!$BO:$BO,0)-2,53)&lt;&gt;"",INDEX(Tab_DaBa[],MATCH(CONCATENATE(Liste!$C$3,$B$2825,$B$2967),Data!$BO:$BO,0)-2,58)=""),INDEX(Tab_DaBa[],MATCH(CONCATENATE(Liste!$C$3,$B$2825,$B$2967),Data!$BO:$BO,0)-2,13),IF(INDEX(Tab_DaBa[],MATCH(CONCATENATE(Liste!$C$3,$B$2825,$B$2967),Data!$BO:$BO,0)-2,53)&lt;&gt;"",INDEX(Tab_DaBa[],MATCH(CONCATENATE(Liste!$C$3,$B$2825,$B$2967),Data!$BO:$BO,0)-2,58),"")),"")</f>
        <v/>
      </c>
      <c r="E2987" s="38" t="str">
        <f ca="1">IF(F2985="","",4)</f>
        <v/>
      </c>
      <c r="F2987" s="35" t="str">
        <f ca="1">IFERROR(IF(AND(INDEX(Tab_DaBa[],MATCH(CONCATENATE(Liste!$C$3,$B$2825,$B$2967),Data!$BO:$BO,0)-2,58)&lt;&gt;"",INDEX(Tab_DaBa[],MATCH(CONCATENATE(Liste!$C$3,$B$2825,$B$2967),Data!$BO:$BO,0)-2,63)=""),INDEX(Tab_DaBa[],MATCH(CONCATENATE(Liste!$C$3,$B$2825,$B$2967),Data!$BO:$BO,0)-2,13),IF(INDEX(Tab_DaBa[],MATCH(CONCATENATE(Liste!$C$3,$B$2825,$B$2967),Data!$BO:$BO,0)-2,58)&lt;&gt;"",INDEX(Tab_DaBa[],MATCH(CONCATENATE(Liste!$C$3,$B$2825,$B$2967),Data!$BO:$BO,0)-2,63),"")),"")</f>
        <v/>
      </c>
      <c r="G2987" s="38" t="str">
        <f ca="1">IF(H2985="","",4)</f>
        <v/>
      </c>
      <c r="H2987" s="35" t="str">
        <f ca="1">IFERROR(IF(INDEX(Tab_DaBa[],MATCH(CONCATENATE(Liste!$C$3,$B$2825,$B$2967),Data!$BO:$BO,0)-2,63)&lt;&gt;"",INDEX(Tab_DaBa[],MATCH(CONCATENATE(Liste!$C$3,$B$2825,$B$2967),Data!$BO:$BO,0)-2,13),""),"")</f>
        <v/>
      </c>
    </row>
    <row r="2988" spans="2:9" s="16" customFormat="1" ht="15.75">
      <c r="B2988" s="35" t="str">
        <f ca="1">IFERROR(IF(AND(INDEX(Tab_DaBa[],MATCH(CONCATENATE(Liste!$C$3,$B$2825,$B$2967),Data!$BO:$BO,0)-2,48)&lt;&gt;"",INDEX(Tab_DaBa[],MATCH(CONCATENATE(Liste!$C$3,$B$2825,$B$2967),Data!$BO:$BO,0)-2,53)=""),"Performance Level: "&amp;INDEX(Tab_DaBa[],MATCH(CONCATENATE(Liste!$C$3,$B$2825,$B$2967),Data!$BO:$BO,0)-2,15),IF(INDEX(Tab_DaBa[],MATCH(CONCATENATE(Liste!$C$3,$B$2825,$B$2967),Data!$BO:$BO,0)-2,48)&lt;&gt;"","Performance Level: "&amp;INDEX(Tab_DaBa[],MATCH(CONCATENATE(Liste!$C$3,$B$2825,$B$2967),Data!$BO:$BO,0)-2,55),"")),"")</f>
        <v/>
      </c>
      <c r="C2988" s="39"/>
      <c r="D2988" s="35" t="str">
        <f ca="1">IFERROR(IF(AND(INDEX(Tab_DaBa[],MATCH(CONCATENATE(Liste!$C$3,$B$2825,$B$2967),Data!$BO:$BO,0)-2,53)&lt;&gt;"",INDEX(Tab_DaBa[],MATCH(CONCATENATE(Liste!$C$3,$B$2825,$B$2967),Data!$BO:$BO,0)-2,58)=""),"Performance Level: "&amp;INDEX(Tab_DaBa[],MATCH(CONCATENATE(Liste!$C$3,$B$2825,$B$2967),Data!$BO:$BO,0)-2,15),IF(INDEX(Tab_DaBa[],MATCH(CONCATENATE(Liste!$C$3,$B$2825,$B$2967),Data!$BO:$BO,0)-2,53)&lt;&gt;"","Performance Level: "&amp;INDEX(Tab_DaBa[],MATCH(CONCATENATE(Liste!$C$3,$B$2825,$B$2967),Data!$BO:$BO,0)-2,60),"")),"")</f>
        <v/>
      </c>
      <c r="E2988" s="37"/>
      <c r="F2988" s="35" t="str">
        <f ca="1">IFERROR(IF(AND(INDEX(Tab_DaBa[],MATCH(CONCATENATE(Liste!$C$3,$B$2825,$B$2967),Data!$BO:$BO,0)-2,58)&lt;&gt;"",INDEX(Tab_DaBa[],MATCH(CONCATENATE(Liste!$C$3,$B$2825,$B$2967),Data!$BO:$BO,0)-2,63)=""),"Performance Level: "&amp;INDEX(Tab_DaBa[],MATCH(CONCATENATE(Liste!$C$3,$B$2825,$B$2967),Data!$BO:$BO,0)-2,15),IF(INDEX(Tab_DaBa[],MATCH(CONCATENATE(Liste!$C$3,$B$2825,$B$2967),Data!$BO:$BO,0)-2,58)&lt;&gt;"","Performance Level: "&amp;INDEX(Tab_DaBa[],MATCH(CONCATENATE(Liste!$C$3,$B$2825,$B$2967),Data!$BO:$BO,0)-2,65),"")),"")</f>
        <v/>
      </c>
      <c r="G2988" s="39"/>
      <c r="H2988" s="35" t="str">
        <f ca="1">IFERROR(IF(INDEX(Tab_DaBa[],MATCH(CONCATENATE(Liste!$C$3,$B$2825,$B$2967),Data!$BO:$BO,0)-2,63)&lt;&gt;"","Performance Level: "&amp;INDEX(Tab_DaBa[],MATCH(CONCATENATE(Liste!$C$3,$B$2825,$B$2967),Data!$BO:$BO,0)-2,15),""),"")</f>
        <v/>
      </c>
    </row>
    <row r="2989" spans="2:9" s="16" customFormat="1" ht="15.75">
      <c r="B2989" s="35" t="str">
        <f ca="1">IFERROR(IF(AND(INDEX(Tab_DaBa[],MATCH(CONCATENATE(Liste!$C$3,$B$2825,$B$2967),Data!$BO:$BO,0)-2,48)&lt;&gt;"",INDEX(Tab_DaBa[],MATCH(CONCATENATE(Liste!$C$3,$B$2825,$B$2967),Data!$BO:$BO,0)-2,53)=""),"PFH [1/h] = "&amp;10^9*INDEX(Tab_DaBa[],MATCH(CONCATENATE(Liste!$C$3,$B$2825,$B$2967),Data!$BO:$BO,0)-2,16)&amp;"E-9",IF(INDEX(Tab_DaBa[],MATCH(CONCATENATE(Liste!$C$3,$B$2825,$B$2967),Data!$BO:$BO,0)-2,48)&lt;&gt;"","PFH [1/h] = "&amp;10^9*INDEX(Tab_DaBa[],MATCH(CONCATENATE(Liste!$C$3,$B$2825,$B$2967),Data!$BO:$BO,0)-2,56)&amp;"E-9","")),"")</f>
        <v/>
      </c>
      <c r="C2989" s="39"/>
      <c r="D2989" s="35" t="str">
        <f ca="1">IFERROR(IF(AND(INDEX(Tab_DaBa[],MATCH(CONCATENATE(Liste!$C$3,$B$2825,$B$2967),Data!$BO:$BO,0)-2,53)&lt;&gt;"",INDEX(Tab_DaBa[],MATCH(CONCATENATE(Liste!$C$3,$B$2825,$B$2967),Data!$BO:$BO,0)-2,58)=""),"PFH [1/h] = "&amp;10^9*INDEX(Tab_DaBa[],MATCH(CONCATENATE(Liste!$C$3,$B$2825,$B$2967),Data!$BO:$BO,0)-2,16)&amp;"E-9",IF(INDEX(Tab_DaBa[],MATCH(CONCATENATE(Liste!$C$3,$B$2825,$B$2967),Data!$BO:$BO,0)-2,53)&lt;&gt;"","PFH [1/h] = "&amp;10^9*INDEX(Tab_DaBa[],MATCH(CONCATENATE(Liste!$C$3,$B$2825,$B$2967),Data!$BO:$BO,0)-2,61)&amp;"E-9","")),"")</f>
        <v/>
      </c>
      <c r="E2989" s="37"/>
      <c r="F2989" s="35" t="str">
        <f ca="1">IFERROR(IF(AND(INDEX(Tab_DaBa[],MATCH(CONCATENATE(Liste!$C$3,$B$2825,$B$2967),Data!$BO:$BO,0)-2,58)&lt;&gt;"",INDEX(Tab_DaBa[],MATCH(CONCATENATE(Liste!$C$3,$B$2825,$B$2967),Data!$BO:$BO,0)-2,63)=""),"PFH [1/h] = "&amp;10^9*INDEX(Tab_DaBa[],MATCH(CONCATENATE(Liste!$C$3,$B$2825,$B$2967),Data!$BO:$BO,0)-2,16)&amp;"E-9",IF(INDEX(Tab_DaBa[],MATCH(CONCATENATE(Liste!$C$3,$B$2825,$B$2967),Data!$BO:$BO,0)-2,58)&lt;&gt;"","PFH [1/h] = "&amp;10^9*INDEX(Tab_DaBa[],MATCH(CONCATENATE(Liste!$C$3,$B$2825,$B$2967),Data!$BO:$BO,0)-2,66)&amp;"E-9","")),"")</f>
        <v/>
      </c>
      <c r="G2989" s="39"/>
      <c r="H2989" s="35" t="str">
        <f ca="1">IFERROR(IF(INDEX(Tab_DaBa[],MATCH(CONCATENATE(Liste!$C$3,$B$2825,$B$2967),Data!$BO:$BO,0)-2,63)&lt;&gt;"","PFH [1/h] = "&amp;10^9*INDEX(Tab_DaBa[],MATCH(CONCATENATE(Liste!$C$3,$B$2825,$B$2967),Data!$BO:$BO,0)-2,16)&amp;"E-9",""),"")</f>
        <v/>
      </c>
    </row>
    <row r="2990" spans="2:9" s="16" customFormat="1"/>
    <row r="2991" spans="2:9" s="16" customFormat="1">
      <c r="B2991" s="43" t="str">
        <f ca="1">IF(D2991="","","Erforderlich")</f>
        <v>Erforderlich</v>
      </c>
      <c r="D2991" s="44" t="str">
        <f ca="1">IFERROR("Performance Level: "&amp;INDEX(Tab_DaBa[],MATCH(CONCATENATE(Liste!$C$3,$B$2825,$B$2967),Data!$BO:$BO,0)-2,4),"")</f>
        <v>Performance Level: PLr_ges4_6</v>
      </c>
    </row>
    <row r="2992" spans="2:9" s="16" customFormat="1">
      <c r="B2992" s="45"/>
    </row>
    <row r="2993" spans="2:9" s="16" customFormat="1">
      <c r="B2993" s="46" t="str">
        <f ca="1">IF(D2993="","","Erreicht")</f>
        <v>Erreicht</v>
      </c>
      <c r="D2993" s="47" t="str">
        <f ca="1">IFERROR("Performance Level: "&amp;INDEX(Tab_DaBa[],MATCH(CONCATENATE(Liste!$C$3,$B$2825,$B$2967),Data!$BO:$BO,0)-2,5)&amp;"          PFH [1/h] = "&amp;10^9*INDEX(Tab_DaBa[],MATCH(CONCATENATE(Liste!$C$3,$B$2825,$B$2967),Data!$BO:$BO,0)-2,6)&amp;"E-9","")</f>
        <v>Performance Level: Pl_ges4_6          PFH [1/h] = 71,7E-9</v>
      </c>
    </row>
    <row r="2994" spans="2:9" s="16" customFormat="1"/>
    <row r="2995" spans="2:9" s="16" customFormat="1">
      <c r="B2995" s="42" t="str">
        <f ca="1">IFERROR(IF(7&gt;COUNTIF(Data!$BP:$BP,CONCATENATE(Liste!$C$3,$B$2825)),"",INDEX(Tab_DaBa[],MATCH(CONCATENATE(Liste!$C$3,$B$2825),Data!$BP:$BP,0)+4,3)),"")</f>
        <v>11.7 Test11 (E+7L+A)</v>
      </c>
    </row>
    <row r="2996" spans="2:9" s="16" customFormat="1"/>
    <row r="2997" spans="2:9" s="16" customFormat="1" ht="15.75">
      <c r="B2997" s="35" t="str">
        <f ca="1">IFERROR(INDEX(Tab_DaBa[],MATCH(CONCATENATE(Liste!$C$3,$B$2825,$B$2995),Data!$BO:$BO,0)-2,9),"")</f>
        <v>Eingang</v>
      </c>
      <c r="C2997" s="54"/>
      <c r="D2997" s="35" t="str">
        <f ca="1">IFERROR(IF(INDEX(Tab_DaBa[],MATCH(CONCATENATE(Liste!$C$3,$B$2825,$B$2995),Data!$BO:$BO,0)-2,18)=0,INDEX(Tab_DaBa[],MATCH(CONCATENATE(Liste!$C$3,$B$2825,$B$2995),Data!$BO:$BO,0)-2,14),INDEX(Tab_DaBa[],MATCH(CONCATENATE(Liste!$C$3,$B$2825,$B$2995),Data!$BO:$BO,0)-2,19)),"")</f>
        <v>Logik 01</v>
      </c>
      <c r="E2997" s="33"/>
      <c r="F2997" s="35" t="str">
        <f ca="1">IFERROR(IF(AND(INDEX(Tab_DaBa[],MATCH(CONCATENATE(Liste!$C$3,$B$2825,$B$2995),Data!$BO:$BO,0)-2,18)&lt;&gt;"",INDEX(Tab_DaBa[],MATCH(CONCATENATE(Liste!$C$3,$B$2825,$B$2995),Data!$BO:$BO,0)-2,23)=0),INDEX(Tab_DaBa[],MATCH(CONCATENATE(Liste!$C$3,$B$2825,$B$2995),Data!$BO:$BO,0)-2,14),IF(INDEX(Tab_DaBa[],MATCH(CONCATENATE(Liste!$C$3,$B$2825,$B$2995),Data!$BO:$BO,0)-2,23)&lt;&gt;"",INDEX(Tab_DaBa[],MATCH(CONCATENATE(Liste!$C$3,$B$2825,$B$2995),Data!$BO:$BO,0)-2,24),"")),"")</f>
        <v>Logik 02</v>
      </c>
      <c r="G2997" s="39"/>
      <c r="H2997" s="35" t="str">
        <f ca="1">IFERROR(IF(AND(INDEX(Tab_DaBa[],MATCH(CONCATENATE(Liste!$C$3,$B$2825,$B$2995),Data!$BO:$BO,0)-2,23)&lt;&gt;"",INDEX(Tab_DaBa[],MATCH(CONCATENATE(Liste!$C$3,$B$2825,$B$2995),Data!$BO:$BO,0)-2,28)=0),INDEX(Tab_DaBa[],MATCH(CONCATENATE(Liste!$C$3,$B$2825,$B$2995),Data!$BO:$BO,0)-2,14),IF(INDEX(Tab_DaBa[],MATCH(CONCATENATE(Liste!$C$3,$B$2825,$B$2995),Data!$BO:$BO,0)-2,23)&lt;&gt;"",INDEX(Tab_DaBa[],MATCH(CONCATENATE(Liste!$C$3,$B$2825,$B$2995),Data!$BO:$BO,0)-2,29),"")),"")</f>
        <v>Logik 03</v>
      </c>
      <c r="I2997" s="39"/>
    </row>
    <row r="2998" spans="2:9" s="16" customFormat="1" ht="15.75">
      <c r="B2998" s="35" t="str">
        <f ca="1">IFERROR(INDEX(Tab_DaBa[],MATCH(CONCATENATE(Liste!$C$3,$B$2825,$B$2995),Data!$BO:$BO,0)-2,7),"")</f>
        <v>eeee-33_7</v>
      </c>
      <c r="C2998" s="54"/>
      <c r="D2998" s="35" t="str">
        <f ca="1">IFERROR(IF(INDEX(Tab_DaBa[],MATCH(CONCATENATE(Liste!$C$3,$B$2825,$B$2995),Data!$BO:$BO,0)-2,18)="",INDEX(Tab_DaBa[],MATCH(CONCATENATE(Liste!$C$3,$B$2825,$B$2995),Data!$BO:$BO,0)-2,12),INDEX(Tab_DaBa[],MATCH(CONCATENATE(Liste!$C$3,$B$2825,$B$2995),Data!$BO:$BO,0)-2,17)),"")</f>
        <v>Log01-04_07</v>
      </c>
      <c r="E2998" s="36"/>
      <c r="F2998" s="35" t="str">
        <f ca="1">IFERROR(IF(AND(INDEX(Tab_DaBa[],MATCH(CONCATENATE(Liste!$C$3,$B$2825,$B$2995),Data!$BO:$BO,0)-2,18)&lt;&gt;"",INDEX(Tab_DaBa[],MATCH(CONCATENATE(Liste!$C$3,$B$2825,$B$2995),Data!$BO:$BO,0)-2,23)=0),INDEX(Tab_DaBa[],MATCH(CONCATENATE(Liste!$C$3,$B$2825,$B$2995),Data!$BO:$BO,0)-2,12),IF(INDEX(Tab_DaBa[],MATCH(CONCATENATE(Liste!$C$3,$B$2825,$B$2995),Data!$BO:$BO,0)-2,23)&lt;&gt;"",INDEX(Tab_DaBa[],MATCH(CONCATENATE(Liste!$C$3,$B$2825,$B$2995),Data!$BO:$BO,0)-2,22),"")),"")</f>
        <v>Lo04-04_07</v>
      </c>
      <c r="G2998" s="39"/>
      <c r="H2998" s="35" t="str">
        <f ca="1">IFERROR(IF(AND(INDEX(Tab_DaBa[],MATCH(CONCATENATE(Liste!$C$3,$B$2825,$B$2995),Data!$BO:$BO,0)-2,23)&lt;&gt;"",INDEX(Tab_DaBa[],MATCH(CONCATENATE(Liste!$C$3,$B$2825,$B$2995),Data!$BO:$BO,0)-2,28)=0),INDEX(Tab_DaBa[],MATCH(CONCATENATE(Liste!$C$3,$B$2825,$B$2995),Data!$BO:$BO,0)-2,12),IF(INDEX(Tab_DaBa[],MATCH(CONCATENATE(Liste!$C$3,$B$2825,$B$2995),Data!$BO:$BO,0)-2,23)&lt;&gt;"",INDEX(Tab_DaBa[],MATCH(CONCATENATE(Liste!$C$3,$B$2825,$B$2995),Data!$BO:$BO,0)-2,27),"")),"")</f>
        <v>Lo04-44_07</v>
      </c>
      <c r="I2998" s="39"/>
    </row>
    <row r="2999" spans="2:9" s="16" customFormat="1" ht="15.75">
      <c r="B2999" s="35" t="str">
        <f ca="1">IFERROR(INDEX(Tab_DaBa[],MATCH(CONCATENATE(Liste!$C$3,$B$2825,$B$2995),Data!$BO:$BO,0)-2,8),"")</f>
        <v>Bez_Ein4_7</v>
      </c>
      <c r="C2999" s="40">
        <f ca="1">IF(D2997="","",4)</f>
        <v>4</v>
      </c>
      <c r="D2999" s="35" t="str">
        <f ca="1">IFERROR(IF(INDEX(Tab_DaBa[],MATCH(CONCATENATE(Liste!$C$3,$B$2825,$B$2995),Data!$BO:$BO,0)-2,18)="",INDEX(Tab_DaBa[],MATCH(CONCATENATE(Liste!$C$3,$B$2825,$B$2995),Data!$BO:$BO,0)-2,13),INDEX(Tab_DaBa[],MATCH(CONCATENATE(Liste!$C$3,$B$2825,$B$2995),Data!$BO:$BO,0)-2,18)),"")</f>
        <v>Bez_Log01_04_07</v>
      </c>
      <c r="E2999" s="40">
        <f ca="1">IF(F2997="","",4)</f>
        <v>4</v>
      </c>
      <c r="F2999" s="35" t="str">
        <f ca="1">IFERROR(IF(AND(INDEX(Tab_DaBa[],MATCH(CONCATENATE(Liste!$C$3,$B$2825,$B$2995),Data!$BO:$BO,0)-2,18)&lt;&gt;"",INDEX(Tab_DaBa[],MATCH(CONCATENATE(Liste!$C$3,$B$2825,$B$2995),Data!$BO:$BO,0)-2,23)=""),INDEX(Tab_DaBa[],MATCH(CONCATENATE(Liste!$C$3,$B$2825,$B$2995),Data!$BO:$BO,0)-2,13),IF(INDEX(Tab_DaBa[],MATCH(CONCATENATE(Liste!$C$3,$B$2825,$B$2995),Data!$BO:$BO,0)-2,23)&lt;&gt;"",INDEX(Tab_DaBa[],MATCH(CONCATENATE(Liste!$C$3,$B$2825,$B$2995),Data!$BO:$BO,0)-2,23),"")),"")</f>
        <v>Bez_Lo04_07</v>
      </c>
      <c r="G2999" s="38">
        <f ca="1">IF(H2997="","",4)</f>
        <v>4</v>
      </c>
      <c r="H2999" s="35" t="str">
        <f ca="1">IFERROR(IF(AND(INDEX(Tab_DaBa[],MATCH(CONCATENATE(Liste!$C$3,$B$2825,$B$2995),Data!$BO:$BO,0)-2,23)&lt;&gt;"",INDEX(Tab_DaBa[],MATCH(CONCATENATE(Liste!$C$3,$B$2825,$B$2995),Data!$BO:$BO,0)-2,28)=""),INDEX(Tab_DaBa[],MATCH(CONCATENATE(Liste!$C$3,$B$2825,$B$2995),Data!$BO:$BO,0)-2,13),IF(INDEX(Tab_DaBa[],MATCH(CONCATENATE(Liste!$C$3,$B$2825,$B$2995),Data!$BO:$BO,0)-2,23)&lt;&gt;"",INDEX(Tab_DaBa[],MATCH(CONCATENATE(Liste!$C$3,$B$2825,$B$2995),Data!$BO:$BO,0)-2,28),"")),"")</f>
        <v>Bez_Lo04_07</v>
      </c>
      <c r="I2999" s="38">
        <f ca="1">IF(B3005="","",6)</f>
        <v>6</v>
      </c>
    </row>
    <row r="3000" spans="2:9" s="16" customFormat="1" ht="15.75">
      <c r="B3000" s="35" t="str">
        <f ca="1">IFERROR("Performance Level: "&amp;INDEX(Tab_DaBa[],MATCH(CONCATENATE(Liste!$C$3,$B$2825,$B$2995),Data!$BO:$BO,0)-2,10),"")</f>
        <v>Performance Level: PL_Ein4_7</v>
      </c>
      <c r="C3000" s="54"/>
      <c r="D3000" s="35" t="str">
        <f ca="1">IFERROR(IF(INDEX(Tab_DaBa[],MATCH(CONCATENATE(Liste!$C$3,$B$2825,$B$2995),Data!$BO:$BO,0)-2,18)="","Performance Level: "&amp;INDEX(Tab_DaBa[],MATCH(CONCATENATE(Liste!$C$3,$B$2825,$B$2995),Data!$BO:$BO,0)-2,15),"Performance Level: "&amp;INDEX(Tab_DaBa[],MATCH(CONCATENATE(Liste!$C$3,$B$2825,$B$2995),Data!$BO:$BO,0)-2,20)),"")</f>
        <v>Performance Level: PL_Log01_04_07</v>
      </c>
      <c r="E3000" s="36"/>
      <c r="F3000" s="35" t="str">
        <f ca="1">IFERROR(IF(AND(INDEX(Tab_DaBa[],MATCH(CONCATENATE(Liste!$C$3,$B$2825,$B$2995),Data!$BO:$BO,0)-2,18)&lt;&gt;"",INDEX(Tab_DaBa[],MATCH(CONCATENATE(Liste!$C$3,$B$2825,$B$2995),Data!$BO:$BO,0)-2,23)=""),"Performance Level: "&amp;INDEX(Tab_DaBa[],MATCH(CONCATENATE(Liste!$C$3,$B$2825,$B$2995),Data!$BO:$BO,0)-2,15),IF(INDEX(Tab_DaBa[],MATCH(CONCATENATE(Liste!$C$3,$B$2825,$B$2995),Data!$BO:$BO,0)-2,23)&lt;&gt;"","Performance Level: "&amp;INDEX(Tab_DaBa[],MATCH(CONCATENATE(Liste!$C$3,$B$2825,$B$2995),Data!$BO:$BO,0)-2,25),"")),"")</f>
        <v>Performance Level: PL_Lo04_07</v>
      </c>
      <c r="G3000" s="39"/>
      <c r="H3000" s="35" t="str">
        <f ca="1">IFERROR(IF(AND(INDEX(Tab_DaBa[],MATCH(CONCATENATE(Liste!$C$3,$B$2825,$B$2995),Data!$BO:$BO,0)-2,23)&lt;&gt;"",INDEX(Tab_DaBa[],MATCH(CONCATENATE(Liste!$C$3,$B$2825,$B$2995),Data!$BO:$BO,0)-2,28)=""),"Performance Level: "&amp;INDEX(Tab_DaBa[],MATCH(CONCATENATE(Liste!$C$3,$B$2825,$B$2995),Data!$BO:$BO,0)-2,15),IF(INDEX(Tab_DaBa[],MATCH(CONCATENATE(Liste!$C$3,$B$2825,$B$2995),Data!$BO:$BO,0)-2,23)&lt;&gt;"","Performance Level: "&amp;INDEX(Tab_DaBa[],MATCH(CONCATENATE(Liste!$C$3,$B$2825,$B$2995),Data!$BO:$BO,0)-2,30),"")),"")</f>
        <v>Performance Level: PL_Lo04_07</v>
      </c>
      <c r="I3000" s="38"/>
    </row>
    <row r="3001" spans="2:9" s="16" customFormat="1" ht="15.75">
      <c r="B3001" s="53" t="str">
        <f ca="1">IFERROR("PFH [1/h] = "&amp;10^9*INDEX(Tab_DaBa[],MATCH(CONCATENATE(Liste!$C$3,$B$2825,$B$2995),Data!$BO:$BO,0)-2,11)&amp;"E-9","")</f>
        <v>PFH [1/h] = 42,9E-9</v>
      </c>
      <c r="C3001" s="54"/>
      <c r="D3001" s="35" t="str">
        <f ca="1">IFERROR(IF(INDEX(Tab_DaBa[],MATCH(CONCATENATE(Liste!$C$3,$B$2825,$B$2995),Data!$BO:$BO,0)-2,18)="","PFH [1/h] = "&amp;10^9*INDEX(Tab_DaBa[],MATCH(CONCATENATE(Liste!$C$3,$B$2825,$B$2995),Data!$BO:$BO,0)-2,16)&amp;"E-9","PFH [1/h] = "&amp;10^9*INDEX(Tab_DaBa[],MATCH(CONCATENATE(Liste!$C$3,$B$2825,$B$2995),Data!$BO:$BO,0)-2,21)&amp;"E-9"),"")</f>
        <v>PFH [1/h] = 4,19E-9</v>
      </c>
      <c r="E3001" s="36"/>
      <c r="F3001" s="35" t="str">
        <f ca="1">IFERROR(IF(AND(INDEX(Tab_DaBa[],MATCH(CONCATENATE(Liste!$C$3,$B$2825,$B$2995),Data!$BO:$BO,0)-2,18)&lt;&gt;"",INDEX(Tab_DaBa[],MATCH(CONCATENATE(Liste!$C$3,$B$2825,$B$2995),Data!$BO:$BO,0)-2,23)=""),"PFH [1/h] = "&amp;10^9*INDEX(Tab_DaBa[],MATCH(CONCATENATE(Liste!$C$3,$B$2825,$B$2995),Data!$BO:$BO,0)-2,16)&amp;"E-9",IF(INDEX(Tab_DaBa[],MATCH(CONCATENATE(Liste!$C$3,$B$2825,$B$2995),Data!$BO:$BO,0)-2,23)&lt;&gt;"","PFH [1/h] = "&amp;10^9*INDEX(Tab_DaBa[],MATCH(CONCATENATE(Liste!$C$3,$B$2825,$B$2995),Data!$BO:$BO,0)-2,26)&amp;"E-9","")),"")</f>
        <v>PFH [1/h] = 4,19E-9</v>
      </c>
      <c r="G3001" s="39"/>
      <c r="H3001" s="35" t="str">
        <f ca="1">IFERROR(IF(AND(INDEX(Tab_DaBa[],MATCH(CONCATENATE(Liste!$C$3,$B$2825,$B$2995),Data!$BO:$BO,0)-2,23)&lt;&gt;"",INDEX(Tab_DaBa[],MATCH(CONCATENATE(Liste!$C$3,$B$2825,$B$2995),Data!$BO:$BO,0)-2,28)=""),"PFH [1/h] = "&amp;10^9*INDEX(Tab_DaBa[],MATCH(CONCATENATE(Liste!$C$3,$B$2825,$B$2995),Data!$BO:$BO,0)-2,16)&amp;"E-9",IF(INDEX(Tab_DaBa[],MATCH(CONCATENATE(Liste!$C$3,$B$2825,$B$2995),Data!$BO:$BO,0)-2,23)&lt;&gt;"","PFH [1/h] = "&amp;10^9*INDEX(Tab_DaBa[],MATCH(CONCATENATE(Liste!$C$3,$B$2825,$B$2995),Data!$BO:$BO,0)-2,31)&amp;"E-9","")),"")</f>
        <v>PFH [1/h] = 4,19E-9</v>
      </c>
      <c r="I3001" s="39"/>
    </row>
    <row r="3002" spans="2:9" s="16" customFormat="1">
      <c r="B3002" s="33"/>
      <c r="C3002" s="34"/>
      <c r="D3002" s="33"/>
      <c r="E3002" s="33"/>
      <c r="F3002" s="33"/>
      <c r="G3002" s="33"/>
      <c r="H3002" s="33"/>
      <c r="I3002" s="33"/>
    </row>
    <row r="3003" spans="2:9" s="16" customFormat="1" ht="15.75">
      <c r="B3003" s="38">
        <f ca="1">IF(B3005="","",6)</f>
        <v>6</v>
      </c>
      <c r="C3003" s="34"/>
      <c r="D3003" s="38">
        <f ca="1">IF(B3005="","",3)</f>
        <v>3</v>
      </c>
      <c r="E3003" s="33"/>
      <c r="F3003" s="38">
        <f ca="1">IF(B3005="","",3)</f>
        <v>3</v>
      </c>
      <c r="G3003" s="33"/>
      <c r="H3003" s="38">
        <f ca="1">IF(B3005="","",3)</f>
        <v>3</v>
      </c>
      <c r="I3003" s="33"/>
    </row>
    <row r="3004" spans="2:9" s="16" customFormat="1" ht="15.75">
      <c r="B3004" s="39"/>
      <c r="C3004" s="33"/>
      <c r="D3004" s="33"/>
      <c r="E3004" s="33"/>
      <c r="F3004" s="33"/>
      <c r="G3004" s="33"/>
      <c r="H3004" s="33"/>
      <c r="I3004" s="33"/>
    </row>
    <row r="3005" spans="2:9" s="16" customFormat="1" ht="15.75">
      <c r="B3005" s="35" t="str">
        <f ca="1">IFERROR(IF(AND(INDEX(Tab_DaBa[],MATCH(CONCATENATE(Liste!$C$3,$B$2825,$B$2995),Data!$BO:$BO,0)-2,28)&lt;&gt;"",INDEX(Tab_DaBa[],MATCH(CONCATENATE(Liste!$C$3,$B$2825,$B$2995),Data!$BO:$BO,0)-2,33)=0),INDEX(Tab_DaBa[],MATCH(CONCATENATE(Liste!$C$3,$B$2825,$B$2995),Data!$BO:$BO,0)-2,14),IF(INDEX(Tab_DaBa[],MATCH(CONCATENATE(Liste!$C$3,$B$2825,$B$2995),Data!$BO:$BO,0)-2,28)&lt;&gt;"",INDEX(Tab_DaBa[],MATCH(CONCATENATE(Liste!$C$3,$B$2825,$B$2995),Data!$BO:$BO,0)-2,34),"")),"")</f>
        <v>Logik 04</v>
      </c>
      <c r="C3005" s="39"/>
      <c r="D3005" s="35" t="str">
        <f ca="1">IFERROR(IF(AND(INDEX(Tab_DaBa[],MATCH(CONCATENATE(Liste!$C$3,$B$2825,$B$2995),Data!$BO:$BO,0)-2,33)&lt;&gt;"",INDEX(Tab_DaBa[],MATCH(CONCATENATE(Liste!$C$3,$B$2825,$B$2995),Data!$BO:$BO,0)-2,38)=0),INDEX(Tab_DaBa[],MATCH(CONCATENATE(Liste!$C$3,$B$2825,$B$2995),Data!$BO:$BO,0)-2,14),IF(INDEX(Tab_DaBa[],MATCH(CONCATENATE(Liste!$C$3,$B$2825,$B$2995),Data!$BO:$BO,0)-2,33)&lt;&gt;"",INDEX(Tab_DaBa[],MATCH(CONCATENATE(Liste!$C$3,$B$2825,$B$2995),Data!$BO:$BO,0)-2,39),"")),"")</f>
        <v>Logik 05</v>
      </c>
      <c r="E3005" s="33"/>
      <c r="F3005" s="35" t="str">
        <f ca="1">IFERROR(IF(AND(INDEX(Tab_DaBa[],MATCH(CONCATENATE(Liste!$C$3,$B$2825,$B$2995),Data!$BO:$BO,0)-2,38)&lt;&gt;"",INDEX(Tab_DaBa[],MATCH(CONCATENATE(Liste!$C$3,$B$2825,$B$2995),Data!$BO:$BO,0)-2,43)=0),INDEX(Tab_DaBa[],MATCH(CONCATENATE(Liste!$C$3,$B$2825,$B$2995),Data!$BO:$BO,0)-2,14),IF(INDEX(Tab_DaBa[],MATCH(CONCATENATE(Liste!$C$3,$B$2825,$B$2995),Data!$BO:$BO,0)-2,38)&lt;&gt;"",INDEX(Tab_DaBa[],MATCH(CONCATENATE(Liste!$C$3,$B$2825,$B$2995),Data!$BO:$BO,0)-2,44),"")),"")</f>
        <v>Logik 06</v>
      </c>
      <c r="G3005" s="39"/>
      <c r="H3005" s="35" t="str">
        <f ca="1">IFERROR(IF(AND(INDEX(Tab_DaBa[],MATCH(CONCATENATE(Liste!$C$3,$B$2825,$B$2995),Data!$BO:$BO,0)-2,43)&lt;&gt;"",INDEX(Tab_DaBa[],MATCH(CONCATENATE(Liste!$C$3,$B$2825,$B$2995),Data!$BO:$BO,0)-2,48)=0),INDEX(Tab_DaBa[],MATCH(CONCATENATE(Liste!$C$3,$B$2825,$B$2995),Data!$BO:$BO,0)-2,14),IF(INDEX(Tab_DaBa[],MATCH(CONCATENATE(Liste!$C$3,$B$2825,$B$2995),Data!$BO:$BO,0)-2,43)&lt;&gt;"",INDEX(Tab_DaBa[],MATCH(CONCATENATE(Liste!$C$3,$B$2825,$B$2995),Data!$BO:$BO,0)-2,49),"")),"")</f>
        <v>Logik 07</v>
      </c>
      <c r="I3005" s="39"/>
    </row>
    <row r="3006" spans="2:9" s="16" customFormat="1" ht="15.75">
      <c r="B3006" s="35" t="str">
        <f ca="1">IFERROR(IF(AND(INDEX(Tab_DaBa[],MATCH(CONCATENATE(Liste!$C$3,$B$2825,$B$2995),Data!$BO:$BO,0)-2,28)&lt;&gt;"",INDEX(Tab_DaBa[],MATCH(CONCATENATE(Liste!$C$3,$B$2825,$B$2995),Data!$BO:$BO,0)-2,33)=0),INDEX(Tab_DaBa[],MATCH(CONCATENATE(Liste!$C$3,$B$2825,$B$2995),Data!$BO:$BO,0)-2,12),IF(INDEX(Tab_DaBa[],MATCH(CONCATENATE(Liste!$C$3,$B$2825,$B$2995),Data!$BO:$BO,0)-2,28)&lt;&gt;"",INDEX(Tab_DaBa[],MATCH(CONCATENATE(Liste!$C$3,$B$2825,$B$2995),Data!$BO:$BO,0)-2,32),"")),"")</f>
        <v>Lo04-44_07</v>
      </c>
      <c r="C3006" s="39"/>
      <c r="D3006" s="35" t="str">
        <f ca="1">IFERROR(IF(AND(INDEX(Tab_DaBa[],MATCH(CONCATENATE(Liste!$C$3,$B$2825,$B$2995),Data!$BO:$BO,0)-2,33)&lt;&gt;"",INDEX(Tab_DaBa[],MATCH(CONCATENATE(Liste!$C$3,$B$2825,$B$2995),Data!$BO:$BO,0)-2,38)=0),INDEX(Tab_DaBa[],MATCH(CONCATENATE(Liste!$C$3,$B$2825,$B$2995),Data!$BO:$BO,0)-2,12),IF(INDEX(Tab_DaBa[],MATCH(CONCATENATE(Liste!$C$3,$B$2825,$B$2995),Data!$BO:$BO,0)-2,33)&lt;&gt;"",INDEX(Tab_DaBa[],MATCH(CONCATENATE(Liste!$C$3,$B$2825,$B$2995),Data!$BO:$BO,0)-2,37),"")),"")</f>
        <v>Lo04-44_07</v>
      </c>
      <c r="E3006" s="37"/>
      <c r="F3006" s="35" t="str">
        <f ca="1">IFERROR(IF(AND(INDEX(Tab_DaBa[],MATCH(CONCATENATE(Liste!$C$3,$B$2825,$B$2995),Data!$BO:$BO,0)-2,38)&lt;&gt;"",INDEX(Tab_DaBa[],MATCH(CONCATENATE(Liste!$C$3,$B$2825,$B$2995),Data!$BO:$BO,0)-2,43)=0),INDEX(Tab_DaBa[],MATCH(CONCATENATE(Liste!$C$3,$B$2825,$B$2995),Data!$BO:$BO,0)-2,12),IF(INDEX(Tab_DaBa[],MATCH(CONCATENATE(Liste!$C$3,$B$2825,$B$2995),Data!$BO:$BO,0)-2,38)&lt;&gt;"",INDEX(Tab_DaBa[],MATCH(CONCATENATE(Liste!$C$3,$B$2825,$B$2995),Data!$BO:$BO,0)-2,42),"")),"")</f>
        <v>Lo03-33_07</v>
      </c>
      <c r="G3006" s="39"/>
      <c r="H3006" s="35" t="str">
        <f ca="1">IFERROR(IF(AND(INDEX(Tab_DaBa[],MATCH(CONCATENATE(Liste!$C$3,$B$2825,$B$2995),Data!$BO:$BO,0)-2,43)&lt;&gt;"",INDEX(Tab_DaBa[],MATCH(CONCATENATE(Liste!$C$3,$B$2825,$B$2995),Data!$BO:$BO,0)-2,48)=0),INDEX(Tab_DaBa[],MATCH(CONCATENATE(Liste!$C$3,$B$2825,$B$2995),Data!$BO:$BO,0)-2,12),IF(INDEX(Tab_DaBa[],MATCH(CONCATENATE(Liste!$C$3,$B$2825,$B$2995),Data!$BO:$BO,0)-2,43)&lt;&gt;"",INDEX(Tab_DaBa[],MATCH(CONCATENATE(Liste!$C$3,$B$2825,$B$2995),Data!$BO:$BO,0)-2,47),"")),"")</f>
        <v>Lo03-33_07</v>
      </c>
      <c r="I3006" s="39"/>
    </row>
    <row r="3007" spans="2:9" s="16" customFormat="1" ht="15.75">
      <c r="B3007" s="35" t="str">
        <f ca="1">IFERROR(IF(AND(INDEX(Tab_DaBa[],MATCH(CONCATENATE(Liste!$C$3,$B$2825,$B$2995),Data!$BO:$BO,0)-2,28)&lt;&gt;"",INDEX(Tab_DaBa[],MATCH(CONCATENATE(Liste!$C$3,$B$2825,$B$2995),Data!$BO:$BO,0)-2,33)=""),INDEX(Tab_DaBa[],MATCH(CONCATENATE(Liste!$C$3,$B$2825,$B$2995),Data!$BO:$BO,0)-2,13),IF(INDEX(Tab_DaBa[],MATCH(CONCATENATE(Liste!$C$3,$B$2825,$B$2995),Data!$BO:$BO,0)-2,28)&lt;&gt;"",INDEX(Tab_DaBa[],MATCH(CONCATENATE(Liste!$C$3,$B$2825,$B$2995),Data!$BO:$BO,0)-2,33),"")),"")</f>
        <v>Bez_Lo04_07</v>
      </c>
      <c r="C3007" s="38">
        <f ca="1">IF(D3005="","",4)</f>
        <v>4</v>
      </c>
      <c r="D3007" s="35" t="str">
        <f ca="1">IFERROR(IF(AND(INDEX(Tab_DaBa[],MATCH(CONCATENATE(Liste!$C$3,$B$2825,$B$2995),Data!$BO:$BO,0)-2,33)&lt;&gt;"",INDEX(Tab_DaBa[],MATCH(CONCATENATE(Liste!$C$3,$B$2825,$B$2995),Data!$BO:$BO,0)-2,38)=""),INDEX(Tab_DaBa[],MATCH(CONCATENATE(Liste!$C$3,$B$2825,$B$2995),Data!$BO:$BO,0)-2,13),IF(INDEX(Tab_DaBa[],MATCH(CONCATENATE(Liste!$C$3,$B$2825,$B$2995),Data!$BO:$BO,0)-2,33)&lt;&gt;"",INDEX(Tab_DaBa[],MATCH(CONCATENATE(Liste!$C$3,$B$2825,$B$2995),Data!$BO:$BO,0)-2,38),"")),"")</f>
        <v>Bez_Lo03_07</v>
      </c>
      <c r="E3007" s="38">
        <f ca="1">IF(F3005="","",4)</f>
        <v>4</v>
      </c>
      <c r="F3007" s="35" t="str">
        <f ca="1">IFERROR(IF(AND(INDEX(Tab_DaBa[],MATCH(CONCATENATE(Liste!$C$3,$B$2825,$B$2995),Data!$BO:$BO,0)-2,38)&lt;&gt;"",INDEX(Tab_DaBa[],MATCH(CONCATENATE(Liste!$C$3,$B$2825,$B$2995),Data!$BO:$BO,0)-2,43)=""),INDEX(Tab_DaBa[],MATCH(CONCATENATE(Liste!$C$3,$B$2825,$B$2995),Data!$BO:$BO,0)-2,13),IF(INDEX(Tab_DaBa[],MATCH(CONCATENATE(Liste!$C$3,$B$2825,$B$2995),Data!$BO:$BO,0)-2,38)&lt;&gt;"",INDEX(Tab_DaBa[],MATCH(CONCATENATE(Liste!$C$3,$B$2825,$B$2995),Data!$BO:$BO,0)-2,43),"")),"")</f>
        <v>Bez_Lo03_07</v>
      </c>
      <c r="G3007" s="38">
        <f ca="1">IF(H3005="","",4)</f>
        <v>4</v>
      </c>
      <c r="H3007" s="35" t="str">
        <f ca="1">IFERROR(IF(AND(INDEX(Tab_DaBa[],MATCH(CONCATENATE(Liste!$C$3,$B$2825,$B$2995),Data!$BO:$BO,0)-2,43)&lt;&gt;"",INDEX(Tab_DaBa[],MATCH(CONCATENATE(Liste!$C$3,$B$2825,$B$2995),Data!$BO:$BO,0)-2,48)=""),INDEX(Tab_DaBa[],MATCH(CONCATENATE(Liste!$C$3,$B$2825,$B$2995),Data!$BO:$BO,0)-2,13),IF(INDEX(Tab_DaBa[],MATCH(CONCATENATE(Liste!$C$3,$B$2825,$B$2995),Data!$BO:$BO,0)-2,43)&lt;&gt;"",INDEX(Tab_DaBa[],MATCH(CONCATENATE(Liste!$C$3,$B$2825,$B$2995),Data!$BO:$BO,0)-2,48),"")),"")</f>
        <v>Bez_Lo03_07</v>
      </c>
      <c r="I3007" s="38">
        <f ca="1">IF(B3013="","",6)</f>
        <v>6</v>
      </c>
    </row>
    <row r="3008" spans="2:9" s="16" customFormat="1" ht="15.75">
      <c r="B3008" s="35" t="str">
        <f ca="1">IFERROR(IF(AND(INDEX(Tab_DaBa[],MATCH(CONCATENATE(Liste!$C$3,$B$2825,$B$2995),Data!$BO:$BO,0)-2,28)&lt;&gt;"",INDEX(Tab_DaBa[],MATCH(CONCATENATE(Liste!$C$3,$B$2825,$B$2995),Data!$BO:$BO,0)-2,33)=""),"Performance Level: "&amp;INDEX(Tab_DaBa[],MATCH(CONCATENATE(Liste!$C$3,$B$2825,$B$2995),Data!$BO:$BO,0)-2,15),IF(INDEX(Tab_DaBa[],MATCH(CONCATENATE(Liste!$C$3,$B$2825,$B$2995),Data!$BO:$BO,0)-2,28)&lt;&gt;"","Performance Level: "&amp;INDEX(Tab_DaBa[],MATCH(CONCATENATE(Liste!$C$3,$B$2825,$B$2995),Data!$BO:$BO,0)-2,35),"")),"")</f>
        <v>Performance Level: PL_Lo04_07</v>
      </c>
      <c r="C3008" s="39"/>
      <c r="D3008" s="35" t="str">
        <f ca="1">IFERROR(IF(AND(INDEX(Tab_DaBa[],MATCH(CONCATENATE(Liste!$C$3,$B$2825,$B$2995),Data!$BO:$BO,0)-2,33)&lt;&gt;"",INDEX(Tab_DaBa[],MATCH(CONCATENATE(Liste!$C$3,$B$2825,$B$2995),Data!$BO:$BO,0)-2,38)=""),"Performance Level: "&amp;INDEX(Tab_DaBa[],MATCH(CONCATENATE(Liste!$C$3,$B$2825,$B$2995),Data!$BO:$BO,0)-2,15),IF(INDEX(Tab_DaBa[],MATCH(CONCATENATE(Liste!$C$3,$B$2825,$B$2995),Data!$BO:$BO,0)-2,33)&lt;&gt;"","Performance Level: "&amp;INDEX(Tab_DaBa[],MATCH(CONCATENATE(Liste!$C$3,$B$2825,$B$2995),Data!$BO:$BO,0)-2,40),"")),"")</f>
        <v>Performance Level: PL_Lo03_7</v>
      </c>
      <c r="E3008" s="37"/>
      <c r="F3008" s="35" t="str">
        <f ca="1">IFERROR(IF(AND(INDEX(Tab_DaBa[],MATCH(CONCATENATE(Liste!$C$3,$B$2825,$B$2995),Data!$BO:$BO,0)-2,38)&lt;&gt;"",INDEX(Tab_DaBa[],MATCH(CONCATENATE(Liste!$C$3,$B$2825,$B$2995),Data!$BO:$BO,0)-2,43)=""),"Performance Level: "&amp;INDEX(Tab_DaBa[],MATCH(CONCATENATE(Liste!$C$3,$B$2825,$B$2995),Data!$BO:$BO,0)-2,15),IF(INDEX(Tab_DaBa[],MATCH(CONCATENATE(Liste!$C$3,$B$2825,$B$2995),Data!$BO:$BO,0)-2,38)&lt;&gt;"","Performance Level: "&amp;INDEX(Tab_DaBa[],MATCH(CONCATENATE(Liste!$C$3,$B$2825,$B$2995),Data!$BO:$BO,0)-2,45),"")),"")</f>
        <v>Performance Level: PL_Lo03_07</v>
      </c>
      <c r="G3008" s="39"/>
      <c r="H3008" s="35" t="str">
        <f ca="1">IFERROR(IF(AND(INDEX(Tab_DaBa[],MATCH(CONCATENATE(Liste!$C$3,$B$2825,$B$2995),Data!$BO:$BO,0)-2,43)&lt;&gt;"",INDEX(Tab_DaBa[],MATCH(CONCATENATE(Liste!$C$3,$B$2825,$B$2995),Data!$BO:$BO,0)-2,48)=""),"Performance Level: "&amp;INDEX(Tab_DaBa[],MATCH(CONCATENATE(Liste!$C$3,$B$2825,$B$2995),Data!$BO:$BO,0)-2,15),IF(INDEX(Tab_DaBa[],MATCH(CONCATENATE(Liste!$C$3,$B$2825,$B$2995),Data!$BO:$BO,0)-2,43)&lt;&gt;"","Performance Level: "&amp;INDEX(Tab_DaBa[],MATCH(CONCATENATE(Liste!$C$3,$B$2825,$B$2995),Data!$BO:$BO,0)-2,50),"")),"")</f>
        <v>Performance Level: PL_Lo03_07</v>
      </c>
      <c r="I3008" s="39"/>
    </row>
    <row r="3009" spans="2:9" s="16" customFormat="1" ht="15.75">
      <c r="B3009" s="35" t="str">
        <f ca="1">IFERROR(IF(AND(INDEX(Tab_DaBa[],MATCH(CONCATENATE(Liste!$C$3,$B$2825,$B$2995),Data!$BO:$BO,0)-2,28)&lt;&gt;"",INDEX(Tab_DaBa[],MATCH(CONCATENATE(Liste!$C$3,$B$2825,$B$2995),Data!$BO:$BO,0)-2,33)=""),"PFH [1/h] = "&amp;10^9*INDEX(Tab_DaBa[],MATCH(CONCATENATE(Liste!$C$3,$B$2825,$B$2995),Data!$BO:$BO,0)-2,16)&amp;"E-9",IF(INDEX(Tab_DaBa[],MATCH(CONCATENATE(Liste!$C$3,$B$2825,$B$2995),Data!$BO:$BO,0)-2,28)&lt;&gt;"","PFH [1/h] = "&amp;10^9*INDEX(Tab_DaBa[],MATCH(CONCATENATE(Liste!$C$3,$B$2825,$B$2995),Data!$BO:$BO,0)-2,36)&amp;"E-9","")),"")</f>
        <v>PFH [1/h] = 4,19E-9</v>
      </c>
      <c r="C3009" s="39"/>
      <c r="D3009" s="35" t="str">
        <f ca="1">IFERROR(IF(AND(INDEX(Tab_DaBa[],MATCH(CONCATENATE(Liste!$C$3,$B$2825,$B$2995),Data!$BO:$BO,0)-2,33)&lt;&gt;"",INDEX(Tab_DaBa[],MATCH(CONCATENATE(Liste!$C$3,$B$2825,$B$2995),Data!$BO:$BO,0)-2,38)=""),"PFH [1/h] = "&amp;10^9*INDEX(Tab_DaBa[],MATCH(CONCATENATE(Liste!$C$3,$B$2825,$B$2995),Data!$BO:$BO,0)-2,16)&amp;"E-9",IF(INDEX(Tab_DaBa[],MATCH(CONCATENATE(Liste!$C$3,$B$2825,$B$2995),Data!$BO:$BO,0)-2,33)&lt;&gt;"","PFH [1/h] = "&amp;10^9*INDEX(Tab_DaBa[],MATCH(CONCATENATE(Liste!$C$3,$B$2825,$B$2995),Data!$BO:$BO,0)-2,41)&amp;"E-9","")),"")</f>
        <v>PFH [1/h] = 4,19E-9</v>
      </c>
      <c r="E3009" s="37"/>
      <c r="F3009" s="35" t="str">
        <f ca="1">IFERROR(IF(AND(INDEX(Tab_DaBa[],MATCH(CONCATENATE(Liste!$C$3,$B$2825,$B$2995),Data!$BO:$BO,0)-2,38)&lt;&gt;"",INDEX(Tab_DaBa[],MATCH(CONCATENATE(Liste!$C$3,$B$2825,$B$2995),Data!$BO:$BO,0)-2,43)=""),"PFH [1/h] = "&amp;10^9*INDEX(Tab_DaBa[],MATCH(CONCATENATE(Liste!$C$3,$B$2825,$B$2995),Data!$BO:$BO,0)-2,16)&amp;"E-9",IF(INDEX(Tab_DaBa[],MATCH(CONCATENATE(Liste!$C$3,$B$2825,$B$2995),Data!$BO:$BO,0)-2,38)&lt;&gt;"","PFH [1/h] = "&amp;10^9*INDEX(Tab_DaBa[],MATCH(CONCATENATE(Liste!$C$3,$B$2825,$B$2995),Data!$BO:$BO,0)-2,46)&amp;"E-9","")),"")</f>
        <v>PFH [1/h] = 4,19E-9</v>
      </c>
      <c r="G3009" s="39"/>
      <c r="H3009" s="35" t="str">
        <f ca="1">IFERROR(IF(AND(INDEX(Tab_DaBa[],MATCH(CONCATENATE(Liste!$C$3,$B$2825,$B$2995),Data!$BO:$BO,0)-2,43)&lt;&gt;"",INDEX(Tab_DaBa[],MATCH(CONCATENATE(Liste!$C$3,$B$2825,$B$2995),Data!$BO:$BO,0)-2,48)=""),"PFH [1/h] = "&amp;10^9*INDEX(Tab_DaBa[],MATCH(CONCATENATE(Liste!$C$3,$B$2825,$B$2995),Data!$BO:$BO,0)-2,16)&amp;"E-9",IF(INDEX(Tab_DaBa[],MATCH(CONCATENATE(Liste!$C$3,$B$2825,$B$2995),Data!$BO:$BO,0)-2,43)&lt;&gt;"","PFH [1/h] = "&amp;10^9*INDEX(Tab_DaBa[],MATCH(CONCATENATE(Liste!$C$3,$B$2825,$B$2995),Data!$BO:$BO,0)-2,51)&amp;"E-9","")),"")</f>
        <v>PFH [1/h] = 4,19E-9</v>
      </c>
      <c r="I3009" s="39"/>
    </row>
    <row r="3010" spans="2:9" s="16" customFormat="1">
      <c r="B3010" s="33"/>
      <c r="C3010" s="33"/>
      <c r="D3010" s="33"/>
      <c r="E3010" s="33"/>
      <c r="F3010" s="33"/>
      <c r="G3010" s="33"/>
      <c r="H3010" s="33"/>
      <c r="I3010" s="33"/>
    </row>
    <row r="3011" spans="2:9" s="16" customFormat="1" ht="15.75">
      <c r="B3011" s="38">
        <f ca="1">IF(B3013="","",6)</f>
        <v>6</v>
      </c>
      <c r="C3011" s="33"/>
      <c r="D3011" s="38">
        <f ca="1">IF(B3013="","",3)</f>
        <v>3</v>
      </c>
      <c r="E3011" s="33"/>
      <c r="F3011" s="38">
        <f ca="1">IF(B3013="","",3)</f>
        <v>3</v>
      </c>
      <c r="G3011" s="33"/>
      <c r="H3011" s="38">
        <f ca="1">IF(B3013="","",3)</f>
        <v>3</v>
      </c>
      <c r="I3011" s="33"/>
    </row>
    <row r="3012" spans="2:9" s="16" customFormat="1" ht="15.75">
      <c r="B3012" s="39"/>
      <c r="C3012" s="33"/>
      <c r="D3012" s="33"/>
      <c r="E3012" s="33"/>
      <c r="F3012" s="33"/>
      <c r="G3012" s="33"/>
      <c r="H3012" s="33"/>
      <c r="I3012" s="33"/>
    </row>
    <row r="3013" spans="2:9" s="16" customFormat="1" ht="15.75">
      <c r="B3013" s="35" t="str">
        <f ca="1">IFERROR(IF(AND(INDEX(Tab_DaBa[],MATCH(CONCATENATE(Liste!$C$3,$B$2825,$B$2995),Data!$BO:$BO,0)-2,48)&lt;&gt;"",INDEX(Tab_DaBa[],MATCH(CONCATENATE(Liste!$C$3,$B$2825,$B$2995),Data!$BO:$BO,0)-2,53)=0),INDEX(Tab_DaBa[],MATCH(CONCATENATE(Liste!$C$3,$B$2825,$B$2995),Data!$BO:$BO,0)-2,14),IF(INDEX(Tab_DaBa[],MATCH(CONCATENATE(Liste!$C$3,$B$2825,$B$2995),Data!$BO:$BO,0)-2,48)&lt;&gt;"",INDEX(Tab_DaBa[],MATCH(CONCATENATE(Liste!$C$3,$B$2825,$B$2995),Data!$BO:$BO,0)-2,54),"")),"")</f>
        <v>Ausgang</v>
      </c>
      <c r="C3013" s="39"/>
      <c r="D3013" s="35" t="str">
        <f ca="1">IFERROR(IF(AND(INDEX(Tab_DaBa[],MATCH(CONCATENATE(Liste!$C$3,$B$2825,$B$2995),Data!$BO:$BO,0)-2,53)&lt;&gt;"",INDEX(Tab_DaBa[],MATCH(CONCATENATE(Liste!$C$3,$B$2825,$B$2995),Data!$BO:$BO,0)-2,58)=0),INDEX(Tab_DaBa[],MATCH(CONCATENATE(Liste!$C$3,$B$2825,$B$2995),Data!$BO:$BO,0)-2,14),IF(INDEX(Tab_DaBa[],MATCH(CONCATENATE(Liste!$C$3,$B$2825,$B$2995),Data!$BO:$BO,0)-2,53)&lt;&gt;"",INDEX(Tab_DaBa[],MATCH(CONCATENATE(Liste!$C$3,$B$2825,$B$2995),Data!$BO:$BO,0)-2,59),"")),"")</f>
        <v/>
      </c>
      <c r="E3013" s="33"/>
      <c r="F3013" s="35" t="str">
        <f ca="1">IFERROR(IF(AND(INDEX(Tab_DaBa[],MATCH(CONCATENATE(Liste!$C$3,$B$2825,$B$2995),Data!$BO:$BO,0)-2,58)&lt;&gt;"",INDEX(Tab_DaBa[],MATCH(CONCATENATE(Liste!$C$3,$B$2825,$B$2995),Data!$BO:$BO,0)-2,63)=0),INDEX(Tab_DaBa[],MATCH(CONCATENATE(Liste!$C$3,$B$2825,$B$2995),Data!$BO:$BO,0)-2,14),IF(INDEX(Tab_DaBa[],MATCH(CONCATENATE(Liste!$C$3,$B$2825,$B$2995),Data!$BO:$BO,0)-2,58)&lt;&gt;"",INDEX(Tab_DaBa[],MATCH(CONCATENATE(Liste!$C$3,$B$2825,$B$2995),Data!$BO:$BO,0)-2,64),"")),"")</f>
        <v/>
      </c>
      <c r="G3013" s="39"/>
      <c r="H3013" s="35" t="str">
        <f ca="1">IFERROR(IF(INDEX(Tab_DaBa[],MATCH(CONCATENATE(Liste!$C$3,$B$2825,$B$2995),Data!$BO:$BO,0)-2,63)&lt;&gt;"",INDEX(Tab_DaBa[],MATCH(CONCATENATE(Liste!$C$3,$B$2825,$B$2995),Data!$BO:$BO,0)-2,14),""),"")</f>
        <v/>
      </c>
    </row>
    <row r="3014" spans="2:9" s="16" customFormat="1" ht="15.75">
      <c r="B3014" s="35" t="str">
        <f ca="1">IFERROR(IF(AND(INDEX(Tab_DaBa[],MATCH(CONCATENATE(Liste!$C$3,$B$2825,$B$2995),Data!$BO:$BO,0)-2,48)&lt;&gt;"",INDEX(Tab_DaBa[],MATCH(CONCATENATE(Liste!$C$3,$B$2825,$B$2995),Data!$BO:$BO,0)-2,53)=0),INDEX(Tab_DaBa[],MATCH(CONCATENATE(Liste!$C$3,$B$2825,$B$2995),Data!$BO:$BO,0)-2,12),IF(INDEX(Tab_DaBa[],MATCH(CONCATENATE(Liste!$C$3,$B$2825,$B$2995),Data!$BO:$BO,0)-2,48)&lt;&gt;"",INDEX(Tab_DaBa[],MATCH(CONCATENATE(Liste!$C$3,$B$2825,$B$2995),Data!$BO:$BO,0)-2,52),"")),"")</f>
        <v>aaaa-44_7</v>
      </c>
      <c r="C3014" s="39"/>
      <c r="D3014" s="35" t="str">
        <f ca="1">IFERROR(IF(AND(INDEX(Tab_DaBa[],MATCH(CONCATENATE(Liste!$C$3,$B$2825,$B$2995),Data!$BO:$BO,0)-2,53)&lt;&gt;"",INDEX(Tab_DaBa[],MATCH(CONCATENATE(Liste!$C$3,$B$2825,$B$2995),Data!$BO:$BO,0)-2,58)=0),INDEX(Tab_DaBa[],MATCH(CONCATENATE(Liste!$C$3,$B$2825,$B$2995),Data!$BO:$BO,0)-2,12),IF(INDEX(Tab_DaBa[],MATCH(CONCATENATE(Liste!$C$3,$B$2825,$B$2995),Data!$BO:$BO,0)-2,53)&lt;&gt;"",INDEX(Tab_DaBa[],MATCH(CONCATENATE(Liste!$C$3,$B$2825,$B$2995),Data!$BO:$BO,0)-2,57),"")),"")</f>
        <v/>
      </c>
      <c r="E3014" s="37"/>
      <c r="F3014" s="35" t="str">
        <f ca="1">IFERROR(IF(AND(INDEX(Tab_DaBa[],MATCH(CONCATENATE(Liste!$C$3,$B$2825,$B$2995),Data!$BO:$BO,0)-2,58)&lt;&gt;"",INDEX(Tab_DaBa[],MATCH(CONCATENATE(Liste!$C$3,$B$2825,$B$2995),Data!$BO:$BO,0)-2,63)=0),INDEX(Tab_DaBa[],MATCH(CONCATENATE(Liste!$C$3,$B$2825,$B$2995),Data!$BO:$BO,0)-2,12),IF(INDEX(Tab_DaBa[],MATCH(CONCATENATE(Liste!$C$3,$B$2825,$B$2995),Data!$BO:$BO,0)-2,58)&lt;&gt;"",INDEX(Tab_DaBa[],MATCH(CONCATENATE(Liste!$C$3,$B$2825,$B$2995),Data!$BO:$BO,0)-2,62),"")),"")</f>
        <v/>
      </c>
      <c r="G3014" s="39"/>
      <c r="H3014" s="35" t="str">
        <f ca="1">IFERROR(IF(INDEX(Tab_DaBa[],MATCH(CONCATENATE(Liste!$C$3,$B$2825,$B$2995),Data!$BO:$BO,0)-2,63)&lt;&gt;"",INDEX(Tab_DaBa[],MATCH(CONCATENATE(Liste!$C$3,$B$2825,$B$2995),Data!$BO:$BO,0)-2,12),""),"")</f>
        <v/>
      </c>
    </row>
    <row r="3015" spans="2:9" s="16" customFormat="1" ht="15.75">
      <c r="B3015" s="35" t="str">
        <f ca="1">IFERROR(IF(AND(INDEX(Tab_DaBa[],MATCH(CONCATENATE(Liste!$C$3,$B$2825,$B$2995),Data!$BO:$BO,0)-2,48)&lt;&gt;"",INDEX(Tab_DaBa[],MATCH(CONCATENATE(Liste!$C$3,$B$2825,$B$2995),Data!$BO:$BO,0)-2,53)=""),INDEX(Tab_DaBa[],MATCH(CONCATENATE(Liste!$C$3,$B$2825,$B$2995),Data!$BO:$BO,0)-2,13),IF(INDEX(Tab_DaBa[],MATCH(CONCATENATE(Liste!$C$3,$B$2825,$B$2995),Data!$BO:$BO,0)-2,48)&lt;&gt;"",INDEX(Tab_DaBa[],MATCH(CONCATENATE(Liste!$C$3,$B$2825,$B$2995),Data!$BO:$BO,0)-2,53),"")),"")</f>
        <v>Bez_Aus4_7</v>
      </c>
      <c r="C3015" s="38" t="str">
        <f ca="1">IF(D3013="","",4)</f>
        <v/>
      </c>
      <c r="D3015" s="35" t="str">
        <f ca="1">IFERROR(IF(AND(INDEX(Tab_DaBa[],MATCH(CONCATENATE(Liste!$C$3,$B$2825,$B$2995),Data!$BO:$BO,0)-2,53)&lt;&gt;"",INDEX(Tab_DaBa[],MATCH(CONCATENATE(Liste!$C$3,$B$2825,$B$2995),Data!$BO:$BO,0)-2,58)=""),INDEX(Tab_DaBa[],MATCH(CONCATENATE(Liste!$C$3,$B$2825,$B$2995),Data!$BO:$BO,0)-2,13),IF(INDEX(Tab_DaBa[],MATCH(CONCATENATE(Liste!$C$3,$B$2825,$B$2995),Data!$BO:$BO,0)-2,53)&lt;&gt;"",INDEX(Tab_DaBa[],MATCH(CONCATENATE(Liste!$C$3,$B$2825,$B$2995),Data!$BO:$BO,0)-2,58),"")),"")</f>
        <v/>
      </c>
      <c r="E3015" s="38" t="str">
        <f ca="1">IF(F3013="","",4)</f>
        <v/>
      </c>
      <c r="F3015" s="35" t="str">
        <f ca="1">IFERROR(IF(AND(INDEX(Tab_DaBa[],MATCH(CONCATENATE(Liste!$C$3,$B$2825,$B$2995),Data!$BO:$BO,0)-2,58)&lt;&gt;"",INDEX(Tab_DaBa[],MATCH(CONCATENATE(Liste!$C$3,$B$2825,$B$2995),Data!$BO:$BO,0)-2,63)=""),INDEX(Tab_DaBa[],MATCH(CONCATENATE(Liste!$C$3,$B$2825,$B$2995),Data!$BO:$BO,0)-2,13),IF(INDEX(Tab_DaBa[],MATCH(CONCATENATE(Liste!$C$3,$B$2825,$B$2995),Data!$BO:$BO,0)-2,58)&lt;&gt;"",INDEX(Tab_DaBa[],MATCH(CONCATENATE(Liste!$C$3,$B$2825,$B$2995),Data!$BO:$BO,0)-2,63),"")),"")</f>
        <v/>
      </c>
      <c r="G3015" s="38" t="str">
        <f ca="1">IF(H3013="","",4)</f>
        <v/>
      </c>
      <c r="H3015" s="35" t="str">
        <f ca="1">IFERROR(IF(INDEX(Tab_DaBa[],MATCH(CONCATENATE(Liste!$C$3,$B$2825,$B$2995),Data!$BO:$BO,0)-2,63)&lt;&gt;"",INDEX(Tab_DaBa[],MATCH(CONCATENATE(Liste!$C$3,$B$2825,$B$2995),Data!$BO:$BO,0)-2,13),""),"")</f>
        <v/>
      </c>
    </row>
    <row r="3016" spans="2:9" s="16" customFormat="1" ht="15.75">
      <c r="B3016" s="35" t="str">
        <f ca="1">IFERROR(IF(AND(INDEX(Tab_DaBa[],MATCH(CONCATENATE(Liste!$C$3,$B$2825,$B$2995),Data!$BO:$BO,0)-2,48)&lt;&gt;"",INDEX(Tab_DaBa[],MATCH(CONCATENATE(Liste!$C$3,$B$2825,$B$2995),Data!$BO:$BO,0)-2,53)=""),"Performance Level: "&amp;INDEX(Tab_DaBa[],MATCH(CONCATENATE(Liste!$C$3,$B$2825,$B$2995),Data!$BO:$BO,0)-2,15),IF(INDEX(Tab_DaBa[],MATCH(CONCATENATE(Liste!$C$3,$B$2825,$B$2995),Data!$BO:$BO,0)-2,48)&lt;&gt;"","Performance Level: "&amp;INDEX(Tab_DaBa[],MATCH(CONCATENATE(Liste!$C$3,$B$2825,$B$2995),Data!$BO:$BO,0)-2,55),"")),"")</f>
        <v>Performance Level: PL_Aus4_7</v>
      </c>
      <c r="C3016" s="39"/>
      <c r="D3016" s="35" t="str">
        <f ca="1">IFERROR(IF(AND(INDEX(Tab_DaBa[],MATCH(CONCATENATE(Liste!$C$3,$B$2825,$B$2995),Data!$BO:$BO,0)-2,53)&lt;&gt;"",INDEX(Tab_DaBa[],MATCH(CONCATENATE(Liste!$C$3,$B$2825,$B$2995),Data!$BO:$BO,0)-2,58)=""),"Performance Level: "&amp;INDEX(Tab_DaBa[],MATCH(CONCATENATE(Liste!$C$3,$B$2825,$B$2995),Data!$BO:$BO,0)-2,15),IF(INDEX(Tab_DaBa[],MATCH(CONCATENATE(Liste!$C$3,$B$2825,$B$2995),Data!$BO:$BO,0)-2,53)&lt;&gt;"","Performance Level: "&amp;INDEX(Tab_DaBa[],MATCH(CONCATENATE(Liste!$C$3,$B$2825,$B$2995),Data!$BO:$BO,0)-2,60),"")),"")</f>
        <v/>
      </c>
      <c r="E3016" s="37"/>
      <c r="F3016" s="35" t="str">
        <f ca="1">IFERROR(IF(AND(INDEX(Tab_DaBa[],MATCH(CONCATENATE(Liste!$C$3,$B$2825,$B$2995),Data!$BO:$BO,0)-2,58)&lt;&gt;"",INDEX(Tab_DaBa[],MATCH(CONCATENATE(Liste!$C$3,$B$2825,$B$2995),Data!$BO:$BO,0)-2,63)=""),"Performance Level: "&amp;INDEX(Tab_DaBa[],MATCH(CONCATENATE(Liste!$C$3,$B$2825,$B$2995),Data!$BO:$BO,0)-2,15),IF(INDEX(Tab_DaBa[],MATCH(CONCATENATE(Liste!$C$3,$B$2825,$B$2995),Data!$BO:$BO,0)-2,58)&lt;&gt;"","Performance Level: "&amp;INDEX(Tab_DaBa[],MATCH(CONCATENATE(Liste!$C$3,$B$2825,$B$2995),Data!$BO:$BO,0)-2,65),"")),"")</f>
        <v/>
      </c>
      <c r="G3016" s="39"/>
      <c r="H3016" s="35" t="str">
        <f ca="1">IFERROR(IF(INDEX(Tab_DaBa[],MATCH(CONCATENATE(Liste!$C$3,$B$2825,$B$2995),Data!$BO:$BO,0)-2,63)&lt;&gt;"","Performance Level: "&amp;INDEX(Tab_DaBa[],MATCH(CONCATENATE(Liste!$C$3,$B$2825,$B$2995),Data!$BO:$BO,0)-2,15),""),"")</f>
        <v/>
      </c>
    </row>
    <row r="3017" spans="2:9" s="16" customFormat="1" ht="15.75">
      <c r="B3017" s="35" t="str">
        <f ca="1">IFERROR(IF(AND(INDEX(Tab_DaBa[],MATCH(CONCATENATE(Liste!$C$3,$B$2825,$B$2995),Data!$BO:$BO,0)-2,48)&lt;&gt;"",INDEX(Tab_DaBa[],MATCH(CONCATENATE(Liste!$C$3,$B$2825,$B$2995),Data!$BO:$BO,0)-2,53)=""),"PFH [1/h] = "&amp;10^9*INDEX(Tab_DaBa[],MATCH(CONCATENATE(Liste!$C$3,$B$2825,$B$2995),Data!$BO:$BO,0)-2,16)&amp;"E-9",IF(INDEX(Tab_DaBa[],MATCH(CONCATENATE(Liste!$C$3,$B$2825,$B$2995),Data!$BO:$BO,0)-2,48)&lt;&gt;"","PFH [1/h] = "&amp;10^9*INDEX(Tab_DaBa[],MATCH(CONCATENATE(Liste!$C$3,$B$2825,$B$2995),Data!$BO:$BO,0)-2,56)&amp;"E-9","")),"")</f>
        <v>PFH [1/h] = 24,7E-9</v>
      </c>
      <c r="C3017" s="39"/>
      <c r="D3017" s="35" t="str">
        <f ca="1">IFERROR(IF(AND(INDEX(Tab_DaBa[],MATCH(CONCATENATE(Liste!$C$3,$B$2825,$B$2995),Data!$BO:$BO,0)-2,53)&lt;&gt;"",INDEX(Tab_DaBa[],MATCH(CONCATENATE(Liste!$C$3,$B$2825,$B$2995),Data!$BO:$BO,0)-2,58)=""),"PFH [1/h] = "&amp;10^9*INDEX(Tab_DaBa[],MATCH(CONCATENATE(Liste!$C$3,$B$2825,$B$2995),Data!$BO:$BO,0)-2,16)&amp;"E-9",IF(INDEX(Tab_DaBa[],MATCH(CONCATENATE(Liste!$C$3,$B$2825,$B$2995),Data!$BO:$BO,0)-2,53)&lt;&gt;"","PFH [1/h] = "&amp;10^9*INDEX(Tab_DaBa[],MATCH(CONCATENATE(Liste!$C$3,$B$2825,$B$2995),Data!$BO:$BO,0)-2,61)&amp;"E-9","")),"")</f>
        <v/>
      </c>
      <c r="E3017" s="37"/>
      <c r="F3017" s="35" t="str">
        <f ca="1">IFERROR(IF(AND(INDEX(Tab_DaBa[],MATCH(CONCATENATE(Liste!$C$3,$B$2825,$B$2995),Data!$BO:$BO,0)-2,58)&lt;&gt;"",INDEX(Tab_DaBa[],MATCH(CONCATENATE(Liste!$C$3,$B$2825,$B$2995),Data!$BO:$BO,0)-2,63)=""),"PFH [1/h] = "&amp;10^9*INDEX(Tab_DaBa[],MATCH(CONCATENATE(Liste!$C$3,$B$2825,$B$2995),Data!$BO:$BO,0)-2,16)&amp;"E-9",IF(INDEX(Tab_DaBa[],MATCH(CONCATENATE(Liste!$C$3,$B$2825,$B$2995),Data!$BO:$BO,0)-2,58)&lt;&gt;"","PFH [1/h] = "&amp;10^9*INDEX(Tab_DaBa[],MATCH(CONCATENATE(Liste!$C$3,$B$2825,$B$2995),Data!$BO:$BO,0)-2,66)&amp;"E-9","")),"")</f>
        <v/>
      </c>
      <c r="G3017" s="39"/>
      <c r="H3017" s="35" t="str">
        <f ca="1">IFERROR(IF(INDEX(Tab_DaBa[],MATCH(CONCATENATE(Liste!$C$3,$B$2825,$B$2995),Data!$BO:$BO,0)-2,63)&lt;&gt;"","PFH [1/h] = "&amp;10^9*INDEX(Tab_DaBa[],MATCH(CONCATENATE(Liste!$C$3,$B$2825,$B$2995),Data!$BO:$BO,0)-2,16)&amp;"E-9",""),"")</f>
        <v/>
      </c>
    </row>
    <row r="3018" spans="2:9" s="16" customFormat="1"/>
    <row r="3019" spans="2:9" s="16" customFormat="1">
      <c r="B3019" s="43" t="str">
        <f ca="1">IF(D3019="","","Erforderlich")</f>
        <v>Erforderlich</v>
      </c>
      <c r="D3019" s="44" t="str">
        <f ca="1">IFERROR("Performance Level: "&amp;INDEX(Tab_DaBa[],MATCH(CONCATENATE(Liste!$C$3,$B$2825,$B$2995),Data!$BO:$BO,0)-2,4),"")</f>
        <v>Performance Level: PLr_ges4_7</v>
      </c>
    </row>
    <row r="3020" spans="2:9" s="16" customFormat="1">
      <c r="B3020" s="45"/>
    </row>
    <row r="3021" spans="2:9" s="16" customFormat="1">
      <c r="B3021" s="46" t="str">
        <f ca="1">IF(D3021="","","Erreicht")</f>
        <v>Erreicht</v>
      </c>
      <c r="D3021" s="47" t="str">
        <f ca="1">IFERROR("Performance Level: "&amp;INDEX(Tab_DaBa[],MATCH(CONCATENATE(Liste!$C$3,$B$2825,$B$2995),Data!$BO:$BO,0)-2,5)&amp;"          PFH [1/h] = "&amp;10^9*INDEX(Tab_DaBa[],MATCH(CONCATENATE(Liste!$C$3,$B$2825,$B$2995),Data!$BO:$BO,0)-2,6)&amp;"E-9","")</f>
        <v>Performance Level: Pl_ges4_7          PFH [1/h] = 71,7E-9</v>
      </c>
    </row>
    <row r="3022" spans="2:9" s="16" customFormat="1"/>
    <row r="3023" spans="2:9" s="16" customFormat="1">
      <c r="B3023" s="42" t="str">
        <f ca="1">IFERROR(IF(8&gt;COUNTIF(Data!$BP:$BP,CONCATENATE(Liste!$C$3,$B$2825)),"",INDEX(Tab_DaBa[],MATCH(CONCATENATE(Liste!$C$3,$B$2825),Data!$BP:$BP,0)+5,3)),"")</f>
        <v>11.8 Test11 (E+8L+A)</v>
      </c>
    </row>
    <row r="3024" spans="2:9" s="16" customFormat="1"/>
    <row r="3025" spans="2:9" s="16" customFormat="1" ht="15.75">
      <c r="B3025" s="35" t="str">
        <f ca="1">IFERROR(INDEX(Tab_DaBa[],MATCH(CONCATENATE(Liste!$C$3,$B$2825,$B$3023),Data!$BO:$BO,0)-2,9),"")</f>
        <v>Eingang</v>
      </c>
      <c r="C3025" s="54"/>
      <c r="D3025" s="35" t="str">
        <f ca="1">IFERROR(IF(INDEX(Tab_DaBa[],MATCH(CONCATENATE(Liste!$C$3,$B$2825,$B$3023),Data!$BO:$BO,0)-2,18)=0,INDEX(Tab_DaBa[],MATCH(CONCATENATE(Liste!$C$3,$B$2825,$B$3023),Data!$BO:$BO,0)-2,14),INDEX(Tab_DaBa[],MATCH(CONCATENATE(Liste!$C$3,$B$2825,$B$3023),Data!$BO:$BO,0)-2,19)),"")</f>
        <v>Logik 01</v>
      </c>
      <c r="E3025" s="33"/>
      <c r="F3025" s="35" t="str">
        <f ca="1">IFERROR(IF(AND(INDEX(Tab_DaBa[],MATCH(CONCATENATE(Liste!$C$3,$B$2825,$B$3023),Data!$BO:$BO,0)-2,18)&lt;&gt;"",INDEX(Tab_DaBa[],MATCH(CONCATENATE(Liste!$C$3,$B$2825,$B$3023),Data!$BO:$BO,0)-2,23)=0),INDEX(Tab_DaBa[],MATCH(CONCATENATE(Liste!$C$3,$B$2825,$B$3023),Data!$BO:$BO,0)-2,14),IF(INDEX(Tab_DaBa[],MATCH(CONCATENATE(Liste!$C$3,$B$2825,$B$3023),Data!$BO:$BO,0)-2,23)&lt;&gt;"",INDEX(Tab_DaBa[],MATCH(CONCATENATE(Liste!$C$3,$B$2825,$B$3023),Data!$BO:$BO,0)-2,24),"")),"")</f>
        <v>Logik 02</v>
      </c>
      <c r="G3025" s="39"/>
      <c r="H3025" s="35" t="str">
        <f ca="1">IFERROR(IF(AND(INDEX(Tab_DaBa[],MATCH(CONCATENATE(Liste!$C$3,$B$2825,$B$3023),Data!$BO:$BO,0)-2,23)&lt;&gt;"",INDEX(Tab_DaBa[],MATCH(CONCATENATE(Liste!$C$3,$B$2825,$B$3023),Data!$BO:$BO,0)-2,28)=0),INDEX(Tab_DaBa[],MATCH(CONCATENATE(Liste!$C$3,$B$2825,$B$3023),Data!$BO:$BO,0)-2,14),IF(INDEX(Tab_DaBa[],MATCH(CONCATENATE(Liste!$C$3,$B$2825,$B$3023),Data!$BO:$BO,0)-2,23)&lt;&gt;"",INDEX(Tab_DaBa[],MATCH(CONCATENATE(Liste!$C$3,$B$2825,$B$3023),Data!$BO:$BO,0)-2,29),"")),"")</f>
        <v>Logik 03</v>
      </c>
      <c r="I3025" s="39"/>
    </row>
    <row r="3026" spans="2:9" s="16" customFormat="1" ht="15.75">
      <c r="B3026" s="35" t="str">
        <f ca="1">IFERROR(INDEX(Tab_DaBa[],MATCH(CONCATENATE(Liste!$C$3,$B$2825,$B$3023),Data!$BO:$BO,0)-2,7),"")</f>
        <v>eeee-33_8</v>
      </c>
      <c r="C3026" s="54"/>
      <c r="D3026" s="35" t="str">
        <f ca="1">IFERROR(IF(INDEX(Tab_DaBa[],MATCH(CONCATENATE(Liste!$C$3,$B$2825,$B$3023),Data!$BO:$BO,0)-2,18)="",INDEX(Tab_DaBa[],MATCH(CONCATENATE(Liste!$C$3,$B$2825,$B$3023),Data!$BO:$BO,0)-2,12),INDEX(Tab_DaBa[],MATCH(CONCATENATE(Liste!$C$3,$B$2825,$B$3023),Data!$BO:$BO,0)-2,17)),"")</f>
        <v>Log01-04_08</v>
      </c>
      <c r="E3026" s="36"/>
      <c r="F3026" s="35" t="str">
        <f ca="1">IFERROR(IF(AND(INDEX(Tab_DaBa[],MATCH(CONCATENATE(Liste!$C$3,$B$2825,$B$3023),Data!$BO:$BO,0)-2,18)&lt;&gt;"",INDEX(Tab_DaBa[],MATCH(CONCATENATE(Liste!$C$3,$B$2825,$B$3023),Data!$BO:$BO,0)-2,23)=0),INDEX(Tab_DaBa[],MATCH(CONCATENATE(Liste!$C$3,$B$2825,$B$3023),Data!$BO:$BO,0)-2,12),IF(INDEX(Tab_DaBa[],MATCH(CONCATENATE(Liste!$C$3,$B$2825,$B$3023),Data!$BO:$BO,0)-2,23)&lt;&gt;"",INDEX(Tab_DaBa[],MATCH(CONCATENATE(Liste!$C$3,$B$2825,$B$3023),Data!$BO:$BO,0)-2,22),"")),"")</f>
        <v>Lo04-04_08</v>
      </c>
      <c r="G3026" s="39"/>
      <c r="H3026" s="35" t="str">
        <f ca="1">IFERROR(IF(AND(INDEX(Tab_DaBa[],MATCH(CONCATENATE(Liste!$C$3,$B$2825,$B$3023),Data!$BO:$BO,0)-2,23)&lt;&gt;"",INDEX(Tab_DaBa[],MATCH(CONCATENATE(Liste!$C$3,$B$2825,$B$3023),Data!$BO:$BO,0)-2,28)=0),INDEX(Tab_DaBa[],MATCH(CONCATENATE(Liste!$C$3,$B$2825,$B$3023),Data!$BO:$BO,0)-2,12),IF(INDEX(Tab_DaBa[],MATCH(CONCATENATE(Liste!$C$3,$B$2825,$B$3023),Data!$BO:$BO,0)-2,23)&lt;&gt;"",INDEX(Tab_DaBa[],MATCH(CONCATENATE(Liste!$C$3,$B$2825,$B$3023),Data!$BO:$BO,0)-2,27),"")),"")</f>
        <v>Lo04-44_08</v>
      </c>
      <c r="I3026" s="39"/>
    </row>
    <row r="3027" spans="2:9" s="16" customFormat="1" ht="15.75">
      <c r="B3027" s="35" t="str">
        <f ca="1">IFERROR(INDEX(Tab_DaBa[],MATCH(CONCATENATE(Liste!$C$3,$B$2825,$B$3023),Data!$BO:$BO,0)-2,8),"")</f>
        <v>Bez_Ein4_8</v>
      </c>
      <c r="C3027" s="40">
        <f ca="1">IF(D3025="","",4)</f>
        <v>4</v>
      </c>
      <c r="D3027" s="35" t="str">
        <f ca="1">IFERROR(IF(INDEX(Tab_DaBa[],MATCH(CONCATENATE(Liste!$C$3,$B$2825,$B$3023),Data!$BO:$BO,0)-2,18)="",INDEX(Tab_DaBa[],MATCH(CONCATENATE(Liste!$C$3,$B$2825,$B$3023),Data!$BO:$BO,0)-2,13),INDEX(Tab_DaBa[],MATCH(CONCATENATE(Liste!$C$3,$B$2825,$B$3023),Data!$BO:$BO,0)-2,18)),"")</f>
        <v>Bez_Log01_04_08</v>
      </c>
      <c r="E3027" s="40">
        <f ca="1">IF(F3025="","",4)</f>
        <v>4</v>
      </c>
      <c r="F3027" s="35" t="str">
        <f ca="1">IFERROR(IF(AND(INDEX(Tab_DaBa[],MATCH(CONCATENATE(Liste!$C$3,$B$2825,$B$3023),Data!$BO:$BO,0)-2,18)&lt;&gt;"",INDEX(Tab_DaBa[],MATCH(CONCATENATE(Liste!$C$3,$B$2825,$B$3023),Data!$BO:$BO,0)-2,23)=""),INDEX(Tab_DaBa[],MATCH(CONCATENATE(Liste!$C$3,$B$2825,$B$3023),Data!$BO:$BO,0)-2,13),IF(INDEX(Tab_DaBa[],MATCH(CONCATENATE(Liste!$C$3,$B$2825,$B$3023),Data!$BO:$BO,0)-2,23)&lt;&gt;"",INDEX(Tab_DaBa[],MATCH(CONCATENATE(Liste!$C$3,$B$2825,$B$3023),Data!$BO:$BO,0)-2,23),"")),"")</f>
        <v>Bez_Lo04_08</v>
      </c>
      <c r="G3027" s="38">
        <f ca="1">IF(H3025="","",4)</f>
        <v>4</v>
      </c>
      <c r="H3027" s="35" t="str">
        <f ca="1">IFERROR(IF(AND(INDEX(Tab_DaBa[],MATCH(CONCATENATE(Liste!$C$3,$B$2825,$B$3023),Data!$BO:$BO,0)-2,23)&lt;&gt;"",INDEX(Tab_DaBa[],MATCH(CONCATENATE(Liste!$C$3,$B$2825,$B$3023),Data!$BO:$BO,0)-2,28)=""),INDEX(Tab_DaBa[],MATCH(CONCATENATE(Liste!$C$3,$B$2825,$B$3023),Data!$BO:$BO,0)-2,13),IF(INDEX(Tab_DaBa[],MATCH(CONCATENATE(Liste!$C$3,$B$2825,$B$3023),Data!$BO:$BO,0)-2,23)&lt;&gt;"",INDEX(Tab_DaBa[],MATCH(CONCATENATE(Liste!$C$3,$B$2825,$B$3023),Data!$BO:$BO,0)-2,28),"")),"")</f>
        <v>Bez_Lo04_08</v>
      </c>
      <c r="I3027" s="38">
        <f ca="1">IF(B3033="","",6)</f>
        <v>6</v>
      </c>
    </row>
    <row r="3028" spans="2:9" s="16" customFormat="1" ht="15.75">
      <c r="B3028" s="35" t="str">
        <f ca="1">IFERROR("Performance Level: "&amp;INDEX(Tab_DaBa[],MATCH(CONCATENATE(Liste!$C$3,$B$2825,$B$3023),Data!$BO:$BO,0)-2,10),"")</f>
        <v>Performance Level: PL_Ein4_8</v>
      </c>
      <c r="C3028" s="54"/>
      <c r="D3028" s="35" t="str">
        <f ca="1">IFERROR(IF(INDEX(Tab_DaBa[],MATCH(CONCATENATE(Liste!$C$3,$B$2825,$B$3023),Data!$BO:$BO,0)-2,18)="","Performance Level: "&amp;INDEX(Tab_DaBa[],MATCH(CONCATENATE(Liste!$C$3,$B$2825,$B$3023),Data!$BO:$BO,0)-2,15),"Performance Level: "&amp;INDEX(Tab_DaBa[],MATCH(CONCATENATE(Liste!$C$3,$B$2825,$B$3023),Data!$BO:$BO,0)-2,20)),"")</f>
        <v>Performance Level: PL_Log01_04_08</v>
      </c>
      <c r="E3028" s="36"/>
      <c r="F3028" s="35" t="str">
        <f ca="1">IFERROR(IF(AND(INDEX(Tab_DaBa[],MATCH(CONCATENATE(Liste!$C$3,$B$2825,$B$3023),Data!$BO:$BO,0)-2,18)&lt;&gt;"",INDEX(Tab_DaBa[],MATCH(CONCATENATE(Liste!$C$3,$B$2825,$B$3023),Data!$BO:$BO,0)-2,23)=""),"Performance Level: "&amp;INDEX(Tab_DaBa[],MATCH(CONCATENATE(Liste!$C$3,$B$2825,$B$3023),Data!$BO:$BO,0)-2,15),IF(INDEX(Tab_DaBa[],MATCH(CONCATENATE(Liste!$C$3,$B$2825,$B$3023),Data!$BO:$BO,0)-2,23)&lt;&gt;"","Performance Level: "&amp;INDEX(Tab_DaBa[],MATCH(CONCATENATE(Liste!$C$3,$B$2825,$B$3023),Data!$BO:$BO,0)-2,25),"")),"")</f>
        <v>Performance Level: PL_Lo04_08</v>
      </c>
      <c r="G3028" s="39"/>
      <c r="H3028" s="35" t="str">
        <f ca="1">IFERROR(IF(AND(INDEX(Tab_DaBa[],MATCH(CONCATENATE(Liste!$C$3,$B$2825,$B$3023),Data!$BO:$BO,0)-2,23)&lt;&gt;"",INDEX(Tab_DaBa[],MATCH(CONCATENATE(Liste!$C$3,$B$2825,$B$3023),Data!$BO:$BO,0)-2,28)=""),"Performance Level: "&amp;INDEX(Tab_DaBa[],MATCH(CONCATENATE(Liste!$C$3,$B$2825,$B$3023),Data!$BO:$BO,0)-2,15),IF(INDEX(Tab_DaBa[],MATCH(CONCATENATE(Liste!$C$3,$B$2825,$B$3023),Data!$BO:$BO,0)-2,23)&lt;&gt;"","Performance Level: "&amp;INDEX(Tab_DaBa[],MATCH(CONCATENATE(Liste!$C$3,$B$2825,$B$3023),Data!$BO:$BO,0)-2,30),"")),"")</f>
        <v>Performance Level: PL_Lo04_08</v>
      </c>
      <c r="I3028" s="38"/>
    </row>
    <row r="3029" spans="2:9" s="16" customFormat="1" ht="15.75">
      <c r="B3029" s="53" t="str">
        <f ca="1">IFERROR("PFH [1/h] = "&amp;10^9*INDEX(Tab_DaBa[],MATCH(CONCATENATE(Liste!$C$3,$B$2825,$B$3023),Data!$BO:$BO,0)-2,11)&amp;"E-9","")</f>
        <v>PFH [1/h] = 42,9E-9</v>
      </c>
      <c r="C3029" s="54"/>
      <c r="D3029" s="35" t="str">
        <f ca="1">IFERROR(IF(INDEX(Tab_DaBa[],MATCH(CONCATENATE(Liste!$C$3,$B$2825,$B$3023),Data!$BO:$BO,0)-2,18)="","PFH [1/h] = "&amp;10^9*INDEX(Tab_DaBa[],MATCH(CONCATENATE(Liste!$C$3,$B$2825,$B$3023),Data!$BO:$BO,0)-2,16)&amp;"E-9","PFH [1/h] = "&amp;10^9*INDEX(Tab_DaBa[],MATCH(CONCATENATE(Liste!$C$3,$B$2825,$B$3023),Data!$BO:$BO,0)-2,21)&amp;"E-9"),"")</f>
        <v>PFH [1/h] = 4,19E-9</v>
      </c>
      <c r="E3029" s="36"/>
      <c r="F3029" s="35" t="str">
        <f ca="1">IFERROR(IF(AND(INDEX(Tab_DaBa[],MATCH(CONCATENATE(Liste!$C$3,$B$2825,$B$3023),Data!$BO:$BO,0)-2,18)&lt;&gt;"",INDEX(Tab_DaBa[],MATCH(CONCATENATE(Liste!$C$3,$B$2825,$B$3023),Data!$BO:$BO,0)-2,23)=""),"PFH [1/h] = "&amp;10^9*INDEX(Tab_DaBa[],MATCH(CONCATENATE(Liste!$C$3,$B$2825,$B$3023),Data!$BO:$BO,0)-2,16)&amp;"E-9",IF(INDEX(Tab_DaBa[],MATCH(CONCATENATE(Liste!$C$3,$B$2825,$B$3023),Data!$BO:$BO,0)-2,23)&lt;&gt;"","PFH [1/h] = "&amp;10^9*INDEX(Tab_DaBa[],MATCH(CONCATENATE(Liste!$C$3,$B$2825,$B$3023),Data!$BO:$BO,0)-2,26)&amp;"E-9","")),"")</f>
        <v>PFH [1/h] = 4,19E-9</v>
      </c>
      <c r="G3029" s="39"/>
      <c r="H3029" s="35" t="str">
        <f ca="1">IFERROR(IF(AND(INDEX(Tab_DaBa[],MATCH(CONCATENATE(Liste!$C$3,$B$2825,$B$3023),Data!$BO:$BO,0)-2,23)&lt;&gt;"",INDEX(Tab_DaBa[],MATCH(CONCATENATE(Liste!$C$3,$B$2825,$B$3023),Data!$BO:$BO,0)-2,28)=""),"PFH [1/h] = "&amp;10^9*INDEX(Tab_DaBa[],MATCH(CONCATENATE(Liste!$C$3,$B$2825,$B$3023),Data!$BO:$BO,0)-2,16)&amp;"E-9",IF(INDEX(Tab_DaBa[],MATCH(CONCATENATE(Liste!$C$3,$B$2825,$B$3023),Data!$BO:$BO,0)-2,23)&lt;&gt;"","PFH [1/h] = "&amp;10^9*INDEX(Tab_DaBa[],MATCH(CONCATENATE(Liste!$C$3,$B$2825,$B$3023),Data!$BO:$BO,0)-2,31)&amp;"E-9","")),"")</f>
        <v>PFH [1/h] = 4,19E-9</v>
      </c>
      <c r="I3029" s="39"/>
    </row>
    <row r="3030" spans="2:9" s="16" customFormat="1">
      <c r="B3030" s="33"/>
      <c r="C3030" s="34"/>
      <c r="D3030" s="33"/>
      <c r="E3030" s="33"/>
      <c r="F3030" s="33"/>
      <c r="G3030" s="33"/>
      <c r="H3030" s="33"/>
      <c r="I3030" s="33"/>
    </row>
    <row r="3031" spans="2:9" s="16" customFormat="1" ht="15.75">
      <c r="B3031" s="38">
        <f ca="1">IF(B3033="","",6)</f>
        <v>6</v>
      </c>
      <c r="C3031" s="34"/>
      <c r="D3031" s="38">
        <f ca="1">IF(B3033="","",3)</f>
        <v>3</v>
      </c>
      <c r="E3031" s="33"/>
      <c r="F3031" s="38">
        <f ca="1">IF(B3033="","",3)</f>
        <v>3</v>
      </c>
      <c r="G3031" s="33"/>
      <c r="H3031" s="38">
        <f ca="1">IF(B3033="","",3)</f>
        <v>3</v>
      </c>
      <c r="I3031" s="33"/>
    </row>
    <row r="3032" spans="2:9" s="16" customFormat="1" ht="15.75">
      <c r="B3032" s="39"/>
      <c r="C3032" s="33"/>
      <c r="D3032" s="33"/>
      <c r="E3032" s="33"/>
      <c r="F3032" s="33"/>
      <c r="G3032" s="33"/>
      <c r="H3032" s="33"/>
      <c r="I3032" s="33"/>
    </row>
    <row r="3033" spans="2:9" s="16" customFormat="1" ht="15.75">
      <c r="B3033" s="35" t="str">
        <f ca="1">IFERROR(IF(AND(INDEX(Tab_DaBa[],MATCH(CONCATENATE(Liste!$C$3,$B$2825,$B$3023),Data!$BO:$BO,0)-2,28)&lt;&gt;"",INDEX(Tab_DaBa[],MATCH(CONCATENATE(Liste!$C$3,$B$2825,$B$3023),Data!$BO:$BO,0)-2,33)=0),INDEX(Tab_DaBa[],MATCH(CONCATENATE(Liste!$C$3,$B$2825,$B$3023),Data!$BO:$BO,0)-2,14),IF(INDEX(Tab_DaBa[],MATCH(CONCATENATE(Liste!$C$3,$B$2825,$B$3023),Data!$BO:$BO,0)-2,28)&lt;&gt;"",INDEX(Tab_DaBa[],MATCH(CONCATENATE(Liste!$C$3,$B$2825,$B$3023),Data!$BO:$BO,0)-2,34),"")),"")</f>
        <v>Logik 04</v>
      </c>
      <c r="C3033" s="39"/>
      <c r="D3033" s="35" t="str">
        <f ca="1">IFERROR(IF(AND(INDEX(Tab_DaBa[],MATCH(CONCATENATE(Liste!$C$3,$B$2825,$B$3023),Data!$BO:$BO,0)-2,33)&lt;&gt;"",INDEX(Tab_DaBa[],MATCH(CONCATENATE(Liste!$C$3,$B$2825,$B$3023),Data!$BO:$BO,0)-2,38)=0),INDEX(Tab_DaBa[],MATCH(CONCATENATE(Liste!$C$3,$B$2825,$B$3023),Data!$BO:$BO,0)-2,14),IF(INDEX(Tab_DaBa[],MATCH(CONCATENATE(Liste!$C$3,$B$2825,$B$3023),Data!$BO:$BO,0)-2,33)&lt;&gt;"",INDEX(Tab_DaBa[],MATCH(CONCATENATE(Liste!$C$3,$B$2825,$B$3023),Data!$BO:$BO,0)-2,39),"")),"")</f>
        <v>Logik 06</v>
      </c>
      <c r="E3033" s="33"/>
      <c r="F3033" s="35" t="str">
        <f ca="1">IFERROR(IF(AND(INDEX(Tab_DaBa[],MATCH(CONCATENATE(Liste!$C$3,$B$2825,$B$3023),Data!$BO:$BO,0)-2,38)&lt;&gt;"",INDEX(Tab_DaBa[],MATCH(CONCATENATE(Liste!$C$3,$B$2825,$B$3023),Data!$BO:$BO,0)-2,43)=0),INDEX(Tab_DaBa[],MATCH(CONCATENATE(Liste!$C$3,$B$2825,$B$3023),Data!$BO:$BO,0)-2,14),IF(INDEX(Tab_DaBa[],MATCH(CONCATENATE(Liste!$C$3,$B$2825,$B$3023),Data!$BO:$BO,0)-2,38)&lt;&gt;"",INDEX(Tab_DaBa[],MATCH(CONCATENATE(Liste!$C$3,$B$2825,$B$3023),Data!$BO:$BO,0)-2,44),"")),"")</f>
        <v>Logik 06</v>
      </c>
      <c r="G3033" s="39"/>
      <c r="H3033" s="35" t="str">
        <f ca="1">IFERROR(IF(AND(INDEX(Tab_DaBa[],MATCH(CONCATENATE(Liste!$C$3,$B$2825,$B$3023),Data!$BO:$BO,0)-2,43)&lt;&gt;"",INDEX(Tab_DaBa[],MATCH(CONCATENATE(Liste!$C$3,$B$2825,$B$3023),Data!$BO:$BO,0)-2,48)=0),INDEX(Tab_DaBa[],MATCH(CONCATENATE(Liste!$C$3,$B$2825,$B$3023),Data!$BO:$BO,0)-2,14),IF(INDEX(Tab_DaBa[],MATCH(CONCATENATE(Liste!$C$3,$B$2825,$B$3023),Data!$BO:$BO,0)-2,43)&lt;&gt;"",INDEX(Tab_DaBa[],MATCH(CONCATENATE(Liste!$C$3,$B$2825,$B$3023),Data!$BO:$BO,0)-2,49),"")),"")</f>
        <v>Logik 07</v>
      </c>
      <c r="I3033" s="39"/>
    </row>
    <row r="3034" spans="2:9" s="16" customFormat="1" ht="15.75">
      <c r="B3034" s="35" t="str">
        <f ca="1">IFERROR(IF(AND(INDEX(Tab_DaBa[],MATCH(CONCATENATE(Liste!$C$3,$B$2825,$B$3023),Data!$BO:$BO,0)-2,28)&lt;&gt;"",INDEX(Tab_DaBa[],MATCH(CONCATENATE(Liste!$C$3,$B$2825,$B$3023),Data!$BO:$BO,0)-2,33)=0),INDEX(Tab_DaBa[],MATCH(CONCATENATE(Liste!$C$3,$B$2825,$B$3023),Data!$BO:$BO,0)-2,12),IF(INDEX(Tab_DaBa[],MATCH(CONCATENATE(Liste!$C$3,$B$2825,$B$3023),Data!$BO:$BO,0)-2,28)&lt;&gt;"",INDEX(Tab_DaBa[],MATCH(CONCATENATE(Liste!$C$3,$B$2825,$B$3023),Data!$BO:$BO,0)-2,32),"")),"")</f>
        <v>Lo04-44_08</v>
      </c>
      <c r="C3034" s="39"/>
      <c r="D3034" s="35" t="str">
        <f ca="1">IFERROR(IF(AND(INDEX(Tab_DaBa[],MATCH(CONCATENATE(Liste!$C$3,$B$2825,$B$3023),Data!$BO:$BO,0)-2,33)&lt;&gt;"",INDEX(Tab_DaBa[],MATCH(CONCATENATE(Liste!$C$3,$B$2825,$B$3023),Data!$BO:$BO,0)-2,38)=0),INDEX(Tab_DaBa[],MATCH(CONCATENATE(Liste!$C$3,$B$2825,$B$3023),Data!$BO:$BO,0)-2,12),IF(INDEX(Tab_DaBa[],MATCH(CONCATENATE(Liste!$C$3,$B$2825,$B$3023),Data!$BO:$BO,0)-2,33)&lt;&gt;"",INDEX(Tab_DaBa[],MATCH(CONCATENATE(Liste!$C$3,$B$2825,$B$3023),Data!$BO:$BO,0)-2,37),"")),"")</f>
        <v>Lo04-44_08</v>
      </c>
      <c r="E3034" s="37"/>
      <c r="F3034" s="35" t="str">
        <f ca="1">IFERROR(IF(AND(INDEX(Tab_DaBa[],MATCH(CONCATENATE(Liste!$C$3,$B$2825,$B$3023),Data!$BO:$BO,0)-2,38)&lt;&gt;"",INDEX(Tab_DaBa[],MATCH(CONCATENATE(Liste!$C$3,$B$2825,$B$3023),Data!$BO:$BO,0)-2,43)=0),INDEX(Tab_DaBa[],MATCH(CONCATENATE(Liste!$C$3,$B$2825,$B$3023),Data!$BO:$BO,0)-2,12),IF(INDEX(Tab_DaBa[],MATCH(CONCATENATE(Liste!$C$3,$B$2825,$B$3023),Data!$BO:$BO,0)-2,38)&lt;&gt;"",INDEX(Tab_DaBa[],MATCH(CONCATENATE(Liste!$C$3,$B$2825,$B$3023),Data!$BO:$BO,0)-2,42),"")),"")</f>
        <v>Lo03-33_08</v>
      </c>
      <c r="G3034" s="39"/>
      <c r="H3034" s="35" t="str">
        <f ca="1">IFERROR(IF(AND(INDEX(Tab_DaBa[],MATCH(CONCATENATE(Liste!$C$3,$B$2825,$B$3023),Data!$BO:$BO,0)-2,43)&lt;&gt;"",INDEX(Tab_DaBa[],MATCH(CONCATENATE(Liste!$C$3,$B$2825,$B$3023),Data!$BO:$BO,0)-2,48)=0),INDEX(Tab_DaBa[],MATCH(CONCATENATE(Liste!$C$3,$B$2825,$B$3023),Data!$BO:$BO,0)-2,12),IF(INDEX(Tab_DaBa[],MATCH(CONCATENATE(Liste!$C$3,$B$2825,$B$3023),Data!$BO:$BO,0)-2,43)&lt;&gt;"",INDEX(Tab_DaBa[],MATCH(CONCATENATE(Liste!$C$3,$B$2825,$B$3023),Data!$BO:$BO,0)-2,47),"")),"")</f>
        <v>Lo03-33_08</v>
      </c>
      <c r="I3034" s="39"/>
    </row>
    <row r="3035" spans="2:9" s="16" customFormat="1" ht="15.75">
      <c r="B3035" s="35" t="str">
        <f ca="1">IFERROR(IF(AND(INDEX(Tab_DaBa[],MATCH(CONCATENATE(Liste!$C$3,$B$2825,$B$3023),Data!$BO:$BO,0)-2,28)&lt;&gt;"",INDEX(Tab_DaBa[],MATCH(CONCATENATE(Liste!$C$3,$B$2825,$B$3023),Data!$BO:$BO,0)-2,33)=""),INDEX(Tab_DaBa[],MATCH(CONCATENATE(Liste!$C$3,$B$2825,$B$3023),Data!$BO:$BO,0)-2,13),IF(INDEX(Tab_DaBa[],MATCH(CONCATENATE(Liste!$C$3,$B$2825,$B$3023),Data!$BO:$BO,0)-2,28)&lt;&gt;"",INDEX(Tab_DaBa[],MATCH(CONCATENATE(Liste!$C$3,$B$2825,$B$3023),Data!$BO:$BO,0)-2,33),"")),"")</f>
        <v>Bez_Lo04_08</v>
      </c>
      <c r="C3035" s="38">
        <f ca="1">IF(D3033="","",4)</f>
        <v>4</v>
      </c>
      <c r="D3035" s="35" t="str">
        <f ca="1">IFERROR(IF(AND(INDEX(Tab_DaBa[],MATCH(CONCATENATE(Liste!$C$3,$B$2825,$B$3023),Data!$BO:$BO,0)-2,33)&lt;&gt;"",INDEX(Tab_DaBa[],MATCH(CONCATENATE(Liste!$C$3,$B$2825,$B$3023),Data!$BO:$BO,0)-2,38)=""),INDEX(Tab_DaBa[],MATCH(CONCATENATE(Liste!$C$3,$B$2825,$B$3023),Data!$BO:$BO,0)-2,13),IF(INDEX(Tab_DaBa[],MATCH(CONCATENATE(Liste!$C$3,$B$2825,$B$3023),Data!$BO:$BO,0)-2,33)&lt;&gt;"",INDEX(Tab_DaBa[],MATCH(CONCATENATE(Liste!$C$3,$B$2825,$B$3023),Data!$BO:$BO,0)-2,38),"")),"")</f>
        <v>Bez_Lo03_08</v>
      </c>
      <c r="E3035" s="38">
        <f ca="1">IF(F3033="","",4)</f>
        <v>4</v>
      </c>
      <c r="F3035" s="35" t="str">
        <f ca="1">IFERROR(IF(AND(INDEX(Tab_DaBa[],MATCH(CONCATENATE(Liste!$C$3,$B$2825,$B$3023),Data!$BO:$BO,0)-2,38)&lt;&gt;"",INDEX(Tab_DaBa[],MATCH(CONCATENATE(Liste!$C$3,$B$2825,$B$3023),Data!$BO:$BO,0)-2,43)=""),INDEX(Tab_DaBa[],MATCH(CONCATENATE(Liste!$C$3,$B$2825,$B$3023),Data!$BO:$BO,0)-2,13),IF(INDEX(Tab_DaBa[],MATCH(CONCATENATE(Liste!$C$3,$B$2825,$B$3023),Data!$BO:$BO,0)-2,38)&lt;&gt;"",INDEX(Tab_DaBa[],MATCH(CONCATENATE(Liste!$C$3,$B$2825,$B$3023),Data!$BO:$BO,0)-2,43),"")),"")</f>
        <v>Bez_Lo03_08</v>
      </c>
      <c r="G3035" s="38">
        <f ca="1">IF(H3033="","",4)</f>
        <v>4</v>
      </c>
      <c r="H3035" s="35" t="str">
        <f ca="1">IFERROR(IF(AND(INDEX(Tab_DaBa[],MATCH(CONCATENATE(Liste!$C$3,$B$2825,$B$3023),Data!$BO:$BO,0)-2,43)&lt;&gt;"",INDEX(Tab_DaBa[],MATCH(CONCATENATE(Liste!$C$3,$B$2825,$B$3023),Data!$BO:$BO,0)-2,48)=""),INDEX(Tab_DaBa[],MATCH(CONCATENATE(Liste!$C$3,$B$2825,$B$3023),Data!$BO:$BO,0)-2,13),IF(INDEX(Tab_DaBa[],MATCH(CONCATENATE(Liste!$C$3,$B$2825,$B$3023),Data!$BO:$BO,0)-2,43)&lt;&gt;"",INDEX(Tab_DaBa[],MATCH(CONCATENATE(Liste!$C$3,$B$2825,$B$3023),Data!$BO:$BO,0)-2,48),"")),"")</f>
        <v>Bez_Lo03_08</v>
      </c>
      <c r="I3035" s="38">
        <f ca="1">IF(B3041="","",6)</f>
        <v>6</v>
      </c>
    </row>
    <row r="3036" spans="2:9" s="16" customFormat="1" ht="15.75">
      <c r="B3036" s="35" t="str">
        <f ca="1">IFERROR(IF(AND(INDEX(Tab_DaBa[],MATCH(CONCATENATE(Liste!$C$3,$B$2825,$B$3023),Data!$BO:$BO,0)-2,28)&lt;&gt;"",INDEX(Tab_DaBa[],MATCH(CONCATENATE(Liste!$C$3,$B$2825,$B$3023),Data!$BO:$BO,0)-2,33)=""),"Performance Level: "&amp;INDEX(Tab_DaBa[],MATCH(CONCATENATE(Liste!$C$3,$B$2825,$B$3023),Data!$BO:$BO,0)-2,15),IF(INDEX(Tab_DaBa[],MATCH(CONCATENATE(Liste!$C$3,$B$2825,$B$3023),Data!$BO:$BO,0)-2,28)&lt;&gt;"","Performance Level: "&amp;INDEX(Tab_DaBa[],MATCH(CONCATENATE(Liste!$C$3,$B$2825,$B$3023),Data!$BO:$BO,0)-2,35),"")),"")</f>
        <v>Performance Level: PL_Lo04_08</v>
      </c>
      <c r="C3036" s="39"/>
      <c r="D3036" s="35" t="str">
        <f ca="1">IFERROR(IF(AND(INDEX(Tab_DaBa[],MATCH(CONCATENATE(Liste!$C$3,$B$2825,$B$3023),Data!$BO:$BO,0)-2,33)&lt;&gt;"",INDEX(Tab_DaBa[],MATCH(CONCATENATE(Liste!$C$3,$B$2825,$B$3023),Data!$BO:$BO,0)-2,38)=""),"Performance Level: "&amp;INDEX(Tab_DaBa[],MATCH(CONCATENATE(Liste!$C$3,$B$2825,$B$3023),Data!$BO:$BO,0)-2,15),IF(INDEX(Tab_DaBa[],MATCH(CONCATENATE(Liste!$C$3,$B$2825,$B$3023),Data!$BO:$BO,0)-2,33)&lt;&gt;"","Performance Level: "&amp;INDEX(Tab_DaBa[],MATCH(CONCATENATE(Liste!$C$3,$B$2825,$B$3023),Data!$BO:$BO,0)-2,40),"")),"")</f>
        <v>Performance Level: PL_Lo03_8</v>
      </c>
      <c r="E3036" s="37"/>
      <c r="F3036" s="35" t="str">
        <f ca="1">IFERROR(IF(AND(INDEX(Tab_DaBa[],MATCH(CONCATENATE(Liste!$C$3,$B$2825,$B$3023),Data!$BO:$BO,0)-2,38)&lt;&gt;"",INDEX(Tab_DaBa[],MATCH(CONCATENATE(Liste!$C$3,$B$2825,$B$3023),Data!$BO:$BO,0)-2,43)=""),"Performance Level: "&amp;INDEX(Tab_DaBa[],MATCH(CONCATENATE(Liste!$C$3,$B$2825,$B$3023),Data!$BO:$BO,0)-2,15),IF(INDEX(Tab_DaBa[],MATCH(CONCATENATE(Liste!$C$3,$B$2825,$B$3023),Data!$BO:$BO,0)-2,38)&lt;&gt;"","Performance Level: "&amp;INDEX(Tab_DaBa[],MATCH(CONCATENATE(Liste!$C$3,$B$2825,$B$3023),Data!$BO:$BO,0)-2,45),"")),"")</f>
        <v>Performance Level: PL_Lo03_08</v>
      </c>
      <c r="G3036" s="39"/>
      <c r="H3036" s="35" t="str">
        <f ca="1">IFERROR(IF(AND(INDEX(Tab_DaBa[],MATCH(CONCATENATE(Liste!$C$3,$B$2825,$B$3023),Data!$BO:$BO,0)-2,43)&lt;&gt;"",INDEX(Tab_DaBa[],MATCH(CONCATENATE(Liste!$C$3,$B$2825,$B$3023),Data!$BO:$BO,0)-2,48)=""),"Performance Level: "&amp;INDEX(Tab_DaBa[],MATCH(CONCATENATE(Liste!$C$3,$B$2825,$B$3023),Data!$BO:$BO,0)-2,15),IF(INDEX(Tab_DaBa[],MATCH(CONCATENATE(Liste!$C$3,$B$2825,$B$3023),Data!$BO:$BO,0)-2,43)&lt;&gt;"","Performance Level: "&amp;INDEX(Tab_DaBa[],MATCH(CONCATENATE(Liste!$C$3,$B$2825,$B$3023),Data!$BO:$BO,0)-2,50),"")),"")</f>
        <v>Performance Level: PL_Lo03_08</v>
      </c>
      <c r="I3036" s="39"/>
    </row>
    <row r="3037" spans="2:9" s="16" customFormat="1" ht="15.75">
      <c r="B3037" s="35" t="str">
        <f ca="1">IFERROR(IF(AND(INDEX(Tab_DaBa[],MATCH(CONCATENATE(Liste!$C$3,$B$2825,$B$3023),Data!$BO:$BO,0)-2,28)&lt;&gt;"",INDEX(Tab_DaBa[],MATCH(CONCATENATE(Liste!$C$3,$B$2825,$B$3023),Data!$BO:$BO,0)-2,33)=""),"PFH [1/h] = "&amp;10^9*INDEX(Tab_DaBa[],MATCH(CONCATENATE(Liste!$C$3,$B$2825,$B$3023),Data!$BO:$BO,0)-2,16)&amp;"E-9",IF(INDEX(Tab_DaBa[],MATCH(CONCATENATE(Liste!$C$3,$B$2825,$B$3023),Data!$BO:$BO,0)-2,28)&lt;&gt;"","PFH [1/h] = "&amp;10^9*INDEX(Tab_DaBa[],MATCH(CONCATENATE(Liste!$C$3,$B$2825,$B$3023),Data!$BO:$BO,0)-2,36)&amp;"E-9","")),"")</f>
        <v>PFH [1/h] = 4,19E-9</v>
      </c>
      <c r="C3037" s="39"/>
      <c r="D3037" s="35" t="str">
        <f ca="1">IFERROR(IF(AND(INDEX(Tab_DaBa[],MATCH(CONCATENATE(Liste!$C$3,$B$2825,$B$3023),Data!$BO:$BO,0)-2,33)&lt;&gt;"",INDEX(Tab_DaBa[],MATCH(CONCATENATE(Liste!$C$3,$B$2825,$B$3023),Data!$BO:$BO,0)-2,38)=""),"PFH [1/h] = "&amp;10^9*INDEX(Tab_DaBa[],MATCH(CONCATENATE(Liste!$C$3,$B$2825,$B$3023),Data!$BO:$BO,0)-2,16)&amp;"E-9",IF(INDEX(Tab_DaBa[],MATCH(CONCATENATE(Liste!$C$3,$B$2825,$B$3023),Data!$BO:$BO,0)-2,33)&lt;&gt;"","PFH [1/h] = "&amp;10^9*INDEX(Tab_DaBa[],MATCH(CONCATENATE(Liste!$C$3,$B$2825,$B$3023),Data!$BO:$BO,0)-2,41)&amp;"E-9","")),"")</f>
        <v>PFH [1/h] = 4,19E-9</v>
      </c>
      <c r="E3037" s="37"/>
      <c r="F3037" s="35" t="str">
        <f ca="1">IFERROR(IF(AND(INDEX(Tab_DaBa[],MATCH(CONCATENATE(Liste!$C$3,$B$2825,$B$3023),Data!$BO:$BO,0)-2,38)&lt;&gt;"",INDEX(Tab_DaBa[],MATCH(CONCATENATE(Liste!$C$3,$B$2825,$B$3023),Data!$BO:$BO,0)-2,43)=""),"PFH [1/h] = "&amp;10^9*INDEX(Tab_DaBa[],MATCH(CONCATENATE(Liste!$C$3,$B$2825,$B$3023),Data!$BO:$BO,0)-2,16)&amp;"E-9",IF(INDEX(Tab_DaBa[],MATCH(CONCATENATE(Liste!$C$3,$B$2825,$B$3023),Data!$BO:$BO,0)-2,38)&lt;&gt;"","PFH [1/h] = "&amp;10^9*INDEX(Tab_DaBa[],MATCH(CONCATENATE(Liste!$C$3,$B$2825,$B$3023),Data!$BO:$BO,0)-2,46)&amp;"E-9","")),"")</f>
        <v>PFH [1/h] = 4,19E-9</v>
      </c>
      <c r="G3037" s="39"/>
      <c r="H3037" s="35" t="str">
        <f ca="1">IFERROR(IF(AND(INDEX(Tab_DaBa[],MATCH(CONCATENATE(Liste!$C$3,$B$2825,$B$3023),Data!$BO:$BO,0)-2,43)&lt;&gt;"",INDEX(Tab_DaBa[],MATCH(CONCATENATE(Liste!$C$3,$B$2825,$B$3023),Data!$BO:$BO,0)-2,48)=""),"PFH [1/h] = "&amp;10^9*INDEX(Tab_DaBa[],MATCH(CONCATENATE(Liste!$C$3,$B$2825,$B$3023),Data!$BO:$BO,0)-2,16)&amp;"E-9",IF(INDEX(Tab_DaBa[],MATCH(CONCATENATE(Liste!$C$3,$B$2825,$B$3023),Data!$BO:$BO,0)-2,43)&lt;&gt;"","PFH [1/h] = "&amp;10^9*INDEX(Tab_DaBa[],MATCH(CONCATENATE(Liste!$C$3,$B$2825,$B$3023),Data!$BO:$BO,0)-2,51)&amp;"E-9","")),"")</f>
        <v>PFH [1/h] = 4,19E-9</v>
      </c>
      <c r="I3037" s="39"/>
    </row>
    <row r="3038" spans="2:9" s="16" customFormat="1">
      <c r="B3038" s="33"/>
      <c r="C3038" s="33"/>
      <c r="D3038" s="33"/>
      <c r="E3038" s="33"/>
      <c r="F3038" s="33"/>
      <c r="G3038" s="33"/>
      <c r="H3038" s="33"/>
      <c r="I3038" s="33"/>
    </row>
    <row r="3039" spans="2:9" s="16" customFormat="1" ht="15.75">
      <c r="B3039" s="38">
        <f ca="1">IF(B3041="","",6)</f>
        <v>6</v>
      </c>
      <c r="C3039" s="33"/>
      <c r="D3039" s="38">
        <f ca="1">IF(B3041="","",3)</f>
        <v>3</v>
      </c>
      <c r="E3039" s="33"/>
      <c r="F3039" s="38">
        <f ca="1">IF(B3041="","",3)</f>
        <v>3</v>
      </c>
      <c r="G3039" s="33"/>
      <c r="H3039" s="38">
        <f ca="1">IF(B3041="","",3)</f>
        <v>3</v>
      </c>
      <c r="I3039" s="33"/>
    </row>
    <row r="3040" spans="2:9" s="16" customFormat="1" ht="15.75">
      <c r="B3040" s="39"/>
      <c r="C3040" s="33"/>
      <c r="D3040" s="33"/>
      <c r="E3040" s="33"/>
      <c r="F3040" s="33"/>
      <c r="G3040" s="33"/>
      <c r="H3040" s="33"/>
      <c r="I3040" s="33"/>
    </row>
    <row r="3041" spans="2:9" s="16" customFormat="1" ht="15.75">
      <c r="B3041" s="35" t="str">
        <f ca="1">IFERROR(IF(AND(INDEX(Tab_DaBa[],MATCH(CONCATENATE(Liste!$C$3,$B$2825,$B$3023),Data!$BO:$BO,0)-2,48)&lt;&gt;"",INDEX(Tab_DaBa[],MATCH(CONCATENATE(Liste!$C$3,$B$2825,$B$3023),Data!$BO:$BO,0)-2,53)=0),INDEX(Tab_DaBa[],MATCH(CONCATENATE(Liste!$C$3,$B$2825,$B$3023),Data!$BO:$BO,0)-2,14),IF(INDEX(Tab_DaBa[],MATCH(CONCATENATE(Liste!$C$3,$B$2825,$B$3023),Data!$BO:$BO,0)-2,48)&lt;&gt;"",INDEX(Tab_DaBa[],MATCH(CONCATENATE(Liste!$C$3,$B$2825,$B$3023),Data!$BO:$BO,0)-2,54),"")),"")</f>
        <v>Logik 08</v>
      </c>
      <c r="C3041" s="39"/>
      <c r="D3041" s="35" t="str">
        <f ca="1">IFERROR(IF(AND(INDEX(Tab_DaBa[],MATCH(CONCATENATE(Liste!$C$3,$B$2825,$B$3023),Data!$BO:$BO,0)-2,53)&lt;&gt;"",INDEX(Tab_DaBa[],MATCH(CONCATENATE(Liste!$C$3,$B$2825,$B$3023),Data!$BO:$BO,0)-2,58)=0),INDEX(Tab_DaBa[],MATCH(CONCATENATE(Liste!$C$3,$B$2825,$B$3023),Data!$BO:$BO,0)-2,14),IF(INDEX(Tab_DaBa[],MATCH(CONCATENATE(Liste!$C$3,$B$2825,$B$3023),Data!$BO:$BO,0)-2,53)&lt;&gt;"",INDEX(Tab_DaBa[],MATCH(CONCATENATE(Liste!$C$3,$B$2825,$B$3023),Data!$BO:$BO,0)-2,59),"")),"")</f>
        <v>Ausgang</v>
      </c>
      <c r="E3041" s="33"/>
      <c r="F3041" s="35" t="str">
        <f ca="1">IFERROR(IF(AND(INDEX(Tab_DaBa[],MATCH(CONCATENATE(Liste!$C$3,$B$2825,$B$3023),Data!$BO:$BO,0)-2,58)&lt;&gt;"",INDEX(Tab_DaBa[],MATCH(CONCATENATE(Liste!$C$3,$B$2825,$B$3023),Data!$BO:$BO,0)-2,63)=0),INDEX(Tab_DaBa[],MATCH(CONCATENATE(Liste!$C$3,$B$2825,$B$3023),Data!$BO:$BO,0)-2,14),IF(INDEX(Tab_DaBa[],MATCH(CONCATENATE(Liste!$C$3,$B$2825,$B$3023),Data!$BO:$BO,0)-2,58)&lt;&gt;"",INDEX(Tab_DaBa[],MATCH(CONCATENATE(Liste!$C$3,$B$2825,$B$3023),Data!$BO:$BO,0)-2,64),"")),"")</f>
        <v/>
      </c>
      <c r="G3041" s="39"/>
      <c r="H3041" s="35" t="str">
        <f ca="1">IFERROR(IF(INDEX(Tab_DaBa[],MATCH(CONCATENATE(Liste!$C$3,$B$2825,$B$3023),Data!$BO:$BO,0)-2,63)&lt;&gt;"",INDEX(Tab_DaBa[],MATCH(CONCATENATE(Liste!$C$3,$B$2825,$B$3023),Data!$BO:$BO,0)-2,14),""),"")</f>
        <v/>
      </c>
    </row>
    <row r="3042" spans="2:9" s="16" customFormat="1" ht="15.75">
      <c r="B3042" s="35" t="str">
        <f ca="1">IFERROR(IF(AND(INDEX(Tab_DaBa[],MATCH(CONCATENATE(Liste!$C$3,$B$2825,$B$3023),Data!$BO:$BO,0)-2,48)&lt;&gt;"",INDEX(Tab_DaBa[],MATCH(CONCATENATE(Liste!$C$3,$B$2825,$B$3023),Data!$BO:$BO,0)-2,53)=0),INDEX(Tab_DaBa[],MATCH(CONCATENATE(Liste!$C$3,$B$2825,$B$3023),Data!$BO:$BO,0)-2,12),IF(INDEX(Tab_DaBa[],MATCH(CONCATENATE(Liste!$C$3,$B$2825,$B$3023),Data!$BO:$BO,0)-2,48)&lt;&gt;"",INDEX(Tab_DaBa[],MATCH(CONCATENATE(Liste!$C$3,$B$2825,$B$3023),Data!$BO:$BO,0)-2,52),"")),"")</f>
        <v>Lo03-88_08</v>
      </c>
      <c r="C3042" s="39"/>
      <c r="D3042" s="35" t="str">
        <f ca="1">IFERROR(IF(AND(INDEX(Tab_DaBa[],MATCH(CONCATENATE(Liste!$C$3,$B$2825,$B$3023),Data!$BO:$BO,0)-2,53)&lt;&gt;"",INDEX(Tab_DaBa[],MATCH(CONCATENATE(Liste!$C$3,$B$2825,$B$3023),Data!$BO:$BO,0)-2,58)=0),INDEX(Tab_DaBa[],MATCH(CONCATENATE(Liste!$C$3,$B$2825,$B$3023),Data!$BO:$BO,0)-2,12),IF(INDEX(Tab_DaBa[],MATCH(CONCATENATE(Liste!$C$3,$B$2825,$B$3023),Data!$BO:$BO,0)-2,53)&lt;&gt;"",INDEX(Tab_DaBa[],MATCH(CONCATENATE(Liste!$C$3,$B$2825,$B$3023),Data!$BO:$BO,0)-2,57),"")),"")</f>
        <v>aaaa-44_8</v>
      </c>
      <c r="E3042" s="37"/>
      <c r="F3042" s="35" t="str">
        <f ca="1">IFERROR(IF(AND(INDEX(Tab_DaBa[],MATCH(CONCATENATE(Liste!$C$3,$B$2825,$B$3023),Data!$BO:$BO,0)-2,58)&lt;&gt;"",INDEX(Tab_DaBa[],MATCH(CONCATENATE(Liste!$C$3,$B$2825,$B$3023),Data!$BO:$BO,0)-2,63)=0),INDEX(Tab_DaBa[],MATCH(CONCATENATE(Liste!$C$3,$B$2825,$B$3023),Data!$BO:$BO,0)-2,12),IF(INDEX(Tab_DaBa[],MATCH(CONCATENATE(Liste!$C$3,$B$2825,$B$3023),Data!$BO:$BO,0)-2,58)&lt;&gt;"",INDEX(Tab_DaBa[],MATCH(CONCATENATE(Liste!$C$3,$B$2825,$B$3023),Data!$BO:$BO,0)-2,62),"")),"")</f>
        <v/>
      </c>
      <c r="G3042" s="39"/>
      <c r="H3042" s="35" t="str">
        <f ca="1">IFERROR(IF(INDEX(Tab_DaBa[],MATCH(CONCATENATE(Liste!$C$3,$B$2825,$B$3023),Data!$BO:$BO,0)-2,63)&lt;&gt;"",INDEX(Tab_DaBa[],MATCH(CONCATENATE(Liste!$C$3,$B$2825,$B$3023),Data!$BO:$BO,0)-2,12),""),"")</f>
        <v/>
      </c>
    </row>
    <row r="3043" spans="2:9" s="16" customFormat="1" ht="15.75">
      <c r="B3043" s="35" t="str">
        <f ca="1">IFERROR(IF(AND(INDEX(Tab_DaBa[],MATCH(CONCATENATE(Liste!$C$3,$B$2825,$B$3023),Data!$BO:$BO,0)-2,48)&lt;&gt;"",INDEX(Tab_DaBa[],MATCH(CONCATENATE(Liste!$C$3,$B$2825,$B$3023),Data!$BO:$BO,0)-2,53)=""),INDEX(Tab_DaBa[],MATCH(CONCATENATE(Liste!$C$3,$B$2825,$B$3023),Data!$BO:$BO,0)-2,13),IF(INDEX(Tab_DaBa[],MATCH(CONCATENATE(Liste!$C$3,$B$2825,$B$3023),Data!$BO:$BO,0)-2,48)&lt;&gt;"",INDEX(Tab_DaBa[],MATCH(CONCATENATE(Liste!$C$3,$B$2825,$B$3023),Data!$BO:$BO,0)-2,53),"")),"")</f>
        <v>Bez_Lo03_08</v>
      </c>
      <c r="C3043" s="38">
        <f ca="1">IF(D3041="","",4)</f>
        <v>4</v>
      </c>
      <c r="D3043" s="35" t="str">
        <f ca="1">IFERROR(IF(AND(INDEX(Tab_DaBa[],MATCH(CONCATENATE(Liste!$C$3,$B$2825,$B$3023),Data!$BO:$BO,0)-2,53)&lt;&gt;"",INDEX(Tab_DaBa[],MATCH(CONCATENATE(Liste!$C$3,$B$2825,$B$3023),Data!$BO:$BO,0)-2,58)=""),INDEX(Tab_DaBa[],MATCH(CONCATENATE(Liste!$C$3,$B$2825,$B$3023),Data!$BO:$BO,0)-2,13),IF(INDEX(Tab_DaBa[],MATCH(CONCATENATE(Liste!$C$3,$B$2825,$B$3023),Data!$BO:$BO,0)-2,53)&lt;&gt;"",INDEX(Tab_DaBa[],MATCH(CONCATENATE(Liste!$C$3,$B$2825,$B$3023),Data!$BO:$BO,0)-2,58),"")),"")</f>
        <v>Bez_Aus4_8</v>
      </c>
      <c r="E3043" s="38" t="str">
        <f ca="1">IF(F3041="","",4)</f>
        <v/>
      </c>
      <c r="F3043" s="35" t="str">
        <f ca="1">IFERROR(IF(AND(INDEX(Tab_DaBa[],MATCH(CONCATENATE(Liste!$C$3,$B$2825,$B$3023),Data!$BO:$BO,0)-2,58)&lt;&gt;"",INDEX(Tab_DaBa[],MATCH(CONCATENATE(Liste!$C$3,$B$2825,$B$3023),Data!$BO:$BO,0)-2,63)=""),INDEX(Tab_DaBa[],MATCH(CONCATENATE(Liste!$C$3,$B$2825,$B$3023),Data!$BO:$BO,0)-2,13),IF(INDEX(Tab_DaBa[],MATCH(CONCATENATE(Liste!$C$3,$B$2825,$B$3023),Data!$BO:$BO,0)-2,58)&lt;&gt;"",INDEX(Tab_DaBa[],MATCH(CONCATENATE(Liste!$C$3,$B$2825,$B$3023),Data!$BO:$BO,0)-2,63),"")),"")</f>
        <v/>
      </c>
      <c r="G3043" s="38" t="str">
        <f ca="1">IF(H3041="","",4)</f>
        <v/>
      </c>
      <c r="H3043" s="35" t="str">
        <f ca="1">IFERROR(IF(INDEX(Tab_DaBa[],MATCH(CONCATENATE(Liste!$C$3,$B$2825,$B$3023),Data!$BO:$BO,0)-2,63)&lt;&gt;"",INDEX(Tab_DaBa[],MATCH(CONCATENATE(Liste!$C$3,$B$2825,$B$3023),Data!$BO:$BO,0)-2,13),""),"")</f>
        <v/>
      </c>
    </row>
    <row r="3044" spans="2:9" s="16" customFormat="1" ht="15.75">
      <c r="B3044" s="35" t="str">
        <f ca="1">IFERROR(IF(AND(INDEX(Tab_DaBa[],MATCH(CONCATENATE(Liste!$C$3,$B$2825,$B$3023),Data!$BO:$BO,0)-2,48)&lt;&gt;"",INDEX(Tab_DaBa[],MATCH(CONCATENATE(Liste!$C$3,$B$2825,$B$3023),Data!$BO:$BO,0)-2,53)=""),"Performance Level: "&amp;INDEX(Tab_DaBa[],MATCH(CONCATENATE(Liste!$C$3,$B$2825,$B$3023),Data!$BO:$BO,0)-2,15),IF(INDEX(Tab_DaBa[],MATCH(CONCATENATE(Liste!$C$3,$B$2825,$B$3023),Data!$BO:$BO,0)-2,48)&lt;&gt;"","Performance Level: "&amp;INDEX(Tab_DaBa[],MATCH(CONCATENATE(Liste!$C$3,$B$2825,$B$3023),Data!$BO:$BO,0)-2,55),"")),"")</f>
        <v>Performance Level: PL_Lo03_08</v>
      </c>
      <c r="C3044" s="39"/>
      <c r="D3044" s="35" t="str">
        <f ca="1">IFERROR(IF(AND(INDEX(Tab_DaBa[],MATCH(CONCATENATE(Liste!$C$3,$B$2825,$B$3023),Data!$BO:$BO,0)-2,53)&lt;&gt;"",INDEX(Tab_DaBa[],MATCH(CONCATENATE(Liste!$C$3,$B$2825,$B$3023),Data!$BO:$BO,0)-2,58)=""),"Performance Level: "&amp;INDEX(Tab_DaBa[],MATCH(CONCATENATE(Liste!$C$3,$B$2825,$B$3023),Data!$BO:$BO,0)-2,15),IF(INDEX(Tab_DaBa[],MATCH(CONCATENATE(Liste!$C$3,$B$2825,$B$3023),Data!$BO:$BO,0)-2,53)&lt;&gt;"","Performance Level: "&amp;INDEX(Tab_DaBa[],MATCH(CONCATENATE(Liste!$C$3,$B$2825,$B$3023),Data!$BO:$BO,0)-2,60),"")),"")</f>
        <v>Performance Level: PL_Aus4_8</v>
      </c>
      <c r="E3044" s="37"/>
      <c r="F3044" s="35" t="str">
        <f ca="1">IFERROR(IF(AND(INDEX(Tab_DaBa[],MATCH(CONCATENATE(Liste!$C$3,$B$2825,$B$3023),Data!$BO:$BO,0)-2,58)&lt;&gt;"",INDEX(Tab_DaBa[],MATCH(CONCATENATE(Liste!$C$3,$B$2825,$B$3023),Data!$BO:$BO,0)-2,63)=""),"Performance Level: "&amp;INDEX(Tab_DaBa[],MATCH(CONCATENATE(Liste!$C$3,$B$2825,$B$3023),Data!$BO:$BO,0)-2,15),IF(INDEX(Tab_DaBa[],MATCH(CONCATENATE(Liste!$C$3,$B$2825,$B$3023),Data!$BO:$BO,0)-2,58)&lt;&gt;"","Performance Level: "&amp;INDEX(Tab_DaBa[],MATCH(CONCATENATE(Liste!$C$3,$B$2825,$B$3023),Data!$BO:$BO,0)-2,65),"")),"")</f>
        <v/>
      </c>
      <c r="G3044" s="39"/>
      <c r="H3044" s="35" t="str">
        <f ca="1">IFERROR(IF(INDEX(Tab_DaBa[],MATCH(CONCATENATE(Liste!$C$3,$B$2825,$B$3023),Data!$BO:$BO,0)-2,63)&lt;&gt;"","Performance Level: "&amp;INDEX(Tab_DaBa[],MATCH(CONCATENATE(Liste!$C$3,$B$2825,$B$3023),Data!$BO:$BO,0)-2,15),""),"")</f>
        <v/>
      </c>
    </row>
    <row r="3045" spans="2:9" s="16" customFormat="1" ht="15.75">
      <c r="B3045" s="35" t="str">
        <f ca="1">IFERROR(IF(AND(INDEX(Tab_DaBa[],MATCH(CONCATENATE(Liste!$C$3,$B$2825,$B$3023),Data!$BO:$BO,0)-2,48)&lt;&gt;"",INDEX(Tab_DaBa[],MATCH(CONCATENATE(Liste!$C$3,$B$2825,$B$3023),Data!$BO:$BO,0)-2,53)=""),"PFH [1/h] = "&amp;10^9*INDEX(Tab_DaBa[],MATCH(CONCATENATE(Liste!$C$3,$B$2825,$B$3023),Data!$BO:$BO,0)-2,16)&amp;"E-9",IF(INDEX(Tab_DaBa[],MATCH(CONCATENATE(Liste!$C$3,$B$2825,$B$3023),Data!$BO:$BO,0)-2,48)&lt;&gt;"","PFH [1/h] = "&amp;10^9*INDEX(Tab_DaBa[],MATCH(CONCATENATE(Liste!$C$3,$B$2825,$B$3023),Data!$BO:$BO,0)-2,56)&amp;"E-9","")),"")</f>
        <v>PFH [1/h] = 4,19E-9</v>
      </c>
      <c r="C3045" s="39"/>
      <c r="D3045" s="35" t="str">
        <f ca="1">IFERROR(IF(AND(INDEX(Tab_DaBa[],MATCH(CONCATENATE(Liste!$C$3,$B$2825,$B$3023),Data!$BO:$BO,0)-2,53)&lt;&gt;"",INDEX(Tab_DaBa[],MATCH(CONCATENATE(Liste!$C$3,$B$2825,$B$3023),Data!$BO:$BO,0)-2,58)=""),"PFH [1/h] = "&amp;10^9*INDEX(Tab_DaBa[],MATCH(CONCATENATE(Liste!$C$3,$B$2825,$B$3023),Data!$BO:$BO,0)-2,16)&amp;"E-9",IF(INDEX(Tab_DaBa[],MATCH(CONCATENATE(Liste!$C$3,$B$2825,$B$3023),Data!$BO:$BO,0)-2,53)&lt;&gt;"","PFH [1/h] = "&amp;10^9*INDEX(Tab_DaBa[],MATCH(CONCATENATE(Liste!$C$3,$B$2825,$B$3023),Data!$BO:$BO,0)-2,61)&amp;"E-9","")),"")</f>
        <v>PFH [1/h] = 24,7E-9</v>
      </c>
      <c r="E3045" s="37"/>
      <c r="F3045" s="35" t="str">
        <f ca="1">IFERROR(IF(AND(INDEX(Tab_DaBa[],MATCH(CONCATENATE(Liste!$C$3,$B$2825,$B$3023),Data!$BO:$BO,0)-2,58)&lt;&gt;"",INDEX(Tab_DaBa[],MATCH(CONCATENATE(Liste!$C$3,$B$2825,$B$3023),Data!$BO:$BO,0)-2,63)=""),"PFH [1/h] = "&amp;10^9*INDEX(Tab_DaBa[],MATCH(CONCATENATE(Liste!$C$3,$B$2825,$B$3023),Data!$BO:$BO,0)-2,16)&amp;"E-9",IF(INDEX(Tab_DaBa[],MATCH(CONCATENATE(Liste!$C$3,$B$2825,$B$3023),Data!$BO:$BO,0)-2,58)&lt;&gt;"","PFH [1/h] = "&amp;10^9*INDEX(Tab_DaBa[],MATCH(CONCATENATE(Liste!$C$3,$B$2825,$B$3023),Data!$BO:$BO,0)-2,66)&amp;"E-9","")),"")</f>
        <v/>
      </c>
      <c r="G3045" s="39"/>
      <c r="H3045" s="35" t="str">
        <f ca="1">IFERROR(IF(INDEX(Tab_DaBa[],MATCH(CONCATENATE(Liste!$C$3,$B$2825,$B$3023),Data!$BO:$BO,0)-2,63)&lt;&gt;"","PFH [1/h] = "&amp;10^9*INDEX(Tab_DaBa[],MATCH(CONCATENATE(Liste!$C$3,$B$2825,$B$3023),Data!$BO:$BO,0)-2,16)&amp;"E-9",""),"")</f>
        <v/>
      </c>
    </row>
    <row r="3046" spans="2:9" s="16" customFormat="1"/>
    <row r="3047" spans="2:9" s="16" customFormat="1">
      <c r="B3047" s="43" t="str">
        <f ca="1">IF(D3047="","","Erforderlich")</f>
        <v>Erforderlich</v>
      </c>
      <c r="D3047" s="44" t="str">
        <f ca="1">IFERROR("Performance Level: "&amp;INDEX(Tab_DaBa[],MATCH(CONCATENATE(Liste!$C$3,$B$2825,$B$3023),Data!$BO:$BO,0)-2,4),"")</f>
        <v>Performance Level: PLr_ges4_8</v>
      </c>
    </row>
    <row r="3048" spans="2:9" s="16" customFormat="1">
      <c r="B3048" s="45"/>
    </row>
    <row r="3049" spans="2:9" s="16" customFormat="1">
      <c r="B3049" s="46" t="str">
        <f ca="1">IF(D3049="","","Erreicht")</f>
        <v>Erreicht</v>
      </c>
      <c r="D3049" s="47" t="str">
        <f ca="1">IFERROR("Performance Level: "&amp;INDEX(Tab_DaBa[],MATCH(CONCATENATE(Liste!$C$3,$B$2825,$B$3023),Data!$BO:$BO,0)-2,5)&amp;"          PFH [1/h] = "&amp;10^9*INDEX(Tab_DaBa[],MATCH(CONCATENATE(Liste!$C$3,$B$2825,$B$3023),Data!$BO:$BO,0)-2,6)&amp;"E-9","")</f>
        <v>Performance Level: Pl_ges4_8          PFH [1/h] = 71,7E-9</v>
      </c>
    </row>
    <row r="3050" spans="2:9" s="16" customFormat="1">
      <c r="B3050" s="50"/>
      <c r="C3050" s="49"/>
      <c r="D3050" s="49"/>
    </row>
    <row r="3051" spans="2:9" s="16" customFormat="1">
      <c r="B3051" s="42" t="str">
        <f ca="1">IFERROR(IF(9&gt;COUNTIF(Data!$BP:$BP,CONCATENATE(Liste!$C$3,$B$2825)),"",INDEX(Tab_DaBa[],MATCH(CONCATENATE(Liste!$C$3,$B$2825),Data!$BP:$BP,0)+6,3)),"")</f>
        <v>11.9 Test11 (E+9L+A)</v>
      </c>
    </row>
    <row r="3052" spans="2:9" s="16" customFormat="1"/>
    <row r="3053" spans="2:9" s="16" customFormat="1" ht="15.75">
      <c r="B3053" s="35" t="str">
        <f ca="1">IFERROR(INDEX(Tab_DaBa[],MATCH(CONCATENATE(Liste!$C$3,$B$2825,$B$3051),Data!$BO:$BO,0)-2,9),"")</f>
        <v>Eingang</v>
      </c>
      <c r="C3053" s="54"/>
      <c r="D3053" s="35" t="str">
        <f ca="1">IFERROR(IF(INDEX(Tab_DaBa[],MATCH(CONCATENATE(Liste!$C$3,$B$2825,$B$3051),Data!$BO:$BO,0)-2,18)=0,INDEX(Tab_DaBa[],MATCH(CONCATENATE(Liste!$C$3,$B$2825,$B$3051),Data!$BO:$BO,0)-2,14),INDEX(Tab_DaBa[],MATCH(CONCATENATE(Liste!$C$3,$B$2825,$B$3051),Data!$BO:$BO,0)-2,19)),"")</f>
        <v>Logik 01</v>
      </c>
      <c r="E3053" s="33"/>
      <c r="F3053" s="35" t="str">
        <f ca="1">IFERROR(IF(AND(INDEX(Tab_DaBa[],MATCH(CONCATENATE(Liste!$C$3,$B$2825,$B$3051),Data!$BO:$BO,0)-2,18)&lt;&gt;"",INDEX(Tab_DaBa[],MATCH(CONCATENATE(Liste!$C$3,$B$2825,$B$3051),Data!$BO:$BO,0)-2,23)=0),INDEX(Tab_DaBa[],MATCH(CONCATENATE(Liste!$C$3,$B$2825,$B$3051),Data!$BO:$BO,0)-2,14),IF(INDEX(Tab_DaBa[],MATCH(CONCATENATE(Liste!$C$3,$B$2825,$B$3051),Data!$BO:$BO,0)-2,23)&lt;&gt;"",INDEX(Tab_DaBa[],MATCH(CONCATENATE(Liste!$C$3,$B$2825,$B$3051),Data!$BO:$BO,0)-2,24),"")),"")</f>
        <v>Logik 02</v>
      </c>
      <c r="G3053" s="39"/>
      <c r="H3053" s="35" t="str">
        <f ca="1">IFERROR(IF(AND(INDEX(Tab_DaBa[],MATCH(CONCATENATE(Liste!$C$3,$B$2825,$B$3051),Data!$BO:$BO,0)-2,23)&lt;&gt;"",INDEX(Tab_DaBa[],MATCH(CONCATENATE(Liste!$C$3,$B$2825,$B$3051),Data!$BO:$BO,0)-2,28)=0),INDEX(Tab_DaBa[],MATCH(CONCATENATE(Liste!$C$3,$B$2825,$B$3051),Data!$BO:$BO,0)-2,14),IF(INDEX(Tab_DaBa[],MATCH(CONCATENATE(Liste!$C$3,$B$2825,$B$3051),Data!$BO:$BO,0)-2,23)&lt;&gt;"",INDEX(Tab_DaBa[],MATCH(CONCATENATE(Liste!$C$3,$B$2825,$B$3051),Data!$BO:$BO,0)-2,29),"")),"")</f>
        <v>Logik 03</v>
      </c>
      <c r="I3053" s="39"/>
    </row>
    <row r="3054" spans="2:9" s="16" customFormat="1" ht="15.75">
      <c r="B3054" s="35" t="str">
        <f ca="1">IFERROR(INDEX(Tab_DaBa[],MATCH(CONCATENATE(Liste!$C$3,$B$2825,$B$3051),Data!$BO:$BO,0)-2,7),"")</f>
        <v>eeee-33_9</v>
      </c>
      <c r="C3054" s="54"/>
      <c r="D3054" s="35" t="str">
        <f ca="1">IFERROR(IF(INDEX(Tab_DaBa[],MATCH(CONCATENATE(Liste!$C$3,$B$2825,$B$3051),Data!$BO:$BO,0)-2,18)="",INDEX(Tab_DaBa[],MATCH(CONCATENATE(Liste!$C$3,$B$2825,$B$3051),Data!$BO:$BO,0)-2,12),INDEX(Tab_DaBa[],MATCH(CONCATENATE(Liste!$C$3,$B$2825,$B$3051),Data!$BO:$BO,0)-2,17)),"")</f>
        <v>Log01-04_09</v>
      </c>
      <c r="E3054" s="36"/>
      <c r="F3054" s="35" t="str">
        <f ca="1">IFERROR(IF(AND(INDEX(Tab_DaBa[],MATCH(CONCATENATE(Liste!$C$3,$B$2825,$B$3051),Data!$BO:$BO,0)-2,18)&lt;&gt;"",INDEX(Tab_DaBa[],MATCH(CONCATENATE(Liste!$C$3,$B$2825,$B$3051),Data!$BO:$BO,0)-2,23)=0),INDEX(Tab_DaBa[],MATCH(CONCATENATE(Liste!$C$3,$B$2825,$B$3051),Data!$BO:$BO,0)-2,12),IF(INDEX(Tab_DaBa[],MATCH(CONCATENATE(Liste!$C$3,$B$2825,$B$3051),Data!$BO:$BO,0)-2,23)&lt;&gt;"",INDEX(Tab_DaBa[],MATCH(CONCATENATE(Liste!$C$3,$B$2825,$B$3051),Data!$BO:$BO,0)-2,22),"")),"")</f>
        <v>Lo04-04_09</v>
      </c>
      <c r="G3054" s="39"/>
      <c r="H3054" s="35" t="str">
        <f ca="1">IFERROR(IF(AND(INDEX(Tab_DaBa[],MATCH(CONCATENATE(Liste!$C$3,$B$2825,$B$3051),Data!$BO:$BO,0)-2,23)&lt;&gt;"",INDEX(Tab_DaBa[],MATCH(CONCATENATE(Liste!$C$3,$B$2825,$B$3051),Data!$BO:$BO,0)-2,28)=0),INDEX(Tab_DaBa[],MATCH(CONCATENATE(Liste!$C$3,$B$2825,$B$3051),Data!$BO:$BO,0)-2,12),IF(INDEX(Tab_DaBa[],MATCH(CONCATENATE(Liste!$C$3,$B$2825,$B$3051),Data!$BO:$BO,0)-2,23)&lt;&gt;"",INDEX(Tab_DaBa[],MATCH(CONCATENATE(Liste!$C$3,$B$2825,$B$3051),Data!$BO:$BO,0)-2,27),"")),"")</f>
        <v>Lo04-44_09</v>
      </c>
      <c r="I3054" s="39"/>
    </row>
    <row r="3055" spans="2:9" s="16" customFormat="1" ht="15.75">
      <c r="B3055" s="35" t="str">
        <f ca="1">IFERROR(INDEX(Tab_DaBa[],MATCH(CONCATENATE(Liste!$C$3,$B$2825,$B$3051),Data!$BO:$BO,0)-2,8),"")</f>
        <v>Bez_Ein4_9</v>
      </c>
      <c r="C3055" s="40">
        <f ca="1">IF(D3053="","",4)</f>
        <v>4</v>
      </c>
      <c r="D3055" s="35" t="str">
        <f ca="1">IFERROR(IF(INDEX(Tab_DaBa[],MATCH(CONCATENATE(Liste!$C$3,$B$2825,$B$3051),Data!$BO:$BO,0)-2,18)="",INDEX(Tab_DaBa[],MATCH(CONCATENATE(Liste!$C$3,$B$2825,$B$3051),Data!$BO:$BO,0)-2,13),INDEX(Tab_DaBa[],MATCH(CONCATENATE(Liste!$C$3,$B$2825,$B$3051),Data!$BO:$BO,0)-2,18)),"")</f>
        <v>Bez_Log01_04_09</v>
      </c>
      <c r="E3055" s="40">
        <f ca="1">IF(F3053="","",4)</f>
        <v>4</v>
      </c>
      <c r="F3055" s="35" t="str">
        <f ca="1">IFERROR(IF(AND(INDEX(Tab_DaBa[],MATCH(CONCATENATE(Liste!$C$3,$B$2825,$B$3051),Data!$BO:$BO,0)-2,18)&lt;&gt;"",INDEX(Tab_DaBa[],MATCH(CONCATENATE(Liste!$C$3,$B$2825,$B$3051),Data!$BO:$BO,0)-2,23)=""),INDEX(Tab_DaBa[],MATCH(CONCATENATE(Liste!$C$3,$B$2825,$B$3051),Data!$BO:$BO,0)-2,13),IF(INDEX(Tab_DaBa[],MATCH(CONCATENATE(Liste!$C$3,$B$2825,$B$3051),Data!$BO:$BO,0)-2,23)&lt;&gt;"",INDEX(Tab_DaBa[],MATCH(CONCATENATE(Liste!$C$3,$B$2825,$B$3051),Data!$BO:$BO,0)-2,23),"")),"")</f>
        <v>Bez_Lo04_09</v>
      </c>
      <c r="G3055" s="38">
        <f ca="1">IF(H3053="","",4)</f>
        <v>4</v>
      </c>
      <c r="H3055" s="35" t="str">
        <f ca="1">IFERROR(IF(AND(INDEX(Tab_DaBa[],MATCH(CONCATENATE(Liste!$C$3,$B$2825,$B$3051),Data!$BO:$BO,0)-2,23)&lt;&gt;"",INDEX(Tab_DaBa[],MATCH(CONCATENATE(Liste!$C$3,$B$2825,$B$3051),Data!$BO:$BO,0)-2,28)=""),INDEX(Tab_DaBa[],MATCH(CONCATENATE(Liste!$C$3,$B$2825,$B$3051),Data!$BO:$BO,0)-2,13),IF(INDEX(Tab_DaBa[],MATCH(CONCATENATE(Liste!$C$3,$B$2825,$B$3051),Data!$BO:$BO,0)-2,23)&lt;&gt;"",INDEX(Tab_DaBa[],MATCH(CONCATENATE(Liste!$C$3,$B$2825,$B$3051),Data!$BO:$BO,0)-2,28),"")),"")</f>
        <v>Bez_Lo04_09</v>
      </c>
      <c r="I3055" s="38">
        <f ca="1">IF(B3061="","",6)</f>
        <v>6</v>
      </c>
    </row>
    <row r="3056" spans="2:9" s="16" customFormat="1" ht="15.75">
      <c r="B3056" s="35" t="str">
        <f ca="1">IFERROR("Performance Level: "&amp;INDEX(Tab_DaBa[],MATCH(CONCATENATE(Liste!$C$3,$B$2825,$B$3051),Data!$BO:$BO,0)-2,10),"")</f>
        <v>Performance Level: PL_Ein4_9</v>
      </c>
      <c r="C3056" s="54"/>
      <c r="D3056" s="35" t="str">
        <f ca="1">IFERROR(IF(INDEX(Tab_DaBa[],MATCH(CONCATENATE(Liste!$C$3,$B$2825,$B$3051),Data!$BO:$BO,0)-2,18)="","Performance Level: "&amp;INDEX(Tab_DaBa[],MATCH(CONCATENATE(Liste!$C$3,$B$2825,$B$3051),Data!$BO:$BO,0)-2,15),"Performance Level: "&amp;INDEX(Tab_DaBa[],MATCH(CONCATENATE(Liste!$C$3,$B$2825,$B$3051),Data!$BO:$BO,0)-2,20)),"")</f>
        <v>Performance Level: PL_Log01_04_09</v>
      </c>
      <c r="E3056" s="36"/>
      <c r="F3056" s="35" t="str">
        <f ca="1">IFERROR(IF(AND(INDEX(Tab_DaBa[],MATCH(CONCATENATE(Liste!$C$3,$B$2825,$B$3051),Data!$BO:$BO,0)-2,18)&lt;&gt;"",INDEX(Tab_DaBa[],MATCH(CONCATENATE(Liste!$C$3,$B$2825,$B$3051),Data!$BO:$BO,0)-2,23)=""),"Performance Level: "&amp;INDEX(Tab_DaBa[],MATCH(CONCATENATE(Liste!$C$3,$B$2825,$B$3051),Data!$BO:$BO,0)-2,15),IF(INDEX(Tab_DaBa[],MATCH(CONCATENATE(Liste!$C$3,$B$2825,$B$3051),Data!$BO:$BO,0)-2,23)&lt;&gt;"","Performance Level: "&amp;INDEX(Tab_DaBa[],MATCH(CONCATENATE(Liste!$C$3,$B$2825,$B$3051),Data!$BO:$BO,0)-2,25),"")),"")</f>
        <v>Performance Level: PL_Lo04_09</v>
      </c>
      <c r="G3056" s="39"/>
      <c r="H3056" s="35" t="str">
        <f ca="1">IFERROR(IF(AND(INDEX(Tab_DaBa[],MATCH(CONCATENATE(Liste!$C$3,$B$2825,$B$3051),Data!$BO:$BO,0)-2,23)&lt;&gt;"",INDEX(Tab_DaBa[],MATCH(CONCATENATE(Liste!$C$3,$B$2825,$B$3051),Data!$BO:$BO,0)-2,28)=""),"Performance Level: "&amp;INDEX(Tab_DaBa[],MATCH(CONCATENATE(Liste!$C$3,$B$2825,$B$3051),Data!$BO:$BO,0)-2,15),IF(INDEX(Tab_DaBa[],MATCH(CONCATENATE(Liste!$C$3,$B$2825,$B$3051),Data!$BO:$BO,0)-2,23)&lt;&gt;"","Performance Level: "&amp;INDEX(Tab_DaBa[],MATCH(CONCATENATE(Liste!$C$3,$B$2825,$B$3051),Data!$BO:$BO,0)-2,30),"")),"")</f>
        <v>Performance Level: PL_Lo04_09</v>
      </c>
      <c r="I3056" s="38"/>
    </row>
    <row r="3057" spans="2:9" s="16" customFormat="1" ht="15.75">
      <c r="B3057" s="53" t="str">
        <f ca="1">IFERROR("PFH [1/h] = "&amp;10^9*INDEX(Tab_DaBa[],MATCH(CONCATENATE(Liste!$C$3,$B$2825,$B$3051),Data!$BO:$BO,0)-2,11)&amp;"E-9","")</f>
        <v>PFH [1/h] = 42,9E-9</v>
      </c>
      <c r="C3057" s="54"/>
      <c r="D3057" s="35" t="str">
        <f ca="1">IFERROR(IF(INDEX(Tab_DaBa[],MATCH(CONCATENATE(Liste!$C$3,$B$2825,$B$3051),Data!$BO:$BO,0)-2,18)="","PFH [1/h] = "&amp;10^9*INDEX(Tab_DaBa[],MATCH(CONCATENATE(Liste!$C$3,$B$2825,$B$3051),Data!$BO:$BO,0)-2,16)&amp;"E-9","PFH [1/h] = "&amp;10^9*INDEX(Tab_DaBa[],MATCH(CONCATENATE(Liste!$C$3,$B$2825,$B$3051),Data!$BO:$BO,0)-2,21)&amp;"E-9"),"")</f>
        <v>PFH [1/h] = 4,19E-9</v>
      </c>
      <c r="E3057" s="36"/>
      <c r="F3057" s="35" t="str">
        <f ca="1">IFERROR(IF(AND(INDEX(Tab_DaBa[],MATCH(CONCATENATE(Liste!$C$3,$B$2825,$B$3051),Data!$BO:$BO,0)-2,18)&lt;&gt;"",INDEX(Tab_DaBa[],MATCH(CONCATENATE(Liste!$C$3,$B$2825,$B$3051),Data!$BO:$BO,0)-2,23)=""),"PFH [1/h] = "&amp;10^9*INDEX(Tab_DaBa[],MATCH(CONCATENATE(Liste!$C$3,$B$2825,$B$3051),Data!$BO:$BO,0)-2,16)&amp;"E-9",IF(INDEX(Tab_DaBa[],MATCH(CONCATENATE(Liste!$C$3,$B$2825,$B$3051),Data!$BO:$BO,0)-2,23)&lt;&gt;"","PFH [1/h] = "&amp;10^9*INDEX(Tab_DaBa[],MATCH(CONCATENATE(Liste!$C$3,$B$2825,$B$3051),Data!$BO:$BO,0)-2,26)&amp;"E-9","")),"")</f>
        <v>PFH [1/h] = 4,19E-9</v>
      </c>
      <c r="G3057" s="39"/>
      <c r="H3057" s="35" t="str">
        <f ca="1">IFERROR(IF(AND(INDEX(Tab_DaBa[],MATCH(CONCATENATE(Liste!$C$3,$B$2825,$B$3051),Data!$BO:$BO,0)-2,23)&lt;&gt;"",INDEX(Tab_DaBa[],MATCH(CONCATENATE(Liste!$C$3,$B$2825,$B$3051),Data!$BO:$BO,0)-2,28)=""),"PFH [1/h] = "&amp;10^9*INDEX(Tab_DaBa[],MATCH(CONCATENATE(Liste!$C$3,$B$2825,$B$3051),Data!$BO:$BO,0)-2,16)&amp;"E-9",IF(INDEX(Tab_DaBa[],MATCH(CONCATENATE(Liste!$C$3,$B$2825,$B$3051),Data!$BO:$BO,0)-2,23)&lt;&gt;"","PFH [1/h] = "&amp;10^9*INDEX(Tab_DaBa[],MATCH(CONCATENATE(Liste!$C$3,$B$2825,$B$3051),Data!$BO:$BO,0)-2,31)&amp;"E-9","")),"")</f>
        <v>PFH [1/h] = 4,19E-9</v>
      </c>
      <c r="I3057" s="39"/>
    </row>
    <row r="3058" spans="2:9" s="16" customFormat="1">
      <c r="B3058" s="33"/>
      <c r="C3058" s="34"/>
      <c r="D3058" s="33"/>
      <c r="E3058" s="33"/>
      <c r="F3058" s="33"/>
      <c r="G3058" s="33"/>
      <c r="H3058" s="33"/>
      <c r="I3058" s="33"/>
    </row>
    <row r="3059" spans="2:9" s="16" customFormat="1" ht="15.75">
      <c r="B3059" s="38">
        <f ca="1">IF(B3061="","",6)</f>
        <v>6</v>
      </c>
      <c r="C3059" s="34"/>
      <c r="D3059" s="38">
        <f ca="1">IF(B3061="","",3)</f>
        <v>3</v>
      </c>
      <c r="E3059" s="33"/>
      <c r="F3059" s="38">
        <f ca="1">IF(B3061="","",3)</f>
        <v>3</v>
      </c>
      <c r="G3059" s="33"/>
      <c r="H3059" s="38">
        <f ca="1">IF(B3061="","",3)</f>
        <v>3</v>
      </c>
      <c r="I3059" s="33"/>
    </row>
    <row r="3060" spans="2:9" s="16" customFormat="1" ht="15.75">
      <c r="B3060" s="39"/>
      <c r="C3060" s="33"/>
      <c r="D3060" s="33"/>
      <c r="E3060" s="33"/>
      <c r="F3060" s="33"/>
      <c r="G3060" s="33"/>
      <c r="H3060" s="33"/>
      <c r="I3060" s="33"/>
    </row>
    <row r="3061" spans="2:9" s="16" customFormat="1" ht="15.75">
      <c r="B3061" s="35" t="str">
        <f ca="1">IFERROR(IF(AND(INDEX(Tab_DaBa[],MATCH(CONCATENATE(Liste!$C$3,$B$2825,$B$3051),Data!$BO:$BO,0)-2,28)&lt;&gt;"",INDEX(Tab_DaBa[],MATCH(CONCATENATE(Liste!$C$3,$B$2825,$B$3051),Data!$BO:$BO,0)-2,33)=0),INDEX(Tab_DaBa[],MATCH(CONCATENATE(Liste!$C$3,$B$2825,$B$3051),Data!$BO:$BO,0)-2,14),IF(INDEX(Tab_DaBa[],MATCH(CONCATENATE(Liste!$C$3,$B$2825,$B$3051),Data!$BO:$BO,0)-2,28)&lt;&gt;"",INDEX(Tab_DaBa[],MATCH(CONCATENATE(Liste!$C$3,$B$2825,$B$3051),Data!$BO:$BO,0)-2,34),"")),"")</f>
        <v>Logik 04</v>
      </c>
      <c r="C3061" s="39"/>
      <c r="D3061" s="35" t="str">
        <f ca="1">IFERROR(IF(AND(INDEX(Tab_DaBa[],MATCH(CONCATENATE(Liste!$C$3,$B$2825,$B$3051),Data!$BO:$BO,0)-2,33)&lt;&gt;"",INDEX(Tab_DaBa[],MATCH(CONCATENATE(Liste!$C$3,$B$2825,$B$3051),Data!$BO:$BO,0)-2,38)=0),INDEX(Tab_DaBa[],MATCH(CONCATENATE(Liste!$C$3,$B$2825,$B$3051),Data!$BO:$BO,0)-2,14),IF(INDEX(Tab_DaBa[],MATCH(CONCATENATE(Liste!$C$3,$B$2825,$B$3051),Data!$BO:$BO,0)-2,33)&lt;&gt;"",INDEX(Tab_DaBa[],MATCH(CONCATENATE(Liste!$C$3,$B$2825,$B$3051),Data!$BO:$BO,0)-2,39),"")),"")</f>
        <v>Logik 07</v>
      </c>
      <c r="E3061" s="33"/>
      <c r="F3061" s="35" t="str">
        <f ca="1">IFERROR(IF(AND(INDEX(Tab_DaBa[],MATCH(CONCATENATE(Liste!$C$3,$B$2825,$B$3051),Data!$BO:$BO,0)-2,38)&lt;&gt;"",INDEX(Tab_DaBa[],MATCH(CONCATENATE(Liste!$C$3,$B$2825,$B$3051),Data!$BO:$BO,0)-2,43)=0),INDEX(Tab_DaBa[],MATCH(CONCATENATE(Liste!$C$3,$B$2825,$B$3051),Data!$BO:$BO,0)-2,14),IF(INDEX(Tab_DaBa[],MATCH(CONCATENATE(Liste!$C$3,$B$2825,$B$3051),Data!$BO:$BO,0)-2,38)&lt;&gt;"",INDEX(Tab_DaBa[],MATCH(CONCATENATE(Liste!$C$3,$B$2825,$B$3051),Data!$BO:$BO,0)-2,44),"")),"")</f>
        <v>Logik 06</v>
      </c>
      <c r="G3061" s="39"/>
      <c r="H3061" s="35" t="str">
        <f ca="1">IFERROR(IF(AND(INDEX(Tab_DaBa[],MATCH(CONCATENATE(Liste!$C$3,$B$2825,$B$3051),Data!$BO:$BO,0)-2,43)&lt;&gt;"",INDEX(Tab_DaBa[],MATCH(CONCATENATE(Liste!$C$3,$B$2825,$B$3051),Data!$BO:$BO,0)-2,48)=0),INDEX(Tab_DaBa[],MATCH(CONCATENATE(Liste!$C$3,$B$2825,$B$3051),Data!$BO:$BO,0)-2,14),IF(INDEX(Tab_DaBa[],MATCH(CONCATENATE(Liste!$C$3,$B$2825,$B$3051),Data!$BO:$BO,0)-2,43)&lt;&gt;"",INDEX(Tab_DaBa[],MATCH(CONCATENATE(Liste!$C$3,$B$2825,$B$3051),Data!$BO:$BO,0)-2,49),"")),"")</f>
        <v>Logik 07</v>
      </c>
      <c r="I3061" s="39"/>
    </row>
    <row r="3062" spans="2:9" s="16" customFormat="1" ht="15.75">
      <c r="B3062" s="35" t="str">
        <f ca="1">IFERROR(IF(AND(INDEX(Tab_DaBa[],MATCH(CONCATENATE(Liste!$C$3,$B$2825,$B$3051),Data!$BO:$BO,0)-2,28)&lt;&gt;"",INDEX(Tab_DaBa[],MATCH(CONCATENATE(Liste!$C$3,$B$2825,$B$3051),Data!$BO:$BO,0)-2,33)=0),INDEX(Tab_DaBa[],MATCH(CONCATENATE(Liste!$C$3,$B$2825,$B$3051),Data!$BO:$BO,0)-2,12),IF(INDEX(Tab_DaBa[],MATCH(CONCATENATE(Liste!$C$3,$B$2825,$B$3051),Data!$BO:$BO,0)-2,28)&lt;&gt;"",INDEX(Tab_DaBa[],MATCH(CONCATENATE(Liste!$C$3,$B$2825,$B$3051),Data!$BO:$BO,0)-2,32),"")),"")</f>
        <v>Lo04-44_09</v>
      </c>
      <c r="C3062" s="39"/>
      <c r="D3062" s="35" t="str">
        <f ca="1">IFERROR(IF(AND(INDEX(Tab_DaBa[],MATCH(CONCATENATE(Liste!$C$3,$B$2825,$B$3051),Data!$BO:$BO,0)-2,33)&lt;&gt;"",INDEX(Tab_DaBa[],MATCH(CONCATENATE(Liste!$C$3,$B$2825,$B$3051),Data!$BO:$BO,0)-2,38)=0),INDEX(Tab_DaBa[],MATCH(CONCATENATE(Liste!$C$3,$B$2825,$B$3051),Data!$BO:$BO,0)-2,12),IF(INDEX(Tab_DaBa[],MATCH(CONCATENATE(Liste!$C$3,$B$2825,$B$3051),Data!$BO:$BO,0)-2,33)&lt;&gt;"",INDEX(Tab_DaBa[],MATCH(CONCATENATE(Liste!$C$3,$B$2825,$B$3051),Data!$BO:$BO,0)-2,37),"")),"")</f>
        <v>Lo04-44_09</v>
      </c>
      <c r="E3062" s="37"/>
      <c r="F3062" s="35" t="str">
        <f ca="1">IFERROR(IF(AND(INDEX(Tab_DaBa[],MATCH(CONCATENATE(Liste!$C$3,$B$2825,$B$3051),Data!$BO:$BO,0)-2,38)&lt;&gt;"",INDEX(Tab_DaBa[],MATCH(CONCATENATE(Liste!$C$3,$B$2825,$B$3051),Data!$BO:$BO,0)-2,43)=0),INDEX(Tab_DaBa[],MATCH(CONCATENATE(Liste!$C$3,$B$2825,$B$3051),Data!$BO:$BO,0)-2,12),IF(INDEX(Tab_DaBa[],MATCH(CONCATENATE(Liste!$C$3,$B$2825,$B$3051),Data!$BO:$BO,0)-2,38)&lt;&gt;"",INDEX(Tab_DaBa[],MATCH(CONCATENATE(Liste!$C$3,$B$2825,$B$3051),Data!$BO:$BO,0)-2,42),"")),"")</f>
        <v>Lo03-33_09</v>
      </c>
      <c r="G3062" s="39"/>
      <c r="H3062" s="35" t="str">
        <f ca="1">IFERROR(IF(AND(INDEX(Tab_DaBa[],MATCH(CONCATENATE(Liste!$C$3,$B$2825,$B$3051),Data!$BO:$BO,0)-2,43)&lt;&gt;"",INDEX(Tab_DaBa[],MATCH(CONCATENATE(Liste!$C$3,$B$2825,$B$3051),Data!$BO:$BO,0)-2,48)=0),INDEX(Tab_DaBa[],MATCH(CONCATENATE(Liste!$C$3,$B$2825,$B$3051),Data!$BO:$BO,0)-2,12),IF(INDEX(Tab_DaBa[],MATCH(CONCATENATE(Liste!$C$3,$B$2825,$B$3051),Data!$BO:$BO,0)-2,43)&lt;&gt;"",INDEX(Tab_DaBa[],MATCH(CONCATENATE(Liste!$C$3,$B$2825,$B$3051),Data!$BO:$BO,0)-2,47),"")),"")</f>
        <v>Lo03-33_09</v>
      </c>
      <c r="I3062" s="39"/>
    </row>
    <row r="3063" spans="2:9" s="16" customFormat="1" ht="15.75">
      <c r="B3063" s="35" t="str">
        <f ca="1">IFERROR(IF(AND(INDEX(Tab_DaBa[],MATCH(CONCATENATE(Liste!$C$3,$B$2825,$B$3051),Data!$BO:$BO,0)-2,28)&lt;&gt;"",INDEX(Tab_DaBa[],MATCH(CONCATENATE(Liste!$C$3,$B$2825,$B$3051),Data!$BO:$BO,0)-2,33)=""),INDEX(Tab_DaBa[],MATCH(CONCATENATE(Liste!$C$3,$B$2825,$B$3051),Data!$BO:$BO,0)-2,13),IF(INDEX(Tab_DaBa[],MATCH(CONCATENATE(Liste!$C$3,$B$2825,$B$3051),Data!$BO:$BO,0)-2,28)&lt;&gt;"",INDEX(Tab_DaBa[],MATCH(CONCATENATE(Liste!$C$3,$B$2825,$B$3051),Data!$BO:$BO,0)-2,33),"")),"")</f>
        <v>Bez_Lo04_09</v>
      </c>
      <c r="C3063" s="38">
        <f ca="1">IF(D3061="","",4)</f>
        <v>4</v>
      </c>
      <c r="D3063" s="35" t="str">
        <f ca="1">IFERROR(IF(AND(INDEX(Tab_DaBa[],MATCH(CONCATENATE(Liste!$C$3,$B$2825,$B$3051),Data!$BO:$BO,0)-2,33)&lt;&gt;"",INDEX(Tab_DaBa[],MATCH(CONCATENATE(Liste!$C$3,$B$2825,$B$3051),Data!$BO:$BO,0)-2,38)=""),INDEX(Tab_DaBa[],MATCH(CONCATENATE(Liste!$C$3,$B$2825,$B$3051),Data!$BO:$BO,0)-2,13),IF(INDEX(Tab_DaBa[],MATCH(CONCATENATE(Liste!$C$3,$B$2825,$B$3051),Data!$BO:$BO,0)-2,33)&lt;&gt;"",INDEX(Tab_DaBa[],MATCH(CONCATENATE(Liste!$C$3,$B$2825,$B$3051),Data!$BO:$BO,0)-2,38),"")),"")</f>
        <v>Bez_Lo03_09</v>
      </c>
      <c r="E3063" s="38">
        <f ca="1">IF(F3061="","",4)</f>
        <v>4</v>
      </c>
      <c r="F3063" s="35" t="str">
        <f ca="1">IFERROR(IF(AND(INDEX(Tab_DaBa[],MATCH(CONCATENATE(Liste!$C$3,$B$2825,$B$3051),Data!$BO:$BO,0)-2,38)&lt;&gt;"",INDEX(Tab_DaBa[],MATCH(CONCATENATE(Liste!$C$3,$B$2825,$B$3051),Data!$BO:$BO,0)-2,43)=""),INDEX(Tab_DaBa[],MATCH(CONCATENATE(Liste!$C$3,$B$2825,$B$3051),Data!$BO:$BO,0)-2,13),IF(INDEX(Tab_DaBa[],MATCH(CONCATENATE(Liste!$C$3,$B$2825,$B$3051),Data!$BO:$BO,0)-2,38)&lt;&gt;"",INDEX(Tab_DaBa[],MATCH(CONCATENATE(Liste!$C$3,$B$2825,$B$3051),Data!$BO:$BO,0)-2,43),"")),"")</f>
        <v>Bez_Lo03_09</v>
      </c>
      <c r="G3063" s="38">
        <f ca="1">IF(H3061="","",4)</f>
        <v>4</v>
      </c>
      <c r="H3063" s="35" t="str">
        <f ca="1">IFERROR(IF(AND(INDEX(Tab_DaBa[],MATCH(CONCATENATE(Liste!$C$3,$B$2825,$B$3051),Data!$BO:$BO,0)-2,43)&lt;&gt;"",INDEX(Tab_DaBa[],MATCH(CONCATENATE(Liste!$C$3,$B$2825,$B$3051),Data!$BO:$BO,0)-2,48)=""),INDEX(Tab_DaBa[],MATCH(CONCATENATE(Liste!$C$3,$B$2825,$B$3051),Data!$BO:$BO,0)-2,13),IF(INDEX(Tab_DaBa[],MATCH(CONCATENATE(Liste!$C$3,$B$2825,$B$3051),Data!$BO:$BO,0)-2,43)&lt;&gt;"",INDEX(Tab_DaBa[],MATCH(CONCATENATE(Liste!$C$3,$B$2825,$B$3051),Data!$BO:$BO,0)-2,48),"")),"")</f>
        <v>Bez_Lo03_09</v>
      </c>
      <c r="I3063" s="38">
        <f ca="1">IF(B3069="","",6)</f>
        <v>6</v>
      </c>
    </row>
    <row r="3064" spans="2:9" s="16" customFormat="1" ht="15.75">
      <c r="B3064" s="35" t="str">
        <f ca="1">IFERROR(IF(AND(INDEX(Tab_DaBa[],MATCH(CONCATENATE(Liste!$C$3,$B$2825,$B$3051),Data!$BO:$BO,0)-2,28)&lt;&gt;"",INDEX(Tab_DaBa[],MATCH(CONCATENATE(Liste!$C$3,$B$2825,$B$3051),Data!$BO:$BO,0)-2,33)=""),"Performance Level: "&amp;INDEX(Tab_DaBa[],MATCH(CONCATENATE(Liste!$C$3,$B$2825,$B$3051),Data!$BO:$BO,0)-2,15),IF(INDEX(Tab_DaBa[],MATCH(CONCATENATE(Liste!$C$3,$B$2825,$B$3051),Data!$BO:$BO,0)-2,28)&lt;&gt;"","Performance Level: "&amp;INDEX(Tab_DaBa[],MATCH(CONCATENATE(Liste!$C$3,$B$2825,$B$3051),Data!$BO:$BO,0)-2,35),"")),"")</f>
        <v>Performance Level: PL_Lo04_09</v>
      </c>
      <c r="C3064" s="39"/>
      <c r="D3064" s="35" t="str">
        <f ca="1">IFERROR(IF(AND(INDEX(Tab_DaBa[],MATCH(CONCATENATE(Liste!$C$3,$B$2825,$B$3051),Data!$BO:$BO,0)-2,33)&lt;&gt;"",INDEX(Tab_DaBa[],MATCH(CONCATENATE(Liste!$C$3,$B$2825,$B$3051),Data!$BO:$BO,0)-2,38)=""),"Performance Level: "&amp;INDEX(Tab_DaBa[],MATCH(CONCATENATE(Liste!$C$3,$B$2825,$B$3051),Data!$BO:$BO,0)-2,15),IF(INDEX(Tab_DaBa[],MATCH(CONCATENATE(Liste!$C$3,$B$2825,$B$3051),Data!$BO:$BO,0)-2,33)&lt;&gt;"","Performance Level: "&amp;INDEX(Tab_DaBa[],MATCH(CONCATENATE(Liste!$C$3,$B$2825,$B$3051),Data!$BO:$BO,0)-2,40),"")),"")</f>
        <v>Performance Level: PL_Lo03_9</v>
      </c>
      <c r="E3064" s="37"/>
      <c r="F3064" s="35" t="str">
        <f ca="1">IFERROR(IF(AND(INDEX(Tab_DaBa[],MATCH(CONCATENATE(Liste!$C$3,$B$2825,$B$3051),Data!$BO:$BO,0)-2,38)&lt;&gt;"",INDEX(Tab_DaBa[],MATCH(CONCATENATE(Liste!$C$3,$B$2825,$B$3051),Data!$BO:$BO,0)-2,43)=""),"Performance Level: "&amp;INDEX(Tab_DaBa[],MATCH(CONCATENATE(Liste!$C$3,$B$2825,$B$3051),Data!$BO:$BO,0)-2,15),IF(INDEX(Tab_DaBa[],MATCH(CONCATENATE(Liste!$C$3,$B$2825,$B$3051),Data!$BO:$BO,0)-2,38)&lt;&gt;"","Performance Level: "&amp;INDEX(Tab_DaBa[],MATCH(CONCATENATE(Liste!$C$3,$B$2825,$B$3051),Data!$BO:$BO,0)-2,45),"")),"")</f>
        <v>Performance Level: PL_Lo03_09</v>
      </c>
      <c r="G3064" s="39"/>
      <c r="H3064" s="35" t="str">
        <f ca="1">IFERROR(IF(AND(INDEX(Tab_DaBa[],MATCH(CONCATENATE(Liste!$C$3,$B$2825,$B$3051),Data!$BO:$BO,0)-2,43)&lt;&gt;"",INDEX(Tab_DaBa[],MATCH(CONCATENATE(Liste!$C$3,$B$2825,$B$3051),Data!$BO:$BO,0)-2,48)=""),"Performance Level: "&amp;INDEX(Tab_DaBa[],MATCH(CONCATENATE(Liste!$C$3,$B$2825,$B$3051),Data!$BO:$BO,0)-2,15),IF(INDEX(Tab_DaBa[],MATCH(CONCATENATE(Liste!$C$3,$B$2825,$B$3051),Data!$BO:$BO,0)-2,43)&lt;&gt;"","Performance Level: "&amp;INDEX(Tab_DaBa[],MATCH(CONCATENATE(Liste!$C$3,$B$2825,$B$3051),Data!$BO:$BO,0)-2,50),"")),"")</f>
        <v>Performance Level: PL_Lo03_09</v>
      </c>
      <c r="I3064" s="39"/>
    </row>
    <row r="3065" spans="2:9" s="16" customFormat="1" ht="15.75">
      <c r="B3065" s="35" t="str">
        <f ca="1">IFERROR(IF(AND(INDEX(Tab_DaBa[],MATCH(CONCATENATE(Liste!$C$3,$B$2825,$B$3051),Data!$BO:$BO,0)-2,28)&lt;&gt;"",INDEX(Tab_DaBa[],MATCH(CONCATENATE(Liste!$C$3,$B$2825,$B$3051),Data!$BO:$BO,0)-2,33)=""),"PFH [1/h] = "&amp;10^9*INDEX(Tab_DaBa[],MATCH(CONCATENATE(Liste!$C$3,$B$2825,$B$3051),Data!$BO:$BO,0)-2,16)&amp;"E-9",IF(INDEX(Tab_DaBa[],MATCH(CONCATENATE(Liste!$C$3,$B$2825,$B$3051),Data!$BO:$BO,0)-2,28)&lt;&gt;"","PFH [1/h] = "&amp;10^9*INDEX(Tab_DaBa[],MATCH(CONCATENATE(Liste!$C$3,$B$2825,$B$3051),Data!$BO:$BO,0)-2,36)&amp;"E-9","")),"")</f>
        <v>PFH [1/h] = 4,19E-9</v>
      </c>
      <c r="C3065" s="39"/>
      <c r="D3065" s="35" t="str">
        <f ca="1">IFERROR(IF(AND(INDEX(Tab_DaBa[],MATCH(CONCATENATE(Liste!$C$3,$B$2825,$B$3051),Data!$BO:$BO,0)-2,33)&lt;&gt;"",INDEX(Tab_DaBa[],MATCH(CONCATENATE(Liste!$C$3,$B$2825,$B$3051),Data!$BO:$BO,0)-2,38)=""),"PFH [1/h] = "&amp;10^9*INDEX(Tab_DaBa[],MATCH(CONCATENATE(Liste!$C$3,$B$2825,$B$3051),Data!$BO:$BO,0)-2,16)&amp;"E-9",IF(INDEX(Tab_DaBa[],MATCH(CONCATENATE(Liste!$C$3,$B$2825,$B$3051),Data!$BO:$BO,0)-2,33)&lt;&gt;"","PFH [1/h] = "&amp;10^9*INDEX(Tab_DaBa[],MATCH(CONCATENATE(Liste!$C$3,$B$2825,$B$3051),Data!$BO:$BO,0)-2,41)&amp;"E-9","")),"")</f>
        <v>PFH [1/h] = 4,19E-9</v>
      </c>
      <c r="E3065" s="37"/>
      <c r="F3065" s="35" t="str">
        <f ca="1">IFERROR(IF(AND(INDEX(Tab_DaBa[],MATCH(CONCATENATE(Liste!$C$3,$B$2825,$B$3051),Data!$BO:$BO,0)-2,38)&lt;&gt;"",INDEX(Tab_DaBa[],MATCH(CONCATENATE(Liste!$C$3,$B$2825,$B$3051),Data!$BO:$BO,0)-2,43)=""),"PFH [1/h] = "&amp;10^9*INDEX(Tab_DaBa[],MATCH(CONCATENATE(Liste!$C$3,$B$2825,$B$3051),Data!$BO:$BO,0)-2,16)&amp;"E-9",IF(INDEX(Tab_DaBa[],MATCH(CONCATENATE(Liste!$C$3,$B$2825,$B$3051),Data!$BO:$BO,0)-2,38)&lt;&gt;"","PFH [1/h] = "&amp;10^9*INDEX(Tab_DaBa[],MATCH(CONCATENATE(Liste!$C$3,$B$2825,$B$3051),Data!$BO:$BO,0)-2,46)&amp;"E-9","")),"")</f>
        <v>PFH [1/h] = 4,19E-9</v>
      </c>
      <c r="G3065" s="39"/>
      <c r="H3065" s="35" t="str">
        <f ca="1">IFERROR(IF(AND(INDEX(Tab_DaBa[],MATCH(CONCATENATE(Liste!$C$3,$B$2825,$B$3051),Data!$BO:$BO,0)-2,43)&lt;&gt;"",INDEX(Tab_DaBa[],MATCH(CONCATENATE(Liste!$C$3,$B$2825,$B$3051),Data!$BO:$BO,0)-2,48)=""),"PFH [1/h] = "&amp;10^9*INDEX(Tab_DaBa[],MATCH(CONCATENATE(Liste!$C$3,$B$2825,$B$3051),Data!$BO:$BO,0)-2,16)&amp;"E-9",IF(INDEX(Tab_DaBa[],MATCH(CONCATENATE(Liste!$C$3,$B$2825,$B$3051),Data!$BO:$BO,0)-2,43)&lt;&gt;"","PFH [1/h] = "&amp;10^9*INDEX(Tab_DaBa[],MATCH(CONCATENATE(Liste!$C$3,$B$2825,$B$3051),Data!$BO:$BO,0)-2,51)&amp;"E-9","")),"")</f>
        <v>PFH [1/h] = 4,19E-9</v>
      </c>
      <c r="I3065" s="39"/>
    </row>
    <row r="3066" spans="2:9" s="16" customFormat="1">
      <c r="B3066" s="33"/>
      <c r="C3066" s="33"/>
      <c r="D3066" s="33"/>
      <c r="E3066" s="33"/>
      <c r="F3066" s="33"/>
      <c r="G3066" s="33"/>
      <c r="H3066" s="33"/>
      <c r="I3066" s="33"/>
    </row>
    <row r="3067" spans="2:9" s="16" customFormat="1" ht="15.75">
      <c r="B3067" s="38">
        <f ca="1">IF(B3069="","",6)</f>
        <v>6</v>
      </c>
      <c r="C3067" s="33"/>
      <c r="D3067" s="38">
        <f ca="1">IF(B3069="","",3)</f>
        <v>3</v>
      </c>
      <c r="E3067" s="33"/>
      <c r="F3067" s="38">
        <f ca="1">IF(B3069="","",3)</f>
        <v>3</v>
      </c>
      <c r="G3067" s="33"/>
      <c r="H3067" s="38">
        <f ca="1">IF(B3069="","",3)</f>
        <v>3</v>
      </c>
      <c r="I3067" s="33"/>
    </row>
    <row r="3068" spans="2:9" s="16" customFormat="1" ht="15.75">
      <c r="B3068" s="39"/>
      <c r="C3068" s="33"/>
      <c r="D3068" s="33"/>
      <c r="E3068" s="33"/>
      <c r="F3068" s="33"/>
      <c r="G3068" s="33"/>
      <c r="H3068" s="33"/>
      <c r="I3068" s="33"/>
    </row>
    <row r="3069" spans="2:9" s="16" customFormat="1" ht="15.75">
      <c r="B3069" s="35" t="str">
        <f ca="1">IFERROR(IF(AND(INDEX(Tab_DaBa[],MATCH(CONCATENATE(Liste!$C$3,$B$2825,$B$3051),Data!$BO:$BO,0)-2,48)&lt;&gt;"",INDEX(Tab_DaBa[],MATCH(CONCATENATE(Liste!$C$3,$B$2825,$B$3051),Data!$BO:$BO,0)-2,53)=0),INDEX(Tab_DaBa[],MATCH(CONCATENATE(Liste!$C$3,$B$2825,$B$3051),Data!$BO:$BO,0)-2,14),IF(INDEX(Tab_DaBa[],MATCH(CONCATENATE(Liste!$C$3,$B$2825,$B$3051),Data!$BO:$BO,0)-2,48)&lt;&gt;"",INDEX(Tab_DaBa[],MATCH(CONCATENATE(Liste!$C$3,$B$2825,$B$3051),Data!$BO:$BO,0)-2,54),"")),"")</f>
        <v>Logik 08</v>
      </c>
      <c r="C3069" s="39"/>
      <c r="D3069" s="35" t="str">
        <f ca="1">IFERROR(IF(AND(INDEX(Tab_DaBa[],MATCH(CONCATENATE(Liste!$C$3,$B$2825,$B$3051),Data!$BO:$BO,0)-2,53)&lt;&gt;"",INDEX(Tab_DaBa[],MATCH(CONCATENATE(Liste!$C$3,$B$2825,$B$3051),Data!$BO:$BO,0)-2,58)=0),INDEX(Tab_DaBa[],MATCH(CONCATENATE(Liste!$C$3,$B$2825,$B$3051),Data!$BO:$BO,0)-2,14),IF(INDEX(Tab_DaBa[],MATCH(CONCATENATE(Liste!$C$3,$B$2825,$B$3051),Data!$BO:$BO,0)-2,53)&lt;&gt;"",INDEX(Tab_DaBa[],MATCH(CONCATENATE(Liste!$C$3,$B$2825,$B$3051),Data!$BO:$BO,0)-2,59),"")),"")</f>
        <v>Logik 09</v>
      </c>
      <c r="E3069" s="33"/>
      <c r="F3069" s="35" t="str">
        <f ca="1">IFERROR(IF(AND(INDEX(Tab_DaBa[],MATCH(CONCATENATE(Liste!$C$3,$B$2825,$B$3051),Data!$BO:$BO,0)-2,58)&lt;&gt;"",INDEX(Tab_DaBa[],MATCH(CONCATENATE(Liste!$C$3,$B$2825,$B$3051),Data!$BO:$BO,0)-2,63)=0),INDEX(Tab_DaBa[],MATCH(CONCATENATE(Liste!$C$3,$B$2825,$B$3051),Data!$BO:$BO,0)-2,14),IF(INDEX(Tab_DaBa[],MATCH(CONCATENATE(Liste!$C$3,$B$2825,$B$3051),Data!$BO:$BO,0)-2,58)&lt;&gt;"",INDEX(Tab_DaBa[],MATCH(CONCATENATE(Liste!$C$3,$B$2825,$B$3051),Data!$BO:$BO,0)-2,64),"")),"")</f>
        <v>Ausgang</v>
      </c>
      <c r="G3069" s="39"/>
      <c r="H3069" s="35" t="str">
        <f ca="1">IFERROR(IF(INDEX(Tab_DaBa[],MATCH(CONCATENATE(Liste!$C$3,$B$2825,$B$3051),Data!$BO:$BO,0)-2,63)&lt;&gt;"",INDEX(Tab_DaBa[],MATCH(CONCATENATE(Liste!$C$3,$B$2825,$B$3051),Data!$BO:$BO,0)-2,14),""),"")</f>
        <v/>
      </c>
    </row>
    <row r="3070" spans="2:9" s="16" customFormat="1" ht="15.75">
      <c r="B3070" s="35" t="str">
        <f ca="1">IFERROR(IF(AND(INDEX(Tab_DaBa[],MATCH(CONCATENATE(Liste!$C$3,$B$2825,$B$3051),Data!$BO:$BO,0)-2,48)&lt;&gt;"",INDEX(Tab_DaBa[],MATCH(CONCATENATE(Liste!$C$3,$B$2825,$B$3051),Data!$BO:$BO,0)-2,53)=0),INDEX(Tab_DaBa[],MATCH(CONCATENATE(Liste!$C$3,$B$2825,$B$3051),Data!$BO:$BO,0)-2,12),IF(INDEX(Tab_DaBa[],MATCH(CONCATENATE(Liste!$C$3,$B$2825,$B$3051),Data!$BO:$BO,0)-2,48)&lt;&gt;"",INDEX(Tab_DaBa[],MATCH(CONCATENATE(Liste!$C$3,$B$2825,$B$3051),Data!$BO:$BO,0)-2,52),"")),"")</f>
        <v>Lo03-88_09</v>
      </c>
      <c r="C3070" s="39"/>
      <c r="D3070" s="35" t="str">
        <f ca="1">IFERROR(IF(AND(INDEX(Tab_DaBa[],MATCH(CONCATENATE(Liste!$C$3,$B$2825,$B$3051),Data!$BO:$BO,0)-2,53)&lt;&gt;"",INDEX(Tab_DaBa[],MATCH(CONCATENATE(Liste!$C$3,$B$2825,$B$3051),Data!$BO:$BO,0)-2,58)=0),INDEX(Tab_DaBa[],MATCH(CONCATENATE(Liste!$C$3,$B$2825,$B$3051),Data!$BO:$BO,0)-2,12),IF(INDEX(Tab_DaBa[],MATCH(CONCATENATE(Liste!$C$3,$B$2825,$B$3051),Data!$BO:$BO,0)-2,53)&lt;&gt;"",INDEX(Tab_DaBa[],MATCH(CONCATENATE(Liste!$C$3,$B$2825,$B$3051),Data!$BO:$BO,0)-2,57),"")),"")</f>
        <v>Lo03-33_09</v>
      </c>
      <c r="E3070" s="37"/>
      <c r="F3070" s="35" t="str">
        <f ca="1">IFERROR(IF(AND(INDEX(Tab_DaBa[],MATCH(CONCATENATE(Liste!$C$3,$B$2825,$B$3051),Data!$BO:$BO,0)-2,58)&lt;&gt;"",INDEX(Tab_DaBa[],MATCH(CONCATENATE(Liste!$C$3,$B$2825,$B$3051),Data!$BO:$BO,0)-2,63)=0),INDEX(Tab_DaBa[],MATCH(CONCATENATE(Liste!$C$3,$B$2825,$B$3051),Data!$BO:$BO,0)-2,12),IF(INDEX(Tab_DaBa[],MATCH(CONCATENATE(Liste!$C$3,$B$2825,$B$3051),Data!$BO:$BO,0)-2,58)&lt;&gt;"",INDEX(Tab_DaBa[],MATCH(CONCATENATE(Liste!$C$3,$B$2825,$B$3051),Data!$BO:$BO,0)-2,62),"")),"")</f>
        <v>aaaa-44_9</v>
      </c>
      <c r="G3070" s="39"/>
      <c r="H3070" s="35" t="str">
        <f ca="1">IFERROR(IF(INDEX(Tab_DaBa[],MATCH(CONCATENATE(Liste!$C$3,$B$2825,$B$3051),Data!$BO:$BO,0)-2,63)&lt;&gt;"",INDEX(Tab_DaBa[],MATCH(CONCATENATE(Liste!$C$3,$B$2825,$B$3051),Data!$BO:$BO,0)-2,12),""),"")</f>
        <v/>
      </c>
    </row>
    <row r="3071" spans="2:9" s="16" customFormat="1" ht="15.75">
      <c r="B3071" s="35" t="str">
        <f ca="1">IFERROR(IF(AND(INDEX(Tab_DaBa[],MATCH(CONCATENATE(Liste!$C$3,$B$2825,$B$3051),Data!$BO:$BO,0)-2,48)&lt;&gt;"",INDEX(Tab_DaBa[],MATCH(CONCATENATE(Liste!$C$3,$B$2825,$B$3051),Data!$BO:$BO,0)-2,53)=""),INDEX(Tab_DaBa[],MATCH(CONCATENATE(Liste!$C$3,$B$2825,$B$3051),Data!$BO:$BO,0)-2,13),IF(INDEX(Tab_DaBa[],MATCH(CONCATENATE(Liste!$C$3,$B$2825,$B$3051),Data!$BO:$BO,0)-2,48)&lt;&gt;"",INDEX(Tab_DaBa[],MATCH(CONCATENATE(Liste!$C$3,$B$2825,$B$3051),Data!$BO:$BO,0)-2,53),"")),"")</f>
        <v>Bez_Lo03_09</v>
      </c>
      <c r="C3071" s="38">
        <f ca="1">IF(D3069="","",4)</f>
        <v>4</v>
      </c>
      <c r="D3071" s="35" t="str">
        <f ca="1">IFERROR(IF(AND(INDEX(Tab_DaBa[],MATCH(CONCATENATE(Liste!$C$3,$B$2825,$B$3051),Data!$BO:$BO,0)-2,53)&lt;&gt;"",INDEX(Tab_DaBa[],MATCH(CONCATENATE(Liste!$C$3,$B$2825,$B$3051),Data!$BO:$BO,0)-2,58)=""),INDEX(Tab_DaBa[],MATCH(CONCATENATE(Liste!$C$3,$B$2825,$B$3051),Data!$BO:$BO,0)-2,13),IF(INDEX(Tab_DaBa[],MATCH(CONCATENATE(Liste!$C$3,$B$2825,$B$3051),Data!$BO:$BO,0)-2,53)&lt;&gt;"",INDEX(Tab_DaBa[],MATCH(CONCATENATE(Liste!$C$3,$B$2825,$B$3051),Data!$BO:$BO,0)-2,58),"")),"")</f>
        <v>Bez_Lo03_09</v>
      </c>
      <c r="E3071" s="38">
        <f ca="1">IF(F3069="","",4)</f>
        <v>4</v>
      </c>
      <c r="F3071" s="35" t="str">
        <f ca="1">IFERROR(IF(AND(INDEX(Tab_DaBa[],MATCH(CONCATENATE(Liste!$C$3,$B$2825,$B$3051),Data!$BO:$BO,0)-2,58)&lt;&gt;"",INDEX(Tab_DaBa[],MATCH(CONCATENATE(Liste!$C$3,$B$2825,$B$3051),Data!$BO:$BO,0)-2,63)=""),INDEX(Tab_DaBa[],MATCH(CONCATENATE(Liste!$C$3,$B$2825,$B$3051),Data!$BO:$BO,0)-2,13),IF(INDEX(Tab_DaBa[],MATCH(CONCATENATE(Liste!$C$3,$B$2825,$B$3051),Data!$BO:$BO,0)-2,58)&lt;&gt;"",INDEX(Tab_DaBa[],MATCH(CONCATENATE(Liste!$C$3,$B$2825,$B$3051),Data!$BO:$BO,0)-2,63),"")),"")</f>
        <v>Bez_Aus4_9</v>
      </c>
      <c r="G3071" s="38" t="str">
        <f ca="1">IF(H3069="","",4)</f>
        <v/>
      </c>
      <c r="H3071" s="35" t="str">
        <f ca="1">IFERROR(IF(INDEX(Tab_DaBa[],MATCH(CONCATENATE(Liste!$C$3,$B$2825,$B$3051),Data!$BO:$BO,0)-2,63)&lt;&gt;"",INDEX(Tab_DaBa[],MATCH(CONCATENATE(Liste!$C$3,$B$2825,$B$3051),Data!$BO:$BO,0)-2,13),""),"")</f>
        <v/>
      </c>
    </row>
    <row r="3072" spans="2:9" s="16" customFormat="1" ht="15.75">
      <c r="B3072" s="35" t="str">
        <f ca="1">IFERROR(IF(AND(INDEX(Tab_DaBa[],MATCH(CONCATENATE(Liste!$C$3,$B$2825,$B$3051),Data!$BO:$BO,0)-2,48)&lt;&gt;"",INDEX(Tab_DaBa[],MATCH(CONCATENATE(Liste!$C$3,$B$2825,$B$3051),Data!$BO:$BO,0)-2,53)=""),"Performance Level: "&amp;INDEX(Tab_DaBa[],MATCH(CONCATENATE(Liste!$C$3,$B$2825,$B$3051),Data!$BO:$BO,0)-2,15),IF(INDEX(Tab_DaBa[],MATCH(CONCATENATE(Liste!$C$3,$B$2825,$B$3051),Data!$BO:$BO,0)-2,48)&lt;&gt;"","Performance Level: "&amp;INDEX(Tab_DaBa[],MATCH(CONCATENATE(Liste!$C$3,$B$2825,$B$3051),Data!$BO:$BO,0)-2,55),"")),"")</f>
        <v>Performance Level: PL_Lo03_09</v>
      </c>
      <c r="C3072" s="39"/>
      <c r="D3072" s="35" t="str">
        <f ca="1">IFERROR(IF(AND(INDEX(Tab_DaBa[],MATCH(CONCATENATE(Liste!$C$3,$B$2825,$B$3051),Data!$BO:$BO,0)-2,53)&lt;&gt;"",INDEX(Tab_DaBa[],MATCH(CONCATENATE(Liste!$C$3,$B$2825,$B$3051),Data!$BO:$BO,0)-2,58)=""),"Performance Level: "&amp;INDEX(Tab_DaBa[],MATCH(CONCATENATE(Liste!$C$3,$B$2825,$B$3051),Data!$BO:$BO,0)-2,15),IF(INDEX(Tab_DaBa[],MATCH(CONCATENATE(Liste!$C$3,$B$2825,$B$3051),Data!$BO:$BO,0)-2,53)&lt;&gt;"","Performance Level: "&amp;INDEX(Tab_DaBa[],MATCH(CONCATENATE(Liste!$C$3,$B$2825,$B$3051),Data!$BO:$BO,0)-2,60),"")),"")</f>
        <v>Performance Level: PL_Lo03_09</v>
      </c>
      <c r="E3072" s="37"/>
      <c r="F3072" s="35" t="str">
        <f ca="1">IFERROR(IF(AND(INDEX(Tab_DaBa[],MATCH(CONCATENATE(Liste!$C$3,$B$2825,$B$3051),Data!$BO:$BO,0)-2,58)&lt;&gt;"",INDEX(Tab_DaBa[],MATCH(CONCATENATE(Liste!$C$3,$B$2825,$B$3051),Data!$BO:$BO,0)-2,63)=""),"Performance Level: "&amp;INDEX(Tab_DaBa[],MATCH(CONCATENATE(Liste!$C$3,$B$2825,$B$3051),Data!$BO:$BO,0)-2,15),IF(INDEX(Tab_DaBa[],MATCH(CONCATENATE(Liste!$C$3,$B$2825,$B$3051),Data!$BO:$BO,0)-2,58)&lt;&gt;"","Performance Level: "&amp;INDEX(Tab_DaBa[],MATCH(CONCATENATE(Liste!$C$3,$B$2825,$B$3051),Data!$BO:$BO,0)-2,65),"")),"")</f>
        <v>Performance Level: PL_Aus4_9</v>
      </c>
      <c r="G3072" s="39"/>
      <c r="H3072" s="35" t="str">
        <f ca="1">IFERROR(IF(INDEX(Tab_DaBa[],MATCH(CONCATENATE(Liste!$C$3,$B$2825,$B$3051),Data!$BO:$BO,0)-2,63)&lt;&gt;"","Performance Level: "&amp;INDEX(Tab_DaBa[],MATCH(CONCATENATE(Liste!$C$3,$B$2825,$B$3051),Data!$BO:$BO,0)-2,15),""),"")</f>
        <v/>
      </c>
    </row>
    <row r="3073" spans="2:9" s="16" customFormat="1" ht="15.75">
      <c r="B3073" s="35" t="str">
        <f ca="1">IFERROR(IF(AND(INDEX(Tab_DaBa[],MATCH(CONCATENATE(Liste!$C$3,$B$2825,$B$3051),Data!$BO:$BO,0)-2,48)&lt;&gt;"",INDEX(Tab_DaBa[],MATCH(CONCATENATE(Liste!$C$3,$B$2825,$B$3051),Data!$BO:$BO,0)-2,53)=""),"PFH [1/h] = "&amp;10^9*INDEX(Tab_DaBa[],MATCH(CONCATENATE(Liste!$C$3,$B$2825,$B$3051),Data!$BO:$BO,0)-2,16)&amp;"E-9",IF(INDEX(Tab_DaBa[],MATCH(CONCATENATE(Liste!$C$3,$B$2825,$B$3051),Data!$BO:$BO,0)-2,48)&lt;&gt;"","PFH [1/h] = "&amp;10^9*INDEX(Tab_DaBa[],MATCH(CONCATENATE(Liste!$C$3,$B$2825,$B$3051),Data!$BO:$BO,0)-2,56)&amp;"E-9","")),"")</f>
        <v>PFH [1/h] = 4,19E-9</v>
      </c>
      <c r="C3073" s="39"/>
      <c r="D3073" s="35" t="str">
        <f ca="1">IFERROR(IF(AND(INDEX(Tab_DaBa[],MATCH(CONCATENATE(Liste!$C$3,$B$2825,$B$3051),Data!$BO:$BO,0)-2,53)&lt;&gt;"",INDEX(Tab_DaBa[],MATCH(CONCATENATE(Liste!$C$3,$B$2825,$B$3051),Data!$BO:$BO,0)-2,58)=""),"PFH [1/h] = "&amp;10^9*INDEX(Tab_DaBa[],MATCH(CONCATENATE(Liste!$C$3,$B$2825,$B$3051),Data!$BO:$BO,0)-2,16)&amp;"E-9",IF(INDEX(Tab_DaBa[],MATCH(CONCATENATE(Liste!$C$3,$B$2825,$B$3051),Data!$BO:$BO,0)-2,53)&lt;&gt;"","PFH [1/h] = "&amp;10^9*INDEX(Tab_DaBa[],MATCH(CONCATENATE(Liste!$C$3,$B$2825,$B$3051),Data!$BO:$BO,0)-2,61)&amp;"E-9","")),"")</f>
        <v>PFH [1/h] = 4,19E-9</v>
      </c>
      <c r="E3073" s="37"/>
      <c r="F3073" s="35" t="str">
        <f ca="1">IFERROR(IF(AND(INDEX(Tab_DaBa[],MATCH(CONCATENATE(Liste!$C$3,$B$2825,$B$3051),Data!$BO:$BO,0)-2,58)&lt;&gt;"",INDEX(Tab_DaBa[],MATCH(CONCATENATE(Liste!$C$3,$B$2825,$B$3051),Data!$BO:$BO,0)-2,63)=""),"PFH [1/h] = "&amp;10^9*INDEX(Tab_DaBa[],MATCH(CONCATENATE(Liste!$C$3,$B$2825,$B$3051),Data!$BO:$BO,0)-2,16)&amp;"E-9",IF(INDEX(Tab_DaBa[],MATCH(CONCATENATE(Liste!$C$3,$B$2825,$B$3051),Data!$BO:$BO,0)-2,58)&lt;&gt;"","PFH [1/h] = "&amp;10^9*INDEX(Tab_DaBa[],MATCH(CONCATENATE(Liste!$C$3,$B$2825,$B$3051),Data!$BO:$BO,0)-2,66)&amp;"E-9","")),"")</f>
        <v>PFH [1/h] = 24,7E-9</v>
      </c>
      <c r="G3073" s="39"/>
      <c r="H3073" s="35" t="str">
        <f ca="1">IFERROR(IF(INDEX(Tab_DaBa[],MATCH(CONCATENATE(Liste!$C$3,$B$2825,$B$3051),Data!$BO:$BO,0)-2,63)&lt;&gt;"","PFH [1/h] = "&amp;10^9*INDEX(Tab_DaBa[],MATCH(CONCATENATE(Liste!$C$3,$B$2825,$B$3051),Data!$BO:$BO,0)-2,16)&amp;"E-9",""),"")</f>
        <v/>
      </c>
    </row>
    <row r="3074" spans="2:9" s="16" customFormat="1"/>
    <row r="3075" spans="2:9" s="16" customFormat="1">
      <c r="B3075" s="43" t="str">
        <f ca="1">IF(D3075="","","Erforderlich")</f>
        <v>Erforderlich</v>
      </c>
      <c r="D3075" s="44" t="str">
        <f ca="1">IFERROR("Performance Level: "&amp;INDEX(Tab_DaBa[],MATCH(CONCATENATE(Liste!$C$3,$B$2825,$B$3051),Data!$BO:$BO,0)-2,4),"")</f>
        <v>Performance Level: PLr_ges4_9</v>
      </c>
    </row>
    <row r="3076" spans="2:9" s="16" customFormat="1">
      <c r="B3076" s="45"/>
    </row>
    <row r="3077" spans="2:9" s="16" customFormat="1">
      <c r="B3077" s="46" t="str">
        <f ca="1">IF(D3077="","","Erreicht")</f>
        <v>Erreicht</v>
      </c>
      <c r="D3077" s="47" t="str">
        <f ca="1">IFERROR("Performance Level: "&amp;INDEX(Tab_DaBa[],MATCH(CONCATENATE(Liste!$C$3,$B$2825,$B$3051),Data!$BO:$BO,0)-2,5)&amp;"          PFH [1/h] = "&amp;10^9*INDEX(Tab_DaBa[],MATCH(CONCATENATE(Liste!$C$3,$B$2825,$B$3051),Data!$BO:$BO,0)-2,6)&amp;"E-9","")</f>
        <v>Performance Level: Pl_ges4_9          PFH [1/h] = 71,7E-9</v>
      </c>
    </row>
    <row r="3078" spans="2:9" s="16" customFormat="1">
      <c r="B3078" s="50"/>
      <c r="C3078" s="49"/>
      <c r="D3078" s="49"/>
    </row>
    <row r="3079" spans="2:9" s="16" customFormat="1">
      <c r="B3079" s="42" t="str">
        <f ca="1">IFERROR(IF(10&gt;COUNTIF(Data!$BP:$BP,CONCATENATE(Liste!$C$3,$B$2825)),"",INDEX(Tab_DaBa[],MATCH(CONCATENATE(Liste!$C$3,$B$2825),Data!$BP:$BP,0)+7,3)),"")</f>
        <v>11.10 Test11 (E+10L+A)</v>
      </c>
    </row>
    <row r="3080" spans="2:9" s="16" customFormat="1"/>
    <row r="3081" spans="2:9" s="16" customFormat="1" ht="15.75">
      <c r="B3081" s="35" t="str">
        <f ca="1">IFERROR(INDEX(Tab_DaBa[],MATCH(CONCATENATE(Liste!$C$3,$B$2825,$B$3079),Data!$BO:$BO,0)-2,9),"")</f>
        <v>Eingang</v>
      </c>
      <c r="C3081" s="54"/>
      <c r="D3081" s="35" t="str">
        <f ca="1">IFERROR(IF(INDEX(Tab_DaBa[],MATCH(CONCATENATE(Liste!$C$3,$B$2825,$B$3079),Data!$BO:$BO,0)-2,18)=0,INDEX(Tab_DaBa[],MATCH(CONCATENATE(Liste!$C$3,$B$2825,$B$3079),Data!$BO:$BO,0)-2,14),INDEX(Tab_DaBa[],MATCH(CONCATENATE(Liste!$C$3,$B$2825,$B$3079),Data!$BO:$BO,0)-2,19)),"")</f>
        <v>Logik 01</v>
      </c>
      <c r="E3081" s="33"/>
      <c r="F3081" s="35" t="str">
        <f ca="1">IFERROR(IF(AND(INDEX(Tab_DaBa[],MATCH(CONCATENATE(Liste!$C$3,$B$2825,$B$3079),Data!$BO:$BO,0)-2,18)&lt;&gt;"",INDEX(Tab_DaBa[],MATCH(CONCATENATE(Liste!$C$3,$B$2825,$B$3079),Data!$BO:$BO,0)-2,23)=0),INDEX(Tab_DaBa[],MATCH(CONCATENATE(Liste!$C$3,$B$2825,$B$3079),Data!$BO:$BO,0)-2,14),IF(INDEX(Tab_DaBa[],MATCH(CONCATENATE(Liste!$C$3,$B$2825,$B$3079),Data!$BO:$BO,0)-2,23)&lt;&gt;"",INDEX(Tab_DaBa[],MATCH(CONCATENATE(Liste!$C$3,$B$2825,$B$3079),Data!$BO:$BO,0)-2,24),"")),"")</f>
        <v>Logik 02</v>
      </c>
      <c r="G3081" s="39"/>
      <c r="H3081" s="35" t="str">
        <f ca="1">IFERROR(IF(AND(INDEX(Tab_DaBa[],MATCH(CONCATENATE(Liste!$C$3,$B$2825,$B$3079),Data!$BO:$BO,0)-2,23)&lt;&gt;"",INDEX(Tab_DaBa[],MATCH(CONCATENATE(Liste!$C$3,$B$2825,$B$3079),Data!$BO:$BO,0)-2,28)=0),INDEX(Tab_DaBa[],MATCH(CONCATENATE(Liste!$C$3,$B$2825,$B$3079),Data!$BO:$BO,0)-2,14),IF(INDEX(Tab_DaBa[],MATCH(CONCATENATE(Liste!$C$3,$B$2825,$B$3079),Data!$BO:$BO,0)-2,23)&lt;&gt;"",INDEX(Tab_DaBa[],MATCH(CONCATENATE(Liste!$C$3,$B$2825,$B$3079),Data!$BO:$BO,0)-2,29),"")),"")</f>
        <v>Logik 03</v>
      </c>
      <c r="I3081" s="39"/>
    </row>
    <row r="3082" spans="2:9" s="16" customFormat="1" ht="15.75">
      <c r="B3082" s="35" t="str">
        <f ca="1">IFERROR(INDEX(Tab_DaBa[],MATCH(CONCATENATE(Liste!$C$3,$B$2825,$B$3079),Data!$BO:$BO,0)-2,7),"")</f>
        <v>eeee-33_10</v>
      </c>
      <c r="C3082" s="54"/>
      <c r="D3082" s="35" t="str">
        <f ca="1">IFERROR(IF(INDEX(Tab_DaBa[],MATCH(CONCATENATE(Liste!$C$3,$B$2825,$B$3079),Data!$BO:$BO,0)-2,18)="",INDEX(Tab_DaBa[],MATCH(CONCATENATE(Liste!$C$3,$B$2825,$B$3079),Data!$BO:$BO,0)-2,12),INDEX(Tab_DaBa[],MATCH(CONCATENATE(Liste!$C$3,$B$2825,$B$3079),Data!$BO:$BO,0)-2,17)),"")</f>
        <v>Log01-04_10</v>
      </c>
      <c r="E3082" s="36"/>
      <c r="F3082" s="35" t="str">
        <f ca="1">IFERROR(IF(AND(INDEX(Tab_DaBa[],MATCH(CONCATENATE(Liste!$C$3,$B$2825,$B$3079),Data!$BO:$BO,0)-2,18)&lt;&gt;"",INDEX(Tab_DaBa[],MATCH(CONCATENATE(Liste!$C$3,$B$2825,$B$3079),Data!$BO:$BO,0)-2,23)=0),INDEX(Tab_DaBa[],MATCH(CONCATENATE(Liste!$C$3,$B$2825,$B$3079),Data!$BO:$BO,0)-2,12),IF(INDEX(Tab_DaBa[],MATCH(CONCATENATE(Liste!$C$3,$B$2825,$B$3079),Data!$BO:$BO,0)-2,23)&lt;&gt;"",INDEX(Tab_DaBa[],MATCH(CONCATENATE(Liste!$C$3,$B$2825,$B$3079),Data!$BO:$BO,0)-2,22),"")),"")</f>
        <v>Lo04-04_10</v>
      </c>
      <c r="G3082" s="39"/>
      <c r="H3082" s="35" t="str">
        <f ca="1">IFERROR(IF(AND(INDEX(Tab_DaBa[],MATCH(CONCATENATE(Liste!$C$3,$B$2825,$B$3079),Data!$BO:$BO,0)-2,23)&lt;&gt;"",INDEX(Tab_DaBa[],MATCH(CONCATENATE(Liste!$C$3,$B$2825,$B$3079),Data!$BO:$BO,0)-2,28)=0),INDEX(Tab_DaBa[],MATCH(CONCATENATE(Liste!$C$3,$B$2825,$B$3079),Data!$BO:$BO,0)-2,12),IF(INDEX(Tab_DaBa[],MATCH(CONCATENATE(Liste!$C$3,$B$2825,$B$3079),Data!$BO:$BO,0)-2,23)&lt;&gt;"",INDEX(Tab_DaBa[],MATCH(CONCATENATE(Liste!$C$3,$B$2825,$B$3079),Data!$BO:$BO,0)-2,27),"")),"")</f>
        <v>Lo04-44_10</v>
      </c>
      <c r="I3082" s="39"/>
    </row>
    <row r="3083" spans="2:9" s="16" customFormat="1" ht="15.75">
      <c r="B3083" s="35" t="str">
        <f ca="1">IFERROR(INDEX(Tab_DaBa[],MATCH(CONCATENATE(Liste!$C$3,$B$2825,$B$3079),Data!$BO:$BO,0)-2,8),"")</f>
        <v>Bez_Ein4_10</v>
      </c>
      <c r="C3083" s="40">
        <f ca="1">IF(D3081="","",4)</f>
        <v>4</v>
      </c>
      <c r="D3083" s="35" t="str">
        <f ca="1">IFERROR(IF(INDEX(Tab_DaBa[],MATCH(CONCATENATE(Liste!$C$3,$B$2825,$B$3079),Data!$BO:$BO,0)-2,18)="",INDEX(Tab_DaBa[],MATCH(CONCATENATE(Liste!$C$3,$B$2825,$B$3079),Data!$BO:$BO,0)-2,13),INDEX(Tab_DaBa[],MATCH(CONCATENATE(Liste!$C$3,$B$2825,$B$3079),Data!$BO:$BO,0)-2,18)),"")</f>
        <v>Bez_Log01_04_10</v>
      </c>
      <c r="E3083" s="40">
        <f ca="1">IF(F3081="","",4)</f>
        <v>4</v>
      </c>
      <c r="F3083" s="35" t="str">
        <f ca="1">IFERROR(IF(AND(INDEX(Tab_DaBa[],MATCH(CONCATENATE(Liste!$C$3,$B$2825,$B$3079),Data!$BO:$BO,0)-2,18)&lt;&gt;"",INDEX(Tab_DaBa[],MATCH(CONCATENATE(Liste!$C$3,$B$2825,$B$3079),Data!$BO:$BO,0)-2,23)=""),INDEX(Tab_DaBa[],MATCH(CONCATENATE(Liste!$C$3,$B$2825,$B$3079),Data!$BO:$BO,0)-2,13),IF(INDEX(Tab_DaBa[],MATCH(CONCATENATE(Liste!$C$3,$B$2825,$B$3079),Data!$BO:$BO,0)-2,23)&lt;&gt;"",INDEX(Tab_DaBa[],MATCH(CONCATENATE(Liste!$C$3,$B$2825,$B$3079),Data!$BO:$BO,0)-2,23),"")),"")</f>
        <v>Bez_Lo04_10</v>
      </c>
      <c r="G3083" s="38">
        <f ca="1">IF(H3081="","",4)</f>
        <v>4</v>
      </c>
      <c r="H3083" s="35" t="str">
        <f ca="1">IFERROR(IF(AND(INDEX(Tab_DaBa[],MATCH(CONCATENATE(Liste!$C$3,$B$2825,$B$3079),Data!$BO:$BO,0)-2,23)&lt;&gt;"",INDEX(Tab_DaBa[],MATCH(CONCATENATE(Liste!$C$3,$B$2825,$B$3079),Data!$BO:$BO,0)-2,28)=""),INDEX(Tab_DaBa[],MATCH(CONCATENATE(Liste!$C$3,$B$2825,$B$3079),Data!$BO:$BO,0)-2,13),IF(INDEX(Tab_DaBa[],MATCH(CONCATENATE(Liste!$C$3,$B$2825,$B$3079),Data!$BO:$BO,0)-2,23)&lt;&gt;"",INDEX(Tab_DaBa[],MATCH(CONCATENATE(Liste!$C$3,$B$2825,$B$3079),Data!$BO:$BO,0)-2,28),"")),"")</f>
        <v>Bez_Lo04_10</v>
      </c>
      <c r="I3083" s="38">
        <f ca="1">IF(B3089="","",6)</f>
        <v>6</v>
      </c>
    </row>
    <row r="3084" spans="2:9" s="16" customFormat="1" ht="15.75">
      <c r="B3084" s="35" t="str">
        <f ca="1">IFERROR("Performance Level: "&amp;INDEX(Tab_DaBa[],MATCH(CONCATENATE(Liste!$C$3,$B$2825,$B$3079),Data!$BO:$BO,0)-2,10),"")</f>
        <v>Performance Level: PL_Ein4_10</v>
      </c>
      <c r="C3084" s="54"/>
      <c r="D3084" s="35" t="str">
        <f ca="1">IFERROR(IF(INDEX(Tab_DaBa[],MATCH(CONCATENATE(Liste!$C$3,$B$2825,$B$3079),Data!$BO:$BO,0)-2,18)="","Performance Level: "&amp;INDEX(Tab_DaBa[],MATCH(CONCATENATE(Liste!$C$3,$B$2825,$B$3079),Data!$BO:$BO,0)-2,15),"Performance Level: "&amp;INDEX(Tab_DaBa[],MATCH(CONCATENATE(Liste!$C$3,$B$2825,$B$3079),Data!$BO:$BO,0)-2,20)),"")</f>
        <v>Performance Level: PL_Log01_04_10</v>
      </c>
      <c r="E3084" s="36"/>
      <c r="F3084" s="35" t="str">
        <f ca="1">IFERROR(IF(AND(INDEX(Tab_DaBa[],MATCH(CONCATENATE(Liste!$C$3,$B$2825,$B$3079),Data!$BO:$BO,0)-2,18)&lt;&gt;"",INDEX(Tab_DaBa[],MATCH(CONCATENATE(Liste!$C$3,$B$2825,$B$3079),Data!$BO:$BO,0)-2,23)=""),"Performance Level: "&amp;INDEX(Tab_DaBa[],MATCH(CONCATENATE(Liste!$C$3,$B$2825,$B$3079),Data!$BO:$BO,0)-2,15),IF(INDEX(Tab_DaBa[],MATCH(CONCATENATE(Liste!$C$3,$B$2825,$B$3079),Data!$BO:$BO,0)-2,23)&lt;&gt;"","Performance Level: "&amp;INDEX(Tab_DaBa[],MATCH(CONCATENATE(Liste!$C$3,$B$2825,$B$3079),Data!$BO:$BO,0)-2,25),"")),"")</f>
        <v>Performance Level: PL_Lo04_10</v>
      </c>
      <c r="G3084" s="39"/>
      <c r="H3084" s="35" t="str">
        <f ca="1">IFERROR(IF(AND(INDEX(Tab_DaBa[],MATCH(CONCATENATE(Liste!$C$3,$B$2825,$B$3079),Data!$BO:$BO,0)-2,23)&lt;&gt;"",INDEX(Tab_DaBa[],MATCH(CONCATENATE(Liste!$C$3,$B$2825,$B$3079),Data!$BO:$BO,0)-2,28)=""),"Performance Level: "&amp;INDEX(Tab_DaBa[],MATCH(CONCATENATE(Liste!$C$3,$B$2825,$B$3079),Data!$BO:$BO,0)-2,15),IF(INDEX(Tab_DaBa[],MATCH(CONCATENATE(Liste!$C$3,$B$2825,$B$3079),Data!$BO:$BO,0)-2,23)&lt;&gt;"","Performance Level: "&amp;INDEX(Tab_DaBa[],MATCH(CONCATENATE(Liste!$C$3,$B$2825,$B$3079),Data!$BO:$BO,0)-2,30),"")),"")</f>
        <v>Performance Level: PL_Lo04_10</v>
      </c>
      <c r="I3084" s="38"/>
    </row>
    <row r="3085" spans="2:9" s="16" customFormat="1" ht="15.75">
      <c r="B3085" s="53" t="str">
        <f ca="1">IFERROR("PFH [1/h] = "&amp;10^9*INDEX(Tab_DaBa[],MATCH(CONCATENATE(Liste!$C$3,$B$2825,$B$3079),Data!$BO:$BO,0)-2,11)&amp;"E-9","")</f>
        <v>PFH [1/h] = 42,9E-9</v>
      </c>
      <c r="C3085" s="54"/>
      <c r="D3085" s="35" t="str">
        <f ca="1">IFERROR(IF(INDEX(Tab_DaBa[],MATCH(CONCATENATE(Liste!$C$3,$B$2825,$B$3079),Data!$BO:$BO,0)-2,18)="","PFH [1/h] = "&amp;10^9*INDEX(Tab_DaBa[],MATCH(CONCATENATE(Liste!$C$3,$B$2825,$B$3079),Data!$BO:$BO,0)-2,16)&amp;"E-9","PFH [1/h] = "&amp;10^9*INDEX(Tab_DaBa[],MATCH(CONCATENATE(Liste!$C$3,$B$2825,$B$3079),Data!$BO:$BO,0)-2,21)&amp;"E-9"),"")</f>
        <v>PFH [1/h] = 4,19E-9</v>
      </c>
      <c r="E3085" s="36"/>
      <c r="F3085" s="35" t="str">
        <f ca="1">IFERROR(IF(AND(INDEX(Tab_DaBa[],MATCH(CONCATENATE(Liste!$C$3,$B$2825,$B$3079),Data!$BO:$BO,0)-2,18)&lt;&gt;"",INDEX(Tab_DaBa[],MATCH(CONCATENATE(Liste!$C$3,$B$2825,$B$3079),Data!$BO:$BO,0)-2,23)=""),"PFH [1/h] = "&amp;10^9*INDEX(Tab_DaBa[],MATCH(CONCATENATE(Liste!$C$3,$B$2825,$B$3079),Data!$BO:$BO,0)-2,16)&amp;"E-9",IF(INDEX(Tab_DaBa[],MATCH(CONCATENATE(Liste!$C$3,$B$2825,$B$3079),Data!$BO:$BO,0)-2,23)&lt;&gt;"","PFH [1/h] = "&amp;10^9*INDEX(Tab_DaBa[],MATCH(CONCATENATE(Liste!$C$3,$B$2825,$B$3079),Data!$BO:$BO,0)-2,26)&amp;"E-9","")),"")</f>
        <v>PFH [1/h] = 4,19E-9</v>
      </c>
      <c r="G3085" s="39"/>
      <c r="H3085" s="35" t="str">
        <f ca="1">IFERROR(IF(AND(INDEX(Tab_DaBa[],MATCH(CONCATENATE(Liste!$C$3,$B$2825,$B$3079),Data!$BO:$BO,0)-2,23)&lt;&gt;"",INDEX(Tab_DaBa[],MATCH(CONCATENATE(Liste!$C$3,$B$2825,$B$3079),Data!$BO:$BO,0)-2,28)=""),"PFH [1/h] = "&amp;10^9*INDEX(Tab_DaBa[],MATCH(CONCATENATE(Liste!$C$3,$B$2825,$B$3079),Data!$BO:$BO,0)-2,16)&amp;"E-9",IF(INDEX(Tab_DaBa[],MATCH(CONCATENATE(Liste!$C$3,$B$2825,$B$3079),Data!$BO:$BO,0)-2,23)&lt;&gt;"","PFH [1/h] = "&amp;10^9*INDEX(Tab_DaBa[],MATCH(CONCATENATE(Liste!$C$3,$B$2825,$B$3079),Data!$BO:$BO,0)-2,31)&amp;"E-9","")),"")</f>
        <v>PFH [1/h] = 4,19E-9</v>
      </c>
      <c r="I3085" s="39"/>
    </row>
    <row r="3086" spans="2:9" s="16" customFormat="1">
      <c r="B3086" s="33"/>
      <c r="C3086" s="34"/>
      <c r="D3086" s="33"/>
      <c r="E3086" s="33"/>
      <c r="F3086" s="33"/>
      <c r="G3086" s="33"/>
      <c r="H3086" s="33"/>
      <c r="I3086" s="33"/>
    </row>
    <row r="3087" spans="2:9" s="16" customFormat="1" ht="15.75">
      <c r="B3087" s="38">
        <f ca="1">IF(B3089="","",6)</f>
        <v>6</v>
      </c>
      <c r="C3087" s="34"/>
      <c r="D3087" s="38">
        <f ca="1">IF(B3089="","",3)</f>
        <v>3</v>
      </c>
      <c r="E3087" s="33"/>
      <c r="F3087" s="38">
        <f ca="1">IF(B3089="","",3)</f>
        <v>3</v>
      </c>
      <c r="G3087" s="33"/>
      <c r="H3087" s="38">
        <f ca="1">IF(B3089="","",3)</f>
        <v>3</v>
      </c>
      <c r="I3087" s="33"/>
    </row>
    <row r="3088" spans="2:9" s="16" customFormat="1" ht="15.75">
      <c r="B3088" s="39"/>
      <c r="C3088" s="33"/>
      <c r="D3088" s="33"/>
      <c r="E3088" s="33"/>
      <c r="F3088" s="33"/>
      <c r="G3088" s="33"/>
      <c r="H3088" s="33"/>
      <c r="I3088" s="33"/>
    </row>
    <row r="3089" spans="2:9" s="16" customFormat="1" ht="15.75">
      <c r="B3089" s="35" t="str">
        <f ca="1">IFERROR(IF(AND(INDEX(Tab_DaBa[],MATCH(CONCATENATE(Liste!$C$3,$B$2825,$B$3079),Data!$BO:$BO,0)-2,28)&lt;&gt;"",INDEX(Tab_DaBa[],MATCH(CONCATENATE(Liste!$C$3,$B$2825,$B$3079),Data!$BO:$BO,0)-2,33)=0),INDEX(Tab_DaBa[],MATCH(CONCATENATE(Liste!$C$3,$B$2825,$B$3079),Data!$BO:$BO,0)-2,14),IF(INDEX(Tab_DaBa[],MATCH(CONCATENATE(Liste!$C$3,$B$2825,$B$3079),Data!$BO:$BO,0)-2,28)&lt;&gt;"",INDEX(Tab_DaBa[],MATCH(CONCATENATE(Liste!$C$3,$B$2825,$B$3079),Data!$BO:$BO,0)-2,34),"")),"")</f>
        <v>Logik 04</v>
      </c>
      <c r="C3089" s="39"/>
      <c r="D3089" s="35" t="str">
        <f ca="1">IFERROR(IF(AND(INDEX(Tab_DaBa[],MATCH(CONCATENATE(Liste!$C$3,$B$2825,$B$3079),Data!$BO:$BO,0)-2,33)&lt;&gt;"",INDEX(Tab_DaBa[],MATCH(CONCATENATE(Liste!$C$3,$B$2825,$B$3079),Data!$BO:$BO,0)-2,38)=0),INDEX(Tab_DaBa[],MATCH(CONCATENATE(Liste!$C$3,$B$2825,$B$3079),Data!$BO:$BO,0)-2,14),IF(INDEX(Tab_DaBa[],MATCH(CONCATENATE(Liste!$C$3,$B$2825,$B$3079),Data!$BO:$BO,0)-2,33)&lt;&gt;"",INDEX(Tab_DaBa[],MATCH(CONCATENATE(Liste!$C$3,$B$2825,$B$3079),Data!$BO:$BO,0)-2,39),"")),"")</f>
        <v>Logik 08</v>
      </c>
      <c r="E3089" s="33"/>
      <c r="F3089" s="35" t="str">
        <f ca="1">IFERROR(IF(AND(INDEX(Tab_DaBa[],MATCH(CONCATENATE(Liste!$C$3,$B$2825,$B$3079),Data!$BO:$BO,0)-2,38)&lt;&gt;"",INDEX(Tab_DaBa[],MATCH(CONCATENATE(Liste!$C$3,$B$2825,$B$3079),Data!$BO:$BO,0)-2,43)=0),INDEX(Tab_DaBa[],MATCH(CONCATENATE(Liste!$C$3,$B$2825,$B$3079),Data!$BO:$BO,0)-2,14),IF(INDEX(Tab_DaBa[],MATCH(CONCATENATE(Liste!$C$3,$B$2825,$B$3079),Data!$BO:$BO,0)-2,38)&lt;&gt;"",INDEX(Tab_DaBa[],MATCH(CONCATENATE(Liste!$C$3,$B$2825,$B$3079),Data!$BO:$BO,0)-2,44),"")),"")</f>
        <v>Logik 06</v>
      </c>
      <c r="G3089" s="39"/>
      <c r="H3089" s="35" t="str">
        <f ca="1">IFERROR(IF(AND(INDEX(Tab_DaBa[],MATCH(CONCATENATE(Liste!$C$3,$B$2825,$B$3079),Data!$BO:$BO,0)-2,43)&lt;&gt;"",INDEX(Tab_DaBa[],MATCH(CONCATENATE(Liste!$C$3,$B$2825,$B$3079),Data!$BO:$BO,0)-2,48)=0),INDEX(Tab_DaBa[],MATCH(CONCATENATE(Liste!$C$3,$B$2825,$B$3079),Data!$BO:$BO,0)-2,14),IF(INDEX(Tab_DaBa[],MATCH(CONCATENATE(Liste!$C$3,$B$2825,$B$3079),Data!$BO:$BO,0)-2,43)&lt;&gt;"",INDEX(Tab_DaBa[],MATCH(CONCATENATE(Liste!$C$3,$B$2825,$B$3079),Data!$BO:$BO,0)-2,49),"")),"")</f>
        <v>Logik 07</v>
      </c>
      <c r="I3089" s="39"/>
    </row>
    <row r="3090" spans="2:9" s="16" customFormat="1" ht="15.75">
      <c r="B3090" s="35" t="str">
        <f ca="1">IFERROR(IF(AND(INDEX(Tab_DaBa[],MATCH(CONCATENATE(Liste!$C$3,$B$2825,$B$3079),Data!$BO:$BO,0)-2,28)&lt;&gt;"",INDEX(Tab_DaBa[],MATCH(CONCATENATE(Liste!$C$3,$B$2825,$B$3079),Data!$BO:$BO,0)-2,33)=0),INDEX(Tab_DaBa[],MATCH(CONCATENATE(Liste!$C$3,$B$2825,$B$3079),Data!$BO:$BO,0)-2,12),IF(INDEX(Tab_DaBa[],MATCH(CONCATENATE(Liste!$C$3,$B$2825,$B$3079),Data!$BO:$BO,0)-2,28)&lt;&gt;"",INDEX(Tab_DaBa[],MATCH(CONCATENATE(Liste!$C$3,$B$2825,$B$3079),Data!$BO:$BO,0)-2,32),"")),"")</f>
        <v>Lo04-44_10</v>
      </c>
      <c r="C3090" s="39"/>
      <c r="D3090" s="35" t="str">
        <f ca="1">IFERROR(IF(AND(INDEX(Tab_DaBa[],MATCH(CONCATENATE(Liste!$C$3,$B$2825,$B$3079),Data!$BO:$BO,0)-2,33)&lt;&gt;"",INDEX(Tab_DaBa[],MATCH(CONCATENATE(Liste!$C$3,$B$2825,$B$3079),Data!$BO:$BO,0)-2,38)=0),INDEX(Tab_DaBa[],MATCH(CONCATENATE(Liste!$C$3,$B$2825,$B$3079),Data!$BO:$BO,0)-2,12),IF(INDEX(Tab_DaBa[],MATCH(CONCATENATE(Liste!$C$3,$B$2825,$B$3079),Data!$BO:$BO,0)-2,33)&lt;&gt;"",INDEX(Tab_DaBa[],MATCH(CONCATENATE(Liste!$C$3,$B$2825,$B$3079),Data!$BO:$BO,0)-2,37),"")),"")</f>
        <v>Lo04-44_10</v>
      </c>
      <c r="E3090" s="37"/>
      <c r="F3090" s="35" t="str">
        <f ca="1">IFERROR(IF(AND(INDEX(Tab_DaBa[],MATCH(CONCATENATE(Liste!$C$3,$B$2825,$B$3079),Data!$BO:$BO,0)-2,38)&lt;&gt;"",INDEX(Tab_DaBa[],MATCH(CONCATENATE(Liste!$C$3,$B$2825,$B$3079),Data!$BO:$BO,0)-2,43)=0),INDEX(Tab_DaBa[],MATCH(CONCATENATE(Liste!$C$3,$B$2825,$B$3079),Data!$BO:$BO,0)-2,12),IF(INDEX(Tab_DaBa[],MATCH(CONCATENATE(Liste!$C$3,$B$2825,$B$3079),Data!$BO:$BO,0)-2,38)&lt;&gt;"",INDEX(Tab_DaBa[],MATCH(CONCATENATE(Liste!$C$3,$B$2825,$B$3079),Data!$BO:$BO,0)-2,42),"")),"")</f>
        <v>Lo03-33_10</v>
      </c>
      <c r="G3090" s="39"/>
      <c r="H3090" s="35" t="str">
        <f ca="1">IFERROR(IF(AND(INDEX(Tab_DaBa[],MATCH(CONCATENATE(Liste!$C$3,$B$2825,$B$3079),Data!$BO:$BO,0)-2,43)&lt;&gt;"",INDEX(Tab_DaBa[],MATCH(CONCATENATE(Liste!$C$3,$B$2825,$B$3079),Data!$BO:$BO,0)-2,48)=0),INDEX(Tab_DaBa[],MATCH(CONCATENATE(Liste!$C$3,$B$2825,$B$3079),Data!$BO:$BO,0)-2,12),IF(INDEX(Tab_DaBa[],MATCH(CONCATENATE(Liste!$C$3,$B$2825,$B$3079),Data!$BO:$BO,0)-2,43)&lt;&gt;"",INDEX(Tab_DaBa[],MATCH(CONCATENATE(Liste!$C$3,$B$2825,$B$3079),Data!$BO:$BO,0)-2,47),"")),"")</f>
        <v>Lo03-33_10</v>
      </c>
      <c r="I3090" s="39"/>
    </row>
    <row r="3091" spans="2:9" s="16" customFormat="1" ht="15.75">
      <c r="B3091" s="35" t="str">
        <f ca="1">IFERROR(IF(AND(INDEX(Tab_DaBa[],MATCH(CONCATENATE(Liste!$C$3,$B$2825,$B$3079),Data!$BO:$BO,0)-2,28)&lt;&gt;"",INDEX(Tab_DaBa[],MATCH(CONCATENATE(Liste!$C$3,$B$2825,$B$3079),Data!$BO:$BO,0)-2,33)=""),INDEX(Tab_DaBa[],MATCH(CONCATENATE(Liste!$C$3,$B$2825,$B$3079),Data!$BO:$BO,0)-2,13),IF(INDEX(Tab_DaBa[],MATCH(CONCATENATE(Liste!$C$3,$B$2825,$B$3079),Data!$BO:$BO,0)-2,28)&lt;&gt;"",INDEX(Tab_DaBa[],MATCH(CONCATENATE(Liste!$C$3,$B$2825,$B$3079),Data!$BO:$BO,0)-2,33),"")),"")</f>
        <v>Bez_Lo04_10</v>
      </c>
      <c r="C3091" s="38">
        <f ca="1">IF(D3089="","",4)</f>
        <v>4</v>
      </c>
      <c r="D3091" s="35" t="str">
        <f ca="1">IFERROR(IF(AND(INDEX(Tab_DaBa[],MATCH(CONCATENATE(Liste!$C$3,$B$2825,$B$3079),Data!$BO:$BO,0)-2,33)&lt;&gt;"",INDEX(Tab_DaBa[],MATCH(CONCATENATE(Liste!$C$3,$B$2825,$B$3079),Data!$BO:$BO,0)-2,38)=""),INDEX(Tab_DaBa[],MATCH(CONCATENATE(Liste!$C$3,$B$2825,$B$3079),Data!$BO:$BO,0)-2,13),IF(INDEX(Tab_DaBa[],MATCH(CONCATENATE(Liste!$C$3,$B$2825,$B$3079),Data!$BO:$BO,0)-2,33)&lt;&gt;"",INDEX(Tab_DaBa[],MATCH(CONCATENATE(Liste!$C$3,$B$2825,$B$3079),Data!$BO:$BO,0)-2,38),"")),"")</f>
        <v>Bez_Lo03_10</v>
      </c>
      <c r="E3091" s="38">
        <f ca="1">IF(F3089="","",4)</f>
        <v>4</v>
      </c>
      <c r="F3091" s="35" t="str">
        <f ca="1">IFERROR(IF(AND(INDEX(Tab_DaBa[],MATCH(CONCATENATE(Liste!$C$3,$B$2825,$B$3079),Data!$BO:$BO,0)-2,38)&lt;&gt;"",INDEX(Tab_DaBa[],MATCH(CONCATENATE(Liste!$C$3,$B$2825,$B$3079),Data!$BO:$BO,0)-2,43)=""),INDEX(Tab_DaBa[],MATCH(CONCATENATE(Liste!$C$3,$B$2825,$B$3079),Data!$BO:$BO,0)-2,13),IF(INDEX(Tab_DaBa[],MATCH(CONCATENATE(Liste!$C$3,$B$2825,$B$3079),Data!$BO:$BO,0)-2,38)&lt;&gt;"",INDEX(Tab_DaBa[],MATCH(CONCATENATE(Liste!$C$3,$B$2825,$B$3079),Data!$BO:$BO,0)-2,43),"")),"")</f>
        <v>Bez_Lo03_10</v>
      </c>
      <c r="G3091" s="38">
        <f ca="1">IF(H3089="","",4)</f>
        <v>4</v>
      </c>
      <c r="H3091" s="35" t="str">
        <f ca="1">IFERROR(IF(AND(INDEX(Tab_DaBa[],MATCH(CONCATENATE(Liste!$C$3,$B$2825,$B$3079),Data!$BO:$BO,0)-2,43)&lt;&gt;"",INDEX(Tab_DaBa[],MATCH(CONCATENATE(Liste!$C$3,$B$2825,$B$3079),Data!$BO:$BO,0)-2,48)=""),INDEX(Tab_DaBa[],MATCH(CONCATENATE(Liste!$C$3,$B$2825,$B$3079),Data!$BO:$BO,0)-2,13),IF(INDEX(Tab_DaBa[],MATCH(CONCATENATE(Liste!$C$3,$B$2825,$B$3079),Data!$BO:$BO,0)-2,43)&lt;&gt;"",INDEX(Tab_DaBa[],MATCH(CONCATENATE(Liste!$C$3,$B$2825,$B$3079),Data!$BO:$BO,0)-2,48),"")),"")</f>
        <v>Bez_Lo03_10</v>
      </c>
      <c r="I3091" s="38">
        <f ca="1">IF(B3097="","",6)</f>
        <v>6</v>
      </c>
    </row>
    <row r="3092" spans="2:9" s="16" customFormat="1" ht="15.75">
      <c r="B3092" s="35" t="str">
        <f ca="1">IFERROR(IF(AND(INDEX(Tab_DaBa[],MATCH(CONCATENATE(Liste!$C$3,$B$2825,$B$3079),Data!$BO:$BO,0)-2,28)&lt;&gt;"",INDEX(Tab_DaBa[],MATCH(CONCATENATE(Liste!$C$3,$B$2825,$B$3079),Data!$BO:$BO,0)-2,33)=""),"Performance Level: "&amp;INDEX(Tab_DaBa[],MATCH(CONCATENATE(Liste!$C$3,$B$2825,$B$3079),Data!$BO:$BO,0)-2,15),IF(INDEX(Tab_DaBa[],MATCH(CONCATENATE(Liste!$C$3,$B$2825,$B$3079),Data!$BO:$BO,0)-2,28)&lt;&gt;"","Performance Level: "&amp;INDEX(Tab_DaBa[],MATCH(CONCATENATE(Liste!$C$3,$B$2825,$B$3079),Data!$BO:$BO,0)-2,35),"")),"")</f>
        <v>Performance Level: PL_Lo04_10</v>
      </c>
      <c r="C3092" s="39"/>
      <c r="D3092" s="35" t="str">
        <f ca="1">IFERROR(IF(AND(INDEX(Tab_DaBa[],MATCH(CONCATENATE(Liste!$C$3,$B$2825,$B$3079),Data!$BO:$BO,0)-2,33)&lt;&gt;"",INDEX(Tab_DaBa[],MATCH(CONCATENATE(Liste!$C$3,$B$2825,$B$3079),Data!$BO:$BO,0)-2,38)=""),"Performance Level: "&amp;INDEX(Tab_DaBa[],MATCH(CONCATENATE(Liste!$C$3,$B$2825,$B$3079),Data!$BO:$BO,0)-2,15),IF(INDEX(Tab_DaBa[],MATCH(CONCATENATE(Liste!$C$3,$B$2825,$B$3079),Data!$BO:$BO,0)-2,33)&lt;&gt;"","Performance Level: "&amp;INDEX(Tab_DaBa[],MATCH(CONCATENATE(Liste!$C$3,$B$2825,$B$3079),Data!$BO:$BO,0)-2,40),"")),"")</f>
        <v>Performance Level: PL_Lo03_10</v>
      </c>
      <c r="E3092" s="37"/>
      <c r="F3092" s="35" t="str">
        <f ca="1">IFERROR(IF(AND(INDEX(Tab_DaBa[],MATCH(CONCATENATE(Liste!$C$3,$B$2825,$B$3079),Data!$BO:$BO,0)-2,38)&lt;&gt;"",INDEX(Tab_DaBa[],MATCH(CONCATENATE(Liste!$C$3,$B$2825,$B$3079),Data!$BO:$BO,0)-2,43)=""),"Performance Level: "&amp;INDEX(Tab_DaBa[],MATCH(CONCATENATE(Liste!$C$3,$B$2825,$B$3079),Data!$BO:$BO,0)-2,15),IF(INDEX(Tab_DaBa[],MATCH(CONCATENATE(Liste!$C$3,$B$2825,$B$3079),Data!$BO:$BO,0)-2,38)&lt;&gt;"","Performance Level: "&amp;INDEX(Tab_DaBa[],MATCH(CONCATENATE(Liste!$C$3,$B$2825,$B$3079),Data!$BO:$BO,0)-2,45),"")),"")</f>
        <v>Performance Level: PL_Lo03_10</v>
      </c>
      <c r="G3092" s="39"/>
      <c r="H3092" s="35" t="str">
        <f ca="1">IFERROR(IF(AND(INDEX(Tab_DaBa[],MATCH(CONCATENATE(Liste!$C$3,$B$2825,$B$3079),Data!$BO:$BO,0)-2,43)&lt;&gt;"",INDEX(Tab_DaBa[],MATCH(CONCATENATE(Liste!$C$3,$B$2825,$B$3079),Data!$BO:$BO,0)-2,48)=""),"Performance Level: "&amp;INDEX(Tab_DaBa[],MATCH(CONCATENATE(Liste!$C$3,$B$2825,$B$3079),Data!$BO:$BO,0)-2,15),IF(INDEX(Tab_DaBa[],MATCH(CONCATENATE(Liste!$C$3,$B$2825,$B$3079),Data!$BO:$BO,0)-2,43)&lt;&gt;"","Performance Level: "&amp;INDEX(Tab_DaBa[],MATCH(CONCATENATE(Liste!$C$3,$B$2825,$B$3079),Data!$BO:$BO,0)-2,50),"")),"")</f>
        <v>Performance Level: PL_Lo03_10</v>
      </c>
      <c r="I3092" s="39"/>
    </row>
    <row r="3093" spans="2:9" s="16" customFormat="1" ht="15.75">
      <c r="B3093" s="35" t="str">
        <f ca="1">IFERROR(IF(AND(INDEX(Tab_DaBa[],MATCH(CONCATENATE(Liste!$C$3,$B$2825,$B$3079),Data!$BO:$BO,0)-2,28)&lt;&gt;"",INDEX(Tab_DaBa[],MATCH(CONCATENATE(Liste!$C$3,$B$2825,$B$3079),Data!$BO:$BO,0)-2,33)=""),"PFH [1/h] = "&amp;10^9*INDEX(Tab_DaBa[],MATCH(CONCATENATE(Liste!$C$3,$B$2825,$B$3079),Data!$BO:$BO,0)-2,16)&amp;"E-9",IF(INDEX(Tab_DaBa[],MATCH(CONCATENATE(Liste!$C$3,$B$2825,$B$3079),Data!$BO:$BO,0)-2,28)&lt;&gt;"","PFH [1/h] = "&amp;10^9*INDEX(Tab_DaBa[],MATCH(CONCATENATE(Liste!$C$3,$B$2825,$B$3079),Data!$BO:$BO,0)-2,36)&amp;"E-9","")),"")</f>
        <v>PFH [1/h] = 4,19E-9</v>
      </c>
      <c r="C3093" s="39"/>
      <c r="D3093" s="35" t="str">
        <f ca="1">IFERROR(IF(AND(INDEX(Tab_DaBa[],MATCH(CONCATENATE(Liste!$C$3,$B$2825,$B$3079),Data!$BO:$BO,0)-2,33)&lt;&gt;"",INDEX(Tab_DaBa[],MATCH(CONCATENATE(Liste!$C$3,$B$2825,$B$3079),Data!$BO:$BO,0)-2,38)=""),"PFH [1/h] = "&amp;10^9*INDEX(Tab_DaBa[],MATCH(CONCATENATE(Liste!$C$3,$B$2825,$B$3079),Data!$BO:$BO,0)-2,16)&amp;"E-9",IF(INDEX(Tab_DaBa[],MATCH(CONCATENATE(Liste!$C$3,$B$2825,$B$3079),Data!$BO:$BO,0)-2,33)&lt;&gt;"","PFH [1/h] = "&amp;10^9*INDEX(Tab_DaBa[],MATCH(CONCATENATE(Liste!$C$3,$B$2825,$B$3079),Data!$BO:$BO,0)-2,41)&amp;"E-9","")),"")</f>
        <v>PFH [1/h] = 4,19E-9</v>
      </c>
      <c r="E3093" s="37"/>
      <c r="F3093" s="35" t="str">
        <f ca="1">IFERROR(IF(AND(INDEX(Tab_DaBa[],MATCH(CONCATENATE(Liste!$C$3,$B$2825,$B$3079),Data!$BO:$BO,0)-2,38)&lt;&gt;"",INDEX(Tab_DaBa[],MATCH(CONCATENATE(Liste!$C$3,$B$2825,$B$3079),Data!$BO:$BO,0)-2,43)=""),"PFH [1/h] = "&amp;10^9*INDEX(Tab_DaBa[],MATCH(CONCATENATE(Liste!$C$3,$B$2825,$B$3079),Data!$BO:$BO,0)-2,16)&amp;"E-9",IF(INDEX(Tab_DaBa[],MATCH(CONCATENATE(Liste!$C$3,$B$2825,$B$3079),Data!$BO:$BO,0)-2,38)&lt;&gt;"","PFH [1/h] = "&amp;10^9*INDEX(Tab_DaBa[],MATCH(CONCATENATE(Liste!$C$3,$B$2825,$B$3079),Data!$BO:$BO,0)-2,46)&amp;"E-9","")),"")</f>
        <v>PFH [1/h] = 4,19E-9</v>
      </c>
      <c r="G3093" s="39"/>
      <c r="H3093" s="35" t="str">
        <f ca="1">IFERROR(IF(AND(INDEX(Tab_DaBa[],MATCH(CONCATENATE(Liste!$C$3,$B$2825,$B$3079),Data!$BO:$BO,0)-2,43)&lt;&gt;"",INDEX(Tab_DaBa[],MATCH(CONCATENATE(Liste!$C$3,$B$2825,$B$3079),Data!$BO:$BO,0)-2,48)=""),"PFH [1/h] = "&amp;10^9*INDEX(Tab_DaBa[],MATCH(CONCATENATE(Liste!$C$3,$B$2825,$B$3079),Data!$BO:$BO,0)-2,16)&amp;"E-9",IF(INDEX(Tab_DaBa[],MATCH(CONCATENATE(Liste!$C$3,$B$2825,$B$3079),Data!$BO:$BO,0)-2,43)&lt;&gt;"","PFH [1/h] = "&amp;10^9*INDEX(Tab_DaBa[],MATCH(CONCATENATE(Liste!$C$3,$B$2825,$B$3079),Data!$BO:$BO,0)-2,51)&amp;"E-9","")),"")</f>
        <v>PFH [1/h] = 4,19E-9</v>
      </c>
      <c r="I3093" s="39"/>
    </row>
    <row r="3094" spans="2:9" s="16" customFormat="1">
      <c r="B3094" s="33"/>
      <c r="C3094" s="33"/>
      <c r="D3094" s="33"/>
      <c r="E3094" s="33"/>
      <c r="F3094" s="33"/>
      <c r="G3094" s="33"/>
      <c r="H3094" s="33"/>
      <c r="I3094" s="33"/>
    </row>
    <row r="3095" spans="2:9" s="16" customFormat="1" ht="15.75">
      <c r="B3095" s="38">
        <f ca="1">IF(B3097="","",6)</f>
        <v>6</v>
      </c>
      <c r="C3095" s="33"/>
      <c r="D3095" s="38">
        <f ca="1">IF(B3097="","",3)</f>
        <v>3</v>
      </c>
      <c r="E3095" s="33"/>
      <c r="F3095" s="38">
        <f ca="1">IF(B3097="","",3)</f>
        <v>3</v>
      </c>
      <c r="G3095" s="33"/>
      <c r="H3095" s="38">
        <f ca="1">IF(B3097="","",3)</f>
        <v>3</v>
      </c>
      <c r="I3095" s="33"/>
    </row>
    <row r="3096" spans="2:9" s="16" customFormat="1" ht="15.75">
      <c r="B3096" s="39"/>
      <c r="C3096" s="33"/>
      <c r="D3096" s="33"/>
      <c r="E3096" s="33"/>
      <c r="F3096" s="33"/>
      <c r="G3096" s="33"/>
      <c r="H3096" s="33"/>
      <c r="I3096" s="33"/>
    </row>
    <row r="3097" spans="2:9" s="16" customFormat="1" ht="15.75">
      <c r="B3097" s="35" t="str">
        <f ca="1">IFERROR(IF(AND(INDEX(Tab_DaBa[],MATCH(CONCATENATE(Liste!$C$3,$B$2825,$B$3079),Data!$BO:$BO,0)-2,48)&lt;&gt;"",INDEX(Tab_DaBa[],MATCH(CONCATENATE(Liste!$C$3,$B$2825,$B$3079),Data!$BO:$BO,0)-2,53)=0),INDEX(Tab_DaBa[],MATCH(CONCATENATE(Liste!$C$3,$B$2825,$B$3079),Data!$BO:$BO,0)-2,14),IF(INDEX(Tab_DaBa[],MATCH(CONCATENATE(Liste!$C$3,$B$2825,$B$3079),Data!$BO:$BO,0)-2,48)&lt;&gt;"",INDEX(Tab_DaBa[],MATCH(CONCATENATE(Liste!$C$3,$B$2825,$B$3079),Data!$BO:$BO,0)-2,54),"")),"")</f>
        <v>Logik 08</v>
      </c>
      <c r="C3097" s="39"/>
      <c r="D3097" s="35" t="str">
        <f ca="1">IFERROR(IF(AND(INDEX(Tab_DaBa[],MATCH(CONCATENATE(Liste!$C$3,$B$2825,$B$3079),Data!$BO:$BO,0)-2,53)&lt;&gt;"",INDEX(Tab_DaBa[],MATCH(CONCATENATE(Liste!$C$3,$B$2825,$B$3079),Data!$BO:$BO,0)-2,58)=0),INDEX(Tab_DaBa[],MATCH(CONCATENATE(Liste!$C$3,$B$2825,$B$3079),Data!$BO:$BO,0)-2,14),IF(INDEX(Tab_DaBa[],MATCH(CONCATENATE(Liste!$C$3,$B$2825,$B$3079),Data!$BO:$BO,0)-2,53)&lt;&gt;"",INDEX(Tab_DaBa[],MATCH(CONCATENATE(Liste!$C$3,$B$2825,$B$3079),Data!$BO:$BO,0)-2,59),"")),"")</f>
        <v>Logik 09</v>
      </c>
      <c r="E3097" s="33"/>
      <c r="F3097" s="35" t="str">
        <f ca="1">IFERROR(IF(AND(INDEX(Tab_DaBa[],MATCH(CONCATENATE(Liste!$C$3,$B$2825,$B$3079),Data!$BO:$BO,0)-2,58)&lt;&gt;"",INDEX(Tab_DaBa[],MATCH(CONCATENATE(Liste!$C$3,$B$2825,$B$3079),Data!$BO:$BO,0)-2,63)=0),INDEX(Tab_DaBa[],MATCH(CONCATENATE(Liste!$C$3,$B$2825,$B$3079),Data!$BO:$BO,0)-2,14),IF(INDEX(Tab_DaBa[],MATCH(CONCATENATE(Liste!$C$3,$B$2825,$B$3079),Data!$BO:$BO,0)-2,58)&lt;&gt;"",INDEX(Tab_DaBa[],MATCH(CONCATENATE(Liste!$C$3,$B$2825,$B$3079),Data!$BO:$BO,0)-2,64),"")),"")</f>
        <v>Logik 10</v>
      </c>
      <c r="G3097" s="39"/>
      <c r="H3097" s="35" t="str">
        <f ca="1">IFERROR(IF(INDEX(Tab_DaBa[],MATCH(CONCATENATE(Liste!$C$3,$B$2825,$B$3079),Data!$BO:$BO,0)-2,63)&lt;&gt;"",INDEX(Tab_DaBa[],MATCH(CONCATENATE(Liste!$C$3,$B$2825,$B$3079),Data!$BO:$BO,0)-2,14),""),"")</f>
        <v>Ausgang</v>
      </c>
    </row>
    <row r="3098" spans="2:9" s="16" customFormat="1" ht="15.75">
      <c r="B3098" s="35" t="str">
        <f ca="1">IFERROR(IF(AND(INDEX(Tab_DaBa[],MATCH(CONCATENATE(Liste!$C$3,$B$2825,$B$3079),Data!$BO:$BO,0)-2,48)&lt;&gt;"",INDEX(Tab_DaBa[],MATCH(CONCATENATE(Liste!$C$3,$B$2825,$B$3079),Data!$BO:$BO,0)-2,53)=0),INDEX(Tab_DaBa[],MATCH(CONCATENATE(Liste!$C$3,$B$2825,$B$3079),Data!$BO:$BO,0)-2,12),IF(INDEX(Tab_DaBa[],MATCH(CONCATENATE(Liste!$C$3,$B$2825,$B$3079),Data!$BO:$BO,0)-2,48)&lt;&gt;"",INDEX(Tab_DaBa[],MATCH(CONCATENATE(Liste!$C$3,$B$2825,$B$3079),Data!$BO:$BO,0)-2,52),"")),"")</f>
        <v>Lo03-88_10</v>
      </c>
      <c r="C3098" s="39"/>
      <c r="D3098" s="35" t="str">
        <f ca="1">IFERROR(IF(AND(INDEX(Tab_DaBa[],MATCH(CONCATENATE(Liste!$C$3,$B$2825,$B$3079),Data!$BO:$BO,0)-2,53)&lt;&gt;"",INDEX(Tab_DaBa[],MATCH(CONCATENATE(Liste!$C$3,$B$2825,$B$3079),Data!$BO:$BO,0)-2,58)=0),INDEX(Tab_DaBa[],MATCH(CONCATENATE(Liste!$C$3,$B$2825,$B$3079),Data!$BO:$BO,0)-2,12),IF(INDEX(Tab_DaBa[],MATCH(CONCATENATE(Liste!$C$3,$B$2825,$B$3079),Data!$BO:$BO,0)-2,53)&lt;&gt;"",INDEX(Tab_DaBa[],MATCH(CONCATENATE(Liste!$C$3,$B$2825,$B$3079),Data!$BO:$BO,0)-2,57),"")),"")</f>
        <v>Lo03-33_10</v>
      </c>
      <c r="E3098" s="37"/>
      <c r="F3098" s="35" t="str">
        <f ca="1">IFERROR(IF(AND(INDEX(Tab_DaBa[],MATCH(CONCATENATE(Liste!$C$3,$B$2825,$B$3079),Data!$BO:$BO,0)-2,58)&lt;&gt;"",INDEX(Tab_DaBa[],MATCH(CONCATENATE(Liste!$C$3,$B$2825,$B$3079),Data!$BO:$BO,0)-2,63)=0),INDEX(Tab_DaBa[],MATCH(CONCATENATE(Liste!$C$3,$B$2825,$B$3079),Data!$BO:$BO,0)-2,12),IF(INDEX(Tab_DaBa[],MATCH(CONCATENATE(Liste!$C$3,$B$2825,$B$3079),Data!$BO:$BO,0)-2,58)&lt;&gt;"",INDEX(Tab_DaBa[],MATCH(CONCATENATE(Liste!$C$3,$B$2825,$B$3079),Data!$BO:$BO,0)-2,62),"")),"")</f>
        <v>Lo03-10_10</v>
      </c>
      <c r="G3098" s="39"/>
      <c r="H3098" s="35" t="str">
        <f ca="1">IFERROR(IF(INDEX(Tab_DaBa[],MATCH(CONCATENATE(Liste!$C$3,$B$2825,$B$3079),Data!$BO:$BO,0)-2,63)&lt;&gt;"",INDEX(Tab_DaBa[],MATCH(CONCATENATE(Liste!$C$3,$B$2825,$B$3079),Data!$BO:$BO,0)-2,12),""),"")</f>
        <v>aaaa-44_10</v>
      </c>
    </row>
    <row r="3099" spans="2:9" s="16" customFormat="1" ht="15.75">
      <c r="B3099" s="35" t="str">
        <f ca="1">IFERROR(IF(AND(INDEX(Tab_DaBa[],MATCH(CONCATENATE(Liste!$C$3,$B$2825,$B$3079),Data!$BO:$BO,0)-2,48)&lt;&gt;"",INDEX(Tab_DaBa[],MATCH(CONCATENATE(Liste!$C$3,$B$2825,$B$3079),Data!$BO:$BO,0)-2,53)=""),INDEX(Tab_DaBa[],MATCH(CONCATENATE(Liste!$C$3,$B$2825,$B$3079),Data!$BO:$BO,0)-2,13),IF(INDEX(Tab_DaBa[],MATCH(CONCATENATE(Liste!$C$3,$B$2825,$B$3079),Data!$BO:$BO,0)-2,48)&lt;&gt;"",INDEX(Tab_DaBa[],MATCH(CONCATENATE(Liste!$C$3,$B$2825,$B$3079),Data!$BO:$BO,0)-2,53),"")),"")</f>
        <v>Bez_Lo03_10</v>
      </c>
      <c r="C3099" s="38">
        <f ca="1">IF(D3097="","",4)</f>
        <v>4</v>
      </c>
      <c r="D3099" s="35" t="str">
        <f ca="1">IFERROR(IF(AND(INDEX(Tab_DaBa[],MATCH(CONCATENATE(Liste!$C$3,$B$2825,$B$3079),Data!$BO:$BO,0)-2,53)&lt;&gt;"",INDEX(Tab_DaBa[],MATCH(CONCATENATE(Liste!$C$3,$B$2825,$B$3079),Data!$BO:$BO,0)-2,58)=""),INDEX(Tab_DaBa[],MATCH(CONCATENATE(Liste!$C$3,$B$2825,$B$3079),Data!$BO:$BO,0)-2,13),IF(INDEX(Tab_DaBa[],MATCH(CONCATENATE(Liste!$C$3,$B$2825,$B$3079),Data!$BO:$BO,0)-2,53)&lt;&gt;"",INDEX(Tab_DaBa[],MATCH(CONCATENATE(Liste!$C$3,$B$2825,$B$3079),Data!$BO:$BO,0)-2,58),"")),"")</f>
        <v>Bez_Lo03_10</v>
      </c>
      <c r="E3099" s="38">
        <f ca="1">IF(F3097="","",4)</f>
        <v>4</v>
      </c>
      <c r="F3099" s="35" t="str">
        <f ca="1">IFERROR(IF(AND(INDEX(Tab_DaBa[],MATCH(CONCATENATE(Liste!$C$3,$B$2825,$B$3079),Data!$BO:$BO,0)-2,58)&lt;&gt;"",INDEX(Tab_DaBa[],MATCH(CONCATENATE(Liste!$C$3,$B$2825,$B$3079),Data!$BO:$BO,0)-2,63)=""),INDEX(Tab_DaBa[],MATCH(CONCATENATE(Liste!$C$3,$B$2825,$B$3079),Data!$BO:$BO,0)-2,13),IF(INDEX(Tab_DaBa[],MATCH(CONCATENATE(Liste!$C$3,$B$2825,$B$3079),Data!$BO:$BO,0)-2,58)&lt;&gt;"",INDEX(Tab_DaBa[],MATCH(CONCATENATE(Liste!$C$3,$B$2825,$B$3079),Data!$BO:$BO,0)-2,63),"")),"")</f>
        <v>Bez_Lo03_10</v>
      </c>
      <c r="G3099" s="38">
        <f ca="1">IF(H3097="","",4)</f>
        <v>4</v>
      </c>
      <c r="H3099" s="35" t="str">
        <f ca="1">IFERROR(IF(INDEX(Tab_DaBa[],MATCH(CONCATENATE(Liste!$C$3,$B$2825,$B$3079),Data!$BO:$BO,0)-2,63)&lt;&gt;"",INDEX(Tab_DaBa[],MATCH(CONCATENATE(Liste!$C$3,$B$2825,$B$3079),Data!$BO:$BO,0)-2,13),""),"")</f>
        <v>Bez_Aus4_10</v>
      </c>
    </row>
    <row r="3100" spans="2:9" s="16" customFormat="1" ht="15.75">
      <c r="B3100" s="35" t="str">
        <f ca="1">IFERROR(IF(AND(INDEX(Tab_DaBa[],MATCH(CONCATENATE(Liste!$C$3,$B$2825,$B$3079),Data!$BO:$BO,0)-2,48)&lt;&gt;"",INDEX(Tab_DaBa[],MATCH(CONCATENATE(Liste!$C$3,$B$2825,$B$3079),Data!$BO:$BO,0)-2,53)=""),"Performance Level: "&amp;INDEX(Tab_DaBa[],MATCH(CONCATENATE(Liste!$C$3,$B$2825,$B$3079),Data!$BO:$BO,0)-2,15),IF(INDEX(Tab_DaBa[],MATCH(CONCATENATE(Liste!$C$3,$B$2825,$B$3079),Data!$BO:$BO,0)-2,48)&lt;&gt;"","Performance Level: "&amp;INDEX(Tab_DaBa[],MATCH(CONCATENATE(Liste!$C$3,$B$2825,$B$3079),Data!$BO:$BO,0)-2,55),"")),"")</f>
        <v>Performance Level: PL_Lo03_10</v>
      </c>
      <c r="C3100" s="39"/>
      <c r="D3100" s="35" t="str">
        <f ca="1">IFERROR(IF(AND(INDEX(Tab_DaBa[],MATCH(CONCATENATE(Liste!$C$3,$B$2825,$B$3079),Data!$BO:$BO,0)-2,53)&lt;&gt;"",INDEX(Tab_DaBa[],MATCH(CONCATENATE(Liste!$C$3,$B$2825,$B$3079),Data!$BO:$BO,0)-2,58)=""),"Performance Level: "&amp;INDEX(Tab_DaBa[],MATCH(CONCATENATE(Liste!$C$3,$B$2825,$B$3079),Data!$BO:$BO,0)-2,15),IF(INDEX(Tab_DaBa[],MATCH(CONCATENATE(Liste!$C$3,$B$2825,$B$3079),Data!$BO:$BO,0)-2,53)&lt;&gt;"","Performance Level: "&amp;INDEX(Tab_DaBa[],MATCH(CONCATENATE(Liste!$C$3,$B$2825,$B$3079),Data!$BO:$BO,0)-2,60),"")),"")</f>
        <v>Performance Level: PL_Lo03_10</v>
      </c>
      <c r="E3100" s="37"/>
      <c r="F3100" s="35" t="str">
        <f ca="1">IFERROR(IF(AND(INDEX(Tab_DaBa[],MATCH(CONCATENATE(Liste!$C$3,$B$2825,$B$3079),Data!$BO:$BO,0)-2,58)&lt;&gt;"",INDEX(Tab_DaBa[],MATCH(CONCATENATE(Liste!$C$3,$B$2825,$B$3079),Data!$BO:$BO,0)-2,63)=""),"Performance Level: "&amp;INDEX(Tab_DaBa[],MATCH(CONCATENATE(Liste!$C$3,$B$2825,$B$3079),Data!$BO:$BO,0)-2,15),IF(INDEX(Tab_DaBa[],MATCH(CONCATENATE(Liste!$C$3,$B$2825,$B$3079),Data!$BO:$BO,0)-2,58)&lt;&gt;"","Performance Level: "&amp;INDEX(Tab_DaBa[],MATCH(CONCATENATE(Liste!$C$3,$B$2825,$B$3079),Data!$BO:$BO,0)-2,65),"")),"")</f>
        <v>Performance Level: PL_Lo03_10</v>
      </c>
      <c r="G3100" s="39"/>
      <c r="H3100" s="35" t="str">
        <f ca="1">IFERROR(IF(INDEX(Tab_DaBa[],MATCH(CONCATENATE(Liste!$C$3,$B$2825,$B$3079),Data!$BO:$BO,0)-2,63)&lt;&gt;"","Performance Level: "&amp;INDEX(Tab_DaBa[],MATCH(CONCATENATE(Liste!$C$3,$B$2825,$B$3079),Data!$BO:$BO,0)-2,15),""),"")</f>
        <v>Performance Level: PL_Aus4_10</v>
      </c>
    </row>
    <row r="3101" spans="2:9" s="16" customFormat="1" ht="15.75">
      <c r="B3101" s="35" t="str">
        <f ca="1">IFERROR(IF(AND(INDEX(Tab_DaBa[],MATCH(CONCATENATE(Liste!$C$3,$B$2825,$B$3079),Data!$BO:$BO,0)-2,48)&lt;&gt;"",INDEX(Tab_DaBa[],MATCH(CONCATENATE(Liste!$C$3,$B$2825,$B$3079),Data!$BO:$BO,0)-2,53)=""),"PFH [1/h] = "&amp;10^9*INDEX(Tab_DaBa[],MATCH(CONCATENATE(Liste!$C$3,$B$2825,$B$3079),Data!$BO:$BO,0)-2,16)&amp;"E-9",IF(INDEX(Tab_DaBa[],MATCH(CONCATENATE(Liste!$C$3,$B$2825,$B$3079),Data!$BO:$BO,0)-2,48)&lt;&gt;"","PFH [1/h] = "&amp;10^9*INDEX(Tab_DaBa[],MATCH(CONCATENATE(Liste!$C$3,$B$2825,$B$3079),Data!$BO:$BO,0)-2,56)&amp;"E-9","")),"")</f>
        <v>PFH [1/h] = 4,19E-9</v>
      </c>
      <c r="C3101" s="39"/>
      <c r="D3101" s="35" t="str">
        <f ca="1">IFERROR(IF(AND(INDEX(Tab_DaBa[],MATCH(CONCATENATE(Liste!$C$3,$B$2825,$B$3079),Data!$BO:$BO,0)-2,53)&lt;&gt;"",INDEX(Tab_DaBa[],MATCH(CONCATENATE(Liste!$C$3,$B$2825,$B$3079),Data!$BO:$BO,0)-2,58)=""),"PFH [1/h] = "&amp;10^9*INDEX(Tab_DaBa[],MATCH(CONCATENATE(Liste!$C$3,$B$2825,$B$3079),Data!$BO:$BO,0)-2,16)&amp;"E-9",IF(INDEX(Tab_DaBa[],MATCH(CONCATENATE(Liste!$C$3,$B$2825,$B$3079),Data!$BO:$BO,0)-2,53)&lt;&gt;"","PFH [1/h] = "&amp;10^9*INDEX(Tab_DaBa[],MATCH(CONCATENATE(Liste!$C$3,$B$2825,$B$3079),Data!$BO:$BO,0)-2,61)&amp;"E-9","")),"")</f>
        <v>PFH [1/h] = 4,19E-9</v>
      </c>
      <c r="E3101" s="37"/>
      <c r="F3101" s="35" t="str">
        <f ca="1">IFERROR(IF(AND(INDEX(Tab_DaBa[],MATCH(CONCATENATE(Liste!$C$3,$B$2825,$B$3079),Data!$BO:$BO,0)-2,58)&lt;&gt;"",INDEX(Tab_DaBa[],MATCH(CONCATENATE(Liste!$C$3,$B$2825,$B$3079),Data!$BO:$BO,0)-2,63)=""),"PFH [1/h] = "&amp;10^9*INDEX(Tab_DaBa[],MATCH(CONCATENATE(Liste!$C$3,$B$2825,$B$3079),Data!$BO:$BO,0)-2,16)&amp;"E-9",IF(INDEX(Tab_DaBa[],MATCH(CONCATENATE(Liste!$C$3,$B$2825,$B$3079),Data!$BO:$BO,0)-2,58)&lt;&gt;"","PFH [1/h] = "&amp;10^9*INDEX(Tab_DaBa[],MATCH(CONCATENATE(Liste!$C$3,$B$2825,$B$3079),Data!$BO:$BO,0)-2,66)&amp;"E-9","")),"")</f>
        <v>PFH [1/h] = 4,19E-9</v>
      </c>
      <c r="G3101" s="39"/>
      <c r="H3101" s="35" t="str">
        <f ca="1">IFERROR(IF(INDEX(Tab_DaBa[],MATCH(CONCATENATE(Liste!$C$3,$B$2825,$B$3079),Data!$BO:$BO,0)-2,63)&lt;&gt;"","PFH [1/h] = "&amp;10^9*INDEX(Tab_DaBa[],MATCH(CONCATENATE(Liste!$C$3,$B$2825,$B$3079),Data!$BO:$BO,0)-2,16)&amp;"E-9",""),"")</f>
        <v>PFH [1/h] = 24,7E-9</v>
      </c>
    </row>
    <row r="3102" spans="2:9" s="16" customFormat="1"/>
    <row r="3103" spans="2:9" s="16" customFormat="1">
      <c r="B3103" s="43" t="str">
        <f ca="1">IF(D3103="","","Erforderlich")</f>
        <v>Erforderlich</v>
      </c>
      <c r="D3103" s="44" t="str">
        <f ca="1">IFERROR("Performance Level: "&amp;INDEX(Tab_DaBa[],MATCH(CONCATENATE(Liste!$C$3,$B$2825,$B$3079),Data!$BO:$BO,0)-2,4),"")</f>
        <v>Performance Level: PLr_ges4_10</v>
      </c>
    </row>
    <row r="3104" spans="2:9" s="16" customFormat="1">
      <c r="B3104" s="45"/>
    </row>
    <row r="3105" spans="2:9" s="16" customFormat="1">
      <c r="B3105" s="46" t="str">
        <f ca="1">IF(D3105="","","Erreicht")</f>
        <v>Erreicht</v>
      </c>
      <c r="D3105" s="47" t="str">
        <f ca="1">IFERROR("Performance Level: "&amp;INDEX(Tab_DaBa[],MATCH(CONCATENATE(Liste!$C$3,$B$2825,$B$3079),Data!$BO:$BO,0)-2,5)&amp;"          PFH [1/h] = "&amp;10^9*INDEX(Tab_DaBa[],MATCH(CONCATENATE(Liste!$C$3,$B$2825,$B$3079),Data!$BO:$BO,0)-2,6)&amp;"E-9","")</f>
        <v>Performance Level: Pl_ges4_10          PFH [1/h] = 71,7E-9</v>
      </c>
    </row>
    <row r="3106" spans="2:9" s="16" customFormat="1"/>
    <row r="3107" spans="2:9" s="16" customFormat="1">
      <c r="B3107" s="55" t="str">
        <f ca="1">Liste!$D$15</f>
        <v>12. Test12</v>
      </c>
    </row>
    <row r="3108" spans="2:9" s="16" customFormat="1"/>
    <row r="3109" spans="2:9" s="16" customFormat="1">
      <c r="B3109" s="42" t="str">
        <f ca="1">IFERROR(IF(1&gt;COUNTIF(Data!$BP:$BP,CONCATENATE(Liste!$C$3,$B$3107)),"",INDEX(Tab_DaBa[],MATCH(CONCATENATE(Liste!$C$3,$B$3107),Data!$BP:$BP,0)-2,3)),"")</f>
        <v>12.1 Test12 (E+1L+A)</v>
      </c>
    </row>
    <row r="3110" spans="2:9" s="16" customFormat="1"/>
    <row r="3111" spans="2:9" s="16" customFormat="1" ht="15.75">
      <c r="B3111" s="35" t="str">
        <f ca="1">IFERROR(INDEX(Tab_DaBa[],MATCH(CONCATENATE(Liste!$C$3,$B$3107,$B$3109),Data!$BO:$BO,0)-2,9),"")</f>
        <v>Eingang</v>
      </c>
      <c r="C3111" s="54"/>
      <c r="D3111" s="35" t="str">
        <f ca="1">IFERROR(IF(INDEX(Tab_DaBa[],MATCH(CONCATENATE(Liste!$C$3,$B$3107,$B$3109),Data!$BO:$BO,0)-2,18)=0,INDEX(Tab_DaBa[],MATCH(CONCATENATE(Liste!$C$3,$B$3107,$B$3109),Data!$BO:$BO,0)-2,14),INDEX(Tab_DaBa[],MATCH(CONCATENATE(Liste!$C$3,$B$3107,$B$3109),Data!$BO:$BO,0)-2,19)),"")</f>
        <v>Logik 01</v>
      </c>
      <c r="E3111" s="33"/>
      <c r="F3111" s="35" t="str">
        <f ca="1">IFERROR(IF(AND(INDEX(Tab_DaBa[],MATCH(CONCATENATE(Liste!$C$3,$B$3107,$B$3109),Data!$BO:$BO,0)-2,18)&lt;&gt;"",INDEX(Tab_DaBa[],MATCH(CONCATENATE(Liste!$C$3,$B$3107,$B$3109),Data!$BO:$BO,0)-2,23)=0),INDEX(Tab_DaBa[],MATCH(CONCATENATE(Liste!$C$3,$B$3107,$B$3109),Data!$BO:$BO,0)-2,14),IF(INDEX(Tab_DaBa[],MATCH(CONCATENATE(Liste!$C$3,$B$3107,$B$3109),Data!$BO:$BO,0)-2,23)&lt;&gt;"",INDEX(Tab_DaBa[],MATCH(CONCATENATE(Liste!$C$3,$B$3107,$B$3109),Data!$BO:$BO,0)-2,24),"")),"")</f>
        <v>Ausgang</v>
      </c>
      <c r="G3111" s="39"/>
      <c r="H3111" s="35" t="str">
        <f ca="1">IFERROR(IF(AND(INDEX(Tab_DaBa[],MATCH(CONCATENATE(Liste!$C$3,$B$3107,$B$3109),Data!$BO:$BO,0)-2,23)&lt;&gt;"",INDEX(Tab_DaBa[],MATCH(CONCATENATE(Liste!$C$3,$B$3107,$B$3109),Data!$BO:$BO,0)-2,28)=0),INDEX(Tab_DaBa[],MATCH(CONCATENATE(Liste!$C$3,$B$3107,$B$3109),Data!$BO:$BO,0)-2,14),IF(INDEX(Tab_DaBa[],MATCH(CONCATENATE(Liste!$C$3,$B$3107,$B$3109),Data!$BO:$BO,0)-2,23)&lt;&gt;"",INDEX(Tab_DaBa[],MATCH(CONCATENATE(Liste!$C$3,$B$3107,$B$3109),Data!$BO:$BO,0)-2,29),"")),"")</f>
        <v/>
      </c>
      <c r="I3111" s="39"/>
    </row>
    <row r="3112" spans="2:9" s="16" customFormat="1" ht="15.75">
      <c r="B3112" s="35" t="str">
        <f ca="1">IFERROR(INDEX(Tab_DaBa[],MATCH(CONCATENATE(Liste!$C$3,$B$3107,$B$3109),Data!$BO:$BO,0)-2,7),"")</f>
        <v>eeee-33_1</v>
      </c>
      <c r="C3112" s="54"/>
      <c r="D3112" s="35" t="str">
        <f ca="1">IFERROR(IF(INDEX(Tab_DaBa[],MATCH(CONCATENATE(Liste!$C$3,$B$3107,$B$3109),Data!$BO:$BO,0)-2,18)="",INDEX(Tab_DaBa[],MATCH(CONCATENATE(Liste!$C$3,$B$3107,$B$3109),Data!$BO:$BO,0)-2,12),INDEX(Tab_DaBa[],MATCH(CONCATENATE(Liste!$C$3,$B$3107,$B$3109),Data!$BO:$BO,0)-2,17)),"")</f>
        <v>Log01-04_01</v>
      </c>
      <c r="E3112" s="36"/>
      <c r="F3112" s="35" t="str">
        <f ca="1">IFERROR(IF(AND(INDEX(Tab_DaBa[],MATCH(CONCATENATE(Liste!$C$3,$B$3107,$B$3109),Data!$BO:$BO,0)-2,18)&lt;&gt;"",INDEX(Tab_DaBa[],MATCH(CONCATENATE(Liste!$C$3,$B$3107,$B$3109),Data!$BO:$BO,0)-2,23)=0),INDEX(Tab_DaBa[],MATCH(CONCATENATE(Liste!$C$3,$B$3107,$B$3109),Data!$BO:$BO,0)-2,12),IF(INDEX(Tab_DaBa[],MATCH(CONCATENATE(Liste!$C$3,$B$3107,$B$3109),Data!$BO:$BO,0)-2,23)&lt;&gt;"",INDEX(Tab_DaBa[],MATCH(CONCATENATE(Liste!$C$3,$B$3107,$B$3109),Data!$BO:$BO,0)-2,22),"")),"")</f>
        <v>aaaa-44_1</v>
      </c>
      <c r="G3112" s="39"/>
      <c r="H3112" s="35" t="str">
        <f ca="1">IFERROR(IF(AND(INDEX(Tab_DaBa[],MATCH(CONCATENATE(Liste!$C$3,$B$3107,$B$3109),Data!$BO:$BO,0)-2,23)&lt;&gt;"",INDEX(Tab_DaBa[],MATCH(CONCATENATE(Liste!$C$3,$B$3107,$B$3109),Data!$BO:$BO,0)-2,28)=0),INDEX(Tab_DaBa[],MATCH(CONCATENATE(Liste!$C$3,$B$3107,$B$3109),Data!$BO:$BO,0)-2,12),IF(INDEX(Tab_DaBa[],MATCH(CONCATENATE(Liste!$C$3,$B$3107,$B$3109),Data!$BO:$BO,0)-2,23)&lt;&gt;"",INDEX(Tab_DaBa[],MATCH(CONCATENATE(Liste!$C$3,$B$3107,$B$3109),Data!$BO:$BO,0)-2,27),"")),"")</f>
        <v/>
      </c>
      <c r="I3112" s="39"/>
    </row>
    <row r="3113" spans="2:9" s="16" customFormat="1" ht="15.75">
      <c r="B3113" s="35" t="str">
        <f ca="1">IFERROR(INDEX(Tab_DaBa[],MATCH(CONCATENATE(Liste!$C$3,$B$3107,$B$3109),Data!$BO:$BO,0)-2,8),"")</f>
        <v>Bez_Ein4_1</v>
      </c>
      <c r="C3113" s="40">
        <f ca="1">IF(D3111="","",4)</f>
        <v>4</v>
      </c>
      <c r="D3113" s="35" t="str">
        <f ca="1">IFERROR(IF(INDEX(Tab_DaBa[],MATCH(CONCATENATE(Liste!$C$3,$B$3107,$B$3109),Data!$BO:$BO,0)-2,18)="",INDEX(Tab_DaBa[],MATCH(CONCATENATE(Liste!$C$3,$B$3107,$B$3109),Data!$BO:$BO,0)-2,13),INDEX(Tab_DaBa[],MATCH(CONCATENATE(Liste!$C$3,$B$3107,$B$3109),Data!$BO:$BO,0)-2,18)),"")</f>
        <v>Bez_Log01_04_01</v>
      </c>
      <c r="E3113" s="40">
        <f ca="1">IF(F3111="","",4)</f>
        <v>4</v>
      </c>
      <c r="F3113" s="35" t="str">
        <f ca="1">IFERROR(IF(AND(INDEX(Tab_DaBa[],MATCH(CONCATENATE(Liste!$C$3,$B$3107,$B$3109),Data!$BO:$BO,0)-2,18)&lt;&gt;"",INDEX(Tab_DaBa[],MATCH(CONCATENATE(Liste!$C$3,$B$3107,$B$3109),Data!$BO:$BO,0)-2,23)=""),INDEX(Tab_DaBa[],MATCH(CONCATENATE(Liste!$C$3,$B$3107,$B$3109),Data!$BO:$BO,0)-2,13),IF(INDEX(Tab_DaBa[],MATCH(CONCATENATE(Liste!$C$3,$B$3107,$B$3109),Data!$BO:$BO,0)-2,23)&lt;&gt;"",INDEX(Tab_DaBa[],MATCH(CONCATENATE(Liste!$C$3,$B$3107,$B$3109),Data!$BO:$BO,0)-2,23),"")),"")</f>
        <v>Bez_Aus4_1</v>
      </c>
      <c r="G3113" s="38" t="str">
        <f ca="1">IF(H3111="","",4)</f>
        <v/>
      </c>
      <c r="H3113" s="35" t="str">
        <f ca="1">IFERROR(IF(AND(INDEX(Tab_DaBa[],MATCH(CONCATENATE(Liste!$C$3,$B$3107,$B$3109),Data!$BO:$BO,0)-2,23)&lt;&gt;"",INDEX(Tab_DaBa[],MATCH(CONCATENATE(Liste!$C$3,$B$3107,$B$3109),Data!$BO:$BO,0)-2,28)=""),INDEX(Tab_DaBa[],MATCH(CONCATENATE(Liste!$C$3,$B$3107,$B$3109),Data!$BO:$BO,0)-2,13),IF(INDEX(Tab_DaBa[],MATCH(CONCATENATE(Liste!$C$3,$B$3107,$B$3109),Data!$BO:$BO,0)-2,23)&lt;&gt;"",INDEX(Tab_DaBa[],MATCH(CONCATENATE(Liste!$C$3,$B$3107,$B$3109),Data!$BO:$BO,0)-2,28),"")),"")</f>
        <v/>
      </c>
      <c r="I3113" s="38" t="str">
        <f ca="1">IF(B3119="","",6)</f>
        <v/>
      </c>
    </row>
    <row r="3114" spans="2:9" s="16" customFormat="1" ht="15.75">
      <c r="B3114" s="35" t="str">
        <f ca="1">IFERROR("Performance Level: "&amp;INDEX(Tab_DaBa[],MATCH(CONCATENATE(Liste!$C$3,$B$3107,$B$3109),Data!$BO:$BO,0)-2,10),"")</f>
        <v>Performance Level: PL_Ein4_1</v>
      </c>
      <c r="C3114" s="54"/>
      <c r="D3114" s="35" t="str">
        <f ca="1">IFERROR(IF(INDEX(Tab_DaBa[],MATCH(CONCATENATE(Liste!$C$3,$B$3107,$B$3109),Data!$BO:$BO,0)-2,18)="","Performance Level: "&amp;INDEX(Tab_DaBa[],MATCH(CONCATENATE(Liste!$C$3,$B$3107,$B$3109),Data!$BO:$BO,0)-2,15),"Performance Level: "&amp;INDEX(Tab_DaBa[],MATCH(CONCATENATE(Liste!$C$3,$B$3107,$B$3109),Data!$BO:$BO,0)-2,20)),"")</f>
        <v>Performance Level: PL_Log01_04_01</v>
      </c>
      <c r="E3114" s="36"/>
      <c r="F3114" s="35" t="str">
        <f ca="1">IFERROR(IF(AND(INDEX(Tab_DaBa[],MATCH(CONCATENATE(Liste!$C$3,$B$3107,$B$3109),Data!$BO:$BO,0)-2,18)&lt;&gt;"",INDEX(Tab_DaBa[],MATCH(CONCATENATE(Liste!$C$3,$B$3107,$B$3109),Data!$BO:$BO,0)-2,23)=""),"Performance Level: "&amp;INDEX(Tab_DaBa[],MATCH(CONCATENATE(Liste!$C$3,$B$3107,$B$3109),Data!$BO:$BO,0)-2,15),IF(INDEX(Tab_DaBa[],MATCH(CONCATENATE(Liste!$C$3,$B$3107,$B$3109),Data!$BO:$BO,0)-2,23)&lt;&gt;"","Performance Level: "&amp;INDEX(Tab_DaBa[],MATCH(CONCATENATE(Liste!$C$3,$B$3107,$B$3109),Data!$BO:$BO,0)-2,25),"")),"")</f>
        <v>Performance Level: PL_Aus4_1</v>
      </c>
      <c r="G3114" s="39"/>
      <c r="H3114" s="35" t="str">
        <f ca="1">IFERROR(IF(AND(INDEX(Tab_DaBa[],MATCH(CONCATENATE(Liste!$C$3,$B$3107,$B$3109),Data!$BO:$BO,0)-2,23)&lt;&gt;"",INDEX(Tab_DaBa[],MATCH(CONCATENATE(Liste!$C$3,$B$3107,$B$3109),Data!$BO:$BO,0)-2,28)=""),"Performance Level: "&amp;INDEX(Tab_DaBa[],MATCH(CONCATENATE(Liste!$C$3,$B$3107,$B$3109),Data!$BO:$BO,0)-2,15),IF(INDEX(Tab_DaBa[],MATCH(CONCATENATE(Liste!$C$3,$B$3107,$B$3109),Data!$BO:$BO,0)-2,23)&lt;&gt;"","Performance Level: "&amp;INDEX(Tab_DaBa[],MATCH(CONCATENATE(Liste!$C$3,$B$3107,$B$3109),Data!$BO:$BO,0)-2,30),"")),"")</f>
        <v/>
      </c>
      <c r="I3114" s="38"/>
    </row>
    <row r="3115" spans="2:9" s="16" customFormat="1" ht="15.75">
      <c r="B3115" s="53" t="str">
        <f ca="1">IFERROR("PFH [1/h] = "&amp;10^9*INDEX(Tab_DaBa[],MATCH(CONCATENATE(Liste!$C$3,$B$3107,$B$3109),Data!$BO:$BO,0)-2,11)&amp;"E-9","")</f>
        <v>PFH [1/h] = 42,9E-9</v>
      </c>
      <c r="C3115" s="54"/>
      <c r="D3115" s="35" t="str">
        <f ca="1">IFERROR(IF(INDEX(Tab_DaBa[],MATCH(CONCATENATE(Liste!$C$3,$B$3107,$B$3109),Data!$BO:$BO,0)-2,18)="","PFH [1/h] = "&amp;10^9*INDEX(Tab_DaBa[],MATCH(CONCATENATE(Liste!$C$3,$B$3107,$B$3109),Data!$BO:$BO,0)-2,16)&amp;"E-9","PFH [1/h] = "&amp;10^9*INDEX(Tab_DaBa[],MATCH(CONCATENATE(Liste!$C$3,$B$3107,$B$3109),Data!$BO:$BO,0)-2,21)&amp;"E-9"),"")</f>
        <v>PFH [1/h] = 4,19E-9</v>
      </c>
      <c r="E3115" s="36"/>
      <c r="F3115" s="35" t="str">
        <f ca="1">IFERROR(IF(AND(INDEX(Tab_DaBa[],MATCH(CONCATENATE(Liste!$C$3,$B$3107,$B$3109),Data!$BO:$BO,0)-2,18)&lt;&gt;"",INDEX(Tab_DaBa[],MATCH(CONCATENATE(Liste!$C$3,$B$3107,$B$3109),Data!$BO:$BO,0)-2,23)=""),"PFH [1/h] = "&amp;10^9*INDEX(Tab_DaBa[],MATCH(CONCATENATE(Liste!$C$3,$B$3107,$B$3109),Data!$BO:$BO,0)-2,16)&amp;"E-9",IF(INDEX(Tab_DaBa[],MATCH(CONCATENATE(Liste!$C$3,$B$3107,$B$3109),Data!$BO:$BO,0)-2,23)&lt;&gt;"","PFH [1/h] = "&amp;10^9*INDEX(Tab_DaBa[],MATCH(CONCATENATE(Liste!$C$3,$B$3107,$B$3109),Data!$BO:$BO,0)-2,26)&amp;"E-9","")),"")</f>
        <v>PFH [1/h] = 24,7E-9</v>
      </c>
      <c r="G3115" s="39"/>
      <c r="H3115" s="35" t="str">
        <f ca="1">IFERROR(IF(AND(INDEX(Tab_DaBa[],MATCH(CONCATENATE(Liste!$C$3,$B$3107,$B$3109),Data!$BO:$BO,0)-2,23)&lt;&gt;"",INDEX(Tab_DaBa[],MATCH(CONCATENATE(Liste!$C$3,$B$3107,$B$3109),Data!$BO:$BO,0)-2,28)=""),"PFH [1/h] = "&amp;10^9*INDEX(Tab_DaBa[],MATCH(CONCATENATE(Liste!$C$3,$B$3107,$B$3109),Data!$BO:$BO,0)-2,16)&amp;"E-9",IF(INDEX(Tab_DaBa[],MATCH(CONCATENATE(Liste!$C$3,$B$3107,$B$3109),Data!$BO:$BO,0)-2,23)&lt;&gt;"","PFH [1/h] = "&amp;10^9*INDEX(Tab_DaBa[],MATCH(CONCATENATE(Liste!$C$3,$B$3107,$B$3109),Data!$BO:$BO,0)-2,31)&amp;"E-9","")),"")</f>
        <v/>
      </c>
      <c r="I3115" s="39"/>
    </row>
    <row r="3116" spans="2:9" s="16" customFormat="1">
      <c r="B3116" s="33"/>
      <c r="C3116" s="34"/>
      <c r="D3116" s="33"/>
      <c r="E3116" s="33"/>
      <c r="F3116" s="33"/>
      <c r="G3116" s="33"/>
      <c r="H3116" s="33"/>
      <c r="I3116" s="33"/>
    </row>
    <row r="3117" spans="2:9" s="16" customFormat="1" ht="15.75">
      <c r="B3117" s="38" t="str">
        <f ca="1">IF(B3119="","",6)</f>
        <v/>
      </c>
      <c r="C3117" s="34"/>
      <c r="D3117" s="38" t="str">
        <f ca="1">IF(B3119="","",3)</f>
        <v/>
      </c>
      <c r="E3117" s="33"/>
      <c r="F3117" s="38" t="str">
        <f ca="1">IF(B3119="","",3)</f>
        <v/>
      </c>
      <c r="G3117" s="33"/>
      <c r="H3117" s="38" t="str">
        <f ca="1">IF(B3119="","",3)</f>
        <v/>
      </c>
      <c r="I3117" s="33"/>
    </row>
    <row r="3118" spans="2:9" s="16" customFormat="1" ht="15.75">
      <c r="B3118" s="39"/>
      <c r="C3118" s="33"/>
      <c r="D3118" s="33"/>
      <c r="E3118" s="33"/>
      <c r="F3118" s="33"/>
      <c r="G3118" s="33"/>
      <c r="H3118" s="33"/>
      <c r="I3118" s="33"/>
    </row>
    <row r="3119" spans="2:9" s="16" customFormat="1" ht="15.75">
      <c r="B3119" s="35" t="str">
        <f ca="1">IFERROR(IF(AND(INDEX(Tab_DaBa[],MATCH(CONCATENATE(Liste!$C$3,$B$3107,$B$3109),Data!$BO:$BO,0)-2,28)&lt;&gt;"",INDEX(Tab_DaBa[],MATCH(CONCATENATE(Liste!$C$3,$B$3107,$B$3109),Data!$BO:$BO,0)-2,33)=0),INDEX(Tab_DaBa[],MATCH(CONCATENATE(Liste!$C$3,$B$3107,$B$3109),Data!$BO:$BO,0)-2,14),IF(INDEX(Tab_DaBa[],MATCH(CONCATENATE(Liste!$C$3,$B$3107,$B$3109),Data!$BO:$BO,0)-2,28)&lt;&gt;"",INDEX(Tab_DaBa[],MATCH(CONCATENATE(Liste!$C$3,$B$3107,$B$3109),Data!$BO:$BO,0)-2,34),"")),"")</f>
        <v/>
      </c>
      <c r="C3119" s="39"/>
      <c r="D3119" s="35" t="str">
        <f ca="1">IFERROR(IF(AND(INDEX(Tab_DaBa[],MATCH(CONCATENATE(Liste!$C$3,$B$3107,$B$3109),Data!$BO:$BO,0)-2,33)&lt;&gt;"",INDEX(Tab_DaBa[],MATCH(CONCATENATE(Liste!$C$3,$B$3107,$B$3109),Data!$BO:$BO,0)-2,38)=0),INDEX(Tab_DaBa[],MATCH(CONCATENATE(Liste!$C$3,$B$3107,$B$3109),Data!$BO:$BO,0)-2,14),IF(INDEX(Tab_DaBa[],MATCH(CONCATENATE(Liste!$C$3,$B$3107,$B$3109),Data!$BO:$BO,0)-2,33)&lt;&gt;"",INDEX(Tab_DaBa[],MATCH(CONCATENATE(Liste!$C$3,$B$3107,$B$3109),Data!$BO:$BO,0)-2,39),"")),"")</f>
        <v/>
      </c>
      <c r="E3119" s="33"/>
      <c r="F3119" s="35" t="str">
        <f ca="1">IFERROR(IF(AND(INDEX(Tab_DaBa[],MATCH(CONCATENATE(Liste!$C$3,$B$3107,$B$3109),Data!$BO:$BO,0)-2,38)&lt;&gt;"",INDEX(Tab_DaBa[],MATCH(CONCATENATE(Liste!$C$3,$B$3107,$B$3109),Data!$BO:$BO,0)-2,43)=0),INDEX(Tab_DaBa[],MATCH(CONCATENATE(Liste!$C$3,$B$3107,$B$3109),Data!$BO:$BO,0)-2,14),IF(INDEX(Tab_DaBa[],MATCH(CONCATENATE(Liste!$C$3,$B$3107,$B$3109),Data!$BO:$BO,0)-2,38)&lt;&gt;"",INDEX(Tab_DaBa[],MATCH(CONCATENATE(Liste!$C$3,$B$3107,$B$3109),Data!$BO:$BO,0)-2,44),"")),"")</f>
        <v/>
      </c>
      <c r="G3119" s="39"/>
      <c r="H3119" s="35" t="str">
        <f ca="1">IFERROR(IF(AND(INDEX(Tab_DaBa[],MATCH(CONCATENATE(Liste!$C$3,$B$3107,$B$3109),Data!$BO:$BO,0)-2,43)&lt;&gt;"",INDEX(Tab_DaBa[],MATCH(CONCATENATE(Liste!$C$3,$B$3107,$B$3109),Data!$BO:$BO,0)-2,48)=0),INDEX(Tab_DaBa[],MATCH(CONCATENATE(Liste!$C$3,$B$3107,$B$3109),Data!$BO:$BO,0)-2,14),IF(INDEX(Tab_DaBa[],MATCH(CONCATENATE(Liste!$C$3,$B$3107,$B$3109),Data!$BO:$BO,0)-2,43)&lt;&gt;"",INDEX(Tab_DaBa[],MATCH(CONCATENATE(Liste!$C$3,$B$3107,$B$3109),Data!$BO:$BO,0)-2,49),"")),"")</f>
        <v/>
      </c>
      <c r="I3119" s="39"/>
    </row>
    <row r="3120" spans="2:9" s="16" customFormat="1" ht="15.75">
      <c r="B3120" s="35" t="str">
        <f ca="1">IFERROR(IF(AND(INDEX(Tab_DaBa[],MATCH(CONCATENATE(Liste!$C$3,$B$3107,$B$3109),Data!$BO:$BO,0)-2,28)&lt;&gt;"",INDEX(Tab_DaBa[],MATCH(CONCATENATE(Liste!$C$3,$B$3107,$B$3109),Data!$BO:$BO,0)-2,33)=0),INDEX(Tab_DaBa[],MATCH(CONCATENATE(Liste!$C$3,$B$3107,$B$3109),Data!$BO:$BO,0)-2,12),IF(INDEX(Tab_DaBa[],MATCH(CONCATENATE(Liste!$C$3,$B$3107,$B$3109),Data!$BO:$BO,0)-2,28)&lt;&gt;"",INDEX(Tab_DaBa[],MATCH(CONCATENATE(Liste!$C$3,$B$3107,$B$3109),Data!$BO:$BO,0)-2,32),"")),"")</f>
        <v/>
      </c>
      <c r="C3120" s="39"/>
      <c r="D3120" s="35" t="str">
        <f ca="1">IFERROR(IF(AND(INDEX(Tab_DaBa[],MATCH(CONCATENATE(Liste!$C$3,$B$3107,$B$3109),Data!$BO:$BO,0)-2,33)&lt;&gt;"",INDEX(Tab_DaBa[],MATCH(CONCATENATE(Liste!$C$3,$B$3107,$B$3109),Data!$BO:$BO,0)-2,38)=0),INDEX(Tab_DaBa[],MATCH(CONCATENATE(Liste!$C$3,$B$3107,$B$3109),Data!$BO:$BO,0)-2,12),IF(INDEX(Tab_DaBa[],MATCH(CONCATENATE(Liste!$C$3,$B$3107,$B$3109),Data!$BO:$BO,0)-2,33)&lt;&gt;"",INDEX(Tab_DaBa[],MATCH(CONCATENATE(Liste!$C$3,$B$3107,$B$3109),Data!$BO:$BO,0)-2,37),"")),"")</f>
        <v/>
      </c>
      <c r="E3120" s="37"/>
      <c r="F3120" s="35" t="str">
        <f ca="1">IFERROR(IF(AND(INDEX(Tab_DaBa[],MATCH(CONCATENATE(Liste!$C$3,$B$3107,$B$3109),Data!$BO:$BO,0)-2,38)&lt;&gt;"",INDEX(Tab_DaBa[],MATCH(CONCATENATE(Liste!$C$3,$B$3107,$B$3109),Data!$BO:$BO,0)-2,43)=0),INDEX(Tab_DaBa[],MATCH(CONCATENATE(Liste!$C$3,$B$3107,$B$3109),Data!$BO:$BO,0)-2,12),IF(INDEX(Tab_DaBa[],MATCH(CONCATENATE(Liste!$C$3,$B$3107,$B$3109),Data!$BO:$BO,0)-2,38)&lt;&gt;"",INDEX(Tab_DaBa[],MATCH(CONCATENATE(Liste!$C$3,$B$3107,$B$3109),Data!$BO:$BO,0)-2,42),"")),"")</f>
        <v/>
      </c>
      <c r="G3120" s="39"/>
      <c r="H3120" s="35" t="str">
        <f ca="1">IFERROR(IF(AND(INDEX(Tab_DaBa[],MATCH(CONCATENATE(Liste!$C$3,$B$3107,$B$3109),Data!$BO:$BO,0)-2,43)&lt;&gt;"",INDEX(Tab_DaBa[],MATCH(CONCATENATE(Liste!$C$3,$B$3107,$B$3109),Data!$BO:$BO,0)-2,48)=0),INDEX(Tab_DaBa[],MATCH(CONCATENATE(Liste!$C$3,$B$3107,$B$3109),Data!$BO:$BO,0)-2,12),IF(INDEX(Tab_DaBa[],MATCH(CONCATENATE(Liste!$C$3,$B$3107,$B$3109),Data!$BO:$BO,0)-2,43)&lt;&gt;"",INDEX(Tab_DaBa[],MATCH(CONCATENATE(Liste!$C$3,$B$3107,$B$3109),Data!$BO:$BO,0)-2,47),"")),"")</f>
        <v/>
      </c>
      <c r="I3120" s="39"/>
    </row>
    <row r="3121" spans="2:9" s="16" customFormat="1" ht="15.75">
      <c r="B3121" s="35" t="str">
        <f ca="1">IFERROR(IF(AND(INDEX(Tab_DaBa[],MATCH(CONCATENATE(Liste!$C$3,$B$3107,$B$3109),Data!$BO:$BO,0)-2,28)&lt;&gt;"",INDEX(Tab_DaBa[],MATCH(CONCATENATE(Liste!$C$3,$B$3107,$B$3109),Data!$BO:$BO,0)-2,33)=""),INDEX(Tab_DaBa[],MATCH(CONCATENATE(Liste!$C$3,$B$3107,$B$3109),Data!$BO:$BO,0)-2,13),IF(INDEX(Tab_DaBa[],MATCH(CONCATENATE(Liste!$C$3,$B$3107,$B$3109),Data!$BO:$BO,0)-2,28)&lt;&gt;"",INDEX(Tab_DaBa[],MATCH(CONCATENATE(Liste!$C$3,$B$3107,$B$3109),Data!$BO:$BO,0)-2,33),"")),"")</f>
        <v/>
      </c>
      <c r="C3121" s="38" t="str">
        <f ca="1">IF(D3119="","",4)</f>
        <v/>
      </c>
      <c r="D3121" s="35" t="str">
        <f ca="1">IFERROR(IF(AND(INDEX(Tab_DaBa[],MATCH(CONCATENATE(Liste!$C$3,$B$3107,$B$3109),Data!$BO:$BO,0)-2,33)&lt;&gt;"",INDEX(Tab_DaBa[],MATCH(CONCATENATE(Liste!$C$3,$B$3107,$B$3109),Data!$BO:$BO,0)-2,38)=""),INDEX(Tab_DaBa[],MATCH(CONCATENATE(Liste!$C$3,$B$3107,$B$3109),Data!$BO:$BO,0)-2,13),IF(INDEX(Tab_DaBa[],MATCH(CONCATENATE(Liste!$C$3,$B$3107,$B$3109),Data!$BO:$BO,0)-2,33)&lt;&gt;"",INDEX(Tab_DaBa[],MATCH(CONCATENATE(Liste!$C$3,$B$3107,$B$3109),Data!$BO:$BO,0)-2,38),"")),"")</f>
        <v/>
      </c>
      <c r="E3121" s="38" t="str">
        <f ca="1">IF(F3119="","",4)</f>
        <v/>
      </c>
      <c r="F3121" s="35" t="str">
        <f ca="1">IFERROR(IF(AND(INDEX(Tab_DaBa[],MATCH(CONCATENATE(Liste!$C$3,$B$3107,$B$3109),Data!$BO:$BO,0)-2,38)&lt;&gt;"",INDEX(Tab_DaBa[],MATCH(CONCATENATE(Liste!$C$3,$B$3107,$B$3109),Data!$BO:$BO,0)-2,43)=""),INDEX(Tab_DaBa[],MATCH(CONCATENATE(Liste!$C$3,$B$3107,$B$3109),Data!$BO:$BO,0)-2,13),IF(INDEX(Tab_DaBa[],MATCH(CONCATENATE(Liste!$C$3,$B$3107,$B$3109),Data!$BO:$BO,0)-2,38)&lt;&gt;"",INDEX(Tab_DaBa[],MATCH(CONCATENATE(Liste!$C$3,$B$3107,$B$3109),Data!$BO:$BO,0)-2,43),"")),"")</f>
        <v/>
      </c>
      <c r="G3121" s="38" t="str">
        <f ca="1">IF(H3119="","",4)</f>
        <v/>
      </c>
      <c r="H3121" s="35" t="str">
        <f ca="1">IFERROR(IF(AND(INDEX(Tab_DaBa[],MATCH(CONCATENATE(Liste!$C$3,$B$3107,$B$3109),Data!$BO:$BO,0)-2,43)&lt;&gt;"",INDEX(Tab_DaBa[],MATCH(CONCATENATE(Liste!$C$3,$B$3107,$B$3109),Data!$BO:$BO,0)-2,48)=""),INDEX(Tab_DaBa[],MATCH(CONCATENATE(Liste!$C$3,$B$3107,$B$3109),Data!$BO:$BO,0)-2,13),IF(INDEX(Tab_DaBa[],MATCH(CONCATENATE(Liste!$C$3,$B$3107,$B$3109),Data!$BO:$BO,0)-2,43)&lt;&gt;"",INDEX(Tab_DaBa[],MATCH(CONCATENATE(Liste!$C$3,$B$3107,$B$3109),Data!$BO:$BO,0)-2,48),"")),"")</f>
        <v/>
      </c>
      <c r="I3121" s="38" t="str">
        <f ca="1">IF(B3127="","",6)</f>
        <v/>
      </c>
    </row>
    <row r="3122" spans="2:9" s="16" customFormat="1" ht="15.75">
      <c r="B3122" s="35" t="str">
        <f ca="1">IFERROR(IF(AND(INDEX(Tab_DaBa[],MATCH(CONCATENATE(Liste!$C$3,$B$3107,$B$3109),Data!$BO:$BO,0)-2,28)&lt;&gt;"",INDEX(Tab_DaBa[],MATCH(CONCATENATE(Liste!$C$3,$B$3107,$B$3109),Data!$BO:$BO,0)-2,33)=""),"Performance Level: "&amp;INDEX(Tab_DaBa[],MATCH(CONCATENATE(Liste!$C$3,$B$3107,$B$3109),Data!$BO:$BO,0)-2,15),IF(INDEX(Tab_DaBa[],MATCH(CONCATENATE(Liste!$C$3,$B$3107,$B$3109),Data!$BO:$BO,0)-2,28)&lt;&gt;"","Performance Level: "&amp;INDEX(Tab_DaBa[],MATCH(CONCATENATE(Liste!$C$3,$B$3107,$B$3109),Data!$BO:$BO,0)-2,35),"")),"")</f>
        <v/>
      </c>
      <c r="C3122" s="39"/>
      <c r="D3122" s="35" t="str">
        <f ca="1">IFERROR(IF(AND(INDEX(Tab_DaBa[],MATCH(CONCATENATE(Liste!$C$3,$B$3107,$B$3109),Data!$BO:$BO,0)-2,33)&lt;&gt;"",INDEX(Tab_DaBa[],MATCH(CONCATENATE(Liste!$C$3,$B$3107,$B$3109),Data!$BO:$BO,0)-2,38)=""),"Performance Level: "&amp;INDEX(Tab_DaBa[],MATCH(CONCATENATE(Liste!$C$3,$B$3107,$B$3109),Data!$BO:$BO,0)-2,15),IF(INDEX(Tab_DaBa[],MATCH(CONCATENATE(Liste!$C$3,$B$3107,$B$3109),Data!$BO:$BO,0)-2,33)&lt;&gt;"","Performance Level: "&amp;INDEX(Tab_DaBa[],MATCH(CONCATENATE(Liste!$C$3,$B$3107,$B$3109),Data!$BO:$BO,0)-2,40),"")),"")</f>
        <v/>
      </c>
      <c r="E3122" s="37"/>
      <c r="F3122" s="35" t="str">
        <f ca="1">IFERROR(IF(AND(INDEX(Tab_DaBa[],MATCH(CONCATENATE(Liste!$C$3,$B$3107,$B$3109),Data!$BO:$BO,0)-2,38)&lt;&gt;"",INDEX(Tab_DaBa[],MATCH(CONCATENATE(Liste!$C$3,$B$3107,$B$3109),Data!$BO:$BO,0)-2,43)=""),"Performance Level: "&amp;INDEX(Tab_DaBa[],MATCH(CONCATENATE(Liste!$C$3,$B$3107,$B$3109),Data!$BO:$BO,0)-2,15),IF(INDEX(Tab_DaBa[],MATCH(CONCATENATE(Liste!$C$3,$B$3107,$B$3109),Data!$BO:$BO,0)-2,38)&lt;&gt;"","Performance Level: "&amp;INDEX(Tab_DaBa[],MATCH(CONCATENATE(Liste!$C$3,$B$3107,$B$3109),Data!$BO:$BO,0)-2,45),"")),"")</f>
        <v/>
      </c>
      <c r="G3122" s="39"/>
      <c r="H3122" s="35" t="str">
        <f ca="1">IFERROR(IF(AND(INDEX(Tab_DaBa[],MATCH(CONCATENATE(Liste!$C$3,$B$3107,$B$3109),Data!$BO:$BO,0)-2,43)&lt;&gt;"",INDEX(Tab_DaBa[],MATCH(CONCATENATE(Liste!$C$3,$B$3107,$B$3109),Data!$BO:$BO,0)-2,48)=""),"Performance Level: "&amp;INDEX(Tab_DaBa[],MATCH(CONCATENATE(Liste!$C$3,$B$3107,$B$3109),Data!$BO:$BO,0)-2,15),IF(INDEX(Tab_DaBa[],MATCH(CONCATENATE(Liste!$C$3,$B$3107,$B$3109),Data!$BO:$BO,0)-2,43)&lt;&gt;"","Performance Level: "&amp;INDEX(Tab_DaBa[],MATCH(CONCATENATE(Liste!$C$3,$B$3107,$B$3109),Data!$BO:$BO,0)-2,50),"")),"")</f>
        <v/>
      </c>
      <c r="I3122" s="39"/>
    </row>
    <row r="3123" spans="2:9" s="16" customFormat="1" ht="15.75">
      <c r="B3123" s="35" t="str">
        <f ca="1">IFERROR(IF(AND(INDEX(Tab_DaBa[],MATCH(CONCATENATE(Liste!$C$3,$B$3107,$B$3109),Data!$BO:$BO,0)-2,28)&lt;&gt;"",INDEX(Tab_DaBa[],MATCH(CONCATENATE(Liste!$C$3,$B$3107,$B$3109),Data!$BO:$BO,0)-2,33)=""),"PFH [1/h] = "&amp;10^9*INDEX(Tab_DaBa[],MATCH(CONCATENATE(Liste!$C$3,$B$3107,$B$3109),Data!$BO:$BO,0)-2,16)&amp;"E-9",IF(INDEX(Tab_DaBa[],MATCH(CONCATENATE(Liste!$C$3,$B$3107,$B$3109),Data!$BO:$BO,0)-2,28)&lt;&gt;"","PFH [1/h] = "&amp;10^9*INDEX(Tab_DaBa[],MATCH(CONCATENATE(Liste!$C$3,$B$3107,$B$3109),Data!$BO:$BO,0)-2,36)&amp;"E-9","")),"")</f>
        <v/>
      </c>
      <c r="C3123" s="39"/>
      <c r="D3123" s="35" t="str">
        <f ca="1">IFERROR(IF(AND(INDEX(Tab_DaBa[],MATCH(CONCATENATE(Liste!$C$3,$B$3107,$B$3109),Data!$BO:$BO,0)-2,33)&lt;&gt;"",INDEX(Tab_DaBa[],MATCH(CONCATENATE(Liste!$C$3,$B$3107,$B$3109),Data!$BO:$BO,0)-2,38)=""),"PFH [1/h] = "&amp;10^9*INDEX(Tab_DaBa[],MATCH(CONCATENATE(Liste!$C$3,$B$3107,$B$3109),Data!$BO:$BO,0)-2,16)&amp;"E-9",IF(INDEX(Tab_DaBa[],MATCH(CONCATENATE(Liste!$C$3,$B$3107,$B$3109),Data!$BO:$BO,0)-2,33)&lt;&gt;"","PFH [1/h] = "&amp;10^9*INDEX(Tab_DaBa[],MATCH(CONCATENATE(Liste!$C$3,$B$3107,$B$3109),Data!$BO:$BO,0)-2,41)&amp;"E-9","")),"")</f>
        <v/>
      </c>
      <c r="E3123" s="37"/>
      <c r="F3123" s="35" t="str">
        <f ca="1">IFERROR(IF(AND(INDEX(Tab_DaBa[],MATCH(CONCATENATE(Liste!$C$3,$B$3107,$B$3109),Data!$BO:$BO,0)-2,38)&lt;&gt;"",INDEX(Tab_DaBa[],MATCH(CONCATENATE(Liste!$C$3,$B$3107,$B$3109),Data!$BO:$BO,0)-2,43)=""),"PFH [1/h] = "&amp;10^9*INDEX(Tab_DaBa[],MATCH(CONCATENATE(Liste!$C$3,$B$3107,$B$3109),Data!$BO:$BO,0)-2,16)&amp;"E-9",IF(INDEX(Tab_DaBa[],MATCH(CONCATENATE(Liste!$C$3,$B$3107,$B$3109),Data!$BO:$BO,0)-2,38)&lt;&gt;"","PFH [1/h] = "&amp;10^9*INDEX(Tab_DaBa[],MATCH(CONCATENATE(Liste!$C$3,$B$3107,$B$3109),Data!$BO:$BO,0)-2,46)&amp;"E-9","")),"")</f>
        <v/>
      </c>
      <c r="G3123" s="39"/>
      <c r="H3123" s="35" t="str">
        <f ca="1">IFERROR(IF(AND(INDEX(Tab_DaBa[],MATCH(CONCATENATE(Liste!$C$3,$B$3107,$B$3109),Data!$BO:$BO,0)-2,43)&lt;&gt;"",INDEX(Tab_DaBa[],MATCH(CONCATENATE(Liste!$C$3,$B$3107,$B$3109),Data!$BO:$BO,0)-2,48)=""),"PFH [1/h] = "&amp;10^9*INDEX(Tab_DaBa[],MATCH(CONCATENATE(Liste!$C$3,$B$3107,$B$3109),Data!$BO:$BO,0)-2,16)&amp;"E-9",IF(INDEX(Tab_DaBa[],MATCH(CONCATENATE(Liste!$C$3,$B$3107,$B$3109),Data!$BO:$BO,0)-2,43)&lt;&gt;"","PFH [1/h] = "&amp;10^9*INDEX(Tab_DaBa[],MATCH(CONCATENATE(Liste!$C$3,$B$3107,$B$3109),Data!$BO:$BO,0)-2,51)&amp;"E-9","")),"")</f>
        <v/>
      </c>
      <c r="I3123" s="39"/>
    </row>
    <row r="3124" spans="2:9" s="16" customFormat="1">
      <c r="B3124" s="33"/>
      <c r="C3124" s="33"/>
      <c r="D3124" s="33"/>
      <c r="E3124" s="33"/>
      <c r="F3124" s="33"/>
      <c r="G3124" s="33"/>
      <c r="H3124" s="33"/>
      <c r="I3124" s="33"/>
    </row>
    <row r="3125" spans="2:9" s="16" customFormat="1" ht="15.75">
      <c r="B3125" s="38" t="str">
        <f ca="1">IF(B3127="","",6)</f>
        <v/>
      </c>
      <c r="C3125" s="33"/>
      <c r="D3125" s="38" t="str">
        <f ca="1">IF(B3127="","",3)</f>
        <v/>
      </c>
      <c r="E3125" s="33"/>
      <c r="F3125" s="38" t="str">
        <f ca="1">IF(B3127="","",3)</f>
        <v/>
      </c>
      <c r="G3125" s="33"/>
      <c r="H3125" s="38" t="str">
        <f ca="1">IF(B3127="","",3)</f>
        <v/>
      </c>
      <c r="I3125" s="33"/>
    </row>
    <row r="3126" spans="2:9" s="16" customFormat="1" ht="15.75">
      <c r="B3126" s="39"/>
      <c r="C3126" s="33"/>
      <c r="D3126" s="33"/>
      <c r="E3126" s="33"/>
      <c r="F3126" s="33"/>
      <c r="G3126" s="33"/>
      <c r="H3126" s="33"/>
      <c r="I3126" s="33"/>
    </row>
    <row r="3127" spans="2:9" s="16" customFormat="1" ht="15.75">
      <c r="B3127" s="35" t="str">
        <f ca="1">IFERROR(IF(AND(INDEX(Tab_DaBa[],MATCH(CONCATENATE(Liste!$C$3,$B$3107,$B$3109),Data!$BO:$BO,0)-2,48)&lt;&gt;"",INDEX(Tab_DaBa[],MATCH(CONCATENATE(Liste!$C$3,$B$3107,$B$3109),Data!$BO:$BO,0)-2,53)=0),INDEX(Tab_DaBa[],MATCH(CONCATENATE(Liste!$C$3,$B$3107,$B$3109),Data!$BO:$BO,0)-2,14),IF(INDEX(Tab_DaBa[],MATCH(CONCATENATE(Liste!$C$3,$B$3107,$B$3109),Data!$BO:$BO,0)-2,48)&lt;&gt;"",INDEX(Tab_DaBa[],MATCH(CONCATENATE(Liste!$C$3,$B$3107,$B$3109),Data!$BO:$BO,0)-2,54),"")),"")</f>
        <v/>
      </c>
      <c r="C3127" s="39"/>
      <c r="D3127" s="35" t="str">
        <f ca="1">IFERROR(IF(AND(INDEX(Tab_DaBa[],MATCH(CONCATENATE(Liste!$C$3,$B$3107,$B$3109),Data!$BO:$BO,0)-2,53)&lt;&gt;"",INDEX(Tab_DaBa[],MATCH(CONCATENATE(Liste!$C$3,$B$3107,$B$3109),Data!$BO:$BO,0)-2,58)=0),INDEX(Tab_DaBa[],MATCH(CONCATENATE(Liste!$C$3,$B$3107,$B$3109),Data!$BO:$BO,0)-2,14),IF(INDEX(Tab_DaBa[],MATCH(CONCATENATE(Liste!$C$3,$B$3107,$B$3109),Data!$BO:$BO,0)-2,53)&lt;&gt;"",INDEX(Tab_DaBa[],MATCH(CONCATENATE(Liste!$C$3,$B$3107,$B$3109),Data!$BO:$BO,0)-2,59),"")),"")</f>
        <v/>
      </c>
      <c r="E3127" s="33"/>
      <c r="F3127" s="35" t="str">
        <f ca="1">IFERROR(IF(AND(INDEX(Tab_DaBa[],MATCH(CONCATENATE(Liste!$C$3,$B$3107,$B$3109),Data!$BO:$BO,0)-2,58)&lt;&gt;"",INDEX(Tab_DaBa[],MATCH(CONCATENATE(Liste!$C$3,$B$3107,$B$3109),Data!$BO:$BO,0)-2,63)=0),INDEX(Tab_DaBa[],MATCH(CONCATENATE(Liste!$C$3,$B$3107,$B$3109),Data!$BO:$BO,0)-2,14),IF(INDEX(Tab_DaBa[],MATCH(CONCATENATE(Liste!$C$3,$B$3107,$B$3109),Data!$BO:$BO,0)-2,58)&lt;&gt;"",INDEX(Tab_DaBa[],MATCH(CONCATENATE(Liste!$C$3,$B$3107,$B$3109),Data!$BO:$BO,0)-2,64),"")),"")</f>
        <v/>
      </c>
      <c r="G3127" s="39"/>
      <c r="H3127" s="35" t="str">
        <f ca="1">IFERROR(IF(INDEX(Tab_DaBa[],MATCH(CONCATENATE(Liste!$C$3,$B$3107,$B$3109),Data!$BO:$BO,0)-2,63)&lt;&gt;"",INDEX(Tab_DaBa[],MATCH(CONCATENATE(Liste!$C$3,$B$3107,$B$3109),Data!$BO:$BO,0)-2,14),""),"")</f>
        <v/>
      </c>
    </row>
    <row r="3128" spans="2:9" s="16" customFormat="1" ht="15.75">
      <c r="B3128" s="35" t="str">
        <f ca="1">IFERROR(IF(AND(INDEX(Tab_DaBa[],MATCH(CONCATENATE(Liste!$C$3,$B$3107,$B$3109),Data!$BO:$BO,0)-2,48)&lt;&gt;"",INDEX(Tab_DaBa[],MATCH(CONCATENATE(Liste!$C$3,$B$3107,$B$3109),Data!$BO:$BO,0)-2,53)=0),INDEX(Tab_DaBa[],MATCH(CONCATENATE(Liste!$C$3,$B$3107,$B$3109),Data!$BO:$BO,0)-2,12),IF(INDEX(Tab_DaBa[],MATCH(CONCATENATE(Liste!$C$3,$B$3107,$B$3109),Data!$BO:$BO,0)-2,48)&lt;&gt;"",INDEX(Tab_DaBa[],MATCH(CONCATENATE(Liste!$C$3,$B$3107,$B$3109),Data!$BO:$BO,0)-2,52),"")),"")</f>
        <v/>
      </c>
      <c r="C3128" s="39"/>
      <c r="D3128" s="35" t="str">
        <f ca="1">IFERROR(IF(AND(INDEX(Tab_DaBa[],MATCH(CONCATENATE(Liste!$C$3,$B$3107,$B$3109),Data!$BO:$BO,0)-2,53)&lt;&gt;"",INDEX(Tab_DaBa[],MATCH(CONCATENATE(Liste!$C$3,$B$3107,$B$3109),Data!$BO:$BO,0)-2,58)=0),INDEX(Tab_DaBa[],MATCH(CONCATENATE(Liste!$C$3,$B$3107,$B$3109),Data!$BO:$BO,0)-2,12),IF(INDEX(Tab_DaBa[],MATCH(CONCATENATE(Liste!$C$3,$B$3107,$B$3109),Data!$BO:$BO,0)-2,53)&lt;&gt;"",INDEX(Tab_DaBa[],MATCH(CONCATENATE(Liste!$C$3,$B$3107,$B$3109),Data!$BO:$BO,0)-2,57),"")),"")</f>
        <v/>
      </c>
      <c r="E3128" s="37"/>
      <c r="F3128" s="35" t="str">
        <f ca="1">IFERROR(IF(AND(INDEX(Tab_DaBa[],MATCH(CONCATENATE(Liste!$C$3,$B$3107,$B$3109),Data!$BO:$BO,0)-2,58)&lt;&gt;"",INDEX(Tab_DaBa[],MATCH(CONCATENATE(Liste!$C$3,$B$3107,$B$3109),Data!$BO:$BO,0)-2,63)=0),INDEX(Tab_DaBa[],MATCH(CONCATENATE(Liste!$C$3,$B$3107,$B$3109),Data!$BO:$BO,0)-2,12),IF(INDEX(Tab_DaBa[],MATCH(CONCATENATE(Liste!$C$3,$B$3107,$B$3109),Data!$BO:$BO,0)-2,58)&lt;&gt;"",INDEX(Tab_DaBa[],MATCH(CONCATENATE(Liste!$C$3,$B$3107,$B$3109),Data!$BO:$BO,0)-2,62),"")),"")</f>
        <v/>
      </c>
      <c r="G3128" s="39"/>
      <c r="H3128" s="35" t="str">
        <f ca="1">IFERROR(IF(INDEX(Tab_DaBa[],MATCH(CONCATENATE(Liste!$C$3,$B$3107,$B$3109),Data!$BO:$BO,0)-2,63)&lt;&gt;"",INDEX(Tab_DaBa[],MATCH(CONCATENATE(Liste!$C$3,$B$3107,$B$3109),Data!$BO:$BO,0)-2,12),""),"")</f>
        <v/>
      </c>
    </row>
    <row r="3129" spans="2:9" s="16" customFormat="1" ht="15.75">
      <c r="B3129" s="35" t="str">
        <f ca="1">IFERROR(IF(AND(INDEX(Tab_DaBa[],MATCH(CONCATENATE(Liste!$C$3,$B$3107,$B$3109),Data!$BO:$BO,0)-2,48)&lt;&gt;"",INDEX(Tab_DaBa[],MATCH(CONCATENATE(Liste!$C$3,$B$3107,$B$3109),Data!$BO:$BO,0)-2,53)=""),INDEX(Tab_DaBa[],MATCH(CONCATENATE(Liste!$C$3,$B$3107,$B$3109),Data!$BO:$BO,0)-2,13),IF(INDEX(Tab_DaBa[],MATCH(CONCATENATE(Liste!$C$3,$B$3107,$B$3109),Data!$BO:$BO,0)-2,48)&lt;&gt;"",INDEX(Tab_DaBa[],MATCH(CONCATENATE(Liste!$C$3,$B$3107,$B$3109),Data!$BO:$BO,0)-2,53),"")),"")</f>
        <v/>
      </c>
      <c r="C3129" s="38" t="str">
        <f ca="1">IF(D3127="","",4)</f>
        <v/>
      </c>
      <c r="D3129" s="35" t="str">
        <f ca="1">IFERROR(IF(AND(INDEX(Tab_DaBa[],MATCH(CONCATENATE(Liste!$C$3,$B$3107,$B$3109),Data!$BO:$BO,0)-2,53)&lt;&gt;"",INDEX(Tab_DaBa[],MATCH(CONCATENATE(Liste!$C$3,$B$3107,$B$3109),Data!$BO:$BO,0)-2,58)=""),INDEX(Tab_DaBa[],MATCH(CONCATENATE(Liste!$C$3,$B$3107,$B$3109),Data!$BO:$BO,0)-2,13),IF(INDEX(Tab_DaBa[],MATCH(CONCATENATE(Liste!$C$3,$B$3107,$B$3109),Data!$BO:$BO,0)-2,53)&lt;&gt;"",INDEX(Tab_DaBa[],MATCH(CONCATENATE(Liste!$C$3,$B$3107,$B$3109),Data!$BO:$BO,0)-2,58),"")),"")</f>
        <v/>
      </c>
      <c r="E3129" s="38" t="str">
        <f ca="1">IF(F3127="","",4)</f>
        <v/>
      </c>
      <c r="F3129" s="35" t="str">
        <f ca="1">IFERROR(IF(AND(INDEX(Tab_DaBa[],MATCH(CONCATENATE(Liste!$C$3,$B$3107,$B$3109),Data!$BO:$BO,0)-2,58)&lt;&gt;"",INDEX(Tab_DaBa[],MATCH(CONCATENATE(Liste!$C$3,$B$3107,$B$3109),Data!$BO:$BO,0)-2,63)=""),INDEX(Tab_DaBa[],MATCH(CONCATENATE(Liste!$C$3,$B$3107,$B$3109),Data!$BO:$BO,0)-2,13),IF(INDEX(Tab_DaBa[],MATCH(CONCATENATE(Liste!$C$3,$B$3107,$B$3109),Data!$BO:$BO,0)-2,58)&lt;&gt;"",INDEX(Tab_DaBa[],MATCH(CONCATENATE(Liste!$C$3,$B$3107,$B$3109),Data!$BO:$BO,0)-2,63),"")),"")</f>
        <v/>
      </c>
      <c r="G3129" s="38" t="str">
        <f ca="1">IF(H3127="","",4)</f>
        <v/>
      </c>
      <c r="H3129" s="35" t="str">
        <f ca="1">IFERROR(IF(INDEX(Tab_DaBa[],MATCH(CONCATENATE(Liste!$C$3,$B$3107,$B$3109),Data!$BO:$BO,0)-2,63)&lt;&gt;"",INDEX(Tab_DaBa[],MATCH(CONCATENATE(Liste!$C$3,$B$3107,$B$3109),Data!$BO:$BO,0)-2,13),""),"")</f>
        <v/>
      </c>
    </row>
    <row r="3130" spans="2:9" s="16" customFormat="1" ht="15.75">
      <c r="B3130" s="35" t="str">
        <f ca="1">IFERROR(IF(AND(INDEX(Tab_DaBa[],MATCH(CONCATENATE(Liste!$C$3,$B$3107,$B$3109),Data!$BO:$BO,0)-2,48)&lt;&gt;"",INDEX(Tab_DaBa[],MATCH(CONCATENATE(Liste!$C$3,$B$3107,$B$3109),Data!$BO:$BO,0)-2,53)=""),"Performance Level: "&amp;INDEX(Tab_DaBa[],MATCH(CONCATENATE(Liste!$C$3,$B$3107,$B$3109),Data!$BO:$BO,0)-2,15),IF(INDEX(Tab_DaBa[],MATCH(CONCATENATE(Liste!$C$3,$B$3107,$B$3109),Data!$BO:$BO,0)-2,48)&lt;&gt;"","Performance Level: "&amp;INDEX(Tab_DaBa[],MATCH(CONCATENATE(Liste!$C$3,$B$3107,$B$3109),Data!$BO:$BO,0)-2,55),"")),"")</f>
        <v/>
      </c>
      <c r="C3130" s="39"/>
      <c r="D3130" s="35" t="str">
        <f ca="1">IFERROR(IF(AND(INDEX(Tab_DaBa[],MATCH(CONCATENATE(Liste!$C$3,$B$3107,$B$3109),Data!$BO:$BO,0)-2,53)&lt;&gt;"",INDEX(Tab_DaBa[],MATCH(CONCATENATE(Liste!$C$3,$B$3107,$B$3109),Data!$BO:$BO,0)-2,58)=""),"Performance Level: "&amp;INDEX(Tab_DaBa[],MATCH(CONCATENATE(Liste!$C$3,$B$3107,$B$3109),Data!$BO:$BO,0)-2,15),IF(INDEX(Tab_DaBa[],MATCH(CONCATENATE(Liste!$C$3,$B$3107,$B$3109),Data!$BO:$BO,0)-2,53)&lt;&gt;"","Performance Level: "&amp;INDEX(Tab_DaBa[],MATCH(CONCATENATE(Liste!$C$3,$B$3107,$B$3109),Data!$BO:$BO,0)-2,60),"")),"")</f>
        <v/>
      </c>
      <c r="E3130" s="37"/>
      <c r="F3130" s="35" t="str">
        <f ca="1">IFERROR(IF(AND(INDEX(Tab_DaBa[],MATCH(CONCATENATE(Liste!$C$3,$B$3107,$B$3109),Data!$BO:$BO,0)-2,58)&lt;&gt;"",INDEX(Tab_DaBa[],MATCH(CONCATENATE(Liste!$C$3,$B$3107,$B$3109),Data!$BO:$BO,0)-2,63)=""),"Performance Level: "&amp;INDEX(Tab_DaBa[],MATCH(CONCATENATE(Liste!$C$3,$B$3107,$B$3109),Data!$BO:$BO,0)-2,15),IF(INDEX(Tab_DaBa[],MATCH(CONCATENATE(Liste!$C$3,$B$3107,$B$3109),Data!$BO:$BO,0)-2,58)&lt;&gt;"","Performance Level: "&amp;INDEX(Tab_DaBa[],MATCH(CONCATENATE(Liste!$C$3,$B$3107,$B$3109),Data!$BO:$BO,0)-2,65),"")),"")</f>
        <v/>
      </c>
      <c r="G3130" s="39"/>
      <c r="H3130" s="35" t="str">
        <f ca="1">IFERROR(IF(INDEX(Tab_DaBa[],MATCH(CONCATENATE(Liste!$C$3,$B$3107,$B$3109),Data!$BO:$BO,0)-2,63)&lt;&gt;"","Performance Level: "&amp;INDEX(Tab_DaBa[],MATCH(CONCATENATE(Liste!$C$3,$B$3107,$B$3109),Data!$BO:$BO,0)-2,15),""),"")</f>
        <v/>
      </c>
    </row>
    <row r="3131" spans="2:9" s="16" customFormat="1" ht="15.75">
      <c r="B3131" s="35" t="str">
        <f ca="1">IFERROR(IF(AND(INDEX(Tab_DaBa[],MATCH(CONCATENATE(Liste!$C$3,$B$3107,$B$3109),Data!$BO:$BO,0)-2,48)&lt;&gt;"",INDEX(Tab_DaBa[],MATCH(CONCATENATE(Liste!$C$3,$B$3107,$B$3109),Data!$BO:$BO,0)-2,53)=""),"PFH [1/h] = "&amp;10^9*INDEX(Tab_DaBa[],MATCH(CONCATENATE(Liste!$C$3,$B$3107,$B$3109),Data!$BO:$BO,0)-2,16)&amp;"E-9",IF(INDEX(Tab_DaBa[],MATCH(CONCATENATE(Liste!$C$3,$B$3107,$B$3109),Data!$BO:$BO,0)-2,48)&lt;&gt;"","PFH [1/h] = "&amp;10^9*INDEX(Tab_DaBa[],MATCH(CONCATENATE(Liste!$C$3,$B$3107,$B$3109),Data!$BO:$BO,0)-2,56)&amp;"E-9","")),"")</f>
        <v/>
      </c>
      <c r="C3131" s="39"/>
      <c r="D3131" s="35" t="str">
        <f ca="1">IFERROR(IF(AND(INDEX(Tab_DaBa[],MATCH(CONCATENATE(Liste!$C$3,$B$3107,$B$3109),Data!$BO:$BO,0)-2,53)&lt;&gt;"",INDEX(Tab_DaBa[],MATCH(CONCATENATE(Liste!$C$3,$B$3107,$B$3109),Data!$BO:$BO,0)-2,58)=""),"PFH [1/h] = "&amp;10^9*INDEX(Tab_DaBa[],MATCH(CONCATENATE(Liste!$C$3,$B$3107,$B$3109),Data!$BO:$BO,0)-2,16)&amp;"E-9",IF(INDEX(Tab_DaBa[],MATCH(CONCATENATE(Liste!$C$3,$B$3107,$B$3109),Data!$BO:$BO,0)-2,53)&lt;&gt;"","PFH [1/h] = "&amp;10^9*INDEX(Tab_DaBa[],MATCH(CONCATENATE(Liste!$C$3,$B$3107,$B$3109),Data!$BO:$BO,0)-2,61)&amp;"E-9","")),"")</f>
        <v/>
      </c>
      <c r="E3131" s="37"/>
      <c r="F3131" s="35" t="str">
        <f ca="1">IFERROR(IF(AND(INDEX(Tab_DaBa[],MATCH(CONCATENATE(Liste!$C$3,$B$3107,$B$3109),Data!$BO:$BO,0)-2,58)&lt;&gt;"",INDEX(Tab_DaBa[],MATCH(CONCATENATE(Liste!$C$3,$B$3107,$B$3109),Data!$BO:$BO,0)-2,63)=""),"PFH [1/h] = "&amp;10^9*INDEX(Tab_DaBa[],MATCH(CONCATENATE(Liste!$C$3,$B$3107,$B$3109),Data!$BO:$BO,0)-2,16)&amp;"E-9",IF(INDEX(Tab_DaBa[],MATCH(CONCATENATE(Liste!$C$3,$B$3107,$B$3109),Data!$BO:$BO,0)-2,58)&lt;&gt;"","PFH [1/h] = "&amp;10^9*INDEX(Tab_DaBa[],MATCH(CONCATENATE(Liste!$C$3,$B$3107,$B$3109),Data!$BO:$BO,0)-2,66)&amp;"E-9","")),"")</f>
        <v/>
      </c>
      <c r="G3131" s="39"/>
      <c r="H3131" s="35" t="str">
        <f ca="1">IFERROR(IF(INDEX(Tab_DaBa[],MATCH(CONCATENATE(Liste!$C$3,$B$3107,$B$3109),Data!$BO:$BO,0)-2,63)&lt;&gt;"","PFH [1/h] = "&amp;10^9*INDEX(Tab_DaBa[],MATCH(CONCATENATE(Liste!$C$3,$B$3107,$B$3109),Data!$BO:$BO,0)-2,16)&amp;"E-9",""),"")</f>
        <v/>
      </c>
    </row>
    <row r="3132" spans="2:9" s="16" customFormat="1"/>
    <row r="3133" spans="2:9" s="16" customFormat="1">
      <c r="B3133" s="43" t="str">
        <f ca="1">IF(D3133="","","Erforderlich")</f>
        <v>Erforderlich</v>
      </c>
      <c r="D3133" s="44" t="str">
        <f ca="1">IFERROR("Performance Level: "&amp;INDEX(Tab_DaBa[],MATCH(CONCATENATE(Liste!$C$3,$B$3107,$B$3109),Data!$BO:$BO,0)-2,4),"")</f>
        <v>Performance Level: PLr_ges4_1</v>
      </c>
    </row>
    <row r="3134" spans="2:9" s="16" customFormat="1">
      <c r="B3134" s="45"/>
    </row>
    <row r="3135" spans="2:9" s="16" customFormat="1">
      <c r="B3135" s="46" t="str">
        <f ca="1">IF(D3135="","","Erreicht")</f>
        <v>Erreicht</v>
      </c>
      <c r="D3135" s="47" t="str">
        <f ca="1">IFERROR("Performance Level: "&amp;INDEX(Tab_DaBa[],MATCH(CONCATENATE(Liste!$C$3,$B$3107,$B$3109),Data!$BO:$BO,0)-2,5)&amp;"          PFH [1/h] = "&amp;10^9*INDEX(Tab_DaBa[],MATCH(CONCATENATE(Liste!$C$3,$B$3107,$B$3109),Data!$BO:$BO,0)-2,6)&amp;"E-9","")</f>
        <v>Performance Level: Pl_ges4_1          PFH [1/h] = 71,7E-9</v>
      </c>
    </row>
    <row r="3136" spans="2:9" s="16" customFormat="1"/>
    <row r="3137" spans="2:9" s="16" customFormat="1">
      <c r="B3137" s="42" t="str">
        <f ca="1">IFERROR(IF(2&gt;COUNTIF(Data!$BP:$BP,CONCATENATE(Liste!$C$3,$B$3107)),"",INDEX(Tab_DaBa[],MATCH(CONCATENATE(Liste!$C$3,$B$3107),Data!$BP:$BP,0)-1,3)),"")</f>
        <v>12.2 Test12 (E+2L+A)</v>
      </c>
    </row>
    <row r="3138" spans="2:9" s="16" customFormat="1"/>
    <row r="3139" spans="2:9" s="16" customFormat="1" ht="15.75">
      <c r="B3139" s="35" t="str">
        <f ca="1">IFERROR(INDEX(Tab_DaBa[],MATCH(CONCATENATE(Liste!$C$3,$B$3107,$B$3137),Data!$BO:$BO,0)-2,9),"")</f>
        <v>Eingang</v>
      </c>
      <c r="C3139" s="54"/>
      <c r="D3139" s="35" t="str">
        <f ca="1">IFERROR(IF(INDEX(Tab_DaBa[],MATCH(CONCATENATE(Liste!$C$3,$B$3107,$B$3137),Data!$BO:$BO,0)-2,18)=0,INDEX(Tab_DaBa[],MATCH(CONCATENATE(Liste!$C$3,$B$3107,$B$3137),Data!$BO:$BO,0)-2,14),INDEX(Tab_DaBa[],MATCH(CONCATENATE(Liste!$C$3,$B$3107,$B$3137),Data!$BO:$BO,0)-2,19)),"")</f>
        <v>Logik 01</v>
      </c>
      <c r="E3139" s="33"/>
      <c r="F3139" s="35" t="str">
        <f ca="1">IFERROR(IF(AND(INDEX(Tab_DaBa[],MATCH(CONCATENATE(Liste!$C$3,$B$3107,$B$3137),Data!$BO:$BO,0)-2,18)&lt;&gt;"",INDEX(Tab_DaBa[],MATCH(CONCATENATE(Liste!$C$3,$B$3107,$B$3137),Data!$BO:$BO,0)-2,23)=0),INDEX(Tab_DaBa[],MATCH(CONCATENATE(Liste!$C$3,$B$3107,$B$3137),Data!$BO:$BO,0)-2,14),IF(INDEX(Tab_DaBa[],MATCH(CONCATENATE(Liste!$C$3,$B$3107,$B$3137),Data!$BO:$BO,0)-2,23)&lt;&gt;"",INDEX(Tab_DaBa[],MATCH(CONCATENATE(Liste!$C$3,$B$3107,$B$3137),Data!$BO:$BO,0)-2,24),"")),"")</f>
        <v>Logik 02</v>
      </c>
      <c r="G3139" s="39"/>
      <c r="H3139" s="35" t="str">
        <f ca="1">IFERROR(IF(AND(INDEX(Tab_DaBa[],MATCH(CONCATENATE(Liste!$C$3,$B$3107,$B$3137),Data!$BO:$BO,0)-2,23)&lt;&gt;"",INDEX(Tab_DaBa[],MATCH(CONCATENATE(Liste!$C$3,$B$3107,$B$3137),Data!$BO:$BO,0)-2,28)=0),INDEX(Tab_DaBa[],MATCH(CONCATENATE(Liste!$C$3,$B$3107,$B$3137),Data!$BO:$BO,0)-2,14),IF(INDEX(Tab_DaBa[],MATCH(CONCATENATE(Liste!$C$3,$B$3107,$B$3137),Data!$BO:$BO,0)-2,23)&lt;&gt;"",INDEX(Tab_DaBa[],MATCH(CONCATENATE(Liste!$C$3,$B$3107,$B$3137),Data!$BO:$BO,0)-2,29),"")),"")</f>
        <v>Ausgang</v>
      </c>
      <c r="I3139" s="39"/>
    </row>
    <row r="3140" spans="2:9" s="16" customFormat="1" ht="15.75">
      <c r="B3140" s="35" t="str">
        <f ca="1">IFERROR(INDEX(Tab_DaBa[],MATCH(CONCATENATE(Liste!$C$3,$B$3107,$B$3137),Data!$BO:$BO,0)-2,7),"")</f>
        <v>eeee-33_2</v>
      </c>
      <c r="C3140" s="54"/>
      <c r="D3140" s="35" t="str">
        <f ca="1">IFERROR(IF(INDEX(Tab_DaBa[],MATCH(CONCATENATE(Liste!$C$3,$B$3107,$B$3137),Data!$BO:$BO,0)-2,18)="",INDEX(Tab_DaBa[],MATCH(CONCATENATE(Liste!$C$3,$B$3107,$B$3137),Data!$BO:$BO,0)-2,12),INDEX(Tab_DaBa[],MATCH(CONCATENATE(Liste!$C$3,$B$3107,$B$3137),Data!$BO:$BO,0)-2,17)),"")</f>
        <v>Log01-04_02</v>
      </c>
      <c r="E3140" s="36"/>
      <c r="F3140" s="35" t="str">
        <f ca="1">IFERROR(IF(AND(INDEX(Tab_DaBa[],MATCH(CONCATENATE(Liste!$C$3,$B$3107,$B$3137),Data!$BO:$BO,0)-2,18)&lt;&gt;"",INDEX(Tab_DaBa[],MATCH(CONCATENATE(Liste!$C$3,$B$3107,$B$3137),Data!$BO:$BO,0)-2,23)=0),INDEX(Tab_DaBa[],MATCH(CONCATENATE(Liste!$C$3,$B$3107,$B$3137),Data!$BO:$BO,0)-2,12),IF(INDEX(Tab_DaBa[],MATCH(CONCATENATE(Liste!$C$3,$B$3107,$B$3137),Data!$BO:$BO,0)-2,23)&lt;&gt;"",INDEX(Tab_DaBa[],MATCH(CONCATENATE(Liste!$C$3,$B$3107,$B$3137),Data!$BO:$BO,0)-2,22),"")),"")</f>
        <v>Lo04-04_02</v>
      </c>
      <c r="G3140" s="39"/>
      <c r="H3140" s="35" t="str">
        <f ca="1">IFERROR(IF(AND(INDEX(Tab_DaBa[],MATCH(CONCATENATE(Liste!$C$3,$B$3107,$B$3137),Data!$BO:$BO,0)-2,23)&lt;&gt;"",INDEX(Tab_DaBa[],MATCH(CONCATENATE(Liste!$C$3,$B$3107,$B$3137),Data!$BO:$BO,0)-2,28)=0),INDEX(Tab_DaBa[],MATCH(CONCATENATE(Liste!$C$3,$B$3107,$B$3137),Data!$BO:$BO,0)-2,12),IF(INDEX(Tab_DaBa[],MATCH(CONCATENATE(Liste!$C$3,$B$3107,$B$3137),Data!$BO:$BO,0)-2,23)&lt;&gt;"",INDEX(Tab_DaBa[],MATCH(CONCATENATE(Liste!$C$3,$B$3107,$B$3137),Data!$BO:$BO,0)-2,27),"")),"")</f>
        <v>aaaa-44_2</v>
      </c>
      <c r="I3140" s="39"/>
    </row>
    <row r="3141" spans="2:9" s="16" customFormat="1" ht="15.75">
      <c r="B3141" s="35" t="str">
        <f ca="1">IFERROR(INDEX(Tab_DaBa[],MATCH(CONCATENATE(Liste!$C$3,$B$3107,$B$3137),Data!$BO:$BO,0)-2,8),"")</f>
        <v>Bez_Ein4_2</v>
      </c>
      <c r="C3141" s="40">
        <f ca="1">IF(D3139="","",4)</f>
        <v>4</v>
      </c>
      <c r="D3141" s="35" t="str">
        <f ca="1">IFERROR(IF(INDEX(Tab_DaBa[],MATCH(CONCATENATE(Liste!$C$3,$B$3107,$B$3137),Data!$BO:$BO,0)-2,18)="",INDEX(Tab_DaBa[],MATCH(CONCATENATE(Liste!$C$3,$B$3107,$B$3137),Data!$BO:$BO,0)-2,13),INDEX(Tab_DaBa[],MATCH(CONCATENATE(Liste!$C$3,$B$3107,$B$3137),Data!$BO:$BO,0)-2,18)),"")</f>
        <v>Bez_Log01_04_02</v>
      </c>
      <c r="E3141" s="40">
        <f ca="1">IF(F3139="","",4)</f>
        <v>4</v>
      </c>
      <c r="F3141" s="35" t="str">
        <f ca="1">IFERROR(IF(AND(INDEX(Tab_DaBa[],MATCH(CONCATENATE(Liste!$C$3,$B$3107,$B$3137),Data!$BO:$BO,0)-2,18)&lt;&gt;"",INDEX(Tab_DaBa[],MATCH(CONCATENATE(Liste!$C$3,$B$3107,$B$3137),Data!$BO:$BO,0)-2,23)=""),INDEX(Tab_DaBa[],MATCH(CONCATENATE(Liste!$C$3,$B$3107,$B$3137),Data!$BO:$BO,0)-2,13),IF(INDEX(Tab_DaBa[],MATCH(CONCATENATE(Liste!$C$3,$B$3107,$B$3137),Data!$BO:$BO,0)-2,23)&lt;&gt;"",INDEX(Tab_DaBa[],MATCH(CONCATENATE(Liste!$C$3,$B$3107,$B$3137),Data!$BO:$BO,0)-2,23),"")),"")</f>
        <v>Bez_Lo04_02</v>
      </c>
      <c r="G3141" s="38">
        <f ca="1">IF(H3139="","",4)</f>
        <v>4</v>
      </c>
      <c r="H3141" s="35" t="str">
        <f ca="1">IFERROR(IF(AND(INDEX(Tab_DaBa[],MATCH(CONCATENATE(Liste!$C$3,$B$3107,$B$3137),Data!$BO:$BO,0)-2,23)&lt;&gt;"",INDEX(Tab_DaBa[],MATCH(CONCATENATE(Liste!$C$3,$B$3107,$B$3137),Data!$BO:$BO,0)-2,28)=""),INDEX(Tab_DaBa[],MATCH(CONCATENATE(Liste!$C$3,$B$3107,$B$3137),Data!$BO:$BO,0)-2,13),IF(INDEX(Tab_DaBa[],MATCH(CONCATENATE(Liste!$C$3,$B$3107,$B$3137),Data!$BO:$BO,0)-2,23)&lt;&gt;"",INDEX(Tab_DaBa[],MATCH(CONCATENATE(Liste!$C$3,$B$3107,$B$3137),Data!$BO:$BO,0)-2,28),"")),"")</f>
        <v>Bez_Aus4_2</v>
      </c>
      <c r="I3141" s="38" t="str">
        <f ca="1">IF(B3147="","",6)</f>
        <v/>
      </c>
    </row>
    <row r="3142" spans="2:9" s="16" customFormat="1" ht="15.75">
      <c r="B3142" s="35" t="str">
        <f ca="1">IFERROR("Performance Level: "&amp;INDEX(Tab_DaBa[],MATCH(CONCATENATE(Liste!$C$3,$B$3107,$B$3137),Data!$BO:$BO,0)-2,10),"")</f>
        <v>Performance Level: PL_Ein4_2</v>
      </c>
      <c r="C3142" s="54"/>
      <c r="D3142" s="35" t="str">
        <f ca="1">IFERROR(IF(INDEX(Tab_DaBa[],MATCH(CONCATENATE(Liste!$C$3,$B$3107,$B$3137),Data!$BO:$BO,0)-2,18)="","Performance Level: "&amp;INDEX(Tab_DaBa[],MATCH(CONCATENATE(Liste!$C$3,$B$3107,$B$3137),Data!$BO:$BO,0)-2,15),"Performance Level: "&amp;INDEX(Tab_DaBa[],MATCH(CONCATENATE(Liste!$C$3,$B$3107,$B$3137),Data!$BO:$BO,0)-2,20)),"")</f>
        <v>Performance Level: PL_Log01_04_02</v>
      </c>
      <c r="E3142" s="36"/>
      <c r="F3142" s="35" t="str">
        <f ca="1">IFERROR(IF(AND(INDEX(Tab_DaBa[],MATCH(CONCATENATE(Liste!$C$3,$B$3107,$B$3137),Data!$BO:$BO,0)-2,18)&lt;&gt;"",INDEX(Tab_DaBa[],MATCH(CONCATENATE(Liste!$C$3,$B$3107,$B$3137),Data!$BO:$BO,0)-2,23)=""),"Performance Level: "&amp;INDEX(Tab_DaBa[],MATCH(CONCATENATE(Liste!$C$3,$B$3107,$B$3137),Data!$BO:$BO,0)-2,15),IF(INDEX(Tab_DaBa[],MATCH(CONCATENATE(Liste!$C$3,$B$3107,$B$3137),Data!$BO:$BO,0)-2,23)&lt;&gt;"","Performance Level: "&amp;INDEX(Tab_DaBa[],MATCH(CONCATENATE(Liste!$C$3,$B$3107,$B$3137),Data!$BO:$BO,0)-2,25),"")),"")</f>
        <v>Performance Level: PL_Lo04_02</v>
      </c>
      <c r="G3142" s="39"/>
      <c r="H3142" s="35" t="str">
        <f ca="1">IFERROR(IF(AND(INDEX(Tab_DaBa[],MATCH(CONCATENATE(Liste!$C$3,$B$3107,$B$3137),Data!$BO:$BO,0)-2,23)&lt;&gt;"",INDEX(Tab_DaBa[],MATCH(CONCATENATE(Liste!$C$3,$B$3107,$B$3137),Data!$BO:$BO,0)-2,28)=""),"Performance Level: "&amp;INDEX(Tab_DaBa[],MATCH(CONCATENATE(Liste!$C$3,$B$3107,$B$3137),Data!$BO:$BO,0)-2,15),IF(INDEX(Tab_DaBa[],MATCH(CONCATENATE(Liste!$C$3,$B$3107,$B$3137),Data!$BO:$BO,0)-2,23)&lt;&gt;"","Performance Level: "&amp;INDEX(Tab_DaBa[],MATCH(CONCATENATE(Liste!$C$3,$B$3107,$B$3137),Data!$BO:$BO,0)-2,30),"")),"")</f>
        <v>Performance Level: PL_Aus4_2</v>
      </c>
      <c r="I3142" s="38"/>
    </row>
    <row r="3143" spans="2:9" s="16" customFormat="1" ht="15.75">
      <c r="B3143" s="53" t="str">
        <f ca="1">IFERROR("PFH [1/h] = "&amp;10^9*INDEX(Tab_DaBa[],MATCH(CONCATENATE(Liste!$C$3,$B$3107,$B$3137),Data!$BO:$BO,0)-2,11)&amp;"E-9","")</f>
        <v>PFH [1/h] = 42,9E-9</v>
      </c>
      <c r="C3143" s="54"/>
      <c r="D3143" s="35" t="str">
        <f ca="1">IFERROR(IF(INDEX(Tab_DaBa[],MATCH(CONCATENATE(Liste!$C$3,$B$3107,$B$3137),Data!$BO:$BO,0)-2,18)="","PFH [1/h] = "&amp;10^9*INDEX(Tab_DaBa[],MATCH(CONCATENATE(Liste!$C$3,$B$3107,$B$3137),Data!$BO:$BO,0)-2,16)&amp;"E-9","PFH [1/h] = "&amp;10^9*INDEX(Tab_DaBa[],MATCH(CONCATENATE(Liste!$C$3,$B$3107,$B$3137),Data!$BO:$BO,0)-2,21)&amp;"E-9"),"")</f>
        <v>PFH [1/h] = 4,19E-9</v>
      </c>
      <c r="E3143" s="36"/>
      <c r="F3143" s="35" t="str">
        <f ca="1">IFERROR(IF(AND(INDEX(Tab_DaBa[],MATCH(CONCATENATE(Liste!$C$3,$B$3107,$B$3137),Data!$BO:$BO,0)-2,18)&lt;&gt;"",INDEX(Tab_DaBa[],MATCH(CONCATENATE(Liste!$C$3,$B$3107,$B$3137),Data!$BO:$BO,0)-2,23)=""),"PFH [1/h] = "&amp;10^9*INDEX(Tab_DaBa[],MATCH(CONCATENATE(Liste!$C$3,$B$3107,$B$3137),Data!$BO:$BO,0)-2,16)&amp;"E-9",IF(INDEX(Tab_DaBa[],MATCH(CONCATENATE(Liste!$C$3,$B$3107,$B$3137),Data!$BO:$BO,0)-2,23)&lt;&gt;"","PFH [1/h] = "&amp;10^9*INDEX(Tab_DaBa[],MATCH(CONCATENATE(Liste!$C$3,$B$3107,$B$3137),Data!$BO:$BO,0)-2,26)&amp;"E-9","")),"")</f>
        <v>PFH [1/h] = 4,19E-9</v>
      </c>
      <c r="G3143" s="39"/>
      <c r="H3143" s="35" t="str">
        <f ca="1">IFERROR(IF(AND(INDEX(Tab_DaBa[],MATCH(CONCATENATE(Liste!$C$3,$B$3107,$B$3137),Data!$BO:$BO,0)-2,23)&lt;&gt;"",INDEX(Tab_DaBa[],MATCH(CONCATENATE(Liste!$C$3,$B$3107,$B$3137),Data!$BO:$BO,0)-2,28)=""),"PFH [1/h] = "&amp;10^9*INDEX(Tab_DaBa[],MATCH(CONCATENATE(Liste!$C$3,$B$3107,$B$3137),Data!$BO:$BO,0)-2,16)&amp;"E-9",IF(INDEX(Tab_DaBa[],MATCH(CONCATENATE(Liste!$C$3,$B$3107,$B$3137),Data!$BO:$BO,0)-2,23)&lt;&gt;"","PFH [1/h] = "&amp;10^9*INDEX(Tab_DaBa[],MATCH(CONCATENATE(Liste!$C$3,$B$3107,$B$3137),Data!$BO:$BO,0)-2,31)&amp;"E-9","")),"")</f>
        <v>PFH [1/h] = 24,7E-9</v>
      </c>
      <c r="I3143" s="39"/>
    </row>
    <row r="3144" spans="2:9" s="16" customFormat="1">
      <c r="B3144" s="33"/>
      <c r="C3144" s="34"/>
      <c r="D3144" s="33"/>
      <c r="E3144" s="33"/>
      <c r="F3144" s="33"/>
      <c r="G3144" s="33"/>
      <c r="H3144" s="33"/>
      <c r="I3144" s="33"/>
    </row>
    <row r="3145" spans="2:9" s="16" customFormat="1" ht="15.75">
      <c r="B3145" s="38" t="str">
        <f ca="1">IF(B3147="","",6)</f>
        <v/>
      </c>
      <c r="C3145" s="34"/>
      <c r="D3145" s="38" t="str">
        <f ca="1">IF(B3147="","",3)</f>
        <v/>
      </c>
      <c r="E3145" s="33"/>
      <c r="F3145" s="38" t="str">
        <f ca="1">IF(B3147="","",3)</f>
        <v/>
      </c>
      <c r="G3145" s="33"/>
      <c r="H3145" s="38" t="str">
        <f ca="1">IF(B3147="","",3)</f>
        <v/>
      </c>
      <c r="I3145" s="33"/>
    </row>
    <row r="3146" spans="2:9" s="16" customFormat="1" ht="15.75">
      <c r="B3146" s="39"/>
      <c r="C3146" s="33"/>
      <c r="D3146" s="33"/>
      <c r="E3146" s="33"/>
      <c r="F3146" s="33"/>
      <c r="G3146" s="33"/>
      <c r="H3146" s="33"/>
      <c r="I3146" s="33"/>
    </row>
    <row r="3147" spans="2:9" s="16" customFormat="1" ht="15.75">
      <c r="B3147" s="35" t="str">
        <f ca="1">IFERROR(IF(AND(INDEX(Tab_DaBa[],MATCH(CONCATENATE(Liste!$C$3,$B$3107,$B$3137),Data!$BO:$BO,0)-2,28)&lt;&gt;"",INDEX(Tab_DaBa[],MATCH(CONCATENATE(Liste!$C$3,$B$3107,$B$3137),Data!$BO:$BO,0)-2,33)=0),INDEX(Tab_DaBa[],MATCH(CONCATENATE(Liste!$C$3,$B$3107,$B$3137),Data!$BO:$BO,0)-2,14),IF(INDEX(Tab_DaBa[],MATCH(CONCATENATE(Liste!$C$3,$B$3107,$B$3137),Data!$BO:$BO,0)-2,28)&lt;&gt;"",INDEX(Tab_DaBa[],MATCH(CONCATENATE(Liste!$C$3,$B$3107,$B$3137),Data!$BO:$BO,0)-2,34),"")),"")</f>
        <v/>
      </c>
      <c r="C3147" s="39"/>
      <c r="D3147" s="35" t="str">
        <f ca="1">IFERROR(IF(AND(INDEX(Tab_DaBa[],MATCH(CONCATENATE(Liste!$C$3,$B$3107,$B$3137),Data!$BO:$BO,0)-2,33)&lt;&gt;"",INDEX(Tab_DaBa[],MATCH(CONCATENATE(Liste!$C$3,$B$3107,$B$3137),Data!$BO:$BO,0)-2,38)=0),INDEX(Tab_DaBa[],MATCH(CONCATENATE(Liste!$C$3,$B$3107,$B$3137),Data!$BO:$BO,0)-2,14),IF(INDEX(Tab_DaBa[],MATCH(CONCATENATE(Liste!$C$3,$B$3107,$B$3137),Data!$BO:$BO,0)-2,33)&lt;&gt;"",INDEX(Tab_DaBa[],MATCH(CONCATENATE(Liste!$C$3,$B$3107,$B$3137),Data!$BO:$BO,0)-2,39),"")),"")</f>
        <v/>
      </c>
      <c r="E3147" s="33"/>
      <c r="F3147" s="35" t="str">
        <f ca="1">IFERROR(IF(AND(INDEX(Tab_DaBa[],MATCH(CONCATENATE(Liste!$C$3,$B$3107,$B$3137),Data!$BO:$BO,0)-2,38)&lt;&gt;"",INDEX(Tab_DaBa[],MATCH(CONCATENATE(Liste!$C$3,$B$3107,$B$3137),Data!$BO:$BO,0)-2,43)=0),INDEX(Tab_DaBa[],MATCH(CONCATENATE(Liste!$C$3,$B$3107,$B$3137),Data!$BO:$BO,0)-2,14),IF(INDEX(Tab_DaBa[],MATCH(CONCATENATE(Liste!$C$3,$B$3107,$B$3137),Data!$BO:$BO,0)-2,38)&lt;&gt;"",INDEX(Tab_DaBa[],MATCH(CONCATENATE(Liste!$C$3,$B$3107,$B$3137),Data!$BO:$BO,0)-2,44),"")),"")</f>
        <v/>
      </c>
      <c r="G3147" s="39"/>
      <c r="H3147" s="35" t="str">
        <f ca="1">IFERROR(IF(AND(INDEX(Tab_DaBa[],MATCH(CONCATENATE(Liste!$C$3,$B$3107,$B$3137),Data!$BO:$BO,0)-2,43)&lt;&gt;"",INDEX(Tab_DaBa[],MATCH(CONCATENATE(Liste!$C$3,$B$3107,$B$3137),Data!$BO:$BO,0)-2,48)=0),INDEX(Tab_DaBa[],MATCH(CONCATENATE(Liste!$C$3,$B$3107,$B$3137),Data!$BO:$BO,0)-2,14),IF(INDEX(Tab_DaBa[],MATCH(CONCATENATE(Liste!$C$3,$B$3107,$B$3137),Data!$BO:$BO,0)-2,43)&lt;&gt;"",INDEX(Tab_DaBa[],MATCH(CONCATENATE(Liste!$C$3,$B$3107,$B$3137),Data!$BO:$BO,0)-2,49),"")),"")</f>
        <v/>
      </c>
      <c r="I3147" s="39"/>
    </row>
    <row r="3148" spans="2:9" s="16" customFormat="1" ht="15.75">
      <c r="B3148" s="35" t="str">
        <f ca="1">IFERROR(IF(AND(INDEX(Tab_DaBa[],MATCH(CONCATENATE(Liste!$C$3,$B$3107,$B$3137),Data!$BO:$BO,0)-2,28)&lt;&gt;"",INDEX(Tab_DaBa[],MATCH(CONCATENATE(Liste!$C$3,$B$3107,$B$3137),Data!$BO:$BO,0)-2,33)=0),INDEX(Tab_DaBa[],MATCH(CONCATENATE(Liste!$C$3,$B$3107,$B$3137),Data!$BO:$BO,0)-2,12),IF(INDEX(Tab_DaBa[],MATCH(CONCATENATE(Liste!$C$3,$B$3107,$B$3137),Data!$BO:$BO,0)-2,28)&lt;&gt;"",INDEX(Tab_DaBa[],MATCH(CONCATENATE(Liste!$C$3,$B$3107,$B$3137),Data!$BO:$BO,0)-2,32),"")),"")</f>
        <v/>
      </c>
      <c r="C3148" s="39"/>
      <c r="D3148" s="35" t="str">
        <f ca="1">IFERROR(IF(AND(INDEX(Tab_DaBa[],MATCH(CONCATENATE(Liste!$C$3,$B$3107,$B$3137),Data!$BO:$BO,0)-2,33)&lt;&gt;"",INDEX(Tab_DaBa[],MATCH(CONCATENATE(Liste!$C$3,$B$3107,$B$3137),Data!$BO:$BO,0)-2,38)=0),INDEX(Tab_DaBa[],MATCH(CONCATENATE(Liste!$C$3,$B$3107,$B$3137),Data!$BO:$BO,0)-2,12),IF(INDEX(Tab_DaBa[],MATCH(CONCATENATE(Liste!$C$3,$B$3107,$B$3137),Data!$BO:$BO,0)-2,33)&lt;&gt;"",INDEX(Tab_DaBa[],MATCH(CONCATENATE(Liste!$C$3,$B$3107,$B$3137),Data!$BO:$BO,0)-2,37),"")),"")</f>
        <v/>
      </c>
      <c r="E3148" s="37"/>
      <c r="F3148" s="35" t="str">
        <f ca="1">IFERROR(IF(AND(INDEX(Tab_DaBa[],MATCH(CONCATENATE(Liste!$C$3,$B$3107,$B$3137),Data!$BO:$BO,0)-2,38)&lt;&gt;"",INDEX(Tab_DaBa[],MATCH(CONCATENATE(Liste!$C$3,$B$3107,$B$3137),Data!$BO:$BO,0)-2,43)=0),INDEX(Tab_DaBa[],MATCH(CONCATENATE(Liste!$C$3,$B$3107,$B$3137),Data!$BO:$BO,0)-2,12),IF(INDEX(Tab_DaBa[],MATCH(CONCATENATE(Liste!$C$3,$B$3107,$B$3137),Data!$BO:$BO,0)-2,38)&lt;&gt;"",INDEX(Tab_DaBa[],MATCH(CONCATENATE(Liste!$C$3,$B$3107,$B$3137),Data!$BO:$BO,0)-2,42),"")),"")</f>
        <v/>
      </c>
      <c r="G3148" s="39"/>
      <c r="H3148" s="35" t="str">
        <f ca="1">IFERROR(IF(AND(INDEX(Tab_DaBa[],MATCH(CONCATENATE(Liste!$C$3,$B$3107,$B$3137),Data!$BO:$BO,0)-2,43)&lt;&gt;"",INDEX(Tab_DaBa[],MATCH(CONCATENATE(Liste!$C$3,$B$3107,$B$3137),Data!$BO:$BO,0)-2,48)=0),INDEX(Tab_DaBa[],MATCH(CONCATENATE(Liste!$C$3,$B$3107,$B$3137),Data!$BO:$BO,0)-2,12),IF(INDEX(Tab_DaBa[],MATCH(CONCATENATE(Liste!$C$3,$B$3107,$B$3137),Data!$BO:$BO,0)-2,43)&lt;&gt;"",INDEX(Tab_DaBa[],MATCH(CONCATENATE(Liste!$C$3,$B$3107,$B$3137),Data!$BO:$BO,0)-2,47),"")),"")</f>
        <v/>
      </c>
      <c r="I3148" s="39"/>
    </row>
    <row r="3149" spans="2:9" s="16" customFormat="1" ht="15.75">
      <c r="B3149" s="35" t="str">
        <f ca="1">IFERROR(IF(AND(INDEX(Tab_DaBa[],MATCH(CONCATENATE(Liste!$C$3,$B$3107,$B$3137),Data!$BO:$BO,0)-2,28)&lt;&gt;"",INDEX(Tab_DaBa[],MATCH(CONCATENATE(Liste!$C$3,$B$3107,$B$3137),Data!$BO:$BO,0)-2,33)=""),INDEX(Tab_DaBa[],MATCH(CONCATENATE(Liste!$C$3,$B$3107,$B$3137),Data!$BO:$BO,0)-2,13),IF(INDEX(Tab_DaBa[],MATCH(CONCATENATE(Liste!$C$3,$B$3107,$B$3137),Data!$BO:$BO,0)-2,28)&lt;&gt;"",INDEX(Tab_DaBa[],MATCH(CONCATENATE(Liste!$C$3,$B$3107,$B$3137),Data!$BO:$BO,0)-2,33),"")),"")</f>
        <v/>
      </c>
      <c r="C3149" s="38" t="str">
        <f ca="1">IF(D3147="","",4)</f>
        <v/>
      </c>
      <c r="D3149" s="35" t="str">
        <f ca="1">IFERROR(IF(AND(INDEX(Tab_DaBa[],MATCH(CONCATENATE(Liste!$C$3,$B$3107,$B$3137),Data!$BO:$BO,0)-2,33)&lt;&gt;"",INDEX(Tab_DaBa[],MATCH(CONCATENATE(Liste!$C$3,$B$3107,$B$3137),Data!$BO:$BO,0)-2,38)=""),INDEX(Tab_DaBa[],MATCH(CONCATENATE(Liste!$C$3,$B$3107,$B$3137),Data!$BO:$BO,0)-2,13),IF(INDEX(Tab_DaBa[],MATCH(CONCATENATE(Liste!$C$3,$B$3107,$B$3137),Data!$BO:$BO,0)-2,33)&lt;&gt;"",INDEX(Tab_DaBa[],MATCH(CONCATENATE(Liste!$C$3,$B$3107,$B$3137),Data!$BO:$BO,0)-2,38),"")),"")</f>
        <v/>
      </c>
      <c r="E3149" s="38" t="str">
        <f ca="1">IF(F3147="","",4)</f>
        <v/>
      </c>
      <c r="F3149" s="35" t="str">
        <f ca="1">IFERROR(IF(AND(INDEX(Tab_DaBa[],MATCH(CONCATENATE(Liste!$C$3,$B$3107,$B$3137),Data!$BO:$BO,0)-2,38)&lt;&gt;"",INDEX(Tab_DaBa[],MATCH(CONCATENATE(Liste!$C$3,$B$3107,$B$3137),Data!$BO:$BO,0)-2,43)=""),INDEX(Tab_DaBa[],MATCH(CONCATENATE(Liste!$C$3,$B$3107,$B$3137),Data!$BO:$BO,0)-2,13),IF(INDEX(Tab_DaBa[],MATCH(CONCATENATE(Liste!$C$3,$B$3107,$B$3137),Data!$BO:$BO,0)-2,38)&lt;&gt;"",INDEX(Tab_DaBa[],MATCH(CONCATENATE(Liste!$C$3,$B$3107,$B$3137),Data!$BO:$BO,0)-2,43),"")),"")</f>
        <v/>
      </c>
      <c r="G3149" s="38" t="str">
        <f ca="1">IF(H3147="","",4)</f>
        <v/>
      </c>
      <c r="H3149" s="35" t="str">
        <f ca="1">IFERROR(IF(AND(INDEX(Tab_DaBa[],MATCH(CONCATENATE(Liste!$C$3,$B$3107,$B$3137),Data!$BO:$BO,0)-2,43)&lt;&gt;"",INDEX(Tab_DaBa[],MATCH(CONCATENATE(Liste!$C$3,$B$3107,$B$3137),Data!$BO:$BO,0)-2,48)=""),INDEX(Tab_DaBa[],MATCH(CONCATENATE(Liste!$C$3,$B$3107,$B$3137),Data!$BO:$BO,0)-2,13),IF(INDEX(Tab_DaBa[],MATCH(CONCATENATE(Liste!$C$3,$B$3107,$B$3137),Data!$BO:$BO,0)-2,43)&lt;&gt;"",INDEX(Tab_DaBa[],MATCH(CONCATENATE(Liste!$C$3,$B$3107,$B$3137),Data!$BO:$BO,0)-2,48),"")),"")</f>
        <v/>
      </c>
      <c r="I3149" s="38" t="str">
        <f ca="1">IF(B3155="","",6)</f>
        <v/>
      </c>
    </row>
    <row r="3150" spans="2:9" s="16" customFormat="1" ht="15.75">
      <c r="B3150" s="35" t="str">
        <f ca="1">IFERROR(IF(AND(INDEX(Tab_DaBa[],MATCH(CONCATENATE(Liste!$C$3,$B$3107,$B$3137),Data!$BO:$BO,0)-2,28)&lt;&gt;"",INDEX(Tab_DaBa[],MATCH(CONCATENATE(Liste!$C$3,$B$3107,$B$3137),Data!$BO:$BO,0)-2,33)=""),"Performance Level: "&amp;INDEX(Tab_DaBa[],MATCH(CONCATENATE(Liste!$C$3,$B$3107,$B$3137),Data!$BO:$BO,0)-2,15),IF(INDEX(Tab_DaBa[],MATCH(CONCATENATE(Liste!$C$3,$B$3107,$B$3137),Data!$BO:$BO,0)-2,28)&lt;&gt;"","Performance Level: "&amp;INDEX(Tab_DaBa[],MATCH(CONCATENATE(Liste!$C$3,$B$3107,$B$3137),Data!$BO:$BO,0)-2,35),"")),"")</f>
        <v/>
      </c>
      <c r="C3150" s="39"/>
      <c r="D3150" s="35" t="str">
        <f ca="1">IFERROR(IF(AND(INDEX(Tab_DaBa[],MATCH(CONCATENATE(Liste!$C$3,$B$3107,$B$3137),Data!$BO:$BO,0)-2,33)&lt;&gt;"",INDEX(Tab_DaBa[],MATCH(CONCATENATE(Liste!$C$3,$B$3107,$B$3137),Data!$BO:$BO,0)-2,38)=""),"Performance Level: "&amp;INDEX(Tab_DaBa[],MATCH(CONCATENATE(Liste!$C$3,$B$3107,$B$3137),Data!$BO:$BO,0)-2,15),IF(INDEX(Tab_DaBa[],MATCH(CONCATENATE(Liste!$C$3,$B$3107,$B$3137),Data!$BO:$BO,0)-2,33)&lt;&gt;"","Performance Level: "&amp;INDEX(Tab_DaBa[],MATCH(CONCATENATE(Liste!$C$3,$B$3107,$B$3137),Data!$BO:$BO,0)-2,40),"")),"")</f>
        <v/>
      </c>
      <c r="E3150" s="37"/>
      <c r="F3150" s="35" t="str">
        <f ca="1">IFERROR(IF(AND(INDEX(Tab_DaBa[],MATCH(CONCATENATE(Liste!$C$3,$B$3107,$B$3137),Data!$BO:$BO,0)-2,38)&lt;&gt;"",INDEX(Tab_DaBa[],MATCH(CONCATENATE(Liste!$C$3,$B$3107,$B$3137),Data!$BO:$BO,0)-2,43)=""),"Performance Level: "&amp;INDEX(Tab_DaBa[],MATCH(CONCATENATE(Liste!$C$3,$B$3107,$B$3137),Data!$BO:$BO,0)-2,15),IF(INDEX(Tab_DaBa[],MATCH(CONCATENATE(Liste!$C$3,$B$3107,$B$3137),Data!$BO:$BO,0)-2,38)&lt;&gt;"","Performance Level: "&amp;INDEX(Tab_DaBa[],MATCH(CONCATENATE(Liste!$C$3,$B$3107,$B$3137),Data!$BO:$BO,0)-2,45),"")),"")</f>
        <v/>
      </c>
      <c r="G3150" s="39"/>
      <c r="H3150" s="35" t="str">
        <f ca="1">IFERROR(IF(AND(INDEX(Tab_DaBa[],MATCH(CONCATENATE(Liste!$C$3,$B$3107,$B$3137),Data!$BO:$BO,0)-2,43)&lt;&gt;"",INDEX(Tab_DaBa[],MATCH(CONCATENATE(Liste!$C$3,$B$3107,$B$3137),Data!$BO:$BO,0)-2,48)=""),"Performance Level: "&amp;INDEX(Tab_DaBa[],MATCH(CONCATENATE(Liste!$C$3,$B$3107,$B$3137),Data!$BO:$BO,0)-2,15),IF(INDEX(Tab_DaBa[],MATCH(CONCATENATE(Liste!$C$3,$B$3107,$B$3137),Data!$BO:$BO,0)-2,43)&lt;&gt;"","Performance Level: "&amp;INDEX(Tab_DaBa[],MATCH(CONCATENATE(Liste!$C$3,$B$3107,$B$3137),Data!$BO:$BO,0)-2,50),"")),"")</f>
        <v/>
      </c>
      <c r="I3150" s="39"/>
    </row>
    <row r="3151" spans="2:9" s="16" customFormat="1" ht="15.75">
      <c r="B3151" s="35" t="str">
        <f ca="1">IFERROR(IF(AND(INDEX(Tab_DaBa[],MATCH(CONCATENATE(Liste!$C$3,$B$3107,$B$3137),Data!$BO:$BO,0)-2,28)&lt;&gt;"",INDEX(Tab_DaBa[],MATCH(CONCATENATE(Liste!$C$3,$B$3107,$B$3137),Data!$BO:$BO,0)-2,33)=""),"PFH [1/h] = "&amp;10^9*INDEX(Tab_DaBa[],MATCH(CONCATENATE(Liste!$C$3,$B$3107,$B$3137),Data!$BO:$BO,0)-2,16)&amp;"E-9",IF(INDEX(Tab_DaBa[],MATCH(CONCATENATE(Liste!$C$3,$B$3107,$B$3137),Data!$BO:$BO,0)-2,28)&lt;&gt;"","PFH [1/h] = "&amp;10^9*INDEX(Tab_DaBa[],MATCH(CONCATENATE(Liste!$C$3,$B$3107,$B$3137),Data!$BO:$BO,0)-2,36)&amp;"E-9","")),"")</f>
        <v/>
      </c>
      <c r="C3151" s="39"/>
      <c r="D3151" s="35" t="str">
        <f ca="1">IFERROR(IF(AND(INDEX(Tab_DaBa[],MATCH(CONCATENATE(Liste!$C$3,$B$3107,$B$3137),Data!$BO:$BO,0)-2,33)&lt;&gt;"",INDEX(Tab_DaBa[],MATCH(CONCATENATE(Liste!$C$3,$B$3107,$B$3137),Data!$BO:$BO,0)-2,38)=""),"PFH [1/h] = "&amp;10^9*INDEX(Tab_DaBa[],MATCH(CONCATENATE(Liste!$C$3,$B$3107,$B$3137),Data!$BO:$BO,0)-2,16)&amp;"E-9",IF(INDEX(Tab_DaBa[],MATCH(CONCATENATE(Liste!$C$3,$B$3107,$B$3137),Data!$BO:$BO,0)-2,33)&lt;&gt;"","PFH [1/h] = "&amp;10^9*INDEX(Tab_DaBa[],MATCH(CONCATENATE(Liste!$C$3,$B$3107,$B$3137),Data!$BO:$BO,0)-2,41)&amp;"E-9","")),"")</f>
        <v/>
      </c>
      <c r="E3151" s="37"/>
      <c r="F3151" s="35" t="str">
        <f ca="1">IFERROR(IF(AND(INDEX(Tab_DaBa[],MATCH(CONCATENATE(Liste!$C$3,$B$3107,$B$3137),Data!$BO:$BO,0)-2,38)&lt;&gt;"",INDEX(Tab_DaBa[],MATCH(CONCATENATE(Liste!$C$3,$B$3107,$B$3137),Data!$BO:$BO,0)-2,43)=""),"PFH [1/h] = "&amp;10^9*INDEX(Tab_DaBa[],MATCH(CONCATENATE(Liste!$C$3,$B$3107,$B$3137),Data!$BO:$BO,0)-2,16)&amp;"E-9",IF(INDEX(Tab_DaBa[],MATCH(CONCATENATE(Liste!$C$3,$B$3107,$B$3137),Data!$BO:$BO,0)-2,38)&lt;&gt;"","PFH [1/h] = "&amp;10^9*INDEX(Tab_DaBa[],MATCH(CONCATENATE(Liste!$C$3,$B$3107,$B$3137),Data!$BO:$BO,0)-2,46)&amp;"E-9","")),"")</f>
        <v/>
      </c>
      <c r="G3151" s="39"/>
      <c r="H3151" s="35" t="str">
        <f ca="1">IFERROR(IF(AND(INDEX(Tab_DaBa[],MATCH(CONCATENATE(Liste!$C$3,$B$3107,$B$3137),Data!$BO:$BO,0)-2,43)&lt;&gt;"",INDEX(Tab_DaBa[],MATCH(CONCATENATE(Liste!$C$3,$B$3107,$B$3137),Data!$BO:$BO,0)-2,48)=""),"PFH [1/h] = "&amp;10^9*INDEX(Tab_DaBa[],MATCH(CONCATENATE(Liste!$C$3,$B$3107,$B$3137),Data!$BO:$BO,0)-2,16)&amp;"E-9",IF(INDEX(Tab_DaBa[],MATCH(CONCATENATE(Liste!$C$3,$B$3107,$B$3137),Data!$BO:$BO,0)-2,43)&lt;&gt;"","PFH [1/h] = "&amp;10^9*INDEX(Tab_DaBa[],MATCH(CONCATENATE(Liste!$C$3,$B$3107,$B$3137),Data!$BO:$BO,0)-2,51)&amp;"E-9","")),"")</f>
        <v/>
      </c>
      <c r="I3151" s="39"/>
    </row>
    <row r="3152" spans="2:9" s="16" customFormat="1">
      <c r="B3152" s="33"/>
      <c r="C3152" s="33"/>
      <c r="D3152" s="33"/>
      <c r="E3152" s="33"/>
      <c r="F3152" s="33"/>
      <c r="G3152" s="33"/>
      <c r="H3152" s="33"/>
      <c r="I3152" s="33"/>
    </row>
    <row r="3153" spans="2:9" s="16" customFormat="1" ht="15.75">
      <c r="B3153" s="38" t="str">
        <f ca="1">IF(B3155="","",6)</f>
        <v/>
      </c>
      <c r="C3153" s="33"/>
      <c r="D3153" s="38" t="str">
        <f ca="1">IF(B3155="","",3)</f>
        <v/>
      </c>
      <c r="E3153" s="33"/>
      <c r="F3153" s="38" t="str">
        <f ca="1">IF(B3155="","",3)</f>
        <v/>
      </c>
      <c r="G3153" s="33"/>
      <c r="H3153" s="38" t="str">
        <f ca="1">IF(B3155="","",3)</f>
        <v/>
      </c>
      <c r="I3153" s="33"/>
    </row>
    <row r="3154" spans="2:9" s="16" customFormat="1" ht="15.75">
      <c r="B3154" s="39"/>
      <c r="C3154" s="33"/>
      <c r="D3154" s="33"/>
      <c r="E3154" s="33"/>
      <c r="F3154" s="33"/>
      <c r="G3154" s="33"/>
      <c r="H3154" s="33"/>
      <c r="I3154" s="33"/>
    </row>
    <row r="3155" spans="2:9" s="16" customFormat="1" ht="15.75">
      <c r="B3155" s="35" t="str">
        <f ca="1">IFERROR(IF(AND(INDEX(Tab_DaBa[],MATCH(CONCATENATE(Liste!$C$3,$B$3107,$B$3137),Data!$BO:$BO,0)-2,48)&lt;&gt;"",INDEX(Tab_DaBa[],MATCH(CONCATENATE(Liste!$C$3,$B$3107,$B$3137),Data!$BO:$BO,0)-2,53)=0),INDEX(Tab_DaBa[],MATCH(CONCATENATE(Liste!$C$3,$B$3107,$B$3137),Data!$BO:$BO,0)-2,14),IF(INDEX(Tab_DaBa[],MATCH(CONCATENATE(Liste!$C$3,$B$3107,$B$3137),Data!$BO:$BO,0)-2,48)&lt;&gt;"",INDEX(Tab_DaBa[],MATCH(CONCATENATE(Liste!$C$3,$B$3107,$B$3137),Data!$BO:$BO,0)-2,54),"")),"")</f>
        <v/>
      </c>
      <c r="C3155" s="39"/>
      <c r="D3155" s="35" t="str">
        <f ca="1">IFERROR(IF(AND(INDEX(Tab_DaBa[],MATCH(CONCATENATE(Liste!$C$3,$B$3107,$B$3137),Data!$BO:$BO,0)-2,53)&lt;&gt;"",INDEX(Tab_DaBa[],MATCH(CONCATENATE(Liste!$C$3,$B$3107,$B$3137),Data!$BO:$BO,0)-2,58)=0),INDEX(Tab_DaBa[],MATCH(CONCATENATE(Liste!$C$3,$B$3107,$B$3137),Data!$BO:$BO,0)-2,14),IF(INDEX(Tab_DaBa[],MATCH(CONCATENATE(Liste!$C$3,$B$3107,$B$3137),Data!$BO:$BO,0)-2,53)&lt;&gt;"",INDEX(Tab_DaBa[],MATCH(CONCATENATE(Liste!$C$3,$B$3107,$B$3137),Data!$BO:$BO,0)-2,59),"")),"")</f>
        <v/>
      </c>
      <c r="E3155" s="33"/>
      <c r="F3155" s="35" t="str">
        <f ca="1">IFERROR(IF(AND(INDEX(Tab_DaBa[],MATCH(CONCATENATE(Liste!$C$3,$B$3107,$B$3137),Data!$BO:$BO,0)-2,58)&lt;&gt;"",INDEX(Tab_DaBa[],MATCH(CONCATENATE(Liste!$C$3,$B$3107,$B$3137),Data!$BO:$BO,0)-2,63)=0),INDEX(Tab_DaBa[],MATCH(CONCATENATE(Liste!$C$3,$B$3107,$B$3137),Data!$BO:$BO,0)-2,14),IF(INDEX(Tab_DaBa[],MATCH(CONCATENATE(Liste!$C$3,$B$3107,$B$3137),Data!$BO:$BO,0)-2,58)&lt;&gt;"",INDEX(Tab_DaBa[],MATCH(CONCATENATE(Liste!$C$3,$B$3107,$B$3137),Data!$BO:$BO,0)-2,64),"")),"")</f>
        <v/>
      </c>
      <c r="G3155" s="39"/>
      <c r="H3155" s="35" t="str">
        <f ca="1">IFERROR(IF(INDEX(Tab_DaBa[],MATCH(CONCATENATE(Liste!$C$3,$B$3107,$B$3137),Data!$BO:$BO,0)-2,63)&lt;&gt;"",INDEX(Tab_DaBa[],MATCH(CONCATENATE(Liste!$C$3,$B$3107,$B$3137),Data!$BO:$BO,0)-2,14),""),"")</f>
        <v/>
      </c>
    </row>
    <row r="3156" spans="2:9" s="16" customFormat="1" ht="15.75">
      <c r="B3156" s="35" t="str">
        <f ca="1">IFERROR(IF(AND(INDEX(Tab_DaBa[],MATCH(CONCATENATE(Liste!$C$3,$B$3107,$B$3137),Data!$BO:$BO,0)-2,48)&lt;&gt;"",INDEX(Tab_DaBa[],MATCH(CONCATENATE(Liste!$C$3,$B$3107,$B$3137),Data!$BO:$BO,0)-2,53)=0),INDEX(Tab_DaBa[],MATCH(CONCATENATE(Liste!$C$3,$B$3107,$B$3137),Data!$BO:$BO,0)-2,12),IF(INDEX(Tab_DaBa[],MATCH(CONCATENATE(Liste!$C$3,$B$3107,$B$3137),Data!$BO:$BO,0)-2,48)&lt;&gt;"",INDEX(Tab_DaBa[],MATCH(CONCATENATE(Liste!$C$3,$B$3107,$B$3137),Data!$BO:$BO,0)-2,52),"")),"")</f>
        <v/>
      </c>
      <c r="C3156" s="39"/>
      <c r="D3156" s="35" t="str">
        <f ca="1">IFERROR(IF(AND(INDEX(Tab_DaBa[],MATCH(CONCATENATE(Liste!$C$3,$B$3107,$B$3137),Data!$BO:$BO,0)-2,53)&lt;&gt;"",INDEX(Tab_DaBa[],MATCH(CONCATENATE(Liste!$C$3,$B$3107,$B$3137),Data!$BO:$BO,0)-2,58)=0),INDEX(Tab_DaBa[],MATCH(CONCATENATE(Liste!$C$3,$B$3107,$B$3137),Data!$BO:$BO,0)-2,12),IF(INDEX(Tab_DaBa[],MATCH(CONCATENATE(Liste!$C$3,$B$3107,$B$3137),Data!$BO:$BO,0)-2,53)&lt;&gt;"",INDEX(Tab_DaBa[],MATCH(CONCATENATE(Liste!$C$3,$B$3107,$B$3137),Data!$BO:$BO,0)-2,57),"")),"")</f>
        <v/>
      </c>
      <c r="E3156" s="37"/>
      <c r="F3156" s="35" t="str">
        <f ca="1">IFERROR(IF(AND(INDEX(Tab_DaBa[],MATCH(CONCATENATE(Liste!$C$3,$B$3107,$B$3137),Data!$BO:$BO,0)-2,58)&lt;&gt;"",INDEX(Tab_DaBa[],MATCH(CONCATENATE(Liste!$C$3,$B$3107,$B$3137),Data!$BO:$BO,0)-2,63)=0),INDEX(Tab_DaBa[],MATCH(CONCATENATE(Liste!$C$3,$B$3107,$B$3137),Data!$BO:$BO,0)-2,12),IF(INDEX(Tab_DaBa[],MATCH(CONCATENATE(Liste!$C$3,$B$3107,$B$3137),Data!$BO:$BO,0)-2,58)&lt;&gt;"",INDEX(Tab_DaBa[],MATCH(CONCATENATE(Liste!$C$3,$B$3107,$B$3137),Data!$BO:$BO,0)-2,62),"")),"")</f>
        <v/>
      </c>
      <c r="G3156" s="39"/>
      <c r="H3156" s="35" t="str">
        <f ca="1">IFERROR(IF(INDEX(Tab_DaBa[],MATCH(CONCATENATE(Liste!$C$3,$B$3107,$B$3137),Data!$BO:$BO,0)-2,63)&lt;&gt;"",INDEX(Tab_DaBa[],MATCH(CONCATENATE(Liste!$C$3,$B$3107,$B$3137),Data!$BO:$BO,0)-2,12),""),"")</f>
        <v/>
      </c>
    </row>
    <row r="3157" spans="2:9" s="16" customFormat="1" ht="15.75">
      <c r="B3157" s="35" t="str">
        <f ca="1">IFERROR(IF(AND(INDEX(Tab_DaBa[],MATCH(CONCATENATE(Liste!$C$3,$B$3107,$B$3137),Data!$BO:$BO,0)-2,48)&lt;&gt;"",INDEX(Tab_DaBa[],MATCH(CONCATENATE(Liste!$C$3,$B$3107,$B$3137),Data!$BO:$BO,0)-2,53)=""),INDEX(Tab_DaBa[],MATCH(CONCATENATE(Liste!$C$3,$B$3107,$B$3137),Data!$BO:$BO,0)-2,13),IF(INDEX(Tab_DaBa[],MATCH(CONCATENATE(Liste!$C$3,$B$3107,$B$3137),Data!$BO:$BO,0)-2,48)&lt;&gt;"",INDEX(Tab_DaBa[],MATCH(CONCATENATE(Liste!$C$3,$B$3107,$B$3137),Data!$BO:$BO,0)-2,53),"")),"")</f>
        <v/>
      </c>
      <c r="C3157" s="38" t="str">
        <f ca="1">IF(D3155="","",4)</f>
        <v/>
      </c>
      <c r="D3157" s="35" t="str">
        <f ca="1">IFERROR(IF(AND(INDEX(Tab_DaBa[],MATCH(CONCATENATE(Liste!$C$3,$B$3107,$B$3137),Data!$BO:$BO,0)-2,53)&lt;&gt;"",INDEX(Tab_DaBa[],MATCH(CONCATENATE(Liste!$C$3,$B$3107,$B$3137),Data!$BO:$BO,0)-2,58)=""),INDEX(Tab_DaBa[],MATCH(CONCATENATE(Liste!$C$3,$B$3107,$B$3137),Data!$BO:$BO,0)-2,13),IF(INDEX(Tab_DaBa[],MATCH(CONCATENATE(Liste!$C$3,$B$3107,$B$3137),Data!$BO:$BO,0)-2,53)&lt;&gt;"",INDEX(Tab_DaBa[],MATCH(CONCATENATE(Liste!$C$3,$B$3107,$B$3137),Data!$BO:$BO,0)-2,58),"")),"")</f>
        <v/>
      </c>
      <c r="E3157" s="38" t="str">
        <f ca="1">IF(F3155="","",4)</f>
        <v/>
      </c>
      <c r="F3157" s="35" t="str">
        <f ca="1">IFERROR(IF(AND(INDEX(Tab_DaBa[],MATCH(CONCATENATE(Liste!$C$3,$B$3107,$B$3137),Data!$BO:$BO,0)-2,58)&lt;&gt;"",INDEX(Tab_DaBa[],MATCH(CONCATENATE(Liste!$C$3,$B$3107,$B$3137),Data!$BO:$BO,0)-2,63)=""),INDEX(Tab_DaBa[],MATCH(CONCATENATE(Liste!$C$3,$B$3107,$B$3137),Data!$BO:$BO,0)-2,13),IF(INDEX(Tab_DaBa[],MATCH(CONCATENATE(Liste!$C$3,$B$3107,$B$3137),Data!$BO:$BO,0)-2,58)&lt;&gt;"",INDEX(Tab_DaBa[],MATCH(CONCATENATE(Liste!$C$3,$B$3107,$B$3137),Data!$BO:$BO,0)-2,63),"")),"")</f>
        <v/>
      </c>
      <c r="G3157" s="38" t="str">
        <f ca="1">IF(H3155="","",4)</f>
        <v/>
      </c>
      <c r="H3157" s="35" t="str">
        <f ca="1">IFERROR(IF(INDEX(Tab_DaBa[],MATCH(CONCATENATE(Liste!$C$3,$B$3107,$B$3137),Data!$BO:$BO,0)-2,63)&lt;&gt;"",INDEX(Tab_DaBa[],MATCH(CONCATENATE(Liste!$C$3,$B$3107,$B$3137),Data!$BO:$BO,0)-2,13),""),"")</f>
        <v/>
      </c>
    </row>
    <row r="3158" spans="2:9" s="16" customFormat="1" ht="15.75">
      <c r="B3158" s="35" t="str">
        <f ca="1">IFERROR(IF(AND(INDEX(Tab_DaBa[],MATCH(CONCATENATE(Liste!$C$3,$B$3107,$B$3137),Data!$BO:$BO,0)-2,48)&lt;&gt;"",INDEX(Tab_DaBa[],MATCH(CONCATENATE(Liste!$C$3,$B$3107,$B$3137),Data!$BO:$BO,0)-2,53)=""),"Performance Level: "&amp;INDEX(Tab_DaBa[],MATCH(CONCATENATE(Liste!$C$3,$B$3107,$B$3137),Data!$BO:$BO,0)-2,15),IF(INDEX(Tab_DaBa[],MATCH(CONCATENATE(Liste!$C$3,$B$3107,$B$3137),Data!$BO:$BO,0)-2,48)&lt;&gt;"","Performance Level: "&amp;INDEX(Tab_DaBa[],MATCH(CONCATENATE(Liste!$C$3,$B$3107,$B$3137),Data!$BO:$BO,0)-2,55),"")),"")</f>
        <v/>
      </c>
      <c r="C3158" s="39"/>
      <c r="D3158" s="35" t="str">
        <f ca="1">IFERROR(IF(AND(INDEX(Tab_DaBa[],MATCH(CONCATENATE(Liste!$C$3,$B$3107,$B$3137),Data!$BO:$BO,0)-2,53)&lt;&gt;"",INDEX(Tab_DaBa[],MATCH(CONCATENATE(Liste!$C$3,$B$3107,$B$3137),Data!$BO:$BO,0)-2,58)=""),"Performance Level: "&amp;INDEX(Tab_DaBa[],MATCH(CONCATENATE(Liste!$C$3,$B$3107,$B$3137),Data!$BO:$BO,0)-2,15),IF(INDEX(Tab_DaBa[],MATCH(CONCATENATE(Liste!$C$3,$B$3107,$B$3137),Data!$BO:$BO,0)-2,53)&lt;&gt;"","Performance Level: "&amp;INDEX(Tab_DaBa[],MATCH(CONCATENATE(Liste!$C$3,$B$3107,$B$3137),Data!$BO:$BO,0)-2,60),"")),"")</f>
        <v/>
      </c>
      <c r="E3158" s="37"/>
      <c r="F3158" s="35" t="str">
        <f ca="1">IFERROR(IF(AND(INDEX(Tab_DaBa[],MATCH(CONCATENATE(Liste!$C$3,$B$3107,$B$3137),Data!$BO:$BO,0)-2,58)&lt;&gt;"",INDEX(Tab_DaBa[],MATCH(CONCATENATE(Liste!$C$3,$B$3107,$B$3137),Data!$BO:$BO,0)-2,63)=""),"Performance Level: "&amp;INDEX(Tab_DaBa[],MATCH(CONCATENATE(Liste!$C$3,$B$3107,$B$3137),Data!$BO:$BO,0)-2,15),IF(INDEX(Tab_DaBa[],MATCH(CONCATENATE(Liste!$C$3,$B$3107,$B$3137),Data!$BO:$BO,0)-2,58)&lt;&gt;"","Performance Level: "&amp;INDEX(Tab_DaBa[],MATCH(CONCATENATE(Liste!$C$3,$B$3107,$B$3137),Data!$BO:$BO,0)-2,65),"")),"")</f>
        <v/>
      </c>
      <c r="G3158" s="39"/>
      <c r="H3158" s="35" t="str">
        <f ca="1">IFERROR(IF(INDEX(Tab_DaBa[],MATCH(CONCATENATE(Liste!$C$3,$B$3107,$B$3137),Data!$BO:$BO,0)-2,63)&lt;&gt;"","Performance Level: "&amp;INDEX(Tab_DaBa[],MATCH(CONCATENATE(Liste!$C$3,$B$3107,$B$3137),Data!$BO:$BO,0)-2,15),""),"")</f>
        <v/>
      </c>
    </row>
    <row r="3159" spans="2:9" s="16" customFormat="1" ht="15.75">
      <c r="B3159" s="35" t="str">
        <f ca="1">IFERROR(IF(AND(INDEX(Tab_DaBa[],MATCH(CONCATENATE(Liste!$C$3,$B$3107,$B$3137),Data!$BO:$BO,0)-2,48)&lt;&gt;"",INDEX(Tab_DaBa[],MATCH(CONCATENATE(Liste!$C$3,$B$3107,$B$3137),Data!$BO:$BO,0)-2,53)=""),"PFH [1/h] = "&amp;10^9*INDEX(Tab_DaBa[],MATCH(CONCATENATE(Liste!$C$3,$B$3107,$B$3137),Data!$BO:$BO,0)-2,16)&amp;"E-9",IF(INDEX(Tab_DaBa[],MATCH(CONCATENATE(Liste!$C$3,$B$3107,$B$3137),Data!$BO:$BO,0)-2,48)&lt;&gt;"","PFH [1/h] = "&amp;10^9*INDEX(Tab_DaBa[],MATCH(CONCATENATE(Liste!$C$3,$B$3107,$B$3137),Data!$BO:$BO,0)-2,56)&amp;"E-9","")),"")</f>
        <v/>
      </c>
      <c r="C3159" s="39"/>
      <c r="D3159" s="35" t="str">
        <f ca="1">IFERROR(IF(AND(INDEX(Tab_DaBa[],MATCH(CONCATENATE(Liste!$C$3,$B$3107,$B$3137),Data!$BO:$BO,0)-2,53)&lt;&gt;"",INDEX(Tab_DaBa[],MATCH(CONCATENATE(Liste!$C$3,$B$3107,$B$3137),Data!$BO:$BO,0)-2,58)=""),"PFH [1/h] = "&amp;10^9*INDEX(Tab_DaBa[],MATCH(CONCATENATE(Liste!$C$3,$B$3107,$B$3137),Data!$BO:$BO,0)-2,16)&amp;"E-9",IF(INDEX(Tab_DaBa[],MATCH(CONCATENATE(Liste!$C$3,$B$3107,$B$3137),Data!$BO:$BO,0)-2,53)&lt;&gt;"","PFH [1/h] = "&amp;10^9*INDEX(Tab_DaBa[],MATCH(CONCATENATE(Liste!$C$3,$B$3107,$B$3137),Data!$BO:$BO,0)-2,61)&amp;"E-9","")),"")</f>
        <v/>
      </c>
      <c r="E3159" s="37"/>
      <c r="F3159" s="35" t="str">
        <f ca="1">IFERROR(IF(AND(INDEX(Tab_DaBa[],MATCH(CONCATENATE(Liste!$C$3,$B$3107,$B$3137),Data!$BO:$BO,0)-2,58)&lt;&gt;"",INDEX(Tab_DaBa[],MATCH(CONCATENATE(Liste!$C$3,$B$3107,$B$3137),Data!$BO:$BO,0)-2,63)=""),"PFH [1/h] = "&amp;10^9*INDEX(Tab_DaBa[],MATCH(CONCATENATE(Liste!$C$3,$B$3107,$B$3137),Data!$BO:$BO,0)-2,16)&amp;"E-9",IF(INDEX(Tab_DaBa[],MATCH(CONCATENATE(Liste!$C$3,$B$3107,$B$3137),Data!$BO:$BO,0)-2,58)&lt;&gt;"","PFH [1/h] = "&amp;10^9*INDEX(Tab_DaBa[],MATCH(CONCATENATE(Liste!$C$3,$B$3107,$B$3137),Data!$BO:$BO,0)-2,66)&amp;"E-9","")),"")</f>
        <v/>
      </c>
      <c r="G3159" s="39"/>
      <c r="H3159" s="35" t="str">
        <f ca="1">IFERROR(IF(INDEX(Tab_DaBa[],MATCH(CONCATENATE(Liste!$C$3,$B$3107,$B$3137),Data!$BO:$BO,0)-2,63)&lt;&gt;"","PFH [1/h] = "&amp;10^9*INDEX(Tab_DaBa[],MATCH(CONCATENATE(Liste!$C$3,$B$3107,$B$3137),Data!$BO:$BO,0)-2,16)&amp;"E-9",""),"")</f>
        <v/>
      </c>
    </row>
    <row r="3160" spans="2:9" s="16" customFormat="1"/>
    <row r="3161" spans="2:9" s="16" customFormat="1">
      <c r="B3161" s="43" t="str">
        <f ca="1">IF(D3161="","","Erforderlich")</f>
        <v>Erforderlich</v>
      </c>
      <c r="D3161" s="44" t="str">
        <f ca="1">IFERROR("Performance Level: "&amp;INDEX(Tab_DaBa[],MATCH(CONCATENATE(Liste!$C$3,$B$3107,$B$3137),Data!$BO:$BO,0)-2,4),"")</f>
        <v>Performance Level: PLr_ges4_2</v>
      </c>
    </row>
    <row r="3162" spans="2:9" s="16" customFormat="1">
      <c r="B3162" s="45"/>
    </row>
    <row r="3163" spans="2:9" s="16" customFormat="1">
      <c r="B3163" s="46" t="str">
        <f ca="1">IF(D3163="","","Erreicht")</f>
        <v>Erreicht</v>
      </c>
      <c r="D3163" s="47" t="str">
        <f ca="1">IFERROR("Performance Level: "&amp;INDEX(Tab_DaBa[],MATCH(CONCATENATE(Liste!$C$3,$B$3107,$B$3137),Data!$BO:$BO,0)-2,5)&amp;"          PFH [1/h] = "&amp;10^9*INDEX(Tab_DaBa[],MATCH(CONCATENATE(Liste!$C$3,$B$3107,$B$3137),Data!$BO:$BO,0)-2,6)&amp;"E-9","")</f>
        <v>Performance Level: Pl_ges4_2          PFH [1/h] = 71,7E-9</v>
      </c>
    </row>
    <row r="3164" spans="2:9" s="16" customFormat="1"/>
    <row r="3165" spans="2:9" s="16" customFormat="1">
      <c r="B3165" s="42" t="str">
        <f ca="1">IFERROR(IF(3&gt;COUNTIF(Data!$BP:$BP,CONCATENATE(Liste!$C$3,$B$3107)),"",INDEX(Tab_DaBa[],MATCH(CONCATENATE(Liste!$C$3,$B$3107),Data!$BP:$BP,0),3)),"")</f>
        <v>12.3 Test12 (E+3L+A)</v>
      </c>
    </row>
    <row r="3166" spans="2:9" s="16" customFormat="1"/>
    <row r="3167" spans="2:9" s="16" customFormat="1" ht="15.75">
      <c r="B3167" s="35" t="str">
        <f ca="1">IFERROR(INDEX(Tab_DaBa[],MATCH(CONCATENATE(Liste!$C$3,$B$3107,$B$3165),Data!$BO:$BO,0)-2,9),"")</f>
        <v>Eingang</v>
      </c>
      <c r="C3167" s="54"/>
      <c r="D3167" s="35" t="str">
        <f ca="1">IFERROR(IF(INDEX(Tab_DaBa[],MATCH(CONCATENATE(Liste!$C$3,$B$3107,$B$3165),Data!$BO:$BO,0)-2,18)=0,INDEX(Tab_DaBa[],MATCH(CONCATENATE(Liste!$C$3,$B$3107,$B$3165),Data!$BO:$BO,0)-2,14),INDEX(Tab_DaBa[],MATCH(CONCATENATE(Liste!$C$3,$B$3107,$B$3165),Data!$BO:$BO,0)-2,19)),"")</f>
        <v>Logik 01</v>
      </c>
      <c r="E3167" s="33"/>
      <c r="F3167" s="35" t="str">
        <f ca="1">IFERROR(IF(AND(INDEX(Tab_DaBa[],MATCH(CONCATENATE(Liste!$C$3,$B$3107,$B$3165),Data!$BO:$BO,0)-2,18)&lt;&gt;"",INDEX(Tab_DaBa[],MATCH(CONCATENATE(Liste!$C$3,$B$3107,$B$3165),Data!$BO:$BO,0)-2,23)=0),INDEX(Tab_DaBa[],MATCH(CONCATENATE(Liste!$C$3,$B$3107,$B$3165),Data!$BO:$BO,0)-2,14),IF(INDEX(Tab_DaBa[],MATCH(CONCATENATE(Liste!$C$3,$B$3107,$B$3165),Data!$BO:$BO,0)-2,23)&lt;&gt;"",INDEX(Tab_DaBa[],MATCH(CONCATENATE(Liste!$C$3,$B$3107,$B$3165),Data!$BO:$BO,0)-2,24),"")),"")</f>
        <v>Logik 02</v>
      </c>
      <c r="G3167" s="39"/>
      <c r="H3167" s="35" t="str">
        <f ca="1">IFERROR(IF(AND(INDEX(Tab_DaBa[],MATCH(CONCATENATE(Liste!$C$3,$B$3107,$B$3165),Data!$BO:$BO,0)-2,23)&lt;&gt;"",INDEX(Tab_DaBa[],MATCH(CONCATENATE(Liste!$C$3,$B$3107,$B$3165),Data!$BO:$BO,0)-2,28)=0),INDEX(Tab_DaBa[],MATCH(CONCATENATE(Liste!$C$3,$B$3107,$B$3165),Data!$BO:$BO,0)-2,14),IF(INDEX(Tab_DaBa[],MATCH(CONCATENATE(Liste!$C$3,$B$3107,$B$3165),Data!$BO:$BO,0)-2,23)&lt;&gt;"",INDEX(Tab_DaBa[],MATCH(CONCATENATE(Liste!$C$3,$B$3107,$B$3165),Data!$BO:$BO,0)-2,29),"")),"")</f>
        <v>Logik 03</v>
      </c>
      <c r="I3167" s="39"/>
    </row>
    <row r="3168" spans="2:9" s="16" customFormat="1" ht="15.75">
      <c r="B3168" s="35" t="str">
        <f ca="1">IFERROR(INDEX(Tab_DaBa[],MATCH(CONCATENATE(Liste!$C$3,$B$3107,$B$3165),Data!$BO:$BO,0)-2,7),"")</f>
        <v>eeee-33_3</v>
      </c>
      <c r="C3168" s="54"/>
      <c r="D3168" s="35" t="str">
        <f ca="1">IFERROR(IF(INDEX(Tab_DaBa[],MATCH(CONCATENATE(Liste!$C$3,$B$3107,$B$3165),Data!$BO:$BO,0)-2,18)="",INDEX(Tab_DaBa[],MATCH(CONCATENATE(Liste!$C$3,$B$3107,$B$3165),Data!$BO:$BO,0)-2,12),INDEX(Tab_DaBa[],MATCH(CONCATENATE(Liste!$C$3,$B$3107,$B$3165),Data!$BO:$BO,0)-2,17)),"")</f>
        <v>Log01-04_03</v>
      </c>
      <c r="E3168" s="36"/>
      <c r="F3168" s="35" t="str">
        <f ca="1">IFERROR(IF(AND(INDEX(Tab_DaBa[],MATCH(CONCATENATE(Liste!$C$3,$B$3107,$B$3165),Data!$BO:$BO,0)-2,18)&lt;&gt;"",INDEX(Tab_DaBa[],MATCH(CONCATENATE(Liste!$C$3,$B$3107,$B$3165),Data!$BO:$BO,0)-2,23)=0),INDEX(Tab_DaBa[],MATCH(CONCATENATE(Liste!$C$3,$B$3107,$B$3165),Data!$BO:$BO,0)-2,12),IF(INDEX(Tab_DaBa[],MATCH(CONCATENATE(Liste!$C$3,$B$3107,$B$3165),Data!$BO:$BO,0)-2,23)&lt;&gt;"",INDEX(Tab_DaBa[],MATCH(CONCATENATE(Liste!$C$3,$B$3107,$B$3165),Data!$BO:$BO,0)-2,22),"")),"")</f>
        <v>Lo04-04_03</v>
      </c>
      <c r="G3168" s="39"/>
      <c r="H3168" s="35" t="str">
        <f ca="1">IFERROR(IF(AND(INDEX(Tab_DaBa[],MATCH(CONCATENATE(Liste!$C$3,$B$3107,$B$3165),Data!$BO:$BO,0)-2,23)&lt;&gt;"",INDEX(Tab_DaBa[],MATCH(CONCATENATE(Liste!$C$3,$B$3107,$B$3165),Data!$BO:$BO,0)-2,28)=0),INDEX(Tab_DaBa[],MATCH(CONCATENATE(Liste!$C$3,$B$3107,$B$3165),Data!$BO:$BO,0)-2,12),IF(INDEX(Tab_DaBa[],MATCH(CONCATENATE(Liste!$C$3,$B$3107,$B$3165),Data!$BO:$BO,0)-2,23)&lt;&gt;"",INDEX(Tab_DaBa[],MATCH(CONCATENATE(Liste!$C$3,$B$3107,$B$3165),Data!$BO:$BO,0)-2,27),"")),"")</f>
        <v>Lo04-44_03</v>
      </c>
      <c r="I3168" s="39"/>
    </row>
    <row r="3169" spans="2:9" s="16" customFormat="1" ht="15.75">
      <c r="B3169" s="35" t="str">
        <f ca="1">IFERROR(INDEX(Tab_DaBa[],MATCH(CONCATENATE(Liste!$C$3,$B$3107,$B$3165),Data!$BO:$BO,0)-2,8),"")</f>
        <v>Bez_Ein4_3</v>
      </c>
      <c r="C3169" s="40">
        <f ca="1">IF(D3167="","",4)</f>
        <v>4</v>
      </c>
      <c r="D3169" s="35" t="str">
        <f ca="1">IFERROR(IF(INDEX(Tab_DaBa[],MATCH(CONCATENATE(Liste!$C$3,$B$3107,$B$3165),Data!$BO:$BO,0)-2,18)="",INDEX(Tab_DaBa[],MATCH(CONCATENATE(Liste!$C$3,$B$3107,$B$3165),Data!$BO:$BO,0)-2,13),INDEX(Tab_DaBa[],MATCH(CONCATENATE(Liste!$C$3,$B$3107,$B$3165),Data!$BO:$BO,0)-2,18)),"")</f>
        <v>Bez_Log01_04_03</v>
      </c>
      <c r="E3169" s="40">
        <f ca="1">IF(F3167="","",4)</f>
        <v>4</v>
      </c>
      <c r="F3169" s="35" t="str">
        <f ca="1">IFERROR(IF(AND(INDEX(Tab_DaBa[],MATCH(CONCATENATE(Liste!$C$3,$B$3107,$B$3165),Data!$BO:$BO,0)-2,18)&lt;&gt;"",INDEX(Tab_DaBa[],MATCH(CONCATENATE(Liste!$C$3,$B$3107,$B$3165),Data!$BO:$BO,0)-2,23)=""),INDEX(Tab_DaBa[],MATCH(CONCATENATE(Liste!$C$3,$B$3107,$B$3165),Data!$BO:$BO,0)-2,13),IF(INDEX(Tab_DaBa[],MATCH(CONCATENATE(Liste!$C$3,$B$3107,$B$3165),Data!$BO:$BO,0)-2,23)&lt;&gt;"",INDEX(Tab_DaBa[],MATCH(CONCATENATE(Liste!$C$3,$B$3107,$B$3165),Data!$BO:$BO,0)-2,23),"")),"")</f>
        <v>Bez_Lo04_03</v>
      </c>
      <c r="G3169" s="38">
        <f ca="1">IF(H3167="","",4)</f>
        <v>4</v>
      </c>
      <c r="H3169" s="35" t="str">
        <f ca="1">IFERROR(IF(AND(INDEX(Tab_DaBa[],MATCH(CONCATENATE(Liste!$C$3,$B$3107,$B$3165),Data!$BO:$BO,0)-2,23)&lt;&gt;"",INDEX(Tab_DaBa[],MATCH(CONCATENATE(Liste!$C$3,$B$3107,$B$3165),Data!$BO:$BO,0)-2,28)=""),INDEX(Tab_DaBa[],MATCH(CONCATENATE(Liste!$C$3,$B$3107,$B$3165),Data!$BO:$BO,0)-2,13),IF(INDEX(Tab_DaBa[],MATCH(CONCATENATE(Liste!$C$3,$B$3107,$B$3165),Data!$BO:$BO,0)-2,23)&lt;&gt;"",INDEX(Tab_DaBa[],MATCH(CONCATENATE(Liste!$C$3,$B$3107,$B$3165),Data!$BO:$BO,0)-2,28),"")),"")</f>
        <v>Bez_Lo04_03</v>
      </c>
      <c r="I3169" s="38">
        <f ca="1">IF(B3175="","",6)</f>
        <v>6</v>
      </c>
    </row>
    <row r="3170" spans="2:9" s="16" customFormat="1" ht="15.75">
      <c r="B3170" s="35" t="str">
        <f ca="1">IFERROR("Performance Level: "&amp;INDEX(Tab_DaBa[],MATCH(CONCATENATE(Liste!$C$3,$B$3107,$B$3165),Data!$BO:$BO,0)-2,10),"")</f>
        <v>Performance Level: PL_Ein4_3</v>
      </c>
      <c r="C3170" s="54"/>
      <c r="D3170" s="35" t="str">
        <f ca="1">IFERROR(IF(INDEX(Tab_DaBa[],MATCH(CONCATENATE(Liste!$C$3,$B$3107,$B$3165),Data!$BO:$BO,0)-2,18)="","Performance Level: "&amp;INDEX(Tab_DaBa[],MATCH(CONCATENATE(Liste!$C$3,$B$3107,$B$3165),Data!$BO:$BO,0)-2,15),"Performance Level: "&amp;INDEX(Tab_DaBa[],MATCH(CONCATENATE(Liste!$C$3,$B$3107,$B$3165),Data!$BO:$BO,0)-2,20)),"")</f>
        <v>Performance Level: PL_Log01_04_03</v>
      </c>
      <c r="E3170" s="36"/>
      <c r="F3170" s="35" t="str">
        <f ca="1">IFERROR(IF(AND(INDEX(Tab_DaBa[],MATCH(CONCATENATE(Liste!$C$3,$B$3107,$B$3165),Data!$BO:$BO,0)-2,18)&lt;&gt;"",INDEX(Tab_DaBa[],MATCH(CONCATENATE(Liste!$C$3,$B$3107,$B$3165),Data!$BO:$BO,0)-2,23)=""),"Performance Level: "&amp;INDEX(Tab_DaBa[],MATCH(CONCATENATE(Liste!$C$3,$B$3107,$B$3165),Data!$BO:$BO,0)-2,15),IF(INDEX(Tab_DaBa[],MATCH(CONCATENATE(Liste!$C$3,$B$3107,$B$3165),Data!$BO:$BO,0)-2,23)&lt;&gt;"","Performance Level: "&amp;INDEX(Tab_DaBa[],MATCH(CONCATENATE(Liste!$C$3,$B$3107,$B$3165),Data!$BO:$BO,0)-2,25),"")),"")</f>
        <v>Performance Level: PL_Lo04_03</v>
      </c>
      <c r="G3170" s="39"/>
      <c r="H3170" s="35" t="str">
        <f ca="1">IFERROR(IF(AND(INDEX(Tab_DaBa[],MATCH(CONCATENATE(Liste!$C$3,$B$3107,$B$3165),Data!$BO:$BO,0)-2,23)&lt;&gt;"",INDEX(Tab_DaBa[],MATCH(CONCATENATE(Liste!$C$3,$B$3107,$B$3165),Data!$BO:$BO,0)-2,28)=""),"Performance Level: "&amp;INDEX(Tab_DaBa[],MATCH(CONCATENATE(Liste!$C$3,$B$3107,$B$3165),Data!$BO:$BO,0)-2,15),IF(INDEX(Tab_DaBa[],MATCH(CONCATENATE(Liste!$C$3,$B$3107,$B$3165),Data!$BO:$BO,0)-2,23)&lt;&gt;"","Performance Level: "&amp;INDEX(Tab_DaBa[],MATCH(CONCATENATE(Liste!$C$3,$B$3107,$B$3165),Data!$BO:$BO,0)-2,30),"")),"")</f>
        <v>Performance Level: PL_Lo04_03</v>
      </c>
      <c r="I3170" s="38"/>
    </row>
    <row r="3171" spans="2:9" s="16" customFormat="1" ht="15.75">
      <c r="B3171" s="53" t="str">
        <f ca="1">IFERROR("PFH [1/h] = "&amp;10^9*INDEX(Tab_DaBa[],MATCH(CONCATENATE(Liste!$C$3,$B$3107,$B$3165),Data!$BO:$BO,0)-2,11)&amp;"E-9","")</f>
        <v>PFH [1/h] = 42,9E-9</v>
      </c>
      <c r="C3171" s="54"/>
      <c r="D3171" s="35" t="str">
        <f ca="1">IFERROR(IF(INDEX(Tab_DaBa[],MATCH(CONCATENATE(Liste!$C$3,$B$3107,$B$3165),Data!$BO:$BO,0)-2,18)="","PFH [1/h] = "&amp;10^9*INDEX(Tab_DaBa[],MATCH(CONCATENATE(Liste!$C$3,$B$3107,$B$3165),Data!$BO:$BO,0)-2,16)&amp;"E-9","PFH [1/h] = "&amp;10^9*INDEX(Tab_DaBa[],MATCH(CONCATENATE(Liste!$C$3,$B$3107,$B$3165),Data!$BO:$BO,0)-2,21)&amp;"E-9"),"")</f>
        <v>PFH [1/h] = 4,19E-9</v>
      </c>
      <c r="E3171" s="36"/>
      <c r="F3171" s="35" t="str">
        <f ca="1">IFERROR(IF(AND(INDEX(Tab_DaBa[],MATCH(CONCATENATE(Liste!$C$3,$B$3107,$B$3165),Data!$BO:$BO,0)-2,18)&lt;&gt;"",INDEX(Tab_DaBa[],MATCH(CONCATENATE(Liste!$C$3,$B$3107,$B$3165),Data!$BO:$BO,0)-2,23)=""),"PFH [1/h] = "&amp;10^9*INDEX(Tab_DaBa[],MATCH(CONCATENATE(Liste!$C$3,$B$3107,$B$3165),Data!$BO:$BO,0)-2,16)&amp;"E-9",IF(INDEX(Tab_DaBa[],MATCH(CONCATENATE(Liste!$C$3,$B$3107,$B$3165),Data!$BO:$BO,0)-2,23)&lt;&gt;"","PFH [1/h] = "&amp;10^9*INDEX(Tab_DaBa[],MATCH(CONCATENATE(Liste!$C$3,$B$3107,$B$3165),Data!$BO:$BO,0)-2,26)&amp;"E-9","")),"")</f>
        <v>PFH [1/h] = 4,19E-9</v>
      </c>
      <c r="G3171" s="39"/>
      <c r="H3171" s="35" t="str">
        <f ca="1">IFERROR(IF(AND(INDEX(Tab_DaBa[],MATCH(CONCATENATE(Liste!$C$3,$B$3107,$B$3165),Data!$BO:$BO,0)-2,23)&lt;&gt;"",INDEX(Tab_DaBa[],MATCH(CONCATENATE(Liste!$C$3,$B$3107,$B$3165),Data!$BO:$BO,0)-2,28)=""),"PFH [1/h] = "&amp;10^9*INDEX(Tab_DaBa[],MATCH(CONCATENATE(Liste!$C$3,$B$3107,$B$3165),Data!$BO:$BO,0)-2,16)&amp;"E-9",IF(INDEX(Tab_DaBa[],MATCH(CONCATENATE(Liste!$C$3,$B$3107,$B$3165),Data!$BO:$BO,0)-2,23)&lt;&gt;"","PFH [1/h] = "&amp;10^9*INDEX(Tab_DaBa[],MATCH(CONCATENATE(Liste!$C$3,$B$3107,$B$3165),Data!$BO:$BO,0)-2,31)&amp;"E-9","")),"")</f>
        <v>PFH [1/h] = 4,19E-9</v>
      </c>
      <c r="I3171" s="39"/>
    </row>
    <row r="3172" spans="2:9" s="16" customFormat="1">
      <c r="B3172" s="33"/>
      <c r="C3172" s="34"/>
      <c r="D3172" s="33"/>
      <c r="E3172" s="33"/>
      <c r="F3172" s="33"/>
      <c r="G3172" s="33"/>
      <c r="H3172" s="33"/>
      <c r="I3172" s="33"/>
    </row>
    <row r="3173" spans="2:9" s="16" customFormat="1" ht="15.75">
      <c r="B3173" s="38">
        <f ca="1">IF(B3175="","",6)</f>
        <v>6</v>
      </c>
      <c r="C3173" s="34"/>
      <c r="D3173" s="38">
        <f ca="1">IF(B3175="","",3)</f>
        <v>3</v>
      </c>
      <c r="E3173" s="33"/>
      <c r="F3173" s="38">
        <f ca="1">IF(B3175="","",3)</f>
        <v>3</v>
      </c>
      <c r="G3173" s="33"/>
      <c r="H3173" s="38">
        <f ca="1">IF(B3175="","",3)</f>
        <v>3</v>
      </c>
      <c r="I3173" s="33"/>
    </row>
    <row r="3174" spans="2:9" s="16" customFormat="1" ht="15.75">
      <c r="B3174" s="39"/>
      <c r="C3174" s="33"/>
      <c r="D3174" s="33"/>
      <c r="E3174" s="33"/>
      <c r="F3174" s="33"/>
      <c r="G3174" s="33"/>
      <c r="H3174" s="33"/>
      <c r="I3174" s="33"/>
    </row>
    <row r="3175" spans="2:9" s="16" customFormat="1" ht="15.75">
      <c r="B3175" s="35" t="str">
        <f ca="1">IFERROR(IF(AND(INDEX(Tab_DaBa[],MATCH(CONCATENATE(Liste!$C$3,$B$3107,$B$3165),Data!$BO:$BO,0)-2,28)&lt;&gt;"",INDEX(Tab_DaBa[],MATCH(CONCATENATE(Liste!$C$3,$B$3107,$B$3165),Data!$BO:$BO,0)-2,33)=0),INDEX(Tab_DaBa[],MATCH(CONCATENATE(Liste!$C$3,$B$3107,$B$3165),Data!$BO:$BO,0)-2,14),IF(INDEX(Tab_DaBa[],MATCH(CONCATENATE(Liste!$C$3,$B$3107,$B$3165),Data!$BO:$BO,0)-2,28)&lt;&gt;"",INDEX(Tab_DaBa[],MATCH(CONCATENATE(Liste!$C$3,$B$3107,$B$3165),Data!$BO:$BO,0)-2,34),"")),"")</f>
        <v>Ausgang</v>
      </c>
      <c r="C3175" s="39"/>
      <c r="D3175" s="35" t="str">
        <f ca="1">IFERROR(IF(AND(INDEX(Tab_DaBa[],MATCH(CONCATENATE(Liste!$C$3,$B$3107,$B$3165),Data!$BO:$BO,0)-2,33)&lt;&gt;"",INDEX(Tab_DaBa[],MATCH(CONCATENATE(Liste!$C$3,$B$3107,$B$3165),Data!$BO:$BO,0)-2,38)=0),INDEX(Tab_DaBa[],MATCH(CONCATENATE(Liste!$C$3,$B$3107,$B$3165),Data!$BO:$BO,0)-2,14),IF(INDEX(Tab_DaBa[],MATCH(CONCATENATE(Liste!$C$3,$B$3107,$B$3165),Data!$BO:$BO,0)-2,33)&lt;&gt;"",INDEX(Tab_DaBa[],MATCH(CONCATENATE(Liste!$C$3,$B$3107,$B$3165),Data!$BO:$BO,0)-2,39),"")),"")</f>
        <v/>
      </c>
      <c r="E3175" s="33"/>
      <c r="F3175" s="35" t="str">
        <f ca="1">IFERROR(IF(AND(INDEX(Tab_DaBa[],MATCH(CONCATENATE(Liste!$C$3,$B$3107,$B$3165),Data!$BO:$BO,0)-2,38)&lt;&gt;"",INDEX(Tab_DaBa[],MATCH(CONCATENATE(Liste!$C$3,$B$3107,$B$3165),Data!$BO:$BO,0)-2,43)=0),INDEX(Tab_DaBa[],MATCH(CONCATENATE(Liste!$C$3,$B$3107,$B$3165),Data!$BO:$BO,0)-2,14),IF(INDEX(Tab_DaBa[],MATCH(CONCATENATE(Liste!$C$3,$B$3107,$B$3165),Data!$BO:$BO,0)-2,38)&lt;&gt;"",INDEX(Tab_DaBa[],MATCH(CONCATENATE(Liste!$C$3,$B$3107,$B$3165),Data!$BO:$BO,0)-2,44),"")),"")</f>
        <v/>
      </c>
      <c r="G3175" s="39"/>
      <c r="H3175" s="35" t="str">
        <f ca="1">IFERROR(IF(AND(INDEX(Tab_DaBa[],MATCH(CONCATENATE(Liste!$C$3,$B$3107,$B$3165),Data!$BO:$BO,0)-2,43)&lt;&gt;"",INDEX(Tab_DaBa[],MATCH(CONCATENATE(Liste!$C$3,$B$3107,$B$3165),Data!$BO:$BO,0)-2,48)=0),INDEX(Tab_DaBa[],MATCH(CONCATENATE(Liste!$C$3,$B$3107,$B$3165),Data!$BO:$BO,0)-2,14),IF(INDEX(Tab_DaBa[],MATCH(CONCATENATE(Liste!$C$3,$B$3107,$B$3165),Data!$BO:$BO,0)-2,43)&lt;&gt;"",INDEX(Tab_DaBa[],MATCH(CONCATENATE(Liste!$C$3,$B$3107,$B$3165),Data!$BO:$BO,0)-2,49),"")),"")</f>
        <v/>
      </c>
      <c r="I3175" s="39"/>
    </row>
    <row r="3176" spans="2:9" s="16" customFormat="1" ht="15.75">
      <c r="B3176" s="35" t="str">
        <f ca="1">IFERROR(IF(AND(INDEX(Tab_DaBa[],MATCH(CONCATENATE(Liste!$C$3,$B$3107,$B$3165),Data!$BO:$BO,0)-2,28)&lt;&gt;"",INDEX(Tab_DaBa[],MATCH(CONCATENATE(Liste!$C$3,$B$3107,$B$3165),Data!$BO:$BO,0)-2,33)=0),INDEX(Tab_DaBa[],MATCH(CONCATENATE(Liste!$C$3,$B$3107,$B$3165),Data!$BO:$BO,0)-2,12),IF(INDEX(Tab_DaBa[],MATCH(CONCATENATE(Liste!$C$3,$B$3107,$B$3165),Data!$BO:$BO,0)-2,28)&lt;&gt;"",INDEX(Tab_DaBa[],MATCH(CONCATENATE(Liste!$C$3,$B$3107,$B$3165),Data!$BO:$BO,0)-2,32),"")),"")</f>
        <v>aaaa-44_3</v>
      </c>
      <c r="C3176" s="39"/>
      <c r="D3176" s="35" t="str">
        <f ca="1">IFERROR(IF(AND(INDEX(Tab_DaBa[],MATCH(CONCATENATE(Liste!$C$3,$B$3107,$B$3165),Data!$BO:$BO,0)-2,33)&lt;&gt;"",INDEX(Tab_DaBa[],MATCH(CONCATENATE(Liste!$C$3,$B$3107,$B$3165),Data!$BO:$BO,0)-2,38)=0),INDEX(Tab_DaBa[],MATCH(CONCATENATE(Liste!$C$3,$B$3107,$B$3165),Data!$BO:$BO,0)-2,12),IF(INDEX(Tab_DaBa[],MATCH(CONCATENATE(Liste!$C$3,$B$3107,$B$3165),Data!$BO:$BO,0)-2,33)&lt;&gt;"",INDEX(Tab_DaBa[],MATCH(CONCATENATE(Liste!$C$3,$B$3107,$B$3165),Data!$BO:$BO,0)-2,37),"")),"")</f>
        <v/>
      </c>
      <c r="E3176" s="37"/>
      <c r="F3176" s="35" t="str">
        <f ca="1">IFERROR(IF(AND(INDEX(Tab_DaBa[],MATCH(CONCATENATE(Liste!$C$3,$B$3107,$B$3165),Data!$BO:$BO,0)-2,38)&lt;&gt;"",INDEX(Tab_DaBa[],MATCH(CONCATENATE(Liste!$C$3,$B$3107,$B$3165),Data!$BO:$BO,0)-2,43)=0),INDEX(Tab_DaBa[],MATCH(CONCATENATE(Liste!$C$3,$B$3107,$B$3165),Data!$BO:$BO,0)-2,12),IF(INDEX(Tab_DaBa[],MATCH(CONCATENATE(Liste!$C$3,$B$3107,$B$3165),Data!$BO:$BO,0)-2,38)&lt;&gt;"",INDEX(Tab_DaBa[],MATCH(CONCATENATE(Liste!$C$3,$B$3107,$B$3165),Data!$BO:$BO,0)-2,42),"")),"")</f>
        <v/>
      </c>
      <c r="G3176" s="39"/>
      <c r="H3176" s="35" t="str">
        <f ca="1">IFERROR(IF(AND(INDEX(Tab_DaBa[],MATCH(CONCATENATE(Liste!$C$3,$B$3107,$B$3165),Data!$BO:$BO,0)-2,43)&lt;&gt;"",INDEX(Tab_DaBa[],MATCH(CONCATENATE(Liste!$C$3,$B$3107,$B$3165),Data!$BO:$BO,0)-2,48)=0),INDEX(Tab_DaBa[],MATCH(CONCATENATE(Liste!$C$3,$B$3107,$B$3165),Data!$BO:$BO,0)-2,12),IF(INDEX(Tab_DaBa[],MATCH(CONCATENATE(Liste!$C$3,$B$3107,$B$3165),Data!$BO:$BO,0)-2,43)&lt;&gt;"",INDEX(Tab_DaBa[],MATCH(CONCATENATE(Liste!$C$3,$B$3107,$B$3165),Data!$BO:$BO,0)-2,47),"")),"")</f>
        <v/>
      </c>
      <c r="I3176" s="39"/>
    </row>
    <row r="3177" spans="2:9" s="16" customFormat="1" ht="15.75">
      <c r="B3177" s="35" t="str">
        <f ca="1">IFERROR(IF(AND(INDEX(Tab_DaBa[],MATCH(CONCATENATE(Liste!$C$3,$B$3107,$B$3165),Data!$BO:$BO,0)-2,28)&lt;&gt;"",INDEX(Tab_DaBa[],MATCH(CONCATENATE(Liste!$C$3,$B$3107,$B$3165),Data!$BO:$BO,0)-2,33)=""),INDEX(Tab_DaBa[],MATCH(CONCATENATE(Liste!$C$3,$B$3107,$B$3165),Data!$BO:$BO,0)-2,13),IF(INDEX(Tab_DaBa[],MATCH(CONCATENATE(Liste!$C$3,$B$3107,$B$3165),Data!$BO:$BO,0)-2,28)&lt;&gt;"",INDEX(Tab_DaBa[],MATCH(CONCATENATE(Liste!$C$3,$B$3107,$B$3165),Data!$BO:$BO,0)-2,33),"")),"")</f>
        <v>Bez_Aus4_3</v>
      </c>
      <c r="C3177" s="38" t="str">
        <f ca="1">IF(D3175="","",4)</f>
        <v/>
      </c>
      <c r="D3177" s="35" t="str">
        <f ca="1">IFERROR(IF(AND(INDEX(Tab_DaBa[],MATCH(CONCATENATE(Liste!$C$3,$B$3107,$B$3165),Data!$BO:$BO,0)-2,33)&lt;&gt;"",INDEX(Tab_DaBa[],MATCH(CONCATENATE(Liste!$C$3,$B$3107,$B$3165),Data!$BO:$BO,0)-2,38)=""),INDEX(Tab_DaBa[],MATCH(CONCATENATE(Liste!$C$3,$B$3107,$B$3165),Data!$BO:$BO,0)-2,13),IF(INDEX(Tab_DaBa[],MATCH(CONCATENATE(Liste!$C$3,$B$3107,$B$3165),Data!$BO:$BO,0)-2,33)&lt;&gt;"",INDEX(Tab_DaBa[],MATCH(CONCATENATE(Liste!$C$3,$B$3107,$B$3165),Data!$BO:$BO,0)-2,38),"")),"")</f>
        <v/>
      </c>
      <c r="E3177" s="38" t="str">
        <f ca="1">IF(F3175="","",4)</f>
        <v/>
      </c>
      <c r="F3177" s="35" t="str">
        <f ca="1">IFERROR(IF(AND(INDEX(Tab_DaBa[],MATCH(CONCATENATE(Liste!$C$3,$B$3107,$B$3165),Data!$BO:$BO,0)-2,38)&lt;&gt;"",INDEX(Tab_DaBa[],MATCH(CONCATENATE(Liste!$C$3,$B$3107,$B$3165),Data!$BO:$BO,0)-2,43)=""),INDEX(Tab_DaBa[],MATCH(CONCATENATE(Liste!$C$3,$B$3107,$B$3165),Data!$BO:$BO,0)-2,13),IF(INDEX(Tab_DaBa[],MATCH(CONCATENATE(Liste!$C$3,$B$3107,$B$3165),Data!$BO:$BO,0)-2,38)&lt;&gt;"",INDEX(Tab_DaBa[],MATCH(CONCATENATE(Liste!$C$3,$B$3107,$B$3165),Data!$BO:$BO,0)-2,43),"")),"")</f>
        <v/>
      </c>
      <c r="G3177" s="38" t="str">
        <f ca="1">IF(H3175="","",4)</f>
        <v/>
      </c>
      <c r="H3177" s="35" t="str">
        <f ca="1">IFERROR(IF(AND(INDEX(Tab_DaBa[],MATCH(CONCATENATE(Liste!$C$3,$B$3107,$B$3165),Data!$BO:$BO,0)-2,43)&lt;&gt;"",INDEX(Tab_DaBa[],MATCH(CONCATENATE(Liste!$C$3,$B$3107,$B$3165),Data!$BO:$BO,0)-2,48)=""),INDEX(Tab_DaBa[],MATCH(CONCATENATE(Liste!$C$3,$B$3107,$B$3165),Data!$BO:$BO,0)-2,13),IF(INDEX(Tab_DaBa[],MATCH(CONCATENATE(Liste!$C$3,$B$3107,$B$3165),Data!$BO:$BO,0)-2,43)&lt;&gt;"",INDEX(Tab_DaBa[],MATCH(CONCATENATE(Liste!$C$3,$B$3107,$B$3165),Data!$BO:$BO,0)-2,48),"")),"")</f>
        <v/>
      </c>
      <c r="I3177" s="38" t="str">
        <f ca="1">IF(B3183="","",6)</f>
        <v/>
      </c>
    </row>
    <row r="3178" spans="2:9" s="16" customFormat="1" ht="15.75">
      <c r="B3178" s="35" t="str">
        <f ca="1">IFERROR(IF(AND(INDEX(Tab_DaBa[],MATCH(CONCATENATE(Liste!$C$3,$B$3107,$B$3165),Data!$BO:$BO,0)-2,28)&lt;&gt;"",INDEX(Tab_DaBa[],MATCH(CONCATENATE(Liste!$C$3,$B$3107,$B$3165),Data!$BO:$BO,0)-2,33)=""),"Performance Level: "&amp;INDEX(Tab_DaBa[],MATCH(CONCATENATE(Liste!$C$3,$B$3107,$B$3165),Data!$BO:$BO,0)-2,15),IF(INDEX(Tab_DaBa[],MATCH(CONCATENATE(Liste!$C$3,$B$3107,$B$3165),Data!$BO:$BO,0)-2,28)&lt;&gt;"","Performance Level: "&amp;INDEX(Tab_DaBa[],MATCH(CONCATENATE(Liste!$C$3,$B$3107,$B$3165),Data!$BO:$BO,0)-2,35),"")),"")</f>
        <v>Performance Level: PL_Aus4_3</v>
      </c>
      <c r="C3178" s="39"/>
      <c r="D3178" s="35" t="str">
        <f ca="1">IFERROR(IF(AND(INDEX(Tab_DaBa[],MATCH(CONCATENATE(Liste!$C$3,$B$3107,$B$3165),Data!$BO:$BO,0)-2,33)&lt;&gt;"",INDEX(Tab_DaBa[],MATCH(CONCATENATE(Liste!$C$3,$B$3107,$B$3165),Data!$BO:$BO,0)-2,38)=""),"Performance Level: "&amp;INDEX(Tab_DaBa[],MATCH(CONCATENATE(Liste!$C$3,$B$3107,$B$3165),Data!$BO:$BO,0)-2,15),IF(INDEX(Tab_DaBa[],MATCH(CONCATENATE(Liste!$C$3,$B$3107,$B$3165),Data!$BO:$BO,0)-2,33)&lt;&gt;"","Performance Level: "&amp;INDEX(Tab_DaBa[],MATCH(CONCATENATE(Liste!$C$3,$B$3107,$B$3165),Data!$BO:$BO,0)-2,40),"")),"")</f>
        <v/>
      </c>
      <c r="E3178" s="37"/>
      <c r="F3178" s="35" t="str">
        <f ca="1">IFERROR(IF(AND(INDEX(Tab_DaBa[],MATCH(CONCATENATE(Liste!$C$3,$B$3107,$B$3165),Data!$BO:$BO,0)-2,38)&lt;&gt;"",INDEX(Tab_DaBa[],MATCH(CONCATENATE(Liste!$C$3,$B$3107,$B$3165),Data!$BO:$BO,0)-2,43)=""),"Performance Level: "&amp;INDEX(Tab_DaBa[],MATCH(CONCATENATE(Liste!$C$3,$B$3107,$B$3165),Data!$BO:$BO,0)-2,15),IF(INDEX(Tab_DaBa[],MATCH(CONCATENATE(Liste!$C$3,$B$3107,$B$3165),Data!$BO:$BO,0)-2,38)&lt;&gt;"","Performance Level: "&amp;INDEX(Tab_DaBa[],MATCH(CONCATENATE(Liste!$C$3,$B$3107,$B$3165),Data!$BO:$BO,0)-2,45),"")),"")</f>
        <v/>
      </c>
      <c r="G3178" s="39"/>
      <c r="H3178" s="35" t="str">
        <f ca="1">IFERROR(IF(AND(INDEX(Tab_DaBa[],MATCH(CONCATENATE(Liste!$C$3,$B$3107,$B$3165),Data!$BO:$BO,0)-2,43)&lt;&gt;"",INDEX(Tab_DaBa[],MATCH(CONCATENATE(Liste!$C$3,$B$3107,$B$3165),Data!$BO:$BO,0)-2,48)=""),"Performance Level: "&amp;INDEX(Tab_DaBa[],MATCH(CONCATENATE(Liste!$C$3,$B$3107,$B$3165),Data!$BO:$BO,0)-2,15),IF(INDEX(Tab_DaBa[],MATCH(CONCATENATE(Liste!$C$3,$B$3107,$B$3165),Data!$BO:$BO,0)-2,43)&lt;&gt;"","Performance Level: "&amp;INDEX(Tab_DaBa[],MATCH(CONCATENATE(Liste!$C$3,$B$3107,$B$3165),Data!$BO:$BO,0)-2,50),"")),"")</f>
        <v/>
      </c>
      <c r="I3178" s="39"/>
    </row>
    <row r="3179" spans="2:9" s="16" customFormat="1" ht="15.75">
      <c r="B3179" s="35" t="str">
        <f ca="1">IFERROR(IF(AND(INDEX(Tab_DaBa[],MATCH(CONCATENATE(Liste!$C$3,$B$3107,$B$3165),Data!$BO:$BO,0)-2,28)&lt;&gt;"",INDEX(Tab_DaBa[],MATCH(CONCATENATE(Liste!$C$3,$B$3107,$B$3165),Data!$BO:$BO,0)-2,33)=""),"PFH [1/h] = "&amp;10^9*INDEX(Tab_DaBa[],MATCH(CONCATENATE(Liste!$C$3,$B$3107,$B$3165),Data!$BO:$BO,0)-2,16)&amp;"E-9",IF(INDEX(Tab_DaBa[],MATCH(CONCATENATE(Liste!$C$3,$B$3107,$B$3165),Data!$BO:$BO,0)-2,28)&lt;&gt;"","PFH [1/h] = "&amp;10^9*INDEX(Tab_DaBa[],MATCH(CONCATENATE(Liste!$C$3,$B$3107,$B$3165),Data!$BO:$BO,0)-2,36)&amp;"E-9","")),"")</f>
        <v>PFH [1/h] = 24,7E-9</v>
      </c>
      <c r="C3179" s="39"/>
      <c r="D3179" s="35" t="str">
        <f ca="1">IFERROR(IF(AND(INDEX(Tab_DaBa[],MATCH(CONCATENATE(Liste!$C$3,$B$3107,$B$3165),Data!$BO:$BO,0)-2,33)&lt;&gt;"",INDEX(Tab_DaBa[],MATCH(CONCATENATE(Liste!$C$3,$B$3107,$B$3165),Data!$BO:$BO,0)-2,38)=""),"PFH [1/h] = "&amp;10^9*INDEX(Tab_DaBa[],MATCH(CONCATENATE(Liste!$C$3,$B$3107,$B$3165),Data!$BO:$BO,0)-2,16)&amp;"E-9",IF(INDEX(Tab_DaBa[],MATCH(CONCATENATE(Liste!$C$3,$B$3107,$B$3165),Data!$BO:$BO,0)-2,33)&lt;&gt;"","PFH [1/h] = "&amp;10^9*INDEX(Tab_DaBa[],MATCH(CONCATENATE(Liste!$C$3,$B$3107,$B$3165),Data!$BO:$BO,0)-2,41)&amp;"E-9","")),"")</f>
        <v/>
      </c>
      <c r="E3179" s="37"/>
      <c r="F3179" s="35" t="str">
        <f ca="1">IFERROR(IF(AND(INDEX(Tab_DaBa[],MATCH(CONCATENATE(Liste!$C$3,$B$3107,$B$3165),Data!$BO:$BO,0)-2,38)&lt;&gt;"",INDEX(Tab_DaBa[],MATCH(CONCATENATE(Liste!$C$3,$B$3107,$B$3165),Data!$BO:$BO,0)-2,43)=""),"PFH [1/h] = "&amp;10^9*INDEX(Tab_DaBa[],MATCH(CONCATENATE(Liste!$C$3,$B$3107,$B$3165),Data!$BO:$BO,0)-2,16)&amp;"E-9",IF(INDEX(Tab_DaBa[],MATCH(CONCATENATE(Liste!$C$3,$B$3107,$B$3165),Data!$BO:$BO,0)-2,38)&lt;&gt;"","PFH [1/h] = "&amp;10^9*INDEX(Tab_DaBa[],MATCH(CONCATENATE(Liste!$C$3,$B$3107,$B$3165),Data!$BO:$BO,0)-2,46)&amp;"E-9","")),"")</f>
        <v/>
      </c>
      <c r="G3179" s="39"/>
      <c r="H3179" s="35" t="str">
        <f ca="1">IFERROR(IF(AND(INDEX(Tab_DaBa[],MATCH(CONCATENATE(Liste!$C$3,$B$3107,$B$3165),Data!$BO:$BO,0)-2,43)&lt;&gt;"",INDEX(Tab_DaBa[],MATCH(CONCATENATE(Liste!$C$3,$B$3107,$B$3165),Data!$BO:$BO,0)-2,48)=""),"PFH [1/h] = "&amp;10^9*INDEX(Tab_DaBa[],MATCH(CONCATENATE(Liste!$C$3,$B$3107,$B$3165),Data!$BO:$BO,0)-2,16)&amp;"E-9",IF(INDEX(Tab_DaBa[],MATCH(CONCATENATE(Liste!$C$3,$B$3107,$B$3165),Data!$BO:$BO,0)-2,43)&lt;&gt;"","PFH [1/h] = "&amp;10^9*INDEX(Tab_DaBa[],MATCH(CONCATENATE(Liste!$C$3,$B$3107,$B$3165),Data!$BO:$BO,0)-2,51)&amp;"E-9","")),"")</f>
        <v/>
      </c>
      <c r="I3179" s="39"/>
    </row>
    <row r="3180" spans="2:9" s="16" customFormat="1">
      <c r="B3180" s="33"/>
      <c r="C3180" s="33"/>
      <c r="D3180" s="33"/>
      <c r="E3180" s="33"/>
      <c r="F3180" s="33"/>
      <c r="G3180" s="33"/>
      <c r="H3180" s="33"/>
      <c r="I3180" s="33"/>
    </row>
    <row r="3181" spans="2:9" s="16" customFormat="1" ht="15.75">
      <c r="B3181" s="38" t="str">
        <f ca="1">IF(B3183="","",6)</f>
        <v/>
      </c>
      <c r="C3181" s="33"/>
      <c r="D3181" s="38" t="str">
        <f ca="1">IF(B3183="","",3)</f>
        <v/>
      </c>
      <c r="E3181" s="33"/>
      <c r="F3181" s="38" t="str">
        <f ca="1">IF(B3183="","",3)</f>
        <v/>
      </c>
      <c r="G3181" s="33"/>
      <c r="H3181" s="38" t="str">
        <f ca="1">IF(B3183="","",3)</f>
        <v/>
      </c>
      <c r="I3181" s="33"/>
    </row>
    <row r="3182" spans="2:9" s="16" customFormat="1" ht="15.75">
      <c r="B3182" s="39"/>
      <c r="C3182" s="33"/>
      <c r="D3182" s="33"/>
      <c r="E3182" s="33"/>
      <c r="F3182" s="33"/>
      <c r="G3182" s="33"/>
      <c r="H3182" s="33"/>
      <c r="I3182" s="33"/>
    </row>
    <row r="3183" spans="2:9" s="16" customFormat="1" ht="15.75">
      <c r="B3183" s="35" t="str">
        <f ca="1">IFERROR(IF(AND(INDEX(Tab_DaBa[],MATCH(CONCATENATE(Liste!$C$3,$B$3107,$B$3165),Data!$BO:$BO,0)-2,48)&lt;&gt;"",INDEX(Tab_DaBa[],MATCH(CONCATENATE(Liste!$C$3,$B$3107,$B$3165),Data!$BO:$BO,0)-2,53)=0),INDEX(Tab_DaBa[],MATCH(CONCATENATE(Liste!$C$3,$B$3107,$B$3165),Data!$BO:$BO,0)-2,14),IF(INDEX(Tab_DaBa[],MATCH(CONCATENATE(Liste!$C$3,$B$3107,$B$3165),Data!$BO:$BO,0)-2,48)&lt;&gt;"",INDEX(Tab_DaBa[],MATCH(CONCATENATE(Liste!$C$3,$B$3107,$B$3165),Data!$BO:$BO,0)-2,54),"")),"")</f>
        <v/>
      </c>
      <c r="C3183" s="39"/>
      <c r="D3183" s="35" t="str">
        <f ca="1">IFERROR(IF(AND(INDEX(Tab_DaBa[],MATCH(CONCATENATE(Liste!$C$3,$B$3107,$B$3165),Data!$BO:$BO,0)-2,53)&lt;&gt;"",INDEX(Tab_DaBa[],MATCH(CONCATENATE(Liste!$C$3,$B$3107,$B$3165),Data!$BO:$BO,0)-2,58)=0),INDEX(Tab_DaBa[],MATCH(CONCATENATE(Liste!$C$3,$B$3107,$B$3165),Data!$BO:$BO,0)-2,14),IF(INDEX(Tab_DaBa[],MATCH(CONCATENATE(Liste!$C$3,$B$3107,$B$3165),Data!$BO:$BO,0)-2,53)&lt;&gt;"",INDEX(Tab_DaBa[],MATCH(CONCATENATE(Liste!$C$3,$B$3107,$B$3165),Data!$BO:$BO,0)-2,59),"")),"")</f>
        <v/>
      </c>
      <c r="E3183" s="33"/>
      <c r="F3183" s="35" t="str">
        <f ca="1">IFERROR(IF(AND(INDEX(Tab_DaBa[],MATCH(CONCATENATE(Liste!$C$3,$B$3107,$B$3165),Data!$BO:$BO,0)-2,58)&lt;&gt;"",INDEX(Tab_DaBa[],MATCH(CONCATENATE(Liste!$C$3,$B$3107,$B$3165),Data!$BO:$BO,0)-2,63)=0),INDEX(Tab_DaBa[],MATCH(CONCATENATE(Liste!$C$3,$B$3107,$B$3165),Data!$BO:$BO,0)-2,14),IF(INDEX(Tab_DaBa[],MATCH(CONCATENATE(Liste!$C$3,$B$3107,$B$3165),Data!$BO:$BO,0)-2,58)&lt;&gt;"",INDEX(Tab_DaBa[],MATCH(CONCATENATE(Liste!$C$3,$B$3107,$B$3165),Data!$BO:$BO,0)-2,64),"")),"")</f>
        <v/>
      </c>
      <c r="G3183" s="39"/>
      <c r="H3183" s="35" t="str">
        <f ca="1">IFERROR(IF(INDEX(Tab_DaBa[],MATCH(CONCATENATE(Liste!$C$3,$B$3107,$B$3165),Data!$BO:$BO,0)-2,63)&lt;&gt;"",INDEX(Tab_DaBa[],MATCH(CONCATENATE(Liste!$C$3,$B$3107,$B$3165),Data!$BO:$BO,0)-2,14),""),"")</f>
        <v/>
      </c>
    </row>
    <row r="3184" spans="2:9" s="16" customFormat="1" ht="15.75">
      <c r="B3184" s="35" t="str">
        <f ca="1">IFERROR(IF(AND(INDEX(Tab_DaBa[],MATCH(CONCATENATE(Liste!$C$3,$B$3107,$B$3165),Data!$BO:$BO,0)-2,48)&lt;&gt;"",INDEX(Tab_DaBa[],MATCH(CONCATENATE(Liste!$C$3,$B$3107,$B$3165),Data!$BO:$BO,0)-2,53)=0),INDEX(Tab_DaBa[],MATCH(CONCATENATE(Liste!$C$3,$B$3107,$B$3165),Data!$BO:$BO,0)-2,12),IF(INDEX(Tab_DaBa[],MATCH(CONCATENATE(Liste!$C$3,$B$3107,$B$3165),Data!$BO:$BO,0)-2,48)&lt;&gt;"",INDEX(Tab_DaBa[],MATCH(CONCATENATE(Liste!$C$3,$B$3107,$B$3165),Data!$BO:$BO,0)-2,52),"")),"")</f>
        <v/>
      </c>
      <c r="C3184" s="39"/>
      <c r="D3184" s="35" t="str">
        <f ca="1">IFERROR(IF(AND(INDEX(Tab_DaBa[],MATCH(CONCATENATE(Liste!$C$3,$B$3107,$B$3165),Data!$BO:$BO,0)-2,53)&lt;&gt;"",INDEX(Tab_DaBa[],MATCH(CONCATENATE(Liste!$C$3,$B$3107,$B$3165),Data!$BO:$BO,0)-2,58)=0),INDEX(Tab_DaBa[],MATCH(CONCATENATE(Liste!$C$3,$B$3107,$B$3165),Data!$BO:$BO,0)-2,12),IF(INDEX(Tab_DaBa[],MATCH(CONCATENATE(Liste!$C$3,$B$3107,$B$3165),Data!$BO:$BO,0)-2,53)&lt;&gt;"",INDEX(Tab_DaBa[],MATCH(CONCATENATE(Liste!$C$3,$B$3107,$B$3165),Data!$BO:$BO,0)-2,57),"")),"")</f>
        <v/>
      </c>
      <c r="E3184" s="37"/>
      <c r="F3184" s="35" t="str">
        <f ca="1">IFERROR(IF(AND(INDEX(Tab_DaBa[],MATCH(CONCATENATE(Liste!$C$3,$B$3107,$B$3165),Data!$BO:$BO,0)-2,58)&lt;&gt;"",INDEX(Tab_DaBa[],MATCH(CONCATENATE(Liste!$C$3,$B$3107,$B$3165),Data!$BO:$BO,0)-2,63)=0),INDEX(Tab_DaBa[],MATCH(CONCATENATE(Liste!$C$3,$B$3107,$B$3165),Data!$BO:$BO,0)-2,12),IF(INDEX(Tab_DaBa[],MATCH(CONCATENATE(Liste!$C$3,$B$3107,$B$3165),Data!$BO:$BO,0)-2,58)&lt;&gt;"",INDEX(Tab_DaBa[],MATCH(CONCATENATE(Liste!$C$3,$B$3107,$B$3165),Data!$BO:$BO,0)-2,62),"")),"")</f>
        <v/>
      </c>
      <c r="G3184" s="39"/>
      <c r="H3184" s="35" t="str">
        <f ca="1">IFERROR(IF(INDEX(Tab_DaBa[],MATCH(CONCATENATE(Liste!$C$3,$B$3107,$B$3165),Data!$BO:$BO,0)-2,63)&lt;&gt;"",INDEX(Tab_DaBa[],MATCH(CONCATENATE(Liste!$C$3,$B$3107,$B$3165),Data!$BO:$BO,0)-2,12),""),"")</f>
        <v/>
      </c>
    </row>
    <row r="3185" spans="2:9" s="16" customFormat="1" ht="15.75">
      <c r="B3185" s="35" t="str">
        <f ca="1">IFERROR(IF(AND(INDEX(Tab_DaBa[],MATCH(CONCATENATE(Liste!$C$3,$B$3107,$B$3165),Data!$BO:$BO,0)-2,48)&lt;&gt;"",INDEX(Tab_DaBa[],MATCH(CONCATENATE(Liste!$C$3,$B$3107,$B$3165),Data!$BO:$BO,0)-2,53)=""),INDEX(Tab_DaBa[],MATCH(CONCATENATE(Liste!$C$3,$B$3107,$B$3165),Data!$BO:$BO,0)-2,13),IF(INDEX(Tab_DaBa[],MATCH(CONCATENATE(Liste!$C$3,$B$3107,$B$3165),Data!$BO:$BO,0)-2,48)&lt;&gt;"",INDEX(Tab_DaBa[],MATCH(CONCATENATE(Liste!$C$3,$B$3107,$B$3165),Data!$BO:$BO,0)-2,53),"")),"")</f>
        <v/>
      </c>
      <c r="C3185" s="38" t="str">
        <f ca="1">IF(D3183="","",4)</f>
        <v/>
      </c>
      <c r="D3185" s="35" t="str">
        <f ca="1">IFERROR(IF(AND(INDEX(Tab_DaBa[],MATCH(CONCATENATE(Liste!$C$3,$B$3107,$B$3165),Data!$BO:$BO,0)-2,53)&lt;&gt;"",INDEX(Tab_DaBa[],MATCH(CONCATENATE(Liste!$C$3,$B$3107,$B$3165),Data!$BO:$BO,0)-2,58)=""),INDEX(Tab_DaBa[],MATCH(CONCATENATE(Liste!$C$3,$B$3107,$B$3165),Data!$BO:$BO,0)-2,13),IF(INDEX(Tab_DaBa[],MATCH(CONCATENATE(Liste!$C$3,$B$3107,$B$3165),Data!$BO:$BO,0)-2,53)&lt;&gt;"",INDEX(Tab_DaBa[],MATCH(CONCATENATE(Liste!$C$3,$B$3107,$B$3165),Data!$BO:$BO,0)-2,58),"")),"")</f>
        <v/>
      </c>
      <c r="E3185" s="38" t="str">
        <f ca="1">IF(F3183="","",4)</f>
        <v/>
      </c>
      <c r="F3185" s="35" t="str">
        <f ca="1">IFERROR(IF(AND(INDEX(Tab_DaBa[],MATCH(CONCATENATE(Liste!$C$3,$B$3107,$B$3165),Data!$BO:$BO,0)-2,58)&lt;&gt;"",INDEX(Tab_DaBa[],MATCH(CONCATENATE(Liste!$C$3,$B$3107,$B$3165),Data!$BO:$BO,0)-2,63)=""),INDEX(Tab_DaBa[],MATCH(CONCATENATE(Liste!$C$3,$B$3107,$B$3165),Data!$BO:$BO,0)-2,13),IF(INDEX(Tab_DaBa[],MATCH(CONCATENATE(Liste!$C$3,$B$3107,$B$3165),Data!$BO:$BO,0)-2,58)&lt;&gt;"",INDEX(Tab_DaBa[],MATCH(CONCATENATE(Liste!$C$3,$B$3107,$B$3165),Data!$BO:$BO,0)-2,63),"")),"")</f>
        <v/>
      </c>
      <c r="G3185" s="38" t="str">
        <f ca="1">IF(H3183="","",4)</f>
        <v/>
      </c>
      <c r="H3185" s="35" t="str">
        <f ca="1">IFERROR(IF(INDEX(Tab_DaBa[],MATCH(CONCATENATE(Liste!$C$3,$B$3107,$B$3165),Data!$BO:$BO,0)-2,63)&lt;&gt;"",INDEX(Tab_DaBa[],MATCH(CONCATENATE(Liste!$C$3,$B$3107,$B$3165),Data!$BO:$BO,0)-2,13),""),"")</f>
        <v/>
      </c>
    </row>
    <row r="3186" spans="2:9" s="16" customFormat="1" ht="15.75">
      <c r="B3186" s="35" t="str">
        <f ca="1">IFERROR(IF(AND(INDEX(Tab_DaBa[],MATCH(CONCATENATE(Liste!$C$3,$B$3107,$B$3165),Data!$BO:$BO,0)-2,48)&lt;&gt;"",INDEX(Tab_DaBa[],MATCH(CONCATENATE(Liste!$C$3,$B$3107,$B$3165),Data!$BO:$BO,0)-2,53)=""),"Performance Level: "&amp;INDEX(Tab_DaBa[],MATCH(CONCATENATE(Liste!$C$3,$B$3107,$B$3165),Data!$BO:$BO,0)-2,15),IF(INDEX(Tab_DaBa[],MATCH(CONCATENATE(Liste!$C$3,$B$3107,$B$3165),Data!$BO:$BO,0)-2,48)&lt;&gt;"","Performance Level: "&amp;INDEX(Tab_DaBa[],MATCH(CONCATENATE(Liste!$C$3,$B$3107,$B$3165),Data!$BO:$BO,0)-2,55),"")),"")</f>
        <v/>
      </c>
      <c r="C3186" s="39"/>
      <c r="D3186" s="35" t="str">
        <f ca="1">IFERROR(IF(AND(INDEX(Tab_DaBa[],MATCH(CONCATENATE(Liste!$C$3,$B$3107,$B$3165),Data!$BO:$BO,0)-2,53)&lt;&gt;"",INDEX(Tab_DaBa[],MATCH(CONCATENATE(Liste!$C$3,$B$3107,$B$3165),Data!$BO:$BO,0)-2,58)=""),"Performance Level: "&amp;INDEX(Tab_DaBa[],MATCH(CONCATENATE(Liste!$C$3,$B$3107,$B$3165),Data!$BO:$BO,0)-2,15),IF(INDEX(Tab_DaBa[],MATCH(CONCATENATE(Liste!$C$3,$B$3107,$B$3165),Data!$BO:$BO,0)-2,53)&lt;&gt;"","Performance Level: "&amp;INDEX(Tab_DaBa[],MATCH(CONCATENATE(Liste!$C$3,$B$3107,$B$3165),Data!$BO:$BO,0)-2,60),"")),"")</f>
        <v/>
      </c>
      <c r="E3186" s="37"/>
      <c r="F3186" s="35" t="str">
        <f ca="1">IFERROR(IF(AND(INDEX(Tab_DaBa[],MATCH(CONCATENATE(Liste!$C$3,$B$3107,$B$3165),Data!$BO:$BO,0)-2,58)&lt;&gt;"",INDEX(Tab_DaBa[],MATCH(CONCATENATE(Liste!$C$3,$B$3107,$B$3165),Data!$BO:$BO,0)-2,63)=""),"Performance Level: "&amp;INDEX(Tab_DaBa[],MATCH(CONCATENATE(Liste!$C$3,$B$3107,$B$3165),Data!$BO:$BO,0)-2,15),IF(INDEX(Tab_DaBa[],MATCH(CONCATENATE(Liste!$C$3,$B$3107,$B$3165),Data!$BO:$BO,0)-2,58)&lt;&gt;"","Performance Level: "&amp;INDEX(Tab_DaBa[],MATCH(CONCATENATE(Liste!$C$3,$B$3107,$B$3165),Data!$BO:$BO,0)-2,65),"")),"")</f>
        <v/>
      </c>
      <c r="G3186" s="39"/>
      <c r="H3186" s="35" t="str">
        <f ca="1">IFERROR(IF(INDEX(Tab_DaBa[],MATCH(CONCATENATE(Liste!$C$3,$B$3107,$B$3165),Data!$BO:$BO,0)-2,63)&lt;&gt;"","Performance Level: "&amp;INDEX(Tab_DaBa[],MATCH(CONCATENATE(Liste!$C$3,$B$3107,$B$3165),Data!$BO:$BO,0)-2,15),""),"")</f>
        <v/>
      </c>
    </row>
    <row r="3187" spans="2:9" s="16" customFormat="1" ht="15.75">
      <c r="B3187" s="35" t="str">
        <f ca="1">IFERROR(IF(AND(INDEX(Tab_DaBa[],MATCH(CONCATENATE(Liste!$C$3,$B$3107,$B$3165),Data!$BO:$BO,0)-2,48)&lt;&gt;"",INDEX(Tab_DaBa[],MATCH(CONCATENATE(Liste!$C$3,$B$3107,$B$3165),Data!$BO:$BO,0)-2,53)=""),"PFH [1/h] = "&amp;10^9*INDEX(Tab_DaBa[],MATCH(CONCATENATE(Liste!$C$3,$B$3107,$B$3165),Data!$BO:$BO,0)-2,16)&amp;"E-9",IF(INDEX(Tab_DaBa[],MATCH(CONCATENATE(Liste!$C$3,$B$3107,$B$3165),Data!$BO:$BO,0)-2,48)&lt;&gt;"","PFH [1/h] = "&amp;10^9*INDEX(Tab_DaBa[],MATCH(CONCATENATE(Liste!$C$3,$B$3107,$B$3165),Data!$BO:$BO,0)-2,56)&amp;"E-9","")),"")</f>
        <v/>
      </c>
      <c r="C3187" s="39"/>
      <c r="D3187" s="35" t="str">
        <f ca="1">IFERROR(IF(AND(INDEX(Tab_DaBa[],MATCH(CONCATENATE(Liste!$C$3,$B$3107,$B$3165),Data!$BO:$BO,0)-2,53)&lt;&gt;"",INDEX(Tab_DaBa[],MATCH(CONCATENATE(Liste!$C$3,$B$3107,$B$3165),Data!$BO:$BO,0)-2,58)=""),"PFH [1/h] = "&amp;10^9*INDEX(Tab_DaBa[],MATCH(CONCATENATE(Liste!$C$3,$B$3107,$B$3165),Data!$BO:$BO,0)-2,16)&amp;"E-9",IF(INDEX(Tab_DaBa[],MATCH(CONCATENATE(Liste!$C$3,$B$3107,$B$3165),Data!$BO:$BO,0)-2,53)&lt;&gt;"","PFH [1/h] = "&amp;10^9*INDEX(Tab_DaBa[],MATCH(CONCATENATE(Liste!$C$3,$B$3107,$B$3165),Data!$BO:$BO,0)-2,61)&amp;"E-9","")),"")</f>
        <v/>
      </c>
      <c r="E3187" s="37"/>
      <c r="F3187" s="35" t="str">
        <f ca="1">IFERROR(IF(AND(INDEX(Tab_DaBa[],MATCH(CONCATENATE(Liste!$C$3,$B$3107,$B$3165),Data!$BO:$BO,0)-2,58)&lt;&gt;"",INDEX(Tab_DaBa[],MATCH(CONCATENATE(Liste!$C$3,$B$3107,$B$3165),Data!$BO:$BO,0)-2,63)=""),"PFH [1/h] = "&amp;10^9*INDEX(Tab_DaBa[],MATCH(CONCATENATE(Liste!$C$3,$B$3107,$B$3165),Data!$BO:$BO,0)-2,16)&amp;"E-9",IF(INDEX(Tab_DaBa[],MATCH(CONCATENATE(Liste!$C$3,$B$3107,$B$3165),Data!$BO:$BO,0)-2,58)&lt;&gt;"","PFH [1/h] = "&amp;10^9*INDEX(Tab_DaBa[],MATCH(CONCATENATE(Liste!$C$3,$B$3107,$B$3165),Data!$BO:$BO,0)-2,66)&amp;"E-9","")),"")</f>
        <v/>
      </c>
      <c r="G3187" s="39"/>
      <c r="H3187" s="35" t="str">
        <f ca="1">IFERROR(IF(INDEX(Tab_DaBa[],MATCH(CONCATENATE(Liste!$C$3,$B$3107,$B$3165),Data!$BO:$BO,0)-2,63)&lt;&gt;"","PFH [1/h] = "&amp;10^9*INDEX(Tab_DaBa[],MATCH(CONCATENATE(Liste!$C$3,$B$3107,$B$3165),Data!$BO:$BO,0)-2,16)&amp;"E-9",""),"")</f>
        <v/>
      </c>
    </row>
    <row r="3188" spans="2:9" s="16" customFormat="1"/>
    <row r="3189" spans="2:9" s="16" customFormat="1">
      <c r="B3189" s="43" t="str">
        <f ca="1">IF(D3189="","","Erforderlich")</f>
        <v>Erforderlich</v>
      </c>
      <c r="D3189" s="44" t="str">
        <f ca="1">IFERROR("Performance Level: "&amp;INDEX(Tab_DaBa[],MATCH(CONCATENATE(Liste!$C$3,$B$3107,$B$3165),Data!$BO:$BO,0)-2,4),"")</f>
        <v>Performance Level: PLr_ges4_3</v>
      </c>
    </row>
    <row r="3190" spans="2:9" s="16" customFormat="1">
      <c r="B3190" s="45"/>
    </row>
    <row r="3191" spans="2:9" s="16" customFormat="1">
      <c r="B3191" s="46" t="str">
        <f ca="1">IF(D3191="","","Erreicht")</f>
        <v>Erreicht</v>
      </c>
      <c r="D3191" s="47" t="str">
        <f ca="1">IFERROR("Performance Level: "&amp;INDEX(Tab_DaBa[],MATCH(CONCATENATE(Liste!$C$3,$B$3107,$B$3165),Data!$BO:$BO,0)-2,5)&amp;"          PFH [1/h] = "&amp;10^9*INDEX(Tab_DaBa[],MATCH(CONCATENATE(Liste!$C$3,$B$3107,$B$3165),Data!$BO:$BO,0)-2,6)&amp;"E-9","")</f>
        <v>Performance Level: Pl_ges4_3          PFH [1/h] = 71,7E-9</v>
      </c>
    </row>
    <row r="3192" spans="2:9" s="16" customFormat="1"/>
    <row r="3193" spans="2:9" s="16" customFormat="1">
      <c r="B3193" s="42" t="str">
        <f ca="1">IFERROR(IF(4&gt;COUNTIF(Data!$BP:$BP,CONCATENATE(Liste!$C$3,$B$3107)),"",INDEX(Tab_DaBa[],MATCH(CONCATENATE(Liste!$C$3,$B$3107),Data!$BP:$BP,0)+1,3)),"")</f>
        <v>12.4 Test12 (E+4L+A)</v>
      </c>
    </row>
    <row r="3194" spans="2:9" s="16" customFormat="1"/>
    <row r="3195" spans="2:9" s="16" customFormat="1" ht="15.75">
      <c r="B3195" s="35" t="str">
        <f ca="1">IFERROR(INDEX(Tab_DaBa[],MATCH(CONCATENATE(Liste!$C$3,$B$3107,$B$3193),Data!$BO:$BO,0)-2,9),"")</f>
        <v>Eingang</v>
      </c>
      <c r="C3195" s="54"/>
      <c r="D3195" s="35" t="str">
        <f ca="1">IFERROR(IF(INDEX(Tab_DaBa[],MATCH(CONCATENATE(Liste!$C$3,$B$3107,$B$3193),Data!$BO:$BO,0)-2,18)=0,INDEX(Tab_DaBa[],MATCH(CONCATENATE(Liste!$C$3,$B$3107,$B$3193),Data!$BO:$BO,0)-2,14),INDEX(Tab_DaBa[],MATCH(CONCATENATE(Liste!$C$3,$B$3107,$B$3193),Data!$BO:$BO,0)-2,19)),"")</f>
        <v>Logik 01</v>
      </c>
      <c r="E3195" s="33"/>
      <c r="F3195" s="35" t="str">
        <f ca="1">IFERROR(IF(AND(INDEX(Tab_DaBa[],MATCH(CONCATENATE(Liste!$C$3,$B$3107,$B$3193),Data!$BO:$BO,0)-2,18)&lt;&gt;"",INDEX(Tab_DaBa[],MATCH(CONCATENATE(Liste!$C$3,$B$3107,$B$3193),Data!$BO:$BO,0)-2,23)=0),INDEX(Tab_DaBa[],MATCH(CONCATENATE(Liste!$C$3,$B$3107,$B$3193),Data!$BO:$BO,0)-2,14),IF(INDEX(Tab_DaBa[],MATCH(CONCATENATE(Liste!$C$3,$B$3107,$B$3193),Data!$BO:$BO,0)-2,23)&lt;&gt;"",INDEX(Tab_DaBa[],MATCH(CONCATENATE(Liste!$C$3,$B$3107,$B$3193),Data!$BO:$BO,0)-2,24),"")),"")</f>
        <v>Logik 02</v>
      </c>
      <c r="G3195" s="39"/>
      <c r="H3195" s="35" t="str">
        <f ca="1">IFERROR(IF(AND(INDEX(Tab_DaBa[],MATCH(CONCATENATE(Liste!$C$3,$B$3107,$B$3193),Data!$BO:$BO,0)-2,23)&lt;&gt;"",INDEX(Tab_DaBa[],MATCH(CONCATENATE(Liste!$C$3,$B$3107,$B$3193),Data!$BO:$BO,0)-2,28)=0),INDEX(Tab_DaBa[],MATCH(CONCATENATE(Liste!$C$3,$B$3107,$B$3193),Data!$BO:$BO,0)-2,14),IF(INDEX(Tab_DaBa[],MATCH(CONCATENATE(Liste!$C$3,$B$3107,$B$3193),Data!$BO:$BO,0)-2,23)&lt;&gt;"",INDEX(Tab_DaBa[],MATCH(CONCATENATE(Liste!$C$3,$B$3107,$B$3193),Data!$BO:$BO,0)-2,29),"")),"")</f>
        <v>Logik 03</v>
      </c>
      <c r="I3195" s="39"/>
    </row>
    <row r="3196" spans="2:9" s="16" customFormat="1" ht="15.75">
      <c r="B3196" s="35" t="str">
        <f ca="1">IFERROR(INDEX(Tab_DaBa[],MATCH(CONCATENATE(Liste!$C$3,$B$3107,$B$3193),Data!$BO:$BO,0)-2,7),"")</f>
        <v>eeee-33_4</v>
      </c>
      <c r="C3196" s="54"/>
      <c r="D3196" s="35" t="str">
        <f ca="1">IFERROR(IF(INDEX(Tab_DaBa[],MATCH(CONCATENATE(Liste!$C$3,$B$3107,$B$3193),Data!$BO:$BO,0)-2,18)="",INDEX(Tab_DaBa[],MATCH(CONCATENATE(Liste!$C$3,$B$3107,$B$3193),Data!$BO:$BO,0)-2,12),INDEX(Tab_DaBa[],MATCH(CONCATENATE(Liste!$C$3,$B$3107,$B$3193),Data!$BO:$BO,0)-2,17)),"")</f>
        <v>Log01-04_04</v>
      </c>
      <c r="E3196" s="36"/>
      <c r="F3196" s="35" t="str">
        <f ca="1">IFERROR(IF(AND(INDEX(Tab_DaBa[],MATCH(CONCATENATE(Liste!$C$3,$B$3107,$B$3193),Data!$BO:$BO,0)-2,18)&lt;&gt;"",INDEX(Tab_DaBa[],MATCH(CONCATENATE(Liste!$C$3,$B$3107,$B$3193),Data!$BO:$BO,0)-2,23)=0),INDEX(Tab_DaBa[],MATCH(CONCATENATE(Liste!$C$3,$B$3107,$B$3193),Data!$BO:$BO,0)-2,12),IF(INDEX(Tab_DaBa[],MATCH(CONCATENATE(Liste!$C$3,$B$3107,$B$3193),Data!$BO:$BO,0)-2,23)&lt;&gt;"",INDEX(Tab_DaBa[],MATCH(CONCATENATE(Liste!$C$3,$B$3107,$B$3193),Data!$BO:$BO,0)-2,22),"")),"")</f>
        <v>Lo04-04_04</v>
      </c>
      <c r="G3196" s="39"/>
      <c r="H3196" s="35" t="str">
        <f ca="1">IFERROR(IF(AND(INDEX(Tab_DaBa[],MATCH(CONCATENATE(Liste!$C$3,$B$3107,$B$3193),Data!$BO:$BO,0)-2,23)&lt;&gt;"",INDEX(Tab_DaBa[],MATCH(CONCATENATE(Liste!$C$3,$B$3107,$B$3193),Data!$BO:$BO,0)-2,28)=0),INDEX(Tab_DaBa[],MATCH(CONCATENATE(Liste!$C$3,$B$3107,$B$3193),Data!$BO:$BO,0)-2,12),IF(INDEX(Tab_DaBa[],MATCH(CONCATENATE(Liste!$C$3,$B$3107,$B$3193),Data!$BO:$BO,0)-2,23)&lt;&gt;"",INDEX(Tab_DaBa[],MATCH(CONCATENATE(Liste!$C$3,$B$3107,$B$3193),Data!$BO:$BO,0)-2,27),"")),"")</f>
        <v>Lo04-44_04</v>
      </c>
      <c r="I3196" s="39"/>
    </row>
    <row r="3197" spans="2:9" s="16" customFormat="1" ht="15.75">
      <c r="B3197" s="35" t="str">
        <f ca="1">IFERROR(INDEX(Tab_DaBa[],MATCH(CONCATENATE(Liste!$C$3,$B$3107,$B$3193),Data!$BO:$BO,0)-2,8),"")</f>
        <v>Bez_Ein4_4</v>
      </c>
      <c r="C3197" s="40">
        <f ca="1">IF(D3195="","",4)</f>
        <v>4</v>
      </c>
      <c r="D3197" s="35" t="str">
        <f ca="1">IFERROR(IF(INDEX(Tab_DaBa[],MATCH(CONCATENATE(Liste!$C$3,$B$3107,$B$3193),Data!$BO:$BO,0)-2,18)="",INDEX(Tab_DaBa[],MATCH(CONCATENATE(Liste!$C$3,$B$3107,$B$3193),Data!$BO:$BO,0)-2,13),INDEX(Tab_DaBa[],MATCH(CONCATENATE(Liste!$C$3,$B$3107,$B$3193),Data!$BO:$BO,0)-2,18)),"")</f>
        <v>Bez_Log01_04_04</v>
      </c>
      <c r="E3197" s="40">
        <f ca="1">IF(F3195="","",4)</f>
        <v>4</v>
      </c>
      <c r="F3197" s="35" t="str">
        <f ca="1">IFERROR(IF(AND(INDEX(Tab_DaBa[],MATCH(CONCATENATE(Liste!$C$3,$B$3107,$B$3193),Data!$BO:$BO,0)-2,18)&lt;&gt;"",INDEX(Tab_DaBa[],MATCH(CONCATENATE(Liste!$C$3,$B$3107,$B$3193),Data!$BO:$BO,0)-2,23)=""),INDEX(Tab_DaBa[],MATCH(CONCATENATE(Liste!$C$3,$B$3107,$B$3193),Data!$BO:$BO,0)-2,13),IF(INDEX(Tab_DaBa[],MATCH(CONCATENATE(Liste!$C$3,$B$3107,$B$3193),Data!$BO:$BO,0)-2,23)&lt;&gt;"",INDEX(Tab_DaBa[],MATCH(CONCATENATE(Liste!$C$3,$B$3107,$B$3193),Data!$BO:$BO,0)-2,23),"")),"")</f>
        <v>Bez_Lo04_04</v>
      </c>
      <c r="G3197" s="38">
        <f ca="1">IF(H3195="","",4)</f>
        <v>4</v>
      </c>
      <c r="H3197" s="35" t="str">
        <f ca="1">IFERROR(IF(AND(INDEX(Tab_DaBa[],MATCH(CONCATENATE(Liste!$C$3,$B$3107,$B$3193),Data!$BO:$BO,0)-2,23)&lt;&gt;"",INDEX(Tab_DaBa[],MATCH(CONCATENATE(Liste!$C$3,$B$3107,$B$3193),Data!$BO:$BO,0)-2,28)=""),INDEX(Tab_DaBa[],MATCH(CONCATENATE(Liste!$C$3,$B$3107,$B$3193),Data!$BO:$BO,0)-2,13),IF(INDEX(Tab_DaBa[],MATCH(CONCATENATE(Liste!$C$3,$B$3107,$B$3193),Data!$BO:$BO,0)-2,23)&lt;&gt;"",INDEX(Tab_DaBa[],MATCH(CONCATENATE(Liste!$C$3,$B$3107,$B$3193),Data!$BO:$BO,0)-2,28),"")),"")</f>
        <v>Bez_Lo04_04</v>
      </c>
      <c r="I3197" s="38">
        <f ca="1">IF(B3203="","",6)</f>
        <v>6</v>
      </c>
    </row>
    <row r="3198" spans="2:9" s="16" customFormat="1" ht="15.75">
      <c r="B3198" s="35" t="str">
        <f ca="1">IFERROR("Performance Level: "&amp;INDEX(Tab_DaBa[],MATCH(CONCATENATE(Liste!$C$3,$B$3107,$B$3193),Data!$BO:$BO,0)-2,10),"")</f>
        <v>Performance Level: PL_Ein4_4</v>
      </c>
      <c r="C3198" s="54"/>
      <c r="D3198" s="35" t="str">
        <f ca="1">IFERROR(IF(INDEX(Tab_DaBa[],MATCH(CONCATENATE(Liste!$C$3,$B$3107,$B$3193),Data!$BO:$BO,0)-2,18)="","Performance Level: "&amp;INDEX(Tab_DaBa[],MATCH(CONCATENATE(Liste!$C$3,$B$3107,$B$3193),Data!$BO:$BO,0)-2,15),"Performance Level: "&amp;INDEX(Tab_DaBa[],MATCH(CONCATENATE(Liste!$C$3,$B$3107,$B$3193),Data!$BO:$BO,0)-2,20)),"")</f>
        <v>Performance Level: PL_Log01_04_04</v>
      </c>
      <c r="E3198" s="36"/>
      <c r="F3198" s="35" t="str">
        <f ca="1">IFERROR(IF(AND(INDEX(Tab_DaBa[],MATCH(CONCATENATE(Liste!$C$3,$B$3107,$B$3193),Data!$BO:$BO,0)-2,18)&lt;&gt;"",INDEX(Tab_DaBa[],MATCH(CONCATENATE(Liste!$C$3,$B$3107,$B$3193),Data!$BO:$BO,0)-2,23)=""),"Performance Level: "&amp;INDEX(Tab_DaBa[],MATCH(CONCATENATE(Liste!$C$3,$B$3107,$B$3193),Data!$BO:$BO,0)-2,15),IF(INDEX(Tab_DaBa[],MATCH(CONCATENATE(Liste!$C$3,$B$3107,$B$3193),Data!$BO:$BO,0)-2,23)&lt;&gt;"","Performance Level: "&amp;INDEX(Tab_DaBa[],MATCH(CONCATENATE(Liste!$C$3,$B$3107,$B$3193),Data!$BO:$BO,0)-2,25),"")),"")</f>
        <v>Performance Level: PL_Lo04_04</v>
      </c>
      <c r="G3198" s="39"/>
      <c r="H3198" s="35" t="str">
        <f ca="1">IFERROR(IF(AND(INDEX(Tab_DaBa[],MATCH(CONCATENATE(Liste!$C$3,$B$3107,$B$3193),Data!$BO:$BO,0)-2,23)&lt;&gt;"",INDEX(Tab_DaBa[],MATCH(CONCATENATE(Liste!$C$3,$B$3107,$B$3193),Data!$BO:$BO,0)-2,28)=""),"Performance Level: "&amp;INDEX(Tab_DaBa[],MATCH(CONCATENATE(Liste!$C$3,$B$3107,$B$3193),Data!$BO:$BO,0)-2,15),IF(INDEX(Tab_DaBa[],MATCH(CONCATENATE(Liste!$C$3,$B$3107,$B$3193),Data!$BO:$BO,0)-2,23)&lt;&gt;"","Performance Level: "&amp;INDEX(Tab_DaBa[],MATCH(CONCATENATE(Liste!$C$3,$B$3107,$B$3193),Data!$BO:$BO,0)-2,30),"")),"")</f>
        <v>Performance Level: PL_Lo04_04</v>
      </c>
      <c r="I3198" s="38"/>
    </row>
    <row r="3199" spans="2:9" s="16" customFormat="1" ht="15.75">
      <c r="B3199" s="53" t="str">
        <f ca="1">IFERROR("PFH [1/h] = "&amp;10^9*INDEX(Tab_DaBa[],MATCH(CONCATENATE(Liste!$C$3,$B$3107,$B$3193),Data!$BO:$BO,0)-2,11)&amp;"E-9","")</f>
        <v>PFH [1/h] = 42,9E-9</v>
      </c>
      <c r="C3199" s="54"/>
      <c r="D3199" s="35" t="str">
        <f ca="1">IFERROR(IF(INDEX(Tab_DaBa[],MATCH(CONCATENATE(Liste!$C$3,$B$3107,$B$3193),Data!$BO:$BO,0)-2,18)="","PFH [1/h] = "&amp;10^9*INDEX(Tab_DaBa[],MATCH(CONCATENATE(Liste!$C$3,$B$3107,$B$3193),Data!$BO:$BO,0)-2,16)&amp;"E-9","PFH [1/h] = "&amp;10^9*INDEX(Tab_DaBa[],MATCH(CONCATENATE(Liste!$C$3,$B$3107,$B$3193),Data!$BO:$BO,0)-2,21)&amp;"E-9"),"")</f>
        <v>PFH [1/h] = 4,19E-9</v>
      </c>
      <c r="E3199" s="36"/>
      <c r="F3199" s="35" t="str">
        <f ca="1">IFERROR(IF(AND(INDEX(Tab_DaBa[],MATCH(CONCATENATE(Liste!$C$3,$B$3107,$B$3193),Data!$BO:$BO,0)-2,18)&lt;&gt;"",INDEX(Tab_DaBa[],MATCH(CONCATENATE(Liste!$C$3,$B$3107,$B$3193),Data!$BO:$BO,0)-2,23)=""),"PFH [1/h] = "&amp;10^9*INDEX(Tab_DaBa[],MATCH(CONCATENATE(Liste!$C$3,$B$3107,$B$3193),Data!$BO:$BO,0)-2,16)&amp;"E-9",IF(INDEX(Tab_DaBa[],MATCH(CONCATENATE(Liste!$C$3,$B$3107,$B$3193),Data!$BO:$BO,0)-2,23)&lt;&gt;"","PFH [1/h] = "&amp;10^9*INDEX(Tab_DaBa[],MATCH(CONCATENATE(Liste!$C$3,$B$3107,$B$3193),Data!$BO:$BO,0)-2,26)&amp;"E-9","")),"")</f>
        <v>PFH [1/h] = 4,19E-9</v>
      </c>
      <c r="G3199" s="39"/>
      <c r="H3199" s="35" t="str">
        <f ca="1">IFERROR(IF(AND(INDEX(Tab_DaBa[],MATCH(CONCATENATE(Liste!$C$3,$B$3107,$B$3193),Data!$BO:$BO,0)-2,23)&lt;&gt;"",INDEX(Tab_DaBa[],MATCH(CONCATENATE(Liste!$C$3,$B$3107,$B$3193),Data!$BO:$BO,0)-2,28)=""),"PFH [1/h] = "&amp;10^9*INDEX(Tab_DaBa[],MATCH(CONCATENATE(Liste!$C$3,$B$3107,$B$3193),Data!$BO:$BO,0)-2,16)&amp;"E-9",IF(INDEX(Tab_DaBa[],MATCH(CONCATENATE(Liste!$C$3,$B$3107,$B$3193),Data!$BO:$BO,0)-2,23)&lt;&gt;"","PFH [1/h] = "&amp;10^9*INDEX(Tab_DaBa[],MATCH(CONCATENATE(Liste!$C$3,$B$3107,$B$3193),Data!$BO:$BO,0)-2,31)&amp;"E-9","")),"")</f>
        <v>PFH [1/h] = 4,19E-9</v>
      </c>
      <c r="I3199" s="39"/>
    </row>
    <row r="3200" spans="2:9" s="16" customFormat="1">
      <c r="B3200" s="33"/>
      <c r="C3200" s="34"/>
      <c r="D3200" s="33"/>
      <c r="E3200" s="33"/>
      <c r="F3200" s="33"/>
      <c r="G3200" s="33"/>
      <c r="H3200" s="33"/>
      <c r="I3200" s="33"/>
    </row>
    <row r="3201" spans="2:9" s="16" customFormat="1" ht="15.75">
      <c r="B3201" s="38">
        <f ca="1">IF(B3203="","",6)</f>
        <v>6</v>
      </c>
      <c r="C3201" s="34"/>
      <c r="D3201" s="38">
        <f ca="1">IF(B3203="","",3)</f>
        <v>3</v>
      </c>
      <c r="E3201" s="33"/>
      <c r="F3201" s="38">
        <f ca="1">IF(B3203="","",3)</f>
        <v>3</v>
      </c>
      <c r="G3201" s="33"/>
      <c r="H3201" s="38">
        <f ca="1">IF(B3203="","",3)</f>
        <v>3</v>
      </c>
      <c r="I3201" s="33"/>
    </row>
    <row r="3202" spans="2:9" s="16" customFormat="1" ht="15.75">
      <c r="B3202" s="39"/>
      <c r="C3202" s="33"/>
      <c r="D3202" s="33"/>
      <c r="E3202" s="33"/>
      <c r="F3202" s="33"/>
      <c r="G3202" s="33"/>
      <c r="H3202" s="33"/>
      <c r="I3202" s="33"/>
    </row>
    <row r="3203" spans="2:9" s="16" customFormat="1" ht="15.75">
      <c r="B3203" s="35" t="str">
        <f ca="1">IFERROR(IF(AND(INDEX(Tab_DaBa[],MATCH(CONCATENATE(Liste!$C$3,$B$3107,$B$3193),Data!$BO:$BO,0)-2,28)&lt;&gt;"",INDEX(Tab_DaBa[],MATCH(CONCATENATE(Liste!$C$3,$B$3107,$B$3193),Data!$BO:$BO,0)-2,33)=0),INDEX(Tab_DaBa[],MATCH(CONCATENATE(Liste!$C$3,$B$3107,$B$3193),Data!$BO:$BO,0)-2,14),IF(INDEX(Tab_DaBa[],MATCH(CONCATENATE(Liste!$C$3,$B$3107,$B$3193),Data!$BO:$BO,0)-2,28)&lt;&gt;"",INDEX(Tab_DaBa[],MATCH(CONCATENATE(Liste!$C$3,$B$3107,$B$3193),Data!$BO:$BO,0)-2,34),"")),"")</f>
        <v>Logik 04</v>
      </c>
      <c r="C3203" s="39"/>
      <c r="D3203" s="35" t="str">
        <f ca="1">IFERROR(IF(AND(INDEX(Tab_DaBa[],MATCH(CONCATENATE(Liste!$C$3,$B$3107,$B$3193),Data!$BO:$BO,0)-2,33)&lt;&gt;"",INDEX(Tab_DaBa[],MATCH(CONCATENATE(Liste!$C$3,$B$3107,$B$3193),Data!$BO:$BO,0)-2,38)=0),INDEX(Tab_DaBa[],MATCH(CONCATENATE(Liste!$C$3,$B$3107,$B$3193),Data!$BO:$BO,0)-2,14),IF(INDEX(Tab_DaBa[],MATCH(CONCATENATE(Liste!$C$3,$B$3107,$B$3193),Data!$BO:$BO,0)-2,33)&lt;&gt;"",INDEX(Tab_DaBa[],MATCH(CONCATENATE(Liste!$C$3,$B$3107,$B$3193),Data!$BO:$BO,0)-2,39),"")),"")</f>
        <v>Ausgang</v>
      </c>
      <c r="E3203" s="33"/>
      <c r="F3203" s="35" t="str">
        <f ca="1">IFERROR(IF(AND(INDEX(Tab_DaBa[],MATCH(CONCATENATE(Liste!$C$3,$B$3107,$B$3193),Data!$BO:$BO,0)-2,38)&lt;&gt;"",INDEX(Tab_DaBa[],MATCH(CONCATENATE(Liste!$C$3,$B$3107,$B$3193),Data!$BO:$BO,0)-2,43)=0),INDEX(Tab_DaBa[],MATCH(CONCATENATE(Liste!$C$3,$B$3107,$B$3193),Data!$BO:$BO,0)-2,14),IF(INDEX(Tab_DaBa[],MATCH(CONCATENATE(Liste!$C$3,$B$3107,$B$3193),Data!$BO:$BO,0)-2,38)&lt;&gt;"",INDEX(Tab_DaBa[],MATCH(CONCATENATE(Liste!$C$3,$B$3107,$B$3193),Data!$BO:$BO,0)-2,44),"")),"")</f>
        <v/>
      </c>
      <c r="G3203" s="39"/>
      <c r="H3203" s="35" t="str">
        <f ca="1">IFERROR(IF(AND(INDEX(Tab_DaBa[],MATCH(CONCATENATE(Liste!$C$3,$B$3107,$B$3193),Data!$BO:$BO,0)-2,43)&lt;&gt;"",INDEX(Tab_DaBa[],MATCH(CONCATENATE(Liste!$C$3,$B$3107,$B$3193),Data!$BO:$BO,0)-2,48)=0),INDEX(Tab_DaBa[],MATCH(CONCATENATE(Liste!$C$3,$B$3107,$B$3193),Data!$BO:$BO,0)-2,14),IF(INDEX(Tab_DaBa[],MATCH(CONCATENATE(Liste!$C$3,$B$3107,$B$3193),Data!$BO:$BO,0)-2,43)&lt;&gt;"",INDEX(Tab_DaBa[],MATCH(CONCATENATE(Liste!$C$3,$B$3107,$B$3193),Data!$BO:$BO,0)-2,49),"")),"")</f>
        <v/>
      </c>
      <c r="I3203" s="39"/>
    </row>
    <row r="3204" spans="2:9" s="16" customFormat="1" ht="15.75">
      <c r="B3204" s="35" t="str">
        <f ca="1">IFERROR(IF(AND(INDEX(Tab_DaBa[],MATCH(CONCATENATE(Liste!$C$3,$B$3107,$B$3193),Data!$BO:$BO,0)-2,28)&lt;&gt;"",INDEX(Tab_DaBa[],MATCH(CONCATENATE(Liste!$C$3,$B$3107,$B$3193),Data!$BO:$BO,0)-2,33)=0),INDEX(Tab_DaBa[],MATCH(CONCATENATE(Liste!$C$3,$B$3107,$B$3193),Data!$BO:$BO,0)-2,12),IF(INDEX(Tab_DaBa[],MATCH(CONCATENATE(Liste!$C$3,$B$3107,$B$3193),Data!$BO:$BO,0)-2,28)&lt;&gt;"",INDEX(Tab_DaBa[],MATCH(CONCATENATE(Liste!$C$3,$B$3107,$B$3193),Data!$BO:$BO,0)-2,32),"")),"")</f>
        <v>Lo04-44_04</v>
      </c>
      <c r="C3204" s="39"/>
      <c r="D3204" s="35" t="str">
        <f ca="1">IFERROR(IF(AND(INDEX(Tab_DaBa[],MATCH(CONCATENATE(Liste!$C$3,$B$3107,$B$3193),Data!$BO:$BO,0)-2,33)&lt;&gt;"",INDEX(Tab_DaBa[],MATCH(CONCATENATE(Liste!$C$3,$B$3107,$B$3193),Data!$BO:$BO,0)-2,38)=0),INDEX(Tab_DaBa[],MATCH(CONCATENATE(Liste!$C$3,$B$3107,$B$3193),Data!$BO:$BO,0)-2,12),IF(INDEX(Tab_DaBa[],MATCH(CONCATENATE(Liste!$C$3,$B$3107,$B$3193),Data!$BO:$BO,0)-2,33)&lt;&gt;"",INDEX(Tab_DaBa[],MATCH(CONCATENATE(Liste!$C$3,$B$3107,$B$3193),Data!$BO:$BO,0)-2,37),"")),"")</f>
        <v>aaaa-44_4</v>
      </c>
      <c r="E3204" s="37"/>
      <c r="F3204" s="35" t="str">
        <f ca="1">IFERROR(IF(AND(INDEX(Tab_DaBa[],MATCH(CONCATENATE(Liste!$C$3,$B$3107,$B$3193),Data!$BO:$BO,0)-2,38)&lt;&gt;"",INDEX(Tab_DaBa[],MATCH(CONCATENATE(Liste!$C$3,$B$3107,$B$3193),Data!$BO:$BO,0)-2,43)=0),INDEX(Tab_DaBa[],MATCH(CONCATENATE(Liste!$C$3,$B$3107,$B$3193),Data!$BO:$BO,0)-2,12),IF(INDEX(Tab_DaBa[],MATCH(CONCATENATE(Liste!$C$3,$B$3107,$B$3193),Data!$BO:$BO,0)-2,38)&lt;&gt;"",INDEX(Tab_DaBa[],MATCH(CONCATENATE(Liste!$C$3,$B$3107,$B$3193),Data!$BO:$BO,0)-2,42),"")),"")</f>
        <v/>
      </c>
      <c r="G3204" s="39"/>
      <c r="H3204" s="35" t="str">
        <f ca="1">IFERROR(IF(AND(INDEX(Tab_DaBa[],MATCH(CONCATENATE(Liste!$C$3,$B$3107,$B$3193),Data!$BO:$BO,0)-2,43)&lt;&gt;"",INDEX(Tab_DaBa[],MATCH(CONCATENATE(Liste!$C$3,$B$3107,$B$3193),Data!$BO:$BO,0)-2,48)=0),INDEX(Tab_DaBa[],MATCH(CONCATENATE(Liste!$C$3,$B$3107,$B$3193),Data!$BO:$BO,0)-2,12),IF(INDEX(Tab_DaBa[],MATCH(CONCATENATE(Liste!$C$3,$B$3107,$B$3193),Data!$BO:$BO,0)-2,43)&lt;&gt;"",INDEX(Tab_DaBa[],MATCH(CONCATENATE(Liste!$C$3,$B$3107,$B$3193),Data!$BO:$BO,0)-2,47),"")),"")</f>
        <v/>
      </c>
      <c r="I3204" s="39"/>
    </row>
    <row r="3205" spans="2:9" s="16" customFormat="1" ht="15.75">
      <c r="B3205" s="35" t="str">
        <f ca="1">IFERROR(IF(AND(INDEX(Tab_DaBa[],MATCH(CONCATENATE(Liste!$C$3,$B$3107,$B$3193),Data!$BO:$BO,0)-2,28)&lt;&gt;"",INDEX(Tab_DaBa[],MATCH(CONCATENATE(Liste!$C$3,$B$3107,$B$3193),Data!$BO:$BO,0)-2,33)=""),INDEX(Tab_DaBa[],MATCH(CONCATENATE(Liste!$C$3,$B$3107,$B$3193),Data!$BO:$BO,0)-2,13),IF(INDEX(Tab_DaBa[],MATCH(CONCATENATE(Liste!$C$3,$B$3107,$B$3193),Data!$BO:$BO,0)-2,28)&lt;&gt;"",INDEX(Tab_DaBa[],MATCH(CONCATENATE(Liste!$C$3,$B$3107,$B$3193),Data!$BO:$BO,0)-2,33),"")),"")</f>
        <v>Bez_Lo04_04</v>
      </c>
      <c r="C3205" s="38">
        <f ca="1">IF(D3203="","",4)</f>
        <v>4</v>
      </c>
      <c r="D3205" s="35" t="str">
        <f ca="1">IFERROR(IF(AND(INDEX(Tab_DaBa[],MATCH(CONCATENATE(Liste!$C$3,$B$3107,$B$3193),Data!$BO:$BO,0)-2,33)&lt;&gt;"",INDEX(Tab_DaBa[],MATCH(CONCATENATE(Liste!$C$3,$B$3107,$B$3193),Data!$BO:$BO,0)-2,38)=""),INDEX(Tab_DaBa[],MATCH(CONCATENATE(Liste!$C$3,$B$3107,$B$3193),Data!$BO:$BO,0)-2,13),IF(INDEX(Tab_DaBa[],MATCH(CONCATENATE(Liste!$C$3,$B$3107,$B$3193),Data!$BO:$BO,0)-2,33)&lt;&gt;"",INDEX(Tab_DaBa[],MATCH(CONCATENATE(Liste!$C$3,$B$3107,$B$3193),Data!$BO:$BO,0)-2,38),"")),"")</f>
        <v>Bez_Aus4_4</v>
      </c>
      <c r="E3205" s="38" t="str">
        <f ca="1">IF(F3203="","",4)</f>
        <v/>
      </c>
      <c r="F3205" s="35" t="str">
        <f ca="1">IFERROR(IF(AND(INDEX(Tab_DaBa[],MATCH(CONCATENATE(Liste!$C$3,$B$3107,$B$3193),Data!$BO:$BO,0)-2,38)&lt;&gt;"",INDEX(Tab_DaBa[],MATCH(CONCATENATE(Liste!$C$3,$B$3107,$B$3193),Data!$BO:$BO,0)-2,43)=""),INDEX(Tab_DaBa[],MATCH(CONCATENATE(Liste!$C$3,$B$3107,$B$3193),Data!$BO:$BO,0)-2,13),IF(INDEX(Tab_DaBa[],MATCH(CONCATENATE(Liste!$C$3,$B$3107,$B$3193),Data!$BO:$BO,0)-2,38)&lt;&gt;"",INDEX(Tab_DaBa[],MATCH(CONCATENATE(Liste!$C$3,$B$3107,$B$3193),Data!$BO:$BO,0)-2,43),"")),"")</f>
        <v/>
      </c>
      <c r="G3205" s="38" t="str">
        <f ca="1">IF(H3203="","",4)</f>
        <v/>
      </c>
      <c r="H3205" s="35" t="str">
        <f ca="1">IFERROR(IF(AND(INDEX(Tab_DaBa[],MATCH(CONCATENATE(Liste!$C$3,$B$3107,$B$3193),Data!$BO:$BO,0)-2,43)&lt;&gt;"",INDEX(Tab_DaBa[],MATCH(CONCATENATE(Liste!$C$3,$B$3107,$B$3193),Data!$BO:$BO,0)-2,48)=""),INDEX(Tab_DaBa[],MATCH(CONCATENATE(Liste!$C$3,$B$3107,$B$3193),Data!$BO:$BO,0)-2,13),IF(INDEX(Tab_DaBa[],MATCH(CONCATENATE(Liste!$C$3,$B$3107,$B$3193),Data!$BO:$BO,0)-2,43)&lt;&gt;"",INDEX(Tab_DaBa[],MATCH(CONCATENATE(Liste!$C$3,$B$3107,$B$3193),Data!$BO:$BO,0)-2,48),"")),"")</f>
        <v/>
      </c>
      <c r="I3205" s="38" t="str">
        <f ca="1">IF(B3211="","",6)</f>
        <v/>
      </c>
    </row>
    <row r="3206" spans="2:9" s="16" customFormat="1" ht="15.75">
      <c r="B3206" s="35" t="str">
        <f ca="1">IFERROR(IF(AND(INDEX(Tab_DaBa[],MATCH(CONCATENATE(Liste!$C$3,$B$3107,$B$3193),Data!$BO:$BO,0)-2,28)&lt;&gt;"",INDEX(Tab_DaBa[],MATCH(CONCATENATE(Liste!$C$3,$B$3107,$B$3193),Data!$BO:$BO,0)-2,33)=""),"Performance Level: "&amp;INDEX(Tab_DaBa[],MATCH(CONCATENATE(Liste!$C$3,$B$3107,$B$3193),Data!$BO:$BO,0)-2,15),IF(INDEX(Tab_DaBa[],MATCH(CONCATENATE(Liste!$C$3,$B$3107,$B$3193),Data!$BO:$BO,0)-2,28)&lt;&gt;"","Performance Level: "&amp;INDEX(Tab_DaBa[],MATCH(CONCATENATE(Liste!$C$3,$B$3107,$B$3193),Data!$BO:$BO,0)-2,35),"")),"")</f>
        <v>Performance Level: PL_Lo04_04</v>
      </c>
      <c r="C3206" s="39"/>
      <c r="D3206" s="35" t="str">
        <f ca="1">IFERROR(IF(AND(INDEX(Tab_DaBa[],MATCH(CONCATENATE(Liste!$C$3,$B$3107,$B$3193),Data!$BO:$BO,0)-2,33)&lt;&gt;"",INDEX(Tab_DaBa[],MATCH(CONCATENATE(Liste!$C$3,$B$3107,$B$3193),Data!$BO:$BO,0)-2,38)=""),"Performance Level: "&amp;INDEX(Tab_DaBa[],MATCH(CONCATENATE(Liste!$C$3,$B$3107,$B$3193),Data!$BO:$BO,0)-2,15),IF(INDEX(Tab_DaBa[],MATCH(CONCATENATE(Liste!$C$3,$B$3107,$B$3193),Data!$BO:$BO,0)-2,33)&lt;&gt;"","Performance Level: "&amp;INDEX(Tab_DaBa[],MATCH(CONCATENATE(Liste!$C$3,$B$3107,$B$3193),Data!$BO:$BO,0)-2,40),"")),"")</f>
        <v>Performance Level: PL_Aus4_4</v>
      </c>
      <c r="E3206" s="37"/>
      <c r="F3206" s="35" t="str">
        <f ca="1">IFERROR(IF(AND(INDEX(Tab_DaBa[],MATCH(CONCATENATE(Liste!$C$3,$B$3107,$B$3193),Data!$BO:$BO,0)-2,38)&lt;&gt;"",INDEX(Tab_DaBa[],MATCH(CONCATENATE(Liste!$C$3,$B$3107,$B$3193),Data!$BO:$BO,0)-2,43)=""),"Performance Level: "&amp;INDEX(Tab_DaBa[],MATCH(CONCATENATE(Liste!$C$3,$B$3107,$B$3193),Data!$BO:$BO,0)-2,15),IF(INDEX(Tab_DaBa[],MATCH(CONCATENATE(Liste!$C$3,$B$3107,$B$3193),Data!$BO:$BO,0)-2,38)&lt;&gt;"","Performance Level: "&amp;INDEX(Tab_DaBa[],MATCH(CONCATENATE(Liste!$C$3,$B$3107,$B$3193),Data!$BO:$BO,0)-2,45),"")),"")</f>
        <v/>
      </c>
      <c r="G3206" s="39"/>
      <c r="H3206" s="35" t="str">
        <f ca="1">IFERROR(IF(AND(INDEX(Tab_DaBa[],MATCH(CONCATENATE(Liste!$C$3,$B$3107,$B$3193),Data!$BO:$BO,0)-2,43)&lt;&gt;"",INDEX(Tab_DaBa[],MATCH(CONCATENATE(Liste!$C$3,$B$3107,$B$3193),Data!$BO:$BO,0)-2,48)=""),"Performance Level: "&amp;INDEX(Tab_DaBa[],MATCH(CONCATENATE(Liste!$C$3,$B$3107,$B$3193),Data!$BO:$BO,0)-2,15),IF(INDEX(Tab_DaBa[],MATCH(CONCATENATE(Liste!$C$3,$B$3107,$B$3193),Data!$BO:$BO,0)-2,43)&lt;&gt;"","Performance Level: "&amp;INDEX(Tab_DaBa[],MATCH(CONCATENATE(Liste!$C$3,$B$3107,$B$3193),Data!$BO:$BO,0)-2,50),"")),"")</f>
        <v/>
      </c>
      <c r="I3206" s="39"/>
    </row>
    <row r="3207" spans="2:9" s="16" customFormat="1" ht="15.75">
      <c r="B3207" s="35" t="str">
        <f ca="1">IFERROR(IF(AND(INDEX(Tab_DaBa[],MATCH(CONCATENATE(Liste!$C$3,$B$3107,$B$3193),Data!$BO:$BO,0)-2,28)&lt;&gt;"",INDEX(Tab_DaBa[],MATCH(CONCATENATE(Liste!$C$3,$B$3107,$B$3193),Data!$BO:$BO,0)-2,33)=""),"PFH [1/h] = "&amp;10^9*INDEX(Tab_DaBa[],MATCH(CONCATENATE(Liste!$C$3,$B$3107,$B$3193),Data!$BO:$BO,0)-2,16)&amp;"E-9",IF(INDEX(Tab_DaBa[],MATCH(CONCATENATE(Liste!$C$3,$B$3107,$B$3193),Data!$BO:$BO,0)-2,28)&lt;&gt;"","PFH [1/h] = "&amp;10^9*INDEX(Tab_DaBa[],MATCH(CONCATENATE(Liste!$C$3,$B$3107,$B$3193),Data!$BO:$BO,0)-2,36)&amp;"E-9","")),"")</f>
        <v>PFH [1/h] = 4,19E-9</v>
      </c>
      <c r="C3207" s="39"/>
      <c r="D3207" s="35" t="str">
        <f ca="1">IFERROR(IF(AND(INDEX(Tab_DaBa[],MATCH(CONCATENATE(Liste!$C$3,$B$3107,$B$3193),Data!$BO:$BO,0)-2,33)&lt;&gt;"",INDEX(Tab_DaBa[],MATCH(CONCATENATE(Liste!$C$3,$B$3107,$B$3193),Data!$BO:$BO,0)-2,38)=""),"PFH [1/h] = "&amp;10^9*INDEX(Tab_DaBa[],MATCH(CONCATENATE(Liste!$C$3,$B$3107,$B$3193),Data!$BO:$BO,0)-2,16)&amp;"E-9",IF(INDEX(Tab_DaBa[],MATCH(CONCATENATE(Liste!$C$3,$B$3107,$B$3193),Data!$BO:$BO,0)-2,33)&lt;&gt;"","PFH [1/h] = "&amp;10^9*INDEX(Tab_DaBa[],MATCH(CONCATENATE(Liste!$C$3,$B$3107,$B$3193),Data!$BO:$BO,0)-2,41)&amp;"E-9","")),"")</f>
        <v>PFH [1/h] = 24,7E-9</v>
      </c>
      <c r="E3207" s="37"/>
      <c r="F3207" s="35" t="str">
        <f ca="1">IFERROR(IF(AND(INDEX(Tab_DaBa[],MATCH(CONCATENATE(Liste!$C$3,$B$3107,$B$3193),Data!$BO:$BO,0)-2,38)&lt;&gt;"",INDEX(Tab_DaBa[],MATCH(CONCATENATE(Liste!$C$3,$B$3107,$B$3193),Data!$BO:$BO,0)-2,43)=""),"PFH [1/h] = "&amp;10^9*INDEX(Tab_DaBa[],MATCH(CONCATENATE(Liste!$C$3,$B$3107,$B$3193),Data!$BO:$BO,0)-2,16)&amp;"E-9",IF(INDEX(Tab_DaBa[],MATCH(CONCATENATE(Liste!$C$3,$B$3107,$B$3193),Data!$BO:$BO,0)-2,38)&lt;&gt;"","PFH [1/h] = "&amp;10^9*INDEX(Tab_DaBa[],MATCH(CONCATENATE(Liste!$C$3,$B$3107,$B$3193),Data!$BO:$BO,0)-2,46)&amp;"E-9","")),"")</f>
        <v/>
      </c>
      <c r="G3207" s="39"/>
      <c r="H3207" s="35" t="str">
        <f ca="1">IFERROR(IF(AND(INDEX(Tab_DaBa[],MATCH(CONCATENATE(Liste!$C$3,$B$3107,$B$3193),Data!$BO:$BO,0)-2,43)&lt;&gt;"",INDEX(Tab_DaBa[],MATCH(CONCATENATE(Liste!$C$3,$B$3107,$B$3193),Data!$BO:$BO,0)-2,48)=""),"PFH [1/h] = "&amp;10^9*INDEX(Tab_DaBa[],MATCH(CONCATENATE(Liste!$C$3,$B$3107,$B$3193),Data!$BO:$BO,0)-2,16)&amp;"E-9",IF(INDEX(Tab_DaBa[],MATCH(CONCATENATE(Liste!$C$3,$B$3107,$B$3193),Data!$BO:$BO,0)-2,43)&lt;&gt;"","PFH [1/h] = "&amp;10^9*INDEX(Tab_DaBa[],MATCH(CONCATENATE(Liste!$C$3,$B$3107,$B$3193),Data!$BO:$BO,0)-2,51)&amp;"E-9","")),"")</f>
        <v/>
      </c>
      <c r="I3207" s="39"/>
    </row>
    <row r="3208" spans="2:9" s="16" customFormat="1">
      <c r="B3208" s="33"/>
      <c r="C3208" s="33"/>
      <c r="D3208" s="33"/>
      <c r="E3208" s="33"/>
      <c r="F3208" s="33"/>
      <c r="G3208" s="33"/>
      <c r="H3208" s="33"/>
      <c r="I3208" s="33"/>
    </row>
    <row r="3209" spans="2:9" s="16" customFormat="1" ht="15.75">
      <c r="B3209" s="38" t="str">
        <f ca="1">IF(B3211="","",6)</f>
        <v/>
      </c>
      <c r="C3209" s="33"/>
      <c r="D3209" s="38" t="str">
        <f ca="1">IF(B3211="","",3)</f>
        <v/>
      </c>
      <c r="E3209" s="33"/>
      <c r="F3209" s="38" t="str">
        <f ca="1">IF(B3211="","",3)</f>
        <v/>
      </c>
      <c r="G3209" s="33"/>
      <c r="H3209" s="38" t="str">
        <f ca="1">IF(B3211="","",3)</f>
        <v/>
      </c>
      <c r="I3209" s="33"/>
    </row>
    <row r="3210" spans="2:9" s="16" customFormat="1" ht="15.75">
      <c r="B3210" s="39"/>
      <c r="C3210" s="33"/>
      <c r="D3210" s="33"/>
      <c r="E3210" s="33"/>
      <c r="F3210" s="33"/>
      <c r="G3210" s="33"/>
      <c r="H3210" s="33"/>
      <c r="I3210" s="33"/>
    </row>
    <row r="3211" spans="2:9" s="16" customFormat="1" ht="15.75">
      <c r="B3211" s="35" t="str">
        <f ca="1">IFERROR(IF(AND(INDEX(Tab_DaBa[],MATCH(CONCATENATE(Liste!$C$3,$B$3107,$B$3193),Data!$BO:$BO,0)-2,48)&lt;&gt;"",INDEX(Tab_DaBa[],MATCH(CONCATENATE(Liste!$C$3,$B$3107,$B$3193),Data!$BO:$BO,0)-2,53)=0),INDEX(Tab_DaBa[],MATCH(CONCATENATE(Liste!$C$3,$B$3107,$B$3193),Data!$BO:$BO,0)-2,14),IF(INDEX(Tab_DaBa[],MATCH(CONCATENATE(Liste!$C$3,$B$3107,$B$3193),Data!$BO:$BO,0)-2,48)&lt;&gt;"",INDEX(Tab_DaBa[],MATCH(CONCATENATE(Liste!$C$3,$B$3107,$B$3193),Data!$BO:$BO,0)-2,54),"")),"")</f>
        <v/>
      </c>
      <c r="C3211" s="39"/>
      <c r="D3211" s="35" t="str">
        <f ca="1">IFERROR(IF(AND(INDEX(Tab_DaBa[],MATCH(CONCATENATE(Liste!$C$3,$B$3107,$B$3193),Data!$BO:$BO,0)-2,53)&lt;&gt;"",INDEX(Tab_DaBa[],MATCH(CONCATENATE(Liste!$C$3,$B$3107,$B$3193),Data!$BO:$BO,0)-2,58)=0),INDEX(Tab_DaBa[],MATCH(CONCATENATE(Liste!$C$3,$B$3107,$B$3193),Data!$BO:$BO,0)-2,14),IF(INDEX(Tab_DaBa[],MATCH(CONCATENATE(Liste!$C$3,$B$3107,$B$3193),Data!$BO:$BO,0)-2,53)&lt;&gt;"",INDEX(Tab_DaBa[],MATCH(CONCATENATE(Liste!$C$3,$B$3107,$B$3193),Data!$BO:$BO,0)-2,59),"")),"")</f>
        <v/>
      </c>
      <c r="E3211" s="33"/>
      <c r="F3211" s="35" t="str">
        <f ca="1">IFERROR(IF(AND(INDEX(Tab_DaBa[],MATCH(CONCATENATE(Liste!$C$3,$B$3107,$B$3193),Data!$BO:$BO,0)-2,58)&lt;&gt;"",INDEX(Tab_DaBa[],MATCH(CONCATENATE(Liste!$C$3,$B$3107,$B$3193),Data!$BO:$BO,0)-2,63)=0),INDEX(Tab_DaBa[],MATCH(CONCATENATE(Liste!$C$3,$B$3107,$B$3193),Data!$BO:$BO,0)-2,14),IF(INDEX(Tab_DaBa[],MATCH(CONCATENATE(Liste!$C$3,$B$3107,$B$3193),Data!$BO:$BO,0)-2,58)&lt;&gt;"",INDEX(Tab_DaBa[],MATCH(CONCATENATE(Liste!$C$3,$B$3107,$B$3193),Data!$BO:$BO,0)-2,64),"")),"")</f>
        <v/>
      </c>
      <c r="G3211" s="39"/>
      <c r="H3211" s="35" t="str">
        <f ca="1">IFERROR(IF(INDEX(Tab_DaBa[],MATCH(CONCATENATE(Liste!$C$3,$B$3107,$B$3193),Data!$BO:$BO,0)-2,63)&lt;&gt;"",INDEX(Tab_DaBa[],MATCH(CONCATENATE(Liste!$C$3,$B$3107,$B$3193),Data!$BO:$BO,0)-2,14),""),"")</f>
        <v/>
      </c>
    </row>
    <row r="3212" spans="2:9" s="16" customFormat="1" ht="15.75">
      <c r="B3212" s="35" t="str">
        <f ca="1">IFERROR(IF(AND(INDEX(Tab_DaBa[],MATCH(CONCATENATE(Liste!$C$3,$B$3107,$B$3193),Data!$BO:$BO,0)-2,48)&lt;&gt;"",INDEX(Tab_DaBa[],MATCH(CONCATENATE(Liste!$C$3,$B$3107,$B$3193),Data!$BO:$BO,0)-2,53)=0),INDEX(Tab_DaBa[],MATCH(CONCATENATE(Liste!$C$3,$B$3107,$B$3193),Data!$BO:$BO,0)-2,12),IF(INDEX(Tab_DaBa[],MATCH(CONCATENATE(Liste!$C$3,$B$3107,$B$3193),Data!$BO:$BO,0)-2,48)&lt;&gt;"",INDEX(Tab_DaBa[],MATCH(CONCATENATE(Liste!$C$3,$B$3107,$B$3193),Data!$BO:$BO,0)-2,52),"")),"")</f>
        <v/>
      </c>
      <c r="C3212" s="39"/>
      <c r="D3212" s="35" t="str">
        <f ca="1">IFERROR(IF(AND(INDEX(Tab_DaBa[],MATCH(CONCATENATE(Liste!$C$3,$B$3107,$B$3193),Data!$BO:$BO,0)-2,53)&lt;&gt;"",INDEX(Tab_DaBa[],MATCH(CONCATENATE(Liste!$C$3,$B$3107,$B$3193),Data!$BO:$BO,0)-2,58)=0),INDEX(Tab_DaBa[],MATCH(CONCATENATE(Liste!$C$3,$B$3107,$B$3193),Data!$BO:$BO,0)-2,12),IF(INDEX(Tab_DaBa[],MATCH(CONCATENATE(Liste!$C$3,$B$3107,$B$3193),Data!$BO:$BO,0)-2,53)&lt;&gt;"",INDEX(Tab_DaBa[],MATCH(CONCATENATE(Liste!$C$3,$B$3107,$B$3193),Data!$BO:$BO,0)-2,57),"")),"")</f>
        <v/>
      </c>
      <c r="E3212" s="37"/>
      <c r="F3212" s="35" t="str">
        <f ca="1">IFERROR(IF(AND(INDEX(Tab_DaBa[],MATCH(CONCATENATE(Liste!$C$3,$B$3107,$B$3193),Data!$BO:$BO,0)-2,58)&lt;&gt;"",INDEX(Tab_DaBa[],MATCH(CONCATENATE(Liste!$C$3,$B$3107,$B$3193),Data!$BO:$BO,0)-2,63)=0),INDEX(Tab_DaBa[],MATCH(CONCATENATE(Liste!$C$3,$B$3107,$B$3193),Data!$BO:$BO,0)-2,12),IF(INDEX(Tab_DaBa[],MATCH(CONCATENATE(Liste!$C$3,$B$3107,$B$3193),Data!$BO:$BO,0)-2,58)&lt;&gt;"",INDEX(Tab_DaBa[],MATCH(CONCATENATE(Liste!$C$3,$B$3107,$B$3193),Data!$BO:$BO,0)-2,62),"")),"")</f>
        <v/>
      </c>
      <c r="G3212" s="39"/>
      <c r="H3212" s="35" t="str">
        <f ca="1">IFERROR(IF(INDEX(Tab_DaBa[],MATCH(CONCATENATE(Liste!$C$3,$B$3107,$B$3193),Data!$BO:$BO,0)-2,63)&lt;&gt;"",INDEX(Tab_DaBa[],MATCH(CONCATENATE(Liste!$C$3,$B$3107,$B$3193),Data!$BO:$BO,0)-2,12),""),"")</f>
        <v/>
      </c>
    </row>
    <row r="3213" spans="2:9" s="16" customFormat="1" ht="15.75">
      <c r="B3213" s="35" t="str">
        <f ca="1">IFERROR(IF(AND(INDEX(Tab_DaBa[],MATCH(CONCATENATE(Liste!$C$3,$B$3107,$B$3193),Data!$BO:$BO,0)-2,48)&lt;&gt;"",INDEX(Tab_DaBa[],MATCH(CONCATENATE(Liste!$C$3,$B$3107,$B$3193),Data!$BO:$BO,0)-2,53)=""),INDEX(Tab_DaBa[],MATCH(CONCATENATE(Liste!$C$3,$B$3107,$B$3193),Data!$BO:$BO,0)-2,13),IF(INDEX(Tab_DaBa[],MATCH(CONCATENATE(Liste!$C$3,$B$3107,$B$3193),Data!$BO:$BO,0)-2,48)&lt;&gt;"",INDEX(Tab_DaBa[],MATCH(CONCATENATE(Liste!$C$3,$B$3107,$B$3193),Data!$BO:$BO,0)-2,53),"")),"")</f>
        <v/>
      </c>
      <c r="C3213" s="38" t="str">
        <f ca="1">IF(D3211="","",4)</f>
        <v/>
      </c>
      <c r="D3213" s="35" t="str">
        <f ca="1">IFERROR(IF(AND(INDEX(Tab_DaBa[],MATCH(CONCATENATE(Liste!$C$3,$B$3107,$B$3193),Data!$BO:$BO,0)-2,53)&lt;&gt;"",INDEX(Tab_DaBa[],MATCH(CONCATENATE(Liste!$C$3,$B$3107,$B$3193),Data!$BO:$BO,0)-2,58)=""),INDEX(Tab_DaBa[],MATCH(CONCATENATE(Liste!$C$3,$B$3107,$B$3193),Data!$BO:$BO,0)-2,13),IF(INDEX(Tab_DaBa[],MATCH(CONCATENATE(Liste!$C$3,$B$3107,$B$3193),Data!$BO:$BO,0)-2,53)&lt;&gt;"",INDEX(Tab_DaBa[],MATCH(CONCATENATE(Liste!$C$3,$B$3107,$B$3193),Data!$BO:$BO,0)-2,58),"")),"")</f>
        <v/>
      </c>
      <c r="E3213" s="38" t="str">
        <f ca="1">IF(F3211="","",4)</f>
        <v/>
      </c>
      <c r="F3213" s="35" t="str">
        <f ca="1">IFERROR(IF(AND(INDEX(Tab_DaBa[],MATCH(CONCATENATE(Liste!$C$3,$B$3107,$B$3193),Data!$BO:$BO,0)-2,58)&lt;&gt;"",INDEX(Tab_DaBa[],MATCH(CONCATENATE(Liste!$C$3,$B$3107,$B$3193),Data!$BO:$BO,0)-2,63)=""),INDEX(Tab_DaBa[],MATCH(CONCATENATE(Liste!$C$3,$B$3107,$B$3193),Data!$BO:$BO,0)-2,13),IF(INDEX(Tab_DaBa[],MATCH(CONCATENATE(Liste!$C$3,$B$3107,$B$3193),Data!$BO:$BO,0)-2,58)&lt;&gt;"",INDEX(Tab_DaBa[],MATCH(CONCATENATE(Liste!$C$3,$B$3107,$B$3193),Data!$BO:$BO,0)-2,63),"")),"")</f>
        <v/>
      </c>
      <c r="G3213" s="38" t="str">
        <f ca="1">IF(H3211="","",4)</f>
        <v/>
      </c>
      <c r="H3213" s="35" t="str">
        <f ca="1">IFERROR(IF(INDEX(Tab_DaBa[],MATCH(CONCATENATE(Liste!$C$3,$B$3107,$B$3193),Data!$BO:$BO,0)-2,63)&lt;&gt;"",INDEX(Tab_DaBa[],MATCH(CONCATENATE(Liste!$C$3,$B$3107,$B$3193),Data!$BO:$BO,0)-2,13),""),"")</f>
        <v/>
      </c>
    </row>
    <row r="3214" spans="2:9" s="16" customFormat="1" ht="15.75">
      <c r="B3214" s="35" t="str">
        <f ca="1">IFERROR(IF(AND(INDEX(Tab_DaBa[],MATCH(CONCATENATE(Liste!$C$3,$B$3107,$B$3193),Data!$BO:$BO,0)-2,48)&lt;&gt;"",INDEX(Tab_DaBa[],MATCH(CONCATENATE(Liste!$C$3,$B$3107,$B$3193),Data!$BO:$BO,0)-2,53)=""),"Performance Level: "&amp;INDEX(Tab_DaBa[],MATCH(CONCATENATE(Liste!$C$3,$B$3107,$B$3193),Data!$BO:$BO,0)-2,15),IF(INDEX(Tab_DaBa[],MATCH(CONCATENATE(Liste!$C$3,$B$3107,$B$3193),Data!$BO:$BO,0)-2,48)&lt;&gt;"","Performance Level: "&amp;INDEX(Tab_DaBa[],MATCH(CONCATENATE(Liste!$C$3,$B$3107,$B$3193),Data!$BO:$BO,0)-2,55),"")),"")</f>
        <v/>
      </c>
      <c r="C3214" s="39"/>
      <c r="D3214" s="35" t="str">
        <f ca="1">IFERROR(IF(AND(INDEX(Tab_DaBa[],MATCH(CONCATENATE(Liste!$C$3,$B$3107,$B$3193),Data!$BO:$BO,0)-2,53)&lt;&gt;"",INDEX(Tab_DaBa[],MATCH(CONCATENATE(Liste!$C$3,$B$3107,$B$3193),Data!$BO:$BO,0)-2,58)=""),"Performance Level: "&amp;INDEX(Tab_DaBa[],MATCH(CONCATENATE(Liste!$C$3,$B$3107,$B$3193),Data!$BO:$BO,0)-2,15),IF(INDEX(Tab_DaBa[],MATCH(CONCATENATE(Liste!$C$3,$B$3107,$B$3193),Data!$BO:$BO,0)-2,53)&lt;&gt;"","Performance Level: "&amp;INDEX(Tab_DaBa[],MATCH(CONCATENATE(Liste!$C$3,$B$3107,$B$3193),Data!$BO:$BO,0)-2,60),"")),"")</f>
        <v/>
      </c>
      <c r="E3214" s="37"/>
      <c r="F3214" s="35" t="str">
        <f ca="1">IFERROR(IF(AND(INDEX(Tab_DaBa[],MATCH(CONCATENATE(Liste!$C$3,$B$3107,$B$3193),Data!$BO:$BO,0)-2,58)&lt;&gt;"",INDEX(Tab_DaBa[],MATCH(CONCATENATE(Liste!$C$3,$B$3107,$B$3193),Data!$BO:$BO,0)-2,63)=""),"Performance Level: "&amp;INDEX(Tab_DaBa[],MATCH(CONCATENATE(Liste!$C$3,$B$3107,$B$3193),Data!$BO:$BO,0)-2,15),IF(INDEX(Tab_DaBa[],MATCH(CONCATENATE(Liste!$C$3,$B$3107,$B$3193),Data!$BO:$BO,0)-2,58)&lt;&gt;"","Performance Level: "&amp;INDEX(Tab_DaBa[],MATCH(CONCATENATE(Liste!$C$3,$B$3107,$B$3193),Data!$BO:$BO,0)-2,65),"")),"")</f>
        <v/>
      </c>
      <c r="G3214" s="39"/>
      <c r="H3214" s="35" t="str">
        <f ca="1">IFERROR(IF(INDEX(Tab_DaBa[],MATCH(CONCATENATE(Liste!$C$3,$B$3107,$B$3193),Data!$BO:$BO,0)-2,63)&lt;&gt;"","Performance Level: "&amp;INDEX(Tab_DaBa[],MATCH(CONCATENATE(Liste!$C$3,$B$3107,$B$3193),Data!$BO:$BO,0)-2,15),""),"")</f>
        <v/>
      </c>
    </row>
    <row r="3215" spans="2:9" s="16" customFormat="1" ht="15.75">
      <c r="B3215" s="35" t="str">
        <f ca="1">IFERROR(IF(AND(INDEX(Tab_DaBa[],MATCH(CONCATENATE(Liste!$C$3,$B$3107,$B$3193),Data!$BO:$BO,0)-2,48)&lt;&gt;"",INDEX(Tab_DaBa[],MATCH(CONCATENATE(Liste!$C$3,$B$3107,$B$3193),Data!$BO:$BO,0)-2,53)=""),"PFH [1/h] = "&amp;10^9*INDEX(Tab_DaBa[],MATCH(CONCATENATE(Liste!$C$3,$B$3107,$B$3193),Data!$BO:$BO,0)-2,16)&amp;"E-9",IF(INDEX(Tab_DaBa[],MATCH(CONCATENATE(Liste!$C$3,$B$3107,$B$3193),Data!$BO:$BO,0)-2,48)&lt;&gt;"","PFH [1/h] = "&amp;10^9*INDEX(Tab_DaBa[],MATCH(CONCATENATE(Liste!$C$3,$B$3107,$B$3193),Data!$BO:$BO,0)-2,56)&amp;"E-9","")),"")</f>
        <v/>
      </c>
      <c r="C3215" s="39"/>
      <c r="D3215" s="35" t="str">
        <f ca="1">IFERROR(IF(AND(INDEX(Tab_DaBa[],MATCH(CONCATENATE(Liste!$C$3,$B$3107,$B$3193),Data!$BO:$BO,0)-2,53)&lt;&gt;"",INDEX(Tab_DaBa[],MATCH(CONCATENATE(Liste!$C$3,$B$3107,$B$3193),Data!$BO:$BO,0)-2,58)=""),"PFH [1/h] = "&amp;10^9*INDEX(Tab_DaBa[],MATCH(CONCATENATE(Liste!$C$3,$B$3107,$B$3193),Data!$BO:$BO,0)-2,16)&amp;"E-9",IF(INDEX(Tab_DaBa[],MATCH(CONCATENATE(Liste!$C$3,$B$3107,$B$3193),Data!$BO:$BO,0)-2,53)&lt;&gt;"","PFH [1/h] = "&amp;10^9*INDEX(Tab_DaBa[],MATCH(CONCATENATE(Liste!$C$3,$B$3107,$B$3193),Data!$BO:$BO,0)-2,61)&amp;"E-9","")),"")</f>
        <v/>
      </c>
      <c r="E3215" s="37"/>
      <c r="F3215" s="35" t="str">
        <f ca="1">IFERROR(IF(AND(INDEX(Tab_DaBa[],MATCH(CONCATENATE(Liste!$C$3,$B$3107,$B$3193),Data!$BO:$BO,0)-2,58)&lt;&gt;"",INDEX(Tab_DaBa[],MATCH(CONCATENATE(Liste!$C$3,$B$3107,$B$3193),Data!$BO:$BO,0)-2,63)=""),"PFH [1/h] = "&amp;10^9*INDEX(Tab_DaBa[],MATCH(CONCATENATE(Liste!$C$3,$B$3107,$B$3193),Data!$BO:$BO,0)-2,16)&amp;"E-9",IF(INDEX(Tab_DaBa[],MATCH(CONCATENATE(Liste!$C$3,$B$3107,$B$3193),Data!$BO:$BO,0)-2,58)&lt;&gt;"","PFH [1/h] = "&amp;10^9*INDEX(Tab_DaBa[],MATCH(CONCATENATE(Liste!$C$3,$B$3107,$B$3193),Data!$BO:$BO,0)-2,66)&amp;"E-9","")),"")</f>
        <v/>
      </c>
      <c r="G3215" s="39"/>
      <c r="H3215" s="35" t="str">
        <f ca="1">IFERROR(IF(INDEX(Tab_DaBa[],MATCH(CONCATENATE(Liste!$C$3,$B$3107,$B$3193),Data!$BO:$BO,0)-2,63)&lt;&gt;"","PFH [1/h] = "&amp;10^9*INDEX(Tab_DaBa[],MATCH(CONCATENATE(Liste!$C$3,$B$3107,$B$3193),Data!$BO:$BO,0)-2,16)&amp;"E-9",""),"")</f>
        <v/>
      </c>
    </row>
    <row r="3216" spans="2:9" s="16" customFormat="1"/>
    <row r="3217" spans="2:9" s="16" customFormat="1">
      <c r="B3217" s="43" t="str">
        <f ca="1">IF(D3217="","","Erforderlich")</f>
        <v>Erforderlich</v>
      </c>
      <c r="D3217" s="44" t="str">
        <f ca="1">IFERROR("Performance Level: "&amp;INDEX(Tab_DaBa[],MATCH(CONCATENATE(Liste!$C$3,$B$3107,$B$3193),Data!$BO:$BO,0)-2,4),"")</f>
        <v>Performance Level: PLr_ges4_4</v>
      </c>
    </row>
    <row r="3218" spans="2:9" s="16" customFormat="1">
      <c r="B3218" s="45"/>
    </row>
    <row r="3219" spans="2:9" s="16" customFormat="1">
      <c r="B3219" s="46" t="str">
        <f ca="1">IF(D3219="","","Erreicht")</f>
        <v>Erreicht</v>
      </c>
      <c r="D3219" s="47" t="str">
        <f ca="1">IFERROR("Performance Level: "&amp;INDEX(Tab_DaBa[],MATCH(CONCATENATE(Liste!$C$3,$B$3107,$B$3193),Data!$BO:$BO,0)-2,5)&amp;"          PFH [1/h] = "&amp;10^9*INDEX(Tab_DaBa[],MATCH(CONCATENATE(Liste!$C$3,$B$3107,$B$3193),Data!$BO:$BO,0)-2,6)&amp;"E-9","")</f>
        <v>Performance Level: Pl_ges4_4          PFH [1/h] = 71,7E-9</v>
      </c>
    </row>
    <row r="3220" spans="2:9" s="16" customFormat="1"/>
    <row r="3221" spans="2:9" s="16" customFormat="1">
      <c r="B3221" s="42" t="str">
        <f ca="1">IFERROR(IF(5&gt;COUNTIF(Data!$BP:$BP,CONCATENATE(Liste!$C$3,$B$3107)),"",INDEX(Tab_DaBa[],MATCH(CONCATENATE(Liste!$C$3,$B$3107),Data!$BP:$BP,0)+2,3)),"")</f>
        <v>12.5 Test12 (E+5L+A)</v>
      </c>
    </row>
    <row r="3222" spans="2:9" s="16" customFormat="1"/>
    <row r="3223" spans="2:9" s="16" customFormat="1" ht="15.75">
      <c r="B3223" s="35" t="str">
        <f ca="1">IFERROR(INDEX(Tab_DaBa[],MATCH(CONCATENATE(Liste!$C$3,$B$3107,$B$3221),Data!$BO:$BO,0)-2,9),"")</f>
        <v>Eingang</v>
      </c>
      <c r="C3223" s="54"/>
      <c r="D3223" s="35" t="str">
        <f ca="1">IFERROR(IF(INDEX(Tab_DaBa[],MATCH(CONCATENATE(Liste!$C$3,$B$3107,$B$3221),Data!$BO:$BO,0)-2,18)=0,INDEX(Tab_DaBa[],MATCH(CONCATENATE(Liste!$C$3,$B$3107,$B$3221),Data!$BO:$BO,0)-2,14),INDEX(Tab_DaBa[],MATCH(CONCATENATE(Liste!$C$3,$B$3107,$B$3221),Data!$BO:$BO,0)-2,19)),"")</f>
        <v>Logik 01</v>
      </c>
      <c r="E3223" s="33"/>
      <c r="F3223" s="35" t="str">
        <f ca="1">IFERROR(IF(AND(INDEX(Tab_DaBa[],MATCH(CONCATENATE(Liste!$C$3,$B$3107,$B$3221),Data!$BO:$BO,0)-2,18)&lt;&gt;"",INDEX(Tab_DaBa[],MATCH(CONCATENATE(Liste!$C$3,$B$3107,$B$3221),Data!$BO:$BO,0)-2,23)=0),INDEX(Tab_DaBa[],MATCH(CONCATENATE(Liste!$C$3,$B$3107,$B$3221),Data!$BO:$BO,0)-2,14),IF(INDEX(Tab_DaBa[],MATCH(CONCATENATE(Liste!$C$3,$B$3107,$B$3221),Data!$BO:$BO,0)-2,23)&lt;&gt;"",INDEX(Tab_DaBa[],MATCH(CONCATENATE(Liste!$C$3,$B$3107,$B$3221),Data!$BO:$BO,0)-2,24),"")),"")</f>
        <v>Logik 02</v>
      </c>
      <c r="G3223" s="39"/>
      <c r="H3223" s="35" t="str">
        <f ca="1">IFERROR(IF(AND(INDEX(Tab_DaBa[],MATCH(CONCATENATE(Liste!$C$3,$B$3107,$B$3221),Data!$BO:$BO,0)-2,23)&lt;&gt;"",INDEX(Tab_DaBa[],MATCH(CONCATENATE(Liste!$C$3,$B$3107,$B$3221),Data!$BO:$BO,0)-2,28)=0),INDEX(Tab_DaBa[],MATCH(CONCATENATE(Liste!$C$3,$B$3107,$B$3221),Data!$BO:$BO,0)-2,14),IF(INDEX(Tab_DaBa[],MATCH(CONCATENATE(Liste!$C$3,$B$3107,$B$3221),Data!$BO:$BO,0)-2,23)&lt;&gt;"",INDEX(Tab_DaBa[],MATCH(CONCATENATE(Liste!$C$3,$B$3107,$B$3221),Data!$BO:$BO,0)-2,29),"")),"")</f>
        <v>Logik 03</v>
      </c>
      <c r="I3223" s="39"/>
    </row>
    <row r="3224" spans="2:9" s="16" customFormat="1" ht="15.75">
      <c r="B3224" s="35" t="str">
        <f ca="1">IFERROR(INDEX(Tab_DaBa[],MATCH(CONCATENATE(Liste!$C$3,$B$3107,$B$3221),Data!$BO:$BO,0)-2,7),"")</f>
        <v>eeee-33_5</v>
      </c>
      <c r="C3224" s="54"/>
      <c r="D3224" s="35" t="str">
        <f ca="1">IFERROR(IF(INDEX(Tab_DaBa[],MATCH(CONCATENATE(Liste!$C$3,$B$3107,$B$3221),Data!$BO:$BO,0)-2,18)="",INDEX(Tab_DaBa[],MATCH(CONCATENATE(Liste!$C$3,$B$3107,$B$3221),Data!$BO:$BO,0)-2,12),INDEX(Tab_DaBa[],MATCH(CONCATENATE(Liste!$C$3,$B$3107,$B$3221),Data!$BO:$BO,0)-2,17)),"")</f>
        <v>Log01-04_05</v>
      </c>
      <c r="E3224" s="36"/>
      <c r="F3224" s="35" t="str">
        <f ca="1">IFERROR(IF(AND(INDEX(Tab_DaBa[],MATCH(CONCATENATE(Liste!$C$3,$B$3107,$B$3221),Data!$BO:$BO,0)-2,18)&lt;&gt;"",INDEX(Tab_DaBa[],MATCH(CONCATENATE(Liste!$C$3,$B$3107,$B$3221),Data!$BO:$BO,0)-2,23)=0),INDEX(Tab_DaBa[],MATCH(CONCATENATE(Liste!$C$3,$B$3107,$B$3221),Data!$BO:$BO,0)-2,12),IF(INDEX(Tab_DaBa[],MATCH(CONCATENATE(Liste!$C$3,$B$3107,$B$3221),Data!$BO:$BO,0)-2,23)&lt;&gt;"",INDEX(Tab_DaBa[],MATCH(CONCATENATE(Liste!$C$3,$B$3107,$B$3221),Data!$BO:$BO,0)-2,22),"")),"")</f>
        <v>Lo04-04_05</v>
      </c>
      <c r="G3224" s="39"/>
      <c r="H3224" s="35" t="str">
        <f ca="1">IFERROR(IF(AND(INDEX(Tab_DaBa[],MATCH(CONCATENATE(Liste!$C$3,$B$3107,$B$3221),Data!$BO:$BO,0)-2,23)&lt;&gt;"",INDEX(Tab_DaBa[],MATCH(CONCATENATE(Liste!$C$3,$B$3107,$B$3221),Data!$BO:$BO,0)-2,28)=0),INDEX(Tab_DaBa[],MATCH(CONCATENATE(Liste!$C$3,$B$3107,$B$3221),Data!$BO:$BO,0)-2,12),IF(INDEX(Tab_DaBa[],MATCH(CONCATENATE(Liste!$C$3,$B$3107,$B$3221),Data!$BO:$BO,0)-2,23)&lt;&gt;"",INDEX(Tab_DaBa[],MATCH(CONCATENATE(Liste!$C$3,$B$3107,$B$3221),Data!$BO:$BO,0)-2,27),"")),"")</f>
        <v>Lo04-44_05</v>
      </c>
      <c r="I3224" s="39"/>
    </row>
    <row r="3225" spans="2:9" s="16" customFormat="1" ht="15.75">
      <c r="B3225" s="35" t="str">
        <f ca="1">IFERROR(INDEX(Tab_DaBa[],MATCH(CONCATENATE(Liste!$C$3,$B$3107,$B$3221),Data!$BO:$BO,0)-2,8),"")</f>
        <v>Bez_Ein4_5</v>
      </c>
      <c r="C3225" s="40">
        <f ca="1">IF(D3223="","",4)</f>
        <v>4</v>
      </c>
      <c r="D3225" s="35" t="str">
        <f ca="1">IFERROR(IF(INDEX(Tab_DaBa[],MATCH(CONCATENATE(Liste!$C$3,$B$3107,$B$3221),Data!$BO:$BO,0)-2,18)="",INDEX(Tab_DaBa[],MATCH(CONCATENATE(Liste!$C$3,$B$3107,$B$3221),Data!$BO:$BO,0)-2,13),INDEX(Tab_DaBa[],MATCH(CONCATENATE(Liste!$C$3,$B$3107,$B$3221),Data!$BO:$BO,0)-2,18)),"")</f>
        <v>Bez_Log01_04_05</v>
      </c>
      <c r="E3225" s="40">
        <f ca="1">IF(F3223="","",4)</f>
        <v>4</v>
      </c>
      <c r="F3225" s="35" t="str">
        <f ca="1">IFERROR(IF(AND(INDEX(Tab_DaBa[],MATCH(CONCATENATE(Liste!$C$3,$B$3107,$B$3221),Data!$BO:$BO,0)-2,18)&lt;&gt;"",INDEX(Tab_DaBa[],MATCH(CONCATENATE(Liste!$C$3,$B$3107,$B$3221),Data!$BO:$BO,0)-2,23)=""),INDEX(Tab_DaBa[],MATCH(CONCATENATE(Liste!$C$3,$B$3107,$B$3221),Data!$BO:$BO,0)-2,13),IF(INDEX(Tab_DaBa[],MATCH(CONCATENATE(Liste!$C$3,$B$3107,$B$3221),Data!$BO:$BO,0)-2,23)&lt;&gt;"",INDEX(Tab_DaBa[],MATCH(CONCATENATE(Liste!$C$3,$B$3107,$B$3221),Data!$BO:$BO,0)-2,23),"")),"")</f>
        <v>Bez_Lo04_05</v>
      </c>
      <c r="G3225" s="38">
        <f ca="1">IF(H3223="","",4)</f>
        <v>4</v>
      </c>
      <c r="H3225" s="35" t="str">
        <f ca="1">IFERROR(IF(AND(INDEX(Tab_DaBa[],MATCH(CONCATENATE(Liste!$C$3,$B$3107,$B$3221),Data!$BO:$BO,0)-2,23)&lt;&gt;"",INDEX(Tab_DaBa[],MATCH(CONCATENATE(Liste!$C$3,$B$3107,$B$3221),Data!$BO:$BO,0)-2,28)=""),INDEX(Tab_DaBa[],MATCH(CONCATENATE(Liste!$C$3,$B$3107,$B$3221),Data!$BO:$BO,0)-2,13),IF(INDEX(Tab_DaBa[],MATCH(CONCATENATE(Liste!$C$3,$B$3107,$B$3221),Data!$BO:$BO,0)-2,23)&lt;&gt;"",INDEX(Tab_DaBa[],MATCH(CONCATENATE(Liste!$C$3,$B$3107,$B$3221),Data!$BO:$BO,0)-2,28),"")),"")</f>
        <v>Bez_Lo04_05</v>
      </c>
      <c r="I3225" s="38">
        <f ca="1">IF(B3231="","",6)</f>
        <v>6</v>
      </c>
    </row>
    <row r="3226" spans="2:9" s="16" customFormat="1" ht="15.75">
      <c r="B3226" s="35" t="str">
        <f ca="1">IFERROR("Performance Level: "&amp;INDEX(Tab_DaBa[],MATCH(CONCATENATE(Liste!$C$3,$B$3107,$B$3221),Data!$BO:$BO,0)-2,10),"")</f>
        <v>Performance Level: PL_Ein4_5</v>
      </c>
      <c r="C3226" s="54"/>
      <c r="D3226" s="35" t="str">
        <f ca="1">IFERROR(IF(INDEX(Tab_DaBa[],MATCH(CONCATENATE(Liste!$C$3,$B$3107,$B$3221),Data!$BO:$BO,0)-2,18)="","Performance Level: "&amp;INDEX(Tab_DaBa[],MATCH(CONCATENATE(Liste!$C$3,$B$3107,$B$3221),Data!$BO:$BO,0)-2,15),"Performance Level: "&amp;INDEX(Tab_DaBa[],MATCH(CONCATENATE(Liste!$C$3,$B$3107,$B$3221),Data!$BO:$BO,0)-2,20)),"")</f>
        <v>Performance Level: PL_Log01_04_05</v>
      </c>
      <c r="E3226" s="36"/>
      <c r="F3226" s="35" t="str">
        <f ca="1">IFERROR(IF(AND(INDEX(Tab_DaBa[],MATCH(CONCATENATE(Liste!$C$3,$B$3107,$B$3221),Data!$BO:$BO,0)-2,18)&lt;&gt;"",INDEX(Tab_DaBa[],MATCH(CONCATENATE(Liste!$C$3,$B$3107,$B$3221),Data!$BO:$BO,0)-2,23)=""),"Performance Level: "&amp;INDEX(Tab_DaBa[],MATCH(CONCATENATE(Liste!$C$3,$B$3107,$B$3221),Data!$BO:$BO,0)-2,15),IF(INDEX(Tab_DaBa[],MATCH(CONCATENATE(Liste!$C$3,$B$3107,$B$3221),Data!$BO:$BO,0)-2,23)&lt;&gt;"","Performance Level: "&amp;INDEX(Tab_DaBa[],MATCH(CONCATENATE(Liste!$C$3,$B$3107,$B$3221),Data!$BO:$BO,0)-2,25),"")),"")</f>
        <v>Performance Level: PL_Lo04_05</v>
      </c>
      <c r="G3226" s="39"/>
      <c r="H3226" s="35" t="str">
        <f ca="1">IFERROR(IF(AND(INDEX(Tab_DaBa[],MATCH(CONCATENATE(Liste!$C$3,$B$3107,$B$3221),Data!$BO:$BO,0)-2,23)&lt;&gt;"",INDEX(Tab_DaBa[],MATCH(CONCATENATE(Liste!$C$3,$B$3107,$B$3221),Data!$BO:$BO,0)-2,28)=""),"Performance Level: "&amp;INDEX(Tab_DaBa[],MATCH(CONCATENATE(Liste!$C$3,$B$3107,$B$3221),Data!$BO:$BO,0)-2,15),IF(INDEX(Tab_DaBa[],MATCH(CONCATENATE(Liste!$C$3,$B$3107,$B$3221),Data!$BO:$BO,0)-2,23)&lt;&gt;"","Performance Level: "&amp;INDEX(Tab_DaBa[],MATCH(CONCATENATE(Liste!$C$3,$B$3107,$B$3221),Data!$BO:$BO,0)-2,30),"")),"")</f>
        <v>Performance Level: PL_Lo04_05</v>
      </c>
      <c r="I3226" s="38"/>
    </row>
    <row r="3227" spans="2:9" s="16" customFormat="1" ht="15.75">
      <c r="B3227" s="53" t="str">
        <f ca="1">IFERROR("PFH [1/h] = "&amp;10^9*INDEX(Tab_DaBa[],MATCH(CONCATENATE(Liste!$C$3,$B$3107,$B$3221),Data!$BO:$BO,0)-2,11)&amp;"E-9","")</f>
        <v>PFH [1/h] = 42,9E-9</v>
      </c>
      <c r="C3227" s="54"/>
      <c r="D3227" s="35" t="str">
        <f ca="1">IFERROR(IF(INDEX(Tab_DaBa[],MATCH(CONCATENATE(Liste!$C$3,$B$3107,$B$3221),Data!$BO:$BO,0)-2,18)="","PFH [1/h] = "&amp;10^9*INDEX(Tab_DaBa[],MATCH(CONCATENATE(Liste!$C$3,$B$3107,$B$3221),Data!$BO:$BO,0)-2,16)&amp;"E-9","PFH [1/h] = "&amp;10^9*INDEX(Tab_DaBa[],MATCH(CONCATENATE(Liste!$C$3,$B$3107,$B$3221),Data!$BO:$BO,0)-2,21)&amp;"E-9"),"")</f>
        <v>PFH [1/h] = 4,19E-9</v>
      </c>
      <c r="E3227" s="36"/>
      <c r="F3227" s="35" t="str">
        <f ca="1">IFERROR(IF(AND(INDEX(Tab_DaBa[],MATCH(CONCATENATE(Liste!$C$3,$B$3107,$B$3221),Data!$BO:$BO,0)-2,18)&lt;&gt;"",INDEX(Tab_DaBa[],MATCH(CONCATENATE(Liste!$C$3,$B$3107,$B$3221),Data!$BO:$BO,0)-2,23)=""),"PFH [1/h] = "&amp;10^9*INDEX(Tab_DaBa[],MATCH(CONCATENATE(Liste!$C$3,$B$3107,$B$3221),Data!$BO:$BO,0)-2,16)&amp;"E-9",IF(INDEX(Tab_DaBa[],MATCH(CONCATENATE(Liste!$C$3,$B$3107,$B$3221),Data!$BO:$BO,0)-2,23)&lt;&gt;"","PFH [1/h] = "&amp;10^9*INDEX(Tab_DaBa[],MATCH(CONCATENATE(Liste!$C$3,$B$3107,$B$3221),Data!$BO:$BO,0)-2,26)&amp;"E-9","")),"")</f>
        <v>PFH [1/h] = 4,19E-9</v>
      </c>
      <c r="G3227" s="39"/>
      <c r="H3227" s="35" t="str">
        <f ca="1">IFERROR(IF(AND(INDEX(Tab_DaBa[],MATCH(CONCATENATE(Liste!$C$3,$B$3107,$B$3221),Data!$BO:$BO,0)-2,23)&lt;&gt;"",INDEX(Tab_DaBa[],MATCH(CONCATENATE(Liste!$C$3,$B$3107,$B$3221),Data!$BO:$BO,0)-2,28)=""),"PFH [1/h] = "&amp;10^9*INDEX(Tab_DaBa[],MATCH(CONCATENATE(Liste!$C$3,$B$3107,$B$3221),Data!$BO:$BO,0)-2,16)&amp;"E-9",IF(INDEX(Tab_DaBa[],MATCH(CONCATENATE(Liste!$C$3,$B$3107,$B$3221),Data!$BO:$BO,0)-2,23)&lt;&gt;"","PFH [1/h] = "&amp;10^9*INDEX(Tab_DaBa[],MATCH(CONCATENATE(Liste!$C$3,$B$3107,$B$3221),Data!$BO:$BO,0)-2,31)&amp;"E-9","")),"")</f>
        <v>PFH [1/h] = 4,19E-9</v>
      </c>
      <c r="I3227" s="39"/>
    </row>
    <row r="3228" spans="2:9" s="16" customFormat="1">
      <c r="B3228" s="33"/>
      <c r="C3228" s="34"/>
      <c r="D3228" s="33"/>
      <c r="E3228" s="33"/>
      <c r="F3228" s="33"/>
      <c r="G3228" s="33"/>
      <c r="H3228" s="33"/>
      <c r="I3228" s="33"/>
    </row>
    <row r="3229" spans="2:9" s="16" customFormat="1" ht="15.75">
      <c r="B3229" s="38">
        <f ca="1">IF(B3231="","",6)</f>
        <v>6</v>
      </c>
      <c r="C3229" s="34"/>
      <c r="D3229" s="38">
        <f ca="1">IF(B3231="","",3)</f>
        <v>3</v>
      </c>
      <c r="E3229" s="33"/>
      <c r="F3229" s="38">
        <f ca="1">IF(B3231="","",3)</f>
        <v>3</v>
      </c>
      <c r="G3229" s="33"/>
      <c r="H3229" s="38">
        <f ca="1">IF(B3231="","",3)</f>
        <v>3</v>
      </c>
      <c r="I3229" s="33"/>
    </row>
    <row r="3230" spans="2:9" s="16" customFormat="1" ht="15.75">
      <c r="B3230" s="39"/>
      <c r="C3230" s="33"/>
      <c r="D3230" s="33"/>
      <c r="E3230" s="33"/>
      <c r="F3230" s="33"/>
      <c r="G3230" s="33"/>
      <c r="H3230" s="33"/>
      <c r="I3230" s="33"/>
    </row>
    <row r="3231" spans="2:9" s="16" customFormat="1" ht="15.75">
      <c r="B3231" s="35" t="str">
        <f ca="1">IFERROR(IF(AND(INDEX(Tab_DaBa[],MATCH(CONCATENATE(Liste!$C$3,$B$3107,$B$3221),Data!$BO:$BO,0)-2,28)&lt;&gt;"",INDEX(Tab_DaBa[],MATCH(CONCATENATE(Liste!$C$3,$B$3107,$B$3221),Data!$BO:$BO,0)-2,33)=0),INDEX(Tab_DaBa[],MATCH(CONCATENATE(Liste!$C$3,$B$3107,$B$3221),Data!$BO:$BO,0)-2,14),IF(INDEX(Tab_DaBa[],MATCH(CONCATENATE(Liste!$C$3,$B$3107,$B$3221),Data!$BO:$BO,0)-2,28)&lt;&gt;"",INDEX(Tab_DaBa[],MATCH(CONCATENATE(Liste!$C$3,$B$3107,$B$3221),Data!$BO:$BO,0)-2,34),"")),"")</f>
        <v>Logik 04</v>
      </c>
      <c r="C3231" s="39"/>
      <c r="D3231" s="35" t="str">
        <f ca="1">IFERROR(IF(AND(INDEX(Tab_DaBa[],MATCH(CONCATENATE(Liste!$C$3,$B$3107,$B$3221),Data!$BO:$BO,0)-2,33)&lt;&gt;"",INDEX(Tab_DaBa[],MATCH(CONCATENATE(Liste!$C$3,$B$3107,$B$3221),Data!$BO:$BO,0)-2,38)=0),INDEX(Tab_DaBa[],MATCH(CONCATENATE(Liste!$C$3,$B$3107,$B$3221),Data!$BO:$BO,0)-2,14),IF(INDEX(Tab_DaBa[],MATCH(CONCATENATE(Liste!$C$3,$B$3107,$B$3221),Data!$BO:$BO,0)-2,33)&lt;&gt;"",INDEX(Tab_DaBa[],MATCH(CONCATENATE(Liste!$C$3,$B$3107,$B$3221),Data!$BO:$BO,0)-2,39),"")),"")</f>
        <v>Logik 05</v>
      </c>
      <c r="E3231" s="33"/>
      <c r="F3231" s="35" t="str">
        <f ca="1">IFERROR(IF(AND(INDEX(Tab_DaBa[],MATCH(CONCATENATE(Liste!$C$3,$B$3107,$B$3221),Data!$BO:$BO,0)-2,38)&lt;&gt;"",INDEX(Tab_DaBa[],MATCH(CONCATENATE(Liste!$C$3,$B$3107,$B$3221),Data!$BO:$BO,0)-2,43)=0),INDEX(Tab_DaBa[],MATCH(CONCATENATE(Liste!$C$3,$B$3107,$B$3221),Data!$BO:$BO,0)-2,14),IF(INDEX(Tab_DaBa[],MATCH(CONCATENATE(Liste!$C$3,$B$3107,$B$3221),Data!$BO:$BO,0)-2,38)&lt;&gt;"",INDEX(Tab_DaBa[],MATCH(CONCATENATE(Liste!$C$3,$B$3107,$B$3221),Data!$BO:$BO,0)-2,44),"")),"")</f>
        <v>Ausgang</v>
      </c>
      <c r="G3231" s="39"/>
      <c r="H3231" s="35" t="str">
        <f ca="1">IFERROR(IF(AND(INDEX(Tab_DaBa[],MATCH(CONCATENATE(Liste!$C$3,$B$3107,$B$3221),Data!$BO:$BO,0)-2,43)&lt;&gt;"",INDEX(Tab_DaBa[],MATCH(CONCATENATE(Liste!$C$3,$B$3107,$B$3221),Data!$BO:$BO,0)-2,48)=0),INDEX(Tab_DaBa[],MATCH(CONCATENATE(Liste!$C$3,$B$3107,$B$3221),Data!$BO:$BO,0)-2,14),IF(INDEX(Tab_DaBa[],MATCH(CONCATENATE(Liste!$C$3,$B$3107,$B$3221),Data!$BO:$BO,0)-2,43)&lt;&gt;"",INDEX(Tab_DaBa[],MATCH(CONCATENATE(Liste!$C$3,$B$3107,$B$3221),Data!$BO:$BO,0)-2,49),"")),"")</f>
        <v/>
      </c>
      <c r="I3231" s="39"/>
    </row>
    <row r="3232" spans="2:9" s="16" customFormat="1" ht="15.75">
      <c r="B3232" s="35" t="str">
        <f ca="1">IFERROR(IF(AND(INDEX(Tab_DaBa[],MATCH(CONCATENATE(Liste!$C$3,$B$3107,$B$3221),Data!$BO:$BO,0)-2,28)&lt;&gt;"",INDEX(Tab_DaBa[],MATCH(CONCATENATE(Liste!$C$3,$B$3107,$B$3221),Data!$BO:$BO,0)-2,33)=0),INDEX(Tab_DaBa[],MATCH(CONCATENATE(Liste!$C$3,$B$3107,$B$3221),Data!$BO:$BO,0)-2,12),IF(INDEX(Tab_DaBa[],MATCH(CONCATENATE(Liste!$C$3,$B$3107,$B$3221),Data!$BO:$BO,0)-2,28)&lt;&gt;"",INDEX(Tab_DaBa[],MATCH(CONCATENATE(Liste!$C$3,$B$3107,$B$3221),Data!$BO:$BO,0)-2,32),"")),"")</f>
        <v>Lo04-44_05</v>
      </c>
      <c r="C3232" s="39"/>
      <c r="D3232" s="35" t="str">
        <f ca="1">IFERROR(IF(AND(INDEX(Tab_DaBa[],MATCH(CONCATENATE(Liste!$C$3,$B$3107,$B$3221),Data!$BO:$BO,0)-2,33)&lt;&gt;"",INDEX(Tab_DaBa[],MATCH(CONCATENATE(Liste!$C$3,$B$3107,$B$3221),Data!$BO:$BO,0)-2,38)=0),INDEX(Tab_DaBa[],MATCH(CONCATENATE(Liste!$C$3,$B$3107,$B$3221),Data!$BO:$BO,0)-2,12),IF(INDEX(Tab_DaBa[],MATCH(CONCATENATE(Liste!$C$3,$B$3107,$B$3221),Data!$BO:$BO,0)-2,33)&lt;&gt;"",INDEX(Tab_DaBa[],MATCH(CONCATENATE(Liste!$C$3,$B$3107,$B$3221),Data!$BO:$BO,0)-2,37),"")),"")</f>
        <v>Lo04-44_05</v>
      </c>
      <c r="E3232" s="37"/>
      <c r="F3232" s="35" t="str">
        <f ca="1">IFERROR(IF(AND(INDEX(Tab_DaBa[],MATCH(CONCATENATE(Liste!$C$3,$B$3107,$B$3221),Data!$BO:$BO,0)-2,38)&lt;&gt;"",INDEX(Tab_DaBa[],MATCH(CONCATENATE(Liste!$C$3,$B$3107,$B$3221),Data!$BO:$BO,0)-2,43)=0),INDEX(Tab_DaBa[],MATCH(CONCATENATE(Liste!$C$3,$B$3107,$B$3221),Data!$BO:$BO,0)-2,12),IF(INDEX(Tab_DaBa[],MATCH(CONCATENATE(Liste!$C$3,$B$3107,$B$3221),Data!$BO:$BO,0)-2,38)&lt;&gt;"",INDEX(Tab_DaBa[],MATCH(CONCATENATE(Liste!$C$3,$B$3107,$B$3221),Data!$BO:$BO,0)-2,42),"")),"")</f>
        <v>aaaa-44_5</v>
      </c>
      <c r="G3232" s="39"/>
      <c r="H3232" s="35" t="str">
        <f ca="1">IFERROR(IF(AND(INDEX(Tab_DaBa[],MATCH(CONCATENATE(Liste!$C$3,$B$3107,$B$3221),Data!$BO:$BO,0)-2,43)&lt;&gt;"",INDEX(Tab_DaBa[],MATCH(CONCATENATE(Liste!$C$3,$B$3107,$B$3221),Data!$BO:$BO,0)-2,48)=0),INDEX(Tab_DaBa[],MATCH(CONCATENATE(Liste!$C$3,$B$3107,$B$3221),Data!$BO:$BO,0)-2,12),IF(INDEX(Tab_DaBa[],MATCH(CONCATENATE(Liste!$C$3,$B$3107,$B$3221),Data!$BO:$BO,0)-2,43)&lt;&gt;"",INDEX(Tab_DaBa[],MATCH(CONCATENATE(Liste!$C$3,$B$3107,$B$3221),Data!$BO:$BO,0)-2,47),"")),"")</f>
        <v/>
      </c>
      <c r="I3232" s="39"/>
    </row>
    <row r="3233" spans="2:9" s="16" customFormat="1" ht="15.75">
      <c r="B3233" s="35" t="str">
        <f ca="1">IFERROR(IF(AND(INDEX(Tab_DaBa[],MATCH(CONCATENATE(Liste!$C$3,$B$3107,$B$3221),Data!$BO:$BO,0)-2,28)&lt;&gt;"",INDEX(Tab_DaBa[],MATCH(CONCATENATE(Liste!$C$3,$B$3107,$B$3221),Data!$BO:$BO,0)-2,33)=""),INDEX(Tab_DaBa[],MATCH(CONCATENATE(Liste!$C$3,$B$3107,$B$3221),Data!$BO:$BO,0)-2,13),IF(INDEX(Tab_DaBa[],MATCH(CONCATENATE(Liste!$C$3,$B$3107,$B$3221),Data!$BO:$BO,0)-2,28)&lt;&gt;"",INDEX(Tab_DaBa[],MATCH(CONCATENATE(Liste!$C$3,$B$3107,$B$3221),Data!$BO:$BO,0)-2,33),"")),"")</f>
        <v>Bez_Lo04_05</v>
      </c>
      <c r="C3233" s="38">
        <f ca="1">IF(D3231="","",4)</f>
        <v>4</v>
      </c>
      <c r="D3233" s="35" t="str">
        <f ca="1">IFERROR(IF(AND(INDEX(Tab_DaBa[],MATCH(CONCATENATE(Liste!$C$3,$B$3107,$B$3221),Data!$BO:$BO,0)-2,33)&lt;&gt;"",INDEX(Tab_DaBa[],MATCH(CONCATENATE(Liste!$C$3,$B$3107,$B$3221),Data!$BO:$BO,0)-2,38)=""),INDEX(Tab_DaBa[],MATCH(CONCATENATE(Liste!$C$3,$B$3107,$B$3221),Data!$BO:$BO,0)-2,13),IF(INDEX(Tab_DaBa[],MATCH(CONCATENATE(Liste!$C$3,$B$3107,$B$3221),Data!$BO:$BO,0)-2,33)&lt;&gt;"",INDEX(Tab_DaBa[],MATCH(CONCATENATE(Liste!$C$3,$B$3107,$B$3221),Data!$BO:$BO,0)-2,38),"")),"")</f>
        <v>Bez_Lo05_05</v>
      </c>
      <c r="E3233" s="38">
        <f ca="1">IF(F3231="","",4)</f>
        <v>4</v>
      </c>
      <c r="F3233" s="35" t="str">
        <f ca="1">IFERROR(IF(AND(INDEX(Tab_DaBa[],MATCH(CONCATENATE(Liste!$C$3,$B$3107,$B$3221),Data!$BO:$BO,0)-2,38)&lt;&gt;"",INDEX(Tab_DaBa[],MATCH(CONCATENATE(Liste!$C$3,$B$3107,$B$3221),Data!$BO:$BO,0)-2,43)=""),INDEX(Tab_DaBa[],MATCH(CONCATENATE(Liste!$C$3,$B$3107,$B$3221),Data!$BO:$BO,0)-2,13),IF(INDEX(Tab_DaBa[],MATCH(CONCATENATE(Liste!$C$3,$B$3107,$B$3221),Data!$BO:$BO,0)-2,38)&lt;&gt;"",INDEX(Tab_DaBa[],MATCH(CONCATENATE(Liste!$C$3,$B$3107,$B$3221),Data!$BO:$BO,0)-2,43),"")),"")</f>
        <v>Bez_Aus4_5</v>
      </c>
      <c r="G3233" s="38" t="str">
        <f ca="1">IF(H3231="","",4)</f>
        <v/>
      </c>
      <c r="H3233" s="35" t="str">
        <f ca="1">IFERROR(IF(AND(INDEX(Tab_DaBa[],MATCH(CONCATENATE(Liste!$C$3,$B$3107,$B$3221),Data!$BO:$BO,0)-2,43)&lt;&gt;"",INDEX(Tab_DaBa[],MATCH(CONCATENATE(Liste!$C$3,$B$3107,$B$3221),Data!$BO:$BO,0)-2,48)=""),INDEX(Tab_DaBa[],MATCH(CONCATENATE(Liste!$C$3,$B$3107,$B$3221),Data!$BO:$BO,0)-2,13),IF(INDEX(Tab_DaBa[],MATCH(CONCATENATE(Liste!$C$3,$B$3107,$B$3221),Data!$BO:$BO,0)-2,43)&lt;&gt;"",INDEX(Tab_DaBa[],MATCH(CONCATENATE(Liste!$C$3,$B$3107,$B$3221),Data!$BO:$BO,0)-2,48),"")),"")</f>
        <v/>
      </c>
      <c r="I3233" s="38" t="str">
        <f ca="1">IF(B3239="","",6)</f>
        <v/>
      </c>
    </row>
    <row r="3234" spans="2:9" s="16" customFormat="1" ht="15.75">
      <c r="B3234" s="35" t="str">
        <f ca="1">IFERROR(IF(AND(INDEX(Tab_DaBa[],MATCH(CONCATENATE(Liste!$C$3,$B$3107,$B$3221),Data!$BO:$BO,0)-2,28)&lt;&gt;"",INDEX(Tab_DaBa[],MATCH(CONCATENATE(Liste!$C$3,$B$3107,$B$3221),Data!$BO:$BO,0)-2,33)=""),"Performance Level: "&amp;INDEX(Tab_DaBa[],MATCH(CONCATENATE(Liste!$C$3,$B$3107,$B$3221),Data!$BO:$BO,0)-2,15),IF(INDEX(Tab_DaBa[],MATCH(CONCATENATE(Liste!$C$3,$B$3107,$B$3221),Data!$BO:$BO,0)-2,28)&lt;&gt;"","Performance Level: "&amp;INDEX(Tab_DaBa[],MATCH(CONCATENATE(Liste!$C$3,$B$3107,$B$3221),Data!$BO:$BO,0)-2,35),"")),"")</f>
        <v>Performance Level: PL_Lo04_05</v>
      </c>
      <c r="C3234" s="39"/>
      <c r="D3234" s="35" t="str">
        <f ca="1">IFERROR(IF(AND(INDEX(Tab_DaBa[],MATCH(CONCATENATE(Liste!$C$3,$B$3107,$B$3221),Data!$BO:$BO,0)-2,33)&lt;&gt;"",INDEX(Tab_DaBa[],MATCH(CONCATENATE(Liste!$C$3,$B$3107,$B$3221),Data!$BO:$BO,0)-2,38)=""),"Performance Level: "&amp;INDEX(Tab_DaBa[],MATCH(CONCATENATE(Liste!$C$3,$B$3107,$B$3221),Data!$BO:$BO,0)-2,15),IF(INDEX(Tab_DaBa[],MATCH(CONCATENATE(Liste!$C$3,$B$3107,$B$3221),Data!$BO:$BO,0)-2,33)&lt;&gt;"","Performance Level: "&amp;INDEX(Tab_DaBa[],MATCH(CONCATENATE(Liste!$C$3,$B$3107,$B$3221),Data!$BO:$BO,0)-2,40),"")),"")</f>
        <v>Performance Level: PL_Lo03_5</v>
      </c>
      <c r="E3234" s="37"/>
      <c r="F3234" s="35" t="str">
        <f ca="1">IFERROR(IF(AND(INDEX(Tab_DaBa[],MATCH(CONCATENATE(Liste!$C$3,$B$3107,$B$3221),Data!$BO:$BO,0)-2,38)&lt;&gt;"",INDEX(Tab_DaBa[],MATCH(CONCATENATE(Liste!$C$3,$B$3107,$B$3221),Data!$BO:$BO,0)-2,43)=""),"Performance Level: "&amp;INDEX(Tab_DaBa[],MATCH(CONCATENATE(Liste!$C$3,$B$3107,$B$3221),Data!$BO:$BO,0)-2,15),IF(INDEX(Tab_DaBa[],MATCH(CONCATENATE(Liste!$C$3,$B$3107,$B$3221),Data!$BO:$BO,0)-2,38)&lt;&gt;"","Performance Level: "&amp;INDEX(Tab_DaBa[],MATCH(CONCATENATE(Liste!$C$3,$B$3107,$B$3221),Data!$BO:$BO,0)-2,45),"")),"")</f>
        <v>Performance Level: PL_Aus4_5</v>
      </c>
      <c r="G3234" s="39"/>
      <c r="H3234" s="35" t="str">
        <f ca="1">IFERROR(IF(AND(INDEX(Tab_DaBa[],MATCH(CONCATENATE(Liste!$C$3,$B$3107,$B$3221),Data!$BO:$BO,0)-2,43)&lt;&gt;"",INDEX(Tab_DaBa[],MATCH(CONCATENATE(Liste!$C$3,$B$3107,$B$3221),Data!$BO:$BO,0)-2,48)=""),"Performance Level: "&amp;INDEX(Tab_DaBa[],MATCH(CONCATENATE(Liste!$C$3,$B$3107,$B$3221),Data!$BO:$BO,0)-2,15),IF(INDEX(Tab_DaBa[],MATCH(CONCATENATE(Liste!$C$3,$B$3107,$B$3221),Data!$BO:$BO,0)-2,43)&lt;&gt;"","Performance Level: "&amp;INDEX(Tab_DaBa[],MATCH(CONCATENATE(Liste!$C$3,$B$3107,$B$3221),Data!$BO:$BO,0)-2,50),"")),"")</f>
        <v/>
      </c>
      <c r="I3234" s="39"/>
    </row>
    <row r="3235" spans="2:9" s="16" customFormat="1" ht="15.75">
      <c r="B3235" s="35" t="str">
        <f ca="1">IFERROR(IF(AND(INDEX(Tab_DaBa[],MATCH(CONCATENATE(Liste!$C$3,$B$3107,$B$3221),Data!$BO:$BO,0)-2,28)&lt;&gt;"",INDEX(Tab_DaBa[],MATCH(CONCATENATE(Liste!$C$3,$B$3107,$B$3221),Data!$BO:$BO,0)-2,33)=""),"PFH [1/h] = "&amp;10^9*INDEX(Tab_DaBa[],MATCH(CONCATENATE(Liste!$C$3,$B$3107,$B$3221),Data!$BO:$BO,0)-2,16)&amp;"E-9",IF(INDEX(Tab_DaBa[],MATCH(CONCATENATE(Liste!$C$3,$B$3107,$B$3221),Data!$BO:$BO,0)-2,28)&lt;&gt;"","PFH [1/h] = "&amp;10^9*INDEX(Tab_DaBa[],MATCH(CONCATENATE(Liste!$C$3,$B$3107,$B$3221),Data!$BO:$BO,0)-2,36)&amp;"E-9","")),"")</f>
        <v>PFH [1/h] = 4,19E-9</v>
      </c>
      <c r="C3235" s="39"/>
      <c r="D3235" s="35" t="str">
        <f ca="1">IFERROR(IF(AND(INDEX(Tab_DaBa[],MATCH(CONCATENATE(Liste!$C$3,$B$3107,$B$3221),Data!$BO:$BO,0)-2,33)&lt;&gt;"",INDEX(Tab_DaBa[],MATCH(CONCATENATE(Liste!$C$3,$B$3107,$B$3221),Data!$BO:$BO,0)-2,38)=""),"PFH [1/h] = "&amp;10^9*INDEX(Tab_DaBa[],MATCH(CONCATENATE(Liste!$C$3,$B$3107,$B$3221),Data!$BO:$BO,0)-2,16)&amp;"E-9",IF(INDEX(Tab_DaBa[],MATCH(CONCATENATE(Liste!$C$3,$B$3107,$B$3221),Data!$BO:$BO,0)-2,33)&lt;&gt;"","PFH [1/h] = "&amp;10^9*INDEX(Tab_DaBa[],MATCH(CONCATENATE(Liste!$C$3,$B$3107,$B$3221),Data!$BO:$BO,0)-2,41)&amp;"E-9","")),"")</f>
        <v>PFH [1/h] = 4,19E-9</v>
      </c>
      <c r="E3235" s="37"/>
      <c r="F3235" s="35" t="str">
        <f ca="1">IFERROR(IF(AND(INDEX(Tab_DaBa[],MATCH(CONCATENATE(Liste!$C$3,$B$3107,$B$3221),Data!$BO:$BO,0)-2,38)&lt;&gt;"",INDEX(Tab_DaBa[],MATCH(CONCATENATE(Liste!$C$3,$B$3107,$B$3221),Data!$BO:$BO,0)-2,43)=""),"PFH [1/h] = "&amp;10^9*INDEX(Tab_DaBa[],MATCH(CONCATENATE(Liste!$C$3,$B$3107,$B$3221),Data!$BO:$BO,0)-2,16)&amp;"E-9",IF(INDEX(Tab_DaBa[],MATCH(CONCATENATE(Liste!$C$3,$B$3107,$B$3221),Data!$BO:$BO,0)-2,38)&lt;&gt;"","PFH [1/h] = "&amp;10^9*INDEX(Tab_DaBa[],MATCH(CONCATENATE(Liste!$C$3,$B$3107,$B$3221),Data!$BO:$BO,0)-2,46)&amp;"E-9","")),"")</f>
        <v>PFH [1/h] = 24,7E-9</v>
      </c>
      <c r="G3235" s="39"/>
      <c r="H3235" s="35" t="str">
        <f ca="1">IFERROR(IF(AND(INDEX(Tab_DaBa[],MATCH(CONCATENATE(Liste!$C$3,$B$3107,$B$3221),Data!$BO:$BO,0)-2,43)&lt;&gt;"",INDEX(Tab_DaBa[],MATCH(CONCATENATE(Liste!$C$3,$B$3107,$B$3221),Data!$BO:$BO,0)-2,48)=""),"PFH [1/h] = "&amp;10^9*INDEX(Tab_DaBa[],MATCH(CONCATENATE(Liste!$C$3,$B$3107,$B$3221),Data!$BO:$BO,0)-2,16)&amp;"E-9",IF(INDEX(Tab_DaBa[],MATCH(CONCATENATE(Liste!$C$3,$B$3107,$B$3221),Data!$BO:$BO,0)-2,43)&lt;&gt;"","PFH [1/h] = "&amp;10^9*INDEX(Tab_DaBa[],MATCH(CONCATENATE(Liste!$C$3,$B$3107,$B$3221),Data!$BO:$BO,0)-2,51)&amp;"E-9","")),"")</f>
        <v/>
      </c>
      <c r="I3235" s="39"/>
    </row>
    <row r="3236" spans="2:9" s="16" customFormat="1">
      <c r="B3236" s="33"/>
      <c r="C3236" s="33"/>
      <c r="D3236" s="33"/>
      <c r="E3236" s="33"/>
      <c r="F3236" s="33"/>
      <c r="G3236" s="33"/>
      <c r="H3236" s="33"/>
      <c r="I3236" s="33"/>
    </row>
    <row r="3237" spans="2:9" s="16" customFormat="1" ht="15.75">
      <c r="B3237" s="38" t="str">
        <f ca="1">IF(B3239="","",6)</f>
        <v/>
      </c>
      <c r="C3237" s="33"/>
      <c r="D3237" s="38" t="str">
        <f ca="1">IF(B3239="","",3)</f>
        <v/>
      </c>
      <c r="E3237" s="33"/>
      <c r="F3237" s="38" t="str">
        <f ca="1">IF(B3239="","",3)</f>
        <v/>
      </c>
      <c r="G3237" s="33"/>
      <c r="H3237" s="38" t="str">
        <f ca="1">IF(B3239="","",3)</f>
        <v/>
      </c>
      <c r="I3237" s="33"/>
    </row>
    <row r="3238" spans="2:9" s="16" customFormat="1" ht="15.75">
      <c r="B3238" s="39"/>
      <c r="C3238" s="33"/>
      <c r="D3238" s="33"/>
      <c r="E3238" s="33"/>
      <c r="F3238" s="33"/>
      <c r="G3238" s="33"/>
      <c r="H3238" s="33"/>
      <c r="I3238" s="33"/>
    </row>
    <row r="3239" spans="2:9" s="16" customFormat="1" ht="15.75">
      <c r="B3239" s="35" t="str">
        <f ca="1">IFERROR(IF(AND(INDEX(Tab_DaBa[],MATCH(CONCATENATE(Liste!$C$3,$B$3107,$B$3221),Data!$BO:$BO,0)-2,48)&lt;&gt;"",INDEX(Tab_DaBa[],MATCH(CONCATENATE(Liste!$C$3,$B$3107,$B$3221),Data!$BO:$BO,0)-2,53)=0),INDEX(Tab_DaBa[],MATCH(CONCATENATE(Liste!$C$3,$B$3107,$B$3221),Data!$BO:$BO,0)-2,14),IF(INDEX(Tab_DaBa[],MATCH(CONCATENATE(Liste!$C$3,$B$3107,$B$3221),Data!$BO:$BO,0)-2,48)&lt;&gt;"",INDEX(Tab_DaBa[],MATCH(CONCATENATE(Liste!$C$3,$B$3107,$B$3221),Data!$BO:$BO,0)-2,54),"")),"")</f>
        <v/>
      </c>
      <c r="C3239" s="39"/>
      <c r="D3239" s="35" t="str">
        <f ca="1">IFERROR(IF(AND(INDEX(Tab_DaBa[],MATCH(CONCATENATE(Liste!$C$3,$B$3107,$B$3221),Data!$BO:$BO,0)-2,53)&lt;&gt;"",INDEX(Tab_DaBa[],MATCH(CONCATENATE(Liste!$C$3,$B$3107,$B$3221),Data!$BO:$BO,0)-2,58)=0),INDEX(Tab_DaBa[],MATCH(CONCATENATE(Liste!$C$3,$B$3107,$B$3221),Data!$BO:$BO,0)-2,14),IF(INDEX(Tab_DaBa[],MATCH(CONCATENATE(Liste!$C$3,$B$3107,$B$3221),Data!$BO:$BO,0)-2,53)&lt;&gt;"",INDEX(Tab_DaBa[],MATCH(CONCATENATE(Liste!$C$3,$B$3107,$B$3221),Data!$BO:$BO,0)-2,59),"")),"")</f>
        <v/>
      </c>
      <c r="E3239" s="33"/>
      <c r="F3239" s="35" t="str">
        <f ca="1">IFERROR(IF(AND(INDEX(Tab_DaBa[],MATCH(CONCATENATE(Liste!$C$3,$B$3107,$B$3221),Data!$BO:$BO,0)-2,58)&lt;&gt;"",INDEX(Tab_DaBa[],MATCH(CONCATENATE(Liste!$C$3,$B$3107,$B$3221),Data!$BO:$BO,0)-2,63)=0),INDEX(Tab_DaBa[],MATCH(CONCATENATE(Liste!$C$3,$B$3107,$B$3221),Data!$BO:$BO,0)-2,14),IF(INDEX(Tab_DaBa[],MATCH(CONCATENATE(Liste!$C$3,$B$3107,$B$3221),Data!$BO:$BO,0)-2,58)&lt;&gt;"",INDEX(Tab_DaBa[],MATCH(CONCATENATE(Liste!$C$3,$B$3107,$B$3221),Data!$BO:$BO,0)-2,64),"")),"")</f>
        <v/>
      </c>
      <c r="G3239" s="39"/>
      <c r="H3239" s="35" t="str">
        <f ca="1">IFERROR(IF(INDEX(Tab_DaBa[],MATCH(CONCATENATE(Liste!$C$3,$B$3107,$B$3221),Data!$BO:$BO,0)-2,63)&lt;&gt;"",INDEX(Tab_DaBa[],MATCH(CONCATENATE(Liste!$C$3,$B$3107,$B$3221),Data!$BO:$BO,0)-2,14),""),"")</f>
        <v/>
      </c>
    </row>
    <row r="3240" spans="2:9" s="16" customFormat="1" ht="15.75">
      <c r="B3240" s="35" t="str">
        <f ca="1">IFERROR(IF(AND(INDEX(Tab_DaBa[],MATCH(CONCATENATE(Liste!$C$3,$B$3107,$B$3221),Data!$BO:$BO,0)-2,48)&lt;&gt;"",INDEX(Tab_DaBa[],MATCH(CONCATENATE(Liste!$C$3,$B$3107,$B$3221),Data!$BO:$BO,0)-2,53)=0),INDEX(Tab_DaBa[],MATCH(CONCATENATE(Liste!$C$3,$B$3107,$B$3221),Data!$BO:$BO,0)-2,12),IF(INDEX(Tab_DaBa[],MATCH(CONCATENATE(Liste!$C$3,$B$3107,$B$3221),Data!$BO:$BO,0)-2,48)&lt;&gt;"",INDEX(Tab_DaBa[],MATCH(CONCATENATE(Liste!$C$3,$B$3107,$B$3221),Data!$BO:$BO,0)-2,52),"")),"")</f>
        <v/>
      </c>
      <c r="C3240" s="39"/>
      <c r="D3240" s="35" t="str">
        <f ca="1">IFERROR(IF(AND(INDEX(Tab_DaBa[],MATCH(CONCATENATE(Liste!$C$3,$B$3107,$B$3221),Data!$BO:$BO,0)-2,53)&lt;&gt;"",INDEX(Tab_DaBa[],MATCH(CONCATENATE(Liste!$C$3,$B$3107,$B$3221),Data!$BO:$BO,0)-2,58)=0),INDEX(Tab_DaBa[],MATCH(CONCATENATE(Liste!$C$3,$B$3107,$B$3221),Data!$BO:$BO,0)-2,12),IF(INDEX(Tab_DaBa[],MATCH(CONCATENATE(Liste!$C$3,$B$3107,$B$3221),Data!$BO:$BO,0)-2,53)&lt;&gt;"",INDEX(Tab_DaBa[],MATCH(CONCATENATE(Liste!$C$3,$B$3107,$B$3221),Data!$BO:$BO,0)-2,57),"")),"")</f>
        <v/>
      </c>
      <c r="E3240" s="37"/>
      <c r="F3240" s="35" t="str">
        <f ca="1">IFERROR(IF(AND(INDEX(Tab_DaBa[],MATCH(CONCATENATE(Liste!$C$3,$B$3107,$B$3221),Data!$BO:$BO,0)-2,58)&lt;&gt;"",INDEX(Tab_DaBa[],MATCH(CONCATENATE(Liste!$C$3,$B$3107,$B$3221),Data!$BO:$BO,0)-2,63)=0),INDEX(Tab_DaBa[],MATCH(CONCATENATE(Liste!$C$3,$B$3107,$B$3221),Data!$BO:$BO,0)-2,12),IF(INDEX(Tab_DaBa[],MATCH(CONCATENATE(Liste!$C$3,$B$3107,$B$3221),Data!$BO:$BO,0)-2,58)&lt;&gt;"",INDEX(Tab_DaBa[],MATCH(CONCATENATE(Liste!$C$3,$B$3107,$B$3221),Data!$BO:$BO,0)-2,62),"")),"")</f>
        <v/>
      </c>
      <c r="G3240" s="39"/>
      <c r="H3240" s="35" t="str">
        <f ca="1">IFERROR(IF(INDEX(Tab_DaBa[],MATCH(CONCATENATE(Liste!$C$3,$B$3107,$B$3221),Data!$BO:$BO,0)-2,63)&lt;&gt;"",INDEX(Tab_DaBa[],MATCH(CONCATENATE(Liste!$C$3,$B$3107,$B$3221),Data!$BO:$BO,0)-2,12),""),"")</f>
        <v/>
      </c>
    </row>
    <row r="3241" spans="2:9" s="16" customFormat="1" ht="15.75">
      <c r="B3241" s="35" t="str">
        <f ca="1">IFERROR(IF(AND(INDEX(Tab_DaBa[],MATCH(CONCATENATE(Liste!$C$3,$B$3107,$B$3221),Data!$BO:$BO,0)-2,48)&lt;&gt;"",INDEX(Tab_DaBa[],MATCH(CONCATENATE(Liste!$C$3,$B$3107,$B$3221),Data!$BO:$BO,0)-2,53)=""),INDEX(Tab_DaBa[],MATCH(CONCATENATE(Liste!$C$3,$B$3107,$B$3221),Data!$BO:$BO,0)-2,13),IF(INDEX(Tab_DaBa[],MATCH(CONCATENATE(Liste!$C$3,$B$3107,$B$3221),Data!$BO:$BO,0)-2,48)&lt;&gt;"",INDEX(Tab_DaBa[],MATCH(CONCATENATE(Liste!$C$3,$B$3107,$B$3221),Data!$BO:$BO,0)-2,53),"")),"")</f>
        <v/>
      </c>
      <c r="C3241" s="38" t="str">
        <f ca="1">IF(D3239="","",4)</f>
        <v/>
      </c>
      <c r="D3241" s="35" t="str">
        <f ca="1">IFERROR(IF(AND(INDEX(Tab_DaBa[],MATCH(CONCATENATE(Liste!$C$3,$B$3107,$B$3221),Data!$BO:$BO,0)-2,53)&lt;&gt;"",INDEX(Tab_DaBa[],MATCH(CONCATENATE(Liste!$C$3,$B$3107,$B$3221),Data!$BO:$BO,0)-2,58)=""),INDEX(Tab_DaBa[],MATCH(CONCATENATE(Liste!$C$3,$B$3107,$B$3221),Data!$BO:$BO,0)-2,13),IF(INDEX(Tab_DaBa[],MATCH(CONCATENATE(Liste!$C$3,$B$3107,$B$3221),Data!$BO:$BO,0)-2,53)&lt;&gt;"",INDEX(Tab_DaBa[],MATCH(CONCATENATE(Liste!$C$3,$B$3107,$B$3221),Data!$BO:$BO,0)-2,58),"")),"")</f>
        <v/>
      </c>
      <c r="E3241" s="38" t="str">
        <f ca="1">IF(F3239="","",4)</f>
        <v/>
      </c>
      <c r="F3241" s="35" t="str">
        <f ca="1">IFERROR(IF(AND(INDEX(Tab_DaBa[],MATCH(CONCATENATE(Liste!$C$3,$B$3107,$B$3221),Data!$BO:$BO,0)-2,58)&lt;&gt;"",INDEX(Tab_DaBa[],MATCH(CONCATENATE(Liste!$C$3,$B$3107,$B$3221),Data!$BO:$BO,0)-2,63)=""),INDEX(Tab_DaBa[],MATCH(CONCATENATE(Liste!$C$3,$B$3107,$B$3221),Data!$BO:$BO,0)-2,13),IF(INDEX(Tab_DaBa[],MATCH(CONCATENATE(Liste!$C$3,$B$3107,$B$3221),Data!$BO:$BO,0)-2,58)&lt;&gt;"",INDEX(Tab_DaBa[],MATCH(CONCATENATE(Liste!$C$3,$B$3107,$B$3221),Data!$BO:$BO,0)-2,63),"")),"")</f>
        <v/>
      </c>
      <c r="G3241" s="38" t="str">
        <f ca="1">IF(H3239="","",4)</f>
        <v/>
      </c>
      <c r="H3241" s="35" t="str">
        <f ca="1">IFERROR(IF(INDEX(Tab_DaBa[],MATCH(CONCATENATE(Liste!$C$3,$B$3107,$B$3221),Data!$BO:$BO,0)-2,63)&lt;&gt;"",INDEX(Tab_DaBa[],MATCH(CONCATENATE(Liste!$C$3,$B$3107,$B$3221),Data!$BO:$BO,0)-2,13),""),"")</f>
        <v/>
      </c>
    </row>
    <row r="3242" spans="2:9" s="16" customFormat="1" ht="15.75">
      <c r="B3242" s="35" t="str">
        <f ca="1">IFERROR(IF(AND(INDEX(Tab_DaBa[],MATCH(CONCATENATE(Liste!$C$3,$B$3107,$B$3221),Data!$BO:$BO,0)-2,48)&lt;&gt;"",INDEX(Tab_DaBa[],MATCH(CONCATENATE(Liste!$C$3,$B$3107,$B$3221),Data!$BO:$BO,0)-2,53)=""),"Performance Level: "&amp;INDEX(Tab_DaBa[],MATCH(CONCATENATE(Liste!$C$3,$B$3107,$B$3221),Data!$BO:$BO,0)-2,15),IF(INDEX(Tab_DaBa[],MATCH(CONCATENATE(Liste!$C$3,$B$3107,$B$3221),Data!$BO:$BO,0)-2,48)&lt;&gt;"","Performance Level: "&amp;INDEX(Tab_DaBa[],MATCH(CONCATENATE(Liste!$C$3,$B$3107,$B$3221),Data!$BO:$BO,0)-2,55),"")),"")</f>
        <v/>
      </c>
      <c r="C3242" s="39"/>
      <c r="D3242" s="35" t="str">
        <f ca="1">IFERROR(IF(AND(INDEX(Tab_DaBa[],MATCH(CONCATENATE(Liste!$C$3,$B$3107,$B$3221),Data!$BO:$BO,0)-2,53)&lt;&gt;"",INDEX(Tab_DaBa[],MATCH(CONCATENATE(Liste!$C$3,$B$3107,$B$3221),Data!$BO:$BO,0)-2,58)=""),"Performance Level: "&amp;INDEX(Tab_DaBa[],MATCH(CONCATENATE(Liste!$C$3,$B$3107,$B$3221),Data!$BO:$BO,0)-2,15),IF(INDEX(Tab_DaBa[],MATCH(CONCATENATE(Liste!$C$3,$B$3107,$B$3221),Data!$BO:$BO,0)-2,53)&lt;&gt;"","Performance Level: "&amp;INDEX(Tab_DaBa[],MATCH(CONCATENATE(Liste!$C$3,$B$3107,$B$3221),Data!$BO:$BO,0)-2,60),"")),"")</f>
        <v/>
      </c>
      <c r="E3242" s="37"/>
      <c r="F3242" s="35" t="str">
        <f ca="1">IFERROR(IF(AND(INDEX(Tab_DaBa[],MATCH(CONCATENATE(Liste!$C$3,$B$3107,$B$3221),Data!$BO:$BO,0)-2,58)&lt;&gt;"",INDEX(Tab_DaBa[],MATCH(CONCATENATE(Liste!$C$3,$B$3107,$B$3221),Data!$BO:$BO,0)-2,63)=""),"Performance Level: "&amp;INDEX(Tab_DaBa[],MATCH(CONCATENATE(Liste!$C$3,$B$3107,$B$3221),Data!$BO:$BO,0)-2,15),IF(INDEX(Tab_DaBa[],MATCH(CONCATENATE(Liste!$C$3,$B$3107,$B$3221),Data!$BO:$BO,0)-2,58)&lt;&gt;"","Performance Level: "&amp;INDEX(Tab_DaBa[],MATCH(CONCATENATE(Liste!$C$3,$B$3107,$B$3221),Data!$BO:$BO,0)-2,65),"")),"")</f>
        <v/>
      </c>
      <c r="G3242" s="39"/>
      <c r="H3242" s="35" t="str">
        <f ca="1">IFERROR(IF(INDEX(Tab_DaBa[],MATCH(CONCATENATE(Liste!$C$3,$B$3107,$B$3221),Data!$BO:$BO,0)-2,63)&lt;&gt;"","Performance Level: "&amp;INDEX(Tab_DaBa[],MATCH(CONCATENATE(Liste!$C$3,$B$3107,$B$3221),Data!$BO:$BO,0)-2,15),""),"")</f>
        <v/>
      </c>
    </row>
    <row r="3243" spans="2:9" s="16" customFormat="1" ht="15.75">
      <c r="B3243" s="35" t="str">
        <f ca="1">IFERROR(IF(AND(INDEX(Tab_DaBa[],MATCH(CONCATENATE(Liste!$C$3,$B$3107,$B$3221),Data!$BO:$BO,0)-2,48)&lt;&gt;"",INDEX(Tab_DaBa[],MATCH(CONCATENATE(Liste!$C$3,$B$3107,$B$3221),Data!$BO:$BO,0)-2,53)=""),"PFH [1/h] = "&amp;10^9*INDEX(Tab_DaBa[],MATCH(CONCATENATE(Liste!$C$3,$B$3107,$B$3221),Data!$BO:$BO,0)-2,16)&amp;"E-9",IF(INDEX(Tab_DaBa[],MATCH(CONCATENATE(Liste!$C$3,$B$3107,$B$3221),Data!$BO:$BO,0)-2,48)&lt;&gt;"","PFH [1/h] = "&amp;10^9*INDEX(Tab_DaBa[],MATCH(CONCATENATE(Liste!$C$3,$B$3107,$B$3221),Data!$BO:$BO,0)-2,56)&amp;"E-9","")),"")</f>
        <v/>
      </c>
      <c r="C3243" s="39"/>
      <c r="D3243" s="35" t="str">
        <f ca="1">IFERROR(IF(AND(INDEX(Tab_DaBa[],MATCH(CONCATENATE(Liste!$C$3,$B$3107,$B$3221),Data!$BO:$BO,0)-2,53)&lt;&gt;"",INDEX(Tab_DaBa[],MATCH(CONCATENATE(Liste!$C$3,$B$3107,$B$3221),Data!$BO:$BO,0)-2,58)=""),"PFH [1/h] = "&amp;10^9*INDEX(Tab_DaBa[],MATCH(CONCATENATE(Liste!$C$3,$B$3107,$B$3221),Data!$BO:$BO,0)-2,16)&amp;"E-9",IF(INDEX(Tab_DaBa[],MATCH(CONCATENATE(Liste!$C$3,$B$3107,$B$3221),Data!$BO:$BO,0)-2,53)&lt;&gt;"","PFH [1/h] = "&amp;10^9*INDEX(Tab_DaBa[],MATCH(CONCATENATE(Liste!$C$3,$B$3107,$B$3221),Data!$BO:$BO,0)-2,61)&amp;"E-9","")),"")</f>
        <v/>
      </c>
      <c r="E3243" s="37"/>
      <c r="F3243" s="35" t="str">
        <f ca="1">IFERROR(IF(AND(INDEX(Tab_DaBa[],MATCH(CONCATENATE(Liste!$C$3,$B$3107,$B$3221),Data!$BO:$BO,0)-2,58)&lt;&gt;"",INDEX(Tab_DaBa[],MATCH(CONCATENATE(Liste!$C$3,$B$3107,$B$3221),Data!$BO:$BO,0)-2,63)=""),"PFH [1/h] = "&amp;10^9*INDEX(Tab_DaBa[],MATCH(CONCATENATE(Liste!$C$3,$B$3107,$B$3221),Data!$BO:$BO,0)-2,16)&amp;"E-9",IF(INDEX(Tab_DaBa[],MATCH(CONCATENATE(Liste!$C$3,$B$3107,$B$3221),Data!$BO:$BO,0)-2,58)&lt;&gt;"","PFH [1/h] = "&amp;10^9*INDEX(Tab_DaBa[],MATCH(CONCATENATE(Liste!$C$3,$B$3107,$B$3221),Data!$BO:$BO,0)-2,66)&amp;"E-9","")),"")</f>
        <v/>
      </c>
      <c r="G3243" s="39"/>
      <c r="H3243" s="35" t="str">
        <f ca="1">IFERROR(IF(INDEX(Tab_DaBa[],MATCH(CONCATENATE(Liste!$C$3,$B$3107,$B$3221),Data!$BO:$BO,0)-2,63)&lt;&gt;"","PFH [1/h] = "&amp;10^9*INDEX(Tab_DaBa[],MATCH(CONCATENATE(Liste!$C$3,$B$3107,$B$3221),Data!$BO:$BO,0)-2,16)&amp;"E-9",""),"")</f>
        <v/>
      </c>
    </row>
    <row r="3244" spans="2:9" s="16" customFormat="1"/>
    <row r="3245" spans="2:9" s="16" customFormat="1">
      <c r="B3245" s="43" t="str">
        <f ca="1">IF(D3245="","","Erforderlich")</f>
        <v>Erforderlich</v>
      </c>
      <c r="D3245" s="44" t="str">
        <f ca="1">IFERROR("Performance Level: "&amp;INDEX(Tab_DaBa[],MATCH(CONCATENATE(Liste!$C$3,$B$3107,$B$3221),Data!$BO:$BO,0)-2,4),"")</f>
        <v>Performance Level: PLr_ges4_5</v>
      </c>
    </row>
    <row r="3246" spans="2:9" s="16" customFormat="1">
      <c r="B3246" s="45"/>
    </row>
    <row r="3247" spans="2:9" s="16" customFormat="1">
      <c r="B3247" s="46" t="str">
        <f ca="1">IF(D3247="","","Erreicht")</f>
        <v>Erreicht</v>
      </c>
      <c r="D3247" s="47" t="str">
        <f ca="1">IFERROR("Performance Level: "&amp;INDEX(Tab_DaBa[],MATCH(CONCATENATE(Liste!$C$3,$B$3107,$B$3221),Data!$BO:$BO,0)-2,5)&amp;"          PFH [1/h] = "&amp;10^9*INDEX(Tab_DaBa[],MATCH(CONCATENATE(Liste!$C$3,$B$3107,$B$3221),Data!$BO:$BO,0)-2,6)&amp;"E-9","")</f>
        <v>Performance Level: Pl_ges4_5          PFH [1/h] = 71,7E-9</v>
      </c>
    </row>
    <row r="3248" spans="2:9" s="16" customFormat="1"/>
    <row r="3249" spans="2:9" s="16" customFormat="1">
      <c r="B3249" s="42" t="str">
        <f ca="1">IFERROR(IF(6&gt;COUNTIF(Data!$BP:$BP,CONCATENATE(Liste!$C$3,$B$3107)),"",INDEX(Tab_DaBa[],MATCH(CONCATENATE(Liste!$C$3,$B$3107),Data!$BP:$BP,0)+3,3)),"")</f>
        <v>12.6 Test12 (E+6L+A)</v>
      </c>
    </row>
    <row r="3250" spans="2:9" s="16" customFormat="1"/>
    <row r="3251" spans="2:9" s="16" customFormat="1" ht="15.75">
      <c r="B3251" s="35" t="str">
        <f ca="1">IFERROR(INDEX(Tab_DaBa[],MATCH(CONCATENATE(Liste!$C$3,$B$3107,$B$3249),Data!$BO:$BO,0)-2,9),"")</f>
        <v>Eingang</v>
      </c>
      <c r="C3251" s="54"/>
      <c r="D3251" s="35" t="str">
        <f ca="1">IFERROR(IF(INDEX(Tab_DaBa[],MATCH(CONCATENATE(Liste!$C$3,$B$3107,$B$3249),Data!$BO:$BO,0)-2,18)=0,INDEX(Tab_DaBa[],MATCH(CONCATENATE(Liste!$C$3,$B$3107,$B$3249),Data!$BO:$BO,0)-2,14),INDEX(Tab_DaBa[],MATCH(CONCATENATE(Liste!$C$3,$B$3107,$B$3249),Data!$BO:$BO,0)-2,19)),"")</f>
        <v>Logik 01</v>
      </c>
      <c r="E3251" s="33"/>
      <c r="F3251" s="35" t="str">
        <f ca="1">IFERROR(IF(AND(INDEX(Tab_DaBa[],MATCH(CONCATENATE(Liste!$C$3,$B$3107,$B$3249),Data!$BO:$BO,0)-2,18)&lt;&gt;"",INDEX(Tab_DaBa[],MATCH(CONCATENATE(Liste!$C$3,$B$3107,$B$3249),Data!$BO:$BO,0)-2,23)=0),INDEX(Tab_DaBa[],MATCH(CONCATENATE(Liste!$C$3,$B$3107,$B$3249),Data!$BO:$BO,0)-2,14),IF(INDEX(Tab_DaBa[],MATCH(CONCATENATE(Liste!$C$3,$B$3107,$B$3249),Data!$BO:$BO,0)-2,23)&lt;&gt;"",INDEX(Tab_DaBa[],MATCH(CONCATENATE(Liste!$C$3,$B$3107,$B$3249),Data!$BO:$BO,0)-2,24),"")),"")</f>
        <v>Logik 02</v>
      </c>
      <c r="G3251" s="39"/>
      <c r="H3251" s="35" t="str">
        <f ca="1">IFERROR(IF(AND(INDEX(Tab_DaBa[],MATCH(CONCATENATE(Liste!$C$3,$B$3107,$B$3249),Data!$BO:$BO,0)-2,23)&lt;&gt;"",INDEX(Tab_DaBa[],MATCH(CONCATENATE(Liste!$C$3,$B$3107,$B$3249),Data!$BO:$BO,0)-2,28)=0),INDEX(Tab_DaBa[],MATCH(CONCATENATE(Liste!$C$3,$B$3107,$B$3249),Data!$BO:$BO,0)-2,14),IF(INDEX(Tab_DaBa[],MATCH(CONCATENATE(Liste!$C$3,$B$3107,$B$3249),Data!$BO:$BO,0)-2,23)&lt;&gt;"",INDEX(Tab_DaBa[],MATCH(CONCATENATE(Liste!$C$3,$B$3107,$B$3249),Data!$BO:$BO,0)-2,29),"")),"")</f>
        <v>Logik 03</v>
      </c>
      <c r="I3251" s="39"/>
    </row>
    <row r="3252" spans="2:9" s="16" customFormat="1" ht="15.75">
      <c r="B3252" s="35" t="str">
        <f ca="1">IFERROR(INDEX(Tab_DaBa[],MATCH(CONCATENATE(Liste!$C$3,$B$3107,$B$3249),Data!$BO:$BO,0)-2,7),"")</f>
        <v>eeee-33_6</v>
      </c>
      <c r="C3252" s="54"/>
      <c r="D3252" s="35" t="str">
        <f ca="1">IFERROR(IF(INDEX(Tab_DaBa[],MATCH(CONCATENATE(Liste!$C$3,$B$3107,$B$3249),Data!$BO:$BO,0)-2,18)="",INDEX(Tab_DaBa[],MATCH(CONCATENATE(Liste!$C$3,$B$3107,$B$3249),Data!$BO:$BO,0)-2,12),INDEX(Tab_DaBa[],MATCH(CONCATENATE(Liste!$C$3,$B$3107,$B$3249),Data!$BO:$BO,0)-2,17)),"")</f>
        <v>Log01-04_06</v>
      </c>
      <c r="E3252" s="36"/>
      <c r="F3252" s="35" t="str">
        <f ca="1">IFERROR(IF(AND(INDEX(Tab_DaBa[],MATCH(CONCATENATE(Liste!$C$3,$B$3107,$B$3249),Data!$BO:$BO,0)-2,18)&lt;&gt;"",INDEX(Tab_DaBa[],MATCH(CONCATENATE(Liste!$C$3,$B$3107,$B$3249),Data!$BO:$BO,0)-2,23)=0),INDEX(Tab_DaBa[],MATCH(CONCATENATE(Liste!$C$3,$B$3107,$B$3249),Data!$BO:$BO,0)-2,12),IF(INDEX(Tab_DaBa[],MATCH(CONCATENATE(Liste!$C$3,$B$3107,$B$3249),Data!$BO:$BO,0)-2,23)&lt;&gt;"",INDEX(Tab_DaBa[],MATCH(CONCATENATE(Liste!$C$3,$B$3107,$B$3249),Data!$BO:$BO,0)-2,22),"")),"")</f>
        <v>Lo04-04_06</v>
      </c>
      <c r="G3252" s="39"/>
      <c r="H3252" s="35" t="str">
        <f ca="1">IFERROR(IF(AND(INDEX(Tab_DaBa[],MATCH(CONCATENATE(Liste!$C$3,$B$3107,$B$3249),Data!$BO:$BO,0)-2,23)&lt;&gt;"",INDEX(Tab_DaBa[],MATCH(CONCATENATE(Liste!$C$3,$B$3107,$B$3249),Data!$BO:$BO,0)-2,28)=0),INDEX(Tab_DaBa[],MATCH(CONCATENATE(Liste!$C$3,$B$3107,$B$3249),Data!$BO:$BO,0)-2,12),IF(INDEX(Tab_DaBa[],MATCH(CONCATENATE(Liste!$C$3,$B$3107,$B$3249),Data!$BO:$BO,0)-2,23)&lt;&gt;"",INDEX(Tab_DaBa[],MATCH(CONCATENATE(Liste!$C$3,$B$3107,$B$3249),Data!$BO:$BO,0)-2,27),"")),"")</f>
        <v>Lo04-44_06</v>
      </c>
      <c r="I3252" s="39"/>
    </row>
    <row r="3253" spans="2:9" s="16" customFormat="1" ht="15.75">
      <c r="B3253" s="35" t="str">
        <f ca="1">IFERROR(INDEX(Tab_DaBa[],MATCH(CONCATENATE(Liste!$C$3,$B$3107,$B$3249),Data!$BO:$BO,0)-2,8),"")</f>
        <v>Bez_Ein4_6</v>
      </c>
      <c r="C3253" s="40">
        <f ca="1">IF(D3251="","",4)</f>
        <v>4</v>
      </c>
      <c r="D3253" s="35" t="str">
        <f ca="1">IFERROR(IF(INDEX(Tab_DaBa[],MATCH(CONCATENATE(Liste!$C$3,$B$3107,$B$3249),Data!$BO:$BO,0)-2,18)="",INDEX(Tab_DaBa[],MATCH(CONCATENATE(Liste!$C$3,$B$3107,$B$3249),Data!$BO:$BO,0)-2,13),INDEX(Tab_DaBa[],MATCH(CONCATENATE(Liste!$C$3,$B$3107,$B$3249),Data!$BO:$BO,0)-2,18)),"")</f>
        <v>Bez_Log01_04_06</v>
      </c>
      <c r="E3253" s="40">
        <f ca="1">IF(F3251="","",4)</f>
        <v>4</v>
      </c>
      <c r="F3253" s="35" t="str">
        <f ca="1">IFERROR(IF(AND(INDEX(Tab_DaBa[],MATCH(CONCATENATE(Liste!$C$3,$B$3107,$B$3249),Data!$BO:$BO,0)-2,18)&lt;&gt;"",INDEX(Tab_DaBa[],MATCH(CONCATENATE(Liste!$C$3,$B$3107,$B$3249),Data!$BO:$BO,0)-2,23)=""),INDEX(Tab_DaBa[],MATCH(CONCATENATE(Liste!$C$3,$B$3107,$B$3249),Data!$BO:$BO,0)-2,13),IF(INDEX(Tab_DaBa[],MATCH(CONCATENATE(Liste!$C$3,$B$3107,$B$3249),Data!$BO:$BO,0)-2,23)&lt;&gt;"",INDEX(Tab_DaBa[],MATCH(CONCATENATE(Liste!$C$3,$B$3107,$B$3249),Data!$BO:$BO,0)-2,23),"")),"")</f>
        <v>Bez_Lo04_06</v>
      </c>
      <c r="G3253" s="38">
        <f ca="1">IF(H3251="","",4)</f>
        <v>4</v>
      </c>
      <c r="H3253" s="35" t="str">
        <f ca="1">IFERROR(IF(AND(INDEX(Tab_DaBa[],MATCH(CONCATENATE(Liste!$C$3,$B$3107,$B$3249),Data!$BO:$BO,0)-2,23)&lt;&gt;"",INDEX(Tab_DaBa[],MATCH(CONCATENATE(Liste!$C$3,$B$3107,$B$3249),Data!$BO:$BO,0)-2,28)=""),INDEX(Tab_DaBa[],MATCH(CONCATENATE(Liste!$C$3,$B$3107,$B$3249),Data!$BO:$BO,0)-2,13),IF(INDEX(Tab_DaBa[],MATCH(CONCATENATE(Liste!$C$3,$B$3107,$B$3249),Data!$BO:$BO,0)-2,23)&lt;&gt;"",INDEX(Tab_DaBa[],MATCH(CONCATENATE(Liste!$C$3,$B$3107,$B$3249),Data!$BO:$BO,0)-2,28),"")),"")</f>
        <v>Bez_Lo04_06</v>
      </c>
      <c r="I3253" s="38">
        <f ca="1">IF(B3259="","",6)</f>
        <v>6</v>
      </c>
    </row>
    <row r="3254" spans="2:9" s="16" customFormat="1" ht="15.75">
      <c r="B3254" s="35" t="str">
        <f ca="1">IFERROR("Performance Level: "&amp;INDEX(Tab_DaBa[],MATCH(CONCATENATE(Liste!$C$3,$B$3107,$B$3249),Data!$BO:$BO,0)-2,10),"")</f>
        <v>Performance Level: PL_Ein4_6</v>
      </c>
      <c r="C3254" s="54"/>
      <c r="D3254" s="35" t="str">
        <f ca="1">IFERROR(IF(INDEX(Tab_DaBa[],MATCH(CONCATENATE(Liste!$C$3,$B$3107,$B$3249),Data!$BO:$BO,0)-2,18)="","Performance Level: "&amp;INDEX(Tab_DaBa[],MATCH(CONCATENATE(Liste!$C$3,$B$3107,$B$3249),Data!$BO:$BO,0)-2,15),"Performance Level: "&amp;INDEX(Tab_DaBa[],MATCH(CONCATENATE(Liste!$C$3,$B$3107,$B$3249),Data!$BO:$BO,0)-2,20)),"")</f>
        <v>Performance Level: PL_Log01_04_06</v>
      </c>
      <c r="E3254" s="36"/>
      <c r="F3254" s="35" t="str">
        <f ca="1">IFERROR(IF(AND(INDEX(Tab_DaBa[],MATCH(CONCATENATE(Liste!$C$3,$B$3107,$B$3249),Data!$BO:$BO,0)-2,18)&lt;&gt;"",INDEX(Tab_DaBa[],MATCH(CONCATENATE(Liste!$C$3,$B$3107,$B$3249),Data!$BO:$BO,0)-2,23)=""),"Performance Level: "&amp;INDEX(Tab_DaBa[],MATCH(CONCATENATE(Liste!$C$3,$B$3107,$B$3249),Data!$BO:$BO,0)-2,15),IF(INDEX(Tab_DaBa[],MATCH(CONCATENATE(Liste!$C$3,$B$3107,$B$3249),Data!$BO:$BO,0)-2,23)&lt;&gt;"","Performance Level: "&amp;INDEX(Tab_DaBa[],MATCH(CONCATENATE(Liste!$C$3,$B$3107,$B$3249),Data!$BO:$BO,0)-2,25),"")),"")</f>
        <v>Performance Level: PL_Lo04_06</v>
      </c>
      <c r="G3254" s="39"/>
      <c r="H3254" s="35" t="str">
        <f ca="1">IFERROR(IF(AND(INDEX(Tab_DaBa[],MATCH(CONCATENATE(Liste!$C$3,$B$3107,$B$3249),Data!$BO:$BO,0)-2,23)&lt;&gt;"",INDEX(Tab_DaBa[],MATCH(CONCATENATE(Liste!$C$3,$B$3107,$B$3249),Data!$BO:$BO,0)-2,28)=""),"Performance Level: "&amp;INDEX(Tab_DaBa[],MATCH(CONCATENATE(Liste!$C$3,$B$3107,$B$3249),Data!$BO:$BO,0)-2,15),IF(INDEX(Tab_DaBa[],MATCH(CONCATENATE(Liste!$C$3,$B$3107,$B$3249),Data!$BO:$BO,0)-2,23)&lt;&gt;"","Performance Level: "&amp;INDEX(Tab_DaBa[],MATCH(CONCATENATE(Liste!$C$3,$B$3107,$B$3249),Data!$BO:$BO,0)-2,30),"")),"")</f>
        <v>Performance Level: PL_Lo04_06</v>
      </c>
      <c r="I3254" s="38"/>
    </row>
    <row r="3255" spans="2:9" s="16" customFormat="1" ht="15.75">
      <c r="B3255" s="53" t="str">
        <f ca="1">IFERROR("PFH [1/h] = "&amp;10^9*INDEX(Tab_DaBa[],MATCH(CONCATENATE(Liste!$C$3,$B$3107,$B$3249),Data!$BO:$BO,0)-2,11)&amp;"E-9","")</f>
        <v>PFH [1/h] = 42,9E-9</v>
      </c>
      <c r="C3255" s="54"/>
      <c r="D3255" s="35" t="str">
        <f ca="1">IFERROR(IF(INDEX(Tab_DaBa[],MATCH(CONCATENATE(Liste!$C$3,$B$3107,$B$3249),Data!$BO:$BO,0)-2,18)="","PFH [1/h] = "&amp;10^9*INDEX(Tab_DaBa[],MATCH(CONCATENATE(Liste!$C$3,$B$3107,$B$3249),Data!$BO:$BO,0)-2,16)&amp;"E-9","PFH [1/h] = "&amp;10^9*INDEX(Tab_DaBa[],MATCH(CONCATENATE(Liste!$C$3,$B$3107,$B$3249),Data!$BO:$BO,0)-2,21)&amp;"E-9"),"")</f>
        <v>PFH [1/h] = 4,19E-9</v>
      </c>
      <c r="E3255" s="36"/>
      <c r="F3255" s="35" t="str">
        <f ca="1">IFERROR(IF(AND(INDEX(Tab_DaBa[],MATCH(CONCATENATE(Liste!$C$3,$B$3107,$B$3249),Data!$BO:$BO,0)-2,18)&lt;&gt;"",INDEX(Tab_DaBa[],MATCH(CONCATENATE(Liste!$C$3,$B$3107,$B$3249),Data!$BO:$BO,0)-2,23)=""),"PFH [1/h] = "&amp;10^9*INDEX(Tab_DaBa[],MATCH(CONCATENATE(Liste!$C$3,$B$3107,$B$3249),Data!$BO:$BO,0)-2,16)&amp;"E-9",IF(INDEX(Tab_DaBa[],MATCH(CONCATENATE(Liste!$C$3,$B$3107,$B$3249),Data!$BO:$BO,0)-2,23)&lt;&gt;"","PFH [1/h] = "&amp;10^9*INDEX(Tab_DaBa[],MATCH(CONCATENATE(Liste!$C$3,$B$3107,$B$3249),Data!$BO:$BO,0)-2,26)&amp;"E-9","")),"")</f>
        <v>PFH [1/h] = 4,19E-9</v>
      </c>
      <c r="G3255" s="39"/>
      <c r="H3255" s="35" t="str">
        <f ca="1">IFERROR(IF(AND(INDEX(Tab_DaBa[],MATCH(CONCATENATE(Liste!$C$3,$B$3107,$B$3249),Data!$BO:$BO,0)-2,23)&lt;&gt;"",INDEX(Tab_DaBa[],MATCH(CONCATENATE(Liste!$C$3,$B$3107,$B$3249),Data!$BO:$BO,0)-2,28)=""),"PFH [1/h] = "&amp;10^9*INDEX(Tab_DaBa[],MATCH(CONCATENATE(Liste!$C$3,$B$3107,$B$3249),Data!$BO:$BO,0)-2,16)&amp;"E-9",IF(INDEX(Tab_DaBa[],MATCH(CONCATENATE(Liste!$C$3,$B$3107,$B$3249),Data!$BO:$BO,0)-2,23)&lt;&gt;"","PFH [1/h] = "&amp;10^9*INDEX(Tab_DaBa[],MATCH(CONCATENATE(Liste!$C$3,$B$3107,$B$3249),Data!$BO:$BO,0)-2,31)&amp;"E-9","")),"")</f>
        <v>PFH [1/h] = 4,19E-9</v>
      </c>
      <c r="I3255" s="39"/>
    </row>
    <row r="3256" spans="2:9" s="16" customFormat="1">
      <c r="B3256" s="33"/>
      <c r="C3256" s="34"/>
      <c r="D3256" s="33"/>
      <c r="E3256" s="33"/>
      <c r="F3256" s="33"/>
      <c r="G3256" s="33"/>
      <c r="H3256" s="33"/>
      <c r="I3256" s="33"/>
    </row>
    <row r="3257" spans="2:9" s="16" customFormat="1" ht="15.75">
      <c r="B3257" s="38">
        <f ca="1">IF(B3259="","",6)</f>
        <v>6</v>
      </c>
      <c r="C3257" s="34"/>
      <c r="D3257" s="38">
        <f ca="1">IF(B3259="","",3)</f>
        <v>3</v>
      </c>
      <c r="E3257" s="33"/>
      <c r="F3257" s="38">
        <f ca="1">IF(B3259="","",3)</f>
        <v>3</v>
      </c>
      <c r="G3257" s="33"/>
      <c r="H3257" s="38">
        <f ca="1">IF(B3259="","",3)</f>
        <v>3</v>
      </c>
      <c r="I3257" s="33"/>
    </row>
    <row r="3258" spans="2:9" s="16" customFormat="1" ht="15.75">
      <c r="B3258" s="39"/>
      <c r="C3258" s="33"/>
      <c r="D3258" s="33"/>
      <c r="E3258" s="33"/>
      <c r="F3258" s="33"/>
      <c r="G3258" s="33"/>
      <c r="H3258" s="33"/>
      <c r="I3258" s="33"/>
    </row>
    <row r="3259" spans="2:9" s="16" customFormat="1" ht="15.75">
      <c r="B3259" s="35" t="str">
        <f ca="1">IFERROR(IF(AND(INDEX(Tab_DaBa[],MATCH(CONCATENATE(Liste!$C$3,$B$3107,$B$3249),Data!$BO:$BO,0)-2,28)&lt;&gt;"",INDEX(Tab_DaBa[],MATCH(CONCATENATE(Liste!$C$3,$B$3107,$B$3249),Data!$BO:$BO,0)-2,33)=0),INDEX(Tab_DaBa[],MATCH(CONCATENATE(Liste!$C$3,$B$3107,$B$3249),Data!$BO:$BO,0)-2,14),IF(INDEX(Tab_DaBa[],MATCH(CONCATENATE(Liste!$C$3,$B$3107,$B$3249),Data!$BO:$BO,0)-2,28)&lt;&gt;"",INDEX(Tab_DaBa[],MATCH(CONCATENATE(Liste!$C$3,$B$3107,$B$3249),Data!$BO:$BO,0)-2,34),"")),"")</f>
        <v>Logik 04</v>
      </c>
      <c r="C3259" s="39"/>
      <c r="D3259" s="35" t="str">
        <f ca="1">IFERROR(IF(AND(INDEX(Tab_DaBa[],MATCH(CONCATENATE(Liste!$C$3,$B$3107,$B$3249),Data!$BO:$BO,0)-2,33)&lt;&gt;"",INDEX(Tab_DaBa[],MATCH(CONCATENATE(Liste!$C$3,$B$3107,$B$3249),Data!$BO:$BO,0)-2,38)=0),INDEX(Tab_DaBa[],MATCH(CONCATENATE(Liste!$C$3,$B$3107,$B$3249),Data!$BO:$BO,0)-2,14),IF(INDEX(Tab_DaBa[],MATCH(CONCATENATE(Liste!$C$3,$B$3107,$B$3249),Data!$BO:$BO,0)-2,33)&lt;&gt;"",INDEX(Tab_DaBa[],MATCH(CONCATENATE(Liste!$C$3,$B$3107,$B$3249),Data!$BO:$BO,0)-2,39),"")),"")</f>
        <v>Logik 05</v>
      </c>
      <c r="E3259" s="33"/>
      <c r="F3259" s="35" t="str">
        <f ca="1">IFERROR(IF(AND(INDEX(Tab_DaBa[],MATCH(CONCATENATE(Liste!$C$3,$B$3107,$B$3249),Data!$BO:$BO,0)-2,38)&lt;&gt;"",INDEX(Tab_DaBa[],MATCH(CONCATENATE(Liste!$C$3,$B$3107,$B$3249),Data!$BO:$BO,0)-2,43)=0),INDEX(Tab_DaBa[],MATCH(CONCATENATE(Liste!$C$3,$B$3107,$B$3249),Data!$BO:$BO,0)-2,14),IF(INDEX(Tab_DaBa[],MATCH(CONCATENATE(Liste!$C$3,$B$3107,$B$3249),Data!$BO:$BO,0)-2,38)&lt;&gt;"",INDEX(Tab_DaBa[],MATCH(CONCATENATE(Liste!$C$3,$B$3107,$B$3249),Data!$BO:$BO,0)-2,44),"")),"")</f>
        <v>Logik 06</v>
      </c>
      <c r="G3259" s="39"/>
      <c r="H3259" s="35" t="str">
        <f ca="1">IFERROR(IF(AND(INDEX(Tab_DaBa[],MATCH(CONCATENATE(Liste!$C$3,$B$3107,$B$3249),Data!$BO:$BO,0)-2,43)&lt;&gt;"",INDEX(Tab_DaBa[],MATCH(CONCATENATE(Liste!$C$3,$B$3107,$B$3249),Data!$BO:$BO,0)-2,48)=0),INDEX(Tab_DaBa[],MATCH(CONCATENATE(Liste!$C$3,$B$3107,$B$3249),Data!$BO:$BO,0)-2,14),IF(INDEX(Tab_DaBa[],MATCH(CONCATENATE(Liste!$C$3,$B$3107,$B$3249),Data!$BO:$BO,0)-2,43)&lt;&gt;"",INDEX(Tab_DaBa[],MATCH(CONCATENATE(Liste!$C$3,$B$3107,$B$3249),Data!$BO:$BO,0)-2,49),"")),"")</f>
        <v>Ausgang</v>
      </c>
      <c r="I3259" s="39"/>
    </row>
    <row r="3260" spans="2:9" s="16" customFormat="1" ht="15.75">
      <c r="B3260" s="35" t="str">
        <f ca="1">IFERROR(IF(AND(INDEX(Tab_DaBa[],MATCH(CONCATENATE(Liste!$C$3,$B$3107,$B$3249),Data!$BO:$BO,0)-2,28)&lt;&gt;"",INDEX(Tab_DaBa[],MATCH(CONCATENATE(Liste!$C$3,$B$3107,$B$3249),Data!$BO:$BO,0)-2,33)=0),INDEX(Tab_DaBa[],MATCH(CONCATENATE(Liste!$C$3,$B$3107,$B$3249),Data!$BO:$BO,0)-2,12),IF(INDEX(Tab_DaBa[],MATCH(CONCATENATE(Liste!$C$3,$B$3107,$B$3249),Data!$BO:$BO,0)-2,28)&lt;&gt;"",INDEX(Tab_DaBa[],MATCH(CONCATENATE(Liste!$C$3,$B$3107,$B$3249),Data!$BO:$BO,0)-2,32),"")),"")</f>
        <v>Lo04-44_06</v>
      </c>
      <c r="C3260" s="39"/>
      <c r="D3260" s="35" t="str">
        <f ca="1">IFERROR(IF(AND(INDEX(Tab_DaBa[],MATCH(CONCATENATE(Liste!$C$3,$B$3107,$B$3249),Data!$BO:$BO,0)-2,33)&lt;&gt;"",INDEX(Tab_DaBa[],MATCH(CONCATENATE(Liste!$C$3,$B$3107,$B$3249),Data!$BO:$BO,0)-2,38)=0),INDEX(Tab_DaBa[],MATCH(CONCATENATE(Liste!$C$3,$B$3107,$B$3249),Data!$BO:$BO,0)-2,12),IF(INDEX(Tab_DaBa[],MATCH(CONCATENATE(Liste!$C$3,$B$3107,$B$3249),Data!$BO:$BO,0)-2,33)&lt;&gt;"",INDEX(Tab_DaBa[],MATCH(CONCATENATE(Liste!$C$3,$B$3107,$B$3249),Data!$BO:$BO,0)-2,37),"")),"")</f>
        <v>Lo04-44_06</v>
      </c>
      <c r="E3260" s="37"/>
      <c r="F3260" s="35" t="str">
        <f ca="1">IFERROR(IF(AND(INDEX(Tab_DaBa[],MATCH(CONCATENATE(Liste!$C$3,$B$3107,$B$3249),Data!$BO:$BO,0)-2,38)&lt;&gt;"",INDEX(Tab_DaBa[],MATCH(CONCATENATE(Liste!$C$3,$B$3107,$B$3249),Data!$BO:$BO,0)-2,43)=0),INDEX(Tab_DaBa[],MATCH(CONCATENATE(Liste!$C$3,$B$3107,$B$3249),Data!$BO:$BO,0)-2,12),IF(INDEX(Tab_DaBa[],MATCH(CONCATENATE(Liste!$C$3,$B$3107,$B$3249),Data!$BO:$BO,0)-2,38)&lt;&gt;"",INDEX(Tab_DaBa[],MATCH(CONCATENATE(Liste!$C$3,$B$3107,$B$3249),Data!$BO:$BO,0)-2,42),"")),"")</f>
        <v>Lo03-33_06</v>
      </c>
      <c r="G3260" s="39"/>
      <c r="H3260" s="35" t="str">
        <f ca="1">IFERROR(IF(AND(INDEX(Tab_DaBa[],MATCH(CONCATENATE(Liste!$C$3,$B$3107,$B$3249),Data!$BO:$BO,0)-2,43)&lt;&gt;"",INDEX(Tab_DaBa[],MATCH(CONCATENATE(Liste!$C$3,$B$3107,$B$3249),Data!$BO:$BO,0)-2,48)=0),INDEX(Tab_DaBa[],MATCH(CONCATENATE(Liste!$C$3,$B$3107,$B$3249),Data!$BO:$BO,0)-2,12),IF(INDEX(Tab_DaBa[],MATCH(CONCATENATE(Liste!$C$3,$B$3107,$B$3249),Data!$BO:$BO,0)-2,43)&lt;&gt;"",INDEX(Tab_DaBa[],MATCH(CONCATENATE(Liste!$C$3,$B$3107,$B$3249),Data!$BO:$BO,0)-2,47),"")),"")</f>
        <v>aaaa-44_6</v>
      </c>
      <c r="I3260" s="39"/>
    </row>
    <row r="3261" spans="2:9" s="16" customFormat="1" ht="15.75">
      <c r="B3261" s="35" t="str">
        <f ca="1">IFERROR(IF(AND(INDEX(Tab_DaBa[],MATCH(CONCATENATE(Liste!$C$3,$B$3107,$B$3249),Data!$BO:$BO,0)-2,28)&lt;&gt;"",INDEX(Tab_DaBa[],MATCH(CONCATENATE(Liste!$C$3,$B$3107,$B$3249),Data!$BO:$BO,0)-2,33)=""),INDEX(Tab_DaBa[],MATCH(CONCATENATE(Liste!$C$3,$B$3107,$B$3249),Data!$BO:$BO,0)-2,13),IF(INDEX(Tab_DaBa[],MATCH(CONCATENATE(Liste!$C$3,$B$3107,$B$3249),Data!$BO:$BO,0)-2,28)&lt;&gt;"",INDEX(Tab_DaBa[],MATCH(CONCATENATE(Liste!$C$3,$B$3107,$B$3249),Data!$BO:$BO,0)-2,33),"")),"")</f>
        <v>Bez_Lo04_06</v>
      </c>
      <c r="C3261" s="38">
        <f ca="1">IF(D3259="","",4)</f>
        <v>4</v>
      </c>
      <c r="D3261" s="35" t="str">
        <f ca="1">IFERROR(IF(AND(INDEX(Tab_DaBa[],MATCH(CONCATENATE(Liste!$C$3,$B$3107,$B$3249),Data!$BO:$BO,0)-2,33)&lt;&gt;"",INDEX(Tab_DaBa[],MATCH(CONCATENATE(Liste!$C$3,$B$3107,$B$3249),Data!$BO:$BO,0)-2,38)=""),INDEX(Tab_DaBa[],MATCH(CONCATENATE(Liste!$C$3,$B$3107,$B$3249),Data!$BO:$BO,0)-2,13),IF(INDEX(Tab_DaBa[],MATCH(CONCATENATE(Liste!$C$3,$B$3107,$B$3249),Data!$BO:$BO,0)-2,33)&lt;&gt;"",INDEX(Tab_DaBa[],MATCH(CONCATENATE(Liste!$C$3,$B$3107,$B$3249),Data!$BO:$BO,0)-2,38),"")),"")</f>
        <v>Bez_Lo03_06</v>
      </c>
      <c r="E3261" s="38">
        <f ca="1">IF(F3259="","",4)</f>
        <v>4</v>
      </c>
      <c r="F3261" s="35" t="str">
        <f ca="1">IFERROR(IF(AND(INDEX(Tab_DaBa[],MATCH(CONCATENATE(Liste!$C$3,$B$3107,$B$3249),Data!$BO:$BO,0)-2,38)&lt;&gt;"",INDEX(Tab_DaBa[],MATCH(CONCATENATE(Liste!$C$3,$B$3107,$B$3249),Data!$BO:$BO,0)-2,43)=""),INDEX(Tab_DaBa[],MATCH(CONCATENATE(Liste!$C$3,$B$3107,$B$3249),Data!$BO:$BO,0)-2,13),IF(INDEX(Tab_DaBa[],MATCH(CONCATENATE(Liste!$C$3,$B$3107,$B$3249),Data!$BO:$BO,0)-2,38)&lt;&gt;"",INDEX(Tab_DaBa[],MATCH(CONCATENATE(Liste!$C$3,$B$3107,$B$3249),Data!$BO:$BO,0)-2,43),"")),"")</f>
        <v>Bez_Lo03_06</v>
      </c>
      <c r="G3261" s="38">
        <f ca="1">IF(H3259="","",4)</f>
        <v>4</v>
      </c>
      <c r="H3261" s="35" t="str">
        <f ca="1">IFERROR(IF(AND(INDEX(Tab_DaBa[],MATCH(CONCATENATE(Liste!$C$3,$B$3107,$B$3249),Data!$BO:$BO,0)-2,43)&lt;&gt;"",INDEX(Tab_DaBa[],MATCH(CONCATENATE(Liste!$C$3,$B$3107,$B$3249),Data!$BO:$BO,0)-2,48)=""),INDEX(Tab_DaBa[],MATCH(CONCATENATE(Liste!$C$3,$B$3107,$B$3249),Data!$BO:$BO,0)-2,13),IF(INDEX(Tab_DaBa[],MATCH(CONCATENATE(Liste!$C$3,$B$3107,$B$3249),Data!$BO:$BO,0)-2,43)&lt;&gt;"",INDEX(Tab_DaBa[],MATCH(CONCATENATE(Liste!$C$3,$B$3107,$B$3249),Data!$BO:$BO,0)-2,48),"")),"")</f>
        <v>Bez_Aus4_6</v>
      </c>
      <c r="I3261" s="38" t="str">
        <f ca="1">IF(B3267="","",6)</f>
        <v/>
      </c>
    </row>
    <row r="3262" spans="2:9" s="16" customFormat="1" ht="15.75">
      <c r="B3262" s="35" t="str">
        <f ca="1">IFERROR(IF(AND(INDEX(Tab_DaBa[],MATCH(CONCATENATE(Liste!$C$3,$B$3107,$B$3249),Data!$BO:$BO,0)-2,28)&lt;&gt;"",INDEX(Tab_DaBa[],MATCH(CONCATENATE(Liste!$C$3,$B$3107,$B$3249),Data!$BO:$BO,0)-2,33)=""),"Performance Level: "&amp;INDEX(Tab_DaBa[],MATCH(CONCATENATE(Liste!$C$3,$B$3107,$B$3249),Data!$BO:$BO,0)-2,15),IF(INDEX(Tab_DaBa[],MATCH(CONCATENATE(Liste!$C$3,$B$3107,$B$3249),Data!$BO:$BO,0)-2,28)&lt;&gt;"","Performance Level: "&amp;INDEX(Tab_DaBa[],MATCH(CONCATENATE(Liste!$C$3,$B$3107,$B$3249),Data!$BO:$BO,0)-2,35),"")),"")</f>
        <v>Performance Level: PL_Lo04_06</v>
      </c>
      <c r="C3262" s="39"/>
      <c r="D3262" s="35" t="str">
        <f ca="1">IFERROR(IF(AND(INDEX(Tab_DaBa[],MATCH(CONCATENATE(Liste!$C$3,$B$3107,$B$3249),Data!$BO:$BO,0)-2,33)&lt;&gt;"",INDEX(Tab_DaBa[],MATCH(CONCATENATE(Liste!$C$3,$B$3107,$B$3249),Data!$BO:$BO,0)-2,38)=""),"Performance Level: "&amp;INDEX(Tab_DaBa[],MATCH(CONCATENATE(Liste!$C$3,$B$3107,$B$3249),Data!$BO:$BO,0)-2,15),IF(INDEX(Tab_DaBa[],MATCH(CONCATENATE(Liste!$C$3,$B$3107,$B$3249),Data!$BO:$BO,0)-2,33)&lt;&gt;"","Performance Level: "&amp;INDEX(Tab_DaBa[],MATCH(CONCATENATE(Liste!$C$3,$B$3107,$B$3249),Data!$BO:$BO,0)-2,40),"")),"")</f>
        <v>Performance Level: PL_Lo03_6</v>
      </c>
      <c r="E3262" s="37"/>
      <c r="F3262" s="35" t="str">
        <f ca="1">IFERROR(IF(AND(INDEX(Tab_DaBa[],MATCH(CONCATENATE(Liste!$C$3,$B$3107,$B$3249),Data!$BO:$BO,0)-2,38)&lt;&gt;"",INDEX(Tab_DaBa[],MATCH(CONCATENATE(Liste!$C$3,$B$3107,$B$3249),Data!$BO:$BO,0)-2,43)=""),"Performance Level: "&amp;INDEX(Tab_DaBa[],MATCH(CONCATENATE(Liste!$C$3,$B$3107,$B$3249),Data!$BO:$BO,0)-2,15),IF(INDEX(Tab_DaBa[],MATCH(CONCATENATE(Liste!$C$3,$B$3107,$B$3249),Data!$BO:$BO,0)-2,38)&lt;&gt;"","Performance Level: "&amp;INDEX(Tab_DaBa[],MATCH(CONCATENATE(Liste!$C$3,$B$3107,$B$3249),Data!$BO:$BO,0)-2,45),"")),"")</f>
        <v>Performance Level: PL_Lo03_06</v>
      </c>
      <c r="G3262" s="39"/>
      <c r="H3262" s="35" t="str">
        <f ca="1">IFERROR(IF(AND(INDEX(Tab_DaBa[],MATCH(CONCATENATE(Liste!$C$3,$B$3107,$B$3249),Data!$BO:$BO,0)-2,43)&lt;&gt;"",INDEX(Tab_DaBa[],MATCH(CONCATENATE(Liste!$C$3,$B$3107,$B$3249),Data!$BO:$BO,0)-2,48)=""),"Performance Level: "&amp;INDEX(Tab_DaBa[],MATCH(CONCATENATE(Liste!$C$3,$B$3107,$B$3249),Data!$BO:$BO,0)-2,15),IF(INDEX(Tab_DaBa[],MATCH(CONCATENATE(Liste!$C$3,$B$3107,$B$3249),Data!$BO:$BO,0)-2,43)&lt;&gt;"","Performance Level: "&amp;INDEX(Tab_DaBa[],MATCH(CONCATENATE(Liste!$C$3,$B$3107,$B$3249),Data!$BO:$BO,0)-2,50),"")),"")</f>
        <v>Performance Level: PL_Aus4_6</v>
      </c>
      <c r="I3262" s="39"/>
    </row>
    <row r="3263" spans="2:9" s="16" customFormat="1" ht="15.75">
      <c r="B3263" s="35" t="str">
        <f ca="1">IFERROR(IF(AND(INDEX(Tab_DaBa[],MATCH(CONCATENATE(Liste!$C$3,$B$3107,$B$3249),Data!$BO:$BO,0)-2,28)&lt;&gt;"",INDEX(Tab_DaBa[],MATCH(CONCATENATE(Liste!$C$3,$B$3107,$B$3249),Data!$BO:$BO,0)-2,33)=""),"PFH [1/h] = "&amp;10^9*INDEX(Tab_DaBa[],MATCH(CONCATENATE(Liste!$C$3,$B$3107,$B$3249),Data!$BO:$BO,0)-2,16)&amp;"E-9",IF(INDEX(Tab_DaBa[],MATCH(CONCATENATE(Liste!$C$3,$B$3107,$B$3249),Data!$BO:$BO,0)-2,28)&lt;&gt;"","PFH [1/h] = "&amp;10^9*INDEX(Tab_DaBa[],MATCH(CONCATENATE(Liste!$C$3,$B$3107,$B$3249),Data!$BO:$BO,0)-2,36)&amp;"E-9","")),"")</f>
        <v>PFH [1/h] = 4,19E-9</v>
      </c>
      <c r="C3263" s="39"/>
      <c r="D3263" s="35" t="str">
        <f ca="1">IFERROR(IF(AND(INDEX(Tab_DaBa[],MATCH(CONCATENATE(Liste!$C$3,$B$3107,$B$3249),Data!$BO:$BO,0)-2,33)&lt;&gt;"",INDEX(Tab_DaBa[],MATCH(CONCATENATE(Liste!$C$3,$B$3107,$B$3249),Data!$BO:$BO,0)-2,38)=""),"PFH [1/h] = "&amp;10^9*INDEX(Tab_DaBa[],MATCH(CONCATENATE(Liste!$C$3,$B$3107,$B$3249),Data!$BO:$BO,0)-2,16)&amp;"E-9",IF(INDEX(Tab_DaBa[],MATCH(CONCATENATE(Liste!$C$3,$B$3107,$B$3249),Data!$BO:$BO,0)-2,33)&lt;&gt;"","PFH [1/h] = "&amp;10^9*INDEX(Tab_DaBa[],MATCH(CONCATENATE(Liste!$C$3,$B$3107,$B$3249),Data!$BO:$BO,0)-2,41)&amp;"E-9","")),"")</f>
        <v>PFH [1/h] = 4,19E-9</v>
      </c>
      <c r="E3263" s="37"/>
      <c r="F3263" s="35" t="str">
        <f ca="1">IFERROR(IF(AND(INDEX(Tab_DaBa[],MATCH(CONCATENATE(Liste!$C$3,$B$3107,$B$3249),Data!$BO:$BO,0)-2,38)&lt;&gt;"",INDEX(Tab_DaBa[],MATCH(CONCATENATE(Liste!$C$3,$B$3107,$B$3249),Data!$BO:$BO,0)-2,43)=""),"PFH [1/h] = "&amp;10^9*INDEX(Tab_DaBa[],MATCH(CONCATENATE(Liste!$C$3,$B$3107,$B$3249),Data!$BO:$BO,0)-2,16)&amp;"E-9",IF(INDEX(Tab_DaBa[],MATCH(CONCATENATE(Liste!$C$3,$B$3107,$B$3249),Data!$BO:$BO,0)-2,38)&lt;&gt;"","PFH [1/h] = "&amp;10^9*INDEX(Tab_DaBa[],MATCH(CONCATENATE(Liste!$C$3,$B$3107,$B$3249),Data!$BO:$BO,0)-2,46)&amp;"E-9","")),"")</f>
        <v>PFH [1/h] = 4,19E-9</v>
      </c>
      <c r="G3263" s="39"/>
      <c r="H3263" s="35" t="str">
        <f ca="1">IFERROR(IF(AND(INDEX(Tab_DaBa[],MATCH(CONCATENATE(Liste!$C$3,$B$3107,$B$3249),Data!$BO:$BO,0)-2,43)&lt;&gt;"",INDEX(Tab_DaBa[],MATCH(CONCATENATE(Liste!$C$3,$B$3107,$B$3249),Data!$BO:$BO,0)-2,48)=""),"PFH [1/h] = "&amp;10^9*INDEX(Tab_DaBa[],MATCH(CONCATENATE(Liste!$C$3,$B$3107,$B$3249),Data!$BO:$BO,0)-2,16)&amp;"E-9",IF(INDEX(Tab_DaBa[],MATCH(CONCATENATE(Liste!$C$3,$B$3107,$B$3249),Data!$BO:$BO,0)-2,43)&lt;&gt;"","PFH [1/h] = "&amp;10^9*INDEX(Tab_DaBa[],MATCH(CONCATENATE(Liste!$C$3,$B$3107,$B$3249),Data!$BO:$BO,0)-2,51)&amp;"E-9","")),"")</f>
        <v>PFH [1/h] = 24,7E-9</v>
      </c>
      <c r="I3263" s="39"/>
    </row>
    <row r="3264" spans="2:9" s="16" customFormat="1">
      <c r="B3264" s="33"/>
      <c r="C3264" s="33"/>
      <c r="D3264" s="33"/>
      <c r="E3264" s="33"/>
      <c r="F3264" s="33"/>
      <c r="G3264" s="33"/>
      <c r="H3264" s="33"/>
      <c r="I3264" s="33"/>
    </row>
    <row r="3265" spans="2:9" s="16" customFormat="1" ht="15.75">
      <c r="B3265" s="38" t="str">
        <f ca="1">IF(B3267="","",6)</f>
        <v/>
      </c>
      <c r="C3265" s="33"/>
      <c r="D3265" s="38" t="str">
        <f ca="1">IF(B3267="","",3)</f>
        <v/>
      </c>
      <c r="E3265" s="33"/>
      <c r="F3265" s="38" t="str">
        <f ca="1">IF(B3267="","",3)</f>
        <v/>
      </c>
      <c r="G3265" s="33"/>
      <c r="H3265" s="38" t="str">
        <f ca="1">IF(B3267="","",3)</f>
        <v/>
      </c>
      <c r="I3265" s="33"/>
    </row>
    <row r="3266" spans="2:9" s="16" customFormat="1" ht="15.75">
      <c r="B3266" s="39"/>
      <c r="C3266" s="33"/>
      <c r="D3266" s="33"/>
      <c r="E3266" s="33"/>
      <c r="F3266" s="33"/>
      <c r="G3266" s="33"/>
      <c r="H3266" s="33"/>
      <c r="I3266" s="33"/>
    </row>
    <row r="3267" spans="2:9" s="16" customFormat="1" ht="15.75">
      <c r="B3267" s="35" t="str">
        <f ca="1">IFERROR(IF(AND(INDEX(Tab_DaBa[],MATCH(CONCATENATE(Liste!$C$3,$B$3107,$B$3249),Data!$BO:$BO,0)-2,48)&lt;&gt;"",INDEX(Tab_DaBa[],MATCH(CONCATENATE(Liste!$C$3,$B$3107,$B$3249),Data!$BO:$BO,0)-2,53)=0),INDEX(Tab_DaBa[],MATCH(CONCATENATE(Liste!$C$3,$B$3107,$B$3249),Data!$BO:$BO,0)-2,14),IF(INDEX(Tab_DaBa[],MATCH(CONCATENATE(Liste!$C$3,$B$3107,$B$3249),Data!$BO:$BO,0)-2,48)&lt;&gt;"",INDEX(Tab_DaBa[],MATCH(CONCATENATE(Liste!$C$3,$B$3107,$B$3249),Data!$BO:$BO,0)-2,54),"")),"")</f>
        <v/>
      </c>
      <c r="C3267" s="39"/>
      <c r="D3267" s="35" t="str">
        <f ca="1">IFERROR(IF(AND(INDEX(Tab_DaBa[],MATCH(CONCATENATE(Liste!$C$3,$B$3107,$B$3249),Data!$BO:$BO,0)-2,53)&lt;&gt;"",INDEX(Tab_DaBa[],MATCH(CONCATENATE(Liste!$C$3,$B$3107,$B$3249),Data!$BO:$BO,0)-2,58)=0),INDEX(Tab_DaBa[],MATCH(CONCATENATE(Liste!$C$3,$B$3107,$B$3249),Data!$BO:$BO,0)-2,14),IF(INDEX(Tab_DaBa[],MATCH(CONCATENATE(Liste!$C$3,$B$3107,$B$3249),Data!$BO:$BO,0)-2,53)&lt;&gt;"",INDEX(Tab_DaBa[],MATCH(CONCATENATE(Liste!$C$3,$B$3107,$B$3249),Data!$BO:$BO,0)-2,59),"")),"")</f>
        <v/>
      </c>
      <c r="E3267" s="33"/>
      <c r="F3267" s="35" t="str">
        <f ca="1">IFERROR(IF(AND(INDEX(Tab_DaBa[],MATCH(CONCATENATE(Liste!$C$3,$B$3107,$B$3249),Data!$BO:$BO,0)-2,58)&lt;&gt;"",INDEX(Tab_DaBa[],MATCH(CONCATENATE(Liste!$C$3,$B$3107,$B$3249),Data!$BO:$BO,0)-2,63)=0),INDEX(Tab_DaBa[],MATCH(CONCATENATE(Liste!$C$3,$B$3107,$B$3249),Data!$BO:$BO,0)-2,14),IF(INDEX(Tab_DaBa[],MATCH(CONCATENATE(Liste!$C$3,$B$3107,$B$3249),Data!$BO:$BO,0)-2,58)&lt;&gt;"",INDEX(Tab_DaBa[],MATCH(CONCATENATE(Liste!$C$3,$B$3107,$B$3249),Data!$BO:$BO,0)-2,64),"")),"")</f>
        <v/>
      </c>
      <c r="G3267" s="39"/>
      <c r="H3267" s="35" t="str">
        <f ca="1">IFERROR(IF(INDEX(Tab_DaBa[],MATCH(CONCATENATE(Liste!$C$3,$B$3107,$B$3249),Data!$BO:$BO,0)-2,63)&lt;&gt;"",INDEX(Tab_DaBa[],MATCH(CONCATENATE(Liste!$C$3,$B$3107,$B$3249),Data!$BO:$BO,0)-2,14),""),"")</f>
        <v/>
      </c>
    </row>
    <row r="3268" spans="2:9" s="16" customFormat="1" ht="15.75">
      <c r="B3268" s="35" t="str">
        <f ca="1">IFERROR(IF(AND(INDEX(Tab_DaBa[],MATCH(CONCATENATE(Liste!$C$3,$B$3107,$B$3249),Data!$BO:$BO,0)-2,48)&lt;&gt;"",INDEX(Tab_DaBa[],MATCH(CONCATENATE(Liste!$C$3,$B$3107,$B$3249),Data!$BO:$BO,0)-2,53)=0),INDEX(Tab_DaBa[],MATCH(CONCATENATE(Liste!$C$3,$B$3107,$B$3249),Data!$BO:$BO,0)-2,12),IF(INDEX(Tab_DaBa[],MATCH(CONCATENATE(Liste!$C$3,$B$3107,$B$3249),Data!$BO:$BO,0)-2,48)&lt;&gt;"",INDEX(Tab_DaBa[],MATCH(CONCATENATE(Liste!$C$3,$B$3107,$B$3249),Data!$BO:$BO,0)-2,52),"")),"")</f>
        <v/>
      </c>
      <c r="C3268" s="39"/>
      <c r="D3268" s="35" t="str">
        <f ca="1">IFERROR(IF(AND(INDEX(Tab_DaBa[],MATCH(CONCATENATE(Liste!$C$3,$B$3107,$B$3249),Data!$BO:$BO,0)-2,53)&lt;&gt;"",INDEX(Tab_DaBa[],MATCH(CONCATENATE(Liste!$C$3,$B$3107,$B$3249),Data!$BO:$BO,0)-2,58)=0),INDEX(Tab_DaBa[],MATCH(CONCATENATE(Liste!$C$3,$B$3107,$B$3249),Data!$BO:$BO,0)-2,12),IF(INDEX(Tab_DaBa[],MATCH(CONCATENATE(Liste!$C$3,$B$3107,$B$3249),Data!$BO:$BO,0)-2,53)&lt;&gt;"",INDEX(Tab_DaBa[],MATCH(CONCATENATE(Liste!$C$3,$B$3107,$B$3249),Data!$BO:$BO,0)-2,57),"")),"")</f>
        <v/>
      </c>
      <c r="E3268" s="37"/>
      <c r="F3268" s="35" t="str">
        <f ca="1">IFERROR(IF(AND(INDEX(Tab_DaBa[],MATCH(CONCATENATE(Liste!$C$3,$B$3107,$B$3249),Data!$BO:$BO,0)-2,58)&lt;&gt;"",INDEX(Tab_DaBa[],MATCH(CONCATENATE(Liste!$C$3,$B$3107,$B$3249),Data!$BO:$BO,0)-2,63)=0),INDEX(Tab_DaBa[],MATCH(CONCATENATE(Liste!$C$3,$B$3107,$B$3249),Data!$BO:$BO,0)-2,12),IF(INDEX(Tab_DaBa[],MATCH(CONCATENATE(Liste!$C$3,$B$3107,$B$3249),Data!$BO:$BO,0)-2,58)&lt;&gt;"",INDEX(Tab_DaBa[],MATCH(CONCATENATE(Liste!$C$3,$B$3107,$B$3249),Data!$BO:$BO,0)-2,62),"")),"")</f>
        <v/>
      </c>
      <c r="G3268" s="39"/>
      <c r="H3268" s="35" t="str">
        <f ca="1">IFERROR(IF(INDEX(Tab_DaBa[],MATCH(CONCATENATE(Liste!$C$3,$B$3107,$B$3249),Data!$BO:$BO,0)-2,63)&lt;&gt;"",INDEX(Tab_DaBa[],MATCH(CONCATENATE(Liste!$C$3,$B$3107,$B$3249),Data!$BO:$BO,0)-2,12),""),"")</f>
        <v/>
      </c>
    </row>
    <row r="3269" spans="2:9" s="16" customFormat="1" ht="15.75">
      <c r="B3269" s="35" t="str">
        <f ca="1">IFERROR(IF(AND(INDEX(Tab_DaBa[],MATCH(CONCATENATE(Liste!$C$3,$B$3107,$B$3249),Data!$BO:$BO,0)-2,48)&lt;&gt;"",INDEX(Tab_DaBa[],MATCH(CONCATENATE(Liste!$C$3,$B$3107,$B$3249),Data!$BO:$BO,0)-2,53)=""),INDEX(Tab_DaBa[],MATCH(CONCATENATE(Liste!$C$3,$B$3107,$B$3249),Data!$BO:$BO,0)-2,13),IF(INDEX(Tab_DaBa[],MATCH(CONCATENATE(Liste!$C$3,$B$3107,$B$3249),Data!$BO:$BO,0)-2,48)&lt;&gt;"",INDEX(Tab_DaBa[],MATCH(CONCATENATE(Liste!$C$3,$B$3107,$B$3249),Data!$BO:$BO,0)-2,53),"")),"")</f>
        <v/>
      </c>
      <c r="C3269" s="38" t="str">
        <f ca="1">IF(D3267="","",4)</f>
        <v/>
      </c>
      <c r="D3269" s="35" t="str">
        <f ca="1">IFERROR(IF(AND(INDEX(Tab_DaBa[],MATCH(CONCATENATE(Liste!$C$3,$B$3107,$B$3249),Data!$BO:$BO,0)-2,53)&lt;&gt;"",INDEX(Tab_DaBa[],MATCH(CONCATENATE(Liste!$C$3,$B$3107,$B$3249),Data!$BO:$BO,0)-2,58)=""),INDEX(Tab_DaBa[],MATCH(CONCATENATE(Liste!$C$3,$B$3107,$B$3249),Data!$BO:$BO,0)-2,13),IF(INDEX(Tab_DaBa[],MATCH(CONCATENATE(Liste!$C$3,$B$3107,$B$3249),Data!$BO:$BO,0)-2,53)&lt;&gt;"",INDEX(Tab_DaBa[],MATCH(CONCATENATE(Liste!$C$3,$B$3107,$B$3249),Data!$BO:$BO,0)-2,58),"")),"")</f>
        <v/>
      </c>
      <c r="E3269" s="38" t="str">
        <f ca="1">IF(F3267="","",4)</f>
        <v/>
      </c>
      <c r="F3269" s="35" t="str">
        <f ca="1">IFERROR(IF(AND(INDEX(Tab_DaBa[],MATCH(CONCATENATE(Liste!$C$3,$B$3107,$B$3249),Data!$BO:$BO,0)-2,58)&lt;&gt;"",INDEX(Tab_DaBa[],MATCH(CONCATENATE(Liste!$C$3,$B$3107,$B$3249),Data!$BO:$BO,0)-2,63)=""),INDEX(Tab_DaBa[],MATCH(CONCATENATE(Liste!$C$3,$B$3107,$B$3249),Data!$BO:$BO,0)-2,13),IF(INDEX(Tab_DaBa[],MATCH(CONCATENATE(Liste!$C$3,$B$3107,$B$3249),Data!$BO:$BO,0)-2,58)&lt;&gt;"",INDEX(Tab_DaBa[],MATCH(CONCATENATE(Liste!$C$3,$B$3107,$B$3249),Data!$BO:$BO,0)-2,63),"")),"")</f>
        <v/>
      </c>
      <c r="G3269" s="38" t="str">
        <f ca="1">IF(H3267="","",4)</f>
        <v/>
      </c>
      <c r="H3269" s="35" t="str">
        <f ca="1">IFERROR(IF(INDEX(Tab_DaBa[],MATCH(CONCATENATE(Liste!$C$3,$B$3107,$B$3249),Data!$BO:$BO,0)-2,63)&lt;&gt;"",INDEX(Tab_DaBa[],MATCH(CONCATENATE(Liste!$C$3,$B$3107,$B$3249),Data!$BO:$BO,0)-2,13),""),"")</f>
        <v/>
      </c>
    </row>
    <row r="3270" spans="2:9" s="16" customFormat="1" ht="15.75">
      <c r="B3270" s="35" t="str">
        <f ca="1">IFERROR(IF(AND(INDEX(Tab_DaBa[],MATCH(CONCATENATE(Liste!$C$3,$B$3107,$B$3249),Data!$BO:$BO,0)-2,48)&lt;&gt;"",INDEX(Tab_DaBa[],MATCH(CONCATENATE(Liste!$C$3,$B$3107,$B$3249),Data!$BO:$BO,0)-2,53)=""),"Performance Level: "&amp;INDEX(Tab_DaBa[],MATCH(CONCATENATE(Liste!$C$3,$B$3107,$B$3249),Data!$BO:$BO,0)-2,15),IF(INDEX(Tab_DaBa[],MATCH(CONCATENATE(Liste!$C$3,$B$3107,$B$3249),Data!$BO:$BO,0)-2,48)&lt;&gt;"","Performance Level: "&amp;INDEX(Tab_DaBa[],MATCH(CONCATENATE(Liste!$C$3,$B$3107,$B$3249),Data!$BO:$BO,0)-2,55),"")),"")</f>
        <v/>
      </c>
      <c r="C3270" s="39"/>
      <c r="D3270" s="35" t="str">
        <f ca="1">IFERROR(IF(AND(INDEX(Tab_DaBa[],MATCH(CONCATENATE(Liste!$C$3,$B$3107,$B$3249),Data!$BO:$BO,0)-2,53)&lt;&gt;"",INDEX(Tab_DaBa[],MATCH(CONCATENATE(Liste!$C$3,$B$3107,$B$3249),Data!$BO:$BO,0)-2,58)=""),"Performance Level: "&amp;INDEX(Tab_DaBa[],MATCH(CONCATENATE(Liste!$C$3,$B$3107,$B$3249),Data!$BO:$BO,0)-2,15),IF(INDEX(Tab_DaBa[],MATCH(CONCATENATE(Liste!$C$3,$B$3107,$B$3249),Data!$BO:$BO,0)-2,53)&lt;&gt;"","Performance Level: "&amp;INDEX(Tab_DaBa[],MATCH(CONCATENATE(Liste!$C$3,$B$3107,$B$3249),Data!$BO:$BO,0)-2,60),"")),"")</f>
        <v/>
      </c>
      <c r="E3270" s="37"/>
      <c r="F3270" s="35" t="str">
        <f ca="1">IFERROR(IF(AND(INDEX(Tab_DaBa[],MATCH(CONCATENATE(Liste!$C$3,$B$3107,$B$3249),Data!$BO:$BO,0)-2,58)&lt;&gt;"",INDEX(Tab_DaBa[],MATCH(CONCATENATE(Liste!$C$3,$B$3107,$B$3249),Data!$BO:$BO,0)-2,63)=""),"Performance Level: "&amp;INDEX(Tab_DaBa[],MATCH(CONCATENATE(Liste!$C$3,$B$3107,$B$3249),Data!$BO:$BO,0)-2,15),IF(INDEX(Tab_DaBa[],MATCH(CONCATENATE(Liste!$C$3,$B$3107,$B$3249),Data!$BO:$BO,0)-2,58)&lt;&gt;"","Performance Level: "&amp;INDEX(Tab_DaBa[],MATCH(CONCATENATE(Liste!$C$3,$B$3107,$B$3249),Data!$BO:$BO,0)-2,65),"")),"")</f>
        <v/>
      </c>
      <c r="G3270" s="39"/>
      <c r="H3270" s="35" t="str">
        <f ca="1">IFERROR(IF(INDEX(Tab_DaBa[],MATCH(CONCATENATE(Liste!$C$3,$B$3107,$B$3249),Data!$BO:$BO,0)-2,63)&lt;&gt;"","Performance Level: "&amp;INDEX(Tab_DaBa[],MATCH(CONCATENATE(Liste!$C$3,$B$3107,$B$3249),Data!$BO:$BO,0)-2,15),""),"")</f>
        <v/>
      </c>
    </row>
    <row r="3271" spans="2:9" s="16" customFormat="1" ht="15.75">
      <c r="B3271" s="35" t="str">
        <f ca="1">IFERROR(IF(AND(INDEX(Tab_DaBa[],MATCH(CONCATENATE(Liste!$C$3,$B$3107,$B$3249),Data!$BO:$BO,0)-2,48)&lt;&gt;"",INDEX(Tab_DaBa[],MATCH(CONCATENATE(Liste!$C$3,$B$3107,$B$3249),Data!$BO:$BO,0)-2,53)=""),"PFH [1/h] = "&amp;10^9*INDEX(Tab_DaBa[],MATCH(CONCATENATE(Liste!$C$3,$B$3107,$B$3249),Data!$BO:$BO,0)-2,16)&amp;"E-9",IF(INDEX(Tab_DaBa[],MATCH(CONCATENATE(Liste!$C$3,$B$3107,$B$3249),Data!$BO:$BO,0)-2,48)&lt;&gt;"","PFH [1/h] = "&amp;10^9*INDEX(Tab_DaBa[],MATCH(CONCATENATE(Liste!$C$3,$B$3107,$B$3249),Data!$BO:$BO,0)-2,56)&amp;"E-9","")),"")</f>
        <v/>
      </c>
      <c r="C3271" s="39"/>
      <c r="D3271" s="35" t="str">
        <f ca="1">IFERROR(IF(AND(INDEX(Tab_DaBa[],MATCH(CONCATENATE(Liste!$C$3,$B$3107,$B$3249),Data!$BO:$BO,0)-2,53)&lt;&gt;"",INDEX(Tab_DaBa[],MATCH(CONCATENATE(Liste!$C$3,$B$3107,$B$3249),Data!$BO:$BO,0)-2,58)=""),"PFH [1/h] = "&amp;10^9*INDEX(Tab_DaBa[],MATCH(CONCATENATE(Liste!$C$3,$B$3107,$B$3249),Data!$BO:$BO,0)-2,16)&amp;"E-9",IF(INDEX(Tab_DaBa[],MATCH(CONCATENATE(Liste!$C$3,$B$3107,$B$3249),Data!$BO:$BO,0)-2,53)&lt;&gt;"","PFH [1/h] = "&amp;10^9*INDEX(Tab_DaBa[],MATCH(CONCATENATE(Liste!$C$3,$B$3107,$B$3249),Data!$BO:$BO,0)-2,61)&amp;"E-9","")),"")</f>
        <v/>
      </c>
      <c r="E3271" s="37"/>
      <c r="F3271" s="35" t="str">
        <f ca="1">IFERROR(IF(AND(INDEX(Tab_DaBa[],MATCH(CONCATENATE(Liste!$C$3,$B$3107,$B$3249),Data!$BO:$BO,0)-2,58)&lt;&gt;"",INDEX(Tab_DaBa[],MATCH(CONCATENATE(Liste!$C$3,$B$3107,$B$3249),Data!$BO:$BO,0)-2,63)=""),"PFH [1/h] = "&amp;10^9*INDEX(Tab_DaBa[],MATCH(CONCATENATE(Liste!$C$3,$B$3107,$B$3249),Data!$BO:$BO,0)-2,16)&amp;"E-9",IF(INDEX(Tab_DaBa[],MATCH(CONCATENATE(Liste!$C$3,$B$3107,$B$3249),Data!$BO:$BO,0)-2,58)&lt;&gt;"","PFH [1/h] = "&amp;10^9*INDEX(Tab_DaBa[],MATCH(CONCATENATE(Liste!$C$3,$B$3107,$B$3249),Data!$BO:$BO,0)-2,66)&amp;"E-9","")),"")</f>
        <v/>
      </c>
      <c r="G3271" s="39"/>
      <c r="H3271" s="35" t="str">
        <f ca="1">IFERROR(IF(INDEX(Tab_DaBa[],MATCH(CONCATENATE(Liste!$C$3,$B$3107,$B$3249),Data!$BO:$BO,0)-2,63)&lt;&gt;"","PFH [1/h] = "&amp;10^9*INDEX(Tab_DaBa[],MATCH(CONCATENATE(Liste!$C$3,$B$3107,$B$3249),Data!$BO:$BO,0)-2,16)&amp;"E-9",""),"")</f>
        <v/>
      </c>
    </row>
    <row r="3272" spans="2:9" s="16" customFormat="1"/>
    <row r="3273" spans="2:9" s="16" customFormat="1">
      <c r="B3273" s="43" t="str">
        <f ca="1">IF(D3273="","","Erforderlich")</f>
        <v>Erforderlich</v>
      </c>
      <c r="D3273" s="44" t="str">
        <f ca="1">IFERROR("Performance Level: "&amp;INDEX(Tab_DaBa[],MATCH(CONCATENATE(Liste!$C$3,$B$3107,$B$3249),Data!$BO:$BO,0)-2,4),"")</f>
        <v>Performance Level: PLr_ges4_6</v>
      </c>
    </row>
    <row r="3274" spans="2:9" s="16" customFormat="1">
      <c r="B3274" s="45"/>
    </row>
    <row r="3275" spans="2:9" s="16" customFormat="1">
      <c r="B3275" s="46" t="str">
        <f ca="1">IF(D3275="","","Erreicht")</f>
        <v>Erreicht</v>
      </c>
      <c r="D3275" s="47" t="str">
        <f ca="1">IFERROR("Performance Level: "&amp;INDEX(Tab_DaBa[],MATCH(CONCATENATE(Liste!$C$3,$B$3107,$B$3249),Data!$BO:$BO,0)-2,5)&amp;"          PFH [1/h] = "&amp;10^9*INDEX(Tab_DaBa[],MATCH(CONCATENATE(Liste!$C$3,$B$3107,$B$3249),Data!$BO:$BO,0)-2,6)&amp;"E-9","")</f>
        <v>Performance Level: Pl_ges4_6          PFH [1/h] = 71,7E-9</v>
      </c>
    </row>
    <row r="3276" spans="2:9" s="16" customFormat="1"/>
    <row r="3277" spans="2:9" s="16" customFormat="1">
      <c r="B3277" s="42" t="str">
        <f ca="1">IFERROR(IF(7&gt;COUNTIF(Data!$BP:$BP,CONCATENATE(Liste!$C$3,$B$3107)),"",INDEX(Tab_DaBa[],MATCH(CONCATENATE(Liste!$C$3,$B$3107),Data!$BP:$BP,0)+4,3)),"")</f>
        <v>12.7 Test12 (E+7L+A)</v>
      </c>
    </row>
    <row r="3278" spans="2:9" s="16" customFormat="1"/>
    <row r="3279" spans="2:9" s="16" customFormat="1" ht="15.75">
      <c r="B3279" s="35" t="str">
        <f ca="1">IFERROR(INDEX(Tab_DaBa[],MATCH(CONCATENATE(Liste!$C$3,$B$3107,$B$3277),Data!$BO:$BO,0)-2,9),"")</f>
        <v>Eingang</v>
      </c>
      <c r="C3279" s="54"/>
      <c r="D3279" s="35" t="str">
        <f ca="1">IFERROR(IF(INDEX(Tab_DaBa[],MATCH(CONCATENATE(Liste!$C$3,$B$3107,$B$3277),Data!$BO:$BO,0)-2,18)=0,INDEX(Tab_DaBa[],MATCH(CONCATENATE(Liste!$C$3,$B$3107,$B$3277),Data!$BO:$BO,0)-2,14),INDEX(Tab_DaBa[],MATCH(CONCATENATE(Liste!$C$3,$B$3107,$B$3277),Data!$BO:$BO,0)-2,19)),"")</f>
        <v>Logik 01</v>
      </c>
      <c r="E3279" s="33"/>
      <c r="F3279" s="35" t="str">
        <f ca="1">IFERROR(IF(AND(INDEX(Tab_DaBa[],MATCH(CONCATENATE(Liste!$C$3,$B$3107,$B$3277),Data!$BO:$BO,0)-2,18)&lt;&gt;"",INDEX(Tab_DaBa[],MATCH(CONCATENATE(Liste!$C$3,$B$3107,$B$3277),Data!$BO:$BO,0)-2,23)=0),INDEX(Tab_DaBa[],MATCH(CONCATENATE(Liste!$C$3,$B$3107,$B$3277),Data!$BO:$BO,0)-2,14),IF(INDEX(Tab_DaBa[],MATCH(CONCATENATE(Liste!$C$3,$B$3107,$B$3277),Data!$BO:$BO,0)-2,23)&lt;&gt;"",INDEX(Tab_DaBa[],MATCH(CONCATENATE(Liste!$C$3,$B$3107,$B$3277),Data!$BO:$BO,0)-2,24),"")),"")</f>
        <v>Logik 02</v>
      </c>
      <c r="G3279" s="39"/>
      <c r="H3279" s="35" t="str">
        <f ca="1">IFERROR(IF(AND(INDEX(Tab_DaBa[],MATCH(CONCATENATE(Liste!$C$3,$B$3107,$B$3277),Data!$BO:$BO,0)-2,23)&lt;&gt;"",INDEX(Tab_DaBa[],MATCH(CONCATENATE(Liste!$C$3,$B$3107,$B$3277),Data!$BO:$BO,0)-2,28)=0),INDEX(Tab_DaBa[],MATCH(CONCATENATE(Liste!$C$3,$B$3107,$B$3277),Data!$BO:$BO,0)-2,14),IF(INDEX(Tab_DaBa[],MATCH(CONCATENATE(Liste!$C$3,$B$3107,$B$3277),Data!$BO:$BO,0)-2,23)&lt;&gt;"",INDEX(Tab_DaBa[],MATCH(CONCATENATE(Liste!$C$3,$B$3107,$B$3277),Data!$BO:$BO,0)-2,29),"")),"")</f>
        <v>Logik 03</v>
      </c>
      <c r="I3279" s="39"/>
    </row>
    <row r="3280" spans="2:9" s="16" customFormat="1" ht="15.75">
      <c r="B3280" s="35" t="str">
        <f ca="1">IFERROR(INDEX(Tab_DaBa[],MATCH(CONCATENATE(Liste!$C$3,$B$3107,$B$3277),Data!$BO:$BO,0)-2,7),"")</f>
        <v>eeee-33_7</v>
      </c>
      <c r="C3280" s="54"/>
      <c r="D3280" s="35" t="str">
        <f ca="1">IFERROR(IF(INDEX(Tab_DaBa[],MATCH(CONCATENATE(Liste!$C$3,$B$3107,$B$3277),Data!$BO:$BO,0)-2,18)="",INDEX(Tab_DaBa[],MATCH(CONCATENATE(Liste!$C$3,$B$3107,$B$3277),Data!$BO:$BO,0)-2,12),INDEX(Tab_DaBa[],MATCH(CONCATENATE(Liste!$C$3,$B$3107,$B$3277),Data!$BO:$BO,0)-2,17)),"")</f>
        <v>Log01-04_07</v>
      </c>
      <c r="E3280" s="36"/>
      <c r="F3280" s="35" t="str">
        <f ca="1">IFERROR(IF(AND(INDEX(Tab_DaBa[],MATCH(CONCATENATE(Liste!$C$3,$B$3107,$B$3277),Data!$BO:$BO,0)-2,18)&lt;&gt;"",INDEX(Tab_DaBa[],MATCH(CONCATENATE(Liste!$C$3,$B$3107,$B$3277),Data!$BO:$BO,0)-2,23)=0),INDEX(Tab_DaBa[],MATCH(CONCATENATE(Liste!$C$3,$B$3107,$B$3277),Data!$BO:$BO,0)-2,12),IF(INDEX(Tab_DaBa[],MATCH(CONCATENATE(Liste!$C$3,$B$3107,$B$3277),Data!$BO:$BO,0)-2,23)&lt;&gt;"",INDEX(Tab_DaBa[],MATCH(CONCATENATE(Liste!$C$3,$B$3107,$B$3277),Data!$BO:$BO,0)-2,22),"")),"")</f>
        <v>Lo04-04_07</v>
      </c>
      <c r="G3280" s="39"/>
      <c r="H3280" s="35" t="str">
        <f ca="1">IFERROR(IF(AND(INDEX(Tab_DaBa[],MATCH(CONCATENATE(Liste!$C$3,$B$3107,$B$3277),Data!$BO:$BO,0)-2,23)&lt;&gt;"",INDEX(Tab_DaBa[],MATCH(CONCATENATE(Liste!$C$3,$B$3107,$B$3277),Data!$BO:$BO,0)-2,28)=0),INDEX(Tab_DaBa[],MATCH(CONCATENATE(Liste!$C$3,$B$3107,$B$3277),Data!$BO:$BO,0)-2,12),IF(INDEX(Tab_DaBa[],MATCH(CONCATENATE(Liste!$C$3,$B$3107,$B$3277),Data!$BO:$BO,0)-2,23)&lt;&gt;"",INDEX(Tab_DaBa[],MATCH(CONCATENATE(Liste!$C$3,$B$3107,$B$3277),Data!$BO:$BO,0)-2,27),"")),"")</f>
        <v>Lo04-44_07</v>
      </c>
      <c r="I3280" s="39"/>
    </row>
    <row r="3281" spans="2:9" s="16" customFormat="1" ht="15.75">
      <c r="B3281" s="35" t="str">
        <f ca="1">IFERROR(INDEX(Tab_DaBa[],MATCH(CONCATENATE(Liste!$C$3,$B$3107,$B$3277),Data!$BO:$BO,0)-2,8),"")</f>
        <v>Bez_Ein4_7</v>
      </c>
      <c r="C3281" s="40">
        <f ca="1">IF(D3279="","",4)</f>
        <v>4</v>
      </c>
      <c r="D3281" s="35" t="str">
        <f ca="1">IFERROR(IF(INDEX(Tab_DaBa[],MATCH(CONCATENATE(Liste!$C$3,$B$3107,$B$3277),Data!$BO:$BO,0)-2,18)="",INDEX(Tab_DaBa[],MATCH(CONCATENATE(Liste!$C$3,$B$3107,$B$3277),Data!$BO:$BO,0)-2,13),INDEX(Tab_DaBa[],MATCH(CONCATENATE(Liste!$C$3,$B$3107,$B$3277),Data!$BO:$BO,0)-2,18)),"")</f>
        <v>Bez_Log01_04_07</v>
      </c>
      <c r="E3281" s="40">
        <f ca="1">IF(F3279="","",4)</f>
        <v>4</v>
      </c>
      <c r="F3281" s="35" t="str">
        <f ca="1">IFERROR(IF(AND(INDEX(Tab_DaBa[],MATCH(CONCATENATE(Liste!$C$3,$B$3107,$B$3277),Data!$BO:$BO,0)-2,18)&lt;&gt;"",INDEX(Tab_DaBa[],MATCH(CONCATENATE(Liste!$C$3,$B$3107,$B$3277),Data!$BO:$BO,0)-2,23)=""),INDEX(Tab_DaBa[],MATCH(CONCATENATE(Liste!$C$3,$B$3107,$B$3277),Data!$BO:$BO,0)-2,13),IF(INDEX(Tab_DaBa[],MATCH(CONCATENATE(Liste!$C$3,$B$3107,$B$3277),Data!$BO:$BO,0)-2,23)&lt;&gt;"",INDEX(Tab_DaBa[],MATCH(CONCATENATE(Liste!$C$3,$B$3107,$B$3277),Data!$BO:$BO,0)-2,23),"")),"")</f>
        <v>Bez_Lo04_07</v>
      </c>
      <c r="G3281" s="38">
        <f ca="1">IF(H3279="","",4)</f>
        <v>4</v>
      </c>
      <c r="H3281" s="35" t="str">
        <f ca="1">IFERROR(IF(AND(INDEX(Tab_DaBa[],MATCH(CONCATENATE(Liste!$C$3,$B$3107,$B$3277),Data!$BO:$BO,0)-2,23)&lt;&gt;"",INDEX(Tab_DaBa[],MATCH(CONCATENATE(Liste!$C$3,$B$3107,$B$3277),Data!$BO:$BO,0)-2,28)=""),INDEX(Tab_DaBa[],MATCH(CONCATENATE(Liste!$C$3,$B$3107,$B$3277),Data!$BO:$BO,0)-2,13),IF(INDEX(Tab_DaBa[],MATCH(CONCATENATE(Liste!$C$3,$B$3107,$B$3277),Data!$BO:$BO,0)-2,23)&lt;&gt;"",INDEX(Tab_DaBa[],MATCH(CONCATENATE(Liste!$C$3,$B$3107,$B$3277),Data!$BO:$BO,0)-2,28),"")),"")</f>
        <v>Bez_Lo04_07</v>
      </c>
      <c r="I3281" s="38">
        <f ca="1">IF(B3287="","",6)</f>
        <v>6</v>
      </c>
    </row>
    <row r="3282" spans="2:9" s="16" customFormat="1" ht="15.75">
      <c r="B3282" s="35" t="str">
        <f ca="1">IFERROR("Performance Level: "&amp;INDEX(Tab_DaBa[],MATCH(CONCATENATE(Liste!$C$3,$B$3107,$B$3277),Data!$BO:$BO,0)-2,10),"")</f>
        <v>Performance Level: PL_Ein4_7</v>
      </c>
      <c r="C3282" s="54"/>
      <c r="D3282" s="35" t="str">
        <f ca="1">IFERROR(IF(INDEX(Tab_DaBa[],MATCH(CONCATENATE(Liste!$C$3,$B$3107,$B$3277),Data!$BO:$BO,0)-2,18)="","Performance Level: "&amp;INDEX(Tab_DaBa[],MATCH(CONCATENATE(Liste!$C$3,$B$3107,$B$3277),Data!$BO:$BO,0)-2,15),"Performance Level: "&amp;INDEX(Tab_DaBa[],MATCH(CONCATENATE(Liste!$C$3,$B$3107,$B$3277),Data!$BO:$BO,0)-2,20)),"")</f>
        <v>Performance Level: PL_Log01_04_07</v>
      </c>
      <c r="E3282" s="36"/>
      <c r="F3282" s="35" t="str">
        <f ca="1">IFERROR(IF(AND(INDEX(Tab_DaBa[],MATCH(CONCATENATE(Liste!$C$3,$B$3107,$B$3277),Data!$BO:$BO,0)-2,18)&lt;&gt;"",INDEX(Tab_DaBa[],MATCH(CONCATENATE(Liste!$C$3,$B$3107,$B$3277),Data!$BO:$BO,0)-2,23)=""),"Performance Level: "&amp;INDEX(Tab_DaBa[],MATCH(CONCATENATE(Liste!$C$3,$B$3107,$B$3277),Data!$BO:$BO,0)-2,15),IF(INDEX(Tab_DaBa[],MATCH(CONCATENATE(Liste!$C$3,$B$3107,$B$3277),Data!$BO:$BO,0)-2,23)&lt;&gt;"","Performance Level: "&amp;INDEX(Tab_DaBa[],MATCH(CONCATENATE(Liste!$C$3,$B$3107,$B$3277),Data!$BO:$BO,0)-2,25),"")),"")</f>
        <v>Performance Level: PL_Lo04_07</v>
      </c>
      <c r="G3282" s="39"/>
      <c r="H3282" s="35" t="str">
        <f ca="1">IFERROR(IF(AND(INDEX(Tab_DaBa[],MATCH(CONCATENATE(Liste!$C$3,$B$3107,$B$3277),Data!$BO:$BO,0)-2,23)&lt;&gt;"",INDEX(Tab_DaBa[],MATCH(CONCATENATE(Liste!$C$3,$B$3107,$B$3277),Data!$BO:$BO,0)-2,28)=""),"Performance Level: "&amp;INDEX(Tab_DaBa[],MATCH(CONCATENATE(Liste!$C$3,$B$3107,$B$3277),Data!$BO:$BO,0)-2,15),IF(INDEX(Tab_DaBa[],MATCH(CONCATENATE(Liste!$C$3,$B$3107,$B$3277),Data!$BO:$BO,0)-2,23)&lt;&gt;"","Performance Level: "&amp;INDEX(Tab_DaBa[],MATCH(CONCATENATE(Liste!$C$3,$B$3107,$B$3277),Data!$BO:$BO,0)-2,30),"")),"")</f>
        <v>Performance Level: PL_Lo04_07</v>
      </c>
      <c r="I3282" s="38"/>
    </row>
    <row r="3283" spans="2:9" s="16" customFormat="1" ht="15.75">
      <c r="B3283" s="53" t="str">
        <f ca="1">IFERROR("PFH [1/h] = "&amp;10^9*INDEX(Tab_DaBa[],MATCH(CONCATENATE(Liste!$C$3,$B$3107,$B$3277),Data!$BO:$BO,0)-2,11)&amp;"E-9","")</f>
        <v>PFH [1/h] = 42,9E-9</v>
      </c>
      <c r="C3283" s="54"/>
      <c r="D3283" s="35" t="str">
        <f ca="1">IFERROR(IF(INDEX(Tab_DaBa[],MATCH(CONCATENATE(Liste!$C$3,$B$3107,$B$3277),Data!$BO:$BO,0)-2,18)="","PFH [1/h] = "&amp;10^9*INDEX(Tab_DaBa[],MATCH(CONCATENATE(Liste!$C$3,$B$3107,$B$3277),Data!$BO:$BO,0)-2,16)&amp;"E-9","PFH [1/h] = "&amp;10^9*INDEX(Tab_DaBa[],MATCH(CONCATENATE(Liste!$C$3,$B$3107,$B$3277),Data!$BO:$BO,0)-2,21)&amp;"E-9"),"")</f>
        <v>PFH [1/h] = 4,19E-9</v>
      </c>
      <c r="E3283" s="36"/>
      <c r="F3283" s="35" t="str">
        <f ca="1">IFERROR(IF(AND(INDEX(Tab_DaBa[],MATCH(CONCATENATE(Liste!$C$3,$B$3107,$B$3277),Data!$BO:$BO,0)-2,18)&lt;&gt;"",INDEX(Tab_DaBa[],MATCH(CONCATENATE(Liste!$C$3,$B$3107,$B$3277),Data!$BO:$BO,0)-2,23)=""),"PFH [1/h] = "&amp;10^9*INDEX(Tab_DaBa[],MATCH(CONCATENATE(Liste!$C$3,$B$3107,$B$3277),Data!$BO:$BO,0)-2,16)&amp;"E-9",IF(INDEX(Tab_DaBa[],MATCH(CONCATENATE(Liste!$C$3,$B$3107,$B$3277),Data!$BO:$BO,0)-2,23)&lt;&gt;"","PFH [1/h] = "&amp;10^9*INDEX(Tab_DaBa[],MATCH(CONCATENATE(Liste!$C$3,$B$3107,$B$3277),Data!$BO:$BO,0)-2,26)&amp;"E-9","")),"")</f>
        <v>PFH [1/h] = 4,19E-9</v>
      </c>
      <c r="G3283" s="39"/>
      <c r="H3283" s="35" t="str">
        <f ca="1">IFERROR(IF(AND(INDEX(Tab_DaBa[],MATCH(CONCATENATE(Liste!$C$3,$B$3107,$B$3277),Data!$BO:$BO,0)-2,23)&lt;&gt;"",INDEX(Tab_DaBa[],MATCH(CONCATENATE(Liste!$C$3,$B$3107,$B$3277),Data!$BO:$BO,0)-2,28)=""),"PFH [1/h] = "&amp;10^9*INDEX(Tab_DaBa[],MATCH(CONCATENATE(Liste!$C$3,$B$3107,$B$3277),Data!$BO:$BO,0)-2,16)&amp;"E-9",IF(INDEX(Tab_DaBa[],MATCH(CONCATENATE(Liste!$C$3,$B$3107,$B$3277),Data!$BO:$BO,0)-2,23)&lt;&gt;"","PFH [1/h] = "&amp;10^9*INDEX(Tab_DaBa[],MATCH(CONCATENATE(Liste!$C$3,$B$3107,$B$3277),Data!$BO:$BO,0)-2,31)&amp;"E-9","")),"")</f>
        <v>PFH [1/h] = 4,19E-9</v>
      </c>
      <c r="I3283" s="39"/>
    </row>
    <row r="3284" spans="2:9" s="16" customFormat="1">
      <c r="B3284" s="33"/>
      <c r="C3284" s="34"/>
      <c r="D3284" s="33"/>
      <c r="E3284" s="33"/>
      <c r="F3284" s="33"/>
      <c r="G3284" s="33"/>
      <c r="H3284" s="33"/>
      <c r="I3284" s="33"/>
    </row>
    <row r="3285" spans="2:9" s="16" customFormat="1" ht="15.75">
      <c r="B3285" s="38">
        <f ca="1">IF(B3287="","",6)</f>
        <v>6</v>
      </c>
      <c r="C3285" s="34"/>
      <c r="D3285" s="38">
        <f ca="1">IF(B3287="","",3)</f>
        <v>3</v>
      </c>
      <c r="E3285" s="33"/>
      <c r="F3285" s="38">
        <f ca="1">IF(B3287="","",3)</f>
        <v>3</v>
      </c>
      <c r="G3285" s="33"/>
      <c r="H3285" s="38">
        <f ca="1">IF(B3287="","",3)</f>
        <v>3</v>
      </c>
      <c r="I3285" s="33"/>
    </row>
    <row r="3286" spans="2:9" s="16" customFormat="1" ht="15.75">
      <c r="B3286" s="39"/>
      <c r="C3286" s="33"/>
      <c r="D3286" s="33"/>
      <c r="E3286" s="33"/>
      <c r="F3286" s="33"/>
      <c r="G3286" s="33"/>
      <c r="H3286" s="33"/>
      <c r="I3286" s="33"/>
    </row>
    <row r="3287" spans="2:9" s="16" customFormat="1" ht="15.75">
      <c r="B3287" s="35" t="str">
        <f ca="1">IFERROR(IF(AND(INDEX(Tab_DaBa[],MATCH(CONCATENATE(Liste!$C$3,$B$3107,$B$3277),Data!$BO:$BO,0)-2,28)&lt;&gt;"",INDEX(Tab_DaBa[],MATCH(CONCATENATE(Liste!$C$3,$B$3107,$B$3277),Data!$BO:$BO,0)-2,33)=0),INDEX(Tab_DaBa[],MATCH(CONCATENATE(Liste!$C$3,$B$3107,$B$3277),Data!$BO:$BO,0)-2,14),IF(INDEX(Tab_DaBa[],MATCH(CONCATENATE(Liste!$C$3,$B$3107,$B$3277),Data!$BO:$BO,0)-2,28)&lt;&gt;"",INDEX(Tab_DaBa[],MATCH(CONCATENATE(Liste!$C$3,$B$3107,$B$3277),Data!$BO:$BO,0)-2,34),"")),"")</f>
        <v>Logik 04</v>
      </c>
      <c r="C3287" s="39"/>
      <c r="D3287" s="35" t="str">
        <f ca="1">IFERROR(IF(AND(INDEX(Tab_DaBa[],MATCH(CONCATENATE(Liste!$C$3,$B$3107,$B$3277),Data!$BO:$BO,0)-2,33)&lt;&gt;"",INDEX(Tab_DaBa[],MATCH(CONCATENATE(Liste!$C$3,$B$3107,$B$3277),Data!$BO:$BO,0)-2,38)=0),INDEX(Tab_DaBa[],MATCH(CONCATENATE(Liste!$C$3,$B$3107,$B$3277),Data!$BO:$BO,0)-2,14),IF(INDEX(Tab_DaBa[],MATCH(CONCATENATE(Liste!$C$3,$B$3107,$B$3277),Data!$BO:$BO,0)-2,33)&lt;&gt;"",INDEX(Tab_DaBa[],MATCH(CONCATENATE(Liste!$C$3,$B$3107,$B$3277),Data!$BO:$BO,0)-2,39),"")),"")</f>
        <v>Logik 05</v>
      </c>
      <c r="E3287" s="33"/>
      <c r="F3287" s="35" t="str">
        <f ca="1">IFERROR(IF(AND(INDEX(Tab_DaBa[],MATCH(CONCATENATE(Liste!$C$3,$B$3107,$B$3277),Data!$BO:$BO,0)-2,38)&lt;&gt;"",INDEX(Tab_DaBa[],MATCH(CONCATENATE(Liste!$C$3,$B$3107,$B$3277),Data!$BO:$BO,0)-2,43)=0),INDEX(Tab_DaBa[],MATCH(CONCATENATE(Liste!$C$3,$B$3107,$B$3277),Data!$BO:$BO,0)-2,14),IF(INDEX(Tab_DaBa[],MATCH(CONCATENATE(Liste!$C$3,$B$3107,$B$3277),Data!$BO:$BO,0)-2,38)&lt;&gt;"",INDEX(Tab_DaBa[],MATCH(CONCATENATE(Liste!$C$3,$B$3107,$B$3277),Data!$BO:$BO,0)-2,44),"")),"")</f>
        <v>Logik 06</v>
      </c>
      <c r="G3287" s="39"/>
      <c r="H3287" s="35" t="str">
        <f ca="1">IFERROR(IF(AND(INDEX(Tab_DaBa[],MATCH(CONCATENATE(Liste!$C$3,$B$3107,$B$3277),Data!$BO:$BO,0)-2,43)&lt;&gt;"",INDEX(Tab_DaBa[],MATCH(CONCATENATE(Liste!$C$3,$B$3107,$B$3277),Data!$BO:$BO,0)-2,48)=0),INDEX(Tab_DaBa[],MATCH(CONCATENATE(Liste!$C$3,$B$3107,$B$3277),Data!$BO:$BO,0)-2,14),IF(INDEX(Tab_DaBa[],MATCH(CONCATENATE(Liste!$C$3,$B$3107,$B$3277),Data!$BO:$BO,0)-2,43)&lt;&gt;"",INDEX(Tab_DaBa[],MATCH(CONCATENATE(Liste!$C$3,$B$3107,$B$3277),Data!$BO:$BO,0)-2,49),"")),"")</f>
        <v>Logik 07</v>
      </c>
      <c r="I3287" s="39"/>
    </row>
    <row r="3288" spans="2:9" s="16" customFormat="1" ht="15.75">
      <c r="B3288" s="35" t="str">
        <f ca="1">IFERROR(IF(AND(INDEX(Tab_DaBa[],MATCH(CONCATENATE(Liste!$C$3,$B$3107,$B$3277),Data!$BO:$BO,0)-2,28)&lt;&gt;"",INDEX(Tab_DaBa[],MATCH(CONCATENATE(Liste!$C$3,$B$3107,$B$3277),Data!$BO:$BO,0)-2,33)=0),INDEX(Tab_DaBa[],MATCH(CONCATENATE(Liste!$C$3,$B$3107,$B$3277),Data!$BO:$BO,0)-2,12),IF(INDEX(Tab_DaBa[],MATCH(CONCATENATE(Liste!$C$3,$B$3107,$B$3277),Data!$BO:$BO,0)-2,28)&lt;&gt;"",INDEX(Tab_DaBa[],MATCH(CONCATENATE(Liste!$C$3,$B$3107,$B$3277),Data!$BO:$BO,0)-2,32),"")),"")</f>
        <v>Lo04-44_07</v>
      </c>
      <c r="C3288" s="39"/>
      <c r="D3288" s="35" t="str">
        <f ca="1">IFERROR(IF(AND(INDEX(Tab_DaBa[],MATCH(CONCATENATE(Liste!$C$3,$B$3107,$B$3277),Data!$BO:$BO,0)-2,33)&lt;&gt;"",INDEX(Tab_DaBa[],MATCH(CONCATENATE(Liste!$C$3,$B$3107,$B$3277),Data!$BO:$BO,0)-2,38)=0),INDEX(Tab_DaBa[],MATCH(CONCATENATE(Liste!$C$3,$B$3107,$B$3277),Data!$BO:$BO,0)-2,12),IF(INDEX(Tab_DaBa[],MATCH(CONCATENATE(Liste!$C$3,$B$3107,$B$3277),Data!$BO:$BO,0)-2,33)&lt;&gt;"",INDEX(Tab_DaBa[],MATCH(CONCATENATE(Liste!$C$3,$B$3107,$B$3277),Data!$BO:$BO,0)-2,37),"")),"")</f>
        <v>Lo04-44_07</v>
      </c>
      <c r="E3288" s="37"/>
      <c r="F3288" s="35" t="str">
        <f ca="1">IFERROR(IF(AND(INDEX(Tab_DaBa[],MATCH(CONCATENATE(Liste!$C$3,$B$3107,$B$3277),Data!$BO:$BO,0)-2,38)&lt;&gt;"",INDEX(Tab_DaBa[],MATCH(CONCATENATE(Liste!$C$3,$B$3107,$B$3277),Data!$BO:$BO,0)-2,43)=0),INDEX(Tab_DaBa[],MATCH(CONCATENATE(Liste!$C$3,$B$3107,$B$3277),Data!$BO:$BO,0)-2,12),IF(INDEX(Tab_DaBa[],MATCH(CONCATENATE(Liste!$C$3,$B$3107,$B$3277),Data!$BO:$BO,0)-2,38)&lt;&gt;"",INDEX(Tab_DaBa[],MATCH(CONCATENATE(Liste!$C$3,$B$3107,$B$3277),Data!$BO:$BO,0)-2,42),"")),"")</f>
        <v>Lo03-33_07</v>
      </c>
      <c r="G3288" s="39"/>
      <c r="H3288" s="35" t="str">
        <f ca="1">IFERROR(IF(AND(INDEX(Tab_DaBa[],MATCH(CONCATENATE(Liste!$C$3,$B$3107,$B$3277),Data!$BO:$BO,0)-2,43)&lt;&gt;"",INDEX(Tab_DaBa[],MATCH(CONCATENATE(Liste!$C$3,$B$3107,$B$3277),Data!$BO:$BO,0)-2,48)=0),INDEX(Tab_DaBa[],MATCH(CONCATENATE(Liste!$C$3,$B$3107,$B$3277),Data!$BO:$BO,0)-2,12),IF(INDEX(Tab_DaBa[],MATCH(CONCATENATE(Liste!$C$3,$B$3107,$B$3277),Data!$BO:$BO,0)-2,43)&lt;&gt;"",INDEX(Tab_DaBa[],MATCH(CONCATENATE(Liste!$C$3,$B$3107,$B$3277),Data!$BO:$BO,0)-2,47),"")),"")</f>
        <v>Lo03-33_07</v>
      </c>
      <c r="I3288" s="39"/>
    </row>
    <row r="3289" spans="2:9" s="16" customFormat="1" ht="15.75">
      <c r="B3289" s="35" t="str">
        <f ca="1">IFERROR(IF(AND(INDEX(Tab_DaBa[],MATCH(CONCATENATE(Liste!$C$3,$B$3107,$B$3277),Data!$BO:$BO,0)-2,28)&lt;&gt;"",INDEX(Tab_DaBa[],MATCH(CONCATENATE(Liste!$C$3,$B$3107,$B$3277),Data!$BO:$BO,0)-2,33)=""),INDEX(Tab_DaBa[],MATCH(CONCATENATE(Liste!$C$3,$B$3107,$B$3277),Data!$BO:$BO,0)-2,13),IF(INDEX(Tab_DaBa[],MATCH(CONCATENATE(Liste!$C$3,$B$3107,$B$3277),Data!$BO:$BO,0)-2,28)&lt;&gt;"",INDEX(Tab_DaBa[],MATCH(CONCATENATE(Liste!$C$3,$B$3107,$B$3277),Data!$BO:$BO,0)-2,33),"")),"")</f>
        <v>Bez_Lo04_07</v>
      </c>
      <c r="C3289" s="38">
        <f ca="1">IF(D3287="","",4)</f>
        <v>4</v>
      </c>
      <c r="D3289" s="35" t="str">
        <f ca="1">IFERROR(IF(AND(INDEX(Tab_DaBa[],MATCH(CONCATENATE(Liste!$C$3,$B$3107,$B$3277),Data!$BO:$BO,0)-2,33)&lt;&gt;"",INDEX(Tab_DaBa[],MATCH(CONCATENATE(Liste!$C$3,$B$3107,$B$3277),Data!$BO:$BO,0)-2,38)=""),INDEX(Tab_DaBa[],MATCH(CONCATENATE(Liste!$C$3,$B$3107,$B$3277),Data!$BO:$BO,0)-2,13),IF(INDEX(Tab_DaBa[],MATCH(CONCATENATE(Liste!$C$3,$B$3107,$B$3277),Data!$BO:$BO,0)-2,33)&lt;&gt;"",INDEX(Tab_DaBa[],MATCH(CONCATENATE(Liste!$C$3,$B$3107,$B$3277),Data!$BO:$BO,0)-2,38),"")),"")</f>
        <v>Bez_Lo03_07</v>
      </c>
      <c r="E3289" s="38">
        <f ca="1">IF(F3287="","",4)</f>
        <v>4</v>
      </c>
      <c r="F3289" s="35" t="str">
        <f ca="1">IFERROR(IF(AND(INDEX(Tab_DaBa[],MATCH(CONCATENATE(Liste!$C$3,$B$3107,$B$3277),Data!$BO:$BO,0)-2,38)&lt;&gt;"",INDEX(Tab_DaBa[],MATCH(CONCATENATE(Liste!$C$3,$B$3107,$B$3277),Data!$BO:$BO,0)-2,43)=""),INDEX(Tab_DaBa[],MATCH(CONCATENATE(Liste!$C$3,$B$3107,$B$3277),Data!$BO:$BO,0)-2,13),IF(INDEX(Tab_DaBa[],MATCH(CONCATENATE(Liste!$C$3,$B$3107,$B$3277),Data!$BO:$BO,0)-2,38)&lt;&gt;"",INDEX(Tab_DaBa[],MATCH(CONCATENATE(Liste!$C$3,$B$3107,$B$3277),Data!$BO:$BO,0)-2,43),"")),"")</f>
        <v>Bez_Lo03_07</v>
      </c>
      <c r="G3289" s="38">
        <f ca="1">IF(H3287="","",4)</f>
        <v>4</v>
      </c>
      <c r="H3289" s="35" t="str">
        <f ca="1">IFERROR(IF(AND(INDEX(Tab_DaBa[],MATCH(CONCATENATE(Liste!$C$3,$B$3107,$B$3277),Data!$BO:$BO,0)-2,43)&lt;&gt;"",INDEX(Tab_DaBa[],MATCH(CONCATENATE(Liste!$C$3,$B$3107,$B$3277),Data!$BO:$BO,0)-2,48)=""),INDEX(Tab_DaBa[],MATCH(CONCATENATE(Liste!$C$3,$B$3107,$B$3277),Data!$BO:$BO,0)-2,13),IF(INDEX(Tab_DaBa[],MATCH(CONCATENATE(Liste!$C$3,$B$3107,$B$3277),Data!$BO:$BO,0)-2,43)&lt;&gt;"",INDEX(Tab_DaBa[],MATCH(CONCATENATE(Liste!$C$3,$B$3107,$B$3277),Data!$BO:$BO,0)-2,48),"")),"")</f>
        <v>Bez_Lo03_07</v>
      </c>
      <c r="I3289" s="38">
        <f ca="1">IF(B3295="","",6)</f>
        <v>6</v>
      </c>
    </row>
    <row r="3290" spans="2:9" s="16" customFormat="1" ht="15.75">
      <c r="B3290" s="35" t="str">
        <f ca="1">IFERROR(IF(AND(INDEX(Tab_DaBa[],MATCH(CONCATENATE(Liste!$C$3,$B$3107,$B$3277),Data!$BO:$BO,0)-2,28)&lt;&gt;"",INDEX(Tab_DaBa[],MATCH(CONCATENATE(Liste!$C$3,$B$3107,$B$3277),Data!$BO:$BO,0)-2,33)=""),"Performance Level: "&amp;INDEX(Tab_DaBa[],MATCH(CONCATENATE(Liste!$C$3,$B$3107,$B$3277),Data!$BO:$BO,0)-2,15),IF(INDEX(Tab_DaBa[],MATCH(CONCATENATE(Liste!$C$3,$B$3107,$B$3277),Data!$BO:$BO,0)-2,28)&lt;&gt;"","Performance Level: "&amp;INDEX(Tab_DaBa[],MATCH(CONCATENATE(Liste!$C$3,$B$3107,$B$3277),Data!$BO:$BO,0)-2,35),"")),"")</f>
        <v>Performance Level: PL_Lo04_07</v>
      </c>
      <c r="C3290" s="39"/>
      <c r="D3290" s="35" t="str">
        <f ca="1">IFERROR(IF(AND(INDEX(Tab_DaBa[],MATCH(CONCATENATE(Liste!$C$3,$B$3107,$B$3277),Data!$BO:$BO,0)-2,33)&lt;&gt;"",INDEX(Tab_DaBa[],MATCH(CONCATENATE(Liste!$C$3,$B$3107,$B$3277),Data!$BO:$BO,0)-2,38)=""),"Performance Level: "&amp;INDEX(Tab_DaBa[],MATCH(CONCATENATE(Liste!$C$3,$B$3107,$B$3277),Data!$BO:$BO,0)-2,15),IF(INDEX(Tab_DaBa[],MATCH(CONCATENATE(Liste!$C$3,$B$3107,$B$3277),Data!$BO:$BO,0)-2,33)&lt;&gt;"","Performance Level: "&amp;INDEX(Tab_DaBa[],MATCH(CONCATENATE(Liste!$C$3,$B$3107,$B$3277),Data!$BO:$BO,0)-2,40),"")),"")</f>
        <v>Performance Level: PL_Lo03_7</v>
      </c>
      <c r="E3290" s="37"/>
      <c r="F3290" s="35" t="str">
        <f ca="1">IFERROR(IF(AND(INDEX(Tab_DaBa[],MATCH(CONCATENATE(Liste!$C$3,$B$3107,$B$3277),Data!$BO:$BO,0)-2,38)&lt;&gt;"",INDEX(Tab_DaBa[],MATCH(CONCATENATE(Liste!$C$3,$B$3107,$B$3277),Data!$BO:$BO,0)-2,43)=""),"Performance Level: "&amp;INDEX(Tab_DaBa[],MATCH(CONCATENATE(Liste!$C$3,$B$3107,$B$3277),Data!$BO:$BO,0)-2,15),IF(INDEX(Tab_DaBa[],MATCH(CONCATENATE(Liste!$C$3,$B$3107,$B$3277),Data!$BO:$BO,0)-2,38)&lt;&gt;"","Performance Level: "&amp;INDEX(Tab_DaBa[],MATCH(CONCATENATE(Liste!$C$3,$B$3107,$B$3277),Data!$BO:$BO,0)-2,45),"")),"")</f>
        <v>Performance Level: PL_Lo03_07</v>
      </c>
      <c r="G3290" s="39"/>
      <c r="H3290" s="35" t="str">
        <f ca="1">IFERROR(IF(AND(INDEX(Tab_DaBa[],MATCH(CONCATENATE(Liste!$C$3,$B$3107,$B$3277),Data!$BO:$BO,0)-2,43)&lt;&gt;"",INDEX(Tab_DaBa[],MATCH(CONCATENATE(Liste!$C$3,$B$3107,$B$3277),Data!$BO:$BO,0)-2,48)=""),"Performance Level: "&amp;INDEX(Tab_DaBa[],MATCH(CONCATENATE(Liste!$C$3,$B$3107,$B$3277),Data!$BO:$BO,0)-2,15),IF(INDEX(Tab_DaBa[],MATCH(CONCATENATE(Liste!$C$3,$B$3107,$B$3277),Data!$BO:$BO,0)-2,43)&lt;&gt;"","Performance Level: "&amp;INDEX(Tab_DaBa[],MATCH(CONCATENATE(Liste!$C$3,$B$3107,$B$3277),Data!$BO:$BO,0)-2,50),"")),"")</f>
        <v>Performance Level: PL_Lo03_07</v>
      </c>
      <c r="I3290" s="39"/>
    </row>
    <row r="3291" spans="2:9" s="16" customFormat="1" ht="15.75">
      <c r="B3291" s="35" t="str">
        <f ca="1">IFERROR(IF(AND(INDEX(Tab_DaBa[],MATCH(CONCATENATE(Liste!$C$3,$B$3107,$B$3277),Data!$BO:$BO,0)-2,28)&lt;&gt;"",INDEX(Tab_DaBa[],MATCH(CONCATENATE(Liste!$C$3,$B$3107,$B$3277),Data!$BO:$BO,0)-2,33)=""),"PFH [1/h] = "&amp;10^9*INDEX(Tab_DaBa[],MATCH(CONCATENATE(Liste!$C$3,$B$3107,$B$3277),Data!$BO:$BO,0)-2,16)&amp;"E-9",IF(INDEX(Tab_DaBa[],MATCH(CONCATENATE(Liste!$C$3,$B$3107,$B$3277),Data!$BO:$BO,0)-2,28)&lt;&gt;"","PFH [1/h] = "&amp;10^9*INDEX(Tab_DaBa[],MATCH(CONCATENATE(Liste!$C$3,$B$3107,$B$3277),Data!$BO:$BO,0)-2,36)&amp;"E-9","")),"")</f>
        <v>PFH [1/h] = 4,19E-9</v>
      </c>
      <c r="C3291" s="39"/>
      <c r="D3291" s="35" t="str">
        <f ca="1">IFERROR(IF(AND(INDEX(Tab_DaBa[],MATCH(CONCATENATE(Liste!$C$3,$B$3107,$B$3277),Data!$BO:$BO,0)-2,33)&lt;&gt;"",INDEX(Tab_DaBa[],MATCH(CONCATENATE(Liste!$C$3,$B$3107,$B$3277),Data!$BO:$BO,0)-2,38)=""),"PFH [1/h] = "&amp;10^9*INDEX(Tab_DaBa[],MATCH(CONCATENATE(Liste!$C$3,$B$3107,$B$3277),Data!$BO:$BO,0)-2,16)&amp;"E-9",IF(INDEX(Tab_DaBa[],MATCH(CONCATENATE(Liste!$C$3,$B$3107,$B$3277),Data!$BO:$BO,0)-2,33)&lt;&gt;"","PFH [1/h] = "&amp;10^9*INDEX(Tab_DaBa[],MATCH(CONCATENATE(Liste!$C$3,$B$3107,$B$3277),Data!$BO:$BO,0)-2,41)&amp;"E-9","")),"")</f>
        <v>PFH [1/h] = 4,19E-9</v>
      </c>
      <c r="E3291" s="37"/>
      <c r="F3291" s="35" t="str">
        <f ca="1">IFERROR(IF(AND(INDEX(Tab_DaBa[],MATCH(CONCATENATE(Liste!$C$3,$B$3107,$B$3277),Data!$BO:$BO,0)-2,38)&lt;&gt;"",INDEX(Tab_DaBa[],MATCH(CONCATENATE(Liste!$C$3,$B$3107,$B$3277),Data!$BO:$BO,0)-2,43)=""),"PFH [1/h] = "&amp;10^9*INDEX(Tab_DaBa[],MATCH(CONCATENATE(Liste!$C$3,$B$3107,$B$3277),Data!$BO:$BO,0)-2,16)&amp;"E-9",IF(INDEX(Tab_DaBa[],MATCH(CONCATENATE(Liste!$C$3,$B$3107,$B$3277),Data!$BO:$BO,0)-2,38)&lt;&gt;"","PFH [1/h] = "&amp;10^9*INDEX(Tab_DaBa[],MATCH(CONCATENATE(Liste!$C$3,$B$3107,$B$3277),Data!$BO:$BO,0)-2,46)&amp;"E-9","")),"")</f>
        <v>PFH [1/h] = 4,19E-9</v>
      </c>
      <c r="G3291" s="39"/>
      <c r="H3291" s="35" t="str">
        <f ca="1">IFERROR(IF(AND(INDEX(Tab_DaBa[],MATCH(CONCATENATE(Liste!$C$3,$B$3107,$B$3277),Data!$BO:$BO,0)-2,43)&lt;&gt;"",INDEX(Tab_DaBa[],MATCH(CONCATENATE(Liste!$C$3,$B$3107,$B$3277),Data!$BO:$BO,0)-2,48)=""),"PFH [1/h] = "&amp;10^9*INDEX(Tab_DaBa[],MATCH(CONCATENATE(Liste!$C$3,$B$3107,$B$3277),Data!$BO:$BO,0)-2,16)&amp;"E-9",IF(INDEX(Tab_DaBa[],MATCH(CONCATENATE(Liste!$C$3,$B$3107,$B$3277),Data!$BO:$BO,0)-2,43)&lt;&gt;"","PFH [1/h] = "&amp;10^9*INDEX(Tab_DaBa[],MATCH(CONCATENATE(Liste!$C$3,$B$3107,$B$3277),Data!$BO:$BO,0)-2,51)&amp;"E-9","")),"")</f>
        <v>PFH [1/h] = 4,19E-9</v>
      </c>
      <c r="I3291" s="39"/>
    </row>
    <row r="3292" spans="2:9" s="16" customFormat="1">
      <c r="B3292" s="33"/>
      <c r="C3292" s="33"/>
      <c r="D3292" s="33"/>
      <c r="E3292" s="33"/>
      <c r="F3292" s="33"/>
      <c r="G3292" s="33"/>
      <c r="H3292" s="33"/>
      <c r="I3292" s="33"/>
    </row>
    <row r="3293" spans="2:9" s="16" customFormat="1" ht="15.75">
      <c r="B3293" s="38">
        <f ca="1">IF(B3295="","",6)</f>
        <v>6</v>
      </c>
      <c r="C3293" s="33"/>
      <c r="D3293" s="38">
        <f ca="1">IF(B3295="","",3)</f>
        <v>3</v>
      </c>
      <c r="E3293" s="33"/>
      <c r="F3293" s="38">
        <f ca="1">IF(B3295="","",3)</f>
        <v>3</v>
      </c>
      <c r="G3293" s="33"/>
      <c r="H3293" s="38">
        <f ca="1">IF(B3295="","",3)</f>
        <v>3</v>
      </c>
      <c r="I3293" s="33"/>
    </row>
    <row r="3294" spans="2:9" s="16" customFormat="1" ht="15.75">
      <c r="B3294" s="39"/>
      <c r="C3294" s="33"/>
      <c r="D3294" s="33"/>
      <c r="E3294" s="33"/>
      <c r="F3294" s="33"/>
      <c r="G3294" s="33"/>
      <c r="H3294" s="33"/>
      <c r="I3294" s="33"/>
    </row>
    <row r="3295" spans="2:9" s="16" customFormat="1" ht="15.75">
      <c r="B3295" s="35" t="str">
        <f ca="1">IFERROR(IF(AND(INDEX(Tab_DaBa[],MATCH(CONCATENATE(Liste!$C$3,$B$3107,$B$3277),Data!$BO:$BO,0)-2,48)&lt;&gt;"",INDEX(Tab_DaBa[],MATCH(CONCATENATE(Liste!$C$3,$B$3107,$B$3277),Data!$BO:$BO,0)-2,53)=0),INDEX(Tab_DaBa[],MATCH(CONCATENATE(Liste!$C$3,$B$3107,$B$3277),Data!$BO:$BO,0)-2,14),IF(INDEX(Tab_DaBa[],MATCH(CONCATENATE(Liste!$C$3,$B$3107,$B$3277),Data!$BO:$BO,0)-2,48)&lt;&gt;"",INDEX(Tab_DaBa[],MATCH(CONCATENATE(Liste!$C$3,$B$3107,$B$3277),Data!$BO:$BO,0)-2,54),"")),"")</f>
        <v>Ausgang</v>
      </c>
      <c r="C3295" s="39"/>
      <c r="D3295" s="35" t="str">
        <f ca="1">IFERROR(IF(AND(INDEX(Tab_DaBa[],MATCH(CONCATENATE(Liste!$C$3,$B$3107,$B$3277),Data!$BO:$BO,0)-2,53)&lt;&gt;"",INDEX(Tab_DaBa[],MATCH(CONCATENATE(Liste!$C$3,$B$3107,$B$3277),Data!$BO:$BO,0)-2,58)=0),INDEX(Tab_DaBa[],MATCH(CONCATENATE(Liste!$C$3,$B$3107,$B$3277),Data!$BO:$BO,0)-2,14),IF(INDEX(Tab_DaBa[],MATCH(CONCATENATE(Liste!$C$3,$B$3107,$B$3277),Data!$BO:$BO,0)-2,53)&lt;&gt;"",INDEX(Tab_DaBa[],MATCH(CONCATENATE(Liste!$C$3,$B$3107,$B$3277),Data!$BO:$BO,0)-2,59),"")),"")</f>
        <v/>
      </c>
      <c r="E3295" s="33"/>
      <c r="F3295" s="35" t="str">
        <f ca="1">IFERROR(IF(AND(INDEX(Tab_DaBa[],MATCH(CONCATENATE(Liste!$C$3,$B$3107,$B$3277),Data!$BO:$BO,0)-2,58)&lt;&gt;"",INDEX(Tab_DaBa[],MATCH(CONCATENATE(Liste!$C$3,$B$3107,$B$3277),Data!$BO:$BO,0)-2,63)=0),INDEX(Tab_DaBa[],MATCH(CONCATENATE(Liste!$C$3,$B$3107,$B$3277),Data!$BO:$BO,0)-2,14),IF(INDEX(Tab_DaBa[],MATCH(CONCATENATE(Liste!$C$3,$B$3107,$B$3277),Data!$BO:$BO,0)-2,58)&lt;&gt;"",INDEX(Tab_DaBa[],MATCH(CONCATENATE(Liste!$C$3,$B$3107,$B$3277),Data!$BO:$BO,0)-2,64),"")),"")</f>
        <v/>
      </c>
      <c r="G3295" s="39"/>
      <c r="H3295" s="35" t="str">
        <f ca="1">IFERROR(IF(INDEX(Tab_DaBa[],MATCH(CONCATENATE(Liste!$C$3,$B$3107,$B$3277),Data!$BO:$BO,0)-2,63)&lt;&gt;"",INDEX(Tab_DaBa[],MATCH(CONCATENATE(Liste!$C$3,$B$3107,$B$3277),Data!$BO:$BO,0)-2,14),""),"")</f>
        <v/>
      </c>
    </row>
    <row r="3296" spans="2:9" s="16" customFormat="1" ht="15.75">
      <c r="B3296" s="35" t="str">
        <f ca="1">IFERROR(IF(AND(INDEX(Tab_DaBa[],MATCH(CONCATENATE(Liste!$C$3,$B$3107,$B$3277),Data!$BO:$BO,0)-2,48)&lt;&gt;"",INDEX(Tab_DaBa[],MATCH(CONCATENATE(Liste!$C$3,$B$3107,$B$3277),Data!$BO:$BO,0)-2,53)=0),INDEX(Tab_DaBa[],MATCH(CONCATENATE(Liste!$C$3,$B$3107,$B$3277),Data!$BO:$BO,0)-2,12),IF(INDEX(Tab_DaBa[],MATCH(CONCATENATE(Liste!$C$3,$B$3107,$B$3277),Data!$BO:$BO,0)-2,48)&lt;&gt;"",INDEX(Tab_DaBa[],MATCH(CONCATENATE(Liste!$C$3,$B$3107,$B$3277),Data!$BO:$BO,0)-2,52),"")),"")</f>
        <v>aaaa-44_7</v>
      </c>
      <c r="C3296" s="39"/>
      <c r="D3296" s="35" t="str">
        <f ca="1">IFERROR(IF(AND(INDEX(Tab_DaBa[],MATCH(CONCATENATE(Liste!$C$3,$B$3107,$B$3277),Data!$BO:$BO,0)-2,53)&lt;&gt;"",INDEX(Tab_DaBa[],MATCH(CONCATENATE(Liste!$C$3,$B$3107,$B$3277),Data!$BO:$BO,0)-2,58)=0),INDEX(Tab_DaBa[],MATCH(CONCATENATE(Liste!$C$3,$B$3107,$B$3277),Data!$BO:$BO,0)-2,12),IF(INDEX(Tab_DaBa[],MATCH(CONCATENATE(Liste!$C$3,$B$3107,$B$3277),Data!$BO:$BO,0)-2,53)&lt;&gt;"",INDEX(Tab_DaBa[],MATCH(CONCATENATE(Liste!$C$3,$B$3107,$B$3277),Data!$BO:$BO,0)-2,57),"")),"")</f>
        <v/>
      </c>
      <c r="E3296" s="37"/>
      <c r="F3296" s="35" t="str">
        <f ca="1">IFERROR(IF(AND(INDEX(Tab_DaBa[],MATCH(CONCATENATE(Liste!$C$3,$B$3107,$B$3277),Data!$BO:$BO,0)-2,58)&lt;&gt;"",INDEX(Tab_DaBa[],MATCH(CONCATENATE(Liste!$C$3,$B$3107,$B$3277),Data!$BO:$BO,0)-2,63)=0),INDEX(Tab_DaBa[],MATCH(CONCATENATE(Liste!$C$3,$B$3107,$B$3277),Data!$BO:$BO,0)-2,12),IF(INDEX(Tab_DaBa[],MATCH(CONCATENATE(Liste!$C$3,$B$3107,$B$3277),Data!$BO:$BO,0)-2,58)&lt;&gt;"",INDEX(Tab_DaBa[],MATCH(CONCATENATE(Liste!$C$3,$B$3107,$B$3277),Data!$BO:$BO,0)-2,62),"")),"")</f>
        <v/>
      </c>
      <c r="G3296" s="39"/>
      <c r="H3296" s="35" t="str">
        <f ca="1">IFERROR(IF(INDEX(Tab_DaBa[],MATCH(CONCATENATE(Liste!$C$3,$B$3107,$B$3277),Data!$BO:$BO,0)-2,63)&lt;&gt;"",INDEX(Tab_DaBa[],MATCH(CONCATENATE(Liste!$C$3,$B$3107,$B$3277),Data!$BO:$BO,0)-2,12),""),"")</f>
        <v/>
      </c>
    </row>
    <row r="3297" spans="2:9" s="16" customFormat="1" ht="15.75">
      <c r="B3297" s="35" t="str">
        <f ca="1">IFERROR(IF(AND(INDEX(Tab_DaBa[],MATCH(CONCATENATE(Liste!$C$3,$B$3107,$B$3277),Data!$BO:$BO,0)-2,48)&lt;&gt;"",INDEX(Tab_DaBa[],MATCH(CONCATENATE(Liste!$C$3,$B$3107,$B$3277),Data!$BO:$BO,0)-2,53)=""),INDEX(Tab_DaBa[],MATCH(CONCATENATE(Liste!$C$3,$B$3107,$B$3277),Data!$BO:$BO,0)-2,13),IF(INDEX(Tab_DaBa[],MATCH(CONCATENATE(Liste!$C$3,$B$3107,$B$3277),Data!$BO:$BO,0)-2,48)&lt;&gt;"",INDEX(Tab_DaBa[],MATCH(CONCATENATE(Liste!$C$3,$B$3107,$B$3277),Data!$BO:$BO,0)-2,53),"")),"")</f>
        <v>Bez_Aus4_7</v>
      </c>
      <c r="C3297" s="38" t="str">
        <f ca="1">IF(D3295="","",4)</f>
        <v/>
      </c>
      <c r="D3297" s="35" t="str">
        <f ca="1">IFERROR(IF(AND(INDEX(Tab_DaBa[],MATCH(CONCATENATE(Liste!$C$3,$B$3107,$B$3277),Data!$BO:$BO,0)-2,53)&lt;&gt;"",INDEX(Tab_DaBa[],MATCH(CONCATENATE(Liste!$C$3,$B$3107,$B$3277),Data!$BO:$BO,0)-2,58)=""),INDEX(Tab_DaBa[],MATCH(CONCATENATE(Liste!$C$3,$B$3107,$B$3277),Data!$BO:$BO,0)-2,13),IF(INDEX(Tab_DaBa[],MATCH(CONCATENATE(Liste!$C$3,$B$3107,$B$3277),Data!$BO:$BO,0)-2,53)&lt;&gt;"",INDEX(Tab_DaBa[],MATCH(CONCATENATE(Liste!$C$3,$B$3107,$B$3277),Data!$BO:$BO,0)-2,58),"")),"")</f>
        <v/>
      </c>
      <c r="E3297" s="38" t="str">
        <f ca="1">IF(F3295="","",4)</f>
        <v/>
      </c>
      <c r="F3297" s="35" t="str">
        <f ca="1">IFERROR(IF(AND(INDEX(Tab_DaBa[],MATCH(CONCATENATE(Liste!$C$3,$B$3107,$B$3277),Data!$BO:$BO,0)-2,58)&lt;&gt;"",INDEX(Tab_DaBa[],MATCH(CONCATENATE(Liste!$C$3,$B$3107,$B$3277),Data!$BO:$BO,0)-2,63)=""),INDEX(Tab_DaBa[],MATCH(CONCATENATE(Liste!$C$3,$B$3107,$B$3277),Data!$BO:$BO,0)-2,13),IF(INDEX(Tab_DaBa[],MATCH(CONCATENATE(Liste!$C$3,$B$3107,$B$3277),Data!$BO:$BO,0)-2,58)&lt;&gt;"",INDEX(Tab_DaBa[],MATCH(CONCATENATE(Liste!$C$3,$B$3107,$B$3277),Data!$BO:$BO,0)-2,63),"")),"")</f>
        <v/>
      </c>
      <c r="G3297" s="38" t="str">
        <f ca="1">IF(H3295="","",4)</f>
        <v/>
      </c>
      <c r="H3297" s="35" t="str">
        <f ca="1">IFERROR(IF(INDEX(Tab_DaBa[],MATCH(CONCATENATE(Liste!$C$3,$B$3107,$B$3277),Data!$BO:$BO,0)-2,63)&lt;&gt;"",INDEX(Tab_DaBa[],MATCH(CONCATENATE(Liste!$C$3,$B$3107,$B$3277),Data!$BO:$BO,0)-2,13),""),"")</f>
        <v/>
      </c>
    </row>
    <row r="3298" spans="2:9" s="16" customFormat="1" ht="15.75">
      <c r="B3298" s="35" t="str">
        <f ca="1">IFERROR(IF(AND(INDEX(Tab_DaBa[],MATCH(CONCATENATE(Liste!$C$3,$B$3107,$B$3277),Data!$BO:$BO,0)-2,48)&lt;&gt;"",INDEX(Tab_DaBa[],MATCH(CONCATENATE(Liste!$C$3,$B$3107,$B$3277),Data!$BO:$BO,0)-2,53)=""),"Performance Level: "&amp;INDEX(Tab_DaBa[],MATCH(CONCATENATE(Liste!$C$3,$B$3107,$B$3277),Data!$BO:$BO,0)-2,15),IF(INDEX(Tab_DaBa[],MATCH(CONCATENATE(Liste!$C$3,$B$3107,$B$3277),Data!$BO:$BO,0)-2,48)&lt;&gt;"","Performance Level: "&amp;INDEX(Tab_DaBa[],MATCH(CONCATENATE(Liste!$C$3,$B$3107,$B$3277),Data!$BO:$BO,0)-2,55),"")),"")</f>
        <v>Performance Level: PL_Aus4_7</v>
      </c>
      <c r="C3298" s="39"/>
      <c r="D3298" s="35" t="str">
        <f ca="1">IFERROR(IF(AND(INDEX(Tab_DaBa[],MATCH(CONCATENATE(Liste!$C$3,$B$3107,$B$3277),Data!$BO:$BO,0)-2,53)&lt;&gt;"",INDEX(Tab_DaBa[],MATCH(CONCATENATE(Liste!$C$3,$B$3107,$B$3277),Data!$BO:$BO,0)-2,58)=""),"Performance Level: "&amp;INDEX(Tab_DaBa[],MATCH(CONCATENATE(Liste!$C$3,$B$3107,$B$3277),Data!$BO:$BO,0)-2,15),IF(INDEX(Tab_DaBa[],MATCH(CONCATENATE(Liste!$C$3,$B$3107,$B$3277),Data!$BO:$BO,0)-2,53)&lt;&gt;"","Performance Level: "&amp;INDEX(Tab_DaBa[],MATCH(CONCATENATE(Liste!$C$3,$B$3107,$B$3277),Data!$BO:$BO,0)-2,60),"")),"")</f>
        <v/>
      </c>
      <c r="E3298" s="37"/>
      <c r="F3298" s="35" t="str">
        <f ca="1">IFERROR(IF(AND(INDEX(Tab_DaBa[],MATCH(CONCATENATE(Liste!$C$3,$B$3107,$B$3277),Data!$BO:$BO,0)-2,58)&lt;&gt;"",INDEX(Tab_DaBa[],MATCH(CONCATENATE(Liste!$C$3,$B$3107,$B$3277),Data!$BO:$BO,0)-2,63)=""),"Performance Level: "&amp;INDEX(Tab_DaBa[],MATCH(CONCATENATE(Liste!$C$3,$B$3107,$B$3277),Data!$BO:$BO,0)-2,15),IF(INDEX(Tab_DaBa[],MATCH(CONCATENATE(Liste!$C$3,$B$3107,$B$3277),Data!$BO:$BO,0)-2,58)&lt;&gt;"","Performance Level: "&amp;INDEX(Tab_DaBa[],MATCH(CONCATENATE(Liste!$C$3,$B$3107,$B$3277),Data!$BO:$BO,0)-2,65),"")),"")</f>
        <v/>
      </c>
      <c r="G3298" s="39"/>
      <c r="H3298" s="35" t="str">
        <f ca="1">IFERROR(IF(INDEX(Tab_DaBa[],MATCH(CONCATENATE(Liste!$C$3,$B$3107,$B$3277),Data!$BO:$BO,0)-2,63)&lt;&gt;"","Performance Level: "&amp;INDEX(Tab_DaBa[],MATCH(CONCATENATE(Liste!$C$3,$B$3107,$B$3277),Data!$BO:$BO,0)-2,15),""),"")</f>
        <v/>
      </c>
    </row>
    <row r="3299" spans="2:9" s="16" customFormat="1" ht="15.75">
      <c r="B3299" s="35" t="str">
        <f ca="1">IFERROR(IF(AND(INDEX(Tab_DaBa[],MATCH(CONCATENATE(Liste!$C$3,$B$3107,$B$3277),Data!$BO:$BO,0)-2,48)&lt;&gt;"",INDEX(Tab_DaBa[],MATCH(CONCATENATE(Liste!$C$3,$B$3107,$B$3277),Data!$BO:$BO,0)-2,53)=""),"PFH [1/h] = "&amp;10^9*INDEX(Tab_DaBa[],MATCH(CONCATENATE(Liste!$C$3,$B$3107,$B$3277),Data!$BO:$BO,0)-2,16)&amp;"E-9",IF(INDEX(Tab_DaBa[],MATCH(CONCATENATE(Liste!$C$3,$B$3107,$B$3277),Data!$BO:$BO,0)-2,48)&lt;&gt;"","PFH [1/h] = "&amp;10^9*INDEX(Tab_DaBa[],MATCH(CONCATENATE(Liste!$C$3,$B$3107,$B$3277),Data!$BO:$BO,0)-2,56)&amp;"E-9","")),"")</f>
        <v>PFH [1/h] = 24,7E-9</v>
      </c>
      <c r="C3299" s="39"/>
      <c r="D3299" s="35" t="str">
        <f ca="1">IFERROR(IF(AND(INDEX(Tab_DaBa[],MATCH(CONCATENATE(Liste!$C$3,$B$3107,$B$3277),Data!$BO:$BO,0)-2,53)&lt;&gt;"",INDEX(Tab_DaBa[],MATCH(CONCATENATE(Liste!$C$3,$B$3107,$B$3277),Data!$BO:$BO,0)-2,58)=""),"PFH [1/h] = "&amp;10^9*INDEX(Tab_DaBa[],MATCH(CONCATENATE(Liste!$C$3,$B$3107,$B$3277),Data!$BO:$BO,0)-2,16)&amp;"E-9",IF(INDEX(Tab_DaBa[],MATCH(CONCATENATE(Liste!$C$3,$B$3107,$B$3277),Data!$BO:$BO,0)-2,53)&lt;&gt;"","PFH [1/h] = "&amp;10^9*INDEX(Tab_DaBa[],MATCH(CONCATENATE(Liste!$C$3,$B$3107,$B$3277),Data!$BO:$BO,0)-2,61)&amp;"E-9","")),"")</f>
        <v/>
      </c>
      <c r="E3299" s="37"/>
      <c r="F3299" s="35" t="str">
        <f ca="1">IFERROR(IF(AND(INDEX(Tab_DaBa[],MATCH(CONCATENATE(Liste!$C$3,$B$3107,$B$3277),Data!$BO:$BO,0)-2,58)&lt;&gt;"",INDEX(Tab_DaBa[],MATCH(CONCATENATE(Liste!$C$3,$B$3107,$B$3277),Data!$BO:$BO,0)-2,63)=""),"PFH [1/h] = "&amp;10^9*INDEX(Tab_DaBa[],MATCH(CONCATENATE(Liste!$C$3,$B$3107,$B$3277),Data!$BO:$BO,0)-2,16)&amp;"E-9",IF(INDEX(Tab_DaBa[],MATCH(CONCATENATE(Liste!$C$3,$B$3107,$B$3277),Data!$BO:$BO,0)-2,58)&lt;&gt;"","PFH [1/h] = "&amp;10^9*INDEX(Tab_DaBa[],MATCH(CONCATENATE(Liste!$C$3,$B$3107,$B$3277),Data!$BO:$BO,0)-2,66)&amp;"E-9","")),"")</f>
        <v/>
      </c>
      <c r="G3299" s="39"/>
      <c r="H3299" s="35" t="str">
        <f ca="1">IFERROR(IF(INDEX(Tab_DaBa[],MATCH(CONCATENATE(Liste!$C$3,$B$3107,$B$3277),Data!$BO:$BO,0)-2,63)&lt;&gt;"","PFH [1/h] = "&amp;10^9*INDEX(Tab_DaBa[],MATCH(CONCATENATE(Liste!$C$3,$B$3107,$B$3277),Data!$BO:$BO,0)-2,16)&amp;"E-9",""),"")</f>
        <v/>
      </c>
    </row>
    <row r="3300" spans="2:9" s="16" customFormat="1"/>
    <row r="3301" spans="2:9" s="16" customFormat="1">
      <c r="B3301" s="43" t="str">
        <f ca="1">IF(D3301="","","Erforderlich")</f>
        <v>Erforderlich</v>
      </c>
      <c r="D3301" s="44" t="str">
        <f ca="1">IFERROR("Performance Level: "&amp;INDEX(Tab_DaBa[],MATCH(CONCATENATE(Liste!$C$3,$B$3107,$B$3277),Data!$BO:$BO,0)-2,4),"")</f>
        <v>Performance Level: PLr_ges4_7</v>
      </c>
    </row>
    <row r="3302" spans="2:9" s="16" customFormat="1">
      <c r="B3302" s="45"/>
    </row>
    <row r="3303" spans="2:9" s="16" customFormat="1">
      <c r="B3303" s="46" t="str">
        <f ca="1">IF(D3303="","","Erreicht")</f>
        <v>Erreicht</v>
      </c>
      <c r="D3303" s="47" t="str">
        <f ca="1">IFERROR("Performance Level: "&amp;INDEX(Tab_DaBa[],MATCH(CONCATENATE(Liste!$C$3,$B$3107,$B$3277),Data!$BO:$BO,0)-2,5)&amp;"          PFH [1/h] = "&amp;10^9*INDEX(Tab_DaBa[],MATCH(CONCATENATE(Liste!$C$3,$B$3107,$B$3277),Data!$BO:$BO,0)-2,6)&amp;"E-9","")</f>
        <v>Performance Level: Pl_ges4_7          PFH [1/h] = 71,7E-9</v>
      </c>
    </row>
    <row r="3304" spans="2:9" s="16" customFormat="1"/>
    <row r="3305" spans="2:9" s="16" customFormat="1">
      <c r="B3305" s="42" t="str">
        <f ca="1">IFERROR(IF(8&gt;COUNTIF(Data!$BP:$BP,CONCATENATE(Liste!$C$3,$B$3107)),"",INDEX(Tab_DaBa[],MATCH(CONCATENATE(Liste!$C$3,$B$3107),Data!$BP:$BP,0)+5,3)),"")</f>
        <v>12.8 Test12 (E+8L+A)</v>
      </c>
    </row>
    <row r="3306" spans="2:9" s="16" customFormat="1"/>
    <row r="3307" spans="2:9" s="16" customFormat="1" ht="15.75">
      <c r="B3307" s="35" t="str">
        <f ca="1">IFERROR(INDEX(Tab_DaBa[],MATCH(CONCATENATE(Liste!$C$3,$B$3107,$B$3305),Data!$BO:$BO,0)-2,9),"")</f>
        <v>Eingang</v>
      </c>
      <c r="C3307" s="54"/>
      <c r="D3307" s="35" t="str">
        <f ca="1">IFERROR(IF(INDEX(Tab_DaBa[],MATCH(CONCATENATE(Liste!$C$3,$B$3107,$B$3305),Data!$BO:$BO,0)-2,18)=0,INDEX(Tab_DaBa[],MATCH(CONCATENATE(Liste!$C$3,$B$3107,$B$3305),Data!$BO:$BO,0)-2,14),INDEX(Tab_DaBa[],MATCH(CONCATENATE(Liste!$C$3,$B$3107,$B$3305),Data!$BO:$BO,0)-2,19)),"")</f>
        <v>Logik 01</v>
      </c>
      <c r="E3307" s="33"/>
      <c r="F3307" s="35" t="str">
        <f ca="1">IFERROR(IF(AND(INDEX(Tab_DaBa[],MATCH(CONCATENATE(Liste!$C$3,$B$3107,$B$3305),Data!$BO:$BO,0)-2,18)&lt;&gt;"",INDEX(Tab_DaBa[],MATCH(CONCATENATE(Liste!$C$3,$B$3107,$B$3305),Data!$BO:$BO,0)-2,23)=0),INDEX(Tab_DaBa[],MATCH(CONCATENATE(Liste!$C$3,$B$3107,$B$3305),Data!$BO:$BO,0)-2,14),IF(INDEX(Tab_DaBa[],MATCH(CONCATENATE(Liste!$C$3,$B$3107,$B$3305),Data!$BO:$BO,0)-2,23)&lt;&gt;"",INDEX(Tab_DaBa[],MATCH(CONCATENATE(Liste!$C$3,$B$3107,$B$3305),Data!$BO:$BO,0)-2,24),"")),"")</f>
        <v>Logik 02</v>
      </c>
      <c r="G3307" s="39"/>
      <c r="H3307" s="35" t="str">
        <f ca="1">IFERROR(IF(AND(INDEX(Tab_DaBa[],MATCH(CONCATENATE(Liste!$C$3,$B$3107,$B$3305),Data!$BO:$BO,0)-2,23)&lt;&gt;"",INDEX(Tab_DaBa[],MATCH(CONCATENATE(Liste!$C$3,$B$3107,$B$3305),Data!$BO:$BO,0)-2,28)=0),INDEX(Tab_DaBa[],MATCH(CONCATENATE(Liste!$C$3,$B$3107,$B$3305),Data!$BO:$BO,0)-2,14),IF(INDEX(Tab_DaBa[],MATCH(CONCATENATE(Liste!$C$3,$B$3107,$B$3305),Data!$BO:$BO,0)-2,23)&lt;&gt;"",INDEX(Tab_DaBa[],MATCH(CONCATENATE(Liste!$C$3,$B$3107,$B$3305),Data!$BO:$BO,0)-2,29),"")),"")</f>
        <v>Logik 03</v>
      </c>
      <c r="I3307" s="39"/>
    </row>
    <row r="3308" spans="2:9" s="16" customFormat="1" ht="15.75">
      <c r="B3308" s="35" t="str">
        <f ca="1">IFERROR(INDEX(Tab_DaBa[],MATCH(CONCATENATE(Liste!$C$3,$B$3107,$B$3305),Data!$BO:$BO,0)-2,7),"")</f>
        <v>eeee-33_8</v>
      </c>
      <c r="C3308" s="54"/>
      <c r="D3308" s="35" t="str">
        <f ca="1">IFERROR(IF(INDEX(Tab_DaBa[],MATCH(CONCATENATE(Liste!$C$3,$B$3107,$B$3305),Data!$BO:$BO,0)-2,18)="",INDEX(Tab_DaBa[],MATCH(CONCATENATE(Liste!$C$3,$B$3107,$B$3305),Data!$BO:$BO,0)-2,12),INDEX(Tab_DaBa[],MATCH(CONCATENATE(Liste!$C$3,$B$3107,$B$3305),Data!$BO:$BO,0)-2,17)),"")</f>
        <v>Log01-04_08</v>
      </c>
      <c r="E3308" s="36"/>
      <c r="F3308" s="35" t="str">
        <f ca="1">IFERROR(IF(AND(INDEX(Tab_DaBa[],MATCH(CONCATENATE(Liste!$C$3,$B$3107,$B$3305),Data!$BO:$BO,0)-2,18)&lt;&gt;"",INDEX(Tab_DaBa[],MATCH(CONCATENATE(Liste!$C$3,$B$3107,$B$3305),Data!$BO:$BO,0)-2,23)=0),INDEX(Tab_DaBa[],MATCH(CONCATENATE(Liste!$C$3,$B$3107,$B$3305),Data!$BO:$BO,0)-2,12),IF(INDEX(Tab_DaBa[],MATCH(CONCATENATE(Liste!$C$3,$B$3107,$B$3305),Data!$BO:$BO,0)-2,23)&lt;&gt;"",INDEX(Tab_DaBa[],MATCH(CONCATENATE(Liste!$C$3,$B$3107,$B$3305),Data!$BO:$BO,0)-2,22),"")),"")</f>
        <v>Lo04-04_08</v>
      </c>
      <c r="G3308" s="39"/>
      <c r="H3308" s="35" t="str">
        <f ca="1">IFERROR(IF(AND(INDEX(Tab_DaBa[],MATCH(CONCATENATE(Liste!$C$3,$B$3107,$B$3305),Data!$BO:$BO,0)-2,23)&lt;&gt;"",INDEX(Tab_DaBa[],MATCH(CONCATENATE(Liste!$C$3,$B$3107,$B$3305),Data!$BO:$BO,0)-2,28)=0),INDEX(Tab_DaBa[],MATCH(CONCATENATE(Liste!$C$3,$B$3107,$B$3305),Data!$BO:$BO,0)-2,12),IF(INDEX(Tab_DaBa[],MATCH(CONCATENATE(Liste!$C$3,$B$3107,$B$3305),Data!$BO:$BO,0)-2,23)&lt;&gt;"",INDEX(Tab_DaBa[],MATCH(CONCATENATE(Liste!$C$3,$B$3107,$B$3305),Data!$BO:$BO,0)-2,27),"")),"")</f>
        <v>Lo04-44_08</v>
      </c>
      <c r="I3308" s="39"/>
    </row>
    <row r="3309" spans="2:9" s="16" customFormat="1" ht="15.75">
      <c r="B3309" s="35" t="str">
        <f ca="1">IFERROR(INDEX(Tab_DaBa[],MATCH(CONCATENATE(Liste!$C$3,$B$3107,$B$3305),Data!$BO:$BO,0)-2,8),"")</f>
        <v>Bez_Ein4_8</v>
      </c>
      <c r="C3309" s="40">
        <f ca="1">IF(D3307="","",4)</f>
        <v>4</v>
      </c>
      <c r="D3309" s="35" t="str">
        <f ca="1">IFERROR(IF(INDEX(Tab_DaBa[],MATCH(CONCATENATE(Liste!$C$3,$B$3107,$B$3305),Data!$BO:$BO,0)-2,18)="",INDEX(Tab_DaBa[],MATCH(CONCATENATE(Liste!$C$3,$B$3107,$B$3305),Data!$BO:$BO,0)-2,13),INDEX(Tab_DaBa[],MATCH(CONCATENATE(Liste!$C$3,$B$3107,$B$3305),Data!$BO:$BO,0)-2,18)),"")</f>
        <v>Bez_Log01_04_08</v>
      </c>
      <c r="E3309" s="40">
        <f ca="1">IF(F3307="","",4)</f>
        <v>4</v>
      </c>
      <c r="F3309" s="35" t="str">
        <f ca="1">IFERROR(IF(AND(INDEX(Tab_DaBa[],MATCH(CONCATENATE(Liste!$C$3,$B$3107,$B$3305),Data!$BO:$BO,0)-2,18)&lt;&gt;"",INDEX(Tab_DaBa[],MATCH(CONCATENATE(Liste!$C$3,$B$3107,$B$3305),Data!$BO:$BO,0)-2,23)=""),INDEX(Tab_DaBa[],MATCH(CONCATENATE(Liste!$C$3,$B$3107,$B$3305),Data!$BO:$BO,0)-2,13),IF(INDEX(Tab_DaBa[],MATCH(CONCATENATE(Liste!$C$3,$B$3107,$B$3305),Data!$BO:$BO,0)-2,23)&lt;&gt;"",INDEX(Tab_DaBa[],MATCH(CONCATENATE(Liste!$C$3,$B$3107,$B$3305),Data!$BO:$BO,0)-2,23),"")),"")</f>
        <v>Bez_Lo04_08</v>
      </c>
      <c r="G3309" s="38">
        <f ca="1">IF(H3307="","",4)</f>
        <v>4</v>
      </c>
      <c r="H3309" s="35" t="str">
        <f ca="1">IFERROR(IF(AND(INDEX(Tab_DaBa[],MATCH(CONCATENATE(Liste!$C$3,$B$3107,$B$3305),Data!$BO:$BO,0)-2,23)&lt;&gt;"",INDEX(Tab_DaBa[],MATCH(CONCATENATE(Liste!$C$3,$B$3107,$B$3305),Data!$BO:$BO,0)-2,28)=""),INDEX(Tab_DaBa[],MATCH(CONCATENATE(Liste!$C$3,$B$3107,$B$3305),Data!$BO:$BO,0)-2,13),IF(INDEX(Tab_DaBa[],MATCH(CONCATENATE(Liste!$C$3,$B$3107,$B$3305),Data!$BO:$BO,0)-2,23)&lt;&gt;"",INDEX(Tab_DaBa[],MATCH(CONCATENATE(Liste!$C$3,$B$3107,$B$3305),Data!$BO:$BO,0)-2,28),"")),"")</f>
        <v>Bez_Lo04_08</v>
      </c>
      <c r="I3309" s="38">
        <f ca="1">IF(B3315="","",6)</f>
        <v>6</v>
      </c>
    </row>
    <row r="3310" spans="2:9" s="16" customFormat="1" ht="15.75">
      <c r="B3310" s="35" t="str">
        <f ca="1">IFERROR("Performance Level: "&amp;INDEX(Tab_DaBa[],MATCH(CONCATENATE(Liste!$C$3,$B$3107,$B$3305),Data!$BO:$BO,0)-2,10),"")</f>
        <v>Performance Level: PL_Ein4_8</v>
      </c>
      <c r="C3310" s="54"/>
      <c r="D3310" s="35" t="str">
        <f ca="1">IFERROR(IF(INDEX(Tab_DaBa[],MATCH(CONCATENATE(Liste!$C$3,$B$3107,$B$3305),Data!$BO:$BO,0)-2,18)="","Performance Level: "&amp;INDEX(Tab_DaBa[],MATCH(CONCATENATE(Liste!$C$3,$B$3107,$B$3305),Data!$BO:$BO,0)-2,15),"Performance Level: "&amp;INDEX(Tab_DaBa[],MATCH(CONCATENATE(Liste!$C$3,$B$3107,$B$3305),Data!$BO:$BO,0)-2,20)),"")</f>
        <v>Performance Level: PL_Log01_04_08</v>
      </c>
      <c r="E3310" s="36"/>
      <c r="F3310" s="35" t="str">
        <f ca="1">IFERROR(IF(AND(INDEX(Tab_DaBa[],MATCH(CONCATENATE(Liste!$C$3,$B$3107,$B$3305),Data!$BO:$BO,0)-2,18)&lt;&gt;"",INDEX(Tab_DaBa[],MATCH(CONCATENATE(Liste!$C$3,$B$3107,$B$3305),Data!$BO:$BO,0)-2,23)=""),"Performance Level: "&amp;INDEX(Tab_DaBa[],MATCH(CONCATENATE(Liste!$C$3,$B$3107,$B$3305),Data!$BO:$BO,0)-2,15),IF(INDEX(Tab_DaBa[],MATCH(CONCATENATE(Liste!$C$3,$B$3107,$B$3305),Data!$BO:$BO,0)-2,23)&lt;&gt;"","Performance Level: "&amp;INDEX(Tab_DaBa[],MATCH(CONCATENATE(Liste!$C$3,$B$3107,$B$3305),Data!$BO:$BO,0)-2,25),"")),"")</f>
        <v>Performance Level: PL_Lo04_08</v>
      </c>
      <c r="G3310" s="39"/>
      <c r="H3310" s="35" t="str">
        <f ca="1">IFERROR(IF(AND(INDEX(Tab_DaBa[],MATCH(CONCATENATE(Liste!$C$3,$B$3107,$B$3305),Data!$BO:$BO,0)-2,23)&lt;&gt;"",INDEX(Tab_DaBa[],MATCH(CONCATENATE(Liste!$C$3,$B$3107,$B$3305),Data!$BO:$BO,0)-2,28)=""),"Performance Level: "&amp;INDEX(Tab_DaBa[],MATCH(CONCATENATE(Liste!$C$3,$B$3107,$B$3305),Data!$BO:$BO,0)-2,15),IF(INDEX(Tab_DaBa[],MATCH(CONCATENATE(Liste!$C$3,$B$3107,$B$3305),Data!$BO:$BO,0)-2,23)&lt;&gt;"","Performance Level: "&amp;INDEX(Tab_DaBa[],MATCH(CONCATENATE(Liste!$C$3,$B$3107,$B$3305),Data!$BO:$BO,0)-2,30),"")),"")</f>
        <v>Performance Level: PL_Lo04_08</v>
      </c>
      <c r="I3310" s="38"/>
    </row>
    <row r="3311" spans="2:9" s="16" customFormat="1" ht="15.75">
      <c r="B3311" s="53" t="str">
        <f ca="1">IFERROR("PFH [1/h] = "&amp;10^9*INDEX(Tab_DaBa[],MATCH(CONCATENATE(Liste!$C$3,$B$3107,$B$3305),Data!$BO:$BO,0)-2,11)&amp;"E-9","")</f>
        <v>PFH [1/h] = 42,9E-9</v>
      </c>
      <c r="C3311" s="54"/>
      <c r="D3311" s="35" t="str">
        <f ca="1">IFERROR(IF(INDEX(Tab_DaBa[],MATCH(CONCATENATE(Liste!$C$3,$B$3107,$B$3305),Data!$BO:$BO,0)-2,18)="","PFH [1/h] = "&amp;10^9*INDEX(Tab_DaBa[],MATCH(CONCATENATE(Liste!$C$3,$B$3107,$B$3305),Data!$BO:$BO,0)-2,16)&amp;"E-9","PFH [1/h] = "&amp;10^9*INDEX(Tab_DaBa[],MATCH(CONCATENATE(Liste!$C$3,$B$3107,$B$3305),Data!$BO:$BO,0)-2,21)&amp;"E-9"),"")</f>
        <v>PFH [1/h] = 4,19E-9</v>
      </c>
      <c r="E3311" s="36"/>
      <c r="F3311" s="35" t="str">
        <f ca="1">IFERROR(IF(AND(INDEX(Tab_DaBa[],MATCH(CONCATENATE(Liste!$C$3,$B$3107,$B$3305),Data!$BO:$BO,0)-2,18)&lt;&gt;"",INDEX(Tab_DaBa[],MATCH(CONCATENATE(Liste!$C$3,$B$3107,$B$3305),Data!$BO:$BO,0)-2,23)=""),"PFH [1/h] = "&amp;10^9*INDEX(Tab_DaBa[],MATCH(CONCATENATE(Liste!$C$3,$B$3107,$B$3305),Data!$BO:$BO,0)-2,16)&amp;"E-9",IF(INDEX(Tab_DaBa[],MATCH(CONCATENATE(Liste!$C$3,$B$3107,$B$3305),Data!$BO:$BO,0)-2,23)&lt;&gt;"","PFH [1/h] = "&amp;10^9*INDEX(Tab_DaBa[],MATCH(CONCATENATE(Liste!$C$3,$B$3107,$B$3305),Data!$BO:$BO,0)-2,26)&amp;"E-9","")),"")</f>
        <v>PFH [1/h] = 4,19E-9</v>
      </c>
      <c r="G3311" s="39"/>
      <c r="H3311" s="35" t="str">
        <f ca="1">IFERROR(IF(AND(INDEX(Tab_DaBa[],MATCH(CONCATENATE(Liste!$C$3,$B$3107,$B$3305),Data!$BO:$BO,0)-2,23)&lt;&gt;"",INDEX(Tab_DaBa[],MATCH(CONCATENATE(Liste!$C$3,$B$3107,$B$3305),Data!$BO:$BO,0)-2,28)=""),"PFH [1/h] = "&amp;10^9*INDEX(Tab_DaBa[],MATCH(CONCATENATE(Liste!$C$3,$B$3107,$B$3305),Data!$BO:$BO,0)-2,16)&amp;"E-9",IF(INDEX(Tab_DaBa[],MATCH(CONCATENATE(Liste!$C$3,$B$3107,$B$3305),Data!$BO:$BO,0)-2,23)&lt;&gt;"","PFH [1/h] = "&amp;10^9*INDEX(Tab_DaBa[],MATCH(CONCATENATE(Liste!$C$3,$B$3107,$B$3305),Data!$BO:$BO,0)-2,31)&amp;"E-9","")),"")</f>
        <v>PFH [1/h] = 4,19E-9</v>
      </c>
      <c r="I3311" s="39"/>
    </row>
    <row r="3312" spans="2:9" s="16" customFormat="1">
      <c r="B3312" s="33"/>
      <c r="C3312" s="34"/>
      <c r="D3312" s="33"/>
      <c r="E3312" s="33"/>
      <c r="F3312" s="33"/>
      <c r="G3312" s="33"/>
      <c r="H3312" s="33"/>
      <c r="I3312" s="33"/>
    </row>
    <row r="3313" spans="2:9" s="16" customFormat="1" ht="15.75">
      <c r="B3313" s="38">
        <f ca="1">IF(B3315="","",6)</f>
        <v>6</v>
      </c>
      <c r="C3313" s="34"/>
      <c r="D3313" s="38">
        <f ca="1">IF(B3315="","",3)</f>
        <v>3</v>
      </c>
      <c r="E3313" s="33"/>
      <c r="F3313" s="38">
        <f ca="1">IF(B3315="","",3)</f>
        <v>3</v>
      </c>
      <c r="G3313" s="33"/>
      <c r="H3313" s="38">
        <f ca="1">IF(B3315="","",3)</f>
        <v>3</v>
      </c>
      <c r="I3313" s="33"/>
    </row>
    <row r="3314" spans="2:9" s="16" customFormat="1" ht="15.75">
      <c r="B3314" s="39"/>
      <c r="C3314" s="33"/>
      <c r="D3314" s="33"/>
      <c r="E3314" s="33"/>
      <c r="F3314" s="33"/>
      <c r="G3314" s="33"/>
      <c r="H3314" s="33"/>
      <c r="I3314" s="33"/>
    </row>
    <row r="3315" spans="2:9" s="16" customFormat="1" ht="15.75">
      <c r="B3315" s="35" t="str">
        <f ca="1">IFERROR(IF(AND(INDEX(Tab_DaBa[],MATCH(CONCATENATE(Liste!$C$3,$B$3107,$B$3305),Data!$BO:$BO,0)-2,28)&lt;&gt;"",INDEX(Tab_DaBa[],MATCH(CONCATENATE(Liste!$C$3,$B$3107,$B$3305),Data!$BO:$BO,0)-2,33)=0),INDEX(Tab_DaBa[],MATCH(CONCATENATE(Liste!$C$3,$B$3107,$B$3305),Data!$BO:$BO,0)-2,14),IF(INDEX(Tab_DaBa[],MATCH(CONCATENATE(Liste!$C$3,$B$3107,$B$3305),Data!$BO:$BO,0)-2,28)&lt;&gt;"",INDEX(Tab_DaBa[],MATCH(CONCATENATE(Liste!$C$3,$B$3107,$B$3305),Data!$BO:$BO,0)-2,34),"")),"")</f>
        <v>Logik 04</v>
      </c>
      <c r="C3315" s="39"/>
      <c r="D3315" s="35" t="str">
        <f ca="1">IFERROR(IF(AND(INDEX(Tab_DaBa[],MATCH(CONCATENATE(Liste!$C$3,$B$3107,$B$3305),Data!$BO:$BO,0)-2,33)&lt;&gt;"",INDEX(Tab_DaBa[],MATCH(CONCATENATE(Liste!$C$3,$B$3107,$B$3305),Data!$BO:$BO,0)-2,38)=0),INDEX(Tab_DaBa[],MATCH(CONCATENATE(Liste!$C$3,$B$3107,$B$3305),Data!$BO:$BO,0)-2,14),IF(INDEX(Tab_DaBa[],MATCH(CONCATENATE(Liste!$C$3,$B$3107,$B$3305),Data!$BO:$BO,0)-2,33)&lt;&gt;"",INDEX(Tab_DaBa[],MATCH(CONCATENATE(Liste!$C$3,$B$3107,$B$3305),Data!$BO:$BO,0)-2,39),"")),"")</f>
        <v>Logik 06</v>
      </c>
      <c r="E3315" s="33"/>
      <c r="F3315" s="35" t="str">
        <f ca="1">IFERROR(IF(AND(INDEX(Tab_DaBa[],MATCH(CONCATENATE(Liste!$C$3,$B$3107,$B$3305),Data!$BO:$BO,0)-2,38)&lt;&gt;"",INDEX(Tab_DaBa[],MATCH(CONCATENATE(Liste!$C$3,$B$3107,$B$3305),Data!$BO:$BO,0)-2,43)=0),INDEX(Tab_DaBa[],MATCH(CONCATENATE(Liste!$C$3,$B$3107,$B$3305),Data!$BO:$BO,0)-2,14),IF(INDEX(Tab_DaBa[],MATCH(CONCATENATE(Liste!$C$3,$B$3107,$B$3305),Data!$BO:$BO,0)-2,38)&lt;&gt;"",INDEX(Tab_DaBa[],MATCH(CONCATENATE(Liste!$C$3,$B$3107,$B$3305),Data!$BO:$BO,0)-2,44),"")),"")</f>
        <v>Logik 06</v>
      </c>
      <c r="G3315" s="39"/>
      <c r="H3315" s="35" t="str">
        <f ca="1">IFERROR(IF(AND(INDEX(Tab_DaBa[],MATCH(CONCATENATE(Liste!$C$3,$B$3107,$B$3305),Data!$BO:$BO,0)-2,43)&lt;&gt;"",INDEX(Tab_DaBa[],MATCH(CONCATENATE(Liste!$C$3,$B$3107,$B$3305),Data!$BO:$BO,0)-2,48)=0),INDEX(Tab_DaBa[],MATCH(CONCATENATE(Liste!$C$3,$B$3107,$B$3305),Data!$BO:$BO,0)-2,14),IF(INDEX(Tab_DaBa[],MATCH(CONCATENATE(Liste!$C$3,$B$3107,$B$3305),Data!$BO:$BO,0)-2,43)&lt;&gt;"",INDEX(Tab_DaBa[],MATCH(CONCATENATE(Liste!$C$3,$B$3107,$B$3305),Data!$BO:$BO,0)-2,49),"")),"")</f>
        <v>Logik 07</v>
      </c>
      <c r="I3315" s="39"/>
    </row>
    <row r="3316" spans="2:9" s="16" customFormat="1" ht="15.75">
      <c r="B3316" s="35" t="str">
        <f ca="1">IFERROR(IF(AND(INDEX(Tab_DaBa[],MATCH(CONCATENATE(Liste!$C$3,$B$3107,$B$3305),Data!$BO:$BO,0)-2,28)&lt;&gt;"",INDEX(Tab_DaBa[],MATCH(CONCATENATE(Liste!$C$3,$B$3107,$B$3305),Data!$BO:$BO,0)-2,33)=0),INDEX(Tab_DaBa[],MATCH(CONCATENATE(Liste!$C$3,$B$3107,$B$3305),Data!$BO:$BO,0)-2,12),IF(INDEX(Tab_DaBa[],MATCH(CONCATENATE(Liste!$C$3,$B$3107,$B$3305),Data!$BO:$BO,0)-2,28)&lt;&gt;"",INDEX(Tab_DaBa[],MATCH(CONCATENATE(Liste!$C$3,$B$3107,$B$3305),Data!$BO:$BO,0)-2,32),"")),"")</f>
        <v>Lo04-44_08</v>
      </c>
      <c r="C3316" s="39"/>
      <c r="D3316" s="35" t="str">
        <f ca="1">IFERROR(IF(AND(INDEX(Tab_DaBa[],MATCH(CONCATENATE(Liste!$C$3,$B$3107,$B$3305),Data!$BO:$BO,0)-2,33)&lt;&gt;"",INDEX(Tab_DaBa[],MATCH(CONCATENATE(Liste!$C$3,$B$3107,$B$3305),Data!$BO:$BO,0)-2,38)=0),INDEX(Tab_DaBa[],MATCH(CONCATENATE(Liste!$C$3,$B$3107,$B$3305),Data!$BO:$BO,0)-2,12),IF(INDEX(Tab_DaBa[],MATCH(CONCATENATE(Liste!$C$3,$B$3107,$B$3305),Data!$BO:$BO,0)-2,33)&lt;&gt;"",INDEX(Tab_DaBa[],MATCH(CONCATENATE(Liste!$C$3,$B$3107,$B$3305),Data!$BO:$BO,0)-2,37),"")),"")</f>
        <v>Lo04-44_08</v>
      </c>
      <c r="E3316" s="37"/>
      <c r="F3316" s="35" t="str">
        <f ca="1">IFERROR(IF(AND(INDEX(Tab_DaBa[],MATCH(CONCATENATE(Liste!$C$3,$B$3107,$B$3305),Data!$BO:$BO,0)-2,38)&lt;&gt;"",INDEX(Tab_DaBa[],MATCH(CONCATENATE(Liste!$C$3,$B$3107,$B$3305),Data!$BO:$BO,0)-2,43)=0),INDEX(Tab_DaBa[],MATCH(CONCATENATE(Liste!$C$3,$B$3107,$B$3305),Data!$BO:$BO,0)-2,12),IF(INDEX(Tab_DaBa[],MATCH(CONCATENATE(Liste!$C$3,$B$3107,$B$3305),Data!$BO:$BO,0)-2,38)&lt;&gt;"",INDEX(Tab_DaBa[],MATCH(CONCATENATE(Liste!$C$3,$B$3107,$B$3305),Data!$BO:$BO,0)-2,42),"")),"")</f>
        <v>Lo03-33_08</v>
      </c>
      <c r="G3316" s="39"/>
      <c r="H3316" s="35" t="str">
        <f ca="1">IFERROR(IF(AND(INDEX(Tab_DaBa[],MATCH(CONCATENATE(Liste!$C$3,$B$3107,$B$3305),Data!$BO:$BO,0)-2,43)&lt;&gt;"",INDEX(Tab_DaBa[],MATCH(CONCATENATE(Liste!$C$3,$B$3107,$B$3305),Data!$BO:$BO,0)-2,48)=0),INDEX(Tab_DaBa[],MATCH(CONCATENATE(Liste!$C$3,$B$3107,$B$3305),Data!$BO:$BO,0)-2,12),IF(INDEX(Tab_DaBa[],MATCH(CONCATENATE(Liste!$C$3,$B$3107,$B$3305),Data!$BO:$BO,0)-2,43)&lt;&gt;"",INDEX(Tab_DaBa[],MATCH(CONCATENATE(Liste!$C$3,$B$3107,$B$3305),Data!$BO:$BO,0)-2,47),"")),"")</f>
        <v>Lo03-33_08</v>
      </c>
      <c r="I3316" s="39"/>
    </row>
    <row r="3317" spans="2:9" s="16" customFormat="1" ht="15.75">
      <c r="B3317" s="35" t="str">
        <f ca="1">IFERROR(IF(AND(INDEX(Tab_DaBa[],MATCH(CONCATENATE(Liste!$C$3,$B$3107,$B$3305),Data!$BO:$BO,0)-2,28)&lt;&gt;"",INDEX(Tab_DaBa[],MATCH(CONCATENATE(Liste!$C$3,$B$3107,$B$3305),Data!$BO:$BO,0)-2,33)=""),INDEX(Tab_DaBa[],MATCH(CONCATENATE(Liste!$C$3,$B$3107,$B$3305),Data!$BO:$BO,0)-2,13),IF(INDEX(Tab_DaBa[],MATCH(CONCATENATE(Liste!$C$3,$B$3107,$B$3305),Data!$BO:$BO,0)-2,28)&lt;&gt;"",INDEX(Tab_DaBa[],MATCH(CONCATENATE(Liste!$C$3,$B$3107,$B$3305),Data!$BO:$BO,0)-2,33),"")),"")</f>
        <v>Bez_Lo04_08</v>
      </c>
      <c r="C3317" s="38">
        <f ca="1">IF(D3315="","",4)</f>
        <v>4</v>
      </c>
      <c r="D3317" s="35" t="str">
        <f ca="1">IFERROR(IF(AND(INDEX(Tab_DaBa[],MATCH(CONCATENATE(Liste!$C$3,$B$3107,$B$3305),Data!$BO:$BO,0)-2,33)&lt;&gt;"",INDEX(Tab_DaBa[],MATCH(CONCATENATE(Liste!$C$3,$B$3107,$B$3305),Data!$BO:$BO,0)-2,38)=""),INDEX(Tab_DaBa[],MATCH(CONCATENATE(Liste!$C$3,$B$3107,$B$3305),Data!$BO:$BO,0)-2,13),IF(INDEX(Tab_DaBa[],MATCH(CONCATENATE(Liste!$C$3,$B$3107,$B$3305),Data!$BO:$BO,0)-2,33)&lt;&gt;"",INDEX(Tab_DaBa[],MATCH(CONCATENATE(Liste!$C$3,$B$3107,$B$3305),Data!$BO:$BO,0)-2,38),"")),"")</f>
        <v>Bez_Lo03_08</v>
      </c>
      <c r="E3317" s="38">
        <f ca="1">IF(F3315="","",4)</f>
        <v>4</v>
      </c>
      <c r="F3317" s="35" t="str">
        <f ca="1">IFERROR(IF(AND(INDEX(Tab_DaBa[],MATCH(CONCATENATE(Liste!$C$3,$B$3107,$B$3305),Data!$BO:$BO,0)-2,38)&lt;&gt;"",INDEX(Tab_DaBa[],MATCH(CONCATENATE(Liste!$C$3,$B$3107,$B$3305),Data!$BO:$BO,0)-2,43)=""),INDEX(Tab_DaBa[],MATCH(CONCATENATE(Liste!$C$3,$B$3107,$B$3305),Data!$BO:$BO,0)-2,13),IF(INDEX(Tab_DaBa[],MATCH(CONCATENATE(Liste!$C$3,$B$3107,$B$3305),Data!$BO:$BO,0)-2,38)&lt;&gt;"",INDEX(Tab_DaBa[],MATCH(CONCATENATE(Liste!$C$3,$B$3107,$B$3305),Data!$BO:$BO,0)-2,43),"")),"")</f>
        <v>Bez_Lo03_08</v>
      </c>
      <c r="G3317" s="38">
        <f ca="1">IF(H3315="","",4)</f>
        <v>4</v>
      </c>
      <c r="H3317" s="35" t="str">
        <f ca="1">IFERROR(IF(AND(INDEX(Tab_DaBa[],MATCH(CONCATENATE(Liste!$C$3,$B$3107,$B$3305),Data!$BO:$BO,0)-2,43)&lt;&gt;"",INDEX(Tab_DaBa[],MATCH(CONCATENATE(Liste!$C$3,$B$3107,$B$3305),Data!$BO:$BO,0)-2,48)=""),INDEX(Tab_DaBa[],MATCH(CONCATENATE(Liste!$C$3,$B$3107,$B$3305),Data!$BO:$BO,0)-2,13),IF(INDEX(Tab_DaBa[],MATCH(CONCATENATE(Liste!$C$3,$B$3107,$B$3305),Data!$BO:$BO,0)-2,43)&lt;&gt;"",INDEX(Tab_DaBa[],MATCH(CONCATENATE(Liste!$C$3,$B$3107,$B$3305),Data!$BO:$BO,0)-2,48),"")),"")</f>
        <v>Bez_Lo03_08</v>
      </c>
      <c r="I3317" s="38">
        <f ca="1">IF(B3323="","",6)</f>
        <v>6</v>
      </c>
    </row>
    <row r="3318" spans="2:9" s="16" customFormat="1" ht="15.75">
      <c r="B3318" s="35" t="str">
        <f ca="1">IFERROR(IF(AND(INDEX(Tab_DaBa[],MATCH(CONCATENATE(Liste!$C$3,$B$3107,$B$3305),Data!$BO:$BO,0)-2,28)&lt;&gt;"",INDEX(Tab_DaBa[],MATCH(CONCATENATE(Liste!$C$3,$B$3107,$B$3305),Data!$BO:$BO,0)-2,33)=""),"Performance Level: "&amp;INDEX(Tab_DaBa[],MATCH(CONCATENATE(Liste!$C$3,$B$3107,$B$3305),Data!$BO:$BO,0)-2,15),IF(INDEX(Tab_DaBa[],MATCH(CONCATENATE(Liste!$C$3,$B$3107,$B$3305),Data!$BO:$BO,0)-2,28)&lt;&gt;"","Performance Level: "&amp;INDEX(Tab_DaBa[],MATCH(CONCATENATE(Liste!$C$3,$B$3107,$B$3305),Data!$BO:$BO,0)-2,35),"")),"")</f>
        <v>Performance Level: PL_Lo04_08</v>
      </c>
      <c r="C3318" s="39"/>
      <c r="D3318" s="35" t="str">
        <f ca="1">IFERROR(IF(AND(INDEX(Tab_DaBa[],MATCH(CONCATENATE(Liste!$C$3,$B$3107,$B$3305),Data!$BO:$BO,0)-2,33)&lt;&gt;"",INDEX(Tab_DaBa[],MATCH(CONCATENATE(Liste!$C$3,$B$3107,$B$3305),Data!$BO:$BO,0)-2,38)=""),"Performance Level: "&amp;INDEX(Tab_DaBa[],MATCH(CONCATENATE(Liste!$C$3,$B$3107,$B$3305),Data!$BO:$BO,0)-2,15),IF(INDEX(Tab_DaBa[],MATCH(CONCATENATE(Liste!$C$3,$B$3107,$B$3305),Data!$BO:$BO,0)-2,33)&lt;&gt;"","Performance Level: "&amp;INDEX(Tab_DaBa[],MATCH(CONCATENATE(Liste!$C$3,$B$3107,$B$3305),Data!$BO:$BO,0)-2,40),"")),"")</f>
        <v>Performance Level: PL_Lo03_8</v>
      </c>
      <c r="E3318" s="37"/>
      <c r="F3318" s="35" t="str">
        <f ca="1">IFERROR(IF(AND(INDEX(Tab_DaBa[],MATCH(CONCATENATE(Liste!$C$3,$B$3107,$B$3305),Data!$BO:$BO,0)-2,38)&lt;&gt;"",INDEX(Tab_DaBa[],MATCH(CONCATENATE(Liste!$C$3,$B$3107,$B$3305),Data!$BO:$BO,0)-2,43)=""),"Performance Level: "&amp;INDEX(Tab_DaBa[],MATCH(CONCATENATE(Liste!$C$3,$B$3107,$B$3305),Data!$BO:$BO,0)-2,15),IF(INDEX(Tab_DaBa[],MATCH(CONCATENATE(Liste!$C$3,$B$3107,$B$3305),Data!$BO:$BO,0)-2,38)&lt;&gt;"","Performance Level: "&amp;INDEX(Tab_DaBa[],MATCH(CONCATENATE(Liste!$C$3,$B$3107,$B$3305),Data!$BO:$BO,0)-2,45),"")),"")</f>
        <v>Performance Level: PL_Lo03_08</v>
      </c>
      <c r="G3318" s="39"/>
      <c r="H3318" s="35" t="str">
        <f ca="1">IFERROR(IF(AND(INDEX(Tab_DaBa[],MATCH(CONCATENATE(Liste!$C$3,$B$3107,$B$3305),Data!$BO:$BO,0)-2,43)&lt;&gt;"",INDEX(Tab_DaBa[],MATCH(CONCATENATE(Liste!$C$3,$B$3107,$B$3305),Data!$BO:$BO,0)-2,48)=""),"Performance Level: "&amp;INDEX(Tab_DaBa[],MATCH(CONCATENATE(Liste!$C$3,$B$3107,$B$3305),Data!$BO:$BO,0)-2,15),IF(INDEX(Tab_DaBa[],MATCH(CONCATENATE(Liste!$C$3,$B$3107,$B$3305),Data!$BO:$BO,0)-2,43)&lt;&gt;"","Performance Level: "&amp;INDEX(Tab_DaBa[],MATCH(CONCATENATE(Liste!$C$3,$B$3107,$B$3305),Data!$BO:$BO,0)-2,50),"")),"")</f>
        <v>Performance Level: PL_Lo03_08</v>
      </c>
      <c r="I3318" s="39"/>
    </row>
    <row r="3319" spans="2:9" s="16" customFormat="1" ht="15.75">
      <c r="B3319" s="35" t="str">
        <f ca="1">IFERROR(IF(AND(INDEX(Tab_DaBa[],MATCH(CONCATENATE(Liste!$C$3,$B$3107,$B$3305),Data!$BO:$BO,0)-2,28)&lt;&gt;"",INDEX(Tab_DaBa[],MATCH(CONCATENATE(Liste!$C$3,$B$3107,$B$3305),Data!$BO:$BO,0)-2,33)=""),"PFH [1/h] = "&amp;10^9*INDEX(Tab_DaBa[],MATCH(CONCATENATE(Liste!$C$3,$B$3107,$B$3305),Data!$BO:$BO,0)-2,16)&amp;"E-9",IF(INDEX(Tab_DaBa[],MATCH(CONCATENATE(Liste!$C$3,$B$3107,$B$3305),Data!$BO:$BO,0)-2,28)&lt;&gt;"","PFH [1/h] = "&amp;10^9*INDEX(Tab_DaBa[],MATCH(CONCATENATE(Liste!$C$3,$B$3107,$B$3305),Data!$BO:$BO,0)-2,36)&amp;"E-9","")),"")</f>
        <v>PFH [1/h] = 4,19E-9</v>
      </c>
      <c r="C3319" s="39"/>
      <c r="D3319" s="35" t="str">
        <f ca="1">IFERROR(IF(AND(INDEX(Tab_DaBa[],MATCH(CONCATENATE(Liste!$C$3,$B$3107,$B$3305),Data!$BO:$BO,0)-2,33)&lt;&gt;"",INDEX(Tab_DaBa[],MATCH(CONCATENATE(Liste!$C$3,$B$3107,$B$3305),Data!$BO:$BO,0)-2,38)=""),"PFH [1/h] = "&amp;10^9*INDEX(Tab_DaBa[],MATCH(CONCATENATE(Liste!$C$3,$B$3107,$B$3305),Data!$BO:$BO,0)-2,16)&amp;"E-9",IF(INDEX(Tab_DaBa[],MATCH(CONCATENATE(Liste!$C$3,$B$3107,$B$3305),Data!$BO:$BO,0)-2,33)&lt;&gt;"","PFH [1/h] = "&amp;10^9*INDEX(Tab_DaBa[],MATCH(CONCATENATE(Liste!$C$3,$B$3107,$B$3305),Data!$BO:$BO,0)-2,41)&amp;"E-9","")),"")</f>
        <v>PFH [1/h] = 4,19E-9</v>
      </c>
      <c r="E3319" s="37"/>
      <c r="F3319" s="35" t="str">
        <f ca="1">IFERROR(IF(AND(INDEX(Tab_DaBa[],MATCH(CONCATENATE(Liste!$C$3,$B$3107,$B$3305),Data!$BO:$BO,0)-2,38)&lt;&gt;"",INDEX(Tab_DaBa[],MATCH(CONCATENATE(Liste!$C$3,$B$3107,$B$3305),Data!$BO:$BO,0)-2,43)=""),"PFH [1/h] = "&amp;10^9*INDEX(Tab_DaBa[],MATCH(CONCATENATE(Liste!$C$3,$B$3107,$B$3305),Data!$BO:$BO,0)-2,16)&amp;"E-9",IF(INDEX(Tab_DaBa[],MATCH(CONCATENATE(Liste!$C$3,$B$3107,$B$3305),Data!$BO:$BO,0)-2,38)&lt;&gt;"","PFH [1/h] = "&amp;10^9*INDEX(Tab_DaBa[],MATCH(CONCATENATE(Liste!$C$3,$B$3107,$B$3305),Data!$BO:$BO,0)-2,46)&amp;"E-9","")),"")</f>
        <v>PFH [1/h] = 4,19E-9</v>
      </c>
      <c r="G3319" s="39"/>
      <c r="H3319" s="35" t="str">
        <f ca="1">IFERROR(IF(AND(INDEX(Tab_DaBa[],MATCH(CONCATENATE(Liste!$C$3,$B$3107,$B$3305),Data!$BO:$BO,0)-2,43)&lt;&gt;"",INDEX(Tab_DaBa[],MATCH(CONCATENATE(Liste!$C$3,$B$3107,$B$3305),Data!$BO:$BO,0)-2,48)=""),"PFH [1/h] = "&amp;10^9*INDEX(Tab_DaBa[],MATCH(CONCATENATE(Liste!$C$3,$B$3107,$B$3305),Data!$BO:$BO,0)-2,16)&amp;"E-9",IF(INDEX(Tab_DaBa[],MATCH(CONCATENATE(Liste!$C$3,$B$3107,$B$3305),Data!$BO:$BO,0)-2,43)&lt;&gt;"","PFH [1/h] = "&amp;10^9*INDEX(Tab_DaBa[],MATCH(CONCATENATE(Liste!$C$3,$B$3107,$B$3305),Data!$BO:$BO,0)-2,51)&amp;"E-9","")),"")</f>
        <v>PFH [1/h] = 4,19E-9</v>
      </c>
      <c r="I3319" s="39"/>
    </row>
    <row r="3320" spans="2:9" s="16" customFormat="1">
      <c r="B3320" s="33"/>
      <c r="C3320" s="33"/>
      <c r="D3320" s="33"/>
      <c r="E3320" s="33"/>
      <c r="F3320" s="33"/>
      <c r="G3320" s="33"/>
      <c r="H3320" s="33"/>
      <c r="I3320" s="33"/>
    </row>
    <row r="3321" spans="2:9" s="16" customFormat="1" ht="15.75">
      <c r="B3321" s="38">
        <f ca="1">IF(B3323="","",6)</f>
        <v>6</v>
      </c>
      <c r="C3321" s="33"/>
      <c r="D3321" s="38">
        <f ca="1">IF(B3323="","",3)</f>
        <v>3</v>
      </c>
      <c r="E3321" s="33"/>
      <c r="F3321" s="38">
        <f ca="1">IF(B3323="","",3)</f>
        <v>3</v>
      </c>
      <c r="G3321" s="33"/>
      <c r="H3321" s="38">
        <f ca="1">IF(B3323="","",3)</f>
        <v>3</v>
      </c>
      <c r="I3321" s="33"/>
    </row>
    <row r="3322" spans="2:9" s="16" customFormat="1" ht="15.75">
      <c r="B3322" s="39"/>
      <c r="C3322" s="33"/>
      <c r="D3322" s="33"/>
      <c r="E3322" s="33"/>
      <c r="F3322" s="33"/>
      <c r="G3322" s="33"/>
      <c r="H3322" s="33"/>
      <c r="I3322" s="33"/>
    </row>
    <row r="3323" spans="2:9" s="16" customFormat="1" ht="15.75">
      <c r="B3323" s="35" t="str">
        <f ca="1">IFERROR(IF(AND(INDEX(Tab_DaBa[],MATCH(CONCATENATE(Liste!$C$3,$B$3107,$B$3305),Data!$BO:$BO,0)-2,48)&lt;&gt;"",INDEX(Tab_DaBa[],MATCH(CONCATENATE(Liste!$C$3,$B$3107,$B$3305),Data!$BO:$BO,0)-2,53)=0),INDEX(Tab_DaBa[],MATCH(CONCATENATE(Liste!$C$3,$B$3107,$B$3305),Data!$BO:$BO,0)-2,14),IF(INDEX(Tab_DaBa[],MATCH(CONCATENATE(Liste!$C$3,$B$3107,$B$3305),Data!$BO:$BO,0)-2,48)&lt;&gt;"",INDEX(Tab_DaBa[],MATCH(CONCATENATE(Liste!$C$3,$B$3107,$B$3305),Data!$BO:$BO,0)-2,54),"")),"")</f>
        <v>Logik 08</v>
      </c>
      <c r="C3323" s="39"/>
      <c r="D3323" s="35" t="str">
        <f ca="1">IFERROR(IF(AND(INDEX(Tab_DaBa[],MATCH(CONCATENATE(Liste!$C$3,$B$3107,$B$3305),Data!$BO:$BO,0)-2,53)&lt;&gt;"",INDEX(Tab_DaBa[],MATCH(CONCATENATE(Liste!$C$3,$B$3107,$B$3305),Data!$BO:$BO,0)-2,58)=0),INDEX(Tab_DaBa[],MATCH(CONCATENATE(Liste!$C$3,$B$3107,$B$3305),Data!$BO:$BO,0)-2,14),IF(INDEX(Tab_DaBa[],MATCH(CONCATENATE(Liste!$C$3,$B$3107,$B$3305),Data!$BO:$BO,0)-2,53)&lt;&gt;"",INDEX(Tab_DaBa[],MATCH(CONCATENATE(Liste!$C$3,$B$3107,$B$3305),Data!$BO:$BO,0)-2,59),"")),"")</f>
        <v>Ausgang</v>
      </c>
      <c r="E3323" s="33"/>
      <c r="F3323" s="35" t="str">
        <f ca="1">IFERROR(IF(AND(INDEX(Tab_DaBa[],MATCH(CONCATENATE(Liste!$C$3,$B$3107,$B$3305),Data!$BO:$BO,0)-2,58)&lt;&gt;"",INDEX(Tab_DaBa[],MATCH(CONCATENATE(Liste!$C$3,$B$3107,$B$3305),Data!$BO:$BO,0)-2,63)=0),INDEX(Tab_DaBa[],MATCH(CONCATENATE(Liste!$C$3,$B$3107,$B$3305),Data!$BO:$BO,0)-2,14),IF(INDEX(Tab_DaBa[],MATCH(CONCATENATE(Liste!$C$3,$B$3107,$B$3305),Data!$BO:$BO,0)-2,58)&lt;&gt;"",INDEX(Tab_DaBa[],MATCH(CONCATENATE(Liste!$C$3,$B$3107,$B$3305),Data!$BO:$BO,0)-2,64),"")),"")</f>
        <v/>
      </c>
      <c r="G3323" s="39"/>
      <c r="H3323" s="35" t="str">
        <f ca="1">IFERROR(IF(INDEX(Tab_DaBa[],MATCH(CONCATENATE(Liste!$C$3,$B$3107,$B$3305),Data!$BO:$BO,0)-2,63)&lt;&gt;"",INDEX(Tab_DaBa[],MATCH(CONCATENATE(Liste!$C$3,$B$3107,$B$3305),Data!$BO:$BO,0)-2,14),""),"")</f>
        <v/>
      </c>
    </row>
    <row r="3324" spans="2:9" s="16" customFormat="1" ht="15.75">
      <c r="B3324" s="35" t="str">
        <f ca="1">IFERROR(IF(AND(INDEX(Tab_DaBa[],MATCH(CONCATENATE(Liste!$C$3,$B$3107,$B$3305),Data!$BO:$BO,0)-2,48)&lt;&gt;"",INDEX(Tab_DaBa[],MATCH(CONCATENATE(Liste!$C$3,$B$3107,$B$3305),Data!$BO:$BO,0)-2,53)=0),INDEX(Tab_DaBa[],MATCH(CONCATENATE(Liste!$C$3,$B$3107,$B$3305),Data!$BO:$BO,0)-2,12),IF(INDEX(Tab_DaBa[],MATCH(CONCATENATE(Liste!$C$3,$B$3107,$B$3305),Data!$BO:$BO,0)-2,48)&lt;&gt;"",INDEX(Tab_DaBa[],MATCH(CONCATENATE(Liste!$C$3,$B$3107,$B$3305),Data!$BO:$BO,0)-2,52),"")),"")</f>
        <v>Lo03-88_08</v>
      </c>
      <c r="C3324" s="39"/>
      <c r="D3324" s="35" t="str">
        <f ca="1">IFERROR(IF(AND(INDEX(Tab_DaBa[],MATCH(CONCATENATE(Liste!$C$3,$B$3107,$B$3305),Data!$BO:$BO,0)-2,53)&lt;&gt;"",INDEX(Tab_DaBa[],MATCH(CONCATENATE(Liste!$C$3,$B$3107,$B$3305),Data!$BO:$BO,0)-2,58)=0),INDEX(Tab_DaBa[],MATCH(CONCATENATE(Liste!$C$3,$B$3107,$B$3305),Data!$BO:$BO,0)-2,12),IF(INDEX(Tab_DaBa[],MATCH(CONCATENATE(Liste!$C$3,$B$3107,$B$3305),Data!$BO:$BO,0)-2,53)&lt;&gt;"",INDEX(Tab_DaBa[],MATCH(CONCATENATE(Liste!$C$3,$B$3107,$B$3305),Data!$BO:$BO,0)-2,57),"")),"")</f>
        <v>aaaa-44_8</v>
      </c>
      <c r="E3324" s="37"/>
      <c r="F3324" s="35" t="str">
        <f ca="1">IFERROR(IF(AND(INDEX(Tab_DaBa[],MATCH(CONCATENATE(Liste!$C$3,$B$3107,$B$3305),Data!$BO:$BO,0)-2,58)&lt;&gt;"",INDEX(Tab_DaBa[],MATCH(CONCATENATE(Liste!$C$3,$B$3107,$B$3305),Data!$BO:$BO,0)-2,63)=0),INDEX(Tab_DaBa[],MATCH(CONCATENATE(Liste!$C$3,$B$3107,$B$3305),Data!$BO:$BO,0)-2,12),IF(INDEX(Tab_DaBa[],MATCH(CONCATENATE(Liste!$C$3,$B$3107,$B$3305),Data!$BO:$BO,0)-2,58)&lt;&gt;"",INDEX(Tab_DaBa[],MATCH(CONCATENATE(Liste!$C$3,$B$3107,$B$3305),Data!$BO:$BO,0)-2,62),"")),"")</f>
        <v/>
      </c>
      <c r="G3324" s="39"/>
      <c r="H3324" s="35" t="str">
        <f ca="1">IFERROR(IF(INDEX(Tab_DaBa[],MATCH(CONCATENATE(Liste!$C$3,$B$3107,$B$3305),Data!$BO:$BO,0)-2,63)&lt;&gt;"",INDEX(Tab_DaBa[],MATCH(CONCATENATE(Liste!$C$3,$B$3107,$B$3305),Data!$BO:$BO,0)-2,12),""),"")</f>
        <v/>
      </c>
    </row>
    <row r="3325" spans="2:9" s="16" customFormat="1" ht="15.75">
      <c r="B3325" s="35" t="str">
        <f ca="1">IFERROR(IF(AND(INDEX(Tab_DaBa[],MATCH(CONCATENATE(Liste!$C$3,$B$3107,$B$3305),Data!$BO:$BO,0)-2,48)&lt;&gt;"",INDEX(Tab_DaBa[],MATCH(CONCATENATE(Liste!$C$3,$B$3107,$B$3305),Data!$BO:$BO,0)-2,53)=""),INDEX(Tab_DaBa[],MATCH(CONCATENATE(Liste!$C$3,$B$3107,$B$3305),Data!$BO:$BO,0)-2,13),IF(INDEX(Tab_DaBa[],MATCH(CONCATENATE(Liste!$C$3,$B$3107,$B$3305),Data!$BO:$BO,0)-2,48)&lt;&gt;"",INDEX(Tab_DaBa[],MATCH(CONCATENATE(Liste!$C$3,$B$3107,$B$3305),Data!$BO:$BO,0)-2,53),"")),"")</f>
        <v>Bez_Lo03_08</v>
      </c>
      <c r="C3325" s="38">
        <f ca="1">IF(D3323="","",4)</f>
        <v>4</v>
      </c>
      <c r="D3325" s="35" t="str">
        <f ca="1">IFERROR(IF(AND(INDEX(Tab_DaBa[],MATCH(CONCATENATE(Liste!$C$3,$B$3107,$B$3305),Data!$BO:$BO,0)-2,53)&lt;&gt;"",INDEX(Tab_DaBa[],MATCH(CONCATENATE(Liste!$C$3,$B$3107,$B$3305),Data!$BO:$BO,0)-2,58)=""),INDEX(Tab_DaBa[],MATCH(CONCATENATE(Liste!$C$3,$B$3107,$B$3305),Data!$BO:$BO,0)-2,13),IF(INDEX(Tab_DaBa[],MATCH(CONCATENATE(Liste!$C$3,$B$3107,$B$3305),Data!$BO:$BO,0)-2,53)&lt;&gt;"",INDEX(Tab_DaBa[],MATCH(CONCATENATE(Liste!$C$3,$B$3107,$B$3305),Data!$BO:$BO,0)-2,58),"")),"")</f>
        <v>Bez_Aus4_8</v>
      </c>
      <c r="E3325" s="38" t="str">
        <f ca="1">IF(F3323="","",4)</f>
        <v/>
      </c>
      <c r="F3325" s="35" t="str">
        <f ca="1">IFERROR(IF(AND(INDEX(Tab_DaBa[],MATCH(CONCATENATE(Liste!$C$3,$B$3107,$B$3305),Data!$BO:$BO,0)-2,58)&lt;&gt;"",INDEX(Tab_DaBa[],MATCH(CONCATENATE(Liste!$C$3,$B$3107,$B$3305),Data!$BO:$BO,0)-2,63)=""),INDEX(Tab_DaBa[],MATCH(CONCATENATE(Liste!$C$3,$B$3107,$B$3305),Data!$BO:$BO,0)-2,13),IF(INDEX(Tab_DaBa[],MATCH(CONCATENATE(Liste!$C$3,$B$3107,$B$3305),Data!$BO:$BO,0)-2,58)&lt;&gt;"",INDEX(Tab_DaBa[],MATCH(CONCATENATE(Liste!$C$3,$B$3107,$B$3305),Data!$BO:$BO,0)-2,63),"")),"")</f>
        <v/>
      </c>
      <c r="G3325" s="38" t="str">
        <f ca="1">IF(H3323="","",4)</f>
        <v/>
      </c>
      <c r="H3325" s="35" t="str">
        <f ca="1">IFERROR(IF(INDEX(Tab_DaBa[],MATCH(CONCATENATE(Liste!$C$3,$B$3107,$B$3305),Data!$BO:$BO,0)-2,63)&lt;&gt;"",INDEX(Tab_DaBa[],MATCH(CONCATENATE(Liste!$C$3,$B$3107,$B$3305),Data!$BO:$BO,0)-2,13),""),"")</f>
        <v/>
      </c>
    </row>
    <row r="3326" spans="2:9" s="16" customFormat="1" ht="15.75">
      <c r="B3326" s="35" t="str">
        <f ca="1">IFERROR(IF(AND(INDEX(Tab_DaBa[],MATCH(CONCATENATE(Liste!$C$3,$B$3107,$B$3305),Data!$BO:$BO,0)-2,48)&lt;&gt;"",INDEX(Tab_DaBa[],MATCH(CONCATENATE(Liste!$C$3,$B$3107,$B$3305),Data!$BO:$BO,0)-2,53)=""),"Performance Level: "&amp;INDEX(Tab_DaBa[],MATCH(CONCATENATE(Liste!$C$3,$B$3107,$B$3305),Data!$BO:$BO,0)-2,15),IF(INDEX(Tab_DaBa[],MATCH(CONCATENATE(Liste!$C$3,$B$3107,$B$3305),Data!$BO:$BO,0)-2,48)&lt;&gt;"","Performance Level: "&amp;INDEX(Tab_DaBa[],MATCH(CONCATENATE(Liste!$C$3,$B$3107,$B$3305),Data!$BO:$BO,0)-2,55),"")),"")</f>
        <v>Performance Level: PL_Lo03_08</v>
      </c>
      <c r="C3326" s="39"/>
      <c r="D3326" s="35" t="str">
        <f ca="1">IFERROR(IF(AND(INDEX(Tab_DaBa[],MATCH(CONCATENATE(Liste!$C$3,$B$3107,$B$3305),Data!$BO:$BO,0)-2,53)&lt;&gt;"",INDEX(Tab_DaBa[],MATCH(CONCATENATE(Liste!$C$3,$B$3107,$B$3305),Data!$BO:$BO,0)-2,58)=""),"Performance Level: "&amp;INDEX(Tab_DaBa[],MATCH(CONCATENATE(Liste!$C$3,$B$3107,$B$3305),Data!$BO:$BO,0)-2,15),IF(INDEX(Tab_DaBa[],MATCH(CONCATENATE(Liste!$C$3,$B$3107,$B$3305),Data!$BO:$BO,0)-2,53)&lt;&gt;"","Performance Level: "&amp;INDEX(Tab_DaBa[],MATCH(CONCATENATE(Liste!$C$3,$B$3107,$B$3305),Data!$BO:$BO,0)-2,60),"")),"")</f>
        <v>Performance Level: PL_Aus4_8</v>
      </c>
      <c r="E3326" s="37"/>
      <c r="F3326" s="35" t="str">
        <f ca="1">IFERROR(IF(AND(INDEX(Tab_DaBa[],MATCH(CONCATENATE(Liste!$C$3,$B$3107,$B$3305),Data!$BO:$BO,0)-2,58)&lt;&gt;"",INDEX(Tab_DaBa[],MATCH(CONCATENATE(Liste!$C$3,$B$3107,$B$3305),Data!$BO:$BO,0)-2,63)=""),"Performance Level: "&amp;INDEX(Tab_DaBa[],MATCH(CONCATENATE(Liste!$C$3,$B$3107,$B$3305),Data!$BO:$BO,0)-2,15),IF(INDEX(Tab_DaBa[],MATCH(CONCATENATE(Liste!$C$3,$B$3107,$B$3305),Data!$BO:$BO,0)-2,58)&lt;&gt;"","Performance Level: "&amp;INDEX(Tab_DaBa[],MATCH(CONCATENATE(Liste!$C$3,$B$3107,$B$3305),Data!$BO:$BO,0)-2,65),"")),"")</f>
        <v/>
      </c>
      <c r="G3326" s="39"/>
      <c r="H3326" s="35" t="str">
        <f ca="1">IFERROR(IF(INDEX(Tab_DaBa[],MATCH(CONCATENATE(Liste!$C$3,$B$3107,$B$3305),Data!$BO:$BO,0)-2,63)&lt;&gt;"","Performance Level: "&amp;INDEX(Tab_DaBa[],MATCH(CONCATENATE(Liste!$C$3,$B$3107,$B$3305),Data!$BO:$BO,0)-2,15),""),"")</f>
        <v/>
      </c>
    </row>
    <row r="3327" spans="2:9" s="16" customFormat="1" ht="15.75">
      <c r="B3327" s="35" t="str">
        <f ca="1">IFERROR(IF(AND(INDEX(Tab_DaBa[],MATCH(CONCATENATE(Liste!$C$3,$B$3107,$B$3305),Data!$BO:$BO,0)-2,48)&lt;&gt;"",INDEX(Tab_DaBa[],MATCH(CONCATENATE(Liste!$C$3,$B$3107,$B$3305),Data!$BO:$BO,0)-2,53)=""),"PFH [1/h] = "&amp;10^9*INDEX(Tab_DaBa[],MATCH(CONCATENATE(Liste!$C$3,$B$3107,$B$3305),Data!$BO:$BO,0)-2,16)&amp;"E-9",IF(INDEX(Tab_DaBa[],MATCH(CONCATENATE(Liste!$C$3,$B$3107,$B$3305),Data!$BO:$BO,0)-2,48)&lt;&gt;"","PFH [1/h] = "&amp;10^9*INDEX(Tab_DaBa[],MATCH(CONCATENATE(Liste!$C$3,$B$3107,$B$3305),Data!$BO:$BO,0)-2,56)&amp;"E-9","")),"")</f>
        <v>PFH [1/h] = 4,19E-9</v>
      </c>
      <c r="C3327" s="39"/>
      <c r="D3327" s="35" t="str">
        <f ca="1">IFERROR(IF(AND(INDEX(Tab_DaBa[],MATCH(CONCATENATE(Liste!$C$3,$B$3107,$B$3305),Data!$BO:$BO,0)-2,53)&lt;&gt;"",INDEX(Tab_DaBa[],MATCH(CONCATENATE(Liste!$C$3,$B$3107,$B$3305),Data!$BO:$BO,0)-2,58)=""),"PFH [1/h] = "&amp;10^9*INDEX(Tab_DaBa[],MATCH(CONCATENATE(Liste!$C$3,$B$3107,$B$3305),Data!$BO:$BO,0)-2,16)&amp;"E-9",IF(INDEX(Tab_DaBa[],MATCH(CONCATENATE(Liste!$C$3,$B$3107,$B$3305),Data!$BO:$BO,0)-2,53)&lt;&gt;"","PFH [1/h] = "&amp;10^9*INDEX(Tab_DaBa[],MATCH(CONCATENATE(Liste!$C$3,$B$3107,$B$3305),Data!$BO:$BO,0)-2,61)&amp;"E-9","")),"")</f>
        <v>PFH [1/h] = 24,7E-9</v>
      </c>
      <c r="E3327" s="37"/>
      <c r="F3327" s="35" t="str">
        <f ca="1">IFERROR(IF(AND(INDEX(Tab_DaBa[],MATCH(CONCATENATE(Liste!$C$3,$B$3107,$B$3305),Data!$BO:$BO,0)-2,58)&lt;&gt;"",INDEX(Tab_DaBa[],MATCH(CONCATENATE(Liste!$C$3,$B$3107,$B$3305),Data!$BO:$BO,0)-2,63)=""),"PFH [1/h] = "&amp;10^9*INDEX(Tab_DaBa[],MATCH(CONCATENATE(Liste!$C$3,$B$3107,$B$3305),Data!$BO:$BO,0)-2,16)&amp;"E-9",IF(INDEX(Tab_DaBa[],MATCH(CONCATENATE(Liste!$C$3,$B$3107,$B$3305),Data!$BO:$BO,0)-2,58)&lt;&gt;"","PFH [1/h] = "&amp;10^9*INDEX(Tab_DaBa[],MATCH(CONCATENATE(Liste!$C$3,$B$3107,$B$3305),Data!$BO:$BO,0)-2,66)&amp;"E-9","")),"")</f>
        <v/>
      </c>
      <c r="G3327" s="39"/>
      <c r="H3327" s="35" t="str">
        <f ca="1">IFERROR(IF(INDEX(Tab_DaBa[],MATCH(CONCATENATE(Liste!$C$3,$B$3107,$B$3305),Data!$BO:$BO,0)-2,63)&lt;&gt;"","PFH [1/h] = "&amp;10^9*INDEX(Tab_DaBa[],MATCH(CONCATENATE(Liste!$C$3,$B$3107,$B$3305),Data!$BO:$BO,0)-2,16)&amp;"E-9",""),"")</f>
        <v/>
      </c>
    </row>
    <row r="3328" spans="2:9" s="16" customFormat="1"/>
    <row r="3329" spans="2:9" s="16" customFormat="1">
      <c r="B3329" s="43" t="str">
        <f ca="1">IF(D3329="","","Erforderlich")</f>
        <v>Erforderlich</v>
      </c>
      <c r="D3329" s="44" t="str">
        <f ca="1">IFERROR("Performance Level: "&amp;INDEX(Tab_DaBa[],MATCH(CONCATENATE(Liste!$C$3,$B$3107,$B$3305),Data!$BO:$BO,0)-2,4),"")</f>
        <v>Performance Level: PLr_ges4_8</v>
      </c>
    </row>
    <row r="3330" spans="2:9" s="16" customFormat="1">
      <c r="B3330" s="45"/>
    </row>
    <row r="3331" spans="2:9" s="16" customFormat="1">
      <c r="B3331" s="46" t="str">
        <f ca="1">IF(D3331="","","Erreicht")</f>
        <v>Erreicht</v>
      </c>
      <c r="D3331" s="47" t="str">
        <f ca="1">IFERROR("Performance Level: "&amp;INDEX(Tab_DaBa[],MATCH(CONCATENATE(Liste!$C$3,$B$3107,$B$3305),Data!$BO:$BO,0)-2,5)&amp;"          PFH [1/h] = "&amp;10^9*INDEX(Tab_DaBa[],MATCH(CONCATENATE(Liste!$C$3,$B$3107,$B$3305),Data!$BO:$BO,0)-2,6)&amp;"E-9","")</f>
        <v>Performance Level: Pl_ges4_8          PFH [1/h] = 71,7E-9</v>
      </c>
    </row>
    <row r="3332" spans="2:9" s="16" customFormat="1">
      <c r="B3332" s="50"/>
      <c r="C3332" s="49"/>
      <c r="D3332" s="49"/>
    </row>
    <row r="3333" spans="2:9" s="16" customFormat="1">
      <c r="B3333" s="42" t="str">
        <f ca="1">IFERROR(IF(9&gt;COUNTIF(Data!$BP:$BP,CONCATENATE(Liste!$C$3,$B$3107)),"",INDEX(Tab_DaBa[],MATCH(CONCATENATE(Liste!$C$3,$B$3107),Data!$BP:$BP,0)+6,3)),"")</f>
        <v>12.9 Test12 (E+9L+A)</v>
      </c>
    </row>
    <row r="3334" spans="2:9" s="16" customFormat="1"/>
    <row r="3335" spans="2:9" s="16" customFormat="1" ht="15.75">
      <c r="B3335" s="35" t="str">
        <f ca="1">IFERROR(INDEX(Tab_DaBa[],MATCH(CONCATENATE(Liste!$C$3,$B$3107,$B$3333),Data!$BO:$BO,0)-2,9),"")</f>
        <v>Eingang</v>
      </c>
      <c r="C3335" s="54"/>
      <c r="D3335" s="35" t="str">
        <f ca="1">IFERROR(IF(INDEX(Tab_DaBa[],MATCH(CONCATENATE(Liste!$C$3,$B$3107,$B$3333),Data!$BO:$BO,0)-2,18)=0,INDEX(Tab_DaBa[],MATCH(CONCATENATE(Liste!$C$3,$B$3107,$B$3333),Data!$BO:$BO,0)-2,14),INDEX(Tab_DaBa[],MATCH(CONCATENATE(Liste!$C$3,$B$3107,$B$3333),Data!$BO:$BO,0)-2,19)),"")</f>
        <v>Logik 01</v>
      </c>
      <c r="E3335" s="33"/>
      <c r="F3335" s="35" t="str">
        <f ca="1">IFERROR(IF(AND(INDEX(Tab_DaBa[],MATCH(CONCATENATE(Liste!$C$3,$B$3107,$B$3333),Data!$BO:$BO,0)-2,18)&lt;&gt;"",INDEX(Tab_DaBa[],MATCH(CONCATENATE(Liste!$C$3,$B$3107,$B$3333),Data!$BO:$BO,0)-2,23)=0),INDEX(Tab_DaBa[],MATCH(CONCATENATE(Liste!$C$3,$B$3107,$B$3333),Data!$BO:$BO,0)-2,14),IF(INDEX(Tab_DaBa[],MATCH(CONCATENATE(Liste!$C$3,$B$3107,$B$3333),Data!$BO:$BO,0)-2,23)&lt;&gt;"",INDEX(Tab_DaBa[],MATCH(CONCATENATE(Liste!$C$3,$B$3107,$B$3333),Data!$BO:$BO,0)-2,24),"")),"")</f>
        <v>Logik 02</v>
      </c>
      <c r="G3335" s="39"/>
      <c r="H3335" s="35" t="str">
        <f ca="1">IFERROR(IF(AND(INDEX(Tab_DaBa[],MATCH(CONCATENATE(Liste!$C$3,$B$3107,$B$3333),Data!$BO:$BO,0)-2,23)&lt;&gt;"",INDEX(Tab_DaBa[],MATCH(CONCATENATE(Liste!$C$3,$B$3107,$B$3333),Data!$BO:$BO,0)-2,28)=0),INDEX(Tab_DaBa[],MATCH(CONCATENATE(Liste!$C$3,$B$3107,$B$3333),Data!$BO:$BO,0)-2,14),IF(INDEX(Tab_DaBa[],MATCH(CONCATENATE(Liste!$C$3,$B$3107,$B$3333),Data!$BO:$BO,0)-2,23)&lt;&gt;"",INDEX(Tab_DaBa[],MATCH(CONCATENATE(Liste!$C$3,$B$3107,$B$3333),Data!$BO:$BO,0)-2,29),"")),"")</f>
        <v>Logik 03</v>
      </c>
      <c r="I3335" s="39"/>
    </row>
    <row r="3336" spans="2:9" s="16" customFormat="1" ht="15.75">
      <c r="B3336" s="35" t="str">
        <f ca="1">IFERROR(INDEX(Tab_DaBa[],MATCH(CONCATENATE(Liste!$C$3,$B$3107,$B$3333),Data!$BO:$BO,0)-2,7),"")</f>
        <v>eeee-33_9</v>
      </c>
      <c r="C3336" s="54"/>
      <c r="D3336" s="35" t="str">
        <f ca="1">IFERROR(IF(INDEX(Tab_DaBa[],MATCH(CONCATENATE(Liste!$C$3,$B$3107,$B$3333),Data!$BO:$BO,0)-2,18)="",INDEX(Tab_DaBa[],MATCH(CONCATENATE(Liste!$C$3,$B$3107,$B$3333),Data!$BO:$BO,0)-2,12),INDEX(Tab_DaBa[],MATCH(CONCATENATE(Liste!$C$3,$B$3107,$B$3333),Data!$BO:$BO,0)-2,17)),"")</f>
        <v>Log01-04_09</v>
      </c>
      <c r="E3336" s="36"/>
      <c r="F3336" s="35" t="str">
        <f ca="1">IFERROR(IF(AND(INDEX(Tab_DaBa[],MATCH(CONCATENATE(Liste!$C$3,$B$3107,$B$3333),Data!$BO:$BO,0)-2,18)&lt;&gt;"",INDEX(Tab_DaBa[],MATCH(CONCATENATE(Liste!$C$3,$B$3107,$B$3333),Data!$BO:$BO,0)-2,23)=0),INDEX(Tab_DaBa[],MATCH(CONCATENATE(Liste!$C$3,$B$3107,$B$3333),Data!$BO:$BO,0)-2,12),IF(INDEX(Tab_DaBa[],MATCH(CONCATENATE(Liste!$C$3,$B$3107,$B$3333),Data!$BO:$BO,0)-2,23)&lt;&gt;"",INDEX(Tab_DaBa[],MATCH(CONCATENATE(Liste!$C$3,$B$3107,$B$3333),Data!$BO:$BO,0)-2,22),"")),"")</f>
        <v>Lo04-04_09</v>
      </c>
      <c r="G3336" s="39"/>
      <c r="H3336" s="35" t="str">
        <f ca="1">IFERROR(IF(AND(INDEX(Tab_DaBa[],MATCH(CONCATENATE(Liste!$C$3,$B$3107,$B$3333),Data!$BO:$BO,0)-2,23)&lt;&gt;"",INDEX(Tab_DaBa[],MATCH(CONCATENATE(Liste!$C$3,$B$3107,$B$3333),Data!$BO:$BO,0)-2,28)=0),INDEX(Tab_DaBa[],MATCH(CONCATENATE(Liste!$C$3,$B$3107,$B$3333),Data!$BO:$BO,0)-2,12),IF(INDEX(Tab_DaBa[],MATCH(CONCATENATE(Liste!$C$3,$B$3107,$B$3333),Data!$BO:$BO,0)-2,23)&lt;&gt;"",INDEX(Tab_DaBa[],MATCH(CONCATENATE(Liste!$C$3,$B$3107,$B$3333),Data!$BO:$BO,0)-2,27),"")),"")</f>
        <v>Lo04-44_09</v>
      </c>
      <c r="I3336" s="39"/>
    </row>
    <row r="3337" spans="2:9" s="16" customFormat="1" ht="15.75">
      <c r="B3337" s="35" t="str">
        <f ca="1">IFERROR(INDEX(Tab_DaBa[],MATCH(CONCATENATE(Liste!$C$3,$B$3107,$B$3333),Data!$BO:$BO,0)-2,8),"")</f>
        <v>Bez_Ein4_9</v>
      </c>
      <c r="C3337" s="40">
        <f ca="1">IF(D3335="","",4)</f>
        <v>4</v>
      </c>
      <c r="D3337" s="35" t="str">
        <f ca="1">IFERROR(IF(INDEX(Tab_DaBa[],MATCH(CONCATENATE(Liste!$C$3,$B$3107,$B$3333),Data!$BO:$BO,0)-2,18)="",INDEX(Tab_DaBa[],MATCH(CONCATENATE(Liste!$C$3,$B$3107,$B$3333),Data!$BO:$BO,0)-2,13),INDEX(Tab_DaBa[],MATCH(CONCATENATE(Liste!$C$3,$B$3107,$B$3333),Data!$BO:$BO,0)-2,18)),"")</f>
        <v>Bez_Log01_04_09</v>
      </c>
      <c r="E3337" s="40">
        <f ca="1">IF(F3335="","",4)</f>
        <v>4</v>
      </c>
      <c r="F3337" s="35" t="str">
        <f ca="1">IFERROR(IF(AND(INDEX(Tab_DaBa[],MATCH(CONCATENATE(Liste!$C$3,$B$3107,$B$3333),Data!$BO:$BO,0)-2,18)&lt;&gt;"",INDEX(Tab_DaBa[],MATCH(CONCATENATE(Liste!$C$3,$B$3107,$B$3333),Data!$BO:$BO,0)-2,23)=""),INDEX(Tab_DaBa[],MATCH(CONCATENATE(Liste!$C$3,$B$3107,$B$3333),Data!$BO:$BO,0)-2,13),IF(INDEX(Tab_DaBa[],MATCH(CONCATENATE(Liste!$C$3,$B$3107,$B$3333),Data!$BO:$BO,0)-2,23)&lt;&gt;"",INDEX(Tab_DaBa[],MATCH(CONCATENATE(Liste!$C$3,$B$3107,$B$3333),Data!$BO:$BO,0)-2,23),"")),"")</f>
        <v>Bez_Lo04_09</v>
      </c>
      <c r="G3337" s="38">
        <f ca="1">IF(H3335="","",4)</f>
        <v>4</v>
      </c>
      <c r="H3337" s="35" t="str">
        <f ca="1">IFERROR(IF(AND(INDEX(Tab_DaBa[],MATCH(CONCATENATE(Liste!$C$3,$B$3107,$B$3333),Data!$BO:$BO,0)-2,23)&lt;&gt;"",INDEX(Tab_DaBa[],MATCH(CONCATENATE(Liste!$C$3,$B$3107,$B$3333),Data!$BO:$BO,0)-2,28)=""),INDEX(Tab_DaBa[],MATCH(CONCATENATE(Liste!$C$3,$B$3107,$B$3333),Data!$BO:$BO,0)-2,13),IF(INDEX(Tab_DaBa[],MATCH(CONCATENATE(Liste!$C$3,$B$3107,$B$3333),Data!$BO:$BO,0)-2,23)&lt;&gt;"",INDEX(Tab_DaBa[],MATCH(CONCATENATE(Liste!$C$3,$B$3107,$B$3333),Data!$BO:$BO,0)-2,28),"")),"")</f>
        <v>Bez_Lo04_09</v>
      </c>
      <c r="I3337" s="38">
        <f ca="1">IF(B3343="","",6)</f>
        <v>6</v>
      </c>
    </row>
    <row r="3338" spans="2:9" s="16" customFormat="1" ht="15.75">
      <c r="B3338" s="35" t="str">
        <f ca="1">IFERROR("Performance Level: "&amp;INDEX(Tab_DaBa[],MATCH(CONCATENATE(Liste!$C$3,$B$3107,$B$3333),Data!$BO:$BO,0)-2,10),"")</f>
        <v>Performance Level: PL_Ein4_9</v>
      </c>
      <c r="C3338" s="54"/>
      <c r="D3338" s="35" t="str">
        <f ca="1">IFERROR(IF(INDEX(Tab_DaBa[],MATCH(CONCATENATE(Liste!$C$3,$B$3107,$B$3333),Data!$BO:$BO,0)-2,18)="","Performance Level: "&amp;INDEX(Tab_DaBa[],MATCH(CONCATENATE(Liste!$C$3,$B$3107,$B$3333),Data!$BO:$BO,0)-2,15),"Performance Level: "&amp;INDEX(Tab_DaBa[],MATCH(CONCATENATE(Liste!$C$3,$B$3107,$B$3333),Data!$BO:$BO,0)-2,20)),"")</f>
        <v>Performance Level: PL_Log01_04_09</v>
      </c>
      <c r="E3338" s="36"/>
      <c r="F3338" s="35" t="str">
        <f ca="1">IFERROR(IF(AND(INDEX(Tab_DaBa[],MATCH(CONCATENATE(Liste!$C$3,$B$3107,$B$3333),Data!$BO:$BO,0)-2,18)&lt;&gt;"",INDEX(Tab_DaBa[],MATCH(CONCATENATE(Liste!$C$3,$B$3107,$B$3333),Data!$BO:$BO,0)-2,23)=""),"Performance Level: "&amp;INDEX(Tab_DaBa[],MATCH(CONCATENATE(Liste!$C$3,$B$3107,$B$3333),Data!$BO:$BO,0)-2,15),IF(INDEX(Tab_DaBa[],MATCH(CONCATENATE(Liste!$C$3,$B$3107,$B$3333),Data!$BO:$BO,0)-2,23)&lt;&gt;"","Performance Level: "&amp;INDEX(Tab_DaBa[],MATCH(CONCATENATE(Liste!$C$3,$B$3107,$B$3333),Data!$BO:$BO,0)-2,25),"")),"")</f>
        <v>Performance Level: PL_Lo04_09</v>
      </c>
      <c r="G3338" s="39"/>
      <c r="H3338" s="35" t="str">
        <f ca="1">IFERROR(IF(AND(INDEX(Tab_DaBa[],MATCH(CONCATENATE(Liste!$C$3,$B$3107,$B$3333),Data!$BO:$BO,0)-2,23)&lt;&gt;"",INDEX(Tab_DaBa[],MATCH(CONCATENATE(Liste!$C$3,$B$3107,$B$3333),Data!$BO:$BO,0)-2,28)=""),"Performance Level: "&amp;INDEX(Tab_DaBa[],MATCH(CONCATENATE(Liste!$C$3,$B$3107,$B$3333),Data!$BO:$BO,0)-2,15),IF(INDEX(Tab_DaBa[],MATCH(CONCATENATE(Liste!$C$3,$B$3107,$B$3333),Data!$BO:$BO,0)-2,23)&lt;&gt;"","Performance Level: "&amp;INDEX(Tab_DaBa[],MATCH(CONCATENATE(Liste!$C$3,$B$3107,$B$3333),Data!$BO:$BO,0)-2,30),"")),"")</f>
        <v>Performance Level: PL_Lo04_09</v>
      </c>
      <c r="I3338" s="38"/>
    </row>
    <row r="3339" spans="2:9" s="16" customFormat="1" ht="15.75">
      <c r="B3339" s="53" t="str">
        <f ca="1">IFERROR("PFH [1/h] = "&amp;10^9*INDEX(Tab_DaBa[],MATCH(CONCATENATE(Liste!$C$3,$B$3107,$B$3333),Data!$BO:$BO,0)-2,11)&amp;"E-9","")</f>
        <v>PFH [1/h] = 42,9E-9</v>
      </c>
      <c r="C3339" s="54"/>
      <c r="D3339" s="35" t="str">
        <f ca="1">IFERROR(IF(INDEX(Tab_DaBa[],MATCH(CONCATENATE(Liste!$C$3,$B$3107,$B$3333),Data!$BO:$BO,0)-2,18)="","PFH [1/h] = "&amp;10^9*INDEX(Tab_DaBa[],MATCH(CONCATENATE(Liste!$C$3,$B$3107,$B$3333),Data!$BO:$BO,0)-2,16)&amp;"E-9","PFH [1/h] = "&amp;10^9*INDEX(Tab_DaBa[],MATCH(CONCATENATE(Liste!$C$3,$B$3107,$B$3333),Data!$BO:$BO,0)-2,21)&amp;"E-9"),"")</f>
        <v>PFH [1/h] = 4,19E-9</v>
      </c>
      <c r="E3339" s="36"/>
      <c r="F3339" s="35" t="str">
        <f ca="1">IFERROR(IF(AND(INDEX(Tab_DaBa[],MATCH(CONCATENATE(Liste!$C$3,$B$3107,$B$3333),Data!$BO:$BO,0)-2,18)&lt;&gt;"",INDEX(Tab_DaBa[],MATCH(CONCATENATE(Liste!$C$3,$B$3107,$B$3333),Data!$BO:$BO,0)-2,23)=""),"PFH [1/h] = "&amp;10^9*INDEX(Tab_DaBa[],MATCH(CONCATENATE(Liste!$C$3,$B$3107,$B$3333),Data!$BO:$BO,0)-2,16)&amp;"E-9",IF(INDEX(Tab_DaBa[],MATCH(CONCATENATE(Liste!$C$3,$B$3107,$B$3333),Data!$BO:$BO,0)-2,23)&lt;&gt;"","PFH [1/h] = "&amp;10^9*INDEX(Tab_DaBa[],MATCH(CONCATENATE(Liste!$C$3,$B$3107,$B$3333),Data!$BO:$BO,0)-2,26)&amp;"E-9","")),"")</f>
        <v>PFH [1/h] = 4,19E-9</v>
      </c>
      <c r="G3339" s="39"/>
      <c r="H3339" s="35" t="str">
        <f ca="1">IFERROR(IF(AND(INDEX(Tab_DaBa[],MATCH(CONCATENATE(Liste!$C$3,$B$3107,$B$3333),Data!$BO:$BO,0)-2,23)&lt;&gt;"",INDEX(Tab_DaBa[],MATCH(CONCATENATE(Liste!$C$3,$B$3107,$B$3333),Data!$BO:$BO,0)-2,28)=""),"PFH [1/h] = "&amp;10^9*INDEX(Tab_DaBa[],MATCH(CONCATENATE(Liste!$C$3,$B$3107,$B$3333),Data!$BO:$BO,0)-2,16)&amp;"E-9",IF(INDEX(Tab_DaBa[],MATCH(CONCATENATE(Liste!$C$3,$B$3107,$B$3333),Data!$BO:$BO,0)-2,23)&lt;&gt;"","PFH [1/h] = "&amp;10^9*INDEX(Tab_DaBa[],MATCH(CONCATENATE(Liste!$C$3,$B$3107,$B$3333),Data!$BO:$BO,0)-2,31)&amp;"E-9","")),"")</f>
        <v>PFH [1/h] = 4,19E-9</v>
      </c>
      <c r="I3339" s="39"/>
    </row>
    <row r="3340" spans="2:9" s="16" customFormat="1">
      <c r="B3340" s="33"/>
      <c r="C3340" s="34"/>
      <c r="D3340" s="33"/>
      <c r="E3340" s="33"/>
      <c r="F3340" s="33"/>
      <c r="G3340" s="33"/>
      <c r="H3340" s="33"/>
      <c r="I3340" s="33"/>
    </row>
    <row r="3341" spans="2:9" s="16" customFormat="1" ht="15.75">
      <c r="B3341" s="38">
        <f ca="1">IF(B3343="","",6)</f>
        <v>6</v>
      </c>
      <c r="C3341" s="34"/>
      <c r="D3341" s="38">
        <f ca="1">IF(B3343="","",3)</f>
        <v>3</v>
      </c>
      <c r="E3341" s="33"/>
      <c r="F3341" s="38">
        <f ca="1">IF(B3343="","",3)</f>
        <v>3</v>
      </c>
      <c r="G3341" s="33"/>
      <c r="H3341" s="38">
        <f ca="1">IF(B3343="","",3)</f>
        <v>3</v>
      </c>
      <c r="I3341" s="33"/>
    </row>
    <row r="3342" spans="2:9" s="16" customFormat="1" ht="15.75">
      <c r="B3342" s="39"/>
      <c r="C3342" s="33"/>
      <c r="D3342" s="33"/>
      <c r="E3342" s="33"/>
      <c r="F3342" s="33"/>
      <c r="G3342" s="33"/>
      <c r="H3342" s="33"/>
      <c r="I3342" s="33"/>
    </row>
    <row r="3343" spans="2:9" s="16" customFormat="1" ht="15.75">
      <c r="B3343" s="35" t="str">
        <f ca="1">IFERROR(IF(AND(INDEX(Tab_DaBa[],MATCH(CONCATENATE(Liste!$C$3,$B$3107,$B$3333),Data!$BO:$BO,0)-2,28)&lt;&gt;"",INDEX(Tab_DaBa[],MATCH(CONCATENATE(Liste!$C$3,$B$3107,$B$3333),Data!$BO:$BO,0)-2,33)=0),INDEX(Tab_DaBa[],MATCH(CONCATENATE(Liste!$C$3,$B$3107,$B$3333),Data!$BO:$BO,0)-2,14),IF(INDEX(Tab_DaBa[],MATCH(CONCATENATE(Liste!$C$3,$B$3107,$B$3333),Data!$BO:$BO,0)-2,28)&lt;&gt;"",INDEX(Tab_DaBa[],MATCH(CONCATENATE(Liste!$C$3,$B$3107,$B$3333),Data!$BO:$BO,0)-2,34),"")),"")</f>
        <v>Logik 04</v>
      </c>
      <c r="C3343" s="39"/>
      <c r="D3343" s="35" t="str">
        <f ca="1">IFERROR(IF(AND(INDEX(Tab_DaBa[],MATCH(CONCATENATE(Liste!$C$3,$B$3107,$B$3333),Data!$BO:$BO,0)-2,33)&lt;&gt;"",INDEX(Tab_DaBa[],MATCH(CONCATENATE(Liste!$C$3,$B$3107,$B$3333),Data!$BO:$BO,0)-2,38)=0),INDEX(Tab_DaBa[],MATCH(CONCATENATE(Liste!$C$3,$B$3107,$B$3333),Data!$BO:$BO,0)-2,14),IF(INDEX(Tab_DaBa[],MATCH(CONCATENATE(Liste!$C$3,$B$3107,$B$3333),Data!$BO:$BO,0)-2,33)&lt;&gt;"",INDEX(Tab_DaBa[],MATCH(CONCATENATE(Liste!$C$3,$B$3107,$B$3333),Data!$BO:$BO,0)-2,39),"")),"")</f>
        <v>Logik 07</v>
      </c>
      <c r="E3343" s="33"/>
      <c r="F3343" s="35" t="str">
        <f ca="1">IFERROR(IF(AND(INDEX(Tab_DaBa[],MATCH(CONCATENATE(Liste!$C$3,$B$3107,$B$3333),Data!$BO:$BO,0)-2,38)&lt;&gt;"",INDEX(Tab_DaBa[],MATCH(CONCATENATE(Liste!$C$3,$B$3107,$B$3333),Data!$BO:$BO,0)-2,43)=0),INDEX(Tab_DaBa[],MATCH(CONCATENATE(Liste!$C$3,$B$3107,$B$3333),Data!$BO:$BO,0)-2,14),IF(INDEX(Tab_DaBa[],MATCH(CONCATENATE(Liste!$C$3,$B$3107,$B$3333),Data!$BO:$BO,0)-2,38)&lt;&gt;"",INDEX(Tab_DaBa[],MATCH(CONCATENATE(Liste!$C$3,$B$3107,$B$3333),Data!$BO:$BO,0)-2,44),"")),"")</f>
        <v>Logik 06</v>
      </c>
      <c r="G3343" s="39"/>
      <c r="H3343" s="35" t="str">
        <f ca="1">IFERROR(IF(AND(INDEX(Tab_DaBa[],MATCH(CONCATENATE(Liste!$C$3,$B$3107,$B$3333),Data!$BO:$BO,0)-2,43)&lt;&gt;"",INDEX(Tab_DaBa[],MATCH(CONCATENATE(Liste!$C$3,$B$3107,$B$3333),Data!$BO:$BO,0)-2,48)=0),INDEX(Tab_DaBa[],MATCH(CONCATENATE(Liste!$C$3,$B$3107,$B$3333),Data!$BO:$BO,0)-2,14),IF(INDEX(Tab_DaBa[],MATCH(CONCATENATE(Liste!$C$3,$B$3107,$B$3333),Data!$BO:$BO,0)-2,43)&lt;&gt;"",INDEX(Tab_DaBa[],MATCH(CONCATENATE(Liste!$C$3,$B$3107,$B$3333),Data!$BO:$BO,0)-2,49),"")),"")</f>
        <v>Logik 07</v>
      </c>
      <c r="I3343" s="39"/>
    </row>
    <row r="3344" spans="2:9" s="16" customFormat="1" ht="15.75">
      <c r="B3344" s="35" t="str">
        <f ca="1">IFERROR(IF(AND(INDEX(Tab_DaBa[],MATCH(CONCATENATE(Liste!$C$3,$B$3107,$B$3333),Data!$BO:$BO,0)-2,28)&lt;&gt;"",INDEX(Tab_DaBa[],MATCH(CONCATENATE(Liste!$C$3,$B$3107,$B$3333),Data!$BO:$BO,0)-2,33)=0),INDEX(Tab_DaBa[],MATCH(CONCATENATE(Liste!$C$3,$B$3107,$B$3333),Data!$BO:$BO,0)-2,12),IF(INDEX(Tab_DaBa[],MATCH(CONCATENATE(Liste!$C$3,$B$3107,$B$3333),Data!$BO:$BO,0)-2,28)&lt;&gt;"",INDEX(Tab_DaBa[],MATCH(CONCATENATE(Liste!$C$3,$B$3107,$B$3333),Data!$BO:$BO,0)-2,32),"")),"")</f>
        <v>Lo04-44_09</v>
      </c>
      <c r="C3344" s="39"/>
      <c r="D3344" s="35" t="str">
        <f ca="1">IFERROR(IF(AND(INDEX(Tab_DaBa[],MATCH(CONCATENATE(Liste!$C$3,$B$3107,$B$3333),Data!$BO:$BO,0)-2,33)&lt;&gt;"",INDEX(Tab_DaBa[],MATCH(CONCATENATE(Liste!$C$3,$B$3107,$B$3333),Data!$BO:$BO,0)-2,38)=0),INDEX(Tab_DaBa[],MATCH(CONCATENATE(Liste!$C$3,$B$3107,$B$3333),Data!$BO:$BO,0)-2,12),IF(INDEX(Tab_DaBa[],MATCH(CONCATENATE(Liste!$C$3,$B$3107,$B$3333),Data!$BO:$BO,0)-2,33)&lt;&gt;"",INDEX(Tab_DaBa[],MATCH(CONCATENATE(Liste!$C$3,$B$3107,$B$3333),Data!$BO:$BO,0)-2,37),"")),"")</f>
        <v>Lo04-44_09</v>
      </c>
      <c r="E3344" s="37"/>
      <c r="F3344" s="35" t="str">
        <f ca="1">IFERROR(IF(AND(INDEX(Tab_DaBa[],MATCH(CONCATENATE(Liste!$C$3,$B$3107,$B$3333),Data!$BO:$BO,0)-2,38)&lt;&gt;"",INDEX(Tab_DaBa[],MATCH(CONCATENATE(Liste!$C$3,$B$3107,$B$3333),Data!$BO:$BO,0)-2,43)=0),INDEX(Tab_DaBa[],MATCH(CONCATENATE(Liste!$C$3,$B$3107,$B$3333),Data!$BO:$BO,0)-2,12),IF(INDEX(Tab_DaBa[],MATCH(CONCATENATE(Liste!$C$3,$B$3107,$B$3333),Data!$BO:$BO,0)-2,38)&lt;&gt;"",INDEX(Tab_DaBa[],MATCH(CONCATENATE(Liste!$C$3,$B$3107,$B$3333),Data!$BO:$BO,0)-2,42),"")),"")</f>
        <v>Lo03-33_09</v>
      </c>
      <c r="G3344" s="39"/>
      <c r="H3344" s="35" t="str">
        <f ca="1">IFERROR(IF(AND(INDEX(Tab_DaBa[],MATCH(CONCATENATE(Liste!$C$3,$B$3107,$B$3333),Data!$BO:$BO,0)-2,43)&lt;&gt;"",INDEX(Tab_DaBa[],MATCH(CONCATENATE(Liste!$C$3,$B$3107,$B$3333),Data!$BO:$BO,0)-2,48)=0),INDEX(Tab_DaBa[],MATCH(CONCATENATE(Liste!$C$3,$B$3107,$B$3333),Data!$BO:$BO,0)-2,12),IF(INDEX(Tab_DaBa[],MATCH(CONCATENATE(Liste!$C$3,$B$3107,$B$3333),Data!$BO:$BO,0)-2,43)&lt;&gt;"",INDEX(Tab_DaBa[],MATCH(CONCATENATE(Liste!$C$3,$B$3107,$B$3333),Data!$BO:$BO,0)-2,47),"")),"")</f>
        <v>Lo03-33_09</v>
      </c>
      <c r="I3344" s="39"/>
    </row>
    <row r="3345" spans="2:9" s="16" customFormat="1" ht="15.75">
      <c r="B3345" s="35" t="str">
        <f ca="1">IFERROR(IF(AND(INDEX(Tab_DaBa[],MATCH(CONCATENATE(Liste!$C$3,$B$3107,$B$3333),Data!$BO:$BO,0)-2,28)&lt;&gt;"",INDEX(Tab_DaBa[],MATCH(CONCATENATE(Liste!$C$3,$B$3107,$B$3333),Data!$BO:$BO,0)-2,33)=""),INDEX(Tab_DaBa[],MATCH(CONCATENATE(Liste!$C$3,$B$3107,$B$3333),Data!$BO:$BO,0)-2,13),IF(INDEX(Tab_DaBa[],MATCH(CONCATENATE(Liste!$C$3,$B$3107,$B$3333),Data!$BO:$BO,0)-2,28)&lt;&gt;"",INDEX(Tab_DaBa[],MATCH(CONCATENATE(Liste!$C$3,$B$3107,$B$3333),Data!$BO:$BO,0)-2,33),"")),"")</f>
        <v>Bez_Lo04_09</v>
      </c>
      <c r="C3345" s="38">
        <f ca="1">IF(D3343="","",4)</f>
        <v>4</v>
      </c>
      <c r="D3345" s="35" t="str">
        <f ca="1">IFERROR(IF(AND(INDEX(Tab_DaBa[],MATCH(CONCATENATE(Liste!$C$3,$B$3107,$B$3333),Data!$BO:$BO,0)-2,33)&lt;&gt;"",INDEX(Tab_DaBa[],MATCH(CONCATENATE(Liste!$C$3,$B$3107,$B$3333),Data!$BO:$BO,0)-2,38)=""),INDEX(Tab_DaBa[],MATCH(CONCATENATE(Liste!$C$3,$B$3107,$B$3333),Data!$BO:$BO,0)-2,13),IF(INDEX(Tab_DaBa[],MATCH(CONCATENATE(Liste!$C$3,$B$3107,$B$3333),Data!$BO:$BO,0)-2,33)&lt;&gt;"",INDEX(Tab_DaBa[],MATCH(CONCATENATE(Liste!$C$3,$B$3107,$B$3333),Data!$BO:$BO,0)-2,38),"")),"")</f>
        <v>Bez_Lo03_09</v>
      </c>
      <c r="E3345" s="38">
        <f ca="1">IF(F3343="","",4)</f>
        <v>4</v>
      </c>
      <c r="F3345" s="35" t="str">
        <f ca="1">IFERROR(IF(AND(INDEX(Tab_DaBa[],MATCH(CONCATENATE(Liste!$C$3,$B$3107,$B$3333),Data!$BO:$BO,0)-2,38)&lt;&gt;"",INDEX(Tab_DaBa[],MATCH(CONCATENATE(Liste!$C$3,$B$3107,$B$3333),Data!$BO:$BO,0)-2,43)=""),INDEX(Tab_DaBa[],MATCH(CONCATENATE(Liste!$C$3,$B$3107,$B$3333),Data!$BO:$BO,0)-2,13),IF(INDEX(Tab_DaBa[],MATCH(CONCATENATE(Liste!$C$3,$B$3107,$B$3333),Data!$BO:$BO,0)-2,38)&lt;&gt;"",INDEX(Tab_DaBa[],MATCH(CONCATENATE(Liste!$C$3,$B$3107,$B$3333),Data!$BO:$BO,0)-2,43),"")),"")</f>
        <v>Bez_Lo03_09</v>
      </c>
      <c r="G3345" s="38">
        <f ca="1">IF(H3343="","",4)</f>
        <v>4</v>
      </c>
      <c r="H3345" s="35" t="str">
        <f ca="1">IFERROR(IF(AND(INDEX(Tab_DaBa[],MATCH(CONCATENATE(Liste!$C$3,$B$3107,$B$3333),Data!$BO:$BO,0)-2,43)&lt;&gt;"",INDEX(Tab_DaBa[],MATCH(CONCATENATE(Liste!$C$3,$B$3107,$B$3333),Data!$BO:$BO,0)-2,48)=""),INDEX(Tab_DaBa[],MATCH(CONCATENATE(Liste!$C$3,$B$3107,$B$3333),Data!$BO:$BO,0)-2,13),IF(INDEX(Tab_DaBa[],MATCH(CONCATENATE(Liste!$C$3,$B$3107,$B$3333),Data!$BO:$BO,0)-2,43)&lt;&gt;"",INDEX(Tab_DaBa[],MATCH(CONCATENATE(Liste!$C$3,$B$3107,$B$3333),Data!$BO:$BO,0)-2,48),"")),"")</f>
        <v>Bez_Lo03_09</v>
      </c>
      <c r="I3345" s="38">
        <f ca="1">IF(B3351="","",6)</f>
        <v>6</v>
      </c>
    </row>
    <row r="3346" spans="2:9" s="16" customFormat="1" ht="15.75">
      <c r="B3346" s="35" t="str">
        <f ca="1">IFERROR(IF(AND(INDEX(Tab_DaBa[],MATCH(CONCATENATE(Liste!$C$3,$B$3107,$B$3333),Data!$BO:$BO,0)-2,28)&lt;&gt;"",INDEX(Tab_DaBa[],MATCH(CONCATENATE(Liste!$C$3,$B$3107,$B$3333),Data!$BO:$BO,0)-2,33)=""),"Performance Level: "&amp;INDEX(Tab_DaBa[],MATCH(CONCATENATE(Liste!$C$3,$B$3107,$B$3333),Data!$BO:$BO,0)-2,15),IF(INDEX(Tab_DaBa[],MATCH(CONCATENATE(Liste!$C$3,$B$3107,$B$3333),Data!$BO:$BO,0)-2,28)&lt;&gt;"","Performance Level: "&amp;INDEX(Tab_DaBa[],MATCH(CONCATENATE(Liste!$C$3,$B$3107,$B$3333),Data!$BO:$BO,0)-2,35),"")),"")</f>
        <v>Performance Level: PL_Lo04_09</v>
      </c>
      <c r="C3346" s="39"/>
      <c r="D3346" s="35" t="str">
        <f ca="1">IFERROR(IF(AND(INDEX(Tab_DaBa[],MATCH(CONCATENATE(Liste!$C$3,$B$3107,$B$3333),Data!$BO:$BO,0)-2,33)&lt;&gt;"",INDEX(Tab_DaBa[],MATCH(CONCATENATE(Liste!$C$3,$B$3107,$B$3333),Data!$BO:$BO,0)-2,38)=""),"Performance Level: "&amp;INDEX(Tab_DaBa[],MATCH(CONCATENATE(Liste!$C$3,$B$3107,$B$3333),Data!$BO:$BO,0)-2,15),IF(INDEX(Tab_DaBa[],MATCH(CONCATENATE(Liste!$C$3,$B$3107,$B$3333),Data!$BO:$BO,0)-2,33)&lt;&gt;"","Performance Level: "&amp;INDEX(Tab_DaBa[],MATCH(CONCATENATE(Liste!$C$3,$B$3107,$B$3333),Data!$BO:$BO,0)-2,40),"")),"")</f>
        <v>Performance Level: PL_Lo03_9</v>
      </c>
      <c r="E3346" s="37"/>
      <c r="F3346" s="35" t="str">
        <f ca="1">IFERROR(IF(AND(INDEX(Tab_DaBa[],MATCH(CONCATENATE(Liste!$C$3,$B$3107,$B$3333),Data!$BO:$BO,0)-2,38)&lt;&gt;"",INDEX(Tab_DaBa[],MATCH(CONCATENATE(Liste!$C$3,$B$3107,$B$3333),Data!$BO:$BO,0)-2,43)=""),"Performance Level: "&amp;INDEX(Tab_DaBa[],MATCH(CONCATENATE(Liste!$C$3,$B$3107,$B$3333),Data!$BO:$BO,0)-2,15),IF(INDEX(Tab_DaBa[],MATCH(CONCATENATE(Liste!$C$3,$B$3107,$B$3333),Data!$BO:$BO,0)-2,38)&lt;&gt;"","Performance Level: "&amp;INDEX(Tab_DaBa[],MATCH(CONCATENATE(Liste!$C$3,$B$3107,$B$3333),Data!$BO:$BO,0)-2,45),"")),"")</f>
        <v>Performance Level: PL_Lo03_09</v>
      </c>
      <c r="G3346" s="39"/>
      <c r="H3346" s="35" t="str">
        <f ca="1">IFERROR(IF(AND(INDEX(Tab_DaBa[],MATCH(CONCATENATE(Liste!$C$3,$B$3107,$B$3333),Data!$BO:$BO,0)-2,43)&lt;&gt;"",INDEX(Tab_DaBa[],MATCH(CONCATENATE(Liste!$C$3,$B$3107,$B$3333),Data!$BO:$BO,0)-2,48)=""),"Performance Level: "&amp;INDEX(Tab_DaBa[],MATCH(CONCATENATE(Liste!$C$3,$B$3107,$B$3333),Data!$BO:$BO,0)-2,15),IF(INDEX(Tab_DaBa[],MATCH(CONCATENATE(Liste!$C$3,$B$3107,$B$3333),Data!$BO:$BO,0)-2,43)&lt;&gt;"","Performance Level: "&amp;INDEX(Tab_DaBa[],MATCH(CONCATENATE(Liste!$C$3,$B$3107,$B$3333),Data!$BO:$BO,0)-2,50),"")),"")</f>
        <v>Performance Level: PL_Lo03_09</v>
      </c>
      <c r="I3346" s="39"/>
    </row>
    <row r="3347" spans="2:9" s="16" customFormat="1" ht="15.75">
      <c r="B3347" s="35" t="str">
        <f ca="1">IFERROR(IF(AND(INDEX(Tab_DaBa[],MATCH(CONCATENATE(Liste!$C$3,$B$3107,$B$3333),Data!$BO:$BO,0)-2,28)&lt;&gt;"",INDEX(Tab_DaBa[],MATCH(CONCATENATE(Liste!$C$3,$B$3107,$B$3333),Data!$BO:$BO,0)-2,33)=""),"PFH [1/h] = "&amp;10^9*INDEX(Tab_DaBa[],MATCH(CONCATENATE(Liste!$C$3,$B$3107,$B$3333),Data!$BO:$BO,0)-2,16)&amp;"E-9",IF(INDEX(Tab_DaBa[],MATCH(CONCATENATE(Liste!$C$3,$B$3107,$B$3333),Data!$BO:$BO,0)-2,28)&lt;&gt;"","PFH [1/h] = "&amp;10^9*INDEX(Tab_DaBa[],MATCH(CONCATENATE(Liste!$C$3,$B$3107,$B$3333),Data!$BO:$BO,0)-2,36)&amp;"E-9","")),"")</f>
        <v>PFH [1/h] = 4,19E-9</v>
      </c>
      <c r="C3347" s="39"/>
      <c r="D3347" s="35" t="str">
        <f ca="1">IFERROR(IF(AND(INDEX(Tab_DaBa[],MATCH(CONCATENATE(Liste!$C$3,$B$3107,$B$3333),Data!$BO:$BO,0)-2,33)&lt;&gt;"",INDEX(Tab_DaBa[],MATCH(CONCATENATE(Liste!$C$3,$B$3107,$B$3333),Data!$BO:$BO,0)-2,38)=""),"PFH [1/h] = "&amp;10^9*INDEX(Tab_DaBa[],MATCH(CONCATENATE(Liste!$C$3,$B$3107,$B$3333),Data!$BO:$BO,0)-2,16)&amp;"E-9",IF(INDEX(Tab_DaBa[],MATCH(CONCATENATE(Liste!$C$3,$B$3107,$B$3333),Data!$BO:$BO,0)-2,33)&lt;&gt;"","PFH [1/h] = "&amp;10^9*INDEX(Tab_DaBa[],MATCH(CONCATENATE(Liste!$C$3,$B$3107,$B$3333),Data!$BO:$BO,0)-2,41)&amp;"E-9","")),"")</f>
        <v>PFH [1/h] = 4,19E-9</v>
      </c>
      <c r="E3347" s="37"/>
      <c r="F3347" s="35" t="str">
        <f ca="1">IFERROR(IF(AND(INDEX(Tab_DaBa[],MATCH(CONCATENATE(Liste!$C$3,$B$3107,$B$3333),Data!$BO:$BO,0)-2,38)&lt;&gt;"",INDEX(Tab_DaBa[],MATCH(CONCATENATE(Liste!$C$3,$B$3107,$B$3333),Data!$BO:$BO,0)-2,43)=""),"PFH [1/h] = "&amp;10^9*INDEX(Tab_DaBa[],MATCH(CONCATENATE(Liste!$C$3,$B$3107,$B$3333),Data!$BO:$BO,0)-2,16)&amp;"E-9",IF(INDEX(Tab_DaBa[],MATCH(CONCATENATE(Liste!$C$3,$B$3107,$B$3333),Data!$BO:$BO,0)-2,38)&lt;&gt;"","PFH [1/h] = "&amp;10^9*INDEX(Tab_DaBa[],MATCH(CONCATENATE(Liste!$C$3,$B$3107,$B$3333),Data!$BO:$BO,0)-2,46)&amp;"E-9","")),"")</f>
        <v>PFH [1/h] = 4,19E-9</v>
      </c>
      <c r="G3347" s="39"/>
      <c r="H3347" s="35" t="str">
        <f ca="1">IFERROR(IF(AND(INDEX(Tab_DaBa[],MATCH(CONCATENATE(Liste!$C$3,$B$3107,$B$3333),Data!$BO:$BO,0)-2,43)&lt;&gt;"",INDEX(Tab_DaBa[],MATCH(CONCATENATE(Liste!$C$3,$B$3107,$B$3333),Data!$BO:$BO,0)-2,48)=""),"PFH [1/h] = "&amp;10^9*INDEX(Tab_DaBa[],MATCH(CONCATENATE(Liste!$C$3,$B$3107,$B$3333),Data!$BO:$BO,0)-2,16)&amp;"E-9",IF(INDEX(Tab_DaBa[],MATCH(CONCATENATE(Liste!$C$3,$B$3107,$B$3333),Data!$BO:$BO,0)-2,43)&lt;&gt;"","PFH [1/h] = "&amp;10^9*INDEX(Tab_DaBa[],MATCH(CONCATENATE(Liste!$C$3,$B$3107,$B$3333),Data!$BO:$BO,0)-2,51)&amp;"E-9","")),"")</f>
        <v>PFH [1/h] = 4,19E-9</v>
      </c>
      <c r="I3347" s="39"/>
    </row>
    <row r="3348" spans="2:9" s="16" customFormat="1">
      <c r="B3348" s="33"/>
      <c r="C3348" s="33"/>
      <c r="D3348" s="33"/>
      <c r="E3348" s="33"/>
      <c r="F3348" s="33"/>
      <c r="G3348" s="33"/>
      <c r="H3348" s="33"/>
      <c r="I3348" s="33"/>
    </row>
    <row r="3349" spans="2:9" s="16" customFormat="1" ht="15.75">
      <c r="B3349" s="38">
        <f ca="1">IF(B3351="","",6)</f>
        <v>6</v>
      </c>
      <c r="C3349" s="33"/>
      <c r="D3349" s="38">
        <f ca="1">IF(B3351="","",3)</f>
        <v>3</v>
      </c>
      <c r="E3349" s="33"/>
      <c r="F3349" s="38">
        <f ca="1">IF(B3351="","",3)</f>
        <v>3</v>
      </c>
      <c r="G3349" s="33"/>
      <c r="H3349" s="38">
        <f ca="1">IF(B3351="","",3)</f>
        <v>3</v>
      </c>
      <c r="I3349" s="33"/>
    </row>
    <row r="3350" spans="2:9" s="16" customFormat="1" ht="15.75">
      <c r="B3350" s="39"/>
      <c r="C3350" s="33"/>
      <c r="D3350" s="33"/>
      <c r="E3350" s="33"/>
      <c r="F3350" s="33"/>
      <c r="G3350" s="33"/>
      <c r="H3350" s="33"/>
      <c r="I3350" s="33"/>
    </row>
    <row r="3351" spans="2:9" s="16" customFormat="1" ht="15.75">
      <c r="B3351" s="35" t="str">
        <f ca="1">IFERROR(IF(AND(INDEX(Tab_DaBa[],MATCH(CONCATENATE(Liste!$C$3,$B$3107,$B$3333),Data!$BO:$BO,0)-2,48)&lt;&gt;"",INDEX(Tab_DaBa[],MATCH(CONCATENATE(Liste!$C$3,$B$3107,$B$3333),Data!$BO:$BO,0)-2,53)=0),INDEX(Tab_DaBa[],MATCH(CONCATENATE(Liste!$C$3,$B$3107,$B$3333),Data!$BO:$BO,0)-2,14),IF(INDEX(Tab_DaBa[],MATCH(CONCATENATE(Liste!$C$3,$B$3107,$B$3333),Data!$BO:$BO,0)-2,48)&lt;&gt;"",INDEX(Tab_DaBa[],MATCH(CONCATENATE(Liste!$C$3,$B$3107,$B$3333),Data!$BO:$BO,0)-2,54),"")),"")</f>
        <v>Logik 08</v>
      </c>
      <c r="C3351" s="39"/>
      <c r="D3351" s="35" t="str">
        <f ca="1">IFERROR(IF(AND(INDEX(Tab_DaBa[],MATCH(CONCATENATE(Liste!$C$3,$B$3107,$B$3333),Data!$BO:$BO,0)-2,53)&lt;&gt;"",INDEX(Tab_DaBa[],MATCH(CONCATENATE(Liste!$C$3,$B$3107,$B$3333),Data!$BO:$BO,0)-2,58)=0),INDEX(Tab_DaBa[],MATCH(CONCATENATE(Liste!$C$3,$B$3107,$B$3333),Data!$BO:$BO,0)-2,14),IF(INDEX(Tab_DaBa[],MATCH(CONCATENATE(Liste!$C$3,$B$3107,$B$3333),Data!$BO:$BO,0)-2,53)&lt;&gt;"",INDEX(Tab_DaBa[],MATCH(CONCATENATE(Liste!$C$3,$B$3107,$B$3333),Data!$BO:$BO,0)-2,59),"")),"")</f>
        <v>Logik 09</v>
      </c>
      <c r="E3351" s="33"/>
      <c r="F3351" s="35" t="str">
        <f ca="1">IFERROR(IF(AND(INDEX(Tab_DaBa[],MATCH(CONCATENATE(Liste!$C$3,$B$3107,$B$3333),Data!$BO:$BO,0)-2,58)&lt;&gt;"",INDEX(Tab_DaBa[],MATCH(CONCATENATE(Liste!$C$3,$B$3107,$B$3333),Data!$BO:$BO,0)-2,63)=0),INDEX(Tab_DaBa[],MATCH(CONCATENATE(Liste!$C$3,$B$3107,$B$3333),Data!$BO:$BO,0)-2,14),IF(INDEX(Tab_DaBa[],MATCH(CONCATENATE(Liste!$C$3,$B$3107,$B$3333),Data!$BO:$BO,0)-2,58)&lt;&gt;"",INDEX(Tab_DaBa[],MATCH(CONCATENATE(Liste!$C$3,$B$3107,$B$3333),Data!$BO:$BO,0)-2,64),"")),"")</f>
        <v>Ausgang</v>
      </c>
      <c r="G3351" s="39"/>
      <c r="H3351" s="35" t="str">
        <f ca="1">IFERROR(IF(INDEX(Tab_DaBa[],MATCH(CONCATENATE(Liste!$C$3,$B$3107,$B$3333),Data!$BO:$BO,0)-2,63)&lt;&gt;"",INDEX(Tab_DaBa[],MATCH(CONCATENATE(Liste!$C$3,$B$3107,$B$3333),Data!$BO:$BO,0)-2,14),""),"")</f>
        <v/>
      </c>
    </row>
    <row r="3352" spans="2:9" s="16" customFormat="1" ht="15.75">
      <c r="B3352" s="35" t="str">
        <f ca="1">IFERROR(IF(AND(INDEX(Tab_DaBa[],MATCH(CONCATENATE(Liste!$C$3,$B$3107,$B$3333),Data!$BO:$BO,0)-2,48)&lt;&gt;"",INDEX(Tab_DaBa[],MATCH(CONCATENATE(Liste!$C$3,$B$3107,$B$3333),Data!$BO:$BO,0)-2,53)=0),INDEX(Tab_DaBa[],MATCH(CONCATENATE(Liste!$C$3,$B$3107,$B$3333),Data!$BO:$BO,0)-2,12),IF(INDEX(Tab_DaBa[],MATCH(CONCATENATE(Liste!$C$3,$B$3107,$B$3333),Data!$BO:$BO,0)-2,48)&lt;&gt;"",INDEX(Tab_DaBa[],MATCH(CONCATENATE(Liste!$C$3,$B$3107,$B$3333),Data!$BO:$BO,0)-2,52),"")),"")</f>
        <v>Lo03-88_09</v>
      </c>
      <c r="C3352" s="39"/>
      <c r="D3352" s="35" t="str">
        <f ca="1">IFERROR(IF(AND(INDEX(Tab_DaBa[],MATCH(CONCATENATE(Liste!$C$3,$B$3107,$B$3333),Data!$BO:$BO,0)-2,53)&lt;&gt;"",INDEX(Tab_DaBa[],MATCH(CONCATENATE(Liste!$C$3,$B$3107,$B$3333),Data!$BO:$BO,0)-2,58)=0),INDEX(Tab_DaBa[],MATCH(CONCATENATE(Liste!$C$3,$B$3107,$B$3333),Data!$BO:$BO,0)-2,12),IF(INDEX(Tab_DaBa[],MATCH(CONCATENATE(Liste!$C$3,$B$3107,$B$3333),Data!$BO:$BO,0)-2,53)&lt;&gt;"",INDEX(Tab_DaBa[],MATCH(CONCATENATE(Liste!$C$3,$B$3107,$B$3333),Data!$BO:$BO,0)-2,57),"")),"")</f>
        <v>Lo03-33_09</v>
      </c>
      <c r="E3352" s="37"/>
      <c r="F3352" s="35" t="str">
        <f ca="1">IFERROR(IF(AND(INDEX(Tab_DaBa[],MATCH(CONCATENATE(Liste!$C$3,$B$3107,$B$3333),Data!$BO:$BO,0)-2,58)&lt;&gt;"",INDEX(Tab_DaBa[],MATCH(CONCATENATE(Liste!$C$3,$B$3107,$B$3333),Data!$BO:$BO,0)-2,63)=0),INDEX(Tab_DaBa[],MATCH(CONCATENATE(Liste!$C$3,$B$3107,$B$3333),Data!$BO:$BO,0)-2,12),IF(INDEX(Tab_DaBa[],MATCH(CONCATENATE(Liste!$C$3,$B$3107,$B$3333),Data!$BO:$BO,0)-2,58)&lt;&gt;"",INDEX(Tab_DaBa[],MATCH(CONCATENATE(Liste!$C$3,$B$3107,$B$3333),Data!$BO:$BO,0)-2,62),"")),"")</f>
        <v>aaaa-44_9</v>
      </c>
      <c r="G3352" s="39"/>
      <c r="H3352" s="35" t="str">
        <f ca="1">IFERROR(IF(INDEX(Tab_DaBa[],MATCH(CONCATENATE(Liste!$C$3,$B$3107,$B$3333),Data!$BO:$BO,0)-2,63)&lt;&gt;"",INDEX(Tab_DaBa[],MATCH(CONCATENATE(Liste!$C$3,$B$3107,$B$3333),Data!$BO:$BO,0)-2,12),""),"")</f>
        <v/>
      </c>
    </row>
    <row r="3353" spans="2:9" s="16" customFormat="1" ht="15.75">
      <c r="B3353" s="35" t="str">
        <f ca="1">IFERROR(IF(AND(INDEX(Tab_DaBa[],MATCH(CONCATENATE(Liste!$C$3,$B$3107,$B$3333),Data!$BO:$BO,0)-2,48)&lt;&gt;"",INDEX(Tab_DaBa[],MATCH(CONCATENATE(Liste!$C$3,$B$3107,$B$3333),Data!$BO:$BO,0)-2,53)=""),INDEX(Tab_DaBa[],MATCH(CONCATENATE(Liste!$C$3,$B$3107,$B$3333),Data!$BO:$BO,0)-2,13),IF(INDEX(Tab_DaBa[],MATCH(CONCATENATE(Liste!$C$3,$B$3107,$B$3333),Data!$BO:$BO,0)-2,48)&lt;&gt;"",INDEX(Tab_DaBa[],MATCH(CONCATENATE(Liste!$C$3,$B$3107,$B$3333),Data!$BO:$BO,0)-2,53),"")),"")</f>
        <v>Bez_Lo03_09</v>
      </c>
      <c r="C3353" s="38">
        <f ca="1">IF(D3351="","",4)</f>
        <v>4</v>
      </c>
      <c r="D3353" s="35" t="str">
        <f ca="1">IFERROR(IF(AND(INDEX(Tab_DaBa[],MATCH(CONCATENATE(Liste!$C$3,$B$3107,$B$3333),Data!$BO:$BO,0)-2,53)&lt;&gt;"",INDEX(Tab_DaBa[],MATCH(CONCATENATE(Liste!$C$3,$B$3107,$B$3333),Data!$BO:$BO,0)-2,58)=""),INDEX(Tab_DaBa[],MATCH(CONCATENATE(Liste!$C$3,$B$3107,$B$3333),Data!$BO:$BO,0)-2,13),IF(INDEX(Tab_DaBa[],MATCH(CONCATENATE(Liste!$C$3,$B$3107,$B$3333),Data!$BO:$BO,0)-2,53)&lt;&gt;"",INDEX(Tab_DaBa[],MATCH(CONCATENATE(Liste!$C$3,$B$3107,$B$3333),Data!$BO:$BO,0)-2,58),"")),"")</f>
        <v>Bez_Lo03_09</v>
      </c>
      <c r="E3353" s="38">
        <f ca="1">IF(F3351="","",4)</f>
        <v>4</v>
      </c>
      <c r="F3353" s="35" t="str">
        <f ca="1">IFERROR(IF(AND(INDEX(Tab_DaBa[],MATCH(CONCATENATE(Liste!$C$3,$B$3107,$B$3333),Data!$BO:$BO,0)-2,58)&lt;&gt;"",INDEX(Tab_DaBa[],MATCH(CONCATENATE(Liste!$C$3,$B$3107,$B$3333),Data!$BO:$BO,0)-2,63)=""),INDEX(Tab_DaBa[],MATCH(CONCATENATE(Liste!$C$3,$B$3107,$B$3333),Data!$BO:$BO,0)-2,13),IF(INDEX(Tab_DaBa[],MATCH(CONCATENATE(Liste!$C$3,$B$3107,$B$3333),Data!$BO:$BO,0)-2,58)&lt;&gt;"",INDEX(Tab_DaBa[],MATCH(CONCATENATE(Liste!$C$3,$B$3107,$B$3333),Data!$BO:$BO,0)-2,63),"")),"")</f>
        <v>Bez_Aus4_9</v>
      </c>
      <c r="G3353" s="38" t="str">
        <f ca="1">IF(H3351="","",4)</f>
        <v/>
      </c>
      <c r="H3353" s="35" t="str">
        <f ca="1">IFERROR(IF(INDEX(Tab_DaBa[],MATCH(CONCATENATE(Liste!$C$3,$B$3107,$B$3333),Data!$BO:$BO,0)-2,63)&lt;&gt;"",INDEX(Tab_DaBa[],MATCH(CONCATENATE(Liste!$C$3,$B$3107,$B$3333),Data!$BO:$BO,0)-2,13),""),"")</f>
        <v/>
      </c>
    </row>
    <row r="3354" spans="2:9" s="16" customFormat="1" ht="15.75">
      <c r="B3354" s="35" t="str">
        <f ca="1">IFERROR(IF(AND(INDEX(Tab_DaBa[],MATCH(CONCATENATE(Liste!$C$3,$B$3107,$B$3333),Data!$BO:$BO,0)-2,48)&lt;&gt;"",INDEX(Tab_DaBa[],MATCH(CONCATENATE(Liste!$C$3,$B$3107,$B$3333),Data!$BO:$BO,0)-2,53)=""),"Performance Level: "&amp;INDEX(Tab_DaBa[],MATCH(CONCATENATE(Liste!$C$3,$B$3107,$B$3333),Data!$BO:$BO,0)-2,15),IF(INDEX(Tab_DaBa[],MATCH(CONCATENATE(Liste!$C$3,$B$3107,$B$3333),Data!$BO:$BO,0)-2,48)&lt;&gt;"","Performance Level: "&amp;INDEX(Tab_DaBa[],MATCH(CONCATENATE(Liste!$C$3,$B$3107,$B$3333),Data!$BO:$BO,0)-2,55),"")),"")</f>
        <v>Performance Level: PL_Lo03_09</v>
      </c>
      <c r="C3354" s="39"/>
      <c r="D3354" s="35" t="str">
        <f ca="1">IFERROR(IF(AND(INDEX(Tab_DaBa[],MATCH(CONCATENATE(Liste!$C$3,$B$3107,$B$3333),Data!$BO:$BO,0)-2,53)&lt;&gt;"",INDEX(Tab_DaBa[],MATCH(CONCATENATE(Liste!$C$3,$B$3107,$B$3333),Data!$BO:$BO,0)-2,58)=""),"Performance Level: "&amp;INDEX(Tab_DaBa[],MATCH(CONCATENATE(Liste!$C$3,$B$3107,$B$3333),Data!$BO:$BO,0)-2,15),IF(INDEX(Tab_DaBa[],MATCH(CONCATENATE(Liste!$C$3,$B$3107,$B$3333),Data!$BO:$BO,0)-2,53)&lt;&gt;"","Performance Level: "&amp;INDEX(Tab_DaBa[],MATCH(CONCATENATE(Liste!$C$3,$B$3107,$B$3333),Data!$BO:$BO,0)-2,60),"")),"")</f>
        <v>Performance Level: PL_Lo03_09</v>
      </c>
      <c r="E3354" s="37"/>
      <c r="F3354" s="35" t="str">
        <f ca="1">IFERROR(IF(AND(INDEX(Tab_DaBa[],MATCH(CONCATENATE(Liste!$C$3,$B$3107,$B$3333),Data!$BO:$BO,0)-2,58)&lt;&gt;"",INDEX(Tab_DaBa[],MATCH(CONCATENATE(Liste!$C$3,$B$3107,$B$3333),Data!$BO:$BO,0)-2,63)=""),"Performance Level: "&amp;INDEX(Tab_DaBa[],MATCH(CONCATENATE(Liste!$C$3,$B$3107,$B$3333),Data!$BO:$BO,0)-2,15),IF(INDEX(Tab_DaBa[],MATCH(CONCATENATE(Liste!$C$3,$B$3107,$B$3333),Data!$BO:$BO,0)-2,58)&lt;&gt;"","Performance Level: "&amp;INDEX(Tab_DaBa[],MATCH(CONCATENATE(Liste!$C$3,$B$3107,$B$3333),Data!$BO:$BO,0)-2,65),"")),"")</f>
        <v>Performance Level: PL_Aus4_9</v>
      </c>
      <c r="G3354" s="39"/>
      <c r="H3354" s="35" t="str">
        <f ca="1">IFERROR(IF(INDEX(Tab_DaBa[],MATCH(CONCATENATE(Liste!$C$3,$B$3107,$B$3333),Data!$BO:$BO,0)-2,63)&lt;&gt;"","Performance Level: "&amp;INDEX(Tab_DaBa[],MATCH(CONCATENATE(Liste!$C$3,$B$3107,$B$3333),Data!$BO:$BO,0)-2,15),""),"")</f>
        <v/>
      </c>
    </row>
    <row r="3355" spans="2:9" s="16" customFormat="1" ht="15.75">
      <c r="B3355" s="35" t="str">
        <f ca="1">IFERROR(IF(AND(INDEX(Tab_DaBa[],MATCH(CONCATENATE(Liste!$C$3,$B$3107,$B$3333),Data!$BO:$BO,0)-2,48)&lt;&gt;"",INDEX(Tab_DaBa[],MATCH(CONCATENATE(Liste!$C$3,$B$3107,$B$3333),Data!$BO:$BO,0)-2,53)=""),"PFH [1/h] = "&amp;10^9*INDEX(Tab_DaBa[],MATCH(CONCATENATE(Liste!$C$3,$B$3107,$B$3333),Data!$BO:$BO,0)-2,16)&amp;"E-9",IF(INDEX(Tab_DaBa[],MATCH(CONCATENATE(Liste!$C$3,$B$3107,$B$3333),Data!$BO:$BO,0)-2,48)&lt;&gt;"","PFH [1/h] = "&amp;10^9*INDEX(Tab_DaBa[],MATCH(CONCATENATE(Liste!$C$3,$B$3107,$B$3333),Data!$BO:$BO,0)-2,56)&amp;"E-9","")),"")</f>
        <v>PFH [1/h] = 4,19E-9</v>
      </c>
      <c r="C3355" s="39"/>
      <c r="D3355" s="35" t="str">
        <f ca="1">IFERROR(IF(AND(INDEX(Tab_DaBa[],MATCH(CONCATENATE(Liste!$C$3,$B$3107,$B$3333),Data!$BO:$BO,0)-2,53)&lt;&gt;"",INDEX(Tab_DaBa[],MATCH(CONCATENATE(Liste!$C$3,$B$3107,$B$3333),Data!$BO:$BO,0)-2,58)=""),"PFH [1/h] = "&amp;10^9*INDEX(Tab_DaBa[],MATCH(CONCATENATE(Liste!$C$3,$B$3107,$B$3333),Data!$BO:$BO,0)-2,16)&amp;"E-9",IF(INDEX(Tab_DaBa[],MATCH(CONCATENATE(Liste!$C$3,$B$3107,$B$3333),Data!$BO:$BO,0)-2,53)&lt;&gt;"","PFH [1/h] = "&amp;10^9*INDEX(Tab_DaBa[],MATCH(CONCATENATE(Liste!$C$3,$B$3107,$B$3333),Data!$BO:$BO,0)-2,61)&amp;"E-9","")),"")</f>
        <v>PFH [1/h] = 4,19E-9</v>
      </c>
      <c r="E3355" s="37"/>
      <c r="F3355" s="35" t="str">
        <f ca="1">IFERROR(IF(AND(INDEX(Tab_DaBa[],MATCH(CONCATENATE(Liste!$C$3,$B$3107,$B$3333),Data!$BO:$BO,0)-2,58)&lt;&gt;"",INDEX(Tab_DaBa[],MATCH(CONCATENATE(Liste!$C$3,$B$3107,$B$3333),Data!$BO:$BO,0)-2,63)=""),"PFH [1/h] = "&amp;10^9*INDEX(Tab_DaBa[],MATCH(CONCATENATE(Liste!$C$3,$B$3107,$B$3333),Data!$BO:$BO,0)-2,16)&amp;"E-9",IF(INDEX(Tab_DaBa[],MATCH(CONCATENATE(Liste!$C$3,$B$3107,$B$3333),Data!$BO:$BO,0)-2,58)&lt;&gt;"","PFH [1/h] = "&amp;10^9*INDEX(Tab_DaBa[],MATCH(CONCATENATE(Liste!$C$3,$B$3107,$B$3333),Data!$BO:$BO,0)-2,66)&amp;"E-9","")),"")</f>
        <v>PFH [1/h] = 24,7E-9</v>
      </c>
      <c r="G3355" s="39"/>
      <c r="H3355" s="35" t="str">
        <f ca="1">IFERROR(IF(INDEX(Tab_DaBa[],MATCH(CONCATENATE(Liste!$C$3,$B$3107,$B$3333),Data!$BO:$BO,0)-2,63)&lt;&gt;"","PFH [1/h] = "&amp;10^9*INDEX(Tab_DaBa[],MATCH(CONCATENATE(Liste!$C$3,$B$3107,$B$3333),Data!$BO:$BO,0)-2,16)&amp;"E-9",""),"")</f>
        <v/>
      </c>
    </row>
    <row r="3356" spans="2:9" s="16" customFormat="1"/>
    <row r="3357" spans="2:9" s="16" customFormat="1">
      <c r="B3357" s="43" t="str">
        <f ca="1">IF(D3357="","","Erforderlich")</f>
        <v>Erforderlich</v>
      </c>
      <c r="D3357" s="44" t="str">
        <f ca="1">IFERROR("Performance Level: "&amp;INDEX(Tab_DaBa[],MATCH(CONCATENATE(Liste!$C$3,$B$3107,$B$3333),Data!$BO:$BO,0)-2,4),"")</f>
        <v>Performance Level: PLr_ges4_9</v>
      </c>
    </row>
    <row r="3358" spans="2:9" s="16" customFormat="1">
      <c r="B3358" s="45"/>
    </row>
    <row r="3359" spans="2:9" s="16" customFormat="1">
      <c r="B3359" s="46" t="str">
        <f ca="1">IF(D3359="","","Erreicht")</f>
        <v>Erreicht</v>
      </c>
      <c r="D3359" s="47" t="str">
        <f ca="1">IFERROR("Performance Level: "&amp;INDEX(Tab_DaBa[],MATCH(CONCATENATE(Liste!$C$3,$B$3107,$B$3333),Data!$BO:$BO,0)-2,5)&amp;"          PFH [1/h] = "&amp;10^9*INDEX(Tab_DaBa[],MATCH(CONCATENATE(Liste!$C$3,$B$3107,$B$3333),Data!$BO:$BO,0)-2,6)&amp;"E-9","")</f>
        <v>Performance Level: Pl_ges4_9          PFH [1/h] = 71,7E-9</v>
      </c>
    </row>
    <row r="3360" spans="2:9" s="16" customFormat="1">
      <c r="B3360" s="50"/>
      <c r="C3360" s="49"/>
      <c r="D3360" s="49"/>
    </row>
    <row r="3361" spans="2:9" s="16" customFormat="1">
      <c r="B3361" s="42" t="str">
        <f ca="1">IFERROR(IF(10&gt;COUNTIF(Data!$BP:$BP,CONCATENATE(Liste!$C$3,$B$3107)),"",INDEX(Tab_DaBa[],MATCH(CONCATENATE(Liste!$C$3,$B$3107),Data!$BP:$BP,0)+7,3)),"")</f>
        <v>12.10 Test12 (E+10L+A)</v>
      </c>
    </row>
    <row r="3362" spans="2:9" s="16" customFormat="1"/>
    <row r="3363" spans="2:9" s="16" customFormat="1" ht="15.75">
      <c r="B3363" s="35" t="str">
        <f ca="1">IFERROR(INDEX(Tab_DaBa[],MATCH(CONCATENATE(Liste!$C$3,$B$3107,$B$3361),Data!$BO:$BO,0)-2,9),"")</f>
        <v>Eingang</v>
      </c>
      <c r="C3363" s="54"/>
      <c r="D3363" s="35" t="str">
        <f ca="1">IFERROR(IF(INDEX(Tab_DaBa[],MATCH(CONCATENATE(Liste!$C$3,$B$3107,$B$3361),Data!$BO:$BO,0)-2,18)=0,INDEX(Tab_DaBa[],MATCH(CONCATENATE(Liste!$C$3,$B$3107,$B$3361),Data!$BO:$BO,0)-2,14),INDEX(Tab_DaBa[],MATCH(CONCATENATE(Liste!$C$3,$B$3107,$B$3361),Data!$BO:$BO,0)-2,19)),"")</f>
        <v>Logik 01</v>
      </c>
      <c r="E3363" s="33"/>
      <c r="F3363" s="35" t="str">
        <f ca="1">IFERROR(IF(AND(INDEX(Tab_DaBa[],MATCH(CONCATENATE(Liste!$C$3,$B$3107,$B$3361),Data!$BO:$BO,0)-2,18)&lt;&gt;"",INDEX(Tab_DaBa[],MATCH(CONCATENATE(Liste!$C$3,$B$3107,$B$3361),Data!$BO:$BO,0)-2,23)=0),INDEX(Tab_DaBa[],MATCH(CONCATENATE(Liste!$C$3,$B$3107,$B$3361),Data!$BO:$BO,0)-2,14),IF(INDEX(Tab_DaBa[],MATCH(CONCATENATE(Liste!$C$3,$B$3107,$B$3361),Data!$BO:$BO,0)-2,23)&lt;&gt;"",INDEX(Tab_DaBa[],MATCH(CONCATENATE(Liste!$C$3,$B$3107,$B$3361),Data!$BO:$BO,0)-2,24),"")),"")</f>
        <v>Logik 02</v>
      </c>
      <c r="G3363" s="39"/>
      <c r="H3363" s="35" t="str">
        <f ca="1">IFERROR(IF(AND(INDEX(Tab_DaBa[],MATCH(CONCATENATE(Liste!$C$3,$B$3107,$B$3361),Data!$BO:$BO,0)-2,23)&lt;&gt;"",INDEX(Tab_DaBa[],MATCH(CONCATENATE(Liste!$C$3,$B$3107,$B$3361),Data!$BO:$BO,0)-2,28)=0),INDEX(Tab_DaBa[],MATCH(CONCATENATE(Liste!$C$3,$B$3107,$B$3361),Data!$BO:$BO,0)-2,14),IF(INDEX(Tab_DaBa[],MATCH(CONCATENATE(Liste!$C$3,$B$3107,$B$3361),Data!$BO:$BO,0)-2,23)&lt;&gt;"",INDEX(Tab_DaBa[],MATCH(CONCATENATE(Liste!$C$3,$B$3107,$B$3361),Data!$BO:$BO,0)-2,29),"")),"")</f>
        <v>Logik 03</v>
      </c>
      <c r="I3363" s="39"/>
    </row>
    <row r="3364" spans="2:9" s="16" customFormat="1" ht="15.75">
      <c r="B3364" s="35" t="str">
        <f ca="1">IFERROR(INDEX(Tab_DaBa[],MATCH(CONCATENATE(Liste!$C$3,$B$3107,$B$3361),Data!$BO:$BO,0)-2,7),"")</f>
        <v>eeee-33_10</v>
      </c>
      <c r="C3364" s="54"/>
      <c r="D3364" s="35" t="str">
        <f ca="1">IFERROR(IF(INDEX(Tab_DaBa[],MATCH(CONCATENATE(Liste!$C$3,$B$3107,$B$3361),Data!$BO:$BO,0)-2,18)="",INDEX(Tab_DaBa[],MATCH(CONCATENATE(Liste!$C$3,$B$3107,$B$3361),Data!$BO:$BO,0)-2,12),INDEX(Tab_DaBa[],MATCH(CONCATENATE(Liste!$C$3,$B$3107,$B$3361),Data!$BO:$BO,0)-2,17)),"")</f>
        <v>Log01-04_10</v>
      </c>
      <c r="E3364" s="36"/>
      <c r="F3364" s="35" t="str">
        <f ca="1">IFERROR(IF(AND(INDEX(Tab_DaBa[],MATCH(CONCATENATE(Liste!$C$3,$B$3107,$B$3361),Data!$BO:$BO,0)-2,18)&lt;&gt;"",INDEX(Tab_DaBa[],MATCH(CONCATENATE(Liste!$C$3,$B$3107,$B$3361),Data!$BO:$BO,0)-2,23)=0),INDEX(Tab_DaBa[],MATCH(CONCATENATE(Liste!$C$3,$B$3107,$B$3361),Data!$BO:$BO,0)-2,12),IF(INDEX(Tab_DaBa[],MATCH(CONCATENATE(Liste!$C$3,$B$3107,$B$3361),Data!$BO:$BO,0)-2,23)&lt;&gt;"",INDEX(Tab_DaBa[],MATCH(CONCATENATE(Liste!$C$3,$B$3107,$B$3361),Data!$BO:$BO,0)-2,22),"")),"")</f>
        <v>Lo04-04_10</v>
      </c>
      <c r="G3364" s="39"/>
      <c r="H3364" s="35" t="str">
        <f ca="1">IFERROR(IF(AND(INDEX(Tab_DaBa[],MATCH(CONCATENATE(Liste!$C$3,$B$3107,$B$3361),Data!$BO:$BO,0)-2,23)&lt;&gt;"",INDEX(Tab_DaBa[],MATCH(CONCATENATE(Liste!$C$3,$B$3107,$B$3361),Data!$BO:$BO,0)-2,28)=0),INDEX(Tab_DaBa[],MATCH(CONCATENATE(Liste!$C$3,$B$3107,$B$3361),Data!$BO:$BO,0)-2,12),IF(INDEX(Tab_DaBa[],MATCH(CONCATENATE(Liste!$C$3,$B$3107,$B$3361),Data!$BO:$BO,0)-2,23)&lt;&gt;"",INDEX(Tab_DaBa[],MATCH(CONCATENATE(Liste!$C$3,$B$3107,$B$3361),Data!$BO:$BO,0)-2,27),"")),"")</f>
        <v>Lo04-44_10</v>
      </c>
      <c r="I3364" s="39"/>
    </row>
    <row r="3365" spans="2:9" s="16" customFormat="1" ht="15.75">
      <c r="B3365" s="35" t="str">
        <f ca="1">IFERROR(INDEX(Tab_DaBa[],MATCH(CONCATENATE(Liste!$C$3,$B$3107,$B$3361),Data!$BO:$BO,0)-2,8),"")</f>
        <v>Bez_Ein4_10</v>
      </c>
      <c r="C3365" s="40">
        <f ca="1">IF(D3363="","",4)</f>
        <v>4</v>
      </c>
      <c r="D3365" s="35" t="str">
        <f ca="1">IFERROR(IF(INDEX(Tab_DaBa[],MATCH(CONCATENATE(Liste!$C$3,$B$3107,$B$3361),Data!$BO:$BO,0)-2,18)="",INDEX(Tab_DaBa[],MATCH(CONCATENATE(Liste!$C$3,$B$3107,$B$3361),Data!$BO:$BO,0)-2,13),INDEX(Tab_DaBa[],MATCH(CONCATENATE(Liste!$C$3,$B$3107,$B$3361),Data!$BO:$BO,0)-2,18)),"")</f>
        <v>Bez_Log01_04_10</v>
      </c>
      <c r="E3365" s="40">
        <f ca="1">IF(F3363="","",4)</f>
        <v>4</v>
      </c>
      <c r="F3365" s="35" t="str">
        <f ca="1">IFERROR(IF(AND(INDEX(Tab_DaBa[],MATCH(CONCATENATE(Liste!$C$3,$B$3107,$B$3361),Data!$BO:$BO,0)-2,18)&lt;&gt;"",INDEX(Tab_DaBa[],MATCH(CONCATENATE(Liste!$C$3,$B$3107,$B$3361),Data!$BO:$BO,0)-2,23)=""),INDEX(Tab_DaBa[],MATCH(CONCATENATE(Liste!$C$3,$B$3107,$B$3361),Data!$BO:$BO,0)-2,13),IF(INDEX(Tab_DaBa[],MATCH(CONCATENATE(Liste!$C$3,$B$3107,$B$3361),Data!$BO:$BO,0)-2,23)&lt;&gt;"",INDEX(Tab_DaBa[],MATCH(CONCATENATE(Liste!$C$3,$B$3107,$B$3361),Data!$BO:$BO,0)-2,23),"")),"")</f>
        <v>Bez_Lo04_10</v>
      </c>
      <c r="G3365" s="38">
        <f ca="1">IF(H3363="","",4)</f>
        <v>4</v>
      </c>
      <c r="H3365" s="35" t="str">
        <f ca="1">IFERROR(IF(AND(INDEX(Tab_DaBa[],MATCH(CONCATENATE(Liste!$C$3,$B$3107,$B$3361),Data!$BO:$BO,0)-2,23)&lt;&gt;"",INDEX(Tab_DaBa[],MATCH(CONCATENATE(Liste!$C$3,$B$3107,$B$3361),Data!$BO:$BO,0)-2,28)=""),INDEX(Tab_DaBa[],MATCH(CONCATENATE(Liste!$C$3,$B$3107,$B$3361),Data!$BO:$BO,0)-2,13),IF(INDEX(Tab_DaBa[],MATCH(CONCATENATE(Liste!$C$3,$B$3107,$B$3361),Data!$BO:$BO,0)-2,23)&lt;&gt;"",INDEX(Tab_DaBa[],MATCH(CONCATENATE(Liste!$C$3,$B$3107,$B$3361),Data!$BO:$BO,0)-2,28),"")),"")</f>
        <v>Bez_Lo04_10</v>
      </c>
      <c r="I3365" s="38">
        <f ca="1">IF(B3371="","",6)</f>
        <v>6</v>
      </c>
    </row>
    <row r="3366" spans="2:9" s="16" customFormat="1" ht="15.75">
      <c r="B3366" s="35" t="str">
        <f ca="1">IFERROR("Performance Level: "&amp;INDEX(Tab_DaBa[],MATCH(CONCATENATE(Liste!$C$3,$B$3107,$B$3361),Data!$BO:$BO,0)-2,10),"")</f>
        <v>Performance Level: PL_Ein4_10</v>
      </c>
      <c r="C3366" s="54"/>
      <c r="D3366" s="35" t="str">
        <f ca="1">IFERROR(IF(INDEX(Tab_DaBa[],MATCH(CONCATENATE(Liste!$C$3,$B$3107,$B$3361),Data!$BO:$BO,0)-2,18)="","Performance Level: "&amp;INDEX(Tab_DaBa[],MATCH(CONCATENATE(Liste!$C$3,$B$3107,$B$3361),Data!$BO:$BO,0)-2,15),"Performance Level: "&amp;INDEX(Tab_DaBa[],MATCH(CONCATENATE(Liste!$C$3,$B$3107,$B$3361),Data!$BO:$BO,0)-2,20)),"")</f>
        <v>Performance Level: PL_Log01_04_10</v>
      </c>
      <c r="E3366" s="36"/>
      <c r="F3366" s="35" t="str">
        <f ca="1">IFERROR(IF(AND(INDEX(Tab_DaBa[],MATCH(CONCATENATE(Liste!$C$3,$B$3107,$B$3361),Data!$BO:$BO,0)-2,18)&lt;&gt;"",INDEX(Tab_DaBa[],MATCH(CONCATENATE(Liste!$C$3,$B$3107,$B$3361),Data!$BO:$BO,0)-2,23)=""),"Performance Level: "&amp;INDEX(Tab_DaBa[],MATCH(CONCATENATE(Liste!$C$3,$B$3107,$B$3361),Data!$BO:$BO,0)-2,15),IF(INDEX(Tab_DaBa[],MATCH(CONCATENATE(Liste!$C$3,$B$3107,$B$3361),Data!$BO:$BO,0)-2,23)&lt;&gt;"","Performance Level: "&amp;INDEX(Tab_DaBa[],MATCH(CONCATENATE(Liste!$C$3,$B$3107,$B$3361),Data!$BO:$BO,0)-2,25),"")),"")</f>
        <v>Performance Level: PL_Lo04_10</v>
      </c>
      <c r="G3366" s="39"/>
      <c r="H3366" s="35" t="str">
        <f ca="1">IFERROR(IF(AND(INDEX(Tab_DaBa[],MATCH(CONCATENATE(Liste!$C$3,$B$3107,$B$3361),Data!$BO:$BO,0)-2,23)&lt;&gt;"",INDEX(Tab_DaBa[],MATCH(CONCATENATE(Liste!$C$3,$B$3107,$B$3361),Data!$BO:$BO,0)-2,28)=""),"Performance Level: "&amp;INDEX(Tab_DaBa[],MATCH(CONCATENATE(Liste!$C$3,$B$3107,$B$3361),Data!$BO:$BO,0)-2,15),IF(INDEX(Tab_DaBa[],MATCH(CONCATENATE(Liste!$C$3,$B$3107,$B$3361),Data!$BO:$BO,0)-2,23)&lt;&gt;"","Performance Level: "&amp;INDEX(Tab_DaBa[],MATCH(CONCATENATE(Liste!$C$3,$B$3107,$B$3361),Data!$BO:$BO,0)-2,30),"")),"")</f>
        <v>Performance Level: PL_Lo04_10</v>
      </c>
      <c r="I3366" s="38"/>
    </row>
    <row r="3367" spans="2:9" s="16" customFormat="1" ht="15.75">
      <c r="B3367" s="53" t="str">
        <f ca="1">IFERROR("PFH [1/h] = "&amp;10^9*INDEX(Tab_DaBa[],MATCH(CONCATENATE(Liste!$C$3,$B$3107,$B$3361),Data!$BO:$BO,0)-2,11)&amp;"E-9","")</f>
        <v>PFH [1/h] = 42,9E-9</v>
      </c>
      <c r="C3367" s="54"/>
      <c r="D3367" s="35" t="str">
        <f ca="1">IFERROR(IF(INDEX(Tab_DaBa[],MATCH(CONCATENATE(Liste!$C$3,$B$3107,$B$3361),Data!$BO:$BO,0)-2,18)="","PFH [1/h] = "&amp;10^9*INDEX(Tab_DaBa[],MATCH(CONCATENATE(Liste!$C$3,$B$3107,$B$3361),Data!$BO:$BO,0)-2,16)&amp;"E-9","PFH [1/h] = "&amp;10^9*INDEX(Tab_DaBa[],MATCH(CONCATENATE(Liste!$C$3,$B$3107,$B$3361),Data!$BO:$BO,0)-2,21)&amp;"E-9"),"")</f>
        <v>PFH [1/h] = 4,19E-9</v>
      </c>
      <c r="E3367" s="36"/>
      <c r="F3367" s="35" t="str">
        <f ca="1">IFERROR(IF(AND(INDEX(Tab_DaBa[],MATCH(CONCATENATE(Liste!$C$3,$B$3107,$B$3361),Data!$BO:$BO,0)-2,18)&lt;&gt;"",INDEX(Tab_DaBa[],MATCH(CONCATENATE(Liste!$C$3,$B$3107,$B$3361),Data!$BO:$BO,0)-2,23)=""),"PFH [1/h] = "&amp;10^9*INDEX(Tab_DaBa[],MATCH(CONCATENATE(Liste!$C$3,$B$3107,$B$3361),Data!$BO:$BO,0)-2,16)&amp;"E-9",IF(INDEX(Tab_DaBa[],MATCH(CONCATENATE(Liste!$C$3,$B$3107,$B$3361),Data!$BO:$BO,0)-2,23)&lt;&gt;"","PFH [1/h] = "&amp;10^9*INDEX(Tab_DaBa[],MATCH(CONCATENATE(Liste!$C$3,$B$3107,$B$3361),Data!$BO:$BO,0)-2,26)&amp;"E-9","")),"")</f>
        <v>PFH [1/h] = 4,19E-9</v>
      </c>
      <c r="G3367" s="39"/>
      <c r="H3367" s="35" t="str">
        <f ca="1">IFERROR(IF(AND(INDEX(Tab_DaBa[],MATCH(CONCATENATE(Liste!$C$3,$B$3107,$B$3361),Data!$BO:$BO,0)-2,23)&lt;&gt;"",INDEX(Tab_DaBa[],MATCH(CONCATENATE(Liste!$C$3,$B$3107,$B$3361),Data!$BO:$BO,0)-2,28)=""),"PFH [1/h] = "&amp;10^9*INDEX(Tab_DaBa[],MATCH(CONCATENATE(Liste!$C$3,$B$3107,$B$3361),Data!$BO:$BO,0)-2,16)&amp;"E-9",IF(INDEX(Tab_DaBa[],MATCH(CONCATENATE(Liste!$C$3,$B$3107,$B$3361),Data!$BO:$BO,0)-2,23)&lt;&gt;"","PFH [1/h] = "&amp;10^9*INDEX(Tab_DaBa[],MATCH(CONCATENATE(Liste!$C$3,$B$3107,$B$3361),Data!$BO:$BO,0)-2,31)&amp;"E-9","")),"")</f>
        <v>PFH [1/h] = 4,19E-9</v>
      </c>
      <c r="I3367" s="39"/>
    </row>
    <row r="3368" spans="2:9" s="16" customFormat="1">
      <c r="B3368" s="33"/>
      <c r="C3368" s="34"/>
      <c r="D3368" s="33"/>
      <c r="E3368" s="33"/>
      <c r="F3368" s="33"/>
      <c r="G3368" s="33"/>
      <c r="H3368" s="33"/>
      <c r="I3368" s="33"/>
    </row>
    <row r="3369" spans="2:9" s="16" customFormat="1" ht="15.75">
      <c r="B3369" s="38">
        <f ca="1">IF(B3371="","",6)</f>
        <v>6</v>
      </c>
      <c r="C3369" s="34"/>
      <c r="D3369" s="38">
        <f ca="1">IF(B3371="","",3)</f>
        <v>3</v>
      </c>
      <c r="E3369" s="33"/>
      <c r="F3369" s="38">
        <f ca="1">IF(B3371="","",3)</f>
        <v>3</v>
      </c>
      <c r="G3369" s="33"/>
      <c r="H3369" s="38">
        <f ca="1">IF(B3371="","",3)</f>
        <v>3</v>
      </c>
      <c r="I3369" s="33"/>
    </row>
    <row r="3370" spans="2:9" s="16" customFormat="1" ht="15.75">
      <c r="B3370" s="39"/>
      <c r="C3370" s="33"/>
      <c r="D3370" s="33"/>
      <c r="E3370" s="33"/>
      <c r="F3370" s="33"/>
      <c r="G3370" s="33"/>
      <c r="H3370" s="33"/>
      <c r="I3370" s="33"/>
    </row>
    <row r="3371" spans="2:9" s="16" customFormat="1" ht="15.75">
      <c r="B3371" s="35" t="str">
        <f ca="1">IFERROR(IF(AND(INDEX(Tab_DaBa[],MATCH(CONCATENATE(Liste!$C$3,$B$3107,$B$3361),Data!$BO:$BO,0)-2,28)&lt;&gt;"",INDEX(Tab_DaBa[],MATCH(CONCATENATE(Liste!$C$3,$B$3107,$B$3361),Data!$BO:$BO,0)-2,33)=0),INDEX(Tab_DaBa[],MATCH(CONCATENATE(Liste!$C$3,$B$3107,$B$3361),Data!$BO:$BO,0)-2,14),IF(INDEX(Tab_DaBa[],MATCH(CONCATENATE(Liste!$C$3,$B$3107,$B$3361),Data!$BO:$BO,0)-2,28)&lt;&gt;"",INDEX(Tab_DaBa[],MATCH(CONCATENATE(Liste!$C$3,$B$3107,$B$3361),Data!$BO:$BO,0)-2,34),"")),"")</f>
        <v>Logik 04</v>
      </c>
      <c r="C3371" s="39"/>
      <c r="D3371" s="35" t="str">
        <f ca="1">IFERROR(IF(AND(INDEX(Tab_DaBa[],MATCH(CONCATENATE(Liste!$C$3,$B$3107,$B$3361),Data!$BO:$BO,0)-2,33)&lt;&gt;"",INDEX(Tab_DaBa[],MATCH(CONCATENATE(Liste!$C$3,$B$3107,$B$3361),Data!$BO:$BO,0)-2,38)=0),INDEX(Tab_DaBa[],MATCH(CONCATENATE(Liste!$C$3,$B$3107,$B$3361),Data!$BO:$BO,0)-2,14),IF(INDEX(Tab_DaBa[],MATCH(CONCATENATE(Liste!$C$3,$B$3107,$B$3361),Data!$BO:$BO,0)-2,33)&lt;&gt;"",INDEX(Tab_DaBa[],MATCH(CONCATENATE(Liste!$C$3,$B$3107,$B$3361),Data!$BO:$BO,0)-2,39),"")),"")</f>
        <v>Logik 08</v>
      </c>
      <c r="E3371" s="33"/>
      <c r="F3371" s="35" t="str">
        <f ca="1">IFERROR(IF(AND(INDEX(Tab_DaBa[],MATCH(CONCATENATE(Liste!$C$3,$B$3107,$B$3361),Data!$BO:$BO,0)-2,38)&lt;&gt;"",INDEX(Tab_DaBa[],MATCH(CONCATENATE(Liste!$C$3,$B$3107,$B$3361),Data!$BO:$BO,0)-2,43)=0),INDEX(Tab_DaBa[],MATCH(CONCATENATE(Liste!$C$3,$B$3107,$B$3361),Data!$BO:$BO,0)-2,14),IF(INDEX(Tab_DaBa[],MATCH(CONCATENATE(Liste!$C$3,$B$3107,$B$3361),Data!$BO:$BO,0)-2,38)&lt;&gt;"",INDEX(Tab_DaBa[],MATCH(CONCATENATE(Liste!$C$3,$B$3107,$B$3361),Data!$BO:$BO,0)-2,44),"")),"")</f>
        <v>Logik 06</v>
      </c>
      <c r="G3371" s="39"/>
      <c r="H3371" s="35" t="str">
        <f ca="1">IFERROR(IF(AND(INDEX(Tab_DaBa[],MATCH(CONCATENATE(Liste!$C$3,$B$3107,$B$3361),Data!$BO:$BO,0)-2,43)&lt;&gt;"",INDEX(Tab_DaBa[],MATCH(CONCATENATE(Liste!$C$3,$B$3107,$B$3361),Data!$BO:$BO,0)-2,48)=0),INDEX(Tab_DaBa[],MATCH(CONCATENATE(Liste!$C$3,$B$3107,$B$3361),Data!$BO:$BO,0)-2,14),IF(INDEX(Tab_DaBa[],MATCH(CONCATENATE(Liste!$C$3,$B$3107,$B$3361),Data!$BO:$BO,0)-2,43)&lt;&gt;"",INDEX(Tab_DaBa[],MATCH(CONCATENATE(Liste!$C$3,$B$3107,$B$3361),Data!$BO:$BO,0)-2,49),"")),"")</f>
        <v>Logik 07</v>
      </c>
      <c r="I3371" s="39"/>
    </row>
    <row r="3372" spans="2:9" s="16" customFormat="1" ht="15.75">
      <c r="B3372" s="35" t="str">
        <f ca="1">IFERROR(IF(AND(INDEX(Tab_DaBa[],MATCH(CONCATENATE(Liste!$C$3,$B$3107,$B$3361),Data!$BO:$BO,0)-2,28)&lt;&gt;"",INDEX(Tab_DaBa[],MATCH(CONCATENATE(Liste!$C$3,$B$3107,$B$3361),Data!$BO:$BO,0)-2,33)=0),INDEX(Tab_DaBa[],MATCH(CONCATENATE(Liste!$C$3,$B$3107,$B$3361),Data!$BO:$BO,0)-2,12),IF(INDEX(Tab_DaBa[],MATCH(CONCATENATE(Liste!$C$3,$B$3107,$B$3361),Data!$BO:$BO,0)-2,28)&lt;&gt;"",INDEX(Tab_DaBa[],MATCH(CONCATENATE(Liste!$C$3,$B$3107,$B$3361),Data!$BO:$BO,0)-2,32),"")),"")</f>
        <v>Lo04-44_10</v>
      </c>
      <c r="C3372" s="39"/>
      <c r="D3372" s="35" t="str">
        <f ca="1">IFERROR(IF(AND(INDEX(Tab_DaBa[],MATCH(CONCATENATE(Liste!$C$3,$B$3107,$B$3361),Data!$BO:$BO,0)-2,33)&lt;&gt;"",INDEX(Tab_DaBa[],MATCH(CONCATENATE(Liste!$C$3,$B$3107,$B$3361),Data!$BO:$BO,0)-2,38)=0),INDEX(Tab_DaBa[],MATCH(CONCATENATE(Liste!$C$3,$B$3107,$B$3361),Data!$BO:$BO,0)-2,12),IF(INDEX(Tab_DaBa[],MATCH(CONCATENATE(Liste!$C$3,$B$3107,$B$3361),Data!$BO:$BO,0)-2,33)&lt;&gt;"",INDEX(Tab_DaBa[],MATCH(CONCATENATE(Liste!$C$3,$B$3107,$B$3361),Data!$BO:$BO,0)-2,37),"")),"")</f>
        <v>Lo04-44_10</v>
      </c>
      <c r="E3372" s="37"/>
      <c r="F3372" s="35" t="str">
        <f ca="1">IFERROR(IF(AND(INDEX(Tab_DaBa[],MATCH(CONCATENATE(Liste!$C$3,$B$3107,$B$3361),Data!$BO:$BO,0)-2,38)&lt;&gt;"",INDEX(Tab_DaBa[],MATCH(CONCATENATE(Liste!$C$3,$B$3107,$B$3361),Data!$BO:$BO,0)-2,43)=0),INDEX(Tab_DaBa[],MATCH(CONCATENATE(Liste!$C$3,$B$3107,$B$3361),Data!$BO:$BO,0)-2,12),IF(INDEX(Tab_DaBa[],MATCH(CONCATENATE(Liste!$C$3,$B$3107,$B$3361),Data!$BO:$BO,0)-2,38)&lt;&gt;"",INDEX(Tab_DaBa[],MATCH(CONCATENATE(Liste!$C$3,$B$3107,$B$3361),Data!$BO:$BO,0)-2,42),"")),"")</f>
        <v>Lo03-33_10</v>
      </c>
      <c r="G3372" s="39"/>
      <c r="H3372" s="35" t="str">
        <f ca="1">IFERROR(IF(AND(INDEX(Tab_DaBa[],MATCH(CONCATENATE(Liste!$C$3,$B$3107,$B$3361),Data!$BO:$BO,0)-2,43)&lt;&gt;"",INDEX(Tab_DaBa[],MATCH(CONCATENATE(Liste!$C$3,$B$3107,$B$3361),Data!$BO:$BO,0)-2,48)=0),INDEX(Tab_DaBa[],MATCH(CONCATENATE(Liste!$C$3,$B$3107,$B$3361),Data!$BO:$BO,0)-2,12),IF(INDEX(Tab_DaBa[],MATCH(CONCATENATE(Liste!$C$3,$B$3107,$B$3361),Data!$BO:$BO,0)-2,43)&lt;&gt;"",INDEX(Tab_DaBa[],MATCH(CONCATENATE(Liste!$C$3,$B$3107,$B$3361),Data!$BO:$BO,0)-2,47),"")),"")</f>
        <v>Lo03-33_10</v>
      </c>
      <c r="I3372" s="39"/>
    </row>
    <row r="3373" spans="2:9" s="16" customFormat="1" ht="15.75">
      <c r="B3373" s="35" t="str">
        <f ca="1">IFERROR(IF(AND(INDEX(Tab_DaBa[],MATCH(CONCATENATE(Liste!$C$3,$B$3107,$B$3361),Data!$BO:$BO,0)-2,28)&lt;&gt;"",INDEX(Tab_DaBa[],MATCH(CONCATENATE(Liste!$C$3,$B$3107,$B$3361),Data!$BO:$BO,0)-2,33)=""),INDEX(Tab_DaBa[],MATCH(CONCATENATE(Liste!$C$3,$B$3107,$B$3361),Data!$BO:$BO,0)-2,13),IF(INDEX(Tab_DaBa[],MATCH(CONCATENATE(Liste!$C$3,$B$3107,$B$3361),Data!$BO:$BO,0)-2,28)&lt;&gt;"",INDEX(Tab_DaBa[],MATCH(CONCATENATE(Liste!$C$3,$B$3107,$B$3361),Data!$BO:$BO,0)-2,33),"")),"")</f>
        <v>Bez_Lo04_10</v>
      </c>
      <c r="C3373" s="38">
        <f ca="1">IF(D3371="","",4)</f>
        <v>4</v>
      </c>
      <c r="D3373" s="35" t="str">
        <f ca="1">IFERROR(IF(AND(INDEX(Tab_DaBa[],MATCH(CONCATENATE(Liste!$C$3,$B$3107,$B$3361),Data!$BO:$BO,0)-2,33)&lt;&gt;"",INDEX(Tab_DaBa[],MATCH(CONCATENATE(Liste!$C$3,$B$3107,$B$3361),Data!$BO:$BO,0)-2,38)=""),INDEX(Tab_DaBa[],MATCH(CONCATENATE(Liste!$C$3,$B$3107,$B$3361),Data!$BO:$BO,0)-2,13),IF(INDEX(Tab_DaBa[],MATCH(CONCATENATE(Liste!$C$3,$B$3107,$B$3361),Data!$BO:$BO,0)-2,33)&lt;&gt;"",INDEX(Tab_DaBa[],MATCH(CONCATENATE(Liste!$C$3,$B$3107,$B$3361),Data!$BO:$BO,0)-2,38),"")),"")</f>
        <v>Bez_Lo03_10</v>
      </c>
      <c r="E3373" s="38">
        <f ca="1">IF(F3371="","",4)</f>
        <v>4</v>
      </c>
      <c r="F3373" s="35" t="str">
        <f ca="1">IFERROR(IF(AND(INDEX(Tab_DaBa[],MATCH(CONCATENATE(Liste!$C$3,$B$3107,$B$3361),Data!$BO:$BO,0)-2,38)&lt;&gt;"",INDEX(Tab_DaBa[],MATCH(CONCATENATE(Liste!$C$3,$B$3107,$B$3361),Data!$BO:$BO,0)-2,43)=""),INDEX(Tab_DaBa[],MATCH(CONCATENATE(Liste!$C$3,$B$3107,$B$3361),Data!$BO:$BO,0)-2,13),IF(INDEX(Tab_DaBa[],MATCH(CONCATENATE(Liste!$C$3,$B$3107,$B$3361),Data!$BO:$BO,0)-2,38)&lt;&gt;"",INDEX(Tab_DaBa[],MATCH(CONCATENATE(Liste!$C$3,$B$3107,$B$3361),Data!$BO:$BO,0)-2,43),"")),"")</f>
        <v>Bez_Lo03_10</v>
      </c>
      <c r="G3373" s="38">
        <f ca="1">IF(H3371="","",4)</f>
        <v>4</v>
      </c>
      <c r="H3373" s="35" t="str">
        <f ca="1">IFERROR(IF(AND(INDEX(Tab_DaBa[],MATCH(CONCATENATE(Liste!$C$3,$B$3107,$B$3361),Data!$BO:$BO,0)-2,43)&lt;&gt;"",INDEX(Tab_DaBa[],MATCH(CONCATENATE(Liste!$C$3,$B$3107,$B$3361),Data!$BO:$BO,0)-2,48)=""),INDEX(Tab_DaBa[],MATCH(CONCATENATE(Liste!$C$3,$B$3107,$B$3361),Data!$BO:$BO,0)-2,13),IF(INDEX(Tab_DaBa[],MATCH(CONCATENATE(Liste!$C$3,$B$3107,$B$3361),Data!$BO:$BO,0)-2,43)&lt;&gt;"",INDEX(Tab_DaBa[],MATCH(CONCATENATE(Liste!$C$3,$B$3107,$B$3361),Data!$BO:$BO,0)-2,48),"")),"")</f>
        <v>Bez_Lo03_10</v>
      </c>
      <c r="I3373" s="38">
        <f ca="1">IF(B3379="","",6)</f>
        <v>6</v>
      </c>
    </row>
    <row r="3374" spans="2:9" s="16" customFormat="1" ht="15.75">
      <c r="B3374" s="35" t="str">
        <f ca="1">IFERROR(IF(AND(INDEX(Tab_DaBa[],MATCH(CONCATENATE(Liste!$C$3,$B$3107,$B$3361),Data!$BO:$BO,0)-2,28)&lt;&gt;"",INDEX(Tab_DaBa[],MATCH(CONCATENATE(Liste!$C$3,$B$3107,$B$3361),Data!$BO:$BO,0)-2,33)=""),"Performance Level: "&amp;INDEX(Tab_DaBa[],MATCH(CONCATENATE(Liste!$C$3,$B$3107,$B$3361),Data!$BO:$BO,0)-2,15),IF(INDEX(Tab_DaBa[],MATCH(CONCATENATE(Liste!$C$3,$B$3107,$B$3361),Data!$BO:$BO,0)-2,28)&lt;&gt;"","Performance Level: "&amp;INDEX(Tab_DaBa[],MATCH(CONCATENATE(Liste!$C$3,$B$3107,$B$3361),Data!$BO:$BO,0)-2,35),"")),"")</f>
        <v>Performance Level: PL_Lo04_10</v>
      </c>
      <c r="C3374" s="39"/>
      <c r="D3374" s="35" t="str">
        <f ca="1">IFERROR(IF(AND(INDEX(Tab_DaBa[],MATCH(CONCATENATE(Liste!$C$3,$B$3107,$B$3361),Data!$BO:$BO,0)-2,33)&lt;&gt;"",INDEX(Tab_DaBa[],MATCH(CONCATENATE(Liste!$C$3,$B$3107,$B$3361),Data!$BO:$BO,0)-2,38)=""),"Performance Level: "&amp;INDEX(Tab_DaBa[],MATCH(CONCATENATE(Liste!$C$3,$B$3107,$B$3361),Data!$BO:$BO,0)-2,15),IF(INDEX(Tab_DaBa[],MATCH(CONCATENATE(Liste!$C$3,$B$3107,$B$3361),Data!$BO:$BO,0)-2,33)&lt;&gt;"","Performance Level: "&amp;INDEX(Tab_DaBa[],MATCH(CONCATENATE(Liste!$C$3,$B$3107,$B$3361),Data!$BO:$BO,0)-2,40),"")),"")</f>
        <v>Performance Level: PL_Lo03_10</v>
      </c>
      <c r="E3374" s="37"/>
      <c r="F3374" s="35" t="str">
        <f ca="1">IFERROR(IF(AND(INDEX(Tab_DaBa[],MATCH(CONCATENATE(Liste!$C$3,$B$3107,$B$3361),Data!$BO:$BO,0)-2,38)&lt;&gt;"",INDEX(Tab_DaBa[],MATCH(CONCATENATE(Liste!$C$3,$B$3107,$B$3361),Data!$BO:$BO,0)-2,43)=""),"Performance Level: "&amp;INDEX(Tab_DaBa[],MATCH(CONCATENATE(Liste!$C$3,$B$3107,$B$3361),Data!$BO:$BO,0)-2,15),IF(INDEX(Tab_DaBa[],MATCH(CONCATENATE(Liste!$C$3,$B$3107,$B$3361),Data!$BO:$BO,0)-2,38)&lt;&gt;"","Performance Level: "&amp;INDEX(Tab_DaBa[],MATCH(CONCATENATE(Liste!$C$3,$B$3107,$B$3361),Data!$BO:$BO,0)-2,45),"")),"")</f>
        <v>Performance Level: PL_Lo03_10</v>
      </c>
      <c r="G3374" s="39"/>
      <c r="H3374" s="35" t="str">
        <f ca="1">IFERROR(IF(AND(INDEX(Tab_DaBa[],MATCH(CONCATENATE(Liste!$C$3,$B$3107,$B$3361),Data!$BO:$BO,0)-2,43)&lt;&gt;"",INDEX(Tab_DaBa[],MATCH(CONCATENATE(Liste!$C$3,$B$3107,$B$3361),Data!$BO:$BO,0)-2,48)=""),"Performance Level: "&amp;INDEX(Tab_DaBa[],MATCH(CONCATENATE(Liste!$C$3,$B$3107,$B$3361),Data!$BO:$BO,0)-2,15),IF(INDEX(Tab_DaBa[],MATCH(CONCATENATE(Liste!$C$3,$B$3107,$B$3361),Data!$BO:$BO,0)-2,43)&lt;&gt;"","Performance Level: "&amp;INDEX(Tab_DaBa[],MATCH(CONCATENATE(Liste!$C$3,$B$3107,$B$3361),Data!$BO:$BO,0)-2,50),"")),"")</f>
        <v>Performance Level: PL_Lo03_10</v>
      </c>
      <c r="I3374" s="39"/>
    </row>
    <row r="3375" spans="2:9" s="16" customFormat="1" ht="15.75">
      <c r="B3375" s="35" t="str">
        <f ca="1">IFERROR(IF(AND(INDEX(Tab_DaBa[],MATCH(CONCATENATE(Liste!$C$3,$B$3107,$B$3361),Data!$BO:$BO,0)-2,28)&lt;&gt;"",INDEX(Tab_DaBa[],MATCH(CONCATENATE(Liste!$C$3,$B$3107,$B$3361),Data!$BO:$BO,0)-2,33)=""),"PFH [1/h] = "&amp;10^9*INDEX(Tab_DaBa[],MATCH(CONCATENATE(Liste!$C$3,$B$3107,$B$3361),Data!$BO:$BO,0)-2,16)&amp;"E-9",IF(INDEX(Tab_DaBa[],MATCH(CONCATENATE(Liste!$C$3,$B$3107,$B$3361),Data!$BO:$BO,0)-2,28)&lt;&gt;"","PFH [1/h] = "&amp;10^9*INDEX(Tab_DaBa[],MATCH(CONCATENATE(Liste!$C$3,$B$3107,$B$3361),Data!$BO:$BO,0)-2,36)&amp;"E-9","")),"")</f>
        <v>PFH [1/h] = 4,19E-9</v>
      </c>
      <c r="C3375" s="39"/>
      <c r="D3375" s="35" t="str">
        <f ca="1">IFERROR(IF(AND(INDEX(Tab_DaBa[],MATCH(CONCATENATE(Liste!$C$3,$B$3107,$B$3361),Data!$BO:$BO,0)-2,33)&lt;&gt;"",INDEX(Tab_DaBa[],MATCH(CONCATENATE(Liste!$C$3,$B$3107,$B$3361),Data!$BO:$BO,0)-2,38)=""),"PFH [1/h] = "&amp;10^9*INDEX(Tab_DaBa[],MATCH(CONCATENATE(Liste!$C$3,$B$3107,$B$3361),Data!$BO:$BO,0)-2,16)&amp;"E-9",IF(INDEX(Tab_DaBa[],MATCH(CONCATENATE(Liste!$C$3,$B$3107,$B$3361),Data!$BO:$BO,0)-2,33)&lt;&gt;"","PFH [1/h] = "&amp;10^9*INDEX(Tab_DaBa[],MATCH(CONCATENATE(Liste!$C$3,$B$3107,$B$3361),Data!$BO:$BO,0)-2,41)&amp;"E-9","")),"")</f>
        <v>PFH [1/h] = 4,19E-9</v>
      </c>
      <c r="E3375" s="37"/>
      <c r="F3375" s="35" t="str">
        <f ca="1">IFERROR(IF(AND(INDEX(Tab_DaBa[],MATCH(CONCATENATE(Liste!$C$3,$B$3107,$B$3361),Data!$BO:$BO,0)-2,38)&lt;&gt;"",INDEX(Tab_DaBa[],MATCH(CONCATENATE(Liste!$C$3,$B$3107,$B$3361),Data!$BO:$BO,0)-2,43)=""),"PFH [1/h] = "&amp;10^9*INDEX(Tab_DaBa[],MATCH(CONCATENATE(Liste!$C$3,$B$3107,$B$3361),Data!$BO:$BO,0)-2,16)&amp;"E-9",IF(INDEX(Tab_DaBa[],MATCH(CONCATENATE(Liste!$C$3,$B$3107,$B$3361),Data!$BO:$BO,0)-2,38)&lt;&gt;"","PFH [1/h] = "&amp;10^9*INDEX(Tab_DaBa[],MATCH(CONCATENATE(Liste!$C$3,$B$3107,$B$3361),Data!$BO:$BO,0)-2,46)&amp;"E-9","")),"")</f>
        <v>PFH [1/h] = 4,19E-9</v>
      </c>
      <c r="G3375" s="39"/>
      <c r="H3375" s="35" t="str">
        <f ca="1">IFERROR(IF(AND(INDEX(Tab_DaBa[],MATCH(CONCATENATE(Liste!$C$3,$B$3107,$B$3361),Data!$BO:$BO,0)-2,43)&lt;&gt;"",INDEX(Tab_DaBa[],MATCH(CONCATENATE(Liste!$C$3,$B$3107,$B$3361),Data!$BO:$BO,0)-2,48)=""),"PFH [1/h] = "&amp;10^9*INDEX(Tab_DaBa[],MATCH(CONCATENATE(Liste!$C$3,$B$3107,$B$3361),Data!$BO:$BO,0)-2,16)&amp;"E-9",IF(INDEX(Tab_DaBa[],MATCH(CONCATENATE(Liste!$C$3,$B$3107,$B$3361),Data!$BO:$BO,0)-2,43)&lt;&gt;"","PFH [1/h] = "&amp;10^9*INDEX(Tab_DaBa[],MATCH(CONCATENATE(Liste!$C$3,$B$3107,$B$3361),Data!$BO:$BO,0)-2,51)&amp;"E-9","")),"")</f>
        <v>PFH [1/h] = 4,19E-9</v>
      </c>
      <c r="I3375" s="39"/>
    </row>
    <row r="3376" spans="2:9" s="16" customFormat="1">
      <c r="B3376" s="33"/>
      <c r="C3376" s="33"/>
      <c r="D3376" s="33"/>
      <c r="E3376" s="33"/>
      <c r="F3376" s="33"/>
      <c r="G3376" s="33"/>
      <c r="H3376" s="33"/>
      <c r="I3376" s="33"/>
    </row>
    <row r="3377" spans="2:9" s="16" customFormat="1" ht="15.75">
      <c r="B3377" s="38">
        <f ca="1">IF(B3379="","",6)</f>
        <v>6</v>
      </c>
      <c r="C3377" s="33"/>
      <c r="D3377" s="38">
        <f ca="1">IF(B3379="","",3)</f>
        <v>3</v>
      </c>
      <c r="E3377" s="33"/>
      <c r="F3377" s="38">
        <f ca="1">IF(B3379="","",3)</f>
        <v>3</v>
      </c>
      <c r="G3377" s="33"/>
      <c r="H3377" s="38">
        <f ca="1">IF(B3379="","",3)</f>
        <v>3</v>
      </c>
      <c r="I3377" s="33"/>
    </row>
    <row r="3378" spans="2:9" s="16" customFormat="1" ht="15.75">
      <c r="B3378" s="39"/>
      <c r="C3378" s="33"/>
      <c r="D3378" s="33"/>
      <c r="E3378" s="33"/>
      <c r="F3378" s="33"/>
      <c r="G3378" s="33"/>
      <c r="H3378" s="33"/>
      <c r="I3378" s="33"/>
    </row>
    <row r="3379" spans="2:9" s="16" customFormat="1" ht="15.75">
      <c r="B3379" s="35" t="str">
        <f ca="1">IFERROR(IF(AND(INDEX(Tab_DaBa[],MATCH(CONCATENATE(Liste!$C$3,$B$3107,$B$3361),Data!$BO:$BO,0)-2,48)&lt;&gt;"",INDEX(Tab_DaBa[],MATCH(CONCATENATE(Liste!$C$3,$B$3107,$B$3361),Data!$BO:$BO,0)-2,53)=0),INDEX(Tab_DaBa[],MATCH(CONCATENATE(Liste!$C$3,$B$3107,$B$3361),Data!$BO:$BO,0)-2,14),IF(INDEX(Tab_DaBa[],MATCH(CONCATENATE(Liste!$C$3,$B$3107,$B$3361),Data!$BO:$BO,0)-2,48)&lt;&gt;"",INDEX(Tab_DaBa[],MATCH(CONCATENATE(Liste!$C$3,$B$3107,$B$3361),Data!$BO:$BO,0)-2,54),"")),"")</f>
        <v>Logik 08</v>
      </c>
      <c r="C3379" s="39"/>
      <c r="D3379" s="35" t="str">
        <f ca="1">IFERROR(IF(AND(INDEX(Tab_DaBa[],MATCH(CONCATENATE(Liste!$C$3,$B$3107,$B$3361),Data!$BO:$BO,0)-2,53)&lt;&gt;"",INDEX(Tab_DaBa[],MATCH(CONCATENATE(Liste!$C$3,$B$3107,$B$3361),Data!$BO:$BO,0)-2,58)=0),INDEX(Tab_DaBa[],MATCH(CONCATENATE(Liste!$C$3,$B$3107,$B$3361),Data!$BO:$BO,0)-2,14),IF(INDEX(Tab_DaBa[],MATCH(CONCATENATE(Liste!$C$3,$B$3107,$B$3361),Data!$BO:$BO,0)-2,53)&lt;&gt;"",INDEX(Tab_DaBa[],MATCH(CONCATENATE(Liste!$C$3,$B$3107,$B$3361),Data!$BO:$BO,0)-2,59),"")),"")</f>
        <v>Logik 09</v>
      </c>
      <c r="E3379" s="33"/>
      <c r="F3379" s="35" t="str">
        <f ca="1">IFERROR(IF(AND(INDEX(Tab_DaBa[],MATCH(CONCATENATE(Liste!$C$3,$B$3107,$B$3361),Data!$BO:$BO,0)-2,58)&lt;&gt;"",INDEX(Tab_DaBa[],MATCH(CONCATENATE(Liste!$C$3,$B$3107,$B$3361),Data!$BO:$BO,0)-2,63)=0),INDEX(Tab_DaBa[],MATCH(CONCATENATE(Liste!$C$3,$B$3107,$B$3361),Data!$BO:$BO,0)-2,14),IF(INDEX(Tab_DaBa[],MATCH(CONCATENATE(Liste!$C$3,$B$3107,$B$3361),Data!$BO:$BO,0)-2,58)&lt;&gt;"",INDEX(Tab_DaBa[],MATCH(CONCATENATE(Liste!$C$3,$B$3107,$B$3361),Data!$BO:$BO,0)-2,64),"")),"")</f>
        <v>Logik 10</v>
      </c>
      <c r="G3379" s="39"/>
      <c r="H3379" s="35" t="str">
        <f ca="1">IFERROR(IF(INDEX(Tab_DaBa[],MATCH(CONCATENATE(Liste!$C$3,$B$3107,$B$3361),Data!$BO:$BO,0)-2,63)&lt;&gt;"",INDEX(Tab_DaBa[],MATCH(CONCATENATE(Liste!$C$3,$B$3107,$B$3361),Data!$BO:$BO,0)-2,14),""),"")</f>
        <v>Ausgang</v>
      </c>
    </row>
    <row r="3380" spans="2:9" s="16" customFormat="1" ht="15.75">
      <c r="B3380" s="35" t="str">
        <f ca="1">IFERROR(IF(AND(INDEX(Tab_DaBa[],MATCH(CONCATENATE(Liste!$C$3,$B$3107,$B$3361),Data!$BO:$BO,0)-2,48)&lt;&gt;"",INDEX(Tab_DaBa[],MATCH(CONCATENATE(Liste!$C$3,$B$3107,$B$3361),Data!$BO:$BO,0)-2,53)=0),INDEX(Tab_DaBa[],MATCH(CONCATENATE(Liste!$C$3,$B$3107,$B$3361),Data!$BO:$BO,0)-2,12),IF(INDEX(Tab_DaBa[],MATCH(CONCATENATE(Liste!$C$3,$B$3107,$B$3361),Data!$BO:$BO,0)-2,48)&lt;&gt;"",INDEX(Tab_DaBa[],MATCH(CONCATENATE(Liste!$C$3,$B$3107,$B$3361),Data!$BO:$BO,0)-2,52),"")),"")</f>
        <v>Lo03-88_10</v>
      </c>
      <c r="C3380" s="39"/>
      <c r="D3380" s="35" t="str">
        <f ca="1">IFERROR(IF(AND(INDEX(Tab_DaBa[],MATCH(CONCATENATE(Liste!$C$3,$B$3107,$B$3361),Data!$BO:$BO,0)-2,53)&lt;&gt;"",INDEX(Tab_DaBa[],MATCH(CONCATENATE(Liste!$C$3,$B$3107,$B$3361),Data!$BO:$BO,0)-2,58)=0),INDEX(Tab_DaBa[],MATCH(CONCATENATE(Liste!$C$3,$B$3107,$B$3361),Data!$BO:$BO,0)-2,12),IF(INDEX(Tab_DaBa[],MATCH(CONCATENATE(Liste!$C$3,$B$3107,$B$3361),Data!$BO:$BO,0)-2,53)&lt;&gt;"",INDEX(Tab_DaBa[],MATCH(CONCATENATE(Liste!$C$3,$B$3107,$B$3361),Data!$BO:$BO,0)-2,57),"")),"")</f>
        <v>Lo03-33_10</v>
      </c>
      <c r="E3380" s="37"/>
      <c r="F3380" s="35" t="str">
        <f ca="1">IFERROR(IF(AND(INDEX(Tab_DaBa[],MATCH(CONCATENATE(Liste!$C$3,$B$3107,$B$3361),Data!$BO:$BO,0)-2,58)&lt;&gt;"",INDEX(Tab_DaBa[],MATCH(CONCATENATE(Liste!$C$3,$B$3107,$B$3361),Data!$BO:$BO,0)-2,63)=0),INDEX(Tab_DaBa[],MATCH(CONCATENATE(Liste!$C$3,$B$3107,$B$3361),Data!$BO:$BO,0)-2,12),IF(INDEX(Tab_DaBa[],MATCH(CONCATENATE(Liste!$C$3,$B$3107,$B$3361),Data!$BO:$BO,0)-2,58)&lt;&gt;"",INDEX(Tab_DaBa[],MATCH(CONCATENATE(Liste!$C$3,$B$3107,$B$3361),Data!$BO:$BO,0)-2,62),"")),"")</f>
        <v>Lo03-10_10</v>
      </c>
      <c r="G3380" s="39"/>
      <c r="H3380" s="35" t="str">
        <f ca="1">IFERROR(IF(INDEX(Tab_DaBa[],MATCH(CONCATENATE(Liste!$C$3,$B$3107,$B$3361),Data!$BO:$BO,0)-2,63)&lt;&gt;"",INDEX(Tab_DaBa[],MATCH(CONCATENATE(Liste!$C$3,$B$3107,$B$3361),Data!$BO:$BO,0)-2,12),""),"")</f>
        <v>aaaa-44_10</v>
      </c>
    </row>
    <row r="3381" spans="2:9" s="16" customFormat="1" ht="15.75">
      <c r="B3381" s="35" t="str">
        <f ca="1">IFERROR(IF(AND(INDEX(Tab_DaBa[],MATCH(CONCATENATE(Liste!$C$3,$B$3107,$B$3361),Data!$BO:$BO,0)-2,48)&lt;&gt;"",INDEX(Tab_DaBa[],MATCH(CONCATENATE(Liste!$C$3,$B$3107,$B$3361),Data!$BO:$BO,0)-2,53)=""),INDEX(Tab_DaBa[],MATCH(CONCATENATE(Liste!$C$3,$B$3107,$B$3361),Data!$BO:$BO,0)-2,13),IF(INDEX(Tab_DaBa[],MATCH(CONCATENATE(Liste!$C$3,$B$3107,$B$3361),Data!$BO:$BO,0)-2,48)&lt;&gt;"",INDEX(Tab_DaBa[],MATCH(CONCATENATE(Liste!$C$3,$B$3107,$B$3361),Data!$BO:$BO,0)-2,53),"")),"")</f>
        <v>Bez_Lo03_10</v>
      </c>
      <c r="C3381" s="38">
        <f ca="1">IF(D3379="","",4)</f>
        <v>4</v>
      </c>
      <c r="D3381" s="35" t="str">
        <f ca="1">IFERROR(IF(AND(INDEX(Tab_DaBa[],MATCH(CONCATENATE(Liste!$C$3,$B$3107,$B$3361),Data!$BO:$BO,0)-2,53)&lt;&gt;"",INDEX(Tab_DaBa[],MATCH(CONCATENATE(Liste!$C$3,$B$3107,$B$3361),Data!$BO:$BO,0)-2,58)=""),INDEX(Tab_DaBa[],MATCH(CONCATENATE(Liste!$C$3,$B$3107,$B$3361),Data!$BO:$BO,0)-2,13),IF(INDEX(Tab_DaBa[],MATCH(CONCATENATE(Liste!$C$3,$B$3107,$B$3361),Data!$BO:$BO,0)-2,53)&lt;&gt;"",INDEX(Tab_DaBa[],MATCH(CONCATENATE(Liste!$C$3,$B$3107,$B$3361),Data!$BO:$BO,0)-2,58),"")),"")</f>
        <v>Bez_Lo03_10</v>
      </c>
      <c r="E3381" s="38">
        <f ca="1">IF(F3379="","",4)</f>
        <v>4</v>
      </c>
      <c r="F3381" s="35" t="str">
        <f ca="1">IFERROR(IF(AND(INDEX(Tab_DaBa[],MATCH(CONCATENATE(Liste!$C$3,$B$3107,$B$3361),Data!$BO:$BO,0)-2,58)&lt;&gt;"",INDEX(Tab_DaBa[],MATCH(CONCATENATE(Liste!$C$3,$B$3107,$B$3361),Data!$BO:$BO,0)-2,63)=""),INDEX(Tab_DaBa[],MATCH(CONCATENATE(Liste!$C$3,$B$3107,$B$3361),Data!$BO:$BO,0)-2,13),IF(INDEX(Tab_DaBa[],MATCH(CONCATENATE(Liste!$C$3,$B$3107,$B$3361),Data!$BO:$BO,0)-2,58)&lt;&gt;"",INDEX(Tab_DaBa[],MATCH(CONCATENATE(Liste!$C$3,$B$3107,$B$3361),Data!$BO:$BO,0)-2,63),"")),"")</f>
        <v>Bez_Lo03_10</v>
      </c>
      <c r="G3381" s="38">
        <f ca="1">IF(H3379="","",4)</f>
        <v>4</v>
      </c>
      <c r="H3381" s="35" t="str">
        <f ca="1">IFERROR(IF(INDEX(Tab_DaBa[],MATCH(CONCATENATE(Liste!$C$3,$B$3107,$B$3361),Data!$BO:$BO,0)-2,63)&lt;&gt;"",INDEX(Tab_DaBa[],MATCH(CONCATENATE(Liste!$C$3,$B$3107,$B$3361),Data!$BO:$BO,0)-2,13),""),"")</f>
        <v>Bez_Aus4_10</v>
      </c>
    </row>
    <row r="3382" spans="2:9" s="16" customFormat="1" ht="15.75">
      <c r="B3382" s="35" t="str">
        <f ca="1">IFERROR(IF(AND(INDEX(Tab_DaBa[],MATCH(CONCATENATE(Liste!$C$3,$B$3107,$B$3361),Data!$BO:$BO,0)-2,48)&lt;&gt;"",INDEX(Tab_DaBa[],MATCH(CONCATENATE(Liste!$C$3,$B$3107,$B$3361),Data!$BO:$BO,0)-2,53)=""),"Performance Level: "&amp;INDEX(Tab_DaBa[],MATCH(CONCATENATE(Liste!$C$3,$B$3107,$B$3361),Data!$BO:$BO,0)-2,15),IF(INDEX(Tab_DaBa[],MATCH(CONCATENATE(Liste!$C$3,$B$3107,$B$3361),Data!$BO:$BO,0)-2,48)&lt;&gt;"","Performance Level: "&amp;INDEX(Tab_DaBa[],MATCH(CONCATENATE(Liste!$C$3,$B$3107,$B$3361),Data!$BO:$BO,0)-2,55),"")),"")</f>
        <v>Performance Level: PL_Lo03_10</v>
      </c>
      <c r="C3382" s="39"/>
      <c r="D3382" s="35" t="str">
        <f ca="1">IFERROR(IF(AND(INDEX(Tab_DaBa[],MATCH(CONCATENATE(Liste!$C$3,$B$3107,$B$3361),Data!$BO:$BO,0)-2,53)&lt;&gt;"",INDEX(Tab_DaBa[],MATCH(CONCATENATE(Liste!$C$3,$B$3107,$B$3361),Data!$BO:$BO,0)-2,58)=""),"Performance Level: "&amp;INDEX(Tab_DaBa[],MATCH(CONCATENATE(Liste!$C$3,$B$3107,$B$3361),Data!$BO:$BO,0)-2,15),IF(INDEX(Tab_DaBa[],MATCH(CONCATENATE(Liste!$C$3,$B$3107,$B$3361),Data!$BO:$BO,0)-2,53)&lt;&gt;"","Performance Level: "&amp;INDEX(Tab_DaBa[],MATCH(CONCATENATE(Liste!$C$3,$B$3107,$B$3361),Data!$BO:$BO,0)-2,60),"")),"")</f>
        <v>Performance Level: PL_Lo03_10</v>
      </c>
      <c r="E3382" s="37"/>
      <c r="F3382" s="35" t="str">
        <f ca="1">IFERROR(IF(AND(INDEX(Tab_DaBa[],MATCH(CONCATENATE(Liste!$C$3,$B$3107,$B$3361),Data!$BO:$BO,0)-2,58)&lt;&gt;"",INDEX(Tab_DaBa[],MATCH(CONCATENATE(Liste!$C$3,$B$3107,$B$3361),Data!$BO:$BO,0)-2,63)=""),"Performance Level: "&amp;INDEX(Tab_DaBa[],MATCH(CONCATENATE(Liste!$C$3,$B$3107,$B$3361),Data!$BO:$BO,0)-2,15),IF(INDEX(Tab_DaBa[],MATCH(CONCATENATE(Liste!$C$3,$B$3107,$B$3361),Data!$BO:$BO,0)-2,58)&lt;&gt;"","Performance Level: "&amp;INDEX(Tab_DaBa[],MATCH(CONCATENATE(Liste!$C$3,$B$3107,$B$3361),Data!$BO:$BO,0)-2,65),"")),"")</f>
        <v>Performance Level: PL_Lo03_10</v>
      </c>
      <c r="G3382" s="39"/>
      <c r="H3382" s="35" t="str">
        <f ca="1">IFERROR(IF(INDEX(Tab_DaBa[],MATCH(CONCATENATE(Liste!$C$3,$B$3107,$B$3361),Data!$BO:$BO,0)-2,63)&lt;&gt;"","Performance Level: "&amp;INDEX(Tab_DaBa[],MATCH(CONCATENATE(Liste!$C$3,$B$3107,$B$3361),Data!$BO:$BO,0)-2,15),""),"")</f>
        <v>Performance Level: PL_Aus4_10</v>
      </c>
    </row>
    <row r="3383" spans="2:9" s="16" customFormat="1" ht="15.75">
      <c r="B3383" s="35" t="str">
        <f ca="1">IFERROR(IF(AND(INDEX(Tab_DaBa[],MATCH(CONCATENATE(Liste!$C$3,$B$3107,$B$3361),Data!$BO:$BO,0)-2,48)&lt;&gt;"",INDEX(Tab_DaBa[],MATCH(CONCATENATE(Liste!$C$3,$B$3107,$B$3361),Data!$BO:$BO,0)-2,53)=""),"PFH [1/h] = "&amp;10^9*INDEX(Tab_DaBa[],MATCH(CONCATENATE(Liste!$C$3,$B$3107,$B$3361),Data!$BO:$BO,0)-2,16)&amp;"E-9",IF(INDEX(Tab_DaBa[],MATCH(CONCATENATE(Liste!$C$3,$B$3107,$B$3361),Data!$BO:$BO,0)-2,48)&lt;&gt;"","PFH [1/h] = "&amp;10^9*INDEX(Tab_DaBa[],MATCH(CONCATENATE(Liste!$C$3,$B$3107,$B$3361),Data!$BO:$BO,0)-2,56)&amp;"E-9","")),"")</f>
        <v>PFH [1/h] = 4,19E-9</v>
      </c>
      <c r="C3383" s="39"/>
      <c r="D3383" s="35" t="str">
        <f ca="1">IFERROR(IF(AND(INDEX(Tab_DaBa[],MATCH(CONCATENATE(Liste!$C$3,$B$3107,$B$3361),Data!$BO:$BO,0)-2,53)&lt;&gt;"",INDEX(Tab_DaBa[],MATCH(CONCATENATE(Liste!$C$3,$B$3107,$B$3361),Data!$BO:$BO,0)-2,58)=""),"PFH [1/h] = "&amp;10^9*INDEX(Tab_DaBa[],MATCH(CONCATENATE(Liste!$C$3,$B$3107,$B$3361),Data!$BO:$BO,0)-2,16)&amp;"E-9",IF(INDEX(Tab_DaBa[],MATCH(CONCATENATE(Liste!$C$3,$B$3107,$B$3361),Data!$BO:$BO,0)-2,53)&lt;&gt;"","PFH [1/h] = "&amp;10^9*INDEX(Tab_DaBa[],MATCH(CONCATENATE(Liste!$C$3,$B$3107,$B$3361),Data!$BO:$BO,0)-2,61)&amp;"E-9","")),"")</f>
        <v>PFH [1/h] = 4,19E-9</v>
      </c>
      <c r="E3383" s="37"/>
      <c r="F3383" s="35" t="str">
        <f ca="1">IFERROR(IF(AND(INDEX(Tab_DaBa[],MATCH(CONCATENATE(Liste!$C$3,$B$3107,$B$3361),Data!$BO:$BO,0)-2,58)&lt;&gt;"",INDEX(Tab_DaBa[],MATCH(CONCATENATE(Liste!$C$3,$B$3107,$B$3361),Data!$BO:$BO,0)-2,63)=""),"PFH [1/h] = "&amp;10^9*INDEX(Tab_DaBa[],MATCH(CONCATENATE(Liste!$C$3,$B$3107,$B$3361),Data!$BO:$BO,0)-2,16)&amp;"E-9",IF(INDEX(Tab_DaBa[],MATCH(CONCATENATE(Liste!$C$3,$B$3107,$B$3361),Data!$BO:$BO,0)-2,58)&lt;&gt;"","PFH [1/h] = "&amp;10^9*INDEX(Tab_DaBa[],MATCH(CONCATENATE(Liste!$C$3,$B$3107,$B$3361),Data!$BO:$BO,0)-2,66)&amp;"E-9","")),"")</f>
        <v>PFH [1/h] = 4,19E-9</v>
      </c>
      <c r="G3383" s="39"/>
      <c r="H3383" s="35" t="str">
        <f ca="1">IFERROR(IF(INDEX(Tab_DaBa[],MATCH(CONCATENATE(Liste!$C$3,$B$3107,$B$3361),Data!$BO:$BO,0)-2,63)&lt;&gt;"","PFH [1/h] = "&amp;10^9*INDEX(Tab_DaBa[],MATCH(CONCATENATE(Liste!$C$3,$B$3107,$B$3361),Data!$BO:$BO,0)-2,16)&amp;"E-9",""),"")</f>
        <v>PFH [1/h] = 24,7E-9</v>
      </c>
    </row>
    <row r="3384" spans="2:9" s="16" customFormat="1"/>
    <row r="3385" spans="2:9" s="16" customFormat="1">
      <c r="B3385" s="43" t="str">
        <f ca="1">IF(D3385="","","Erforderlich")</f>
        <v>Erforderlich</v>
      </c>
      <c r="D3385" s="44" t="str">
        <f ca="1">IFERROR("Performance Level: "&amp;INDEX(Tab_DaBa[],MATCH(CONCATENATE(Liste!$C$3,$B$3107,$B$3361),Data!$BO:$BO,0)-2,4),"")</f>
        <v>Performance Level: PLr_ges4_10</v>
      </c>
    </row>
    <row r="3386" spans="2:9" s="16" customFormat="1">
      <c r="B3386" s="45"/>
    </row>
    <row r="3387" spans="2:9" s="16" customFormat="1">
      <c r="B3387" s="46" t="str">
        <f ca="1">IF(D3387="","","Erreicht")</f>
        <v>Erreicht</v>
      </c>
      <c r="D3387" s="47" t="str">
        <f ca="1">IFERROR("Performance Level: "&amp;INDEX(Tab_DaBa[],MATCH(CONCATENATE(Liste!$C$3,$B$3107,$B$3361),Data!$BO:$BO,0)-2,5)&amp;"          PFH [1/h] = "&amp;10^9*INDEX(Tab_DaBa[],MATCH(CONCATENATE(Liste!$C$3,$B$3107,$B$3361),Data!$BO:$BO,0)-2,6)&amp;"E-9","")</f>
        <v>Performance Level: Pl_ges4_10          PFH [1/h] = 71,7E-9</v>
      </c>
    </row>
    <row r="3388" spans="2:9" s="16" customFormat="1"/>
    <row r="3389" spans="2:9" s="16" customFormat="1">
      <c r="B3389" s="55" t="str">
        <f ca="1">Liste!$D$16</f>
        <v>13. Test13</v>
      </c>
    </row>
    <row r="3390" spans="2:9" s="16" customFormat="1"/>
    <row r="3391" spans="2:9" s="16" customFormat="1">
      <c r="B3391" s="42" t="str">
        <f ca="1">IFERROR(IF(1&gt;COUNTIF(Data!$BP:$BP,CONCATENATE(Liste!$C$3,$B$3389)),"",INDEX(Tab_DaBa[],MATCH(CONCATENATE(Liste!$C$3,$B$3389),Data!$BP:$BP,0)-2,3)),"")</f>
        <v>13.1 Test13 (E+1L+A)</v>
      </c>
    </row>
    <row r="3392" spans="2:9" s="16" customFormat="1"/>
    <row r="3393" spans="2:9" s="16" customFormat="1" ht="15.75">
      <c r="B3393" s="35" t="str">
        <f ca="1">IFERROR(INDEX(Tab_DaBa[],MATCH(CONCATENATE(Liste!$C$3,$B$3389,$B$3391),Data!$BO:$BO,0)-2,9),"")</f>
        <v>Eingang</v>
      </c>
      <c r="C3393" s="54"/>
      <c r="D3393" s="35" t="str">
        <f ca="1">IFERROR(IF(INDEX(Tab_DaBa[],MATCH(CONCATENATE(Liste!$C$3,$B$3389,$B$3391),Data!$BO:$BO,0)-2,18)=0,INDEX(Tab_DaBa[],MATCH(CONCATENATE(Liste!$C$3,$B$3389,$B$3391),Data!$BO:$BO,0)-2,14),INDEX(Tab_DaBa[],MATCH(CONCATENATE(Liste!$C$3,$B$3389,$B$3391),Data!$BO:$BO,0)-2,19)),"")</f>
        <v>Logik 01</v>
      </c>
      <c r="E3393" s="33"/>
      <c r="F3393" s="35" t="str">
        <f ca="1">IFERROR(IF(AND(INDEX(Tab_DaBa[],MATCH(CONCATENATE(Liste!$C$3,$B$3389,$B$3391),Data!$BO:$BO,0)-2,18)&lt;&gt;"",INDEX(Tab_DaBa[],MATCH(CONCATENATE(Liste!$C$3,$B$3389,$B$3391),Data!$BO:$BO,0)-2,23)=0),INDEX(Tab_DaBa[],MATCH(CONCATENATE(Liste!$C$3,$B$3389,$B$3391),Data!$BO:$BO,0)-2,14),IF(INDEX(Tab_DaBa[],MATCH(CONCATENATE(Liste!$C$3,$B$3389,$B$3391),Data!$BO:$BO,0)-2,23)&lt;&gt;"",INDEX(Tab_DaBa[],MATCH(CONCATENATE(Liste!$C$3,$B$3389,$B$3391),Data!$BO:$BO,0)-2,24),"")),"")</f>
        <v>Ausgang</v>
      </c>
      <c r="G3393" s="39"/>
      <c r="H3393" s="35" t="str">
        <f ca="1">IFERROR(IF(AND(INDEX(Tab_DaBa[],MATCH(CONCATENATE(Liste!$C$3,$B$3389,$B$3391),Data!$BO:$BO,0)-2,23)&lt;&gt;"",INDEX(Tab_DaBa[],MATCH(CONCATENATE(Liste!$C$3,$B$3389,$B$3391),Data!$BO:$BO,0)-2,28)=0),INDEX(Tab_DaBa[],MATCH(CONCATENATE(Liste!$C$3,$B$3389,$B$3391),Data!$BO:$BO,0)-2,14),IF(INDEX(Tab_DaBa[],MATCH(CONCATENATE(Liste!$C$3,$B$3389,$B$3391),Data!$BO:$BO,0)-2,23)&lt;&gt;"",INDEX(Tab_DaBa[],MATCH(CONCATENATE(Liste!$C$3,$B$3389,$B$3391),Data!$BO:$BO,0)-2,29),"")),"")</f>
        <v/>
      </c>
      <c r="I3393" s="39"/>
    </row>
    <row r="3394" spans="2:9" s="16" customFormat="1" ht="15.75">
      <c r="B3394" s="35" t="str">
        <f ca="1">IFERROR(INDEX(Tab_DaBa[],MATCH(CONCATENATE(Liste!$C$3,$B$3389,$B$3391),Data!$BO:$BO,0)-2,7),"")</f>
        <v>eeee-33_1</v>
      </c>
      <c r="C3394" s="54"/>
      <c r="D3394" s="35" t="str">
        <f ca="1">IFERROR(IF(INDEX(Tab_DaBa[],MATCH(CONCATENATE(Liste!$C$3,$B$3389,$B$3391),Data!$BO:$BO,0)-2,18)="",INDEX(Tab_DaBa[],MATCH(CONCATENATE(Liste!$C$3,$B$3389,$B$3391),Data!$BO:$BO,0)-2,12),INDEX(Tab_DaBa[],MATCH(CONCATENATE(Liste!$C$3,$B$3389,$B$3391),Data!$BO:$BO,0)-2,17)),"")</f>
        <v>Log01-04_01</v>
      </c>
      <c r="E3394" s="36"/>
      <c r="F3394" s="35" t="str">
        <f ca="1">IFERROR(IF(AND(INDEX(Tab_DaBa[],MATCH(CONCATENATE(Liste!$C$3,$B$3389,$B$3391),Data!$BO:$BO,0)-2,18)&lt;&gt;"",INDEX(Tab_DaBa[],MATCH(CONCATENATE(Liste!$C$3,$B$3389,$B$3391),Data!$BO:$BO,0)-2,23)=0),INDEX(Tab_DaBa[],MATCH(CONCATENATE(Liste!$C$3,$B$3389,$B$3391),Data!$BO:$BO,0)-2,12),IF(INDEX(Tab_DaBa[],MATCH(CONCATENATE(Liste!$C$3,$B$3389,$B$3391),Data!$BO:$BO,0)-2,23)&lt;&gt;"",INDEX(Tab_DaBa[],MATCH(CONCATENATE(Liste!$C$3,$B$3389,$B$3391),Data!$BO:$BO,0)-2,22),"")),"")</f>
        <v>aaaa-44_1</v>
      </c>
      <c r="G3394" s="39"/>
      <c r="H3394" s="35" t="str">
        <f ca="1">IFERROR(IF(AND(INDEX(Tab_DaBa[],MATCH(CONCATENATE(Liste!$C$3,$B$3389,$B$3391),Data!$BO:$BO,0)-2,23)&lt;&gt;"",INDEX(Tab_DaBa[],MATCH(CONCATENATE(Liste!$C$3,$B$3389,$B$3391),Data!$BO:$BO,0)-2,28)=0),INDEX(Tab_DaBa[],MATCH(CONCATENATE(Liste!$C$3,$B$3389,$B$3391),Data!$BO:$BO,0)-2,12),IF(INDEX(Tab_DaBa[],MATCH(CONCATENATE(Liste!$C$3,$B$3389,$B$3391),Data!$BO:$BO,0)-2,23)&lt;&gt;"",INDEX(Tab_DaBa[],MATCH(CONCATENATE(Liste!$C$3,$B$3389,$B$3391),Data!$BO:$BO,0)-2,27),"")),"")</f>
        <v/>
      </c>
      <c r="I3394" s="39"/>
    </row>
    <row r="3395" spans="2:9" s="16" customFormat="1" ht="15.75">
      <c r="B3395" s="35" t="str">
        <f ca="1">IFERROR(INDEX(Tab_DaBa[],MATCH(CONCATENATE(Liste!$C$3,$B$3389,$B$3391),Data!$BO:$BO,0)-2,8),"")</f>
        <v>Bez_Ein4_1</v>
      </c>
      <c r="C3395" s="40">
        <f ca="1">IF(D3393="","",4)</f>
        <v>4</v>
      </c>
      <c r="D3395" s="35" t="str">
        <f ca="1">IFERROR(IF(INDEX(Tab_DaBa[],MATCH(CONCATENATE(Liste!$C$3,$B$3389,$B$3391),Data!$BO:$BO,0)-2,18)="",INDEX(Tab_DaBa[],MATCH(CONCATENATE(Liste!$C$3,$B$3389,$B$3391),Data!$BO:$BO,0)-2,13),INDEX(Tab_DaBa[],MATCH(CONCATENATE(Liste!$C$3,$B$3389,$B$3391),Data!$BO:$BO,0)-2,18)),"")</f>
        <v>Bez_Log01_04_01</v>
      </c>
      <c r="E3395" s="40">
        <f ca="1">IF(F3393="","",4)</f>
        <v>4</v>
      </c>
      <c r="F3395" s="35" t="str">
        <f ca="1">IFERROR(IF(AND(INDEX(Tab_DaBa[],MATCH(CONCATENATE(Liste!$C$3,$B$3389,$B$3391),Data!$BO:$BO,0)-2,18)&lt;&gt;"",INDEX(Tab_DaBa[],MATCH(CONCATENATE(Liste!$C$3,$B$3389,$B$3391),Data!$BO:$BO,0)-2,23)=""),INDEX(Tab_DaBa[],MATCH(CONCATENATE(Liste!$C$3,$B$3389,$B$3391),Data!$BO:$BO,0)-2,13),IF(INDEX(Tab_DaBa[],MATCH(CONCATENATE(Liste!$C$3,$B$3389,$B$3391),Data!$BO:$BO,0)-2,23)&lt;&gt;"",INDEX(Tab_DaBa[],MATCH(CONCATENATE(Liste!$C$3,$B$3389,$B$3391),Data!$BO:$BO,0)-2,23),"")),"")</f>
        <v>Bez_Aus4_1</v>
      </c>
      <c r="G3395" s="38" t="str">
        <f ca="1">IF(H3393="","",4)</f>
        <v/>
      </c>
      <c r="H3395" s="35" t="str">
        <f ca="1">IFERROR(IF(AND(INDEX(Tab_DaBa[],MATCH(CONCATENATE(Liste!$C$3,$B$3389,$B$3391),Data!$BO:$BO,0)-2,23)&lt;&gt;"",INDEX(Tab_DaBa[],MATCH(CONCATENATE(Liste!$C$3,$B$3389,$B$3391),Data!$BO:$BO,0)-2,28)=""),INDEX(Tab_DaBa[],MATCH(CONCATENATE(Liste!$C$3,$B$3389,$B$3391),Data!$BO:$BO,0)-2,13),IF(INDEX(Tab_DaBa[],MATCH(CONCATENATE(Liste!$C$3,$B$3389,$B$3391),Data!$BO:$BO,0)-2,23)&lt;&gt;"",INDEX(Tab_DaBa[],MATCH(CONCATENATE(Liste!$C$3,$B$3389,$B$3391),Data!$BO:$BO,0)-2,28),"")),"")</f>
        <v/>
      </c>
      <c r="I3395" s="38" t="str">
        <f ca="1">IF(B3401="","",6)</f>
        <v/>
      </c>
    </row>
    <row r="3396" spans="2:9" s="16" customFormat="1" ht="15.75">
      <c r="B3396" s="35" t="str">
        <f ca="1">IFERROR("Performance Level: "&amp;INDEX(Tab_DaBa[],MATCH(CONCATENATE(Liste!$C$3,$B$3389,$B$3391),Data!$BO:$BO,0)-2,10),"")</f>
        <v>Performance Level: PL_Ein4_1</v>
      </c>
      <c r="C3396" s="54"/>
      <c r="D3396" s="35" t="str">
        <f ca="1">IFERROR(IF(INDEX(Tab_DaBa[],MATCH(CONCATENATE(Liste!$C$3,$B$3389,$B$3391),Data!$BO:$BO,0)-2,18)="","Performance Level: "&amp;INDEX(Tab_DaBa[],MATCH(CONCATENATE(Liste!$C$3,$B$3389,$B$3391),Data!$BO:$BO,0)-2,15),"Performance Level: "&amp;INDEX(Tab_DaBa[],MATCH(CONCATENATE(Liste!$C$3,$B$3389,$B$3391),Data!$BO:$BO,0)-2,20)),"")</f>
        <v>Performance Level: PL_Log01_04_01</v>
      </c>
      <c r="E3396" s="36"/>
      <c r="F3396" s="35" t="str">
        <f ca="1">IFERROR(IF(AND(INDEX(Tab_DaBa[],MATCH(CONCATENATE(Liste!$C$3,$B$3389,$B$3391),Data!$BO:$BO,0)-2,18)&lt;&gt;"",INDEX(Tab_DaBa[],MATCH(CONCATENATE(Liste!$C$3,$B$3389,$B$3391),Data!$BO:$BO,0)-2,23)=""),"Performance Level: "&amp;INDEX(Tab_DaBa[],MATCH(CONCATENATE(Liste!$C$3,$B$3389,$B$3391),Data!$BO:$BO,0)-2,15),IF(INDEX(Tab_DaBa[],MATCH(CONCATENATE(Liste!$C$3,$B$3389,$B$3391),Data!$BO:$BO,0)-2,23)&lt;&gt;"","Performance Level: "&amp;INDEX(Tab_DaBa[],MATCH(CONCATENATE(Liste!$C$3,$B$3389,$B$3391),Data!$BO:$BO,0)-2,25),"")),"")</f>
        <v>Performance Level: PL_Aus4_1</v>
      </c>
      <c r="G3396" s="39"/>
      <c r="H3396" s="35" t="str">
        <f ca="1">IFERROR(IF(AND(INDEX(Tab_DaBa[],MATCH(CONCATENATE(Liste!$C$3,$B$3389,$B$3391),Data!$BO:$BO,0)-2,23)&lt;&gt;"",INDEX(Tab_DaBa[],MATCH(CONCATENATE(Liste!$C$3,$B$3389,$B$3391),Data!$BO:$BO,0)-2,28)=""),"Performance Level: "&amp;INDEX(Tab_DaBa[],MATCH(CONCATENATE(Liste!$C$3,$B$3389,$B$3391),Data!$BO:$BO,0)-2,15),IF(INDEX(Tab_DaBa[],MATCH(CONCATENATE(Liste!$C$3,$B$3389,$B$3391),Data!$BO:$BO,0)-2,23)&lt;&gt;"","Performance Level: "&amp;INDEX(Tab_DaBa[],MATCH(CONCATENATE(Liste!$C$3,$B$3389,$B$3391),Data!$BO:$BO,0)-2,30),"")),"")</f>
        <v/>
      </c>
      <c r="I3396" s="38"/>
    </row>
    <row r="3397" spans="2:9" s="16" customFormat="1" ht="15.75">
      <c r="B3397" s="53" t="str">
        <f ca="1">IFERROR("PFH [1/h] = "&amp;10^9*INDEX(Tab_DaBa[],MATCH(CONCATENATE(Liste!$C$3,$B$3389,$B$3391),Data!$BO:$BO,0)-2,11)&amp;"E-9","")</f>
        <v>PFH [1/h] = 42,9E-9</v>
      </c>
      <c r="C3397" s="54"/>
      <c r="D3397" s="35" t="str">
        <f ca="1">IFERROR(IF(INDEX(Tab_DaBa[],MATCH(CONCATENATE(Liste!$C$3,$B$3389,$B$3391),Data!$BO:$BO,0)-2,18)="","PFH [1/h] = "&amp;10^9*INDEX(Tab_DaBa[],MATCH(CONCATENATE(Liste!$C$3,$B$3389,$B$3391),Data!$BO:$BO,0)-2,16)&amp;"E-9","PFH [1/h] = "&amp;10^9*INDEX(Tab_DaBa[],MATCH(CONCATENATE(Liste!$C$3,$B$3389,$B$3391),Data!$BO:$BO,0)-2,21)&amp;"E-9"),"")</f>
        <v>PFH [1/h] = 4,19E-9</v>
      </c>
      <c r="E3397" s="36"/>
      <c r="F3397" s="35" t="str">
        <f ca="1">IFERROR(IF(AND(INDEX(Tab_DaBa[],MATCH(CONCATENATE(Liste!$C$3,$B$3389,$B$3391),Data!$BO:$BO,0)-2,18)&lt;&gt;"",INDEX(Tab_DaBa[],MATCH(CONCATENATE(Liste!$C$3,$B$3389,$B$3391),Data!$BO:$BO,0)-2,23)=""),"PFH [1/h] = "&amp;10^9*INDEX(Tab_DaBa[],MATCH(CONCATENATE(Liste!$C$3,$B$3389,$B$3391),Data!$BO:$BO,0)-2,16)&amp;"E-9",IF(INDEX(Tab_DaBa[],MATCH(CONCATENATE(Liste!$C$3,$B$3389,$B$3391),Data!$BO:$BO,0)-2,23)&lt;&gt;"","PFH [1/h] = "&amp;10^9*INDEX(Tab_DaBa[],MATCH(CONCATENATE(Liste!$C$3,$B$3389,$B$3391),Data!$BO:$BO,0)-2,26)&amp;"E-9","")),"")</f>
        <v>PFH [1/h] = 24,7E-9</v>
      </c>
      <c r="G3397" s="39"/>
      <c r="H3397" s="35" t="str">
        <f ca="1">IFERROR(IF(AND(INDEX(Tab_DaBa[],MATCH(CONCATENATE(Liste!$C$3,$B$3389,$B$3391),Data!$BO:$BO,0)-2,23)&lt;&gt;"",INDEX(Tab_DaBa[],MATCH(CONCATENATE(Liste!$C$3,$B$3389,$B$3391),Data!$BO:$BO,0)-2,28)=""),"PFH [1/h] = "&amp;10^9*INDEX(Tab_DaBa[],MATCH(CONCATENATE(Liste!$C$3,$B$3389,$B$3391),Data!$BO:$BO,0)-2,16)&amp;"E-9",IF(INDEX(Tab_DaBa[],MATCH(CONCATENATE(Liste!$C$3,$B$3389,$B$3391),Data!$BO:$BO,0)-2,23)&lt;&gt;"","PFH [1/h] = "&amp;10^9*INDEX(Tab_DaBa[],MATCH(CONCATENATE(Liste!$C$3,$B$3389,$B$3391),Data!$BO:$BO,0)-2,31)&amp;"E-9","")),"")</f>
        <v/>
      </c>
      <c r="I3397" s="39"/>
    </row>
    <row r="3398" spans="2:9" s="16" customFormat="1">
      <c r="B3398" s="33"/>
      <c r="C3398" s="34"/>
      <c r="D3398" s="33"/>
      <c r="E3398" s="33"/>
      <c r="F3398" s="33"/>
      <c r="G3398" s="33"/>
      <c r="H3398" s="33"/>
      <c r="I3398" s="33"/>
    </row>
    <row r="3399" spans="2:9" s="16" customFormat="1" ht="15.75">
      <c r="B3399" s="38" t="str">
        <f ca="1">IF(B3401="","",6)</f>
        <v/>
      </c>
      <c r="C3399" s="34"/>
      <c r="D3399" s="38" t="str">
        <f ca="1">IF(B3401="","",3)</f>
        <v/>
      </c>
      <c r="E3399" s="33"/>
      <c r="F3399" s="38" t="str">
        <f ca="1">IF(B3401="","",3)</f>
        <v/>
      </c>
      <c r="G3399" s="33"/>
      <c r="H3399" s="38" t="str">
        <f ca="1">IF(B3401="","",3)</f>
        <v/>
      </c>
      <c r="I3399" s="33"/>
    </row>
    <row r="3400" spans="2:9" s="16" customFormat="1" ht="15.75">
      <c r="B3400" s="39"/>
      <c r="C3400" s="33"/>
      <c r="D3400" s="33"/>
      <c r="E3400" s="33"/>
      <c r="F3400" s="33"/>
      <c r="G3400" s="33"/>
      <c r="H3400" s="33"/>
      <c r="I3400" s="33"/>
    </row>
    <row r="3401" spans="2:9" s="16" customFormat="1" ht="15.75">
      <c r="B3401" s="35" t="str">
        <f ca="1">IFERROR(IF(AND(INDEX(Tab_DaBa[],MATCH(CONCATENATE(Liste!$C$3,$B$3389,$B$3391),Data!$BO:$BO,0)-2,28)&lt;&gt;"",INDEX(Tab_DaBa[],MATCH(CONCATENATE(Liste!$C$3,$B$3389,$B$3391),Data!$BO:$BO,0)-2,33)=0),INDEX(Tab_DaBa[],MATCH(CONCATENATE(Liste!$C$3,$B$3389,$B$3391),Data!$BO:$BO,0)-2,14),IF(INDEX(Tab_DaBa[],MATCH(CONCATENATE(Liste!$C$3,$B$3389,$B$3391),Data!$BO:$BO,0)-2,28)&lt;&gt;"",INDEX(Tab_DaBa[],MATCH(CONCATENATE(Liste!$C$3,$B$3389,$B$3391),Data!$BO:$BO,0)-2,34),"")),"")</f>
        <v/>
      </c>
      <c r="C3401" s="39"/>
      <c r="D3401" s="35" t="str">
        <f ca="1">IFERROR(IF(AND(INDEX(Tab_DaBa[],MATCH(CONCATENATE(Liste!$C$3,$B$3389,$B$3391),Data!$BO:$BO,0)-2,33)&lt;&gt;"",INDEX(Tab_DaBa[],MATCH(CONCATENATE(Liste!$C$3,$B$3389,$B$3391),Data!$BO:$BO,0)-2,38)=0),INDEX(Tab_DaBa[],MATCH(CONCATENATE(Liste!$C$3,$B$3389,$B$3391),Data!$BO:$BO,0)-2,14),IF(INDEX(Tab_DaBa[],MATCH(CONCATENATE(Liste!$C$3,$B$3389,$B$3391),Data!$BO:$BO,0)-2,33)&lt;&gt;"",INDEX(Tab_DaBa[],MATCH(CONCATENATE(Liste!$C$3,$B$3389,$B$3391),Data!$BO:$BO,0)-2,39),"")),"")</f>
        <v/>
      </c>
      <c r="E3401" s="33"/>
      <c r="F3401" s="35" t="str">
        <f ca="1">IFERROR(IF(AND(INDEX(Tab_DaBa[],MATCH(CONCATENATE(Liste!$C$3,$B$3389,$B$3391),Data!$BO:$BO,0)-2,38)&lt;&gt;"",INDEX(Tab_DaBa[],MATCH(CONCATENATE(Liste!$C$3,$B$3389,$B$3391),Data!$BO:$BO,0)-2,43)=0),INDEX(Tab_DaBa[],MATCH(CONCATENATE(Liste!$C$3,$B$3389,$B$3391),Data!$BO:$BO,0)-2,14),IF(INDEX(Tab_DaBa[],MATCH(CONCATENATE(Liste!$C$3,$B$3389,$B$3391),Data!$BO:$BO,0)-2,38)&lt;&gt;"",INDEX(Tab_DaBa[],MATCH(CONCATENATE(Liste!$C$3,$B$3389,$B$3391),Data!$BO:$BO,0)-2,44),"")),"")</f>
        <v/>
      </c>
      <c r="G3401" s="39"/>
      <c r="H3401" s="35" t="str">
        <f ca="1">IFERROR(IF(AND(INDEX(Tab_DaBa[],MATCH(CONCATENATE(Liste!$C$3,$B$3389,$B$3391),Data!$BO:$BO,0)-2,43)&lt;&gt;"",INDEX(Tab_DaBa[],MATCH(CONCATENATE(Liste!$C$3,$B$3389,$B$3391),Data!$BO:$BO,0)-2,48)=0),INDEX(Tab_DaBa[],MATCH(CONCATENATE(Liste!$C$3,$B$3389,$B$3391),Data!$BO:$BO,0)-2,14),IF(INDEX(Tab_DaBa[],MATCH(CONCATENATE(Liste!$C$3,$B$3389,$B$3391),Data!$BO:$BO,0)-2,43)&lt;&gt;"",INDEX(Tab_DaBa[],MATCH(CONCATENATE(Liste!$C$3,$B$3389,$B$3391),Data!$BO:$BO,0)-2,49),"")),"")</f>
        <v/>
      </c>
      <c r="I3401" s="39"/>
    </row>
    <row r="3402" spans="2:9" s="16" customFormat="1" ht="15.75">
      <c r="B3402" s="35" t="str">
        <f ca="1">IFERROR(IF(AND(INDEX(Tab_DaBa[],MATCH(CONCATENATE(Liste!$C$3,$B$3389,$B$3391),Data!$BO:$BO,0)-2,28)&lt;&gt;"",INDEX(Tab_DaBa[],MATCH(CONCATENATE(Liste!$C$3,$B$3389,$B$3391),Data!$BO:$BO,0)-2,33)=0),INDEX(Tab_DaBa[],MATCH(CONCATENATE(Liste!$C$3,$B$3389,$B$3391),Data!$BO:$BO,0)-2,12),IF(INDEX(Tab_DaBa[],MATCH(CONCATENATE(Liste!$C$3,$B$3389,$B$3391),Data!$BO:$BO,0)-2,28)&lt;&gt;"",INDEX(Tab_DaBa[],MATCH(CONCATENATE(Liste!$C$3,$B$3389,$B$3391),Data!$BO:$BO,0)-2,32),"")),"")</f>
        <v/>
      </c>
      <c r="C3402" s="39"/>
      <c r="D3402" s="35" t="str">
        <f ca="1">IFERROR(IF(AND(INDEX(Tab_DaBa[],MATCH(CONCATENATE(Liste!$C$3,$B$3389,$B$3391),Data!$BO:$BO,0)-2,33)&lt;&gt;"",INDEX(Tab_DaBa[],MATCH(CONCATENATE(Liste!$C$3,$B$3389,$B$3391),Data!$BO:$BO,0)-2,38)=0),INDEX(Tab_DaBa[],MATCH(CONCATENATE(Liste!$C$3,$B$3389,$B$3391),Data!$BO:$BO,0)-2,12),IF(INDEX(Tab_DaBa[],MATCH(CONCATENATE(Liste!$C$3,$B$3389,$B$3391),Data!$BO:$BO,0)-2,33)&lt;&gt;"",INDEX(Tab_DaBa[],MATCH(CONCATENATE(Liste!$C$3,$B$3389,$B$3391),Data!$BO:$BO,0)-2,37),"")),"")</f>
        <v/>
      </c>
      <c r="E3402" s="37"/>
      <c r="F3402" s="35" t="str">
        <f ca="1">IFERROR(IF(AND(INDEX(Tab_DaBa[],MATCH(CONCATENATE(Liste!$C$3,$B$3389,$B$3391),Data!$BO:$BO,0)-2,38)&lt;&gt;"",INDEX(Tab_DaBa[],MATCH(CONCATENATE(Liste!$C$3,$B$3389,$B$3391),Data!$BO:$BO,0)-2,43)=0),INDEX(Tab_DaBa[],MATCH(CONCATENATE(Liste!$C$3,$B$3389,$B$3391),Data!$BO:$BO,0)-2,12),IF(INDEX(Tab_DaBa[],MATCH(CONCATENATE(Liste!$C$3,$B$3389,$B$3391),Data!$BO:$BO,0)-2,38)&lt;&gt;"",INDEX(Tab_DaBa[],MATCH(CONCATENATE(Liste!$C$3,$B$3389,$B$3391),Data!$BO:$BO,0)-2,42),"")),"")</f>
        <v/>
      </c>
      <c r="G3402" s="39"/>
      <c r="H3402" s="35" t="str">
        <f ca="1">IFERROR(IF(AND(INDEX(Tab_DaBa[],MATCH(CONCATENATE(Liste!$C$3,$B$3389,$B$3391),Data!$BO:$BO,0)-2,43)&lt;&gt;"",INDEX(Tab_DaBa[],MATCH(CONCATENATE(Liste!$C$3,$B$3389,$B$3391),Data!$BO:$BO,0)-2,48)=0),INDEX(Tab_DaBa[],MATCH(CONCATENATE(Liste!$C$3,$B$3389,$B$3391),Data!$BO:$BO,0)-2,12),IF(INDEX(Tab_DaBa[],MATCH(CONCATENATE(Liste!$C$3,$B$3389,$B$3391),Data!$BO:$BO,0)-2,43)&lt;&gt;"",INDEX(Tab_DaBa[],MATCH(CONCATENATE(Liste!$C$3,$B$3389,$B$3391),Data!$BO:$BO,0)-2,47),"")),"")</f>
        <v/>
      </c>
      <c r="I3402" s="39"/>
    </row>
    <row r="3403" spans="2:9" s="16" customFormat="1" ht="15.75">
      <c r="B3403" s="35" t="str">
        <f ca="1">IFERROR(IF(AND(INDEX(Tab_DaBa[],MATCH(CONCATENATE(Liste!$C$3,$B$3389,$B$3391),Data!$BO:$BO,0)-2,28)&lt;&gt;"",INDEX(Tab_DaBa[],MATCH(CONCATENATE(Liste!$C$3,$B$3389,$B$3391),Data!$BO:$BO,0)-2,33)=""),INDEX(Tab_DaBa[],MATCH(CONCATENATE(Liste!$C$3,$B$3389,$B$3391),Data!$BO:$BO,0)-2,13),IF(INDEX(Tab_DaBa[],MATCH(CONCATENATE(Liste!$C$3,$B$3389,$B$3391),Data!$BO:$BO,0)-2,28)&lt;&gt;"",INDEX(Tab_DaBa[],MATCH(CONCATENATE(Liste!$C$3,$B$3389,$B$3391),Data!$BO:$BO,0)-2,33),"")),"")</f>
        <v/>
      </c>
      <c r="C3403" s="38" t="str">
        <f ca="1">IF(D3401="","",4)</f>
        <v/>
      </c>
      <c r="D3403" s="35" t="str">
        <f ca="1">IFERROR(IF(AND(INDEX(Tab_DaBa[],MATCH(CONCATENATE(Liste!$C$3,$B$3389,$B$3391),Data!$BO:$BO,0)-2,33)&lt;&gt;"",INDEX(Tab_DaBa[],MATCH(CONCATENATE(Liste!$C$3,$B$3389,$B$3391),Data!$BO:$BO,0)-2,38)=""),INDEX(Tab_DaBa[],MATCH(CONCATENATE(Liste!$C$3,$B$3389,$B$3391),Data!$BO:$BO,0)-2,13),IF(INDEX(Tab_DaBa[],MATCH(CONCATENATE(Liste!$C$3,$B$3389,$B$3391),Data!$BO:$BO,0)-2,33)&lt;&gt;"",INDEX(Tab_DaBa[],MATCH(CONCATENATE(Liste!$C$3,$B$3389,$B$3391),Data!$BO:$BO,0)-2,38),"")),"")</f>
        <v/>
      </c>
      <c r="E3403" s="38" t="str">
        <f ca="1">IF(F3401="","",4)</f>
        <v/>
      </c>
      <c r="F3403" s="35" t="str">
        <f ca="1">IFERROR(IF(AND(INDEX(Tab_DaBa[],MATCH(CONCATENATE(Liste!$C$3,$B$3389,$B$3391),Data!$BO:$BO,0)-2,38)&lt;&gt;"",INDEX(Tab_DaBa[],MATCH(CONCATENATE(Liste!$C$3,$B$3389,$B$3391),Data!$BO:$BO,0)-2,43)=""),INDEX(Tab_DaBa[],MATCH(CONCATENATE(Liste!$C$3,$B$3389,$B$3391),Data!$BO:$BO,0)-2,13),IF(INDEX(Tab_DaBa[],MATCH(CONCATENATE(Liste!$C$3,$B$3389,$B$3391),Data!$BO:$BO,0)-2,38)&lt;&gt;"",INDEX(Tab_DaBa[],MATCH(CONCATENATE(Liste!$C$3,$B$3389,$B$3391),Data!$BO:$BO,0)-2,43),"")),"")</f>
        <v/>
      </c>
      <c r="G3403" s="38" t="str">
        <f ca="1">IF(H3401="","",4)</f>
        <v/>
      </c>
      <c r="H3403" s="35" t="str">
        <f ca="1">IFERROR(IF(AND(INDEX(Tab_DaBa[],MATCH(CONCATENATE(Liste!$C$3,$B$3389,$B$3391),Data!$BO:$BO,0)-2,43)&lt;&gt;"",INDEX(Tab_DaBa[],MATCH(CONCATENATE(Liste!$C$3,$B$3389,$B$3391),Data!$BO:$BO,0)-2,48)=""),INDEX(Tab_DaBa[],MATCH(CONCATENATE(Liste!$C$3,$B$3389,$B$3391),Data!$BO:$BO,0)-2,13),IF(INDEX(Tab_DaBa[],MATCH(CONCATENATE(Liste!$C$3,$B$3389,$B$3391),Data!$BO:$BO,0)-2,43)&lt;&gt;"",INDEX(Tab_DaBa[],MATCH(CONCATENATE(Liste!$C$3,$B$3389,$B$3391),Data!$BO:$BO,0)-2,48),"")),"")</f>
        <v/>
      </c>
      <c r="I3403" s="38" t="str">
        <f ca="1">IF(B3409="","",6)</f>
        <v/>
      </c>
    </row>
    <row r="3404" spans="2:9" s="16" customFormat="1" ht="15.75">
      <c r="B3404" s="35" t="str">
        <f ca="1">IFERROR(IF(AND(INDEX(Tab_DaBa[],MATCH(CONCATENATE(Liste!$C$3,$B$3389,$B$3391),Data!$BO:$BO,0)-2,28)&lt;&gt;"",INDEX(Tab_DaBa[],MATCH(CONCATENATE(Liste!$C$3,$B$3389,$B$3391),Data!$BO:$BO,0)-2,33)=""),"Performance Level: "&amp;INDEX(Tab_DaBa[],MATCH(CONCATENATE(Liste!$C$3,$B$3389,$B$3391),Data!$BO:$BO,0)-2,15),IF(INDEX(Tab_DaBa[],MATCH(CONCATENATE(Liste!$C$3,$B$3389,$B$3391),Data!$BO:$BO,0)-2,28)&lt;&gt;"","Performance Level: "&amp;INDEX(Tab_DaBa[],MATCH(CONCATENATE(Liste!$C$3,$B$3389,$B$3391),Data!$BO:$BO,0)-2,35),"")),"")</f>
        <v/>
      </c>
      <c r="C3404" s="39"/>
      <c r="D3404" s="35" t="str">
        <f ca="1">IFERROR(IF(AND(INDEX(Tab_DaBa[],MATCH(CONCATENATE(Liste!$C$3,$B$3389,$B$3391),Data!$BO:$BO,0)-2,33)&lt;&gt;"",INDEX(Tab_DaBa[],MATCH(CONCATENATE(Liste!$C$3,$B$3389,$B$3391),Data!$BO:$BO,0)-2,38)=""),"Performance Level: "&amp;INDEX(Tab_DaBa[],MATCH(CONCATENATE(Liste!$C$3,$B$3389,$B$3391),Data!$BO:$BO,0)-2,15),IF(INDEX(Tab_DaBa[],MATCH(CONCATENATE(Liste!$C$3,$B$3389,$B$3391),Data!$BO:$BO,0)-2,33)&lt;&gt;"","Performance Level: "&amp;INDEX(Tab_DaBa[],MATCH(CONCATENATE(Liste!$C$3,$B$3389,$B$3391),Data!$BO:$BO,0)-2,40),"")),"")</f>
        <v/>
      </c>
      <c r="E3404" s="37"/>
      <c r="F3404" s="35" t="str">
        <f ca="1">IFERROR(IF(AND(INDEX(Tab_DaBa[],MATCH(CONCATENATE(Liste!$C$3,$B$3389,$B$3391),Data!$BO:$BO,0)-2,38)&lt;&gt;"",INDEX(Tab_DaBa[],MATCH(CONCATENATE(Liste!$C$3,$B$3389,$B$3391),Data!$BO:$BO,0)-2,43)=""),"Performance Level: "&amp;INDEX(Tab_DaBa[],MATCH(CONCATENATE(Liste!$C$3,$B$3389,$B$3391),Data!$BO:$BO,0)-2,15),IF(INDEX(Tab_DaBa[],MATCH(CONCATENATE(Liste!$C$3,$B$3389,$B$3391),Data!$BO:$BO,0)-2,38)&lt;&gt;"","Performance Level: "&amp;INDEX(Tab_DaBa[],MATCH(CONCATENATE(Liste!$C$3,$B$3389,$B$3391),Data!$BO:$BO,0)-2,45),"")),"")</f>
        <v/>
      </c>
      <c r="G3404" s="39"/>
      <c r="H3404" s="35" t="str">
        <f ca="1">IFERROR(IF(AND(INDEX(Tab_DaBa[],MATCH(CONCATENATE(Liste!$C$3,$B$3389,$B$3391),Data!$BO:$BO,0)-2,43)&lt;&gt;"",INDEX(Tab_DaBa[],MATCH(CONCATENATE(Liste!$C$3,$B$3389,$B$3391),Data!$BO:$BO,0)-2,48)=""),"Performance Level: "&amp;INDEX(Tab_DaBa[],MATCH(CONCATENATE(Liste!$C$3,$B$3389,$B$3391),Data!$BO:$BO,0)-2,15),IF(INDEX(Tab_DaBa[],MATCH(CONCATENATE(Liste!$C$3,$B$3389,$B$3391),Data!$BO:$BO,0)-2,43)&lt;&gt;"","Performance Level: "&amp;INDEX(Tab_DaBa[],MATCH(CONCATENATE(Liste!$C$3,$B$3389,$B$3391),Data!$BO:$BO,0)-2,50),"")),"")</f>
        <v/>
      </c>
      <c r="I3404" s="39"/>
    </row>
    <row r="3405" spans="2:9" s="16" customFormat="1" ht="15.75">
      <c r="B3405" s="35" t="str">
        <f ca="1">IFERROR(IF(AND(INDEX(Tab_DaBa[],MATCH(CONCATENATE(Liste!$C$3,$B$3389,$B$3391),Data!$BO:$BO,0)-2,28)&lt;&gt;"",INDEX(Tab_DaBa[],MATCH(CONCATENATE(Liste!$C$3,$B$3389,$B$3391),Data!$BO:$BO,0)-2,33)=""),"PFH [1/h] = "&amp;10^9*INDEX(Tab_DaBa[],MATCH(CONCATENATE(Liste!$C$3,$B$3389,$B$3391),Data!$BO:$BO,0)-2,16)&amp;"E-9",IF(INDEX(Tab_DaBa[],MATCH(CONCATENATE(Liste!$C$3,$B$3389,$B$3391),Data!$BO:$BO,0)-2,28)&lt;&gt;"","PFH [1/h] = "&amp;10^9*INDEX(Tab_DaBa[],MATCH(CONCATENATE(Liste!$C$3,$B$3389,$B$3391),Data!$BO:$BO,0)-2,36)&amp;"E-9","")),"")</f>
        <v/>
      </c>
      <c r="C3405" s="39"/>
      <c r="D3405" s="35" t="str">
        <f ca="1">IFERROR(IF(AND(INDEX(Tab_DaBa[],MATCH(CONCATENATE(Liste!$C$3,$B$3389,$B$3391),Data!$BO:$BO,0)-2,33)&lt;&gt;"",INDEX(Tab_DaBa[],MATCH(CONCATENATE(Liste!$C$3,$B$3389,$B$3391),Data!$BO:$BO,0)-2,38)=""),"PFH [1/h] = "&amp;10^9*INDEX(Tab_DaBa[],MATCH(CONCATENATE(Liste!$C$3,$B$3389,$B$3391),Data!$BO:$BO,0)-2,16)&amp;"E-9",IF(INDEX(Tab_DaBa[],MATCH(CONCATENATE(Liste!$C$3,$B$3389,$B$3391),Data!$BO:$BO,0)-2,33)&lt;&gt;"","PFH [1/h] = "&amp;10^9*INDEX(Tab_DaBa[],MATCH(CONCATENATE(Liste!$C$3,$B$3389,$B$3391),Data!$BO:$BO,0)-2,41)&amp;"E-9","")),"")</f>
        <v/>
      </c>
      <c r="E3405" s="37"/>
      <c r="F3405" s="35" t="str">
        <f ca="1">IFERROR(IF(AND(INDEX(Tab_DaBa[],MATCH(CONCATENATE(Liste!$C$3,$B$3389,$B$3391),Data!$BO:$BO,0)-2,38)&lt;&gt;"",INDEX(Tab_DaBa[],MATCH(CONCATENATE(Liste!$C$3,$B$3389,$B$3391),Data!$BO:$BO,0)-2,43)=""),"PFH [1/h] = "&amp;10^9*INDEX(Tab_DaBa[],MATCH(CONCATENATE(Liste!$C$3,$B$3389,$B$3391),Data!$BO:$BO,0)-2,16)&amp;"E-9",IF(INDEX(Tab_DaBa[],MATCH(CONCATENATE(Liste!$C$3,$B$3389,$B$3391),Data!$BO:$BO,0)-2,38)&lt;&gt;"","PFH [1/h] = "&amp;10^9*INDEX(Tab_DaBa[],MATCH(CONCATENATE(Liste!$C$3,$B$3389,$B$3391),Data!$BO:$BO,0)-2,46)&amp;"E-9","")),"")</f>
        <v/>
      </c>
      <c r="G3405" s="39"/>
      <c r="H3405" s="35" t="str">
        <f ca="1">IFERROR(IF(AND(INDEX(Tab_DaBa[],MATCH(CONCATENATE(Liste!$C$3,$B$3389,$B$3391),Data!$BO:$BO,0)-2,43)&lt;&gt;"",INDEX(Tab_DaBa[],MATCH(CONCATENATE(Liste!$C$3,$B$3389,$B$3391),Data!$BO:$BO,0)-2,48)=""),"PFH [1/h] = "&amp;10^9*INDEX(Tab_DaBa[],MATCH(CONCATENATE(Liste!$C$3,$B$3389,$B$3391),Data!$BO:$BO,0)-2,16)&amp;"E-9",IF(INDEX(Tab_DaBa[],MATCH(CONCATENATE(Liste!$C$3,$B$3389,$B$3391),Data!$BO:$BO,0)-2,43)&lt;&gt;"","PFH [1/h] = "&amp;10^9*INDEX(Tab_DaBa[],MATCH(CONCATENATE(Liste!$C$3,$B$3389,$B$3391),Data!$BO:$BO,0)-2,51)&amp;"E-9","")),"")</f>
        <v/>
      </c>
      <c r="I3405" s="39"/>
    </row>
    <row r="3406" spans="2:9" s="16" customFormat="1">
      <c r="B3406" s="33"/>
      <c r="C3406" s="33"/>
      <c r="D3406" s="33"/>
      <c r="E3406" s="33"/>
      <c r="F3406" s="33"/>
      <c r="G3406" s="33"/>
      <c r="H3406" s="33"/>
      <c r="I3406" s="33"/>
    </row>
    <row r="3407" spans="2:9" s="16" customFormat="1" ht="15.75">
      <c r="B3407" s="38" t="str">
        <f ca="1">IF(B3409="","",6)</f>
        <v/>
      </c>
      <c r="C3407" s="33"/>
      <c r="D3407" s="38" t="str">
        <f ca="1">IF(B3409="","",3)</f>
        <v/>
      </c>
      <c r="E3407" s="33"/>
      <c r="F3407" s="38" t="str">
        <f ca="1">IF(B3409="","",3)</f>
        <v/>
      </c>
      <c r="G3407" s="33"/>
      <c r="H3407" s="38" t="str">
        <f ca="1">IF(B3409="","",3)</f>
        <v/>
      </c>
      <c r="I3407" s="33"/>
    </row>
    <row r="3408" spans="2:9" s="16" customFormat="1" ht="15.75">
      <c r="B3408" s="39"/>
      <c r="C3408" s="33"/>
      <c r="D3408" s="33"/>
      <c r="E3408" s="33"/>
      <c r="F3408" s="33"/>
      <c r="G3408" s="33"/>
      <c r="H3408" s="33"/>
      <c r="I3408" s="33"/>
    </row>
    <row r="3409" spans="2:9" s="16" customFormat="1" ht="15.75">
      <c r="B3409" s="35" t="str">
        <f ca="1">IFERROR(IF(AND(INDEX(Tab_DaBa[],MATCH(CONCATENATE(Liste!$C$3,$B$3389,$B$3391),Data!$BO:$BO,0)-2,48)&lt;&gt;"",INDEX(Tab_DaBa[],MATCH(CONCATENATE(Liste!$C$3,$B$3389,$B$3391),Data!$BO:$BO,0)-2,53)=0),INDEX(Tab_DaBa[],MATCH(CONCATENATE(Liste!$C$3,$B$3389,$B$3391),Data!$BO:$BO,0)-2,14),IF(INDEX(Tab_DaBa[],MATCH(CONCATENATE(Liste!$C$3,$B$3389,$B$3391),Data!$BO:$BO,0)-2,48)&lt;&gt;"",INDEX(Tab_DaBa[],MATCH(CONCATENATE(Liste!$C$3,$B$3389,$B$3391),Data!$BO:$BO,0)-2,54),"")),"")</f>
        <v/>
      </c>
      <c r="C3409" s="39"/>
      <c r="D3409" s="35" t="str">
        <f ca="1">IFERROR(IF(AND(INDEX(Tab_DaBa[],MATCH(CONCATENATE(Liste!$C$3,$B$3389,$B$3391),Data!$BO:$BO,0)-2,53)&lt;&gt;"",INDEX(Tab_DaBa[],MATCH(CONCATENATE(Liste!$C$3,$B$3389,$B$3391),Data!$BO:$BO,0)-2,58)=0),INDEX(Tab_DaBa[],MATCH(CONCATENATE(Liste!$C$3,$B$3389,$B$3391),Data!$BO:$BO,0)-2,14),IF(INDEX(Tab_DaBa[],MATCH(CONCATENATE(Liste!$C$3,$B$3389,$B$3391),Data!$BO:$BO,0)-2,53)&lt;&gt;"",INDEX(Tab_DaBa[],MATCH(CONCATENATE(Liste!$C$3,$B$3389,$B$3391),Data!$BO:$BO,0)-2,59),"")),"")</f>
        <v/>
      </c>
      <c r="E3409" s="33"/>
      <c r="F3409" s="35" t="str">
        <f ca="1">IFERROR(IF(AND(INDEX(Tab_DaBa[],MATCH(CONCATENATE(Liste!$C$3,$B$3389,$B$3391),Data!$BO:$BO,0)-2,58)&lt;&gt;"",INDEX(Tab_DaBa[],MATCH(CONCATENATE(Liste!$C$3,$B$3389,$B$3391),Data!$BO:$BO,0)-2,63)=0),INDEX(Tab_DaBa[],MATCH(CONCATENATE(Liste!$C$3,$B$3389,$B$3391),Data!$BO:$BO,0)-2,14),IF(INDEX(Tab_DaBa[],MATCH(CONCATENATE(Liste!$C$3,$B$3389,$B$3391),Data!$BO:$BO,0)-2,58)&lt;&gt;"",INDEX(Tab_DaBa[],MATCH(CONCATENATE(Liste!$C$3,$B$3389,$B$3391),Data!$BO:$BO,0)-2,64),"")),"")</f>
        <v/>
      </c>
      <c r="G3409" s="39"/>
      <c r="H3409" s="35" t="str">
        <f ca="1">IFERROR(IF(INDEX(Tab_DaBa[],MATCH(CONCATENATE(Liste!$C$3,$B$3389,$B$3391),Data!$BO:$BO,0)-2,63)&lt;&gt;"",INDEX(Tab_DaBa[],MATCH(CONCATENATE(Liste!$C$3,$B$3389,$B$3391),Data!$BO:$BO,0)-2,14),""),"")</f>
        <v/>
      </c>
    </row>
    <row r="3410" spans="2:9" s="16" customFormat="1" ht="15.75">
      <c r="B3410" s="35" t="str">
        <f ca="1">IFERROR(IF(AND(INDEX(Tab_DaBa[],MATCH(CONCATENATE(Liste!$C$3,$B$3389,$B$3391),Data!$BO:$BO,0)-2,48)&lt;&gt;"",INDEX(Tab_DaBa[],MATCH(CONCATENATE(Liste!$C$3,$B$3389,$B$3391),Data!$BO:$BO,0)-2,53)=0),INDEX(Tab_DaBa[],MATCH(CONCATENATE(Liste!$C$3,$B$3389,$B$3391),Data!$BO:$BO,0)-2,12),IF(INDEX(Tab_DaBa[],MATCH(CONCATENATE(Liste!$C$3,$B$3389,$B$3391),Data!$BO:$BO,0)-2,48)&lt;&gt;"",INDEX(Tab_DaBa[],MATCH(CONCATENATE(Liste!$C$3,$B$3389,$B$3391),Data!$BO:$BO,0)-2,52),"")),"")</f>
        <v/>
      </c>
      <c r="C3410" s="39"/>
      <c r="D3410" s="35" t="str">
        <f ca="1">IFERROR(IF(AND(INDEX(Tab_DaBa[],MATCH(CONCATENATE(Liste!$C$3,$B$3389,$B$3391),Data!$BO:$BO,0)-2,53)&lt;&gt;"",INDEX(Tab_DaBa[],MATCH(CONCATENATE(Liste!$C$3,$B$3389,$B$3391),Data!$BO:$BO,0)-2,58)=0),INDEX(Tab_DaBa[],MATCH(CONCATENATE(Liste!$C$3,$B$3389,$B$3391),Data!$BO:$BO,0)-2,12),IF(INDEX(Tab_DaBa[],MATCH(CONCATENATE(Liste!$C$3,$B$3389,$B$3391),Data!$BO:$BO,0)-2,53)&lt;&gt;"",INDEX(Tab_DaBa[],MATCH(CONCATENATE(Liste!$C$3,$B$3389,$B$3391),Data!$BO:$BO,0)-2,57),"")),"")</f>
        <v/>
      </c>
      <c r="E3410" s="37"/>
      <c r="F3410" s="35" t="str">
        <f ca="1">IFERROR(IF(AND(INDEX(Tab_DaBa[],MATCH(CONCATENATE(Liste!$C$3,$B$3389,$B$3391),Data!$BO:$BO,0)-2,58)&lt;&gt;"",INDEX(Tab_DaBa[],MATCH(CONCATENATE(Liste!$C$3,$B$3389,$B$3391),Data!$BO:$BO,0)-2,63)=0),INDEX(Tab_DaBa[],MATCH(CONCATENATE(Liste!$C$3,$B$3389,$B$3391),Data!$BO:$BO,0)-2,12),IF(INDEX(Tab_DaBa[],MATCH(CONCATENATE(Liste!$C$3,$B$3389,$B$3391),Data!$BO:$BO,0)-2,58)&lt;&gt;"",INDEX(Tab_DaBa[],MATCH(CONCATENATE(Liste!$C$3,$B$3389,$B$3391),Data!$BO:$BO,0)-2,62),"")),"")</f>
        <v/>
      </c>
      <c r="G3410" s="39"/>
      <c r="H3410" s="35" t="str">
        <f ca="1">IFERROR(IF(INDEX(Tab_DaBa[],MATCH(CONCATENATE(Liste!$C$3,$B$3389,$B$3391),Data!$BO:$BO,0)-2,63)&lt;&gt;"",INDEX(Tab_DaBa[],MATCH(CONCATENATE(Liste!$C$3,$B$3389,$B$3391),Data!$BO:$BO,0)-2,12),""),"")</f>
        <v/>
      </c>
    </row>
    <row r="3411" spans="2:9" s="16" customFormat="1" ht="15.75">
      <c r="B3411" s="35" t="str">
        <f ca="1">IFERROR(IF(AND(INDEX(Tab_DaBa[],MATCH(CONCATENATE(Liste!$C$3,$B$3389,$B$3391),Data!$BO:$BO,0)-2,48)&lt;&gt;"",INDEX(Tab_DaBa[],MATCH(CONCATENATE(Liste!$C$3,$B$3389,$B$3391),Data!$BO:$BO,0)-2,53)=""),INDEX(Tab_DaBa[],MATCH(CONCATENATE(Liste!$C$3,$B$3389,$B$3391),Data!$BO:$BO,0)-2,13),IF(INDEX(Tab_DaBa[],MATCH(CONCATENATE(Liste!$C$3,$B$3389,$B$3391),Data!$BO:$BO,0)-2,48)&lt;&gt;"",INDEX(Tab_DaBa[],MATCH(CONCATENATE(Liste!$C$3,$B$3389,$B$3391),Data!$BO:$BO,0)-2,53),"")),"")</f>
        <v/>
      </c>
      <c r="C3411" s="38" t="str">
        <f ca="1">IF(D3409="","",4)</f>
        <v/>
      </c>
      <c r="D3411" s="35" t="str">
        <f ca="1">IFERROR(IF(AND(INDEX(Tab_DaBa[],MATCH(CONCATENATE(Liste!$C$3,$B$3389,$B$3391),Data!$BO:$BO,0)-2,53)&lt;&gt;"",INDEX(Tab_DaBa[],MATCH(CONCATENATE(Liste!$C$3,$B$3389,$B$3391),Data!$BO:$BO,0)-2,58)=""),INDEX(Tab_DaBa[],MATCH(CONCATENATE(Liste!$C$3,$B$3389,$B$3391),Data!$BO:$BO,0)-2,13),IF(INDEX(Tab_DaBa[],MATCH(CONCATENATE(Liste!$C$3,$B$3389,$B$3391),Data!$BO:$BO,0)-2,53)&lt;&gt;"",INDEX(Tab_DaBa[],MATCH(CONCATENATE(Liste!$C$3,$B$3389,$B$3391),Data!$BO:$BO,0)-2,58),"")),"")</f>
        <v/>
      </c>
      <c r="E3411" s="38" t="str">
        <f ca="1">IF(F3409="","",4)</f>
        <v/>
      </c>
      <c r="F3411" s="35" t="str">
        <f ca="1">IFERROR(IF(AND(INDEX(Tab_DaBa[],MATCH(CONCATENATE(Liste!$C$3,$B$3389,$B$3391),Data!$BO:$BO,0)-2,58)&lt;&gt;"",INDEX(Tab_DaBa[],MATCH(CONCATENATE(Liste!$C$3,$B$3389,$B$3391),Data!$BO:$BO,0)-2,63)=""),INDEX(Tab_DaBa[],MATCH(CONCATENATE(Liste!$C$3,$B$3389,$B$3391),Data!$BO:$BO,0)-2,13),IF(INDEX(Tab_DaBa[],MATCH(CONCATENATE(Liste!$C$3,$B$3389,$B$3391),Data!$BO:$BO,0)-2,58)&lt;&gt;"",INDEX(Tab_DaBa[],MATCH(CONCATENATE(Liste!$C$3,$B$3389,$B$3391),Data!$BO:$BO,0)-2,63),"")),"")</f>
        <v/>
      </c>
      <c r="G3411" s="38" t="str">
        <f ca="1">IF(H3409="","",4)</f>
        <v/>
      </c>
      <c r="H3411" s="35" t="str">
        <f ca="1">IFERROR(IF(INDEX(Tab_DaBa[],MATCH(CONCATENATE(Liste!$C$3,$B$3389,$B$3391),Data!$BO:$BO,0)-2,63)&lt;&gt;"",INDEX(Tab_DaBa[],MATCH(CONCATENATE(Liste!$C$3,$B$3389,$B$3391),Data!$BO:$BO,0)-2,13),""),"")</f>
        <v/>
      </c>
    </row>
    <row r="3412" spans="2:9" s="16" customFormat="1" ht="15.75">
      <c r="B3412" s="35" t="str">
        <f ca="1">IFERROR(IF(AND(INDEX(Tab_DaBa[],MATCH(CONCATENATE(Liste!$C$3,$B$3389,$B$3391),Data!$BO:$BO,0)-2,48)&lt;&gt;"",INDEX(Tab_DaBa[],MATCH(CONCATENATE(Liste!$C$3,$B$3389,$B$3391),Data!$BO:$BO,0)-2,53)=""),"Performance Level: "&amp;INDEX(Tab_DaBa[],MATCH(CONCATENATE(Liste!$C$3,$B$3389,$B$3391),Data!$BO:$BO,0)-2,15),IF(INDEX(Tab_DaBa[],MATCH(CONCATENATE(Liste!$C$3,$B$3389,$B$3391),Data!$BO:$BO,0)-2,48)&lt;&gt;"","Performance Level: "&amp;INDEX(Tab_DaBa[],MATCH(CONCATENATE(Liste!$C$3,$B$3389,$B$3391),Data!$BO:$BO,0)-2,55),"")),"")</f>
        <v/>
      </c>
      <c r="C3412" s="39"/>
      <c r="D3412" s="35" t="str">
        <f ca="1">IFERROR(IF(AND(INDEX(Tab_DaBa[],MATCH(CONCATENATE(Liste!$C$3,$B$3389,$B$3391),Data!$BO:$BO,0)-2,53)&lt;&gt;"",INDEX(Tab_DaBa[],MATCH(CONCATENATE(Liste!$C$3,$B$3389,$B$3391),Data!$BO:$BO,0)-2,58)=""),"Performance Level: "&amp;INDEX(Tab_DaBa[],MATCH(CONCATENATE(Liste!$C$3,$B$3389,$B$3391),Data!$BO:$BO,0)-2,15),IF(INDEX(Tab_DaBa[],MATCH(CONCATENATE(Liste!$C$3,$B$3389,$B$3391),Data!$BO:$BO,0)-2,53)&lt;&gt;"","Performance Level: "&amp;INDEX(Tab_DaBa[],MATCH(CONCATENATE(Liste!$C$3,$B$3389,$B$3391),Data!$BO:$BO,0)-2,60),"")),"")</f>
        <v/>
      </c>
      <c r="E3412" s="37"/>
      <c r="F3412" s="35" t="str">
        <f ca="1">IFERROR(IF(AND(INDEX(Tab_DaBa[],MATCH(CONCATENATE(Liste!$C$3,$B$3389,$B$3391),Data!$BO:$BO,0)-2,58)&lt;&gt;"",INDEX(Tab_DaBa[],MATCH(CONCATENATE(Liste!$C$3,$B$3389,$B$3391),Data!$BO:$BO,0)-2,63)=""),"Performance Level: "&amp;INDEX(Tab_DaBa[],MATCH(CONCATENATE(Liste!$C$3,$B$3389,$B$3391),Data!$BO:$BO,0)-2,15),IF(INDEX(Tab_DaBa[],MATCH(CONCATENATE(Liste!$C$3,$B$3389,$B$3391),Data!$BO:$BO,0)-2,58)&lt;&gt;"","Performance Level: "&amp;INDEX(Tab_DaBa[],MATCH(CONCATENATE(Liste!$C$3,$B$3389,$B$3391),Data!$BO:$BO,0)-2,65),"")),"")</f>
        <v/>
      </c>
      <c r="G3412" s="39"/>
      <c r="H3412" s="35" t="str">
        <f ca="1">IFERROR(IF(INDEX(Tab_DaBa[],MATCH(CONCATENATE(Liste!$C$3,$B$3389,$B$3391),Data!$BO:$BO,0)-2,63)&lt;&gt;"","Performance Level: "&amp;INDEX(Tab_DaBa[],MATCH(CONCATENATE(Liste!$C$3,$B$3389,$B$3391),Data!$BO:$BO,0)-2,15),""),"")</f>
        <v/>
      </c>
    </row>
    <row r="3413" spans="2:9" s="16" customFormat="1" ht="15.75">
      <c r="B3413" s="35" t="str">
        <f ca="1">IFERROR(IF(AND(INDEX(Tab_DaBa[],MATCH(CONCATENATE(Liste!$C$3,$B$3389,$B$3391),Data!$BO:$BO,0)-2,48)&lt;&gt;"",INDEX(Tab_DaBa[],MATCH(CONCATENATE(Liste!$C$3,$B$3389,$B$3391),Data!$BO:$BO,0)-2,53)=""),"PFH [1/h] = "&amp;10^9*INDEX(Tab_DaBa[],MATCH(CONCATENATE(Liste!$C$3,$B$3389,$B$3391),Data!$BO:$BO,0)-2,16)&amp;"E-9",IF(INDEX(Tab_DaBa[],MATCH(CONCATENATE(Liste!$C$3,$B$3389,$B$3391),Data!$BO:$BO,0)-2,48)&lt;&gt;"","PFH [1/h] = "&amp;10^9*INDEX(Tab_DaBa[],MATCH(CONCATENATE(Liste!$C$3,$B$3389,$B$3391),Data!$BO:$BO,0)-2,56)&amp;"E-9","")),"")</f>
        <v/>
      </c>
      <c r="C3413" s="39"/>
      <c r="D3413" s="35" t="str">
        <f ca="1">IFERROR(IF(AND(INDEX(Tab_DaBa[],MATCH(CONCATENATE(Liste!$C$3,$B$3389,$B$3391),Data!$BO:$BO,0)-2,53)&lt;&gt;"",INDEX(Tab_DaBa[],MATCH(CONCATENATE(Liste!$C$3,$B$3389,$B$3391),Data!$BO:$BO,0)-2,58)=""),"PFH [1/h] = "&amp;10^9*INDEX(Tab_DaBa[],MATCH(CONCATENATE(Liste!$C$3,$B$3389,$B$3391),Data!$BO:$BO,0)-2,16)&amp;"E-9",IF(INDEX(Tab_DaBa[],MATCH(CONCATENATE(Liste!$C$3,$B$3389,$B$3391),Data!$BO:$BO,0)-2,53)&lt;&gt;"","PFH [1/h] = "&amp;10^9*INDEX(Tab_DaBa[],MATCH(CONCATENATE(Liste!$C$3,$B$3389,$B$3391),Data!$BO:$BO,0)-2,61)&amp;"E-9","")),"")</f>
        <v/>
      </c>
      <c r="E3413" s="37"/>
      <c r="F3413" s="35" t="str">
        <f ca="1">IFERROR(IF(AND(INDEX(Tab_DaBa[],MATCH(CONCATENATE(Liste!$C$3,$B$3389,$B$3391),Data!$BO:$BO,0)-2,58)&lt;&gt;"",INDEX(Tab_DaBa[],MATCH(CONCATENATE(Liste!$C$3,$B$3389,$B$3391),Data!$BO:$BO,0)-2,63)=""),"PFH [1/h] = "&amp;10^9*INDEX(Tab_DaBa[],MATCH(CONCATENATE(Liste!$C$3,$B$3389,$B$3391),Data!$BO:$BO,0)-2,16)&amp;"E-9",IF(INDEX(Tab_DaBa[],MATCH(CONCATENATE(Liste!$C$3,$B$3389,$B$3391),Data!$BO:$BO,0)-2,58)&lt;&gt;"","PFH [1/h] = "&amp;10^9*INDEX(Tab_DaBa[],MATCH(CONCATENATE(Liste!$C$3,$B$3389,$B$3391),Data!$BO:$BO,0)-2,66)&amp;"E-9","")),"")</f>
        <v/>
      </c>
      <c r="G3413" s="39"/>
      <c r="H3413" s="35" t="str">
        <f ca="1">IFERROR(IF(INDEX(Tab_DaBa[],MATCH(CONCATENATE(Liste!$C$3,$B$3389,$B$3391),Data!$BO:$BO,0)-2,63)&lt;&gt;"","PFH [1/h] = "&amp;10^9*INDEX(Tab_DaBa[],MATCH(CONCATENATE(Liste!$C$3,$B$3389,$B$3391),Data!$BO:$BO,0)-2,16)&amp;"E-9",""),"")</f>
        <v/>
      </c>
    </row>
    <row r="3414" spans="2:9" s="16" customFormat="1"/>
    <row r="3415" spans="2:9" s="16" customFormat="1">
      <c r="B3415" s="43" t="str">
        <f ca="1">IF(D3415="","","Erforderlich")</f>
        <v>Erforderlich</v>
      </c>
      <c r="D3415" s="44" t="str">
        <f ca="1">IFERROR("Performance Level: "&amp;INDEX(Tab_DaBa[],MATCH(CONCATENATE(Liste!$C$3,$B$3389,$B$3391),Data!$BO:$BO,0)-2,4),"")</f>
        <v>Performance Level: PLr_ges4_1</v>
      </c>
    </row>
    <row r="3416" spans="2:9" s="16" customFormat="1">
      <c r="B3416" s="45"/>
    </row>
    <row r="3417" spans="2:9" s="16" customFormat="1">
      <c r="B3417" s="46" t="str">
        <f ca="1">IF(D3417="","","Erreicht")</f>
        <v>Erreicht</v>
      </c>
      <c r="D3417" s="47" t="str">
        <f ca="1">IFERROR("Performance Level: "&amp;INDEX(Tab_DaBa[],MATCH(CONCATENATE(Liste!$C$3,$B$3389,$B$3391),Data!$BO:$BO,0)-2,5)&amp;"          PFH [1/h] = "&amp;10^9*INDEX(Tab_DaBa[],MATCH(CONCATENATE(Liste!$C$3,$B$3389,$B$3391),Data!$BO:$BO,0)-2,6)&amp;"E-9","")</f>
        <v>Performance Level: Pl_ges4_1          PFH [1/h] = 71,7E-9</v>
      </c>
    </row>
    <row r="3418" spans="2:9" s="16" customFormat="1"/>
    <row r="3419" spans="2:9" s="16" customFormat="1">
      <c r="B3419" s="42" t="str">
        <f ca="1">IFERROR(IF(2&gt;COUNTIF(Data!$BP:$BP,CONCATENATE(Liste!$C$3,$B$3389)),"",INDEX(Tab_DaBa[],MATCH(CONCATENATE(Liste!$C$3,$B$3389),Data!$BP:$BP,0)-1,3)),"")</f>
        <v>13.2 Test13 (E+2L+A)</v>
      </c>
    </row>
    <row r="3420" spans="2:9" s="16" customFormat="1"/>
    <row r="3421" spans="2:9" s="16" customFormat="1" ht="15.75">
      <c r="B3421" s="35" t="str">
        <f ca="1">IFERROR(INDEX(Tab_DaBa[],MATCH(CONCATENATE(Liste!$C$3,$B$3389,$B$3419),Data!$BO:$BO,0)-2,9),"")</f>
        <v>Eingang</v>
      </c>
      <c r="C3421" s="54"/>
      <c r="D3421" s="35" t="str">
        <f ca="1">IFERROR(IF(INDEX(Tab_DaBa[],MATCH(CONCATENATE(Liste!$C$3,$B$3389,$B$3419),Data!$BO:$BO,0)-2,18)=0,INDEX(Tab_DaBa[],MATCH(CONCATENATE(Liste!$C$3,$B$3389,$B$3419),Data!$BO:$BO,0)-2,14),INDEX(Tab_DaBa[],MATCH(CONCATENATE(Liste!$C$3,$B$3389,$B$3419),Data!$BO:$BO,0)-2,19)),"")</f>
        <v>Logik 01</v>
      </c>
      <c r="E3421" s="33"/>
      <c r="F3421" s="35" t="str">
        <f ca="1">IFERROR(IF(AND(INDEX(Tab_DaBa[],MATCH(CONCATENATE(Liste!$C$3,$B$3389,$B$3419),Data!$BO:$BO,0)-2,18)&lt;&gt;"",INDEX(Tab_DaBa[],MATCH(CONCATENATE(Liste!$C$3,$B$3389,$B$3419),Data!$BO:$BO,0)-2,23)=0),INDEX(Tab_DaBa[],MATCH(CONCATENATE(Liste!$C$3,$B$3389,$B$3419),Data!$BO:$BO,0)-2,14),IF(INDEX(Tab_DaBa[],MATCH(CONCATENATE(Liste!$C$3,$B$3389,$B$3419),Data!$BO:$BO,0)-2,23)&lt;&gt;"",INDEX(Tab_DaBa[],MATCH(CONCATENATE(Liste!$C$3,$B$3389,$B$3419),Data!$BO:$BO,0)-2,24),"")),"")</f>
        <v>Logik 02</v>
      </c>
      <c r="G3421" s="39"/>
      <c r="H3421" s="35" t="str">
        <f ca="1">IFERROR(IF(AND(INDEX(Tab_DaBa[],MATCH(CONCATENATE(Liste!$C$3,$B$3389,$B$3419),Data!$BO:$BO,0)-2,23)&lt;&gt;"",INDEX(Tab_DaBa[],MATCH(CONCATENATE(Liste!$C$3,$B$3389,$B$3419),Data!$BO:$BO,0)-2,28)=0),INDEX(Tab_DaBa[],MATCH(CONCATENATE(Liste!$C$3,$B$3389,$B$3419),Data!$BO:$BO,0)-2,14),IF(INDEX(Tab_DaBa[],MATCH(CONCATENATE(Liste!$C$3,$B$3389,$B$3419),Data!$BO:$BO,0)-2,23)&lt;&gt;"",INDEX(Tab_DaBa[],MATCH(CONCATENATE(Liste!$C$3,$B$3389,$B$3419),Data!$BO:$BO,0)-2,29),"")),"")</f>
        <v>Ausgang</v>
      </c>
      <c r="I3421" s="39"/>
    </row>
    <row r="3422" spans="2:9" s="16" customFormat="1" ht="15.75">
      <c r="B3422" s="35" t="str">
        <f ca="1">IFERROR(INDEX(Tab_DaBa[],MATCH(CONCATENATE(Liste!$C$3,$B$3389,$B$3419),Data!$BO:$BO,0)-2,7),"")</f>
        <v>eeee-33_2</v>
      </c>
      <c r="C3422" s="54"/>
      <c r="D3422" s="35" t="str">
        <f ca="1">IFERROR(IF(INDEX(Tab_DaBa[],MATCH(CONCATENATE(Liste!$C$3,$B$3389,$B$3419),Data!$BO:$BO,0)-2,18)="",INDEX(Tab_DaBa[],MATCH(CONCATENATE(Liste!$C$3,$B$3389,$B$3419),Data!$BO:$BO,0)-2,12),INDEX(Tab_DaBa[],MATCH(CONCATENATE(Liste!$C$3,$B$3389,$B$3419),Data!$BO:$BO,0)-2,17)),"")</f>
        <v>Log01-04_02</v>
      </c>
      <c r="E3422" s="36"/>
      <c r="F3422" s="35" t="str">
        <f ca="1">IFERROR(IF(AND(INDEX(Tab_DaBa[],MATCH(CONCATENATE(Liste!$C$3,$B$3389,$B$3419),Data!$BO:$BO,0)-2,18)&lt;&gt;"",INDEX(Tab_DaBa[],MATCH(CONCATENATE(Liste!$C$3,$B$3389,$B$3419),Data!$BO:$BO,0)-2,23)=0),INDEX(Tab_DaBa[],MATCH(CONCATENATE(Liste!$C$3,$B$3389,$B$3419),Data!$BO:$BO,0)-2,12),IF(INDEX(Tab_DaBa[],MATCH(CONCATENATE(Liste!$C$3,$B$3389,$B$3419),Data!$BO:$BO,0)-2,23)&lt;&gt;"",INDEX(Tab_DaBa[],MATCH(CONCATENATE(Liste!$C$3,$B$3389,$B$3419),Data!$BO:$BO,0)-2,22),"")),"")</f>
        <v>Lo04-04_02</v>
      </c>
      <c r="G3422" s="39"/>
      <c r="H3422" s="35" t="str">
        <f ca="1">IFERROR(IF(AND(INDEX(Tab_DaBa[],MATCH(CONCATENATE(Liste!$C$3,$B$3389,$B$3419),Data!$BO:$BO,0)-2,23)&lt;&gt;"",INDEX(Tab_DaBa[],MATCH(CONCATENATE(Liste!$C$3,$B$3389,$B$3419),Data!$BO:$BO,0)-2,28)=0),INDEX(Tab_DaBa[],MATCH(CONCATENATE(Liste!$C$3,$B$3389,$B$3419),Data!$BO:$BO,0)-2,12),IF(INDEX(Tab_DaBa[],MATCH(CONCATENATE(Liste!$C$3,$B$3389,$B$3419),Data!$BO:$BO,0)-2,23)&lt;&gt;"",INDEX(Tab_DaBa[],MATCH(CONCATENATE(Liste!$C$3,$B$3389,$B$3419),Data!$BO:$BO,0)-2,27),"")),"")</f>
        <v>aaaa-44_2</v>
      </c>
      <c r="I3422" s="39"/>
    </row>
    <row r="3423" spans="2:9" s="16" customFormat="1" ht="15.75">
      <c r="B3423" s="35" t="str">
        <f ca="1">IFERROR(INDEX(Tab_DaBa[],MATCH(CONCATENATE(Liste!$C$3,$B$3389,$B$3419),Data!$BO:$BO,0)-2,8),"")</f>
        <v>Bez_Ein4_2</v>
      </c>
      <c r="C3423" s="40">
        <f ca="1">IF(D3421="","",4)</f>
        <v>4</v>
      </c>
      <c r="D3423" s="35" t="str">
        <f ca="1">IFERROR(IF(INDEX(Tab_DaBa[],MATCH(CONCATENATE(Liste!$C$3,$B$3389,$B$3419),Data!$BO:$BO,0)-2,18)="",INDEX(Tab_DaBa[],MATCH(CONCATENATE(Liste!$C$3,$B$3389,$B$3419),Data!$BO:$BO,0)-2,13),INDEX(Tab_DaBa[],MATCH(CONCATENATE(Liste!$C$3,$B$3389,$B$3419),Data!$BO:$BO,0)-2,18)),"")</f>
        <v>Bez_Log01_04_02</v>
      </c>
      <c r="E3423" s="40">
        <f ca="1">IF(F3421="","",4)</f>
        <v>4</v>
      </c>
      <c r="F3423" s="35" t="str">
        <f ca="1">IFERROR(IF(AND(INDEX(Tab_DaBa[],MATCH(CONCATENATE(Liste!$C$3,$B$3389,$B$3419),Data!$BO:$BO,0)-2,18)&lt;&gt;"",INDEX(Tab_DaBa[],MATCH(CONCATENATE(Liste!$C$3,$B$3389,$B$3419),Data!$BO:$BO,0)-2,23)=""),INDEX(Tab_DaBa[],MATCH(CONCATENATE(Liste!$C$3,$B$3389,$B$3419),Data!$BO:$BO,0)-2,13),IF(INDEX(Tab_DaBa[],MATCH(CONCATENATE(Liste!$C$3,$B$3389,$B$3419),Data!$BO:$BO,0)-2,23)&lt;&gt;"",INDEX(Tab_DaBa[],MATCH(CONCATENATE(Liste!$C$3,$B$3389,$B$3419),Data!$BO:$BO,0)-2,23),"")),"")</f>
        <v>Bez_Lo04_02</v>
      </c>
      <c r="G3423" s="38">
        <f ca="1">IF(H3421="","",4)</f>
        <v>4</v>
      </c>
      <c r="H3423" s="35" t="str">
        <f ca="1">IFERROR(IF(AND(INDEX(Tab_DaBa[],MATCH(CONCATENATE(Liste!$C$3,$B$3389,$B$3419),Data!$BO:$BO,0)-2,23)&lt;&gt;"",INDEX(Tab_DaBa[],MATCH(CONCATENATE(Liste!$C$3,$B$3389,$B$3419),Data!$BO:$BO,0)-2,28)=""),INDEX(Tab_DaBa[],MATCH(CONCATENATE(Liste!$C$3,$B$3389,$B$3419),Data!$BO:$BO,0)-2,13),IF(INDEX(Tab_DaBa[],MATCH(CONCATENATE(Liste!$C$3,$B$3389,$B$3419),Data!$BO:$BO,0)-2,23)&lt;&gt;"",INDEX(Tab_DaBa[],MATCH(CONCATENATE(Liste!$C$3,$B$3389,$B$3419),Data!$BO:$BO,0)-2,28),"")),"")</f>
        <v>Bez_Aus4_2</v>
      </c>
      <c r="I3423" s="38" t="str">
        <f ca="1">IF(B3429="","",6)</f>
        <v/>
      </c>
    </row>
    <row r="3424" spans="2:9" s="16" customFormat="1" ht="15.75">
      <c r="B3424" s="35" t="str">
        <f ca="1">IFERROR("Performance Level: "&amp;INDEX(Tab_DaBa[],MATCH(CONCATENATE(Liste!$C$3,$B$3389,$B$3419),Data!$BO:$BO,0)-2,10),"")</f>
        <v>Performance Level: PL_Ein4_2</v>
      </c>
      <c r="C3424" s="54"/>
      <c r="D3424" s="35" t="str">
        <f ca="1">IFERROR(IF(INDEX(Tab_DaBa[],MATCH(CONCATENATE(Liste!$C$3,$B$3389,$B$3419),Data!$BO:$BO,0)-2,18)="","Performance Level: "&amp;INDEX(Tab_DaBa[],MATCH(CONCATENATE(Liste!$C$3,$B$3389,$B$3419),Data!$BO:$BO,0)-2,15),"Performance Level: "&amp;INDEX(Tab_DaBa[],MATCH(CONCATENATE(Liste!$C$3,$B$3389,$B$3419),Data!$BO:$BO,0)-2,20)),"")</f>
        <v>Performance Level: PL_Log01_04_02</v>
      </c>
      <c r="E3424" s="36"/>
      <c r="F3424" s="35" t="str">
        <f ca="1">IFERROR(IF(AND(INDEX(Tab_DaBa[],MATCH(CONCATENATE(Liste!$C$3,$B$3389,$B$3419),Data!$BO:$BO,0)-2,18)&lt;&gt;"",INDEX(Tab_DaBa[],MATCH(CONCATENATE(Liste!$C$3,$B$3389,$B$3419),Data!$BO:$BO,0)-2,23)=""),"Performance Level: "&amp;INDEX(Tab_DaBa[],MATCH(CONCATENATE(Liste!$C$3,$B$3389,$B$3419),Data!$BO:$BO,0)-2,15),IF(INDEX(Tab_DaBa[],MATCH(CONCATENATE(Liste!$C$3,$B$3389,$B$3419),Data!$BO:$BO,0)-2,23)&lt;&gt;"","Performance Level: "&amp;INDEX(Tab_DaBa[],MATCH(CONCATENATE(Liste!$C$3,$B$3389,$B$3419),Data!$BO:$BO,0)-2,25),"")),"")</f>
        <v>Performance Level: PL_Lo04_02</v>
      </c>
      <c r="G3424" s="39"/>
      <c r="H3424" s="35" t="str">
        <f ca="1">IFERROR(IF(AND(INDEX(Tab_DaBa[],MATCH(CONCATENATE(Liste!$C$3,$B$3389,$B$3419),Data!$BO:$BO,0)-2,23)&lt;&gt;"",INDEX(Tab_DaBa[],MATCH(CONCATENATE(Liste!$C$3,$B$3389,$B$3419),Data!$BO:$BO,0)-2,28)=""),"Performance Level: "&amp;INDEX(Tab_DaBa[],MATCH(CONCATENATE(Liste!$C$3,$B$3389,$B$3419),Data!$BO:$BO,0)-2,15),IF(INDEX(Tab_DaBa[],MATCH(CONCATENATE(Liste!$C$3,$B$3389,$B$3419),Data!$BO:$BO,0)-2,23)&lt;&gt;"","Performance Level: "&amp;INDEX(Tab_DaBa[],MATCH(CONCATENATE(Liste!$C$3,$B$3389,$B$3419),Data!$BO:$BO,0)-2,30),"")),"")</f>
        <v>Performance Level: PL_Aus4_2</v>
      </c>
      <c r="I3424" s="38"/>
    </row>
    <row r="3425" spans="2:9" s="16" customFormat="1" ht="15.75">
      <c r="B3425" s="53" t="str">
        <f ca="1">IFERROR("PFH [1/h] = "&amp;10^9*INDEX(Tab_DaBa[],MATCH(CONCATENATE(Liste!$C$3,$B$3389,$B$3419),Data!$BO:$BO,0)-2,11)&amp;"E-9","")</f>
        <v>PFH [1/h] = 42,9E-9</v>
      </c>
      <c r="C3425" s="54"/>
      <c r="D3425" s="35" t="str">
        <f ca="1">IFERROR(IF(INDEX(Tab_DaBa[],MATCH(CONCATENATE(Liste!$C$3,$B$3389,$B$3419),Data!$BO:$BO,0)-2,18)="","PFH [1/h] = "&amp;10^9*INDEX(Tab_DaBa[],MATCH(CONCATENATE(Liste!$C$3,$B$3389,$B$3419),Data!$BO:$BO,0)-2,16)&amp;"E-9","PFH [1/h] = "&amp;10^9*INDEX(Tab_DaBa[],MATCH(CONCATENATE(Liste!$C$3,$B$3389,$B$3419),Data!$BO:$BO,0)-2,21)&amp;"E-9"),"")</f>
        <v>PFH [1/h] = 4,19E-9</v>
      </c>
      <c r="E3425" s="36"/>
      <c r="F3425" s="35" t="str">
        <f ca="1">IFERROR(IF(AND(INDEX(Tab_DaBa[],MATCH(CONCATENATE(Liste!$C$3,$B$3389,$B$3419),Data!$BO:$BO,0)-2,18)&lt;&gt;"",INDEX(Tab_DaBa[],MATCH(CONCATENATE(Liste!$C$3,$B$3389,$B$3419),Data!$BO:$BO,0)-2,23)=""),"PFH [1/h] = "&amp;10^9*INDEX(Tab_DaBa[],MATCH(CONCATENATE(Liste!$C$3,$B$3389,$B$3419),Data!$BO:$BO,0)-2,16)&amp;"E-9",IF(INDEX(Tab_DaBa[],MATCH(CONCATENATE(Liste!$C$3,$B$3389,$B$3419),Data!$BO:$BO,0)-2,23)&lt;&gt;"","PFH [1/h] = "&amp;10^9*INDEX(Tab_DaBa[],MATCH(CONCATENATE(Liste!$C$3,$B$3389,$B$3419),Data!$BO:$BO,0)-2,26)&amp;"E-9","")),"")</f>
        <v>PFH [1/h] = 4,19E-9</v>
      </c>
      <c r="G3425" s="39"/>
      <c r="H3425" s="35" t="str">
        <f ca="1">IFERROR(IF(AND(INDEX(Tab_DaBa[],MATCH(CONCATENATE(Liste!$C$3,$B$3389,$B$3419),Data!$BO:$BO,0)-2,23)&lt;&gt;"",INDEX(Tab_DaBa[],MATCH(CONCATENATE(Liste!$C$3,$B$3389,$B$3419),Data!$BO:$BO,0)-2,28)=""),"PFH [1/h] = "&amp;10^9*INDEX(Tab_DaBa[],MATCH(CONCATENATE(Liste!$C$3,$B$3389,$B$3419),Data!$BO:$BO,0)-2,16)&amp;"E-9",IF(INDEX(Tab_DaBa[],MATCH(CONCATENATE(Liste!$C$3,$B$3389,$B$3419),Data!$BO:$BO,0)-2,23)&lt;&gt;"","PFH [1/h] = "&amp;10^9*INDEX(Tab_DaBa[],MATCH(CONCATENATE(Liste!$C$3,$B$3389,$B$3419),Data!$BO:$BO,0)-2,31)&amp;"E-9","")),"")</f>
        <v>PFH [1/h] = 24,7E-9</v>
      </c>
      <c r="I3425" s="39"/>
    </row>
    <row r="3426" spans="2:9" s="16" customFormat="1">
      <c r="B3426" s="33"/>
      <c r="C3426" s="34"/>
      <c r="D3426" s="33"/>
      <c r="E3426" s="33"/>
      <c r="F3426" s="33"/>
      <c r="G3426" s="33"/>
      <c r="H3426" s="33"/>
      <c r="I3426" s="33"/>
    </row>
    <row r="3427" spans="2:9" s="16" customFormat="1" ht="15.75">
      <c r="B3427" s="38" t="str">
        <f ca="1">IF(B3429="","",6)</f>
        <v/>
      </c>
      <c r="C3427" s="34"/>
      <c r="D3427" s="38" t="str">
        <f ca="1">IF(B3429="","",3)</f>
        <v/>
      </c>
      <c r="E3427" s="33"/>
      <c r="F3427" s="38" t="str">
        <f ca="1">IF(B3429="","",3)</f>
        <v/>
      </c>
      <c r="G3427" s="33"/>
      <c r="H3427" s="38" t="str">
        <f ca="1">IF(B3429="","",3)</f>
        <v/>
      </c>
      <c r="I3427" s="33"/>
    </row>
    <row r="3428" spans="2:9" s="16" customFormat="1" ht="15.75">
      <c r="B3428" s="39"/>
      <c r="C3428" s="33"/>
      <c r="D3428" s="33"/>
      <c r="E3428" s="33"/>
      <c r="F3428" s="33"/>
      <c r="G3428" s="33"/>
      <c r="H3428" s="33"/>
      <c r="I3428" s="33"/>
    </row>
    <row r="3429" spans="2:9" s="16" customFormat="1" ht="15.75">
      <c r="B3429" s="35" t="str">
        <f ca="1">IFERROR(IF(AND(INDEX(Tab_DaBa[],MATCH(CONCATENATE(Liste!$C$3,$B$3389,$B$3419),Data!$BO:$BO,0)-2,28)&lt;&gt;"",INDEX(Tab_DaBa[],MATCH(CONCATENATE(Liste!$C$3,$B$3389,$B$3419),Data!$BO:$BO,0)-2,33)=0),INDEX(Tab_DaBa[],MATCH(CONCATENATE(Liste!$C$3,$B$3389,$B$3419),Data!$BO:$BO,0)-2,14),IF(INDEX(Tab_DaBa[],MATCH(CONCATENATE(Liste!$C$3,$B$3389,$B$3419),Data!$BO:$BO,0)-2,28)&lt;&gt;"",INDEX(Tab_DaBa[],MATCH(CONCATENATE(Liste!$C$3,$B$3389,$B$3419),Data!$BO:$BO,0)-2,34),"")),"")</f>
        <v/>
      </c>
      <c r="C3429" s="39"/>
      <c r="D3429" s="35" t="str">
        <f ca="1">IFERROR(IF(AND(INDEX(Tab_DaBa[],MATCH(CONCATENATE(Liste!$C$3,$B$3389,$B$3419),Data!$BO:$BO,0)-2,33)&lt;&gt;"",INDEX(Tab_DaBa[],MATCH(CONCATENATE(Liste!$C$3,$B$3389,$B$3419),Data!$BO:$BO,0)-2,38)=0),INDEX(Tab_DaBa[],MATCH(CONCATENATE(Liste!$C$3,$B$3389,$B$3419),Data!$BO:$BO,0)-2,14),IF(INDEX(Tab_DaBa[],MATCH(CONCATENATE(Liste!$C$3,$B$3389,$B$3419),Data!$BO:$BO,0)-2,33)&lt;&gt;"",INDEX(Tab_DaBa[],MATCH(CONCATENATE(Liste!$C$3,$B$3389,$B$3419),Data!$BO:$BO,0)-2,39),"")),"")</f>
        <v/>
      </c>
      <c r="E3429" s="33"/>
      <c r="F3429" s="35" t="str">
        <f ca="1">IFERROR(IF(AND(INDEX(Tab_DaBa[],MATCH(CONCATENATE(Liste!$C$3,$B$3389,$B$3419),Data!$BO:$BO,0)-2,38)&lt;&gt;"",INDEX(Tab_DaBa[],MATCH(CONCATENATE(Liste!$C$3,$B$3389,$B$3419),Data!$BO:$BO,0)-2,43)=0),INDEX(Tab_DaBa[],MATCH(CONCATENATE(Liste!$C$3,$B$3389,$B$3419),Data!$BO:$BO,0)-2,14),IF(INDEX(Tab_DaBa[],MATCH(CONCATENATE(Liste!$C$3,$B$3389,$B$3419),Data!$BO:$BO,0)-2,38)&lt;&gt;"",INDEX(Tab_DaBa[],MATCH(CONCATENATE(Liste!$C$3,$B$3389,$B$3419),Data!$BO:$BO,0)-2,44),"")),"")</f>
        <v/>
      </c>
      <c r="G3429" s="39"/>
      <c r="H3429" s="35" t="str">
        <f ca="1">IFERROR(IF(AND(INDEX(Tab_DaBa[],MATCH(CONCATENATE(Liste!$C$3,$B$3389,$B$3419),Data!$BO:$BO,0)-2,43)&lt;&gt;"",INDEX(Tab_DaBa[],MATCH(CONCATENATE(Liste!$C$3,$B$3389,$B$3419),Data!$BO:$BO,0)-2,48)=0),INDEX(Tab_DaBa[],MATCH(CONCATENATE(Liste!$C$3,$B$3389,$B$3419),Data!$BO:$BO,0)-2,14),IF(INDEX(Tab_DaBa[],MATCH(CONCATENATE(Liste!$C$3,$B$3389,$B$3419),Data!$BO:$BO,0)-2,43)&lt;&gt;"",INDEX(Tab_DaBa[],MATCH(CONCATENATE(Liste!$C$3,$B$3389,$B$3419),Data!$BO:$BO,0)-2,49),"")),"")</f>
        <v/>
      </c>
      <c r="I3429" s="39"/>
    </row>
    <row r="3430" spans="2:9" s="16" customFormat="1" ht="15.75">
      <c r="B3430" s="35" t="str">
        <f ca="1">IFERROR(IF(AND(INDEX(Tab_DaBa[],MATCH(CONCATENATE(Liste!$C$3,$B$3389,$B$3419),Data!$BO:$BO,0)-2,28)&lt;&gt;"",INDEX(Tab_DaBa[],MATCH(CONCATENATE(Liste!$C$3,$B$3389,$B$3419),Data!$BO:$BO,0)-2,33)=0),INDEX(Tab_DaBa[],MATCH(CONCATENATE(Liste!$C$3,$B$3389,$B$3419),Data!$BO:$BO,0)-2,12),IF(INDEX(Tab_DaBa[],MATCH(CONCATENATE(Liste!$C$3,$B$3389,$B$3419),Data!$BO:$BO,0)-2,28)&lt;&gt;"",INDEX(Tab_DaBa[],MATCH(CONCATENATE(Liste!$C$3,$B$3389,$B$3419),Data!$BO:$BO,0)-2,32),"")),"")</f>
        <v/>
      </c>
      <c r="C3430" s="39"/>
      <c r="D3430" s="35" t="str">
        <f ca="1">IFERROR(IF(AND(INDEX(Tab_DaBa[],MATCH(CONCATENATE(Liste!$C$3,$B$3389,$B$3419),Data!$BO:$BO,0)-2,33)&lt;&gt;"",INDEX(Tab_DaBa[],MATCH(CONCATENATE(Liste!$C$3,$B$3389,$B$3419),Data!$BO:$BO,0)-2,38)=0),INDEX(Tab_DaBa[],MATCH(CONCATENATE(Liste!$C$3,$B$3389,$B$3419),Data!$BO:$BO,0)-2,12),IF(INDEX(Tab_DaBa[],MATCH(CONCATENATE(Liste!$C$3,$B$3389,$B$3419),Data!$BO:$BO,0)-2,33)&lt;&gt;"",INDEX(Tab_DaBa[],MATCH(CONCATENATE(Liste!$C$3,$B$3389,$B$3419),Data!$BO:$BO,0)-2,37),"")),"")</f>
        <v/>
      </c>
      <c r="E3430" s="37"/>
      <c r="F3430" s="35" t="str">
        <f ca="1">IFERROR(IF(AND(INDEX(Tab_DaBa[],MATCH(CONCATENATE(Liste!$C$3,$B$3389,$B$3419),Data!$BO:$BO,0)-2,38)&lt;&gt;"",INDEX(Tab_DaBa[],MATCH(CONCATENATE(Liste!$C$3,$B$3389,$B$3419),Data!$BO:$BO,0)-2,43)=0),INDEX(Tab_DaBa[],MATCH(CONCATENATE(Liste!$C$3,$B$3389,$B$3419),Data!$BO:$BO,0)-2,12),IF(INDEX(Tab_DaBa[],MATCH(CONCATENATE(Liste!$C$3,$B$3389,$B$3419),Data!$BO:$BO,0)-2,38)&lt;&gt;"",INDEX(Tab_DaBa[],MATCH(CONCATENATE(Liste!$C$3,$B$3389,$B$3419),Data!$BO:$BO,0)-2,42),"")),"")</f>
        <v/>
      </c>
      <c r="G3430" s="39"/>
      <c r="H3430" s="35" t="str">
        <f ca="1">IFERROR(IF(AND(INDEX(Tab_DaBa[],MATCH(CONCATENATE(Liste!$C$3,$B$3389,$B$3419),Data!$BO:$BO,0)-2,43)&lt;&gt;"",INDEX(Tab_DaBa[],MATCH(CONCATENATE(Liste!$C$3,$B$3389,$B$3419),Data!$BO:$BO,0)-2,48)=0),INDEX(Tab_DaBa[],MATCH(CONCATENATE(Liste!$C$3,$B$3389,$B$3419),Data!$BO:$BO,0)-2,12),IF(INDEX(Tab_DaBa[],MATCH(CONCATENATE(Liste!$C$3,$B$3389,$B$3419),Data!$BO:$BO,0)-2,43)&lt;&gt;"",INDEX(Tab_DaBa[],MATCH(CONCATENATE(Liste!$C$3,$B$3389,$B$3419),Data!$BO:$BO,0)-2,47),"")),"")</f>
        <v/>
      </c>
      <c r="I3430" s="39"/>
    </row>
    <row r="3431" spans="2:9" s="16" customFormat="1" ht="15.75">
      <c r="B3431" s="35" t="str">
        <f ca="1">IFERROR(IF(AND(INDEX(Tab_DaBa[],MATCH(CONCATENATE(Liste!$C$3,$B$3389,$B$3419),Data!$BO:$BO,0)-2,28)&lt;&gt;"",INDEX(Tab_DaBa[],MATCH(CONCATENATE(Liste!$C$3,$B$3389,$B$3419),Data!$BO:$BO,0)-2,33)=""),INDEX(Tab_DaBa[],MATCH(CONCATENATE(Liste!$C$3,$B$3389,$B$3419),Data!$BO:$BO,0)-2,13),IF(INDEX(Tab_DaBa[],MATCH(CONCATENATE(Liste!$C$3,$B$3389,$B$3419),Data!$BO:$BO,0)-2,28)&lt;&gt;"",INDEX(Tab_DaBa[],MATCH(CONCATENATE(Liste!$C$3,$B$3389,$B$3419),Data!$BO:$BO,0)-2,33),"")),"")</f>
        <v/>
      </c>
      <c r="C3431" s="38" t="str">
        <f ca="1">IF(D3429="","",4)</f>
        <v/>
      </c>
      <c r="D3431" s="35" t="str">
        <f ca="1">IFERROR(IF(AND(INDEX(Tab_DaBa[],MATCH(CONCATENATE(Liste!$C$3,$B$3389,$B$3419),Data!$BO:$BO,0)-2,33)&lt;&gt;"",INDEX(Tab_DaBa[],MATCH(CONCATENATE(Liste!$C$3,$B$3389,$B$3419),Data!$BO:$BO,0)-2,38)=""),INDEX(Tab_DaBa[],MATCH(CONCATENATE(Liste!$C$3,$B$3389,$B$3419),Data!$BO:$BO,0)-2,13),IF(INDEX(Tab_DaBa[],MATCH(CONCATENATE(Liste!$C$3,$B$3389,$B$3419),Data!$BO:$BO,0)-2,33)&lt;&gt;"",INDEX(Tab_DaBa[],MATCH(CONCATENATE(Liste!$C$3,$B$3389,$B$3419),Data!$BO:$BO,0)-2,38),"")),"")</f>
        <v/>
      </c>
      <c r="E3431" s="38" t="str">
        <f ca="1">IF(F3429="","",4)</f>
        <v/>
      </c>
      <c r="F3431" s="35" t="str">
        <f ca="1">IFERROR(IF(AND(INDEX(Tab_DaBa[],MATCH(CONCATENATE(Liste!$C$3,$B$3389,$B$3419),Data!$BO:$BO,0)-2,38)&lt;&gt;"",INDEX(Tab_DaBa[],MATCH(CONCATENATE(Liste!$C$3,$B$3389,$B$3419),Data!$BO:$BO,0)-2,43)=""),INDEX(Tab_DaBa[],MATCH(CONCATENATE(Liste!$C$3,$B$3389,$B$3419),Data!$BO:$BO,0)-2,13),IF(INDEX(Tab_DaBa[],MATCH(CONCATENATE(Liste!$C$3,$B$3389,$B$3419),Data!$BO:$BO,0)-2,38)&lt;&gt;"",INDEX(Tab_DaBa[],MATCH(CONCATENATE(Liste!$C$3,$B$3389,$B$3419),Data!$BO:$BO,0)-2,43),"")),"")</f>
        <v/>
      </c>
      <c r="G3431" s="38" t="str">
        <f ca="1">IF(H3429="","",4)</f>
        <v/>
      </c>
      <c r="H3431" s="35" t="str">
        <f ca="1">IFERROR(IF(AND(INDEX(Tab_DaBa[],MATCH(CONCATENATE(Liste!$C$3,$B$3389,$B$3419),Data!$BO:$BO,0)-2,43)&lt;&gt;"",INDEX(Tab_DaBa[],MATCH(CONCATENATE(Liste!$C$3,$B$3389,$B$3419),Data!$BO:$BO,0)-2,48)=""),INDEX(Tab_DaBa[],MATCH(CONCATENATE(Liste!$C$3,$B$3389,$B$3419),Data!$BO:$BO,0)-2,13),IF(INDEX(Tab_DaBa[],MATCH(CONCATENATE(Liste!$C$3,$B$3389,$B$3419),Data!$BO:$BO,0)-2,43)&lt;&gt;"",INDEX(Tab_DaBa[],MATCH(CONCATENATE(Liste!$C$3,$B$3389,$B$3419),Data!$BO:$BO,0)-2,48),"")),"")</f>
        <v/>
      </c>
      <c r="I3431" s="38" t="str">
        <f ca="1">IF(B3437="","",6)</f>
        <v/>
      </c>
    </row>
    <row r="3432" spans="2:9" s="16" customFormat="1" ht="15.75">
      <c r="B3432" s="35" t="str">
        <f ca="1">IFERROR(IF(AND(INDEX(Tab_DaBa[],MATCH(CONCATENATE(Liste!$C$3,$B$3389,$B$3419),Data!$BO:$BO,0)-2,28)&lt;&gt;"",INDEX(Tab_DaBa[],MATCH(CONCATENATE(Liste!$C$3,$B$3389,$B$3419),Data!$BO:$BO,0)-2,33)=""),"Performance Level: "&amp;INDEX(Tab_DaBa[],MATCH(CONCATENATE(Liste!$C$3,$B$3389,$B$3419),Data!$BO:$BO,0)-2,15),IF(INDEX(Tab_DaBa[],MATCH(CONCATENATE(Liste!$C$3,$B$3389,$B$3419),Data!$BO:$BO,0)-2,28)&lt;&gt;"","Performance Level: "&amp;INDEX(Tab_DaBa[],MATCH(CONCATENATE(Liste!$C$3,$B$3389,$B$3419),Data!$BO:$BO,0)-2,35),"")),"")</f>
        <v/>
      </c>
      <c r="C3432" s="39"/>
      <c r="D3432" s="35" t="str">
        <f ca="1">IFERROR(IF(AND(INDEX(Tab_DaBa[],MATCH(CONCATENATE(Liste!$C$3,$B$3389,$B$3419),Data!$BO:$BO,0)-2,33)&lt;&gt;"",INDEX(Tab_DaBa[],MATCH(CONCATENATE(Liste!$C$3,$B$3389,$B$3419),Data!$BO:$BO,0)-2,38)=""),"Performance Level: "&amp;INDEX(Tab_DaBa[],MATCH(CONCATENATE(Liste!$C$3,$B$3389,$B$3419),Data!$BO:$BO,0)-2,15),IF(INDEX(Tab_DaBa[],MATCH(CONCATENATE(Liste!$C$3,$B$3389,$B$3419),Data!$BO:$BO,0)-2,33)&lt;&gt;"","Performance Level: "&amp;INDEX(Tab_DaBa[],MATCH(CONCATENATE(Liste!$C$3,$B$3389,$B$3419),Data!$BO:$BO,0)-2,40),"")),"")</f>
        <v/>
      </c>
      <c r="E3432" s="37"/>
      <c r="F3432" s="35" t="str">
        <f ca="1">IFERROR(IF(AND(INDEX(Tab_DaBa[],MATCH(CONCATENATE(Liste!$C$3,$B$3389,$B$3419),Data!$BO:$BO,0)-2,38)&lt;&gt;"",INDEX(Tab_DaBa[],MATCH(CONCATENATE(Liste!$C$3,$B$3389,$B$3419),Data!$BO:$BO,0)-2,43)=""),"Performance Level: "&amp;INDEX(Tab_DaBa[],MATCH(CONCATENATE(Liste!$C$3,$B$3389,$B$3419),Data!$BO:$BO,0)-2,15),IF(INDEX(Tab_DaBa[],MATCH(CONCATENATE(Liste!$C$3,$B$3389,$B$3419),Data!$BO:$BO,0)-2,38)&lt;&gt;"","Performance Level: "&amp;INDEX(Tab_DaBa[],MATCH(CONCATENATE(Liste!$C$3,$B$3389,$B$3419),Data!$BO:$BO,0)-2,45),"")),"")</f>
        <v/>
      </c>
      <c r="G3432" s="39"/>
      <c r="H3432" s="35" t="str">
        <f ca="1">IFERROR(IF(AND(INDEX(Tab_DaBa[],MATCH(CONCATENATE(Liste!$C$3,$B$3389,$B$3419),Data!$BO:$BO,0)-2,43)&lt;&gt;"",INDEX(Tab_DaBa[],MATCH(CONCATENATE(Liste!$C$3,$B$3389,$B$3419),Data!$BO:$BO,0)-2,48)=""),"Performance Level: "&amp;INDEX(Tab_DaBa[],MATCH(CONCATENATE(Liste!$C$3,$B$3389,$B$3419),Data!$BO:$BO,0)-2,15),IF(INDEX(Tab_DaBa[],MATCH(CONCATENATE(Liste!$C$3,$B$3389,$B$3419),Data!$BO:$BO,0)-2,43)&lt;&gt;"","Performance Level: "&amp;INDEX(Tab_DaBa[],MATCH(CONCATENATE(Liste!$C$3,$B$3389,$B$3419),Data!$BO:$BO,0)-2,50),"")),"")</f>
        <v/>
      </c>
      <c r="I3432" s="39"/>
    </row>
    <row r="3433" spans="2:9" s="16" customFormat="1" ht="15.75">
      <c r="B3433" s="35" t="str">
        <f ca="1">IFERROR(IF(AND(INDEX(Tab_DaBa[],MATCH(CONCATENATE(Liste!$C$3,$B$3389,$B$3419),Data!$BO:$BO,0)-2,28)&lt;&gt;"",INDEX(Tab_DaBa[],MATCH(CONCATENATE(Liste!$C$3,$B$3389,$B$3419),Data!$BO:$BO,0)-2,33)=""),"PFH [1/h] = "&amp;10^9*INDEX(Tab_DaBa[],MATCH(CONCATENATE(Liste!$C$3,$B$3389,$B$3419),Data!$BO:$BO,0)-2,16)&amp;"E-9",IF(INDEX(Tab_DaBa[],MATCH(CONCATENATE(Liste!$C$3,$B$3389,$B$3419),Data!$BO:$BO,0)-2,28)&lt;&gt;"","PFH [1/h] = "&amp;10^9*INDEX(Tab_DaBa[],MATCH(CONCATENATE(Liste!$C$3,$B$3389,$B$3419),Data!$BO:$BO,0)-2,36)&amp;"E-9","")),"")</f>
        <v/>
      </c>
      <c r="C3433" s="39"/>
      <c r="D3433" s="35" t="str">
        <f ca="1">IFERROR(IF(AND(INDEX(Tab_DaBa[],MATCH(CONCATENATE(Liste!$C$3,$B$3389,$B$3419),Data!$BO:$BO,0)-2,33)&lt;&gt;"",INDEX(Tab_DaBa[],MATCH(CONCATENATE(Liste!$C$3,$B$3389,$B$3419),Data!$BO:$BO,0)-2,38)=""),"PFH [1/h] = "&amp;10^9*INDEX(Tab_DaBa[],MATCH(CONCATENATE(Liste!$C$3,$B$3389,$B$3419),Data!$BO:$BO,0)-2,16)&amp;"E-9",IF(INDEX(Tab_DaBa[],MATCH(CONCATENATE(Liste!$C$3,$B$3389,$B$3419),Data!$BO:$BO,0)-2,33)&lt;&gt;"","PFH [1/h] = "&amp;10^9*INDEX(Tab_DaBa[],MATCH(CONCATENATE(Liste!$C$3,$B$3389,$B$3419),Data!$BO:$BO,0)-2,41)&amp;"E-9","")),"")</f>
        <v/>
      </c>
      <c r="E3433" s="37"/>
      <c r="F3433" s="35" t="str">
        <f ca="1">IFERROR(IF(AND(INDEX(Tab_DaBa[],MATCH(CONCATENATE(Liste!$C$3,$B$3389,$B$3419),Data!$BO:$BO,0)-2,38)&lt;&gt;"",INDEX(Tab_DaBa[],MATCH(CONCATENATE(Liste!$C$3,$B$3389,$B$3419),Data!$BO:$BO,0)-2,43)=""),"PFH [1/h] = "&amp;10^9*INDEX(Tab_DaBa[],MATCH(CONCATENATE(Liste!$C$3,$B$3389,$B$3419),Data!$BO:$BO,0)-2,16)&amp;"E-9",IF(INDEX(Tab_DaBa[],MATCH(CONCATENATE(Liste!$C$3,$B$3389,$B$3419),Data!$BO:$BO,0)-2,38)&lt;&gt;"","PFH [1/h] = "&amp;10^9*INDEX(Tab_DaBa[],MATCH(CONCATENATE(Liste!$C$3,$B$3389,$B$3419),Data!$BO:$BO,0)-2,46)&amp;"E-9","")),"")</f>
        <v/>
      </c>
      <c r="G3433" s="39"/>
      <c r="H3433" s="35" t="str">
        <f ca="1">IFERROR(IF(AND(INDEX(Tab_DaBa[],MATCH(CONCATENATE(Liste!$C$3,$B$3389,$B$3419),Data!$BO:$BO,0)-2,43)&lt;&gt;"",INDEX(Tab_DaBa[],MATCH(CONCATENATE(Liste!$C$3,$B$3389,$B$3419),Data!$BO:$BO,0)-2,48)=""),"PFH [1/h] = "&amp;10^9*INDEX(Tab_DaBa[],MATCH(CONCATENATE(Liste!$C$3,$B$3389,$B$3419),Data!$BO:$BO,0)-2,16)&amp;"E-9",IF(INDEX(Tab_DaBa[],MATCH(CONCATENATE(Liste!$C$3,$B$3389,$B$3419),Data!$BO:$BO,0)-2,43)&lt;&gt;"","PFH [1/h] = "&amp;10^9*INDEX(Tab_DaBa[],MATCH(CONCATENATE(Liste!$C$3,$B$3389,$B$3419),Data!$BO:$BO,0)-2,51)&amp;"E-9","")),"")</f>
        <v/>
      </c>
      <c r="I3433" s="39"/>
    </row>
    <row r="3434" spans="2:9" s="16" customFormat="1">
      <c r="B3434" s="33"/>
      <c r="C3434" s="33"/>
      <c r="D3434" s="33"/>
      <c r="E3434" s="33"/>
      <c r="F3434" s="33"/>
      <c r="G3434" s="33"/>
      <c r="H3434" s="33"/>
      <c r="I3434" s="33"/>
    </row>
    <row r="3435" spans="2:9" s="16" customFormat="1" ht="15.75">
      <c r="B3435" s="38" t="str">
        <f ca="1">IF(B3437="","",6)</f>
        <v/>
      </c>
      <c r="C3435" s="33"/>
      <c r="D3435" s="38" t="str">
        <f ca="1">IF(B3437="","",3)</f>
        <v/>
      </c>
      <c r="E3435" s="33"/>
      <c r="F3435" s="38" t="str">
        <f ca="1">IF(B3437="","",3)</f>
        <v/>
      </c>
      <c r="G3435" s="33"/>
      <c r="H3435" s="38" t="str">
        <f ca="1">IF(B3437="","",3)</f>
        <v/>
      </c>
      <c r="I3435" s="33"/>
    </row>
    <row r="3436" spans="2:9" s="16" customFormat="1" ht="15.75">
      <c r="B3436" s="39"/>
      <c r="C3436" s="33"/>
      <c r="D3436" s="33"/>
      <c r="E3436" s="33"/>
      <c r="F3436" s="33"/>
      <c r="G3436" s="33"/>
      <c r="H3436" s="33"/>
      <c r="I3436" s="33"/>
    </row>
    <row r="3437" spans="2:9" s="16" customFormat="1" ht="15.75">
      <c r="B3437" s="35" t="str">
        <f ca="1">IFERROR(IF(AND(INDEX(Tab_DaBa[],MATCH(CONCATENATE(Liste!$C$3,$B$3389,$B$3419),Data!$BO:$BO,0)-2,48)&lt;&gt;"",INDEX(Tab_DaBa[],MATCH(CONCATENATE(Liste!$C$3,$B$3389,$B$3419),Data!$BO:$BO,0)-2,53)=0),INDEX(Tab_DaBa[],MATCH(CONCATENATE(Liste!$C$3,$B$3389,$B$3419),Data!$BO:$BO,0)-2,14),IF(INDEX(Tab_DaBa[],MATCH(CONCATENATE(Liste!$C$3,$B$3389,$B$3419),Data!$BO:$BO,0)-2,48)&lt;&gt;"",INDEX(Tab_DaBa[],MATCH(CONCATENATE(Liste!$C$3,$B$3389,$B$3419),Data!$BO:$BO,0)-2,54),"")),"")</f>
        <v/>
      </c>
      <c r="C3437" s="39"/>
      <c r="D3437" s="35" t="str">
        <f ca="1">IFERROR(IF(AND(INDEX(Tab_DaBa[],MATCH(CONCATENATE(Liste!$C$3,$B$3389,$B$3419),Data!$BO:$BO,0)-2,53)&lt;&gt;"",INDEX(Tab_DaBa[],MATCH(CONCATENATE(Liste!$C$3,$B$3389,$B$3419),Data!$BO:$BO,0)-2,58)=0),INDEX(Tab_DaBa[],MATCH(CONCATENATE(Liste!$C$3,$B$3389,$B$3419),Data!$BO:$BO,0)-2,14),IF(INDEX(Tab_DaBa[],MATCH(CONCATENATE(Liste!$C$3,$B$3389,$B$3419),Data!$BO:$BO,0)-2,53)&lt;&gt;"",INDEX(Tab_DaBa[],MATCH(CONCATENATE(Liste!$C$3,$B$3389,$B$3419),Data!$BO:$BO,0)-2,59),"")),"")</f>
        <v/>
      </c>
      <c r="E3437" s="33"/>
      <c r="F3437" s="35" t="str">
        <f ca="1">IFERROR(IF(AND(INDEX(Tab_DaBa[],MATCH(CONCATENATE(Liste!$C$3,$B$3389,$B$3419),Data!$BO:$BO,0)-2,58)&lt;&gt;"",INDEX(Tab_DaBa[],MATCH(CONCATENATE(Liste!$C$3,$B$3389,$B$3419),Data!$BO:$BO,0)-2,63)=0),INDEX(Tab_DaBa[],MATCH(CONCATENATE(Liste!$C$3,$B$3389,$B$3419),Data!$BO:$BO,0)-2,14),IF(INDEX(Tab_DaBa[],MATCH(CONCATENATE(Liste!$C$3,$B$3389,$B$3419),Data!$BO:$BO,0)-2,58)&lt;&gt;"",INDEX(Tab_DaBa[],MATCH(CONCATENATE(Liste!$C$3,$B$3389,$B$3419),Data!$BO:$BO,0)-2,64),"")),"")</f>
        <v/>
      </c>
      <c r="G3437" s="39"/>
      <c r="H3437" s="35" t="str">
        <f ca="1">IFERROR(IF(INDEX(Tab_DaBa[],MATCH(CONCATENATE(Liste!$C$3,$B$3389,$B$3419),Data!$BO:$BO,0)-2,63)&lt;&gt;"",INDEX(Tab_DaBa[],MATCH(CONCATENATE(Liste!$C$3,$B$3389,$B$3419),Data!$BO:$BO,0)-2,14),""),"")</f>
        <v/>
      </c>
    </row>
    <row r="3438" spans="2:9" s="16" customFormat="1" ht="15.75">
      <c r="B3438" s="35" t="str">
        <f ca="1">IFERROR(IF(AND(INDEX(Tab_DaBa[],MATCH(CONCATENATE(Liste!$C$3,$B$3389,$B$3419),Data!$BO:$BO,0)-2,48)&lt;&gt;"",INDEX(Tab_DaBa[],MATCH(CONCATENATE(Liste!$C$3,$B$3389,$B$3419),Data!$BO:$BO,0)-2,53)=0),INDEX(Tab_DaBa[],MATCH(CONCATENATE(Liste!$C$3,$B$3389,$B$3419),Data!$BO:$BO,0)-2,12),IF(INDEX(Tab_DaBa[],MATCH(CONCATENATE(Liste!$C$3,$B$3389,$B$3419),Data!$BO:$BO,0)-2,48)&lt;&gt;"",INDEX(Tab_DaBa[],MATCH(CONCATENATE(Liste!$C$3,$B$3389,$B$3419),Data!$BO:$BO,0)-2,52),"")),"")</f>
        <v/>
      </c>
      <c r="C3438" s="39"/>
      <c r="D3438" s="35" t="str">
        <f ca="1">IFERROR(IF(AND(INDEX(Tab_DaBa[],MATCH(CONCATENATE(Liste!$C$3,$B$3389,$B$3419),Data!$BO:$BO,0)-2,53)&lt;&gt;"",INDEX(Tab_DaBa[],MATCH(CONCATENATE(Liste!$C$3,$B$3389,$B$3419),Data!$BO:$BO,0)-2,58)=0),INDEX(Tab_DaBa[],MATCH(CONCATENATE(Liste!$C$3,$B$3389,$B$3419),Data!$BO:$BO,0)-2,12),IF(INDEX(Tab_DaBa[],MATCH(CONCATENATE(Liste!$C$3,$B$3389,$B$3419),Data!$BO:$BO,0)-2,53)&lt;&gt;"",INDEX(Tab_DaBa[],MATCH(CONCATENATE(Liste!$C$3,$B$3389,$B$3419),Data!$BO:$BO,0)-2,57),"")),"")</f>
        <v/>
      </c>
      <c r="E3438" s="37"/>
      <c r="F3438" s="35" t="str">
        <f ca="1">IFERROR(IF(AND(INDEX(Tab_DaBa[],MATCH(CONCATENATE(Liste!$C$3,$B$3389,$B$3419),Data!$BO:$BO,0)-2,58)&lt;&gt;"",INDEX(Tab_DaBa[],MATCH(CONCATENATE(Liste!$C$3,$B$3389,$B$3419),Data!$BO:$BO,0)-2,63)=0),INDEX(Tab_DaBa[],MATCH(CONCATENATE(Liste!$C$3,$B$3389,$B$3419),Data!$BO:$BO,0)-2,12),IF(INDEX(Tab_DaBa[],MATCH(CONCATENATE(Liste!$C$3,$B$3389,$B$3419),Data!$BO:$BO,0)-2,58)&lt;&gt;"",INDEX(Tab_DaBa[],MATCH(CONCATENATE(Liste!$C$3,$B$3389,$B$3419),Data!$BO:$BO,0)-2,62),"")),"")</f>
        <v/>
      </c>
      <c r="G3438" s="39"/>
      <c r="H3438" s="35" t="str">
        <f ca="1">IFERROR(IF(INDEX(Tab_DaBa[],MATCH(CONCATENATE(Liste!$C$3,$B$3389,$B$3419),Data!$BO:$BO,0)-2,63)&lt;&gt;"",INDEX(Tab_DaBa[],MATCH(CONCATENATE(Liste!$C$3,$B$3389,$B$3419),Data!$BO:$BO,0)-2,12),""),"")</f>
        <v/>
      </c>
    </row>
    <row r="3439" spans="2:9" s="16" customFormat="1" ht="15.75">
      <c r="B3439" s="35" t="str">
        <f ca="1">IFERROR(IF(AND(INDEX(Tab_DaBa[],MATCH(CONCATENATE(Liste!$C$3,$B$3389,$B$3419),Data!$BO:$BO,0)-2,48)&lt;&gt;"",INDEX(Tab_DaBa[],MATCH(CONCATENATE(Liste!$C$3,$B$3389,$B$3419),Data!$BO:$BO,0)-2,53)=""),INDEX(Tab_DaBa[],MATCH(CONCATENATE(Liste!$C$3,$B$3389,$B$3419),Data!$BO:$BO,0)-2,13),IF(INDEX(Tab_DaBa[],MATCH(CONCATENATE(Liste!$C$3,$B$3389,$B$3419),Data!$BO:$BO,0)-2,48)&lt;&gt;"",INDEX(Tab_DaBa[],MATCH(CONCATENATE(Liste!$C$3,$B$3389,$B$3419),Data!$BO:$BO,0)-2,53),"")),"")</f>
        <v/>
      </c>
      <c r="C3439" s="38" t="str">
        <f ca="1">IF(D3437="","",4)</f>
        <v/>
      </c>
      <c r="D3439" s="35" t="str">
        <f ca="1">IFERROR(IF(AND(INDEX(Tab_DaBa[],MATCH(CONCATENATE(Liste!$C$3,$B$3389,$B$3419),Data!$BO:$BO,0)-2,53)&lt;&gt;"",INDEX(Tab_DaBa[],MATCH(CONCATENATE(Liste!$C$3,$B$3389,$B$3419),Data!$BO:$BO,0)-2,58)=""),INDEX(Tab_DaBa[],MATCH(CONCATENATE(Liste!$C$3,$B$3389,$B$3419),Data!$BO:$BO,0)-2,13),IF(INDEX(Tab_DaBa[],MATCH(CONCATENATE(Liste!$C$3,$B$3389,$B$3419),Data!$BO:$BO,0)-2,53)&lt;&gt;"",INDEX(Tab_DaBa[],MATCH(CONCATENATE(Liste!$C$3,$B$3389,$B$3419),Data!$BO:$BO,0)-2,58),"")),"")</f>
        <v/>
      </c>
      <c r="E3439" s="38" t="str">
        <f ca="1">IF(F3437="","",4)</f>
        <v/>
      </c>
      <c r="F3439" s="35" t="str">
        <f ca="1">IFERROR(IF(AND(INDEX(Tab_DaBa[],MATCH(CONCATENATE(Liste!$C$3,$B$3389,$B$3419),Data!$BO:$BO,0)-2,58)&lt;&gt;"",INDEX(Tab_DaBa[],MATCH(CONCATENATE(Liste!$C$3,$B$3389,$B$3419),Data!$BO:$BO,0)-2,63)=""),INDEX(Tab_DaBa[],MATCH(CONCATENATE(Liste!$C$3,$B$3389,$B$3419),Data!$BO:$BO,0)-2,13),IF(INDEX(Tab_DaBa[],MATCH(CONCATENATE(Liste!$C$3,$B$3389,$B$3419),Data!$BO:$BO,0)-2,58)&lt;&gt;"",INDEX(Tab_DaBa[],MATCH(CONCATENATE(Liste!$C$3,$B$3389,$B$3419),Data!$BO:$BO,0)-2,63),"")),"")</f>
        <v/>
      </c>
      <c r="G3439" s="38" t="str">
        <f ca="1">IF(H3437="","",4)</f>
        <v/>
      </c>
      <c r="H3439" s="35" t="str">
        <f ca="1">IFERROR(IF(INDEX(Tab_DaBa[],MATCH(CONCATENATE(Liste!$C$3,$B$3389,$B$3419),Data!$BO:$BO,0)-2,63)&lt;&gt;"",INDEX(Tab_DaBa[],MATCH(CONCATENATE(Liste!$C$3,$B$3389,$B$3419),Data!$BO:$BO,0)-2,13),""),"")</f>
        <v/>
      </c>
    </row>
    <row r="3440" spans="2:9" s="16" customFormat="1" ht="15.75">
      <c r="B3440" s="35" t="str">
        <f ca="1">IFERROR(IF(AND(INDEX(Tab_DaBa[],MATCH(CONCATENATE(Liste!$C$3,$B$3389,$B$3419),Data!$BO:$BO,0)-2,48)&lt;&gt;"",INDEX(Tab_DaBa[],MATCH(CONCATENATE(Liste!$C$3,$B$3389,$B$3419),Data!$BO:$BO,0)-2,53)=""),"Performance Level: "&amp;INDEX(Tab_DaBa[],MATCH(CONCATENATE(Liste!$C$3,$B$3389,$B$3419),Data!$BO:$BO,0)-2,15),IF(INDEX(Tab_DaBa[],MATCH(CONCATENATE(Liste!$C$3,$B$3389,$B$3419),Data!$BO:$BO,0)-2,48)&lt;&gt;"","Performance Level: "&amp;INDEX(Tab_DaBa[],MATCH(CONCATENATE(Liste!$C$3,$B$3389,$B$3419),Data!$BO:$BO,0)-2,55),"")),"")</f>
        <v/>
      </c>
      <c r="C3440" s="39"/>
      <c r="D3440" s="35" t="str">
        <f ca="1">IFERROR(IF(AND(INDEX(Tab_DaBa[],MATCH(CONCATENATE(Liste!$C$3,$B$3389,$B$3419),Data!$BO:$BO,0)-2,53)&lt;&gt;"",INDEX(Tab_DaBa[],MATCH(CONCATENATE(Liste!$C$3,$B$3389,$B$3419),Data!$BO:$BO,0)-2,58)=""),"Performance Level: "&amp;INDEX(Tab_DaBa[],MATCH(CONCATENATE(Liste!$C$3,$B$3389,$B$3419),Data!$BO:$BO,0)-2,15),IF(INDEX(Tab_DaBa[],MATCH(CONCATENATE(Liste!$C$3,$B$3389,$B$3419),Data!$BO:$BO,0)-2,53)&lt;&gt;"","Performance Level: "&amp;INDEX(Tab_DaBa[],MATCH(CONCATENATE(Liste!$C$3,$B$3389,$B$3419),Data!$BO:$BO,0)-2,60),"")),"")</f>
        <v/>
      </c>
      <c r="E3440" s="37"/>
      <c r="F3440" s="35" t="str">
        <f ca="1">IFERROR(IF(AND(INDEX(Tab_DaBa[],MATCH(CONCATENATE(Liste!$C$3,$B$3389,$B$3419),Data!$BO:$BO,0)-2,58)&lt;&gt;"",INDEX(Tab_DaBa[],MATCH(CONCATENATE(Liste!$C$3,$B$3389,$B$3419),Data!$BO:$BO,0)-2,63)=""),"Performance Level: "&amp;INDEX(Tab_DaBa[],MATCH(CONCATENATE(Liste!$C$3,$B$3389,$B$3419),Data!$BO:$BO,0)-2,15),IF(INDEX(Tab_DaBa[],MATCH(CONCATENATE(Liste!$C$3,$B$3389,$B$3419),Data!$BO:$BO,0)-2,58)&lt;&gt;"","Performance Level: "&amp;INDEX(Tab_DaBa[],MATCH(CONCATENATE(Liste!$C$3,$B$3389,$B$3419),Data!$BO:$BO,0)-2,65),"")),"")</f>
        <v/>
      </c>
      <c r="G3440" s="39"/>
      <c r="H3440" s="35" t="str">
        <f ca="1">IFERROR(IF(INDEX(Tab_DaBa[],MATCH(CONCATENATE(Liste!$C$3,$B$3389,$B$3419),Data!$BO:$BO,0)-2,63)&lt;&gt;"","Performance Level: "&amp;INDEX(Tab_DaBa[],MATCH(CONCATENATE(Liste!$C$3,$B$3389,$B$3419),Data!$BO:$BO,0)-2,15),""),"")</f>
        <v/>
      </c>
    </row>
    <row r="3441" spans="2:9" s="16" customFormat="1" ht="15.75">
      <c r="B3441" s="35" t="str">
        <f ca="1">IFERROR(IF(AND(INDEX(Tab_DaBa[],MATCH(CONCATENATE(Liste!$C$3,$B$3389,$B$3419),Data!$BO:$BO,0)-2,48)&lt;&gt;"",INDEX(Tab_DaBa[],MATCH(CONCATENATE(Liste!$C$3,$B$3389,$B$3419),Data!$BO:$BO,0)-2,53)=""),"PFH [1/h] = "&amp;10^9*INDEX(Tab_DaBa[],MATCH(CONCATENATE(Liste!$C$3,$B$3389,$B$3419),Data!$BO:$BO,0)-2,16)&amp;"E-9",IF(INDEX(Tab_DaBa[],MATCH(CONCATENATE(Liste!$C$3,$B$3389,$B$3419),Data!$BO:$BO,0)-2,48)&lt;&gt;"","PFH [1/h] = "&amp;10^9*INDEX(Tab_DaBa[],MATCH(CONCATENATE(Liste!$C$3,$B$3389,$B$3419),Data!$BO:$BO,0)-2,56)&amp;"E-9","")),"")</f>
        <v/>
      </c>
      <c r="C3441" s="39"/>
      <c r="D3441" s="35" t="str">
        <f ca="1">IFERROR(IF(AND(INDEX(Tab_DaBa[],MATCH(CONCATENATE(Liste!$C$3,$B$3389,$B$3419),Data!$BO:$BO,0)-2,53)&lt;&gt;"",INDEX(Tab_DaBa[],MATCH(CONCATENATE(Liste!$C$3,$B$3389,$B$3419),Data!$BO:$BO,0)-2,58)=""),"PFH [1/h] = "&amp;10^9*INDEX(Tab_DaBa[],MATCH(CONCATENATE(Liste!$C$3,$B$3389,$B$3419),Data!$BO:$BO,0)-2,16)&amp;"E-9",IF(INDEX(Tab_DaBa[],MATCH(CONCATENATE(Liste!$C$3,$B$3389,$B$3419),Data!$BO:$BO,0)-2,53)&lt;&gt;"","PFH [1/h] = "&amp;10^9*INDEX(Tab_DaBa[],MATCH(CONCATENATE(Liste!$C$3,$B$3389,$B$3419),Data!$BO:$BO,0)-2,61)&amp;"E-9","")),"")</f>
        <v/>
      </c>
      <c r="E3441" s="37"/>
      <c r="F3441" s="35" t="str">
        <f ca="1">IFERROR(IF(AND(INDEX(Tab_DaBa[],MATCH(CONCATENATE(Liste!$C$3,$B$3389,$B$3419),Data!$BO:$BO,0)-2,58)&lt;&gt;"",INDEX(Tab_DaBa[],MATCH(CONCATENATE(Liste!$C$3,$B$3389,$B$3419),Data!$BO:$BO,0)-2,63)=""),"PFH [1/h] = "&amp;10^9*INDEX(Tab_DaBa[],MATCH(CONCATENATE(Liste!$C$3,$B$3389,$B$3419),Data!$BO:$BO,0)-2,16)&amp;"E-9",IF(INDEX(Tab_DaBa[],MATCH(CONCATENATE(Liste!$C$3,$B$3389,$B$3419),Data!$BO:$BO,0)-2,58)&lt;&gt;"","PFH [1/h] = "&amp;10^9*INDEX(Tab_DaBa[],MATCH(CONCATENATE(Liste!$C$3,$B$3389,$B$3419),Data!$BO:$BO,0)-2,66)&amp;"E-9","")),"")</f>
        <v/>
      </c>
      <c r="G3441" s="39"/>
      <c r="H3441" s="35" t="str">
        <f ca="1">IFERROR(IF(INDEX(Tab_DaBa[],MATCH(CONCATENATE(Liste!$C$3,$B$3389,$B$3419),Data!$BO:$BO,0)-2,63)&lt;&gt;"","PFH [1/h] = "&amp;10^9*INDEX(Tab_DaBa[],MATCH(CONCATENATE(Liste!$C$3,$B$3389,$B$3419),Data!$BO:$BO,0)-2,16)&amp;"E-9",""),"")</f>
        <v/>
      </c>
    </row>
    <row r="3442" spans="2:9" s="16" customFormat="1"/>
    <row r="3443" spans="2:9" s="16" customFormat="1">
      <c r="B3443" s="43" t="str">
        <f ca="1">IF(D3443="","","Erforderlich")</f>
        <v>Erforderlich</v>
      </c>
      <c r="D3443" s="44" t="str">
        <f ca="1">IFERROR("Performance Level: "&amp;INDEX(Tab_DaBa[],MATCH(CONCATENATE(Liste!$C$3,$B$3389,$B$3419),Data!$BO:$BO,0)-2,4),"")</f>
        <v>Performance Level: PLr_ges4_2</v>
      </c>
    </row>
    <row r="3444" spans="2:9" s="16" customFormat="1">
      <c r="B3444" s="45"/>
    </row>
    <row r="3445" spans="2:9" s="16" customFormat="1">
      <c r="B3445" s="46" t="str">
        <f ca="1">IF(D3445="","","Erreicht")</f>
        <v>Erreicht</v>
      </c>
      <c r="D3445" s="47" t="str">
        <f ca="1">IFERROR("Performance Level: "&amp;INDEX(Tab_DaBa[],MATCH(CONCATENATE(Liste!$C$3,$B$3389,$B$3419),Data!$BO:$BO,0)-2,5)&amp;"          PFH [1/h] = "&amp;10^9*INDEX(Tab_DaBa[],MATCH(CONCATENATE(Liste!$C$3,$B$3389,$B$3419),Data!$BO:$BO,0)-2,6)&amp;"E-9","")</f>
        <v>Performance Level: Pl_ges4_2          PFH [1/h] = 71,7E-9</v>
      </c>
    </row>
    <row r="3446" spans="2:9" s="16" customFormat="1"/>
    <row r="3447" spans="2:9" s="16" customFormat="1">
      <c r="B3447" s="42" t="str">
        <f ca="1">IFERROR(IF(3&gt;COUNTIF(Data!$BP:$BP,CONCATENATE(Liste!$C$3,$B$3389)),"",INDEX(Tab_DaBa[],MATCH(CONCATENATE(Liste!$C$3,$B$3389),Data!$BP:$BP,0),3)),"")</f>
        <v>13.3 Test13 (E+3L+A)</v>
      </c>
    </row>
    <row r="3448" spans="2:9" s="16" customFormat="1"/>
    <row r="3449" spans="2:9" s="16" customFormat="1" ht="15.75">
      <c r="B3449" s="35" t="str">
        <f ca="1">IFERROR(INDEX(Tab_DaBa[],MATCH(CONCATENATE(Liste!$C$3,$B$3389,$B$3447),Data!$BO:$BO,0)-2,9),"")</f>
        <v>Eingang</v>
      </c>
      <c r="C3449" s="54"/>
      <c r="D3449" s="35" t="str">
        <f ca="1">IFERROR(IF(INDEX(Tab_DaBa[],MATCH(CONCATENATE(Liste!$C$3,$B$3389,$B$3447),Data!$BO:$BO,0)-2,18)=0,INDEX(Tab_DaBa[],MATCH(CONCATENATE(Liste!$C$3,$B$3389,$B$3447),Data!$BO:$BO,0)-2,14),INDEX(Tab_DaBa[],MATCH(CONCATENATE(Liste!$C$3,$B$3389,$B$3447),Data!$BO:$BO,0)-2,19)),"")</f>
        <v>Logik 01</v>
      </c>
      <c r="E3449" s="33"/>
      <c r="F3449" s="35" t="str">
        <f ca="1">IFERROR(IF(AND(INDEX(Tab_DaBa[],MATCH(CONCATENATE(Liste!$C$3,$B$3389,$B$3447),Data!$BO:$BO,0)-2,18)&lt;&gt;"",INDEX(Tab_DaBa[],MATCH(CONCATENATE(Liste!$C$3,$B$3389,$B$3447),Data!$BO:$BO,0)-2,23)=0),INDEX(Tab_DaBa[],MATCH(CONCATENATE(Liste!$C$3,$B$3389,$B$3447),Data!$BO:$BO,0)-2,14),IF(INDEX(Tab_DaBa[],MATCH(CONCATENATE(Liste!$C$3,$B$3389,$B$3447),Data!$BO:$BO,0)-2,23)&lt;&gt;"",INDEX(Tab_DaBa[],MATCH(CONCATENATE(Liste!$C$3,$B$3389,$B$3447),Data!$BO:$BO,0)-2,24),"")),"")</f>
        <v>Logik 02</v>
      </c>
      <c r="G3449" s="39"/>
      <c r="H3449" s="35" t="str">
        <f ca="1">IFERROR(IF(AND(INDEX(Tab_DaBa[],MATCH(CONCATENATE(Liste!$C$3,$B$3389,$B$3447),Data!$BO:$BO,0)-2,23)&lt;&gt;"",INDEX(Tab_DaBa[],MATCH(CONCATENATE(Liste!$C$3,$B$3389,$B$3447),Data!$BO:$BO,0)-2,28)=0),INDEX(Tab_DaBa[],MATCH(CONCATENATE(Liste!$C$3,$B$3389,$B$3447),Data!$BO:$BO,0)-2,14),IF(INDEX(Tab_DaBa[],MATCH(CONCATENATE(Liste!$C$3,$B$3389,$B$3447),Data!$BO:$BO,0)-2,23)&lt;&gt;"",INDEX(Tab_DaBa[],MATCH(CONCATENATE(Liste!$C$3,$B$3389,$B$3447),Data!$BO:$BO,0)-2,29),"")),"")</f>
        <v>Logik 03</v>
      </c>
      <c r="I3449" s="39"/>
    </row>
    <row r="3450" spans="2:9" s="16" customFormat="1" ht="15.75">
      <c r="B3450" s="35" t="str">
        <f ca="1">IFERROR(INDEX(Tab_DaBa[],MATCH(CONCATENATE(Liste!$C$3,$B$3389,$B$3447),Data!$BO:$BO,0)-2,7),"")</f>
        <v>eeee-33_3</v>
      </c>
      <c r="C3450" s="54"/>
      <c r="D3450" s="35" t="str">
        <f ca="1">IFERROR(IF(INDEX(Tab_DaBa[],MATCH(CONCATENATE(Liste!$C$3,$B$3389,$B$3447),Data!$BO:$BO,0)-2,18)="",INDEX(Tab_DaBa[],MATCH(CONCATENATE(Liste!$C$3,$B$3389,$B$3447),Data!$BO:$BO,0)-2,12),INDEX(Tab_DaBa[],MATCH(CONCATENATE(Liste!$C$3,$B$3389,$B$3447),Data!$BO:$BO,0)-2,17)),"")</f>
        <v>Log01-04_03</v>
      </c>
      <c r="E3450" s="36"/>
      <c r="F3450" s="35" t="str">
        <f ca="1">IFERROR(IF(AND(INDEX(Tab_DaBa[],MATCH(CONCATENATE(Liste!$C$3,$B$3389,$B$3447),Data!$BO:$BO,0)-2,18)&lt;&gt;"",INDEX(Tab_DaBa[],MATCH(CONCATENATE(Liste!$C$3,$B$3389,$B$3447),Data!$BO:$BO,0)-2,23)=0),INDEX(Tab_DaBa[],MATCH(CONCATENATE(Liste!$C$3,$B$3389,$B$3447),Data!$BO:$BO,0)-2,12),IF(INDEX(Tab_DaBa[],MATCH(CONCATENATE(Liste!$C$3,$B$3389,$B$3447),Data!$BO:$BO,0)-2,23)&lt;&gt;"",INDEX(Tab_DaBa[],MATCH(CONCATENATE(Liste!$C$3,$B$3389,$B$3447),Data!$BO:$BO,0)-2,22),"")),"")</f>
        <v>Lo04-04_03</v>
      </c>
      <c r="G3450" s="39"/>
      <c r="H3450" s="35" t="str">
        <f ca="1">IFERROR(IF(AND(INDEX(Tab_DaBa[],MATCH(CONCATENATE(Liste!$C$3,$B$3389,$B$3447),Data!$BO:$BO,0)-2,23)&lt;&gt;"",INDEX(Tab_DaBa[],MATCH(CONCATENATE(Liste!$C$3,$B$3389,$B$3447),Data!$BO:$BO,0)-2,28)=0),INDEX(Tab_DaBa[],MATCH(CONCATENATE(Liste!$C$3,$B$3389,$B$3447),Data!$BO:$BO,0)-2,12),IF(INDEX(Tab_DaBa[],MATCH(CONCATENATE(Liste!$C$3,$B$3389,$B$3447),Data!$BO:$BO,0)-2,23)&lt;&gt;"",INDEX(Tab_DaBa[],MATCH(CONCATENATE(Liste!$C$3,$B$3389,$B$3447),Data!$BO:$BO,0)-2,27),"")),"")</f>
        <v>Lo04-44_03</v>
      </c>
      <c r="I3450" s="39"/>
    </row>
    <row r="3451" spans="2:9" s="16" customFormat="1" ht="15.75">
      <c r="B3451" s="35" t="str">
        <f ca="1">IFERROR(INDEX(Tab_DaBa[],MATCH(CONCATENATE(Liste!$C$3,$B$3389,$B$3447),Data!$BO:$BO,0)-2,8),"")</f>
        <v>Bez_Ein4_3</v>
      </c>
      <c r="C3451" s="40">
        <f ca="1">IF(D3449="","",4)</f>
        <v>4</v>
      </c>
      <c r="D3451" s="35" t="str">
        <f ca="1">IFERROR(IF(INDEX(Tab_DaBa[],MATCH(CONCATENATE(Liste!$C$3,$B$3389,$B$3447),Data!$BO:$BO,0)-2,18)="",INDEX(Tab_DaBa[],MATCH(CONCATENATE(Liste!$C$3,$B$3389,$B$3447),Data!$BO:$BO,0)-2,13),INDEX(Tab_DaBa[],MATCH(CONCATENATE(Liste!$C$3,$B$3389,$B$3447),Data!$BO:$BO,0)-2,18)),"")</f>
        <v>Bez_Log01_04_03</v>
      </c>
      <c r="E3451" s="40">
        <f ca="1">IF(F3449="","",4)</f>
        <v>4</v>
      </c>
      <c r="F3451" s="35" t="str">
        <f ca="1">IFERROR(IF(AND(INDEX(Tab_DaBa[],MATCH(CONCATENATE(Liste!$C$3,$B$3389,$B$3447),Data!$BO:$BO,0)-2,18)&lt;&gt;"",INDEX(Tab_DaBa[],MATCH(CONCATENATE(Liste!$C$3,$B$3389,$B$3447),Data!$BO:$BO,0)-2,23)=""),INDEX(Tab_DaBa[],MATCH(CONCATENATE(Liste!$C$3,$B$3389,$B$3447),Data!$BO:$BO,0)-2,13),IF(INDEX(Tab_DaBa[],MATCH(CONCATENATE(Liste!$C$3,$B$3389,$B$3447),Data!$BO:$BO,0)-2,23)&lt;&gt;"",INDEX(Tab_DaBa[],MATCH(CONCATENATE(Liste!$C$3,$B$3389,$B$3447),Data!$BO:$BO,0)-2,23),"")),"")</f>
        <v>Bez_Lo04_03</v>
      </c>
      <c r="G3451" s="38">
        <f ca="1">IF(H3449="","",4)</f>
        <v>4</v>
      </c>
      <c r="H3451" s="35" t="str">
        <f ca="1">IFERROR(IF(AND(INDEX(Tab_DaBa[],MATCH(CONCATENATE(Liste!$C$3,$B$3389,$B$3447),Data!$BO:$BO,0)-2,23)&lt;&gt;"",INDEX(Tab_DaBa[],MATCH(CONCATENATE(Liste!$C$3,$B$3389,$B$3447),Data!$BO:$BO,0)-2,28)=""),INDEX(Tab_DaBa[],MATCH(CONCATENATE(Liste!$C$3,$B$3389,$B$3447),Data!$BO:$BO,0)-2,13),IF(INDEX(Tab_DaBa[],MATCH(CONCATENATE(Liste!$C$3,$B$3389,$B$3447),Data!$BO:$BO,0)-2,23)&lt;&gt;"",INDEX(Tab_DaBa[],MATCH(CONCATENATE(Liste!$C$3,$B$3389,$B$3447),Data!$BO:$BO,0)-2,28),"")),"")</f>
        <v>Bez_Lo04_03</v>
      </c>
      <c r="I3451" s="38">
        <f ca="1">IF(B3457="","",6)</f>
        <v>6</v>
      </c>
    </row>
    <row r="3452" spans="2:9" s="16" customFormat="1" ht="15.75">
      <c r="B3452" s="35" t="str">
        <f ca="1">IFERROR("Performance Level: "&amp;INDEX(Tab_DaBa[],MATCH(CONCATENATE(Liste!$C$3,$B$3389,$B$3447),Data!$BO:$BO,0)-2,10),"")</f>
        <v>Performance Level: PL_Ein4_3</v>
      </c>
      <c r="C3452" s="54"/>
      <c r="D3452" s="35" t="str">
        <f ca="1">IFERROR(IF(INDEX(Tab_DaBa[],MATCH(CONCATENATE(Liste!$C$3,$B$3389,$B$3447),Data!$BO:$BO,0)-2,18)="","Performance Level: "&amp;INDEX(Tab_DaBa[],MATCH(CONCATENATE(Liste!$C$3,$B$3389,$B$3447),Data!$BO:$BO,0)-2,15),"Performance Level: "&amp;INDEX(Tab_DaBa[],MATCH(CONCATENATE(Liste!$C$3,$B$3389,$B$3447),Data!$BO:$BO,0)-2,20)),"")</f>
        <v>Performance Level: PL_Log01_04_03</v>
      </c>
      <c r="E3452" s="36"/>
      <c r="F3452" s="35" t="str">
        <f ca="1">IFERROR(IF(AND(INDEX(Tab_DaBa[],MATCH(CONCATENATE(Liste!$C$3,$B$3389,$B$3447),Data!$BO:$BO,0)-2,18)&lt;&gt;"",INDEX(Tab_DaBa[],MATCH(CONCATENATE(Liste!$C$3,$B$3389,$B$3447),Data!$BO:$BO,0)-2,23)=""),"Performance Level: "&amp;INDEX(Tab_DaBa[],MATCH(CONCATENATE(Liste!$C$3,$B$3389,$B$3447),Data!$BO:$BO,0)-2,15),IF(INDEX(Tab_DaBa[],MATCH(CONCATENATE(Liste!$C$3,$B$3389,$B$3447),Data!$BO:$BO,0)-2,23)&lt;&gt;"","Performance Level: "&amp;INDEX(Tab_DaBa[],MATCH(CONCATENATE(Liste!$C$3,$B$3389,$B$3447),Data!$BO:$BO,0)-2,25),"")),"")</f>
        <v>Performance Level: PL_Lo04_03</v>
      </c>
      <c r="G3452" s="39"/>
      <c r="H3452" s="35" t="str">
        <f ca="1">IFERROR(IF(AND(INDEX(Tab_DaBa[],MATCH(CONCATENATE(Liste!$C$3,$B$3389,$B$3447),Data!$BO:$BO,0)-2,23)&lt;&gt;"",INDEX(Tab_DaBa[],MATCH(CONCATENATE(Liste!$C$3,$B$3389,$B$3447),Data!$BO:$BO,0)-2,28)=""),"Performance Level: "&amp;INDEX(Tab_DaBa[],MATCH(CONCATENATE(Liste!$C$3,$B$3389,$B$3447),Data!$BO:$BO,0)-2,15),IF(INDEX(Tab_DaBa[],MATCH(CONCATENATE(Liste!$C$3,$B$3389,$B$3447),Data!$BO:$BO,0)-2,23)&lt;&gt;"","Performance Level: "&amp;INDEX(Tab_DaBa[],MATCH(CONCATENATE(Liste!$C$3,$B$3389,$B$3447),Data!$BO:$BO,0)-2,30),"")),"")</f>
        <v>Performance Level: PL_Lo04_03</v>
      </c>
      <c r="I3452" s="38"/>
    </row>
    <row r="3453" spans="2:9" s="16" customFormat="1" ht="15.75">
      <c r="B3453" s="53" t="str">
        <f ca="1">IFERROR("PFH [1/h] = "&amp;10^9*INDEX(Tab_DaBa[],MATCH(CONCATENATE(Liste!$C$3,$B$3389,$B$3447),Data!$BO:$BO,0)-2,11)&amp;"E-9","")</f>
        <v>PFH [1/h] = 42,9E-9</v>
      </c>
      <c r="C3453" s="54"/>
      <c r="D3453" s="35" t="str">
        <f ca="1">IFERROR(IF(INDEX(Tab_DaBa[],MATCH(CONCATENATE(Liste!$C$3,$B$3389,$B$3447),Data!$BO:$BO,0)-2,18)="","PFH [1/h] = "&amp;10^9*INDEX(Tab_DaBa[],MATCH(CONCATENATE(Liste!$C$3,$B$3389,$B$3447),Data!$BO:$BO,0)-2,16)&amp;"E-9","PFH [1/h] = "&amp;10^9*INDEX(Tab_DaBa[],MATCH(CONCATENATE(Liste!$C$3,$B$3389,$B$3447),Data!$BO:$BO,0)-2,21)&amp;"E-9"),"")</f>
        <v>PFH [1/h] = 4,19E-9</v>
      </c>
      <c r="E3453" s="36"/>
      <c r="F3453" s="35" t="str">
        <f ca="1">IFERROR(IF(AND(INDEX(Tab_DaBa[],MATCH(CONCATENATE(Liste!$C$3,$B$3389,$B$3447),Data!$BO:$BO,0)-2,18)&lt;&gt;"",INDEX(Tab_DaBa[],MATCH(CONCATENATE(Liste!$C$3,$B$3389,$B$3447),Data!$BO:$BO,0)-2,23)=""),"PFH [1/h] = "&amp;10^9*INDEX(Tab_DaBa[],MATCH(CONCATENATE(Liste!$C$3,$B$3389,$B$3447),Data!$BO:$BO,0)-2,16)&amp;"E-9",IF(INDEX(Tab_DaBa[],MATCH(CONCATENATE(Liste!$C$3,$B$3389,$B$3447),Data!$BO:$BO,0)-2,23)&lt;&gt;"","PFH [1/h] = "&amp;10^9*INDEX(Tab_DaBa[],MATCH(CONCATENATE(Liste!$C$3,$B$3389,$B$3447),Data!$BO:$BO,0)-2,26)&amp;"E-9","")),"")</f>
        <v>PFH [1/h] = 4,19E-9</v>
      </c>
      <c r="G3453" s="39"/>
      <c r="H3453" s="35" t="str">
        <f ca="1">IFERROR(IF(AND(INDEX(Tab_DaBa[],MATCH(CONCATENATE(Liste!$C$3,$B$3389,$B$3447),Data!$BO:$BO,0)-2,23)&lt;&gt;"",INDEX(Tab_DaBa[],MATCH(CONCATENATE(Liste!$C$3,$B$3389,$B$3447),Data!$BO:$BO,0)-2,28)=""),"PFH [1/h] = "&amp;10^9*INDEX(Tab_DaBa[],MATCH(CONCATENATE(Liste!$C$3,$B$3389,$B$3447),Data!$BO:$BO,0)-2,16)&amp;"E-9",IF(INDEX(Tab_DaBa[],MATCH(CONCATENATE(Liste!$C$3,$B$3389,$B$3447),Data!$BO:$BO,0)-2,23)&lt;&gt;"","PFH [1/h] = "&amp;10^9*INDEX(Tab_DaBa[],MATCH(CONCATENATE(Liste!$C$3,$B$3389,$B$3447),Data!$BO:$BO,0)-2,31)&amp;"E-9","")),"")</f>
        <v>PFH [1/h] = 4,19E-9</v>
      </c>
      <c r="I3453" s="39"/>
    </row>
    <row r="3454" spans="2:9" s="16" customFormat="1">
      <c r="B3454" s="33"/>
      <c r="C3454" s="34"/>
      <c r="D3454" s="33"/>
      <c r="E3454" s="33"/>
      <c r="F3454" s="33"/>
      <c r="G3454" s="33"/>
      <c r="H3454" s="33"/>
      <c r="I3454" s="33"/>
    </row>
    <row r="3455" spans="2:9" s="16" customFormat="1" ht="15.75">
      <c r="B3455" s="38">
        <f ca="1">IF(B3457="","",6)</f>
        <v>6</v>
      </c>
      <c r="C3455" s="34"/>
      <c r="D3455" s="38">
        <f ca="1">IF(B3457="","",3)</f>
        <v>3</v>
      </c>
      <c r="E3455" s="33"/>
      <c r="F3455" s="38">
        <f ca="1">IF(B3457="","",3)</f>
        <v>3</v>
      </c>
      <c r="G3455" s="33"/>
      <c r="H3455" s="38">
        <f ca="1">IF(B3457="","",3)</f>
        <v>3</v>
      </c>
      <c r="I3455" s="33"/>
    </row>
    <row r="3456" spans="2:9" s="16" customFormat="1" ht="15.75">
      <c r="B3456" s="39"/>
      <c r="C3456" s="33"/>
      <c r="D3456" s="33"/>
      <c r="E3456" s="33"/>
      <c r="F3456" s="33"/>
      <c r="G3456" s="33"/>
      <c r="H3456" s="33"/>
      <c r="I3456" s="33"/>
    </row>
    <row r="3457" spans="2:9" s="16" customFormat="1" ht="15.75">
      <c r="B3457" s="35" t="str">
        <f ca="1">IFERROR(IF(AND(INDEX(Tab_DaBa[],MATCH(CONCATENATE(Liste!$C$3,$B$3389,$B$3447),Data!$BO:$BO,0)-2,28)&lt;&gt;"",INDEX(Tab_DaBa[],MATCH(CONCATENATE(Liste!$C$3,$B$3389,$B$3447),Data!$BO:$BO,0)-2,33)=0),INDEX(Tab_DaBa[],MATCH(CONCATENATE(Liste!$C$3,$B$3389,$B$3447),Data!$BO:$BO,0)-2,14),IF(INDEX(Tab_DaBa[],MATCH(CONCATENATE(Liste!$C$3,$B$3389,$B$3447),Data!$BO:$BO,0)-2,28)&lt;&gt;"",INDEX(Tab_DaBa[],MATCH(CONCATENATE(Liste!$C$3,$B$3389,$B$3447),Data!$BO:$BO,0)-2,34),"")),"")</f>
        <v>Ausgang</v>
      </c>
      <c r="C3457" s="39"/>
      <c r="D3457" s="35" t="str">
        <f ca="1">IFERROR(IF(AND(INDEX(Tab_DaBa[],MATCH(CONCATENATE(Liste!$C$3,$B$3389,$B$3447),Data!$BO:$BO,0)-2,33)&lt;&gt;"",INDEX(Tab_DaBa[],MATCH(CONCATENATE(Liste!$C$3,$B$3389,$B$3447),Data!$BO:$BO,0)-2,38)=0),INDEX(Tab_DaBa[],MATCH(CONCATENATE(Liste!$C$3,$B$3389,$B$3447),Data!$BO:$BO,0)-2,14),IF(INDEX(Tab_DaBa[],MATCH(CONCATENATE(Liste!$C$3,$B$3389,$B$3447),Data!$BO:$BO,0)-2,33)&lt;&gt;"",INDEX(Tab_DaBa[],MATCH(CONCATENATE(Liste!$C$3,$B$3389,$B$3447),Data!$BO:$BO,0)-2,39),"")),"")</f>
        <v/>
      </c>
      <c r="E3457" s="33"/>
      <c r="F3457" s="35" t="str">
        <f ca="1">IFERROR(IF(AND(INDEX(Tab_DaBa[],MATCH(CONCATENATE(Liste!$C$3,$B$3389,$B$3447),Data!$BO:$BO,0)-2,38)&lt;&gt;"",INDEX(Tab_DaBa[],MATCH(CONCATENATE(Liste!$C$3,$B$3389,$B$3447),Data!$BO:$BO,0)-2,43)=0),INDEX(Tab_DaBa[],MATCH(CONCATENATE(Liste!$C$3,$B$3389,$B$3447),Data!$BO:$BO,0)-2,14),IF(INDEX(Tab_DaBa[],MATCH(CONCATENATE(Liste!$C$3,$B$3389,$B$3447),Data!$BO:$BO,0)-2,38)&lt;&gt;"",INDEX(Tab_DaBa[],MATCH(CONCATENATE(Liste!$C$3,$B$3389,$B$3447),Data!$BO:$BO,0)-2,44),"")),"")</f>
        <v/>
      </c>
      <c r="G3457" s="39"/>
      <c r="H3457" s="35" t="str">
        <f ca="1">IFERROR(IF(AND(INDEX(Tab_DaBa[],MATCH(CONCATENATE(Liste!$C$3,$B$3389,$B$3447),Data!$BO:$BO,0)-2,43)&lt;&gt;"",INDEX(Tab_DaBa[],MATCH(CONCATENATE(Liste!$C$3,$B$3389,$B$3447),Data!$BO:$BO,0)-2,48)=0),INDEX(Tab_DaBa[],MATCH(CONCATENATE(Liste!$C$3,$B$3389,$B$3447),Data!$BO:$BO,0)-2,14),IF(INDEX(Tab_DaBa[],MATCH(CONCATENATE(Liste!$C$3,$B$3389,$B$3447),Data!$BO:$BO,0)-2,43)&lt;&gt;"",INDEX(Tab_DaBa[],MATCH(CONCATENATE(Liste!$C$3,$B$3389,$B$3447),Data!$BO:$BO,0)-2,49),"")),"")</f>
        <v/>
      </c>
      <c r="I3457" s="39"/>
    </row>
    <row r="3458" spans="2:9" s="16" customFormat="1" ht="15.75">
      <c r="B3458" s="35" t="str">
        <f ca="1">IFERROR(IF(AND(INDEX(Tab_DaBa[],MATCH(CONCATENATE(Liste!$C$3,$B$3389,$B$3447),Data!$BO:$BO,0)-2,28)&lt;&gt;"",INDEX(Tab_DaBa[],MATCH(CONCATENATE(Liste!$C$3,$B$3389,$B$3447),Data!$BO:$BO,0)-2,33)=0),INDEX(Tab_DaBa[],MATCH(CONCATENATE(Liste!$C$3,$B$3389,$B$3447),Data!$BO:$BO,0)-2,12),IF(INDEX(Tab_DaBa[],MATCH(CONCATENATE(Liste!$C$3,$B$3389,$B$3447),Data!$BO:$BO,0)-2,28)&lt;&gt;"",INDEX(Tab_DaBa[],MATCH(CONCATENATE(Liste!$C$3,$B$3389,$B$3447),Data!$BO:$BO,0)-2,32),"")),"")</f>
        <v>aaaa-44_3</v>
      </c>
      <c r="C3458" s="39"/>
      <c r="D3458" s="35" t="str">
        <f ca="1">IFERROR(IF(AND(INDEX(Tab_DaBa[],MATCH(CONCATENATE(Liste!$C$3,$B$3389,$B$3447),Data!$BO:$BO,0)-2,33)&lt;&gt;"",INDEX(Tab_DaBa[],MATCH(CONCATENATE(Liste!$C$3,$B$3389,$B$3447),Data!$BO:$BO,0)-2,38)=0),INDEX(Tab_DaBa[],MATCH(CONCATENATE(Liste!$C$3,$B$3389,$B$3447),Data!$BO:$BO,0)-2,12),IF(INDEX(Tab_DaBa[],MATCH(CONCATENATE(Liste!$C$3,$B$3389,$B$3447),Data!$BO:$BO,0)-2,33)&lt;&gt;"",INDEX(Tab_DaBa[],MATCH(CONCATENATE(Liste!$C$3,$B$3389,$B$3447),Data!$BO:$BO,0)-2,37),"")),"")</f>
        <v/>
      </c>
      <c r="E3458" s="37"/>
      <c r="F3458" s="35" t="str">
        <f ca="1">IFERROR(IF(AND(INDEX(Tab_DaBa[],MATCH(CONCATENATE(Liste!$C$3,$B$3389,$B$3447),Data!$BO:$BO,0)-2,38)&lt;&gt;"",INDEX(Tab_DaBa[],MATCH(CONCATENATE(Liste!$C$3,$B$3389,$B$3447),Data!$BO:$BO,0)-2,43)=0),INDEX(Tab_DaBa[],MATCH(CONCATENATE(Liste!$C$3,$B$3389,$B$3447),Data!$BO:$BO,0)-2,12),IF(INDEX(Tab_DaBa[],MATCH(CONCATENATE(Liste!$C$3,$B$3389,$B$3447),Data!$BO:$BO,0)-2,38)&lt;&gt;"",INDEX(Tab_DaBa[],MATCH(CONCATENATE(Liste!$C$3,$B$3389,$B$3447),Data!$BO:$BO,0)-2,42),"")),"")</f>
        <v/>
      </c>
      <c r="G3458" s="39"/>
      <c r="H3458" s="35" t="str">
        <f ca="1">IFERROR(IF(AND(INDEX(Tab_DaBa[],MATCH(CONCATENATE(Liste!$C$3,$B$3389,$B$3447),Data!$BO:$BO,0)-2,43)&lt;&gt;"",INDEX(Tab_DaBa[],MATCH(CONCATENATE(Liste!$C$3,$B$3389,$B$3447),Data!$BO:$BO,0)-2,48)=0),INDEX(Tab_DaBa[],MATCH(CONCATENATE(Liste!$C$3,$B$3389,$B$3447),Data!$BO:$BO,0)-2,12),IF(INDEX(Tab_DaBa[],MATCH(CONCATENATE(Liste!$C$3,$B$3389,$B$3447),Data!$BO:$BO,0)-2,43)&lt;&gt;"",INDEX(Tab_DaBa[],MATCH(CONCATENATE(Liste!$C$3,$B$3389,$B$3447),Data!$BO:$BO,0)-2,47),"")),"")</f>
        <v/>
      </c>
      <c r="I3458" s="39"/>
    </row>
    <row r="3459" spans="2:9" s="16" customFormat="1" ht="15.75">
      <c r="B3459" s="35" t="str">
        <f ca="1">IFERROR(IF(AND(INDEX(Tab_DaBa[],MATCH(CONCATENATE(Liste!$C$3,$B$3389,$B$3447),Data!$BO:$BO,0)-2,28)&lt;&gt;"",INDEX(Tab_DaBa[],MATCH(CONCATENATE(Liste!$C$3,$B$3389,$B$3447),Data!$BO:$BO,0)-2,33)=""),INDEX(Tab_DaBa[],MATCH(CONCATENATE(Liste!$C$3,$B$3389,$B$3447),Data!$BO:$BO,0)-2,13),IF(INDEX(Tab_DaBa[],MATCH(CONCATENATE(Liste!$C$3,$B$3389,$B$3447),Data!$BO:$BO,0)-2,28)&lt;&gt;"",INDEX(Tab_DaBa[],MATCH(CONCATENATE(Liste!$C$3,$B$3389,$B$3447),Data!$BO:$BO,0)-2,33),"")),"")</f>
        <v>Bez_Aus4_3</v>
      </c>
      <c r="C3459" s="38" t="str">
        <f ca="1">IF(D3457="","",4)</f>
        <v/>
      </c>
      <c r="D3459" s="35" t="str">
        <f ca="1">IFERROR(IF(AND(INDEX(Tab_DaBa[],MATCH(CONCATENATE(Liste!$C$3,$B$3389,$B$3447),Data!$BO:$BO,0)-2,33)&lt;&gt;"",INDEX(Tab_DaBa[],MATCH(CONCATENATE(Liste!$C$3,$B$3389,$B$3447),Data!$BO:$BO,0)-2,38)=""),INDEX(Tab_DaBa[],MATCH(CONCATENATE(Liste!$C$3,$B$3389,$B$3447),Data!$BO:$BO,0)-2,13),IF(INDEX(Tab_DaBa[],MATCH(CONCATENATE(Liste!$C$3,$B$3389,$B$3447),Data!$BO:$BO,0)-2,33)&lt;&gt;"",INDEX(Tab_DaBa[],MATCH(CONCATENATE(Liste!$C$3,$B$3389,$B$3447),Data!$BO:$BO,0)-2,38),"")),"")</f>
        <v/>
      </c>
      <c r="E3459" s="38" t="str">
        <f ca="1">IF(F3457="","",4)</f>
        <v/>
      </c>
      <c r="F3459" s="35" t="str">
        <f ca="1">IFERROR(IF(AND(INDEX(Tab_DaBa[],MATCH(CONCATENATE(Liste!$C$3,$B$3389,$B$3447),Data!$BO:$BO,0)-2,38)&lt;&gt;"",INDEX(Tab_DaBa[],MATCH(CONCATENATE(Liste!$C$3,$B$3389,$B$3447),Data!$BO:$BO,0)-2,43)=""),INDEX(Tab_DaBa[],MATCH(CONCATENATE(Liste!$C$3,$B$3389,$B$3447),Data!$BO:$BO,0)-2,13),IF(INDEX(Tab_DaBa[],MATCH(CONCATENATE(Liste!$C$3,$B$3389,$B$3447),Data!$BO:$BO,0)-2,38)&lt;&gt;"",INDEX(Tab_DaBa[],MATCH(CONCATENATE(Liste!$C$3,$B$3389,$B$3447),Data!$BO:$BO,0)-2,43),"")),"")</f>
        <v/>
      </c>
      <c r="G3459" s="38" t="str">
        <f ca="1">IF(H3457="","",4)</f>
        <v/>
      </c>
      <c r="H3459" s="35" t="str">
        <f ca="1">IFERROR(IF(AND(INDEX(Tab_DaBa[],MATCH(CONCATENATE(Liste!$C$3,$B$3389,$B$3447),Data!$BO:$BO,0)-2,43)&lt;&gt;"",INDEX(Tab_DaBa[],MATCH(CONCATENATE(Liste!$C$3,$B$3389,$B$3447),Data!$BO:$BO,0)-2,48)=""),INDEX(Tab_DaBa[],MATCH(CONCATENATE(Liste!$C$3,$B$3389,$B$3447),Data!$BO:$BO,0)-2,13),IF(INDEX(Tab_DaBa[],MATCH(CONCATENATE(Liste!$C$3,$B$3389,$B$3447),Data!$BO:$BO,0)-2,43)&lt;&gt;"",INDEX(Tab_DaBa[],MATCH(CONCATENATE(Liste!$C$3,$B$3389,$B$3447),Data!$BO:$BO,0)-2,48),"")),"")</f>
        <v/>
      </c>
      <c r="I3459" s="38" t="str">
        <f ca="1">IF(B3465="","",6)</f>
        <v/>
      </c>
    </row>
    <row r="3460" spans="2:9" s="16" customFormat="1" ht="15.75">
      <c r="B3460" s="35" t="str">
        <f ca="1">IFERROR(IF(AND(INDEX(Tab_DaBa[],MATCH(CONCATENATE(Liste!$C$3,$B$3389,$B$3447),Data!$BO:$BO,0)-2,28)&lt;&gt;"",INDEX(Tab_DaBa[],MATCH(CONCATENATE(Liste!$C$3,$B$3389,$B$3447),Data!$BO:$BO,0)-2,33)=""),"Performance Level: "&amp;INDEX(Tab_DaBa[],MATCH(CONCATENATE(Liste!$C$3,$B$3389,$B$3447),Data!$BO:$BO,0)-2,15),IF(INDEX(Tab_DaBa[],MATCH(CONCATENATE(Liste!$C$3,$B$3389,$B$3447),Data!$BO:$BO,0)-2,28)&lt;&gt;"","Performance Level: "&amp;INDEX(Tab_DaBa[],MATCH(CONCATENATE(Liste!$C$3,$B$3389,$B$3447),Data!$BO:$BO,0)-2,35),"")),"")</f>
        <v>Performance Level: PL_Aus4_3</v>
      </c>
      <c r="C3460" s="39"/>
      <c r="D3460" s="35" t="str">
        <f ca="1">IFERROR(IF(AND(INDEX(Tab_DaBa[],MATCH(CONCATENATE(Liste!$C$3,$B$3389,$B$3447),Data!$BO:$BO,0)-2,33)&lt;&gt;"",INDEX(Tab_DaBa[],MATCH(CONCATENATE(Liste!$C$3,$B$3389,$B$3447),Data!$BO:$BO,0)-2,38)=""),"Performance Level: "&amp;INDEX(Tab_DaBa[],MATCH(CONCATENATE(Liste!$C$3,$B$3389,$B$3447),Data!$BO:$BO,0)-2,15),IF(INDEX(Tab_DaBa[],MATCH(CONCATENATE(Liste!$C$3,$B$3389,$B$3447),Data!$BO:$BO,0)-2,33)&lt;&gt;"","Performance Level: "&amp;INDEX(Tab_DaBa[],MATCH(CONCATENATE(Liste!$C$3,$B$3389,$B$3447),Data!$BO:$BO,0)-2,40),"")),"")</f>
        <v/>
      </c>
      <c r="E3460" s="37"/>
      <c r="F3460" s="35" t="str">
        <f ca="1">IFERROR(IF(AND(INDEX(Tab_DaBa[],MATCH(CONCATENATE(Liste!$C$3,$B$3389,$B$3447),Data!$BO:$BO,0)-2,38)&lt;&gt;"",INDEX(Tab_DaBa[],MATCH(CONCATENATE(Liste!$C$3,$B$3389,$B$3447),Data!$BO:$BO,0)-2,43)=""),"Performance Level: "&amp;INDEX(Tab_DaBa[],MATCH(CONCATENATE(Liste!$C$3,$B$3389,$B$3447),Data!$BO:$BO,0)-2,15),IF(INDEX(Tab_DaBa[],MATCH(CONCATENATE(Liste!$C$3,$B$3389,$B$3447),Data!$BO:$BO,0)-2,38)&lt;&gt;"","Performance Level: "&amp;INDEX(Tab_DaBa[],MATCH(CONCATENATE(Liste!$C$3,$B$3389,$B$3447),Data!$BO:$BO,0)-2,45),"")),"")</f>
        <v/>
      </c>
      <c r="G3460" s="39"/>
      <c r="H3460" s="35" t="str">
        <f ca="1">IFERROR(IF(AND(INDEX(Tab_DaBa[],MATCH(CONCATENATE(Liste!$C$3,$B$3389,$B$3447),Data!$BO:$BO,0)-2,43)&lt;&gt;"",INDEX(Tab_DaBa[],MATCH(CONCATENATE(Liste!$C$3,$B$3389,$B$3447),Data!$BO:$BO,0)-2,48)=""),"Performance Level: "&amp;INDEX(Tab_DaBa[],MATCH(CONCATENATE(Liste!$C$3,$B$3389,$B$3447),Data!$BO:$BO,0)-2,15),IF(INDEX(Tab_DaBa[],MATCH(CONCATENATE(Liste!$C$3,$B$3389,$B$3447),Data!$BO:$BO,0)-2,43)&lt;&gt;"","Performance Level: "&amp;INDEX(Tab_DaBa[],MATCH(CONCATENATE(Liste!$C$3,$B$3389,$B$3447),Data!$BO:$BO,0)-2,50),"")),"")</f>
        <v/>
      </c>
      <c r="I3460" s="39"/>
    </row>
    <row r="3461" spans="2:9" s="16" customFormat="1" ht="15.75">
      <c r="B3461" s="35" t="str">
        <f ca="1">IFERROR(IF(AND(INDEX(Tab_DaBa[],MATCH(CONCATENATE(Liste!$C$3,$B$3389,$B$3447),Data!$BO:$BO,0)-2,28)&lt;&gt;"",INDEX(Tab_DaBa[],MATCH(CONCATENATE(Liste!$C$3,$B$3389,$B$3447),Data!$BO:$BO,0)-2,33)=""),"PFH [1/h] = "&amp;10^9*INDEX(Tab_DaBa[],MATCH(CONCATENATE(Liste!$C$3,$B$3389,$B$3447),Data!$BO:$BO,0)-2,16)&amp;"E-9",IF(INDEX(Tab_DaBa[],MATCH(CONCATENATE(Liste!$C$3,$B$3389,$B$3447),Data!$BO:$BO,0)-2,28)&lt;&gt;"","PFH [1/h] = "&amp;10^9*INDEX(Tab_DaBa[],MATCH(CONCATENATE(Liste!$C$3,$B$3389,$B$3447),Data!$BO:$BO,0)-2,36)&amp;"E-9","")),"")</f>
        <v>PFH [1/h] = 24,7E-9</v>
      </c>
      <c r="C3461" s="39"/>
      <c r="D3461" s="35" t="str">
        <f ca="1">IFERROR(IF(AND(INDEX(Tab_DaBa[],MATCH(CONCATENATE(Liste!$C$3,$B$3389,$B$3447),Data!$BO:$BO,0)-2,33)&lt;&gt;"",INDEX(Tab_DaBa[],MATCH(CONCATENATE(Liste!$C$3,$B$3389,$B$3447),Data!$BO:$BO,0)-2,38)=""),"PFH [1/h] = "&amp;10^9*INDEX(Tab_DaBa[],MATCH(CONCATENATE(Liste!$C$3,$B$3389,$B$3447),Data!$BO:$BO,0)-2,16)&amp;"E-9",IF(INDEX(Tab_DaBa[],MATCH(CONCATENATE(Liste!$C$3,$B$3389,$B$3447),Data!$BO:$BO,0)-2,33)&lt;&gt;"","PFH [1/h] = "&amp;10^9*INDEX(Tab_DaBa[],MATCH(CONCATENATE(Liste!$C$3,$B$3389,$B$3447),Data!$BO:$BO,0)-2,41)&amp;"E-9","")),"")</f>
        <v/>
      </c>
      <c r="E3461" s="37"/>
      <c r="F3461" s="35" t="str">
        <f ca="1">IFERROR(IF(AND(INDEX(Tab_DaBa[],MATCH(CONCATENATE(Liste!$C$3,$B$3389,$B$3447),Data!$BO:$BO,0)-2,38)&lt;&gt;"",INDEX(Tab_DaBa[],MATCH(CONCATENATE(Liste!$C$3,$B$3389,$B$3447),Data!$BO:$BO,0)-2,43)=""),"PFH [1/h] = "&amp;10^9*INDEX(Tab_DaBa[],MATCH(CONCATENATE(Liste!$C$3,$B$3389,$B$3447),Data!$BO:$BO,0)-2,16)&amp;"E-9",IF(INDEX(Tab_DaBa[],MATCH(CONCATENATE(Liste!$C$3,$B$3389,$B$3447),Data!$BO:$BO,0)-2,38)&lt;&gt;"","PFH [1/h] = "&amp;10^9*INDEX(Tab_DaBa[],MATCH(CONCATENATE(Liste!$C$3,$B$3389,$B$3447),Data!$BO:$BO,0)-2,46)&amp;"E-9","")),"")</f>
        <v/>
      </c>
      <c r="G3461" s="39"/>
      <c r="H3461" s="35" t="str">
        <f ca="1">IFERROR(IF(AND(INDEX(Tab_DaBa[],MATCH(CONCATENATE(Liste!$C$3,$B$3389,$B$3447),Data!$BO:$BO,0)-2,43)&lt;&gt;"",INDEX(Tab_DaBa[],MATCH(CONCATENATE(Liste!$C$3,$B$3389,$B$3447),Data!$BO:$BO,0)-2,48)=""),"PFH [1/h] = "&amp;10^9*INDEX(Tab_DaBa[],MATCH(CONCATENATE(Liste!$C$3,$B$3389,$B$3447),Data!$BO:$BO,0)-2,16)&amp;"E-9",IF(INDEX(Tab_DaBa[],MATCH(CONCATENATE(Liste!$C$3,$B$3389,$B$3447),Data!$BO:$BO,0)-2,43)&lt;&gt;"","PFH [1/h] = "&amp;10^9*INDEX(Tab_DaBa[],MATCH(CONCATENATE(Liste!$C$3,$B$3389,$B$3447),Data!$BO:$BO,0)-2,51)&amp;"E-9","")),"")</f>
        <v/>
      </c>
      <c r="I3461" s="39"/>
    </row>
    <row r="3462" spans="2:9" s="16" customFormat="1">
      <c r="B3462" s="33"/>
      <c r="C3462" s="33"/>
      <c r="D3462" s="33"/>
      <c r="E3462" s="33"/>
      <c r="F3462" s="33"/>
      <c r="G3462" s="33"/>
      <c r="H3462" s="33"/>
      <c r="I3462" s="33"/>
    </row>
    <row r="3463" spans="2:9" s="16" customFormat="1" ht="15.75">
      <c r="B3463" s="38" t="str">
        <f ca="1">IF(B3465="","",6)</f>
        <v/>
      </c>
      <c r="C3463" s="33"/>
      <c r="D3463" s="38" t="str">
        <f ca="1">IF(B3465="","",3)</f>
        <v/>
      </c>
      <c r="E3463" s="33"/>
      <c r="F3463" s="38" t="str">
        <f ca="1">IF(B3465="","",3)</f>
        <v/>
      </c>
      <c r="G3463" s="33"/>
      <c r="H3463" s="38" t="str">
        <f ca="1">IF(B3465="","",3)</f>
        <v/>
      </c>
      <c r="I3463" s="33"/>
    </row>
    <row r="3464" spans="2:9" s="16" customFormat="1" ht="15.75">
      <c r="B3464" s="39"/>
      <c r="C3464" s="33"/>
      <c r="D3464" s="33"/>
      <c r="E3464" s="33"/>
      <c r="F3464" s="33"/>
      <c r="G3464" s="33"/>
      <c r="H3464" s="33"/>
      <c r="I3464" s="33"/>
    </row>
    <row r="3465" spans="2:9" s="16" customFormat="1" ht="15.75">
      <c r="B3465" s="35" t="str">
        <f ca="1">IFERROR(IF(AND(INDEX(Tab_DaBa[],MATCH(CONCATENATE(Liste!$C$3,$B$3389,$B$3447),Data!$BO:$BO,0)-2,48)&lt;&gt;"",INDEX(Tab_DaBa[],MATCH(CONCATENATE(Liste!$C$3,$B$3389,$B$3447),Data!$BO:$BO,0)-2,53)=0),INDEX(Tab_DaBa[],MATCH(CONCATENATE(Liste!$C$3,$B$3389,$B$3447),Data!$BO:$BO,0)-2,14),IF(INDEX(Tab_DaBa[],MATCH(CONCATENATE(Liste!$C$3,$B$3389,$B$3447),Data!$BO:$BO,0)-2,48)&lt;&gt;"",INDEX(Tab_DaBa[],MATCH(CONCATENATE(Liste!$C$3,$B$3389,$B$3447),Data!$BO:$BO,0)-2,54),"")),"")</f>
        <v/>
      </c>
      <c r="C3465" s="39"/>
      <c r="D3465" s="35" t="str">
        <f ca="1">IFERROR(IF(AND(INDEX(Tab_DaBa[],MATCH(CONCATENATE(Liste!$C$3,$B$3389,$B$3447),Data!$BO:$BO,0)-2,53)&lt;&gt;"",INDEX(Tab_DaBa[],MATCH(CONCATENATE(Liste!$C$3,$B$3389,$B$3447),Data!$BO:$BO,0)-2,58)=0),INDEX(Tab_DaBa[],MATCH(CONCATENATE(Liste!$C$3,$B$3389,$B$3447),Data!$BO:$BO,0)-2,14),IF(INDEX(Tab_DaBa[],MATCH(CONCATENATE(Liste!$C$3,$B$3389,$B$3447),Data!$BO:$BO,0)-2,53)&lt;&gt;"",INDEX(Tab_DaBa[],MATCH(CONCATENATE(Liste!$C$3,$B$3389,$B$3447),Data!$BO:$BO,0)-2,59),"")),"")</f>
        <v/>
      </c>
      <c r="E3465" s="33"/>
      <c r="F3465" s="35" t="str">
        <f ca="1">IFERROR(IF(AND(INDEX(Tab_DaBa[],MATCH(CONCATENATE(Liste!$C$3,$B$3389,$B$3447),Data!$BO:$BO,0)-2,58)&lt;&gt;"",INDEX(Tab_DaBa[],MATCH(CONCATENATE(Liste!$C$3,$B$3389,$B$3447),Data!$BO:$BO,0)-2,63)=0),INDEX(Tab_DaBa[],MATCH(CONCATENATE(Liste!$C$3,$B$3389,$B$3447),Data!$BO:$BO,0)-2,14),IF(INDEX(Tab_DaBa[],MATCH(CONCATENATE(Liste!$C$3,$B$3389,$B$3447),Data!$BO:$BO,0)-2,58)&lt;&gt;"",INDEX(Tab_DaBa[],MATCH(CONCATENATE(Liste!$C$3,$B$3389,$B$3447),Data!$BO:$BO,0)-2,64),"")),"")</f>
        <v/>
      </c>
      <c r="G3465" s="39"/>
      <c r="H3465" s="35" t="str">
        <f ca="1">IFERROR(IF(INDEX(Tab_DaBa[],MATCH(CONCATENATE(Liste!$C$3,$B$3389,$B$3447),Data!$BO:$BO,0)-2,63)&lt;&gt;"",INDEX(Tab_DaBa[],MATCH(CONCATENATE(Liste!$C$3,$B$3389,$B$3447),Data!$BO:$BO,0)-2,14),""),"")</f>
        <v/>
      </c>
    </row>
    <row r="3466" spans="2:9" s="16" customFormat="1" ht="15.75">
      <c r="B3466" s="35" t="str">
        <f ca="1">IFERROR(IF(AND(INDEX(Tab_DaBa[],MATCH(CONCATENATE(Liste!$C$3,$B$3389,$B$3447),Data!$BO:$BO,0)-2,48)&lt;&gt;"",INDEX(Tab_DaBa[],MATCH(CONCATENATE(Liste!$C$3,$B$3389,$B$3447),Data!$BO:$BO,0)-2,53)=0),INDEX(Tab_DaBa[],MATCH(CONCATENATE(Liste!$C$3,$B$3389,$B$3447),Data!$BO:$BO,0)-2,12),IF(INDEX(Tab_DaBa[],MATCH(CONCATENATE(Liste!$C$3,$B$3389,$B$3447),Data!$BO:$BO,0)-2,48)&lt;&gt;"",INDEX(Tab_DaBa[],MATCH(CONCATENATE(Liste!$C$3,$B$3389,$B$3447),Data!$BO:$BO,0)-2,52),"")),"")</f>
        <v/>
      </c>
      <c r="C3466" s="39"/>
      <c r="D3466" s="35" t="str">
        <f ca="1">IFERROR(IF(AND(INDEX(Tab_DaBa[],MATCH(CONCATENATE(Liste!$C$3,$B$3389,$B$3447),Data!$BO:$BO,0)-2,53)&lt;&gt;"",INDEX(Tab_DaBa[],MATCH(CONCATENATE(Liste!$C$3,$B$3389,$B$3447),Data!$BO:$BO,0)-2,58)=0),INDEX(Tab_DaBa[],MATCH(CONCATENATE(Liste!$C$3,$B$3389,$B$3447),Data!$BO:$BO,0)-2,12),IF(INDEX(Tab_DaBa[],MATCH(CONCATENATE(Liste!$C$3,$B$3389,$B$3447),Data!$BO:$BO,0)-2,53)&lt;&gt;"",INDEX(Tab_DaBa[],MATCH(CONCATENATE(Liste!$C$3,$B$3389,$B$3447),Data!$BO:$BO,0)-2,57),"")),"")</f>
        <v/>
      </c>
      <c r="E3466" s="37"/>
      <c r="F3466" s="35" t="str">
        <f ca="1">IFERROR(IF(AND(INDEX(Tab_DaBa[],MATCH(CONCATENATE(Liste!$C$3,$B$3389,$B$3447),Data!$BO:$BO,0)-2,58)&lt;&gt;"",INDEX(Tab_DaBa[],MATCH(CONCATENATE(Liste!$C$3,$B$3389,$B$3447),Data!$BO:$BO,0)-2,63)=0),INDEX(Tab_DaBa[],MATCH(CONCATENATE(Liste!$C$3,$B$3389,$B$3447),Data!$BO:$BO,0)-2,12),IF(INDEX(Tab_DaBa[],MATCH(CONCATENATE(Liste!$C$3,$B$3389,$B$3447),Data!$BO:$BO,0)-2,58)&lt;&gt;"",INDEX(Tab_DaBa[],MATCH(CONCATENATE(Liste!$C$3,$B$3389,$B$3447),Data!$BO:$BO,0)-2,62),"")),"")</f>
        <v/>
      </c>
      <c r="G3466" s="39"/>
      <c r="H3466" s="35" t="str">
        <f ca="1">IFERROR(IF(INDEX(Tab_DaBa[],MATCH(CONCATENATE(Liste!$C$3,$B$3389,$B$3447),Data!$BO:$BO,0)-2,63)&lt;&gt;"",INDEX(Tab_DaBa[],MATCH(CONCATENATE(Liste!$C$3,$B$3389,$B$3447),Data!$BO:$BO,0)-2,12),""),"")</f>
        <v/>
      </c>
    </row>
    <row r="3467" spans="2:9" s="16" customFormat="1" ht="15.75">
      <c r="B3467" s="35" t="str">
        <f ca="1">IFERROR(IF(AND(INDEX(Tab_DaBa[],MATCH(CONCATENATE(Liste!$C$3,$B$3389,$B$3447),Data!$BO:$BO,0)-2,48)&lt;&gt;"",INDEX(Tab_DaBa[],MATCH(CONCATENATE(Liste!$C$3,$B$3389,$B$3447),Data!$BO:$BO,0)-2,53)=""),INDEX(Tab_DaBa[],MATCH(CONCATENATE(Liste!$C$3,$B$3389,$B$3447),Data!$BO:$BO,0)-2,13),IF(INDEX(Tab_DaBa[],MATCH(CONCATENATE(Liste!$C$3,$B$3389,$B$3447),Data!$BO:$BO,0)-2,48)&lt;&gt;"",INDEX(Tab_DaBa[],MATCH(CONCATENATE(Liste!$C$3,$B$3389,$B$3447),Data!$BO:$BO,0)-2,53),"")),"")</f>
        <v/>
      </c>
      <c r="C3467" s="38" t="str">
        <f ca="1">IF(D3465="","",4)</f>
        <v/>
      </c>
      <c r="D3467" s="35" t="str">
        <f ca="1">IFERROR(IF(AND(INDEX(Tab_DaBa[],MATCH(CONCATENATE(Liste!$C$3,$B$3389,$B$3447),Data!$BO:$BO,0)-2,53)&lt;&gt;"",INDEX(Tab_DaBa[],MATCH(CONCATENATE(Liste!$C$3,$B$3389,$B$3447),Data!$BO:$BO,0)-2,58)=""),INDEX(Tab_DaBa[],MATCH(CONCATENATE(Liste!$C$3,$B$3389,$B$3447),Data!$BO:$BO,0)-2,13),IF(INDEX(Tab_DaBa[],MATCH(CONCATENATE(Liste!$C$3,$B$3389,$B$3447),Data!$BO:$BO,0)-2,53)&lt;&gt;"",INDEX(Tab_DaBa[],MATCH(CONCATENATE(Liste!$C$3,$B$3389,$B$3447),Data!$BO:$BO,0)-2,58),"")),"")</f>
        <v/>
      </c>
      <c r="E3467" s="38" t="str">
        <f ca="1">IF(F3465="","",4)</f>
        <v/>
      </c>
      <c r="F3467" s="35" t="str">
        <f ca="1">IFERROR(IF(AND(INDEX(Tab_DaBa[],MATCH(CONCATENATE(Liste!$C$3,$B$3389,$B$3447),Data!$BO:$BO,0)-2,58)&lt;&gt;"",INDEX(Tab_DaBa[],MATCH(CONCATENATE(Liste!$C$3,$B$3389,$B$3447),Data!$BO:$BO,0)-2,63)=""),INDEX(Tab_DaBa[],MATCH(CONCATENATE(Liste!$C$3,$B$3389,$B$3447),Data!$BO:$BO,0)-2,13),IF(INDEX(Tab_DaBa[],MATCH(CONCATENATE(Liste!$C$3,$B$3389,$B$3447),Data!$BO:$BO,0)-2,58)&lt;&gt;"",INDEX(Tab_DaBa[],MATCH(CONCATENATE(Liste!$C$3,$B$3389,$B$3447),Data!$BO:$BO,0)-2,63),"")),"")</f>
        <v/>
      </c>
      <c r="G3467" s="38" t="str">
        <f ca="1">IF(H3465="","",4)</f>
        <v/>
      </c>
      <c r="H3467" s="35" t="str">
        <f ca="1">IFERROR(IF(INDEX(Tab_DaBa[],MATCH(CONCATENATE(Liste!$C$3,$B$3389,$B$3447),Data!$BO:$BO,0)-2,63)&lt;&gt;"",INDEX(Tab_DaBa[],MATCH(CONCATENATE(Liste!$C$3,$B$3389,$B$3447),Data!$BO:$BO,0)-2,13),""),"")</f>
        <v/>
      </c>
    </row>
    <row r="3468" spans="2:9" s="16" customFormat="1" ht="15.75">
      <c r="B3468" s="35" t="str">
        <f ca="1">IFERROR(IF(AND(INDEX(Tab_DaBa[],MATCH(CONCATENATE(Liste!$C$3,$B$3389,$B$3447),Data!$BO:$BO,0)-2,48)&lt;&gt;"",INDEX(Tab_DaBa[],MATCH(CONCATENATE(Liste!$C$3,$B$3389,$B$3447),Data!$BO:$BO,0)-2,53)=""),"Performance Level: "&amp;INDEX(Tab_DaBa[],MATCH(CONCATENATE(Liste!$C$3,$B$3389,$B$3447),Data!$BO:$BO,0)-2,15),IF(INDEX(Tab_DaBa[],MATCH(CONCATENATE(Liste!$C$3,$B$3389,$B$3447),Data!$BO:$BO,0)-2,48)&lt;&gt;"","Performance Level: "&amp;INDEX(Tab_DaBa[],MATCH(CONCATENATE(Liste!$C$3,$B$3389,$B$3447),Data!$BO:$BO,0)-2,55),"")),"")</f>
        <v/>
      </c>
      <c r="C3468" s="39"/>
      <c r="D3468" s="35" t="str">
        <f ca="1">IFERROR(IF(AND(INDEX(Tab_DaBa[],MATCH(CONCATENATE(Liste!$C$3,$B$3389,$B$3447),Data!$BO:$BO,0)-2,53)&lt;&gt;"",INDEX(Tab_DaBa[],MATCH(CONCATENATE(Liste!$C$3,$B$3389,$B$3447),Data!$BO:$BO,0)-2,58)=""),"Performance Level: "&amp;INDEX(Tab_DaBa[],MATCH(CONCATENATE(Liste!$C$3,$B$3389,$B$3447),Data!$BO:$BO,0)-2,15),IF(INDEX(Tab_DaBa[],MATCH(CONCATENATE(Liste!$C$3,$B$3389,$B$3447),Data!$BO:$BO,0)-2,53)&lt;&gt;"","Performance Level: "&amp;INDEX(Tab_DaBa[],MATCH(CONCATENATE(Liste!$C$3,$B$3389,$B$3447),Data!$BO:$BO,0)-2,60),"")),"")</f>
        <v/>
      </c>
      <c r="E3468" s="37"/>
      <c r="F3468" s="35" t="str">
        <f ca="1">IFERROR(IF(AND(INDEX(Tab_DaBa[],MATCH(CONCATENATE(Liste!$C$3,$B$3389,$B$3447),Data!$BO:$BO,0)-2,58)&lt;&gt;"",INDEX(Tab_DaBa[],MATCH(CONCATENATE(Liste!$C$3,$B$3389,$B$3447),Data!$BO:$BO,0)-2,63)=""),"Performance Level: "&amp;INDEX(Tab_DaBa[],MATCH(CONCATENATE(Liste!$C$3,$B$3389,$B$3447),Data!$BO:$BO,0)-2,15),IF(INDEX(Tab_DaBa[],MATCH(CONCATENATE(Liste!$C$3,$B$3389,$B$3447),Data!$BO:$BO,0)-2,58)&lt;&gt;"","Performance Level: "&amp;INDEX(Tab_DaBa[],MATCH(CONCATENATE(Liste!$C$3,$B$3389,$B$3447),Data!$BO:$BO,0)-2,65),"")),"")</f>
        <v/>
      </c>
      <c r="G3468" s="39"/>
      <c r="H3468" s="35" t="str">
        <f ca="1">IFERROR(IF(INDEX(Tab_DaBa[],MATCH(CONCATENATE(Liste!$C$3,$B$3389,$B$3447),Data!$BO:$BO,0)-2,63)&lt;&gt;"","Performance Level: "&amp;INDEX(Tab_DaBa[],MATCH(CONCATENATE(Liste!$C$3,$B$3389,$B$3447),Data!$BO:$BO,0)-2,15),""),"")</f>
        <v/>
      </c>
    </row>
    <row r="3469" spans="2:9" s="16" customFormat="1" ht="15.75">
      <c r="B3469" s="35" t="str">
        <f ca="1">IFERROR(IF(AND(INDEX(Tab_DaBa[],MATCH(CONCATENATE(Liste!$C$3,$B$3389,$B$3447),Data!$BO:$BO,0)-2,48)&lt;&gt;"",INDEX(Tab_DaBa[],MATCH(CONCATENATE(Liste!$C$3,$B$3389,$B$3447),Data!$BO:$BO,0)-2,53)=""),"PFH [1/h] = "&amp;10^9*INDEX(Tab_DaBa[],MATCH(CONCATENATE(Liste!$C$3,$B$3389,$B$3447),Data!$BO:$BO,0)-2,16)&amp;"E-9",IF(INDEX(Tab_DaBa[],MATCH(CONCATENATE(Liste!$C$3,$B$3389,$B$3447),Data!$BO:$BO,0)-2,48)&lt;&gt;"","PFH [1/h] = "&amp;10^9*INDEX(Tab_DaBa[],MATCH(CONCATENATE(Liste!$C$3,$B$3389,$B$3447),Data!$BO:$BO,0)-2,56)&amp;"E-9","")),"")</f>
        <v/>
      </c>
      <c r="C3469" s="39"/>
      <c r="D3469" s="35" t="str">
        <f ca="1">IFERROR(IF(AND(INDEX(Tab_DaBa[],MATCH(CONCATENATE(Liste!$C$3,$B$3389,$B$3447),Data!$BO:$BO,0)-2,53)&lt;&gt;"",INDEX(Tab_DaBa[],MATCH(CONCATENATE(Liste!$C$3,$B$3389,$B$3447),Data!$BO:$BO,0)-2,58)=""),"PFH [1/h] = "&amp;10^9*INDEX(Tab_DaBa[],MATCH(CONCATENATE(Liste!$C$3,$B$3389,$B$3447),Data!$BO:$BO,0)-2,16)&amp;"E-9",IF(INDEX(Tab_DaBa[],MATCH(CONCATENATE(Liste!$C$3,$B$3389,$B$3447),Data!$BO:$BO,0)-2,53)&lt;&gt;"","PFH [1/h] = "&amp;10^9*INDEX(Tab_DaBa[],MATCH(CONCATENATE(Liste!$C$3,$B$3389,$B$3447),Data!$BO:$BO,0)-2,61)&amp;"E-9","")),"")</f>
        <v/>
      </c>
      <c r="E3469" s="37"/>
      <c r="F3469" s="35" t="str">
        <f ca="1">IFERROR(IF(AND(INDEX(Tab_DaBa[],MATCH(CONCATENATE(Liste!$C$3,$B$3389,$B$3447),Data!$BO:$BO,0)-2,58)&lt;&gt;"",INDEX(Tab_DaBa[],MATCH(CONCATENATE(Liste!$C$3,$B$3389,$B$3447),Data!$BO:$BO,0)-2,63)=""),"PFH [1/h] = "&amp;10^9*INDEX(Tab_DaBa[],MATCH(CONCATENATE(Liste!$C$3,$B$3389,$B$3447),Data!$BO:$BO,0)-2,16)&amp;"E-9",IF(INDEX(Tab_DaBa[],MATCH(CONCATENATE(Liste!$C$3,$B$3389,$B$3447),Data!$BO:$BO,0)-2,58)&lt;&gt;"","PFH [1/h] = "&amp;10^9*INDEX(Tab_DaBa[],MATCH(CONCATENATE(Liste!$C$3,$B$3389,$B$3447),Data!$BO:$BO,0)-2,66)&amp;"E-9","")),"")</f>
        <v/>
      </c>
      <c r="G3469" s="39"/>
      <c r="H3469" s="35" t="str">
        <f ca="1">IFERROR(IF(INDEX(Tab_DaBa[],MATCH(CONCATENATE(Liste!$C$3,$B$3389,$B$3447),Data!$BO:$BO,0)-2,63)&lt;&gt;"","PFH [1/h] = "&amp;10^9*INDEX(Tab_DaBa[],MATCH(CONCATENATE(Liste!$C$3,$B$3389,$B$3447),Data!$BO:$BO,0)-2,16)&amp;"E-9",""),"")</f>
        <v/>
      </c>
    </row>
    <row r="3470" spans="2:9" s="16" customFormat="1"/>
    <row r="3471" spans="2:9" s="16" customFormat="1">
      <c r="B3471" s="43" t="str">
        <f ca="1">IF(D3471="","","Erforderlich")</f>
        <v>Erforderlich</v>
      </c>
      <c r="D3471" s="44" t="str">
        <f ca="1">IFERROR("Performance Level: "&amp;INDEX(Tab_DaBa[],MATCH(CONCATENATE(Liste!$C$3,$B$3389,$B$3447),Data!$BO:$BO,0)-2,4),"")</f>
        <v>Performance Level: PLr_ges4_3</v>
      </c>
    </row>
    <row r="3472" spans="2:9" s="16" customFormat="1">
      <c r="B3472" s="45"/>
    </row>
    <row r="3473" spans="2:9" s="16" customFormat="1">
      <c r="B3473" s="46" t="str">
        <f ca="1">IF(D3473="","","Erreicht")</f>
        <v>Erreicht</v>
      </c>
      <c r="D3473" s="47" t="str">
        <f ca="1">IFERROR("Performance Level: "&amp;INDEX(Tab_DaBa[],MATCH(CONCATENATE(Liste!$C$3,$B$3389,$B$3447),Data!$BO:$BO,0)-2,5)&amp;"          PFH [1/h] = "&amp;10^9*INDEX(Tab_DaBa[],MATCH(CONCATENATE(Liste!$C$3,$B$3389,$B$3447),Data!$BO:$BO,0)-2,6)&amp;"E-9","")</f>
        <v>Performance Level: Pl_ges4_3          PFH [1/h] = 71,7E-9</v>
      </c>
    </row>
    <row r="3474" spans="2:9" s="16" customFormat="1"/>
    <row r="3475" spans="2:9" s="16" customFormat="1">
      <c r="B3475" s="42" t="str">
        <f ca="1">IFERROR(IF(4&gt;COUNTIF(Data!$BP:$BP,CONCATENATE(Liste!$C$3,$B$3389)),"",INDEX(Tab_DaBa[],MATCH(CONCATENATE(Liste!$C$3,$B$3389),Data!$BP:$BP,0)+1,3)),"")</f>
        <v>13.4 Test13 (E+4L+A)</v>
      </c>
    </row>
    <row r="3476" spans="2:9" s="16" customFormat="1"/>
    <row r="3477" spans="2:9" s="16" customFormat="1" ht="15.75">
      <c r="B3477" s="35" t="str">
        <f ca="1">IFERROR(INDEX(Tab_DaBa[],MATCH(CONCATENATE(Liste!$C$3,$B$3389,$B$3475),Data!$BO:$BO,0)-2,9),"")</f>
        <v>Eingang</v>
      </c>
      <c r="C3477" s="54"/>
      <c r="D3477" s="35" t="str">
        <f ca="1">IFERROR(IF(INDEX(Tab_DaBa[],MATCH(CONCATENATE(Liste!$C$3,$B$3389,$B$3475),Data!$BO:$BO,0)-2,18)=0,INDEX(Tab_DaBa[],MATCH(CONCATENATE(Liste!$C$3,$B$3389,$B$3475),Data!$BO:$BO,0)-2,14),INDEX(Tab_DaBa[],MATCH(CONCATENATE(Liste!$C$3,$B$3389,$B$3475),Data!$BO:$BO,0)-2,19)),"")</f>
        <v>Logik 01</v>
      </c>
      <c r="E3477" s="33"/>
      <c r="F3477" s="35" t="str">
        <f ca="1">IFERROR(IF(AND(INDEX(Tab_DaBa[],MATCH(CONCATENATE(Liste!$C$3,$B$3389,$B$3475),Data!$BO:$BO,0)-2,18)&lt;&gt;"",INDEX(Tab_DaBa[],MATCH(CONCATENATE(Liste!$C$3,$B$3389,$B$3475),Data!$BO:$BO,0)-2,23)=0),INDEX(Tab_DaBa[],MATCH(CONCATENATE(Liste!$C$3,$B$3389,$B$3475),Data!$BO:$BO,0)-2,14),IF(INDEX(Tab_DaBa[],MATCH(CONCATENATE(Liste!$C$3,$B$3389,$B$3475),Data!$BO:$BO,0)-2,23)&lt;&gt;"",INDEX(Tab_DaBa[],MATCH(CONCATENATE(Liste!$C$3,$B$3389,$B$3475),Data!$BO:$BO,0)-2,24),"")),"")</f>
        <v>Logik 02</v>
      </c>
      <c r="G3477" s="39"/>
      <c r="H3477" s="35" t="str">
        <f ca="1">IFERROR(IF(AND(INDEX(Tab_DaBa[],MATCH(CONCATENATE(Liste!$C$3,$B$3389,$B$3475),Data!$BO:$BO,0)-2,23)&lt;&gt;"",INDEX(Tab_DaBa[],MATCH(CONCATENATE(Liste!$C$3,$B$3389,$B$3475),Data!$BO:$BO,0)-2,28)=0),INDEX(Tab_DaBa[],MATCH(CONCATENATE(Liste!$C$3,$B$3389,$B$3475),Data!$BO:$BO,0)-2,14),IF(INDEX(Tab_DaBa[],MATCH(CONCATENATE(Liste!$C$3,$B$3389,$B$3475),Data!$BO:$BO,0)-2,23)&lt;&gt;"",INDEX(Tab_DaBa[],MATCH(CONCATENATE(Liste!$C$3,$B$3389,$B$3475),Data!$BO:$BO,0)-2,29),"")),"")</f>
        <v>Logik 03</v>
      </c>
      <c r="I3477" s="39"/>
    </row>
    <row r="3478" spans="2:9" s="16" customFormat="1" ht="15.75">
      <c r="B3478" s="35" t="str">
        <f ca="1">IFERROR(INDEX(Tab_DaBa[],MATCH(CONCATENATE(Liste!$C$3,$B$3389,$B$3475),Data!$BO:$BO,0)-2,7),"")</f>
        <v>eeee-33_4</v>
      </c>
      <c r="C3478" s="54"/>
      <c r="D3478" s="35" t="str">
        <f ca="1">IFERROR(IF(INDEX(Tab_DaBa[],MATCH(CONCATENATE(Liste!$C$3,$B$3389,$B$3475),Data!$BO:$BO,0)-2,18)="",INDEX(Tab_DaBa[],MATCH(CONCATENATE(Liste!$C$3,$B$3389,$B$3475),Data!$BO:$BO,0)-2,12),INDEX(Tab_DaBa[],MATCH(CONCATENATE(Liste!$C$3,$B$3389,$B$3475),Data!$BO:$BO,0)-2,17)),"")</f>
        <v>Log01-04_04</v>
      </c>
      <c r="E3478" s="36"/>
      <c r="F3478" s="35" t="str">
        <f ca="1">IFERROR(IF(AND(INDEX(Tab_DaBa[],MATCH(CONCATENATE(Liste!$C$3,$B$3389,$B$3475),Data!$BO:$BO,0)-2,18)&lt;&gt;"",INDEX(Tab_DaBa[],MATCH(CONCATENATE(Liste!$C$3,$B$3389,$B$3475),Data!$BO:$BO,0)-2,23)=0),INDEX(Tab_DaBa[],MATCH(CONCATENATE(Liste!$C$3,$B$3389,$B$3475),Data!$BO:$BO,0)-2,12),IF(INDEX(Tab_DaBa[],MATCH(CONCATENATE(Liste!$C$3,$B$3389,$B$3475),Data!$BO:$BO,0)-2,23)&lt;&gt;"",INDEX(Tab_DaBa[],MATCH(CONCATENATE(Liste!$C$3,$B$3389,$B$3475),Data!$BO:$BO,0)-2,22),"")),"")</f>
        <v>Lo04-04_04</v>
      </c>
      <c r="G3478" s="39"/>
      <c r="H3478" s="35" t="str">
        <f ca="1">IFERROR(IF(AND(INDEX(Tab_DaBa[],MATCH(CONCATENATE(Liste!$C$3,$B$3389,$B$3475),Data!$BO:$BO,0)-2,23)&lt;&gt;"",INDEX(Tab_DaBa[],MATCH(CONCATENATE(Liste!$C$3,$B$3389,$B$3475),Data!$BO:$BO,0)-2,28)=0),INDEX(Tab_DaBa[],MATCH(CONCATENATE(Liste!$C$3,$B$3389,$B$3475),Data!$BO:$BO,0)-2,12),IF(INDEX(Tab_DaBa[],MATCH(CONCATENATE(Liste!$C$3,$B$3389,$B$3475),Data!$BO:$BO,0)-2,23)&lt;&gt;"",INDEX(Tab_DaBa[],MATCH(CONCATENATE(Liste!$C$3,$B$3389,$B$3475),Data!$BO:$BO,0)-2,27),"")),"")</f>
        <v>Lo04-44_04</v>
      </c>
      <c r="I3478" s="39"/>
    </row>
    <row r="3479" spans="2:9" s="16" customFormat="1" ht="15.75">
      <c r="B3479" s="35" t="str">
        <f ca="1">IFERROR(INDEX(Tab_DaBa[],MATCH(CONCATENATE(Liste!$C$3,$B$3389,$B$3475),Data!$BO:$BO,0)-2,8),"")</f>
        <v>Bez_Ein4_4</v>
      </c>
      <c r="C3479" s="40">
        <f ca="1">IF(D3477="","",4)</f>
        <v>4</v>
      </c>
      <c r="D3479" s="35" t="str">
        <f ca="1">IFERROR(IF(INDEX(Tab_DaBa[],MATCH(CONCATENATE(Liste!$C$3,$B$3389,$B$3475),Data!$BO:$BO,0)-2,18)="",INDEX(Tab_DaBa[],MATCH(CONCATENATE(Liste!$C$3,$B$3389,$B$3475),Data!$BO:$BO,0)-2,13),INDEX(Tab_DaBa[],MATCH(CONCATENATE(Liste!$C$3,$B$3389,$B$3475),Data!$BO:$BO,0)-2,18)),"")</f>
        <v>Bez_Log01_04_04</v>
      </c>
      <c r="E3479" s="40">
        <f ca="1">IF(F3477="","",4)</f>
        <v>4</v>
      </c>
      <c r="F3479" s="35" t="str">
        <f ca="1">IFERROR(IF(AND(INDEX(Tab_DaBa[],MATCH(CONCATENATE(Liste!$C$3,$B$3389,$B$3475),Data!$BO:$BO,0)-2,18)&lt;&gt;"",INDEX(Tab_DaBa[],MATCH(CONCATENATE(Liste!$C$3,$B$3389,$B$3475),Data!$BO:$BO,0)-2,23)=""),INDEX(Tab_DaBa[],MATCH(CONCATENATE(Liste!$C$3,$B$3389,$B$3475),Data!$BO:$BO,0)-2,13),IF(INDEX(Tab_DaBa[],MATCH(CONCATENATE(Liste!$C$3,$B$3389,$B$3475),Data!$BO:$BO,0)-2,23)&lt;&gt;"",INDEX(Tab_DaBa[],MATCH(CONCATENATE(Liste!$C$3,$B$3389,$B$3475),Data!$BO:$BO,0)-2,23),"")),"")</f>
        <v>Bez_Lo04_04</v>
      </c>
      <c r="G3479" s="38">
        <f ca="1">IF(H3477="","",4)</f>
        <v>4</v>
      </c>
      <c r="H3479" s="35" t="str">
        <f ca="1">IFERROR(IF(AND(INDEX(Tab_DaBa[],MATCH(CONCATENATE(Liste!$C$3,$B$3389,$B$3475),Data!$BO:$BO,0)-2,23)&lt;&gt;"",INDEX(Tab_DaBa[],MATCH(CONCATENATE(Liste!$C$3,$B$3389,$B$3475),Data!$BO:$BO,0)-2,28)=""),INDEX(Tab_DaBa[],MATCH(CONCATENATE(Liste!$C$3,$B$3389,$B$3475),Data!$BO:$BO,0)-2,13),IF(INDEX(Tab_DaBa[],MATCH(CONCATENATE(Liste!$C$3,$B$3389,$B$3475),Data!$BO:$BO,0)-2,23)&lt;&gt;"",INDEX(Tab_DaBa[],MATCH(CONCATENATE(Liste!$C$3,$B$3389,$B$3475),Data!$BO:$BO,0)-2,28),"")),"")</f>
        <v>Bez_Lo04_04</v>
      </c>
      <c r="I3479" s="38">
        <f ca="1">IF(B3485="","",6)</f>
        <v>6</v>
      </c>
    </row>
    <row r="3480" spans="2:9" s="16" customFormat="1" ht="15.75">
      <c r="B3480" s="35" t="str">
        <f ca="1">IFERROR("Performance Level: "&amp;INDEX(Tab_DaBa[],MATCH(CONCATENATE(Liste!$C$3,$B$3389,$B$3475),Data!$BO:$BO,0)-2,10),"")</f>
        <v>Performance Level: PL_Ein4_4</v>
      </c>
      <c r="C3480" s="54"/>
      <c r="D3480" s="35" t="str">
        <f ca="1">IFERROR(IF(INDEX(Tab_DaBa[],MATCH(CONCATENATE(Liste!$C$3,$B$3389,$B$3475),Data!$BO:$BO,0)-2,18)="","Performance Level: "&amp;INDEX(Tab_DaBa[],MATCH(CONCATENATE(Liste!$C$3,$B$3389,$B$3475),Data!$BO:$BO,0)-2,15),"Performance Level: "&amp;INDEX(Tab_DaBa[],MATCH(CONCATENATE(Liste!$C$3,$B$3389,$B$3475),Data!$BO:$BO,0)-2,20)),"")</f>
        <v>Performance Level: PL_Log01_04_04</v>
      </c>
      <c r="E3480" s="36"/>
      <c r="F3480" s="35" t="str">
        <f ca="1">IFERROR(IF(AND(INDEX(Tab_DaBa[],MATCH(CONCATENATE(Liste!$C$3,$B$3389,$B$3475),Data!$BO:$BO,0)-2,18)&lt;&gt;"",INDEX(Tab_DaBa[],MATCH(CONCATENATE(Liste!$C$3,$B$3389,$B$3475),Data!$BO:$BO,0)-2,23)=""),"Performance Level: "&amp;INDEX(Tab_DaBa[],MATCH(CONCATENATE(Liste!$C$3,$B$3389,$B$3475),Data!$BO:$BO,0)-2,15),IF(INDEX(Tab_DaBa[],MATCH(CONCATENATE(Liste!$C$3,$B$3389,$B$3475),Data!$BO:$BO,0)-2,23)&lt;&gt;"","Performance Level: "&amp;INDEX(Tab_DaBa[],MATCH(CONCATENATE(Liste!$C$3,$B$3389,$B$3475),Data!$BO:$BO,0)-2,25),"")),"")</f>
        <v>Performance Level: PL_Lo04_04</v>
      </c>
      <c r="G3480" s="39"/>
      <c r="H3480" s="35" t="str">
        <f ca="1">IFERROR(IF(AND(INDEX(Tab_DaBa[],MATCH(CONCATENATE(Liste!$C$3,$B$3389,$B$3475),Data!$BO:$BO,0)-2,23)&lt;&gt;"",INDEX(Tab_DaBa[],MATCH(CONCATENATE(Liste!$C$3,$B$3389,$B$3475),Data!$BO:$BO,0)-2,28)=""),"Performance Level: "&amp;INDEX(Tab_DaBa[],MATCH(CONCATENATE(Liste!$C$3,$B$3389,$B$3475),Data!$BO:$BO,0)-2,15),IF(INDEX(Tab_DaBa[],MATCH(CONCATENATE(Liste!$C$3,$B$3389,$B$3475),Data!$BO:$BO,0)-2,23)&lt;&gt;"","Performance Level: "&amp;INDEX(Tab_DaBa[],MATCH(CONCATENATE(Liste!$C$3,$B$3389,$B$3475),Data!$BO:$BO,0)-2,30),"")),"")</f>
        <v>Performance Level: PL_Lo04_04</v>
      </c>
      <c r="I3480" s="38"/>
    </row>
    <row r="3481" spans="2:9" s="16" customFormat="1" ht="15.75">
      <c r="B3481" s="53" t="str">
        <f ca="1">IFERROR("PFH [1/h] = "&amp;10^9*INDEX(Tab_DaBa[],MATCH(CONCATENATE(Liste!$C$3,$B$3389,$B$3475),Data!$BO:$BO,0)-2,11)&amp;"E-9","")</f>
        <v>PFH [1/h] = 42,9E-9</v>
      </c>
      <c r="C3481" s="54"/>
      <c r="D3481" s="35" t="str">
        <f ca="1">IFERROR(IF(INDEX(Tab_DaBa[],MATCH(CONCATENATE(Liste!$C$3,$B$3389,$B$3475),Data!$BO:$BO,0)-2,18)="","PFH [1/h] = "&amp;10^9*INDEX(Tab_DaBa[],MATCH(CONCATENATE(Liste!$C$3,$B$3389,$B$3475),Data!$BO:$BO,0)-2,16)&amp;"E-9","PFH [1/h] = "&amp;10^9*INDEX(Tab_DaBa[],MATCH(CONCATENATE(Liste!$C$3,$B$3389,$B$3475),Data!$BO:$BO,0)-2,21)&amp;"E-9"),"")</f>
        <v>PFH [1/h] = 4,19E-9</v>
      </c>
      <c r="E3481" s="36"/>
      <c r="F3481" s="35" t="str">
        <f ca="1">IFERROR(IF(AND(INDEX(Tab_DaBa[],MATCH(CONCATENATE(Liste!$C$3,$B$3389,$B$3475),Data!$BO:$BO,0)-2,18)&lt;&gt;"",INDEX(Tab_DaBa[],MATCH(CONCATENATE(Liste!$C$3,$B$3389,$B$3475),Data!$BO:$BO,0)-2,23)=""),"PFH [1/h] = "&amp;10^9*INDEX(Tab_DaBa[],MATCH(CONCATENATE(Liste!$C$3,$B$3389,$B$3475),Data!$BO:$BO,0)-2,16)&amp;"E-9",IF(INDEX(Tab_DaBa[],MATCH(CONCATENATE(Liste!$C$3,$B$3389,$B$3475),Data!$BO:$BO,0)-2,23)&lt;&gt;"","PFH [1/h] = "&amp;10^9*INDEX(Tab_DaBa[],MATCH(CONCATENATE(Liste!$C$3,$B$3389,$B$3475),Data!$BO:$BO,0)-2,26)&amp;"E-9","")),"")</f>
        <v>PFH [1/h] = 4,19E-9</v>
      </c>
      <c r="G3481" s="39"/>
      <c r="H3481" s="35" t="str">
        <f ca="1">IFERROR(IF(AND(INDEX(Tab_DaBa[],MATCH(CONCATENATE(Liste!$C$3,$B$3389,$B$3475),Data!$BO:$BO,0)-2,23)&lt;&gt;"",INDEX(Tab_DaBa[],MATCH(CONCATENATE(Liste!$C$3,$B$3389,$B$3475),Data!$BO:$BO,0)-2,28)=""),"PFH [1/h] = "&amp;10^9*INDEX(Tab_DaBa[],MATCH(CONCATENATE(Liste!$C$3,$B$3389,$B$3475),Data!$BO:$BO,0)-2,16)&amp;"E-9",IF(INDEX(Tab_DaBa[],MATCH(CONCATENATE(Liste!$C$3,$B$3389,$B$3475),Data!$BO:$BO,0)-2,23)&lt;&gt;"","PFH [1/h] = "&amp;10^9*INDEX(Tab_DaBa[],MATCH(CONCATENATE(Liste!$C$3,$B$3389,$B$3475),Data!$BO:$BO,0)-2,31)&amp;"E-9","")),"")</f>
        <v>PFH [1/h] = 4,19E-9</v>
      </c>
      <c r="I3481" s="39"/>
    </row>
    <row r="3482" spans="2:9" s="16" customFormat="1">
      <c r="B3482" s="33"/>
      <c r="C3482" s="34"/>
      <c r="D3482" s="33"/>
      <c r="E3482" s="33"/>
      <c r="F3482" s="33"/>
      <c r="G3482" s="33"/>
      <c r="H3482" s="33"/>
      <c r="I3482" s="33"/>
    </row>
    <row r="3483" spans="2:9" s="16" customFormat="1" ht="15.75">
      <c r="B3483" s="38">
        <f ca="1">IF(B3485="","",6)</f>
        <v>6</v>
      </c>
      <c r="C3483" s="34"/>
      <c r="D3483" s="38">
        <f ca="1">IF(B3485="","",3)</f>
        <v>3</v>
      </c>
      <c r="E3483" s="33"/>
      <c r="F3483" s="38">
        <f ca="1">IF(B3485="","",3)</f>
        <v>3</v>
      </c>
      <c r="G3483" s="33"/>
      <c r="H3483" s="38">
        <f ca="1">IF(B3485="","",3)</f>
        <v>3</v>
      </c>
      <c r="I3483" s="33"/>
    </row>
    <row r="3484" spans="2:9" s="16" customFormat="1" ht="15.75">
      <c r="B3484" s="39"/>
      <c r="C3484" s="33"/>
      <c r="D3484" s="33"/>
      <c r="E3484" s="33"/>
      <c r="F3484" s="33"/>
      <c r="G3484" s="33"/>
      <c r="H3484" s="33"/>
      <c r="I3484" s="33"/>
    </row>
    <row r="3485" spans="2:9" s="16" customFormat="1" ht="15.75">
      <c r="B3485" s="35" t="str">
        <f ca="1">IFERROR(IF(AND(INDEX(Tab_DaBa[],MATCH(CONCATENATE(Liste!$C$3,$B$3389,$B$3475),Data!$BO:$BO,0)-2,28)&lt;&gt;"",INDEX(Tab_DaBa[],MATCH(CONCATENATE(Liste!$C$3,$B$3389,$B$3475),Data!$BO:$BO,0)-2,33)=0),INDEX(Tab_DaBa[],MATCH(CONCATENATE(Liste!$C$3,$B$3389,$B$3475),Data!$BO:$BO,0)-2,14),IF(INDEX(Tab_DaBa[],MATCH(CONCATENATE(Liste!$C$3,$B$3389,$B$3475),Data!$BO:$BO,0)-2,28)&lt;&gt;"",INDEX(Tab_DaBa[],MATCH(CONCATENATE(Liste!$C$3,$B$3389,$B$3475),Data!$BO:$BO,0)-2,34),"")),"")</f>
        <v>Logik 04</v>
      </c>
      <c r="C3485" s="39"/>
      <c r="D3485" s="35" t="str">
        <f ca="1">IFERROR(IF(AND(INDEX(Tab_DaBa[],MATCH(CONCATENATE(Liste!$C$3,$B$3389,$B$3475),Data!$BO:$BO,0)-2,33)&lt;&gt;"",INDEX(Tab_DaBa[],MATCH(CONCATENATE(Liste!$C$3,$B$3389,$B$3475),Data!$BO:$BO,0)-2,38)=0),INDEX(Tab_DaBa[],MATCH(CONCATENATE(Liste!$C$3,$B$3389,$B$3475),Data!$BO:$BO,0)-2,14),IF(INDEX(Tab_DaBa[],MATCH(CONCATENATE(Liste!$C$3,$B$3389,$B$3475),Data!$BO:$BO,0)-2,33)&lt;&gt;"",INDEX(Tab_DaBa[],MATCH(CONCATENATE(Liste!$C$3,$B$3389,$B$3475),Data!$BO:$BO,0)-2,39),"")),"")</f>
        <v>Ausgang</v>
      </c>
      <c r="E3485" s="33"/>
      <c r="F3485" s="35" t="str">
        <f ca="1">IFERROR(IF(AND(INDEX(Tab_DaBa[],MATCH(CONCATENATE(Liste!$C$3,$B$3389,$B$3475),Data!$BO:$BO,0)-2,38)&lt;&gt;"",INDEX(Tab_DaBa[],MATCH(CONCATENATE(Liste!$C$3,$B$3389,$B$3475),Data!$BO:$BO,0)-2,43)=0),INDEX(Tab_DaBa[],MATCH(CONCATENATE(Liste!$C$3,$B$3389,$B$3475),Data!$BO:$BO,0)-2,14),IF(INDEX(Tab_DaBa[],MATCH(CONCATENATE(Liste!$C$3,$B$3389,$B$3475),Data!$BO:$BO,0)-2,38)&lt;&gt;"",INDEX(Tab_DaBa[],MATCH(CONCATENATE(Liste!$C$3,$B$3389,$B$3475),Data!$BO:$BO,0)-2,44),"")),"")</f>
        <v/>
      </c>
      <c r="G3485" s="39"/>
      <c r="H3485" s="35" t="str">
        <f ca="1">IFERROR(IF(AND(INDEX(Tab_DaBa[],MATCH(CONCATENATE(Liste!$C$3,$B$3389,$B$3475),Data!$BO:$BO,0)-2,43)&lt;&gt;"",INDEX(Tab_DaBa[],MATCH(CONCATENATE(Liste!$C$3,$B$3389,$B$3475),Data!$BO:$BO,0)-2,48)=0),INDEX(Tab_DaBa[],MATCH(CONCATENATE(Liste!$C$3,$B$3389,$B$3475),Data!$BO:$BO,0)-2,14),IF(INDEX(Tab_DaBa[],MATCH(CONCATENATE(Liste!$C$3,$B$3389,$B$3475),Data!$BO:$BO,0)-2,43)&lt;&gt;"",INDEX(Tab_DaBa[],MATCH(CONCATENATE(Liste!$C$3,$B$3389,$B$3475),Data!$BO:$BO,0)-2,49),"")),"")</f>
        <v/>
      </c>
      <c r="I3485" s="39"/>
    </row>
    <row r="3486" spans="2:9" s="16" customFormat="1" ht="15.75">
      <c r="B3486" s="35" t="str">
        <f ca="1">IFERROR(IF(AND(INDEX(Tab_DaBa[],MATCH(CONCATENATE(Liste!$C$3,$B$3389,$B$3475),Data!$BO:$BO,0)-2,28)&lt;&gt;"",INDEX(Tab_DaBa[],MATCH(CONCATENATE(Liste!$C$3,$B$3389,$B$3475),Data!$BO:$BO,0)-2,33)=0),INDEX(Tab_DaBa[],MATCH(CONCATENATE(Liste!$C$3,$B$3389,$B$3475),Data!$BO:$BO,0)-2,12),IF(INDEX(Tab_DaBa[],MATCH(CONCATENATE(Liste!$C$3,$B$3389,$B$3475),Data!$BO:$BO,0)-2,28)&lt;&gt;"",INDEX(Tab_DaBa[],MATCH(CONCATENATE(Liste!$C$3,$B$3389,$B$3475),Data!$BO:$BO,0)-2,32),"")),"")</f>
        <v>Lo04-44_04</v>
      </c>
      <c r="C3486" s="39"/>
      <c r="D3486" s="35" t="str">
        <f ca="1">IFERROR(IF(AND(INDEX(Tab_DaBa[],MATCH(CONCATENATE(Liste!$C$3,$B$3389,$B$3475),Data!$BO:$BO,0)-2,33)&lt;&gt;"",INDEX(Tab_DaBa[],MATCH(CONCATENATE(Liste!$C$3,$B$3389,$B$3475),Data!$BO:$BO,0)-2,38)=0),INDEX(Tab_DaBa[],MATCH(CONCATENATE(Liste!$C$3,$B$3389,$B$3475),Data!$BO:$BO,0)-2,12),IF(INDEX(Tab_DaBa[],MATCH(CONCATENATE(Liste!$C$3,$B$3389,$B$3475),Data!$BO:$BO,0)-2,33)&lt;&gt;"",INDEX(Tab_DaBa[],MATCH(CONCATENATE(Liste!$C$3,$B$3389,$B$3475),Data!$BO:$BO,0)-2,37),"")),"")</f>
        <v>aaaa-44_4</v>
      </c>
      <c r="E3486" s="37"/>
      <c r="F3486" s="35" t="str">
        <f ca="1">IFERROR(IF(AND(INDEX(Tab_DaBa[],MATCH(CONCATENATE(Liste!$C$3,$B$3389,$B$3475),Data!$BO:$BO,0)-2,38)&lt;&gt;"",INDEX(Tab_DaBa[],MATCH(CONCATENATE(Liste!$C$3,$B$3389,$B$3475),Data!$BO:$BO,0)-2,43)=0),INDEX(Tab_DaBa[],MATCH(CONCATENATE(Liste!$C$3,$B$3389,$B$3475),Data!$BO:$BO,0)-2,12),IF(INDEX(Tab_DaBa[],MATCH(CONCATENATE(Liste!$C$3,$B$3389,$B$3475),Data!$BO:$BO,0)-2,38)&lt;&gt;"",INDEX(Tab_DaBa[],MATCH(CONCATENATE(Liste!$C$3,$B$3389,$B$3475),Data!$BO:$BO,0)-2,42),"")),"")</f>
        <v/>
      </c>
      <c r="G3486" s="39"/>
      <c r="H3486" s="35" t="str">
        <f ca="1">IFERROR(IF(AND(INDEX(Tab_DaBa[],MATCH(CONCATENATE(Liste!$C$3,$B$3389,$B$3475),Data!$BO:$BO,0)-2,43)&lt;&gt;"",INDEX(Tab_DaBa[],MATCH(CONCATENATE(Liste!$C$3,$B$3389,$B$3475),Data!$BO:$BO,0)-2,48)=0),INDEX(Tab_DaBa[],MATCH(CONCATENATE(Liste!$C$3,$B$3389,$B$3475),Data!$BO:$BO,0)-2,12),IF(INDEX(Tab_DaBa[],MATCH(CONCATENATE(Liste!$C$3,$B$3389,$B$3475),Data!$BO:$BO,0)-2,43)&lt;&gt;"",INDEX(Tab_DaBa[],MATCH(CONCATENATE(Liste!$C$3,$B$3389,$B$3475),Data!$BO:$BO,0)-2,47),"")),"")</f>
        <v/>
      </c>
      <c r="I3486" s="39"/>
    </row>
    <row r="3487" spans="2:9" s="16" customFormat="1" ht="15.75">
      <c r="B3487" s="35" t="str">
        <f ca="1">IFERROR(IF(AND(INDEX(Tab_DaBa[],MATCH(CONCATENATE(Liste!$C$3,$B$3389,$B$3475),Data!$BO:$BO,0)-2,28)&lt;&gt;"",INDEX(Tab_DaBa[],MATCH(CONCATENATE(Liste!$C$3,$B$3389,$B$3475),Data!$BO:$BO,0)-2,33)=""),INDEX(Tab_DaBa[],MATCH(CONCATENATE(Liste!$C$3,$B$3389,$B$3475),Data!$BO:$BO,0)-2,13),IF(INDEX(Tab_DaBa[],MATCH(CONCATENATE(Liste!$C$3,$B$3389,$B$3475),Data!$BO:$BO,0)-2,28)&lt;&gt;"",INDEX(Tab_DaBa[],MATCH(CONCATENATE(Liste!$C$3,$B$3389,$B$3475),Data!$BO:$BO,0)-2,33),"")),"")</f>
        <v>Bez_Lo04_04</v>
      </c>
      <c r="C3487" s="38">
        <f ca="1">IF(D3485="","",4)</f>
        <v>4</v>
      </c>
      <c r="D3487" s="35" t="str">
        <f ca="1">IFERROR(IF(AND(INDEX(Tab_DaBa[],MATCH(CONCATENATE(Liste!$C$3,$B$3389,$B$3475),Data!$BO:$BO,0)-2,33)&lt;&gt;"",INDEX(Tab_DaBa[],MATCH(CONCATENATE(Liste!$C$3,$B$3389,$B$3475),Data!$BO:$BO,0)-2,38)=""),INDEX(Tab_DaBa[],MATCH(CONCATENATE(Liste!$C$3,$B$3389,$B$3475),Data!$BO:$BO,0)-2,13),IF(INDEX(Tab_DaBa[],MATCH(CONCATENATE(Liste!$C$3,$B$3389,$B$3475),Data!$BO:$BO,0)-2,33)&lt;&gt;"",INDEX(Tab_DaBa[],MATCH(CONCATENATE(Liste!$C$3,$B$3389,$B$3475),Data!$BO:$BO,0)-2,38),"")),"")</f>
        <v>Bez_Aus4_4</v>
      </c>
      <c r="E3487" s="38" t="str">
        <f ca="1">IF(F3485="","",4)</f>
        <v/>
      </c>
      <c r="F3487" s="35" t="str">
        <f ca="1">IFERROR(IF(AND(INDEX(Tab_DaBa[],MATCH(CONCATENATE(Liste!$C$3,$B$3389,$B$3475),Data!$BO:$BO,0)-2,38)&lt;&gt;"",INDEX(Tab_DaBa[],MATCH(CONCATENATE(Liste!$C$3,$B$3389,$B$3475),Data!$BO:$BO,0)-2,43)=""),INDEX(Tab_DaBa[],MATCH(CONCATENATE(Liste!$C$3,$B$3389,$B$3475),Data!$BO:$BO,0)-2,13),IF(INDEX(Tab_DaBa[],MATCH(CONCATENATE(Liste!$C$3,$B$3389,$B$3475),Data!$BO:$BO,0)-2,38)&lt;&gt;"",INDEX(Tab_DaBa[],MATCH(CONCATENATE(Liste!$C$3,$B$3389,$B$3475),Data!$BO:$BO,0)-2,43),"")),"")</f>
        <v/>
      </c>
      <c r="G3487" s="38" t="str">
        <f ca="1">IF(H3485="","",4)</f>
        <v/>
      </c>
      <c r="H3487" s="35" t="str">
        <f ca="1">IFERROR(IF(AND(INDEX(Tab_DaBa[],MATCH(CONCATENATE(Liste!$C$3,$B$3389,$B$3475),Data!$BO:$BO,0)-2,43)&lt;&gt;"",INDEX(Tab_DaBa[],MATCH(CONCATENATE(Liste!$C$3,$B$3389,$B$3475),Data!$BO:$BO,0)-2,48)=""),INDEX(Tab_DaBa[],MATCH(CONCATENATE(Liste!$C$3,$B$3389,$B$3475),Data!$BO:$BO,0)-2,13),IF(INDEX(Tab_DaBa[],MATCH(CONCATENATE(Liste!$C$3,$B$3389,$B$3475),Data!$BO:$BO,0)-2,43)&lt;&gt;"",INDEX(Tab_DaBa[],MATCH(CONCATENATE(Liste!$C$3,$B$3389,$B$3475),Data!$BO:$BO,0)-2,48),"")),"")</f>
        <v/>
      </c>
      <c r="I3487" s="38" t="str">
        <f ca="1">IF(B3493="","",6)</f>
        <v/>
      </c>
    </row>
    <row r="3488" spans="2:9" s="16" customFormat="1" ht="15.75">
      <c r="B3488" s="35" t="str">
        <f ca="1">IFERROR(IF(AND(INDEX(Tab_DaBa[],MATCH(CONCATENATE(Liste!$C$3,$B$3389,$B$3475),Data!$BO:$BO,0)-2,28)&lt;&gt;"",INDEX(Tab_DaBa[],MATCH(CONCATENATE(Liste!$C$3,$B$3389,$B$3475),Data!$BO:$BO,0)-2,33)=""),"Performance Level: "&amp;INDEX(Tab_DaBa[],MATCH(CONCATENATE(Liste!$C$3,$B$3389,$B$3475),Data!$BO:$BO,0)-2,15),IF(INDEX(Tab_DaBa[],MATCH(CONCATENATE(Liste!$C$3,$B$3389,$B$3475),Data!$BO:$BO,0)-2,28)&lt;&gt;"","Performance Level: "&amp;INDEX(Tab_DaBa[],MATCH(CONCATENATE(Liste!$C$3,$B$3389,$B$3475),Data!$BO:$BO,0)-2,35),"")),"")</f>
        <v>Performance Level: PL_Lo04_04</v>
      </c>
      <c r="C3488" s="39"/>
      <c r="D3488" s="35" t="str">
        <f ca="1">IFERROR(IF(AND(INDEX(Tab_DaBa[],MATCH(CONCATENATE(Liste!$C$3,$B$3389,$B$3475),Data!$BO:$BO,0)-2,33)&lt;&gt;"",INDEX(Tab_DaBa[],MATCH(CONCATENATE(Liste!$C$3,$B$3389,$B$3475),Data!$BO:$BO,0)-2,38)=""),"Performance Level: "&amp;INDEX(Tab_DaBa[],MATCH(CONCATENATE(Liste!$C$3,$B$3389,$B$3475),Data!$BO:$BO,0)-2,15),IF(INDEX(Tab_DaBa[],MATCH(CONCATENATE(Liste!$C$3,$B$3389,$B$3475),Data!$BO:$BO,0)-2,33)&lt;&gt;"","Performance Level: "&amp;INDEX(Tab_DaBa[],MATCH(CONCATENATE(Liste!$C$3,$B$3389,$B$3475),Data!$BO:$BO,0)-2,40),"")),"")</f>
        <v>Performance Level: PL_Aus4_4</v>
      </c>
      <c r="E3488" s="37"/>
      <c r="F3488" s="35" t="str">
        <f ca="1">IFERROR(IF(AND(INDEX(Tab_DaBa[],MATCH(CONCATENATE(Liste!$C$3,$B$3389,$B$3475),Data!$BO:$BO,0)-2,38)&lt;&gt;"",INDEX(Tab_DaBa[],MATCH(CONCATENATE(Liste!$C$3,$B$3389,$B$3475),Data!$BO:$BO,0)-2,43)=""),"Performance Level: "&amp;INDEX(Tab_DaBa[],MATCH(CONCATENATE(Liste!$C$3,$B$3389,$B$3475),Data!$BO:$BO,0)-2,15),IF(INDEX(Tab_DaBa[],MATCH(CONCATENATE(Liste!$C$3,$B$3389,$B$3475),Data!$BO:$BO,0)-2,38)&lt;&gt;"","Performance Level: "&amp;INDEX(Tab_DaBa[],MATCH(CONCATENATE(Liste!$C$3,$B$3389,$B$3475),Data!$BO:$BO,0)-2,45),"")),"")</f>
        <v/>
      </c>
      <c r="G3488" s="39"/>
      <c r="H3488" s="35" t="str">
        <f ca="1">IFERROR(IF(AND(INDEX(Tab_DaBa[],MATCH(CONCATENATE(Liste!$C$3,$B$3389,$B$3475),Data!$BO:$BO,0)-2,43)&lt;&gt;"",INDEX(Tab_DaBa[],MATCH(CONCATENATE(Liste!$C$3,$B$3389,$B$3475),Data!$BO:$BO,0)-2,48)=""),"Performance Level: "&amp;INDEX(Tab_DaBa[],MATCH(CONCATENATE(Liste!$C$3,$B$3389,$B$3475),Data!$BO:$BO,0)-2,15),IF(INDEX(Tab_DaBa[],MATCH(CONCATENATE(Liste!$C$3,$B$3389,$B$3475),Data!$BO:$BO,0)-2,43)&lt;&gt;"","Performance Level: "&amp;INDEX(Tab_DaBa[],MATCH(CONCATENATE(Liste!$C$3,$B$3389,$B$3475),Data!$BO:$BO,0)-2,50),"")),"")</f>
        <v/>
      </c>
      <c r="I3488" s="39"/>
    </row>
    <row r="3489" spans="2:9" s="16" customFormat="1" ht="15.75">
      <c r="B3489" s="35" t="str">
        <f ca="1">IFERROR(IF(AND(INDEX(Tab_DaBa[],MATCH(CONCATENATE(Liste!$C$3,$B$3389,$B$3475),Data!$BO:$BO,0)-2,28)&lt;&gt;"",INDEX(Tab_DaBa[],MATCH(CONCATENATE(Liste!$C$3,$B$3389,$B$3475),Data!$BO:$BO,0)-2,33)=""),"PFH [1/h] = "&amp;10^9*INDEX(Tab_DaBa[],MATCH(CONCATENATE(Liste!$C$3,$B$3389,$B$3475),Data!$BO:$BO,0)-2,16)&amp;"E-9",IF(INDEX(Tab_DaBa[],MATCH(CONCATENATE(Liste!$C$3,$B$3389,$B$3475),Data!$BO:$BO,0)-2,28)&lt;&gt;"","PFH [1/h] = "&amp;10^9*INDEX(Tab_DaBa[],MATCH(CONCATENATE(Liste!$C$3,$B$3389,$B$3475),Data!$BO:$BO,0)-2,36)&amp;"E-9","")),"")</f>
        <v>PFH [1/h] = 4,19E-9</v>
      </c>
      <c r="C3489" s="39"/>
      <c r="D3489" s="35" t="str">
        <f ca="1">IFERROR(IF(AND(INDEX(Tab_DaBa[],MATCH(CONCATENATE(Liste!$C$3,$B$3389,$B$3475),Data!$BO:$BO,0)-2,33)&lt;&gt;"",INDEX(Tab_DaBa[],MATCH(CONCATENATE(Liste!$C$3,$B$3389,$B$3475),Data!$BO:$BO,0)-2,38)=""),"PFH [1/h] = "&amp;10^9*INDEX(Tab_DaBa[],MATCH(CONCATENATE(Liste!$C$3,$B$3389,$B$3475),Data!$BO:$BO,0)-2,16)&amp;"E-9",IF(INDEX(Tab_DaBa[],MATCH(CONCATENATE(Liste!$C$3,$B$3389,$B$3475),Data!$BO:$BO,0)-2,33)&lt;&gt;"","PFH [1/h] = "&amp;10^9*INDEX(Tab_DaBa[],MATCH(CONCATENATE(Liste!$C$3,$B$3389,$B$3475),Data!$BO:$BO,0)-2,41)&amp;"E-9","")),"")</f>
        <v>PFH [1/h] = 24,7E-9</v>
      </c>
      <c r="E3489" s="37"/>
      <c r="F3489" s="35" t="str">
        <f ca="1">IFERROR(IF(AND(INDEX(Tab_DaBa[],MATCH(CONCATENATE(Liste!$C$3,$B$3389,$B$3475),Data!$BO:$BO,0)-2,38)&lt;&gt;"",INDEX(Tab_DaBa[],MATCH(CONCATENATE(Liste!$C$3,$B$3389,$B$3475),Data!$BO:$BO,0)-2,43)=""),"PFH [1/h] = "&amp;10^9*INDEX(Tab_DaBa[],MATCH(CONCATENATE(Liste!$C$3,$B$3389,$B$3475),Data!$BO:$BO,0)-2,16)&amp;"E-9",IF(INDEX(Tab_DaBa[],MATCH(CONCATENATE(Liste!$C$3,$B$3389,$B$3475),Data!$BO:$BO,0)-2,38)&lt;&gt;"","PFH [1/h] = "&amp;10^9*INDEX(Tab_DaBa[],MATCH(CONCATENATE(Liste!$C$3,$B$3389,$B$3475),Data!$BO:$BO,0)-2,46)&amp;"E-9","")),"")</f>
        <v/>
      </c>
      <c r="G3489" s="39"/>
      <c r="H3489" s="35" t="str">
        <f ca="1">IFERROR(IF(AND(INDEX(Tab_DaBa[],MATCH(CONCATENATE(Liste!$C$3,$B$3389,$B$3475),Data!$BO:$BO,0)-2,43)&lt;&gt;"",INDEX(Tab_DaBa[],MATCH(CONCATENATE(Liste!$C$3,$B$3389,$B$3475),Data!$BO:$BO,0)-2,48)=""),"PFH [1/h] = "&amp;10^9*INDEX(Tab_DaBa[],MATCH(CONCATENATE(Liste!$C$3,$B$3389,$B$3475),Data!$BO:$BO,0)-2,16)&amp;"E-9",IF(INDEX(Tab_DaBa[],MATCH(CONCATENATE(Liste!$C$3,$B$3389,$B$3475),Data!$BO:$BO,0)-2,43)&lt;&gt;"","PFH [1/h] = "&amp;10^9*INDEX(Tab_DaBa[],MATCH(CONCATENATE(Liste!$C$3,$B$3389,$B$3475),Data!$BO:$BO,0)-2,51)&amp;"E-9","")),"")</f>
        <v/>
      </c>
      <c r="I3489" s="39"/>
    </row>
    <row r="3490" spans="2:9" s="16" customFormat="1">
      <c r="B3490" s="33"/>
      <c r="C3490" s="33"/>
      <c r="D3490" s="33"/>
      <c r="E3490" s="33"/>
      <c r="F3490" s="33"/>
      <c r="G3490" s="33"/>
      <c r="H3490" s="33"/>
      <c r="I3490" s="33"/>
    </row>
    <row r="3491" spans="2:9" s="16" customFormat="1" ht="15.75">
      <c r="B3491" s="38" t="str">
        <f ca="1">IF(B3493="","",6)</f>
        <v/>
      </c>
      <c r="C3491" s="33"/>
      <c r="D3491" s="38" t="str">
        <f ca="1">IF(B3493="","",3)</f>
        <v/>
      </c>
      <c r="E3491" s="33"/>
      <c r="F3491" s="38" t="str">
        <f ca="1">IF(B3493="","",3)</f>
        <v/>
      </c>
      <c r="G3491" s="33"/>
      <c r="H3491" s="38" t="str">
        <f ca="1">IF(B3493="","",3)</f>
        <v/>
      </c>
      <c r="I3491" s="33"/>
    </row>
    <row r="3492" spans="2:9" s="16" customFormat="1" ht="15.75">
      <c r="B3492" s="39"/>
      <c r="C3492" s="33"/>
      <c r="D3492" s="33"/>
      <c r="E3492" s="33"/>
      <c r="F3492" s="33"/>
      <c r="G3492" s="33"/>
      <c r="H3492" s="33"/>
      <c r="I3492" s="33"/>
    </row>
    <row r="3493" spans="2:9" s="16" customFormat="1" ht="15.75">
      <c r="B3493" s="35" t="str">
        <f ca="1">IFERROR(IF(AND(INDEX(Tab_DaBa[],MATCH(CONCATENATE(Liste!$C$3,$B$3389,$B$3475),Data!$BO:$BO,0)-2,48)&lt;&gt;"",INDEX(Tab_DaBa[],MATCH(CONCATENATE(Liste!$C$3,$B$3389,$B$3475),Data!$BO:$BO,0)-2,53)=0),INDEX(Tab_DaBa[],MATCH(CONCATENATE(Liste!$C$3,$B$3389,$B$3475),Data!$BO:$BO,0)-2,14),IF(INDEX(Tab_DaBa[],MATCH(CONCATENATE(Liste!$C$3,$B$3389,$B$3475),Data!$BO:$BO,0)-2,48)&lt;&gt;"",INDEX(Tab_DaBa[],MATCH(CONCATENATE(Liste!$C$3,$B$3389,$B$3475),Data!$BO:$BO,0)-2,54),"")),"")</f>
        <v/>
      </c>
      <c r="C3493" s="39"/>
      <c r="D3493" s="35" t="str">
        <f ca="1">IFERROR(IF(AND(INDEX(Tab_DaBa[],MATCH(CONCATENATE(Liste!$C$3,$B$3389,$B$3475),Data!$BO:$BO,0)-2,53)&lt;&gt;"",INDEX(Tab_DaBa[],MATCH(CONCATENATE(Liste!$C$3,$B$3389,$B$3475),Data!$BO:$BO,0)-2,58)=0),INDEX(Tab_DaBa[],MATCH(CONCATENATE(Liste!$C$3,$B$3389,$B$3475),Data!$BO:$BO,0)-2,14),IF(INDEX(Tab_DaBa[],MATCH(CONCATENATE(Liste!$C$3,$B$3389,$B$3475),Data!$BO:$BO,0)-2,53)&lt;&gt;"",INDEX(Tab_DaBa[],MATCH(CONCATENATE(Liste!$C$3,$B$3389,$B$3475),Data!$BO:$BO,0)-2,59),"")),"")</f>
        <v/>
      </c>
      <c r="E3493" s="33"/>
      <c r="F3493" s="35" t="str">
        <f ca="1">IFERROR(IF(AND(INDEX(Tab_DaBa[],MATCH(CONCATENATE(Liste!$C$3,$B$3389,$B$3475),Data!$BO:$BO,0)-2,58)&lt;&gt;"",INDEX(Tab_DaBa[],MATCH(CONCATENATE(Liste!$C$3,$B$3389,$B$3475),Data!$BO:$BO,0)-2,63)=0),INDEX(Tab_DaBa[],MATCH(CONCATENATE(Liste!$C$3,$B$3389,$B$3475),Data!$BO:$BO,0)-2,14),IF(INDEX(Tab_DaBa[],MATCH(CONCATENATE(Liste!$C$3,$B$3389,$B$3475),Data!$BO:$BO,0)-2,58)&lt;&gt;"",INDEX(Tab_DaBa[],MATCH(CONCATENATE(Liste!$C$3,$B$3389,$B$3475),Data!$BO:$BO,0)-2,64),"")),"")</f>
        <v/>
      </c>
      <c r="G3493" s="39"/>
      <c r="H3493" s="35" t="str">
        <f ca="1">IFERROR(IF(INDEX(Tab_DaBa[],MATCH(CONCATENATE(Liste!$C$3,$B$3389,$B$3475),Data!$BO:$BO,0)-2,63)&lt;&gt;"",INDEX(Tab_DaBa[],MATCH(CONCATENATE(Liste!$C$3,$B$3389,$B$3475),Data!$BO:$BO,0)-2,14),""),"")</f>
        <v/>
      </c>
    </row>
    <row r="3494" spans="2:9" s="16" customFormat="1" ht="15.75">
      <c r="B3494" s="35" t="str">
        <f ca="1">IFERROR(IF(AND(INDEX(Tab_DaBa[],MATCH(CONCATENATE(Liste!$C$3,$B$3389,$B$3475),Data!$BO:$BO,0)-2,48)&lt;&gt;"",INDEX(Tab_DaBa[],MATCH(CONCATENATE(Liste!$C$3,$B$3389,$B$3475),Data!$BO:$BO,0)-2,53)=0),INDEX(Tab_DaBa[],MATCH(CONCATENATE(Liste!$C$3,$B$3389,$B$3475),Data!$BO:$BO,0)-2,12),IF(INDEX(Tab_DaBa[],MATCH(CONCATENATE(Liste!$C$3,$B$3389,$B$3475),Data!$BO:$BO,0)-2,48)&lt;&gt;"",INDEX(Tab_DaBa[],MATCH(CONCATENATE(Liste!$C$3,$B$3389,$B$3475),Data!$BO:$BO,0)-2,52),"")),"")</f>
        <v/>
      </c>
      <c r="C3494" s="39"/>
      <c r="D3494" s="35" t="str">
        <f ca="1">IFERROR(IF(AND(INDEX(Tab_DaBa[],MATCH(CONCATENATE(Liste!$C$3,$B$3389,$B$3475),Data!$BO:$BO,0)-2,53)&lt;&gt;"",INDEX(Tab_DaBa[],MATCH(CONCATENATE(Liste!$C$3,$B$3389,$B$3475),Data!$BO:$BO,0)-2,58)=0),INDEX(Tab_DaBa[],MATCH(CONCATENATE(Liste!$C$3,$B$3389,$B$3475),Data!$BO:$BO,0)-2,12),IF(INDEX(Tab_DaBa[],MATCH(CONCATENATE(Liste!$C$3,$B$3389,$B$3475),Data!$BO:$BO,0)-2,53)&lt;&gt;"",INDEX(Tab_DaBa[],MATCH(CONCATENATE(Liste!$C$3,$B$3389,$B$3475),Data!$BO:$BO,0)-2,57),"")),"")</f>
        <v/>
      </c>
      <c r="E3494" s="37"/>
      <c r="F3494" s="35" t="str">
        <f ca="1">IFERROR(IF(AND(INDEX(Tab_DaBa[],MATCH(CONCATENATE(Liste!$C$3,$B$3389,$B$3475),Data!$BO:$BO,0)-2,58)&lt;&gt;"",INDEX(Tab_DaBa[],MATCH(CONCATENATE(Liste!$C$3,$B$3389,$B$3475),Data!$BO:$BO,0)-2,63)=0),INDEX(Tab_DaBa[],MATCH(CONCATENATE(Liste!$C$3,$B$3389,$B$3475),Data!$BO:$BO,0)-2,12),IF(INDEX(Tab_DaBa[],MATCH(CONCATENATE(Liste!$C$3,$B$3389,$B$3475),Data!$BO:$BO,0)-2,58)&lt;&gt;"",INDEX(Tab_DaBa[],MATCH(CONCATENATE(Liste!$C$3,$B$3389,$B$3475),Data!$BO:$BO,0)-2,62),"")),"")</f>
        <v/>
      </c>
      <c r="G3494" s="39"/>
      <c r="H3494" s="35" t="str">
        <f ca="1">IFERROR(IF(INDEX(Tab_DaBa[],MATCH(CONCATENATE(Liste!$C$3,$B$3389,$B$3475),Data!$BO:$BO,0)-2,63)&lt;&gt;"",INDEX(Tab_DaBa[],MATCH(CONCATENATE(Liste!$C$3,$B$3389,$B$3475),Data!$BO:$BO,0)-2,12),""),"")</f>
        <v/>
      </c>
    </row>
    <row r="3495" spans="2:9" s="16" customFormat="1" ht="15.75">
      <c r="B3495" s="35" t="str">
        <f ca="1">IFERROR(IF(AND(INDEX(Tab_DaBa[],MATCH(CONCATENATE(Liste!$C$3,$B$3389,$B$3475),Data!$BO:$BO,0)-2,48)&lt;&gt;"",INDEX(Tab_DaBa[],MATCH(CONCATENATE(Liste!$C$3,$B$3389,$B$3475),Data!$BO:$BO,0)-2,53)=""),INDEX(Tab_DaBa[],MATCH(CONCATENATE(Liste!$C$3,$B$3389,$B$3475),Data!$BO:$BO,0)-2,13),IF(INDEX(Tab_DaBa[],MATCH(CONCATENATE(Liste!$C$3,$B$3389,$B$3475),Data!$BO:$BO,0)-2,48)&lt;&gt;"",INDEX(Tab_DaBa[],MATCH(CONCATENATE(Liste!$C$3,$B$3389,$B$3475),Data!$BO:$BO,0)-2,53),"")),"")</f>
        <v/>
      </c>
      <c r="C3495" s="38" t="str">
        <f ca="1">IF(D3493="","",4)</f>
        <v/>
      </c>
      <c r="D3495" s="35" t="str">
        <f ca="1">IFERROR(IF(AND(INDEX(Tab_DaBa[],MATCH(CONCATENATE(Liste!$C$3,$B$3389,$B$3475),Data!$BO:$BO,0)-2,53)&lt;&gt;"",INDEX(Tab_DaBa[],MATCH(CONCATENATE(Liste!$C$3,$B$3389,$B$3475),Data!$BO:$BO,0)-2,58)=""),INDEX(Tab_DaBa[],MATCH(CONCATENATE(Liste!$C$3,$B$3389,$B$3475),Data!$BO:$BO,0)-2,13),IF(INDEX(Tab_DaBa[],MATCH(CONCATENATE(Liste!$C$3,$B$3389,$B$3475),Data!$BO:$BO,0)-2,53)&lt;&gt;"",INDEX(Tab_DaBa[],MATCH(CONCATENATE(Liste!$C$3,$B$3389,$B$3475),Data!$BO:$BO,0)-2,58),"")),"")</f>
        <v/>
      </c>
      <c r="E3495" s="38" t="str">
        <f ca="1">IF(F3493="","",4)</f>
        <v/>
      </c>
      <c r="F3495" s="35" t="str">
        <f ca="1">IFERROR(IF(AND(INDEX(Tab_DaBa[],MATCH(CONCATENATE(Liste!$C$3,$B$3389,$B$3475),Data!$BO:$BO,0)-2,58)&lt;&gt;"",INDEX(Tab_DaBa[],MATCH(CONCATENATE(Liste!$C$3,$B$3389,$B$3475),Data!$BO:$BO,0)-2,63)=""),INDEX(Tab_DaBa[],MATCH(CONCATENATE(Liste!$C$3,$B$3389,$B$3475),Data!$BO:$BO,0)-2,13),IF(INDEX(Tab_DaBa[],MATCH(CONCATENATE(Liste!$C$3,$B$3389,$B$3475),Data!$BO:$BO,0)-2,58)&lt;&gt;"",INDEX(Tab_DaBa[],MATCH(CONCATENATE(Liste!$C$3,$B$3389,$B$3475),Data!$BO:$BO,0)-2,63),"")),"")</f>
        <v/>
      </c>
      <c r="G3495" s="38" t="str">
        <f ca="1">IF(H3493="","",4)</f>
        <v/>
      </c>
      <c r="H3495" s="35" t="str">
        <f ca="1">IFERROR(IF(INDEX(Tab_DaBa[],MATCH(CONCATENATE(Liste!$C$3,$B$3389,$B$3475),Data!$BO:$BO,0)-2,63)&lt;&gt;"",INDEX(Tab_DaBa[],MATCH(CONCATENATE(Liste!$C$3,$B$3389,$B$3475),Data!$BO:$BO,0)-2,13),""),"")</f>
        <v/>
      </c>
    </row>
    <row r="3496" spans="2:9" s="16" customFormat="1" ht="15.75">
      <c r="B3496" s="35" t="str">
        <f ca="1">IFERROR(IF(AND(INDEX(Tab_DaBa[],MATCH(CONCATENATE(Liste!$C$3,$B$3389,$B$3475),Data!$BO:$BO,0)-2,48)&lt;&gt;"",INDEX(Tab_DaBa[],MATCH(CONCATENATE(Liste!$C$3,$B$3389,$B$3475),Data!$BO:$BO,0)-2,53)=""),"Performance Level: "&amp;INDEX(Tab_DaBa[],MATCH(CONCATENATE(Liste!$C$3,$B$3389,$B$3475),Data!$BO:$BO,0)-2,15),IF(INDEX(Tab_DaBa[],MATCH(CONCATENATE(Liste!$C$3,$B$3389,$B$3475),Data!$BO:$BO,0)-2,48)&lt;&gt;"","Performance Level: "&amp;INDEX(Tab_DaBa[],MATCH(CONCATENATE(Liste!$C$3,$B$3389,$B$3475),Data!$BO:$BO,0)-2,55),"")),"")</f>
        <v/>
      </c>
      <c r="C3496" s="39"/>
      <c r="D3496" s="35" t="str">
        <f ca="1">IFERROR(IF(AND(INDEX(Tab_DaBa[],MATCH(CONCATENATE(Liste!$C$3,$B$3389,$B$3475),Data!$BO:$BO,0)-2,53)&lt;&gt;"",INDEX(Tab_DaBa[],MATCH(CONCATENATE(Liste!$C$3,$B$3389,$B$3475),Data!$BO:$BO,0)-2,58)=""),"Performance Level: "&amp;INDEX(Tab_DaBa[],MATCH(CONCATENATE(Liste!$C$3,$B$3389,$B$3475),Data!$BO:$BO,0)-2,15),IF(INDEX(Tab_DaBa[],MATCH(CONCATENATE(Liste!$C$3,$B$3389,$B$3475),Data!$BO:$BO,0)-2,53)&lt;&gt;"","Performance Level: "&amp;INDEX(Tab_DaBa[],MATCH(CONCATENATE(Liste!$C$3,$B$3389,$B$3475),Data!$BO:$BO,0)-2,60),"")),"")</f>
        <v/>
      </c>
      <c r="E3496" s="37"/>
      <c r="F3496" s="35" t="str">
        <f ca="1">IFERROR(IF(AND(INDEX(Tab_DaBa[],MATCH(CONCATENATE(Liste!$C$3,$B$3389,$B$3475),Data!$BO:$BO,0)-2,58)&lt;&gt;"",INDEX(Tab_DaBa[],MATCH(CONCATENATE(Liste!$C$3,$B$3389,$B$3475),Data!$BO:$BO,0)-2,63)=""),"Performance Level: "&amp;INDEX(Tab_DaBa[],MATCH(CONCATENATE(Liste!$C$3,$B$3389,$B$3475),Data!$BO:$BO,0)-2,15),IF(INDEX(Tab_DaBa[],MATCH(CONCATENATE(Liste!$C$3,$B$3389,$B$3475),Data!$BO:$BO,0)-2,58)&lt;&gt;"","Performance Level: "&amp;INDEX(Tab_DaBa[],MATCH(CONCATENATE(Liste!$C$3,$B$3389,$B$3475),Data!$BO:$BO,0)-2,65),"")),"")</f>
        <v/>
      </c>
      <c r="G3496" s="39"/>
      <c r="H3496" s="35" t="str">
        <f ca="1">IFERROR(IF(INDEX(Tab_DaBa[],MATCH(CONCATENATE(Liste!$C$3,$B$3389,$B$3475),Data!$BO:$BO,0)-2,63)&lt;&gt;"","Performance Level: "&amp;INDEX(Tab_DaBa[],MATCH(CONCATENATE(Liste!$C$3,$B$3389,$B$3475),Data!$BO:$BO,0)-2,15),""),"")</f>
        <v/>
      </c>
    </row>
    <row r="3497" spans="2:9" s="16" customFormat="1" ht="15.75">
      <c r="B3497" s="35" t="str">
        <f ca="1">IFERROR(IF(AND(INDEX(Tab_DaBa[],MATCH(CONCATENATE(Liste!$C$3,$B$3389,$B$3475),Data!$BO:$BO,0)-2,48)&lt;&gt;"",INDEX(Tab_DaBa[],MATCH(CONCATENATE(Liste!$C$3,$B$3389,$B$3475),Data!$BO:$BO,0)-2,53)=""),"PFH [1/h] = "&amp;10^9*INDEX(Tab_DaBa[],MATCH(CONCATENATE(Liste!$C$3,$B$3389,$B$3475),Data!$BO:$BO,0)-2,16)&amp;"E-9",IF(INDEX(Tab_DaBa[],MATCH(CONCATENATE(Liste!$C$3,$B$3389,$B$3475),Data!$BO:$BO,0)-2,48)&lt;&gt;"","PFH [1/h] = "&amp;10^9*INDEX(Tab_DaBa[],MATCH(CONCATENATE(Liste!$C$3,$B$3389,$B$3475),Data!$BO:$BO,0)-2,56)&amp;"E-9","")),"")</f>
        <v/>
      </c>
      <c r="C3497" s="39"/>
      <c r="D3497" s="35" t="str">
        <f ca="1">IFERROR(IF(AND(INDEX(Tab_DaBa[],MATCH(CONCATENATE(Liste!$C$3,$B$3389,$B$3475),Data!$BO:$BO,0)-2,53)&lt;&gt;"",INDEX(Tab_DaBa[],MATCH(CONCATENATE(Liste!$C$3,$B$3389,$B$3475),Data!$BO:$BO,0)-2,58)=""),"PFH [1/h] = "&amp;10^9*INDEX(Tab_DaBa[],MATCH(CONCATENATE(Liste!$C$3,$B$3389,$B$3475),Data!$BO:$BO,0)-2,16)&amp;"E-9",IF(INDEX(Tab_DaBa[],MATCH(CONCATENATE(Liste!$C$3,$B$3389,$B$3475),Data!$BO:$BO,0)-2,53)&lt;&gt;"","PFH [1/h] = "&amp;10^9*INDEX(Tab_DaBa[],MATCH(CONCATENATE(Liste!$C$3,$B$3389,$B$3475),Data!$BO:$BO,0)-2,61)&amp;"E-9","")),"")</f>
        <v/>
      </c>
      <c r="E3497" s="37"/>
      <c r="F3497" s="35" t="str">
        <f ca="1">IFERROR(IF(AND(INDEX(Tab_DaBa[],MATCH(CONCATENATE(Liste!$C$3,$B$3389,$B$3475),Data!$BO:$BO,0)-2,58)&lt;&gt;"",INDEX(Tab_DaBa[],MATCH(CONCATENATE(Liste!$C$3,$B$3389,$B$3475),Data!$BO:$BO,0)-2,63)=""),"PFH [1/h] = "&amp;10^9*INDEX(Tab_DaBa[],MATCH(CONCATENATE(Liste!$C$3,$B$3389,$B$3475),Data!$BO:$BO,0)-2,16)&amp;"E-9",IF(INDEX(Tab_DaBa[],MATCH(CONCATENATE(Liste!$C$3,$B$3389,$B$3475),Data!$BO:$BO,0)-2,58)&lt;&gt;"","PFH [1/h] = "&amp;10^9*INDEX(Tab_DaBa[],MATCH(CONCATENATE(Liste!$C$3,$B$3389,$B$3475),Data!$BO:$BO,0)-2,66)&amp;"E-9","")),"")</f>
        <v/>
      </c>
      <c r="G3497" s="39"/>
      <c r="H3497" s="35" t="str">
        <f ca="1">IFERROR(IF(INDEX(Tab_DaBa[],MATCH(CONCATENATE(Liste!$C$3,$B$3389,$B$3475),Data!$BO:$BO,0)-2,63)&lt;&gt;"","PFH [1/h] = "&amp;10^9*INDEX(Tab_DaBa[],MATCH(CONCATENATE(Liste!$C$3,$B$3389,$B$3475),Data!$BO:$BO,0)-2,16)&amp;"E-9",""),"")</f>
        <v/>
      </c>
    </row>
    <row r="3498" spans="2:9" s="16" customFormat="1"/>
    <row r="3499" spans="2:9" s="16" customFormat="1">
      <c r="B3499" s="43" t="str">
        <f ca="1">IF(D3499="","","Erforderlich")</f>
        <v>Erforderlich</v>
      </c>
      <c r="D3499" s="44" t="str">
        <f ca="1">IFERROR("Performance Level: "&amp;INDEX(Tab_DaBa[],MATCH(CONCATENATE(Liste!$C$3,$B$3389,$B$3475),Data!$BO:$BO,0)-2,4),"")</f>
        <v>Performance Level: PLr_ges4_4</v>
      </c>
    </row>
    <row r="3500" spans="2:9" s="16" customFormat="1">
      <c r="B3500" s="45"/>
    </row>
    <row r="3501" spans="2:9" s="16" customFormat="1">
      <c r="B3501" s="46" t="str">
        <f ca="1">IF(D3501="","","Erreicht")</f>
        <v>Erreicht</v>
      </c>
      <c r="D3501" s="47" t="str">
        <f ca="1">IFERROR("Performance Level: "&amp;INDEX(Tab_DaBa[],MATCH(CONCATENATE(Liste!$C$3,$B$3389,$B$3475),Data!$BO:$BO,0)-2,5)&amp;"          PFH [1/h] = "&amp;10^9*INDEX(Tab_DaBa[],MATCH(CONCATENATE(Liste!$C$3,$B$3389,$B$3475),Data!$BO:$BO,0)-2,6)&amp;"E-9","")</f>
        <v>Performance Level: Pl_ges4_4          PFH [1/h] = 71,7E-9</v>
      </c>
    </row>
    <row r="3502" spans="2:9" s="16" customFormat="1"/>
    <row r="3503" spans="2:9" s="16" customFormat="1">
      <c r="B3503" s="42" t="str">
        <f ca="1">IFERROR(IF(5&gt;COUNTIF(Data!$BP:$BP,CONCATENATE(Liste!$C$3,$B$3389)),"",INDEX(Tab_DaBa[],MATCH(CONCATENATE(Liste!$C$3,$B$3389),Data!$BP:$BP,0)+2,3)),"")</f>
        <v>13.5 Test13 (E+5L+A)</v>
      </c>
    </row>
    <row r="3504" spans="2:9" s="16" customFormat="1"/>
    <row r="3505" spans="2:9" s="16" customFormat="1" ht="15.75">
      <c r="B3505" s="35" t="str">
        <f ca="1">IFERROR(INDEX(Tab_DaBa[],MATCH(CONCATENATE(Liste!$C$3,$B$3389,$B$3503),Data!$BO:$BO,0)-2,9),"")</f>
        <v>Eingang</v>
      </c>
      <c r="C3505" s="54"/>
      <c r="D3505" s="35" t="str">
        <f ca="1">IFERROR(IF(INDEX(Tab_DaBa[],MATCH(CONCATENATE(Liste!$C$3,$B$3389,$B$3503),Data!$BO:$BO,0)-2,18)=0,INDEX(Tab_DaBa[],MATCH(CONCATENATE(Liste!$C$3,$B$3389,$B$3503),Data!$BO:$BO,0)-2,14),INDEX(Tab_DaBa[],MATCH(CONCATENATE(Liste!$C$3,$B$3389,$B$3503),Data!$BO:$BO,0)-2,19)),"")</f>
        <v>Logik 01</v>
      </c>
      <c r="E3505" s="33"/>
      <c r="F3505" s="35" t="str">
        <f ca="1">IFERROR(IF(AND(INDEX(Tab_DaBa[],MATCH(CONCATENATE(Liste!$C$3,$B$3389,$B$3503),Data!$BO:$BO,0)-2,18)&lt;&gt;"",INDEX(Tab_DaBa[],MATCH(CONCATENATE(Liste!$C$3,$B$3389,$B$3503),Data!$BO:$BO,0)-2,23)=0),INDEX(Tab_DaBa[],MATCH(CONCATENATE(Liste!$C$3,$B$3389,$B$3503),Data!$BO:$BO,0)-2,14),IF(INDEX(Tab_DaBa[],MATCH(CONCATENATE(Liste!$C$3,$B$3389,$B$3503),Data!$BO:$BO,0)-2,23)&lt;&gt;"",INDEX(Tab_DaBa[],MATCH(CONCATENATE(Liste!$C$3,$B$3389,$B$3503),Data!$BO:$BO,0)-2,24),"")),"")</f>
        <v>Logik 02</v>
      </c>
      <c r="G3505" s="39"/>
      <c r="H3505" s="35" t="str">
        <f ca="1">IFERROR(IF(AND(INDEX(Tab_DaBa[],MATCH(CONCATENATE(Liste!$C$3,$B$3389,$B$3503),Data!$BO:$BO,0)-2,23)&lt;&gt;"",INDEX(Tab_DaBa[],MATCH(CONCATENATE(Liste!$C$3,$B$3389,$B$3503),Data!$BO:$BO,0)-2,28)=0),INDEX(Tab_DaBa[],MATCH(CONCATENATE(Liste!$C$3,$B$3389,$B$3503),Data!$BO:$BO,0)-2,14),IF(INDEX(Tab_DaBa[],MATCH(CONCATENATE(Liste!$C$3,$B$3389,$B$3503),Data!$BO:$BO,0)-2,23)&lt;&gt;"",INDEX(Tab_DaBa[],MATCH(CONCATENATE(Liste!$C$3,$B$3389,$B$3503),Data!$BO:$BO,0)-2,29),"")),"")</f>
        <v>Logik 03</v>
      </c>
      <c r="I3505" s="39"/>
    </row>
    <row r="3506" spans="2:9" s="16" customFormat="1" ht="15.75">
      <c r="B3506" s="35" t="str">
        <f ca="1">IFERROR(INDEX(Tab_DaBa[],MATCH(CONCATENATE(Liste!$C$3,$B$3389,$B$3503),Data!$BO:$BO,0)-2,7),"")</f>
        <v>eeee-33_5</v>
      </c>
      <c r="C3506" s="54"/>
      <c r="D3506" s="35" t="str">
        <f ca="1">IFERROR(IF(INDEX(Tab_DaBa[],MATCH(CONCATENATE(Liste!$C$3,$B$3389,$B$3503),Data!$BO:$BO,0)-2,18)="",INDEX(Tab_DaBa[],MATCH(CONCATENATE(Liste!$C$3,$B$3389,$B$3503),Data!$BO:$BO,0)-2,12),INDEX(Tab_DaBa[],MATCH(CONCATENATE(Liste!$C$3,$B$3389,$B$3503),Data!$BO:$BO,0)-2,17)),"")</f>
        <v>Log01-04_05</v>
      </c>
      <c r="E3506" s="36"/>
      <c r="F3506" s="35" t="str">
        <f ca="1">IFERROR(IF(AND(INDEX(Tab_DaBa[],MATCH(CONCATENATE(Liste!$C$3,$B$3389,$B$3503),Data!$BO:$BO,0)-2,18)&lt;&gt;"",INDEX(Tab_DaBa[],MATCH(CONCATENATE(Liste!$C$3,$B$3389,$B$3503),Data!$BO:$BO,0)-2,23)=0),INDEX(Tab_DaBa[],MATCH(CONCATENATE(Liste!$C$3,$B$3389,$B$3503),Data!$BO:$BO,0)-2,12),IF(INDEX(Tab_DaBa[],MATCH(CONCATENATE(Liste!$C$3,$B$3389,$B$3503),Data!$BO:$BO,0)-2,23)&lt;&gt;"",INDEX(Tab_DaBa[],MATCH(CONCATENATE(Liste!$C$3,$B$3389,$B$3503),Data!$BO:$BO,0)-2,22),"")),"")</f>
        <v>Lo04-04_05</v>
      </c>
      <c r="G3506" s="39"/>
      <c r="H3506" s="35" t="str">
        <f ca="1">IFERROR(IF(AND(INDEX(Tab_DaBa[],MATCH(CONCATENATE(Liste!$C$3,$B$3389,$B$3503),Data!$BO:$BO,0)-2,23)&lt;&gt;"",INDEX(Tab_DaBa[],MATCH(CONCATENATE(Liste!$C$3,$B$3389,$B$3503),Data!$BO:$BO,0)-2,28)=0),INDEX(Tab_DaBa[],MATCH(CONCATENATE(Liste!$C$3,$B$3389,$B$3503),Data!$BO:$BO,0)-2,12),IF(INDEX(Tab_DaBa[],MATCH(CONCATENATE(Liste!$C$3,$B$3389,$B$3503),Data!$BO:$BO,0)-2,23)&lt;&gt;"",INDEX(Tab_DaBa[],MATCH(CONCATENATE(Liste!$C$3,$B$3389,$B$3503),Data!$BO:$BO,0)-2,27),"")),"")</f>
        <v>Lo04-44_05</v>
      </c>
      <c r="I3506" s="39"/>
    </row>
    <row r="3507" spans="2:9" s="16" customFormat="1" ht="15.75">
      <c r="B3507" s="35" t="str">
        <f ca="1">IFERROR(INDEX(Tab_DaBa[],MATCH(CONCATENATE(Liste!$C$3,$B$3389,$B$3503),Data!$BO:$BO,0)-2,8),"")</f>
        <v>Bez_Ein4_5</v>
      </c>
      <c r="C3507" s="40">
        <f ca="1">IF(D3505="","",4)</f>
        <v>4</v>
      </c>
      <c r="D3507" s="35" t="str">
        <f ca="1">IFERROR(IF(INDEX(Tab_DaBa[],MATCH(CONCATENATE(Liste!$C$3,$B$3389,$B$3503),Data!$BO:$BO,0)-2,18)="",INDEX(Tab_DaBa[],MATCH(CONCATENATE(Liste!$C$3,$B$3389,$B$3503),Data!$BO:$BO,0)-2,13),INDEX(Tab_DaBa[],MATCH(CONCATENATE(Liste!$C$3,$B$3389,$B$3503),Data!$BO:$BO,0)-2,18)),"")</f>
        <v>Bez_Log01_04_05</v>
      </c>
      <c r="E3507" s="40">
        <f ca="1">IF(F3505="","",4)</f>
        <v>4</v>
      </c>
      <c r="F3507" s="35" t="str">
        <f ca="1">IFERROR(IF(AND(INDEX(Tab_DaBa[],MATCH(CONCATENATE(Liste!$C$3,$B$3389,$B$3503),Data!$BO:$BO,0)-2,18)&lt;&gt;"",INDEX(Tab_DaBa[],MATCH(CONCATENATE(Liste!$C$3,$B$3389,$B$3503),Data!$BO:$BO,0)-2,23)=""),INDEX(Tab_DaBa[],MATCH(CONCATENATE(Liste!$C$3,$B$3389,$B$3503),Data!$BO:$BO,0)-2,13),IF(INDEX(Tab_DaBa[],MATCH(CONCATENATE(Liste!$C$3,$B$3389,$B$3503),Data!$BO:$BO,0)-2,23)&lt;&gt;"",INDEX(Tab_DaBa[],MATCH(CONCATENATE(Liste!$C$3,$B$3389,$B$3503),Data!$BO:$BO,0)-2,23),"")),"")</f>
        <v>Bez_Lo04_05</v>
      </c>
      <c r="G3507" s="38">
        <f ca="1">IF(H3505="","",4)</f>
        <v>4</v>
      </c>
      <c r="H3507" s="35" t="str">
        <f ca="1">IFERROR(IF(AND(INDEX(Tab_DaBa[],MATCH(CONCATENATE(Liste!$C$3,$B$3389,$B$3503),Data!$BO:$BO,0)-2,23)&lt;&gt;"",INDEX(Tab_DaBa[],MATCH(CONCATENATE(Liste!$C$3,$B$3389,$B$3503),Data!$BO:$BO,0)-2,28)=""),INDEX(Tab_DaBa[],MATCH(CONCATENATE(Liste!$C$3,$B$3389,$B$3503),Data!$BO:$BO,0)-2,13),IF(INDEX(Tab_DaBa[],MATCH(CONCATENATE(Liste!$C$3,$B$3389,$B$3503),Data!$BO:$BO,0)-2,23)&lt;&gt;"",INDEX(Tab_DaBa[],MATCH(CONCATENATE(Liste!$C$3,$B$3389,$B$3503),Data!$BO:$BO,0)-2,28),"")),"")</f>
        <v>Bez_Lo04_05</v>
      </c>
      <c r="I3507" s="38">
        <f ca="1">IF(B3513="","",6)</f>
        <v>6</v>
      </c>
    </row>
    <row r="3508" spans="2:9" s="16" customFormat="1" ht="15.75">
      <c r="B3508" s="35" t="str">
        <f ca="1">IFERROR("Performance Level: "&amp;INDEX(Tab_DaBa[],MATCH(CONCATENATE(Liste!$C$3,$B$3389,$B$3503),Data!$BO:$BO,0)-2,10),"")</f>
        <v>Performance Level: PL_Ein4_5</v>
      </c>
      <c r="C3508" s="54"/>
      <c r="D3508" s="35" t="str">
        <f ca="1">IFERROR(IF(INDEX(Tab_DaBa[],MATCH(CONCATENATE(Liste!$C$3,$B$3389,$B$3503),Data!$BO:$BO,0)-2,18)="","Performance Level: "&amp;INDEX(Tab_DaBa[],MATCH(CONCATENATE(Liste!$C$3,$B$3389,$B$3503),Data!$BO:$BO,0)-2,15),"Performance Level: "&amp;INDEX(Tab_DaBa[],MATCH(CONCATENATE(Liste!$C$3,$B$3389,$B$3503),Data!$BO:$BO,0)-2,20)),"")</f>
        <v>Performance Level: PL_Log01_04_05</v>
      </c>
      <c r="E3508" s="36"/>
      <c r="F3508" s="35" t="str">
        <f ca="1">IFERROR(IF(AND(INDEX(Tab_DaBa[],MATCH(CONCATENATE(Liste!$C$3,$B$3389,$B$3503),Data!$BO:$BO,0)-2,18)&lt;&gt;"",INDEX(Tab_DaBa[],MATCH(CONCATENATE(Liste!$C$3,$B$3389,$B$3503),Data!$BO:$BO,0)-2,23)=""),"Performance Level: "&amp;INDEX(Tab_DaBa[],MATCH(CONCATENATE(Liste!$C$3,$B$3389,$B$3503),Data!$BO:$BO,0)-2,15),IF(INDEX(Tab_DaBa[],MATCH(CONCATENATE(Liste!$C$3,$B$3389,$B$3503),Data!$BO:$BO,0)-2,23)&lt;&gt;"","Performance Level: "&amp;INDEX(Tab_DaBa[],MATCH(CONCATENATE(Liste!$C$3,$B$3389,$B$3503),Data!$BO:$BO,0)-2,25),"")),"")</f>
        <v>Performance Level: PL_Lo04_05</v>
      </c>
      <c r="G3508" s="39"/>
      <c r="H3508" s="35" t="str">
        <f ca="1">IFERROR(IF(AND(INDEX(Tab_DaBa[],MATCH(CONCATENATE(Liste!$C$3,$B$3389,$B$3503),Data!$BO:$BO,0)-2,23)&lt;&gt;"",INDEX(Tab_DaBa[],MATCH(CONCATENATE(Liste!$C$3,$B$3389,$B$3503),Data!$BO:$BO,0)-2,28)=""),"Performance Level: "&amp;INDEX(Tab_DaBa[],MATCH(CONCATENATE(Liste!$C$3,$B$3389,$B$3503),Data!$BO:$BO,0)-2,15),IF(INDEX(Tab_DaBa[],MATCH(CONCATENATE(Liste!$C$3,$B$3389,$B$3503),Data!$BO:$BO,0)-2,23)&lt;&gt;"","Performance Level: "&amp;INDEX(Tab_DaBa[],MATCH(CONCATENATE(Liste!$C$3,$B$3389,$B$3503),Data!$BO:$BO,0)-2,30),"")),"")</f>
        <v>Performance Level: PL_Lo04_05</v>
      </c>
      <c r="I3508" s="38"/>
    </row>
    <row r="3509" spans="2:9" s="16" customFormat="1" ht="15.75">
      <c r="B3509" s="53" t="str">
        <f ca="1">IFERROR("PFH [1/h] = "&amp;10^9*INDEX(Tab_DaBa[],MATCH(CONCATENATE(Liste!$C$3,$B$3389,$B$3503),Data!$BO:$BO,0)-2,11)&amp;"E-9","")</f>
        <v>PFH [1/h] = 42,9E-9</v>
      </c>
      <c r="C3509" s="54"/>
      <c r="D3509" s="35" t="str">
        <f ca="1">IFERROR(IF(INDEX(Tab_DaBa[],MATCH(CONCATENATE(Liste!$C$3,$B$3389,$B$3503),Data!$BO:$BO,0)-2,18)="","PFH [1/h] = "&amp;10^9*INDEX(Tab_DaBa[],MATCH(CONCATENATE(Liste!$C$3,$B$3389,$B$3503),Data!$BO:$BO,0)-2,16)&amp;"E-9","PFH [1/h] = "&amp;10^9*INDEX(Tab_DaBa[],MATCH(CONCATENATE(Liste!$C$3,$B$3389,$B$3503),Data!$BO:$BO,0)-2,21)&amp;"E-9"),"")</f>
        <v>PFH [1/h] = 4,19E-9</v>
      </c>
      <c r="E3509" s="36"/>
      <c r="F3509" s="35" t="str">
        <f ca="1">IFERROR(IF(AND(INDEX(Tab_DaBa[],MATCH(CONCATENATE(Liste!$C$3,$B$3389,$B$3503),Data!$BO:$BO,0)-2,18)&lt;&gt;"",INDEX(Tab_DaBa[],MATCH(CONCATENATE(Liste!$C$3,$B$3389,$B$3503),Data!$BO:$BO,0)-2,23)=""),"PFH [1/h] = "&amp;10^9*INDEX(Tab_DaBa[],MATCH(CONCATENATE(Liste!$C$3,$B$3389,$B$3503),Data!$BO:$BO,0)-2,16)&amp;"E-9",IF(INDEX(Tab_DaBa[],MATCH(CONCATENATE(Liste!$C$3,$B$3389,$B$3503),Data!$BO:$BO,0)-2,23)&lt;&gt;"","PFH [1/h] = "&amp;10^9*INDEX(Tab_DaBa[],MATCH(CONCATENATE(Liste!$C$3,$B$3389,$B$3503),Data!$BO:$BO,0)-2,26)&amp;"E-9","")),"")</f>
        <v>PFH [1/h] = 4,19E-9</v>
      </c>
      <c r="G3509" s="39"/>
      <c r="H3509" s="35" t="str">
        <f ca="1">IFERROR(IF(AND(INDEX(Tab_DaBa[],MATCH(CONCATENATE(Liste!$C$3,$B$3389,$B$3503),Data!$BO:$BO,0)-2,23)&lt;&gt;"",INDEX(Tab_DaBa[],MATCH(CONCATENATE(Liste!$C$3,$B$3389,$B$3503),Data!$BO:$BO,0)-2,28)=""),"PFH [1/h] = "&amp;10^9*INDEX(Tab_DaBa[],MATCH(CONCATENATE(Liste!$C$3,$B$3389,$B$3503),Data!$BO:$BO,0)-2,16)&amp;"E-9",IF(INDEX(Tab_DaBa[],MATCH(CONCATENATE(Liste!$C$3,$B$3389,$B$3503),Data!$BO:$BO,0)-2,23)&lt;&gt;"","PFH [1/h] = "&amp;10^9*INDEX(Tab_DaBa[],MATCH(CONCATENATE(Liste!$C$3,$B$3389,$B$3503),Data!$BO:$BO,0)-2,31)&amp;"E-9","")),"")</f>
        <v>PFH [1/h] = 4,19E-9</v>
      </c>
      <c r="I3509" s="39"/>
    </row>
    <row r="3510" spans="2:9" s="16" customFormat="1">
      <c r="B3510" s="33"/>
      <c r="C3510" s="34"/>
      <c r="D3510" s="33"/>
      <c r="E3510" s="33"/>
      <c r="F3510" s="33"/>
      <c r="G3510" s="33"/>
      <c r="H3510" s="33"/>
      <c r="I3510" s="33"/>
    </row>
    <row r="3511" spans="2:9" s="16" customFormat="1" ht="15.75">
      <c r="B3511" s="38">
        <f ca="1">IF(B3513="","",6)</f>
        <v>6</v>
      </c>
      <c r="C3511" s="34"/>
      <c r="D3511" s="38">
        <f ca="1">IF(B3513="","",3)</f>
        <v>3</v>
      </c>
      <c r="E3511" s="33"/>
      <c r="F3511" s="38">
        <f ca="1">IF(B3513="","",3)</f>
        <v>3</v>
      </c>
      <c r="G3511" s="33"/>
      <c r="H3511" s="38">
        <f ca="1">IF(B3513="","",3)</f>
        <v>3</v>
      </c>
      <c r="I3511" s="33"/>
    </row>
    <row r="3512" spans="2:9" s="16" customFormat="1" ht="15.75">
      <c r="B3512" s="39"/>
      <c r="C3512" s="33"/>
      <c r="D3512" s="33"/>
      <c r="E3512" s="33"/>
      <c r="F3512" s="33"/>
      <c r="G3512" s="33"/>
      <c r="H3512" s="33"/>
      <c r="I3512" s="33"/>
    </row>
    <row r="3513" spans="2:9" s="16" customFormat="1" ht="15.75">
      <c r="B3513" s="35" t="str">
        <f ca="1">IFERROR(IF(AND(INDEX(Tab_DaBa[],MATCH(CONCATENATE(Liste!$C$3,$B$3389,$B$3503),Data!$BO:$BO,0)-2,28)&lt;&gt;"",INDEX(Tab_DaBa[],MATCH(CONCATENATE(Liste!$C$3,$B$3389,$B$3503),Data!$BO:$BO,0)-2,33)=0),INDEX(Tab_DaBa[],MATCH(CONCATENATE(Liste!$C$3,$B$3389,$B$3503),Data!$BO:$BO,0)-2,14),IF(INDEX(Tab_DaBa[],MATCH(CONCATENATE(Liste!$C$3,$B$3389,$B$3503),Data!$BO:$BO,0)-2,28)&lt;&gt;"",INDEX(Tab_DaBa[],MATCH(CONCATENATE(Liste!$C$3,$B$3389,$B$3503),Data!$BO:$BO,0)-2,34),"")),"")</f>
        <v>Logik 04</v>
      </c>
      <c r="C3513" s="39"/>
      <c r="D3513" s="35" t="str">
        <f ca="1">IFERROR(IF(AND(INDEX(Tab_DaBa[],MATCH(CONCATENATE(Liste!$C$3,$B$3389,$B$3503),Data!$BO:$BO,0)-2,33)&lt;&gt;"",INDEX(Tab_DaBa[],MATCH(CONCATENATE(Liste!$C$3,$B$3389,$B$3503),Data!$BO:$BO,0)-2,38)=0),INDEX(Tab_DaBa[],MATCH(CONCATENATE(Liste!$C$3,$B$3389,$B$3503),Data!$BO:$BO,0)-2,14),IF(INDEX(Tab_DaBa[],MATCH(CONCATENATE(Liste!$C$3,$B$3389,$B$3503),Data!$BO:$BO,0)-2,33)&lt;&gt;"",INDEX(Tab_DaBa[],MATCH(CONCATENATE(Liste!$C$3,$B$3389,$B$3503),Data!$BO:$BO,0)-2,39),"")),"")</f>
        <v>Logik 05</v>
      </c>
      <c r="E3513" s="33"/>
      <c r="F3513" s="35" t="str">
        <f ca="1">IFERROR(IF(AND(INDEX(Tab_DaBa[],MATCH(CONCATENATE(Liste!$C$3,$B$3389,$B$3503),Data!$BO:$BO,0)-2,38)&lt;&gt;"",INDEX(Tab_DaBa[],MATCH(CONCATENATE(Liste!$C$3,$B$3389,$B$3503),Data!$BO:$BO,0)-2,43)=0),INDEX(Tab_DaBa[],MATCH(CONCATENATE(Liste!$C$3,$B$3389,$B$3503),Data!$BO:$BO,0)-2,14),IF(INDEX(Tab_DaBa[],MATCH(CONCATENATE(Liste!$C$3,$B$3389,$B$3503),Data!$BO:$BO,0)-2,38)&lt;&gt;"",INDEX(Tab_DaBa[],MATCH(CONCATENATE(Liste!$C$3,$B$3389,$B$3503),Data!$BO:$BO,0)-2,44),"")),"")</f>
        <v>Ausgang</v>
      </c>
      <c r="G3513" s="39"/>
      <c r="H3513" s="35" t="str">
        <f ca="1">IFERROR(IF(AND(INDEX(Tab_DaBa[],MATCH(CONCATENATE(Liste!$C$3,$B$3389,$B$3503),Data!$BO:$BO,0)-2,43)&lt;&gt;"",INDEX(Tab_DaBa[],MATCH(CONCATENATE(Liste!$C$3,$B$3389,$B$3503),Data!$BO:$BO,0)-2,48)=0),INDEX(Tab_DaBa[],MATCH(CONCATENATE(Liste!$C$3,$B$3389,$B$3503),Data!$BO:$BO,0)-2,14),IF(INDEX(Tab_DaBa[],MATCH(CONCATENATE(Liste!$C$3,$B$3389,$B$3503),Data!$BO:$BO,0)-2,43)&lt;&gt;"",INDEX(Tab_DaBa[],MATCH(CONCATENATE(Liste!$C$3,$B$3389,$B$3503),Data!$BO:$BO,0)-2,49),"")),"")</f>
        <v/>
      </c>
      <c r="I3513" s="39"/>
    </row>
    <row r="3514" spans="2:9" s="16" customFormat="1" ht="15.75">
      <c r="B3514" s="35" t="str">
        <f ca="1">IFERROR(IF(AND(INDEX(Tab_DaBa[],MATCH(CONCATENATE(Liste!$C$3,$B$3389,$B$3503),Data!$BO:$BO,0)-2,28)&lt;&gt;"",INDEX(Tab_DaBa[],MATCH(CONCATENATE(Liste!$C$3,$B$3389,$B$3503),Data!$BO:$BO,0)-2,33)=0),INDEX(Tab_DaBa[],MATCH(CONCATENATE(Liste!$C$3,$B$3389,$B$3503),Data!$BO:$BO,0)-2,12),IF(INDEX(Tab_DaBa[],MATCH(CONCATENATE(Liste!$C$3,$B$3389,$B$3503),Data!$BO:$BO,0)-2,28)&lt;&gt;"",INDEX(Tab_DaBa[],MATCH(CONCATENATE(Liste!$C$3,$B$3389,$B$3503),Data!$BO:$BO,0)-2,32),"")),"")</f>
        <v>Lo04-44_05</v>
      </c>
      <c r="C3514" s="39"/>
      <c r="D3514" s="35" t="str">
        <f ca="1">IFERROR(IF(AND(INDEX(Tab_DaBa[],MATCH(CONCATENATE(Liste!$C$3,$B$3389,$B$3503),Data!$BO:$BO,0)-2,33)&lt;&gt;"",INDEX(Tab_DaBa[],MATCH(CONCATENATE(Liste!$C$3,$B$3389,$B$3503),Data!$BO:$BO,0)-2,38)=0),INDEX(Tab_DaBa[],MATCH(CONCATENATE(Liste!$C$3,$B$3389,$B$3503),Data!$BO:$BO,0)-2,12),IF(INDEX(Tab_DaBa[],MATCH(CONCATENATE(Liste!$C$3,$B$3389,$B$3503),Data!$BO:$BO,0)-2,33)&lt;&gt;"",INDEX(Tab_DaBa[],MATCH(CONCATENATE(Liste!$C$3,$B$3389,$B$3503),Data!$BO:$BO,0)-2,37),"")),"")</f>
        <v>Lo04-44_05</v>
      </c>
      <c r="E3514" s="37"/>
      <c r="F3514" s="35" t="str">
        <f ca="1">IFERROR(IF(AND(INDEX(Tab_DaBa[],MATCH(CONCATENATE(Liste!$C$3,$B$3389,$B$3503),Data!$BO:$BO,0)-2,38)&lt;&gt;"",INDEX(Tab_DaBa[],MATCH(CONCATENATE(Liste!$C$3,$B$3389,$B$3503),Data!$BO:$BO,0)-2,43)=0),INDEX(Tab_DaBa[],MATCH(CONCATENATE(Liste!$C$3,$B$3389,$B$3503),Data!$BO:$BO,0)-2,12),IF(INDEX(Tab_DaBa[],MATCH(CONCATENATE(Liste!$C$3,$B$3389,$B$3503),Data!$BO:$BO,0)-2,38)&lt;&gt;"",INDEX(Tab_DaBa[],MATCH(CONCATENATE(Liste!$C$3,$B$3389,$B$3503),Data!$BO:$BO,0)-2,42),"")),"")</f>
        <v>aaaa-44_5</v>
      </c>
      <c r="G3514" s="39"/>
      <c r="H3514" s="35" t="str">
        <f ca="1">IFERROR(IF(AND(INDEX(Tab_DaBa[],MATCH(CONCATENATE(Liste!$C$3,$B$3389,$B$3503),Data!$BO:$BO,0)-2,43)&lt;&gt;"",INDEX(Tab_DaBa[],MATCH(CONCATENATE(Liste!$C$3,$B$3389,$B$3503),Data!$BO:$BO,0)-2,48)=0),INDEX(Tab_DaBa[],MATCH(CONCATENATE(Liste!$C$3,$B$3389,$B$3503),Data!$BO:$BO,0)-2,12),IF(INDEX(Tab_DaBa[],MATCH(CONCATENATE(Liste!$C$3,$B$3389,$B$3503),Data!$BO:$BO,0)-2,43)&lt;&gt;"",INDEX(Tab_DaBa[],MATCH(CONCATENATE(Liste!$C$3,$B$3389,$B$3503),Data!$BO:$BO,0)-2,47),"")),"")</f>
        <v/>
      </c>
      <c r="I3514" s="39"/>
    </row>
    <row r="3515" spans="2:9" s="16" customFormat="1" ht="15.75">
      <c r="B3515" s="35" t="str">
        <f ca="1">IFERROR(IF(AND(INDEX(Tab_DaBa[],MATCH(CONCATENATE(Liste!$C$3,$B$3389,$B$3503),Data!$BO:$BO,0)-2,28)&lt;&gt;"",INDEX(Tab_DaBa[],MATCH(CONCATENATE(Liste!$C$3,$B$3389,$B$3503),Data!$BO:$BO,0)-2,33)=""),INDEX(Tab_DaBa[],MATCH(CONCATENATE(Liste!$C$3,$B$3389,$B$3503),Data!$BO:$BO,0)-2,13),IF(INDEX(Tab_DaBa[],MATCH(CONCATENATE(Liste!$C$3,$B$3389,$B$3503),Data!$BO:$BO,0)-2,28)&lt;&gt;"",INDEX(Tab_DaBa[],MATCH(CONCATENATE(Liste!$C$3,$B$3389,$B$3503),Data!$BO:$BO,0)-2,33),"")),"")</f>
        <v>Bez_Lo04_05</v>
      </c>
      <c r="C3515" s="38">
        <f ca="1">IF(D3513="","",4)</f>
        <v>4</v>
      </c>
      <c r="D3515" s="35" t="str">
        <f ca="1">IFERROR(IF(AND(INDEX(Tab_DaBa[],MATCH(CONCATENATE(Liste!$C$3,$B$3389,$B$3503),Data!$BO:$BO,0)-2,33)&lt;&gt;"",INDEX(Tab_DaBa[],MATCH(CONCATENATE(Liste!$C$3,$B$3389,$B$3503),Data!$BO:$BO,0)-2,38)=""),INDEX(Tab_DaBa[],MATCH(CONCATENATE(Liste!$C$3,$B$3389,$B$3503),Data!$BO:$BO,0)-2,13),IF(INDEX(Tab_DaBa[],MATCH(CONCATENATE(Liste!$C$3,$B$3389,$B$3503),Data!$BO:$BO,0)-2,33)&lt;&gt;"",INDEX(Tab_DaBa[],MATCH(CONCATENATE(Liste!$C$3,$B$3389,$B$3503),Data!$BO:$BO,0)-2,38),"")),"")</f>
        <v>Bez_Lo05_05</v>
      </c>
      <c r="E3515" s="38">
        <f ca="1">IF(F3513="","",4)</f>
        <v>4</v>
      </c>
      <c r="F3515" s="35" t="str">
        <f ca="1">IFERROR(IF(AND(INDEX(Tab_DaBa[],MATCH(CONCATENATE(Liste!$C$3,$B$3389,$B$3503),Data!$BO:$BO,0)-2,38)&lt;&gt;"",INDEX(Tab_DaBa[],MATCH(CONCATENATE(Liste!$C$3,$B$3389,$B$3503),Data!$BO:$BO,0)-2,43)=""),INDEX(Tab_DaBa[],MATCH(CONCATENATE(Liste!$C$3,$B$3389,$B$3503),Data!$BO:$BO,0)-2,13),IF(INDEX(Tab_DaBa[],MATCH(CONCATENATE(Liste!$C$3,$B$3389,$B$3503),Data!$BO:$BO,0)-2,38)&lt;&gt;"",INDEX(Tab_DaBa[],MATCH(CONCATENATE(Liste!$C$3,$B$3389,$B$3503),Data!$BO:$BO,0)-2,43),"")),"")</f>
        <v>Bez_Aus4_5</v>
      </c>
      <c r="G3515" s="38" t="str">
        <f ca="1">IF(H3513="","",4)</f>
        <v/>
      </c>
      <c r="H3515" s="35" t="str">
        <f ca="1">IFERROR(IF(AND(INDEX(Tab_DaBa[],MATCH(CONCATENATE(Liste!$C$3,$B$3389,$B$3503),Data!$BO:$BO,0)-2,43)&lt;&gt;"",INDEX(Tab_DaBa[],MATCH(CONCATENATE(Liste!$C$3,$B$3389,$B$3503),Data!$BO:$BO,0)-2,48)=""),INDEX(Tab_DaBa[],MATCH(CONCATENATE(Liste!$C$3,$B$3389,$B$3503),Data!$BO:$BO,0)-2,13),IF(INDEX(Tab_DaBa[],MATCH(CONCATENATE(Liste!$C$3,$B$3389,$B$3503),Data!$BO:$BO,0)-2,43)&lt;&gt;"",INDEX(Tab_DaBa[],MATCH(CONCATENATE(Liste!$C$3,$B$3389,$B$3503),Data!$BO:$BO,0)-2,48),"")),"")</f>
        <v/>
      </c>
      <c r="I3515" s="38" t="str">
        <f ca="1">IF(B3521="","",6)</f>
        <v/>
      </c>
    </row>
    <row r="3516" spans="2:9" s="16" customFormat="1" ht="15.75">
      <c r="B3516" s="35" t="str">
        <f ca="1">IFERROR(IF(AND(INDEX(Tab_DaBa[],MATCH(CONCATENATE(Liste!$C$3,$B$3389,$B$3503),Data!$BO:$BO,0)-2,28)&lt;&gt;"",INDEX(Tab_DaBa[],MATCH(CONCATENATE(Liste!$C$3,$B$3389,$B$3503),Data!$BO:$BO,0)-2,33)=""),"Performance Level: "&amp;INDEX(Tab_DaBa[],MATCH(CONCATENATE(Liste!$C$3,$B$3389,$B$3503),Data!$BO:$BO,0)-2,15),IF(INDEX(Tab_DaBa[],MATCH(CONCATENATE(Liste!$C$3,$B$3389,$B$3503),Data!$BO:$BO,0)-2,28)&lt;&gt;"","Performance Level: "&amp;INDEX(Tab_DaBa[],MATCH(CONCATENATE(Liste!$C$3,$B$3389,$B$3503),Data!$BO:$BO,0)-2,35),"")),"")</f>
        <v>Performance Level: PL_Lo04_05</v>
      </c>
      <c r="C3516" s="39"/>
      <c r="D3516" s="35" t="str">
        <f ca="1">IFERROR(IF(AND(INDEX(Tab_DaBa[],MATCH(CONCATENATE(Liste!$C$3,$B$3389,$B$3503),Data!$BO:$BO,0)-2,33)&lt;&gt;"",INDEX(Tab_DaBa[],MATCH(CONCATENATE(Liste!$C$3,$B$3389,$B$3503),Data!$BO:$BO,0)-2,38)=""),"Performance Level: "&amp;INDEX(Tab_DaBa[],MATCH(CONCATENATE(Liste!$C$3,$B$3389,$B$3503),Data!$BO:$BO,0)-2,15),IF(INDEX(Tab_DaBa[],MATCH(CONCATENATE(Liste!$C$3,$B$3389,$B$3503),Data!$BO:$BO,0)-2,33)&lt;&gt;"","Performance Level: "&amp;INDEX(Tab_DaBa[],MATCH(CONCATENATE(Liste!$C$3,$B$3389,$B$3503),Data!$BO:$BO,0)-2,40),"")),"")</f>
        <v>Performance Level: PL_Lo03_5</v>
      </c>
      <c r="E3516" s="37"/>
      <c r="F3516" s="35" t="str">
        <f ca="1">IFERROR(IF(AND(INDEX(Tab_DaBa[],MATCH(CONCATENATE(Liste!$C$3,$B$3389,$B$3503),Data!$BO:$BO,0)-2,38)&lt;&gt;"",INDEX(Tab_DaBa[],MATCH(CONCATENATE(Liste!$C$3,$B$3389,$B$3503),Data!$BO:$BO,0)-2,43)=""),"Performance Level: "&amp;INDEX(Tab_DaBa[],MATCH(CONCATENATE(Liste!$C$3,$B$3389,$B$3503),Data!$BO:$BO,0)-2,15),IF(INDEX(Tab_DaBa[],MATCH(CONCATENATE(Liste!$C$3,$B$3389,$B$3503),Data!$BO:$BO,0)-2,38)&lt;&gt;"","Performance Level: "&amp;INDEX(Tab_DaBa[],MATCH(CONCATENATE(Liste!$C$3,$B$3389,$B$3503),Data!$BO:$BO,0)-2,45),"")),"")</f>
        <v>Performance Level: PL_Aus4_5</v>
      </c>
      <c r="G3516" s="39"/>
      <c r="H3516" s="35" t="str">
        <f ca="1">IFERROR(IF(AND(INDEX(Tab_DaBa[],MATCH(CONCATENATE(Liste!$C$3,$B$3389,$B$3503),Data!$BO:$BO,0)-2,43)&lt;&gt;"",INDEX(Tab_DaBa[],MATCH(CONCATENATE(Liste!$C$3,$B$3389,$B$3503),Data!$BO:$BO,0)-2,48)=""),"Performance Level: "&amp;INDEX(Tab_DaBa[],MATCH(CONCATENATE(Liste!$C$3,$B$3389,$B$3503),Data!$BO:$BO,0)-2,15),IF(INDEX(Tab_DaBa[],MATCH(CONCATENATE(Liste!$C$3,$B$3389,$B$3503),Data!$BO:$BO,0)-2,43)&lt;&gt;"","Performance Level: "&amp;INDEX(Tab_DaBa[],MATCH(CONCATENATE(Liste!$C$3,$B$3389,$B$3503),Data!$BO:$BO,0)-2,50),"")),"")</f>
        <v/>
      </c>
      <c r="I3516" s="39"/>
    </row>
    <row r="3517" spans="2:9" s="16" customFormat="1" ht="15.75">
      <c r="B3517" s="35" t="str">
        <f ca="1">IFERROR(IF(AND(INDEX(Tab_DaBa[],MATCH(CONCATENATE(Liste!$C$3,$B$3389,$B$3503),Data!$BO:$BO,0)-2,28)&lt;&gt;"",INDEX(Tab_DaBa[],MATCH(CONCATENATE(Liste!$C$3,$B$3389,$B$3503),Data!$BO:$BO,0)-2,33)=""),"PFH [1/h] = "&amp;10^9*INDEX(Tab_DaBa[],MATCH(CONCATENATE(Liste!$C$3,$B$3389,$B$3503),Data!$BO:$BO,0)-2,16)&amp;"E-9",IF(INDEX(Tab_DaBa[],MATCH(CONCATENATE(Liste!$C$3,$B$3389,$B$3503),Data!$BO:$BO,0)-2,28)&lt;&gt;"","PFH [1/h] = "&amp;10^9*INDEX(Tab_DaBa[],MATCH(CONCATENATE(Liste!$C$3,$B$3389,$B$3503),Data!$BO:$BO,0)-2,36)&amp;"E-9","")),"")</f>
        <v>PFH [1/h] = 4,19E-9</v>
      </c>
      <c r="C3517" s="39"/>
      <c r="D3517" s="35" t="str">
        <f ca="1">IFERROR(IF(AND(INDEX(Tab_DaBa[],MATCH(CONCATENATE(Liste!$C$3,$B$3389,$B$3503),Data!$BO:$BO,0)-2,33)&lt;&gt;"",INDEX(Tab_DaBa[],MATCH(CONCATENATE(Liste!$C$3,$B$3389,$B$3503),Data!$BO:$BO,0)-2,38)=""),"PFH [1/h] = "&amp;10^9*INDEX(Tab_DaBa[],MATCH(CONCATENATE(Liste!$C$3,$B$3389,$B$3503),Data!$BO:$BO,0)-2,16)&amp;"E-9",IF(INDEX(Tab_DaBa[],MATCH(CONCATENATE(Liste!$C$3,$B$3389,$B$3503),Data!$BO:$BO,0)-2,33)&lt;&gt;"","PFH [1/h] = "&amp;10^9*INDEX(Tab_DaBa[],MATCH(CONCATENATE(Liste!$C$3,$B$3389,$B$3503),Data!$BO:$BO,0)-2,41)&amp;"E-9","")),"")</f>
        <v>PFH [1/h] = 4,19E-9</v>
      </c>
      <c r="E3517" s="37"/>
      <c r="F3517" s="35" t="str">
        <f ca="1">IFERROR(IF(AND(INDEX(Tab_DaBa[],MATCH(CONCATENATE(Liste!$C$3,$B$3389,$B$3503),Data!$BO:$BO,0)-2,38)&lt;&gt;"",INDEX(Tab_DaBa[],MATCH(CONCATENATE(Liste!$C$3,$B$3389,$B$3503),Data!$BO:$BO,0)-2,43)=""),"PFH [1/h] = "&amp;10^9*INDEX(Tab_DaBa[],MATCH(CONCATENATE(Liste!$C$3,$B$3389,$B$3503),Data!$BO:$BO,0)-2,16)&amp;"E-9",IF(INDEX(Tab_DaBa[],MATCH(CONCATENATE(Liste!$C$3,$B$3389,$B$3503),Data!$BO:$BO,0)-2,38)&lt;&gt;"","PFH [1/h] = "&amp;10^9*INDEX(Tab_DaBa[],MATCH(CONCATENATE(Liste!$C$3,$B$3389,$B$3503),Data!$BO:$BO,0)-2,46)&amp;"E-9","")),"")</f>
        <v>PFH [1/h] = 24,7E-9</v>
      </c>
      <c r="G3517" s="39"/>
      <c r="H3517" s="35" t="str">
        <f ca="1">IFERROR(IF(AND(INDEX(Tab_DaBa[],MATCH(CONCATENATE(Liste!$C$3,$B$3389,$B$3503),Data!$BO:$BO,0)-2,43)&lt;&gt;"",INDEX(Tab_DaBa[],MATCH(CONCATENATE(Liste!$C$3,$B$3389,$B$3503),Data!$BO:$BO,0)-2,48)=""),"PFH [1/h] = "&amp;10^9*INDEX(Tab_DaBa[],MATCH(CONCATENATE(Liste!$C$3,$B$3389,$B$3503),Data!$BO:$BO,0)-2,16)&amp;"E-9",IF(INDEX(Tab_DaBa[],MATCH(CONCATENATE(Liste!$C$3,$B$3389,$B$3503),Data!$BO:$BO,0)-2,43)&lt;&gt;"","PFH [1/h] = "&amp;10^9*INDEX(Tab_DaBa[],MATCH(CONCATENATE(Liste!$C$3,$B$3389,$B$3503),Data!$BO:$BO,0)-2,51)&amp;"E-9","")),"")</f>
        <v/>
      </c>
      <c r="I3517" s="39"/>
    </row>
    <row r="3518" spans="2:9" s="16" customFormat="1">
      <c r="B3518" s="33"/>
      <c r="C3518" s="33"/>
      <c r="D3518" s="33"/>
      <c r="E3518" s="33"/>
      <c r="F3518" s="33"/>
      <c r="G3518" s="33"/>
      <c r="H3518" s="33"/>
      <c r="I3518" s="33"/>
    </row>
    <row r="3519" spans="2:9" s="16" customFormat="1" ht="15.75">
      <c r="B3519" s="38" t="str">
        <f ca="1">IF(B3521="","",6)</f>
        <v/>
      </c>
      <c r="C3519" s="33"/>
      <c r="D3519" s="38" t="str">
        <f ca="1">IF(B3521="","",3)</f>
        <v/>
      </c>
      <c r="E3519" s="33"/>
      <c r="F3519" s="38" t="str">
        <f ca="1">IF(B3521="","",3)</f>
        <v/>
      </c>
      <c r="G3519" s="33"/>
      <c r="H3519" s="38" t="str">
        <f ca="1">IF(B3521="","",3)</f>
        <v/>
      </c>
      <c r="I3519" s="33"/>
    </row>
    <row r="3520" spans="2:9" s="16" customFormat="1" ht="15.75">
      <c r="B3520" s="39"/>
      <c r="C3520" s="33"/>
      <c r="D3520" s="33"/>
      <c r="E3520" s="33"/>
      <c r="F3520" s="33"/>
      <c r="G3520" s="33"/>
      <c r="H3520" s="33"/>
      <c r="I3520" s="33"/>
    </row>
    <row r="3521" spans="2:9" s="16" customFormat="1" ht="15.75">
      <c r="B3521" s="35" t="str">
        <f ca="1">IFERROR(IF(AND(INDEX(Tab_DaBa[],MATCH(CONCATENATE(Liste!$C$3,$B$3389,$B$3503),Data!$BO:$BO,0)-2,48)&lt;&gt;"",INDEX(Tab_DaBa[],MATCH(CONCATENATE(Liste!$C$3,$B$3389,$B$3503),Data!$BO:$BO,0)-2,53)=0),INDEX(Tab_DaBa[],MATCH(CONCATENATE(Liste!$C$3,$B$3389,$B$3503),Data!$BO:$BO,0)-2,14),IF(INDEX(Tab_DaBa[],MATCH(CONCATENATE(Liste!$C$3,$B$3389,$B$3503),Data!$BO:$BO,0)-2,48)&lt;&gt;"",INDEX(Tab_DaBa[],MATCH(CONCATENATE(Liste!$C$3,$B$3389,$B$3503),Data!$BO:$BO,0)-2,54),"")),"")</f>
        <v/>
      </c>
      <c r="C3521" s="39"/>
      <c r="D3521" s="35" t="str">
        <f ca="1">IFERROR(IF(AND(INDEX(Tab_DaBa[],MATCH(CONCATENATE(Liste!$C$3,$B$3389,$B$3503),Data!$BO:$BO,0)-2,53)&lt;&gt;"",INDEX(Tab_DaBa[],MATCH(CONCATENATE(Liste!$C$3,$B$3389,$B$3503),Data!$BO:$BO,0)-2,58)=0),INDEX(Tab_DaBa[],MATCH(CONCATENATE(Liste!$C$3,$B$3389,$B$3503),Data!$BO:$BO,0)-2,14),IF(INDEX(Tab_DaBa[],MATCH(CONCATENATE(Liste!$C$3,$B$3389,$B$3503),Data!$BO:$BO,0)-2,53)&lt;&gt;"",INDEX(Tab_DaBa[],MATCH(CONCATENATE(Liste!$C$3,$B$3389,$B$3503),Data!$BO:$BO,0)-2,59),"")),"")</f>
        <v/>
      </c>
      <c r="E3521" s="33"/>
      <c r="F3521" s="35" t="str">
        <f ca="1">IFERROR(IF(AND(INDEX(Tab_DaBa[],MATCH(CONCATENATE(Liste!$C$3,$B$3389,$B$3503),Data!$BO:$BO,0)-2,58)&lt;&gt;"",INDEX(Tab_DaBa[],MATCH(CONCATENATE(Liste!$C$3,$B$3389,$B$3503),Data!$BO:$BO,0)-2,63)=0),INDEX(Tab_DaBa[],MATCH(CONCATENATE(Liste!$C$3,$B$3389,$B$3503),Data!$BO:$BO,0)-2,14),IF(INDEX(Tab_DaBa[],MATCH(CONCATENATE(Liste!$C$3,$B$3389,$B$3503),Data!$BO:$BO,0)-2,58)&lt;&gt;"",INDEX(Tab_DaBa[],MATCH(CONCATENATE(Liste!$C$3,$B$3389,$B$3503),Data!$BO:$BO,0)-2,64),"")),"")</f>
        <v/>
      </c>
      <c r="G3521" s="39"/>
      <c r="H3521" s="35" t="str">
        <f ca="1">IFERROR(IF(INDEX(Tab_DaBa[],MATCH(CONCATENATE(Liste!$C$3,$B$3389,$B$3503),Data!$BO:$BO,0)-2,63)&lt;&gt;"",INDEX(Tab_DaBa[],MATCH(CONCATENATE(Liste!$C$3,$B$3389,$B$3503),Data!$BO:$BO,0)-2,14),""),"")</f>
        <v/>
      </c>
    </row>
    <row r="3522" spans="2:9" s="16" customFormat="1" ht="15.75">
      <c r="B3522" s="35" t="str">
        <f ca="1">IFERROR(IF(AND(INDEX(Tab_DaBa[],MATCH(CONCATENATE(Liste!$C$3,$B$3389,$B$3503),Data!$BO:$BO,0)-2,48)&lt;&gt;"",INDEX(Tab_DaBa[],MATCH(CONCATENATE(Liste!$C$3,$B$3389,$B$3503),Data!$BO:$BO,0)-2,53)=0),INDEX(Tab_DaBa[],MATCH(CONCATENATE(Liste!$C$3,$B$3389,$B$3503),Data!$BO:$BO,0)-2,12),IF(INDEX(Tab_DaBa[],MATCH(CONCATENATE(Liste!$C$3,$B$3389,$B$3503),Data!$BO:$BO,0)-2,48)&lt;&gt;"",INDEX(Tab_DaBa[],MATCH(CONCATENATE(Liste!$C$3,$B$3389,$B$3503),Data!$BO:$BO,0)-2,52),"")),"")</f>
        <v/>
      </c>
      <c r="C3522" s="39"/>
      <c r="D3522" s="35" t="str">
        <f ca="1">IFERROR(IF(AND(INDEX(Tab_DaBa[],MATCH(CONCATENATE(Liste!$C$3,$B$3389,$B$3503),Data!$BO:$BO,0)-2,53)&lt;&gt;"",INDEX(Tab_DaBa[],MATCH(CONCATENATE(Liste!$C$3,$B$3389,$B$3503),Data!$BO:$BO,0)-2,58)=0),INDEX(Tab_DaBa[],MATCH(CONCATENATE(Liste!$C$3,$B$3389,$B$3503),Data!$BO:$BO,0)-2,12),IF(INDEX(Tab_DaBa[],MATCH(CONCATENATE(Liste!$C$3,$B$3389,$B$3503),Data!$BO:$BO,0)-2,53)&lt;&gt;"",INDEX(Tab_DaBa[],MATCH(CONCATENATE(Liste!$C$3,$B$3389,$B$3503),Data!$BO:$BO,0)-2,57),"")),"")</f>
        <v/>
      </c>
      <c r="E3522" s="37"/>
      <c r="F3522" s="35" t="str">
        <f ca="1">IFERROR(IF(AND(INDEX(Tab_DaBa[],MATCH(CONCATENATE(Liste!$C$3,$B$3389,$B$3503),Data!$BO:$BO,0)-2,58)&lt;&gt;"",INDEX(Tab_DaBa[],MATCH(CONCATENATE(Liste!$C$3,$B$3389,$B$3503),Data!$BO:$BO,0)-2,63)=0),INDEX(Tab_DaBa[],MATCH(CONCATENATE(Liste!$C$3,$B$3389,$B$3503),Data!$BO:$BO,0)-2,12),IF(INDEX(Tab_DaBa[],MATCH(CONCATENATE(Liste!$C$3,$B$3389,$B$3503),Data!$BO:$BO,0)-2,58)&lt;&gt;"",INDEX(Tab_DaBa[],MATCH(CONCATENATE(Liste!$C$3,$B$3389,$B$3503),Data!$BO:$BO,0)-2,62),"")),"")</f>
        <v/>
      </c>
      <c r="G3522" s="39"/>
      <c r="H3522" s="35" t="str">
        <f ca="1">IFERROR(IF(INDEX(Tab_DaBa[],MATCH(CONCATENATE(Liste!$C$3,$B$3389,$B$3503),Data!$BO:$BO,0)-2,63)&lt;&gt;"",INDEX(Tab_DaBa[],MATCH(CONCATENATE(Liste!$C$3,$B$3389,$B$3503),Data!$BO:$BO,0)-2,12),""),"")</f>
        <v/>
      </c>
    </row>
    <row r="3523" spans="2:9" s="16" customFormat="1" ht="15.75">
      <c r="B3523" s="35" t="str">
        <f ca="1">IFERROR(IF(AND(INDEX(Tab_DaBa[],MATCH(CONCATENATE(Liste!$C$3,$B$3389,$B$3503),Data!$BO:$BO,0)-2,48)&lt;&gt;"",INDEX(Tab_DaBa[],MATCH(CONCATENATE(Liste!$C$3,$B$3389,$B$3503),Data!$BO:$BO,0)-2,53)=""),INDEX(Tab_DaBa[],MATCH(CONCATENATE(Liste!$C$3,$B$3389,$B$3503),Data!$BO:$BO,0)-2,13),IF(INDEX(Tab_DaBa[],MATCH(CONCATENATE(Liste!$C$3,$B$3389,$B$3503),Data!$BO:$BO,0)-2,48)&lt;&gt;"",INDEX(Tab_DaBa[],MATCH(CONCATENATE(Liste!$C$3,$B$3389,$B$3503),Data!$BO:$BO,0)-2,53),"")),"")</f>
        <v/>
      </c>
      <c r="C3523" s="38" t="str">
        <f ca="1">IF(D3521="","",4)</f>
        <v/>
      </c>
      <c r="D3523" s="35" t="str">
        <f ca="1">IFERROR(IF(AND(INDEX(Tab_DaBa[],MATCH(CONCATENATE(Liste!$C$3,$B$3389,$B$3503),Data!$BO:$BO,0)-2,53)&lt;&gt;"",INDEX(Tab_DaBa[],MATCH(CONCATENATE(Liste!$C$3,$B$3389,$B$3503),Data!$BO:$BO,0)-2,58)=""),INDEX(Tab_DaBa[],MATCH(CONCATENATE(Liste!$C$3,$B$3389,$B$3503),Data!$BO:$BO,0)-2,13),IF(INDEX(Tab_DaBa[],MATCH(CONCATENATE(Liste!$C$3,$B$3389,$B$3503),Data!$BO:$BO,0)-2,53)&lt;&gt;"",INDEX(Tab_DaBa[],MATCH(CONCATENATE(Liste!$C$3,$B$3389,$B$3503),Data!$BO:$BO,0)-2,58),"")),"")</f>
        <v/>
      </c>
      <c r="E3523" s="38" t="str">
        <f ca="1">IF(F3521="","",4)</f>
        <v/>
      </c>
      <c r="F3523" s="35" t="str">
        <f ca="1">IFERROR(IF(AND(INDEX(Tab_DaBa[],MATCH(CONCATENATE(Liste!$C$3,$B$3389,$B$3503),Data!$BO:$BO,0)-2,58)&lt;&gt;"",INDEX(Tab_DaBa[],MATCH(CONCATENATE(Liste!$C$3,$B$3389,$B$3503),Data!$BO:$BO,0)-2,63)=""),INDEX(Tab_DaBa[],MATCH(CONCATENATE(Liste!$C$3,$B$3389,$B$3503),Data!$BO:$BO,0)-2,13),IF(INDEX(Tab_DaBa[],MATCH(CONCATENATE(Liste!$C$3,$B$3389,$B$3503),Data!$BO:$BO,0)-2,58)&lt;&gt;"",INDEX(Tab_DaBa[],MATCH(CONCATENATE(Liste!$C$3,$B$3389,$B$3503),Data!$BO:$BO,0)-2,63),"")),"")</f>
        <v/>
      </c>
      <c r="G3523" s="38" t="str">
        <f ca="1">IF(H3521="","",4)</f>
        <v/>
      </c>
      <c r="H3523" s="35" t="str">
        <f ca="1">IFERROR(IF(INDEX(Tab_DaBa[],MATCH(CONCATENATE(Liste!$C$3,$B$3389,$B$3503),Data!$BO:$BO,0)-2,63)&lt;&gt;"",INDEX(Tab_DaBa[],MATCH(CONCATENATE(Liste!$C$3,$B$3389,$B$3503),Data!$BO:$BO,0)-2,13),""),"")</f>
        <v/>
      </c>
    </row>
    <row r="3524" spans="2:9" s="16" customFormat="1" ht="15.75">
      <c r="B3524" s="35" t="str">
        <f ca="1">IFERROR(IF(AND(INDEX(Tab_DaBa[],MATCH(CONCATENATE(Liste!$C$3,$B$3389,$B$3503),Data!$BO:$BO,0)-2,48)&lt;&gt;"",INDEX(Tab_DaBa[],MATCH(CONCATENATE(Liste!$C$3,$B$3389,$B$3503),Data!$BO:$BO,0)-2,53)=""),"Performance Level: "&amp;INDEX(Tab_DaBa[],MATCH(CONCATENATE(Liste!$C$3,$B$3389,$B$3503),Data!$BO:$BO,0)-2,15),IF(INDEX(Tab_DaBa[],MATCH(CONCATENATE(Liste!$C$3,$B$3389,$B$3503),Data!$BO:$BO,0)-2,48)&lt;&gt;"","Performance Level: "&amp;INDEX(Tab_DaBa[],MATCH(CONCATENATE(Liste!$C$3,$B$3389,$B$3503),Data!$BO:$BO,0)-2,55),"")),"")</f>
        <v/>
      </c>
      <c r="C3524" s="39"/>
      <c r="D3524" s="35" t="str">
        <f ca="1">IFERROR(IF(AND(INDEX(Tab_DaBa[],MATCH(CONCATENATE(Liste!$C$3,$B$3389,$B$3503),Data!$BO:$BO,0)-2,53)&lt;&gt;"",INDEX(Tab_DaBa[],MATCH(CONCATENATE(Liste!$C$3,$B$3389,$B$3503),Data!$BO:$BO,0)-2,58)=""),"Performance Level: "&amp;INDEX(Tab_DaBa[],MATCH(CONCATENATE(Liste!$C$3,$B$3389,$B$3503),Data!$BO:$BO,0)-2,15),IF(INDEX(Tab_DaBa[],MATCH(CONCATENATE(Liste!$C$3,$B$3389,$B$3503),Data!$BO:$BO,0)-2,53)&lt;&gt;"","Performance Level: "&amp;INDEX(Tab_DaBa[],MATCH(CONCATENATE(Liste!$C$3,$B$3389,$B$3503),Data!$BO:$BO,0)-2,60),"")),"")</f>
        <v/>
      </c>
      <c r="E3524" s="37"/>
      <c r="F3524" s="35" t="str">
        <f ca="1">IFERROR(IF(AND(INDEX(Tab_DaBa[],MATCH(CONCATENATE(Liste!$C$3,$B$3389,$B$3503),Data!$BO:$BO,0)-2,58)&lt;&gt;"",INDEX(Tab_DaBa[],MATCH(CONCATENATE(Liste!$C$3,$B$3389,$B$3503),Data!$BO:$BO,0)-2,63)=""),"Performance Level: "&amp;INDEX(Tab_DaBa[],MATCH(CONCATENATE(Liste!$C$3,$B$3389,$B$3503),Data!$BO:$BO,0)-2,15),IF(INDEX(Tab_DaBa[],MATCH(CONCATENATE(Liste!$C$3,$B$3389,$B$3503),Data!$BO:$BO,0)-2,58)&lt;&gt;"","Performance Level: "&amp;INDEX(Tab_DaBa[],MATCH(CONCATENATE(Liste!$C$3,$B$3389,$B$3503),Data!$BO:$BO,0)-2,65),"")),"")</f>
        <v/>
      </c>
      <c r="G3524" s="39"/>
      <c r="H3524" s="35" t="str">
        <f ca="1">IFERROR(IF(INDEX(Tab_DaBa[],MATCH(CONCATENATE(Liste!$C$3,$B$3389,$B$3503),Data!$BO:$BO,0)-2,63)&lt;&gt;"","Performance Level: "&amp;INDEX(Tab_DaBa[],MATCH(CONCATENATE(Liste!$C$3,$B$3389,$B$3503),Data!$BO:$BO,0)-2,15),""),"")</f>
        <v/>
      </c>
    </row>
    <row r="3525" spans="2:9" s="16" customFormat="1" ht="15.75">
      <c r="B3525" s="35" t="str">
        <f ca="1">IFERROR(IF(AND(INDEX(Tab_DaBa[],MATCH(CONCATENATE(Liste!$C$3,$B$3389,$B$3503),Data!$BO:$BO,0)-2,48)&lt;&gt;"",INDEX(Tab_DaBa[],MATCH(CONCATENATE(Liste!$C$3,$B$3389,$B$3503),Data!$BO:$BO,0)-2,53)=""),"PFH [1/h] = "&amp;10^9*INDEX(Tab_DaBa[],MATCH(CONCATENATE(Liste!$C$3,$B$3389,$B$3503),Data!$BO:$BO,0)-2,16)&amp;"E-9",IF(INDEX(Tab_DaBa[],MATCH(CONCATENATE(Liste!$C$3,$B$3389,$B$3503),Data!$BO:$BO,0)-2,48)&lt;&gt;"","PFH [1/h] = "&amp;10^9*INDEX(Tab_DaBa[],MATCH(CONCATENATE(Liste!$C$3,$B$3389,$B$3503),Data!$BO:$BO,0)-2,56)&amp;"E-9","")),"")</f>
        <v/>
      </c>
      <c r="C3525" s="39"/>
      <c r="D3525" s="35" t="str">
        <f ca="1">IFERROR(IF(AND(INDEX(Tab_DaBa[],MATCH(CONCATENATE(Liste!$C$3,$B$3389,$B$3503),Data!$BO:$BO,0)-2,53)&lt;&gt;"",INDEX(Tab_DaBa[],MATCH(CONCATENATE(Liste!$C$3,$B$3389,$B$3503),Data!$BO:$BO,0)-2,58)=""),"PFH [1/h] = "&amp;10^9*INDEX(Tab_DaBa[],MATCH(CONCATENATE(Liste!$C$3,$B$3389,$B$3503),Data!$BO:$BO,0)-2,16)&amp;"E-9",IF(INDEX(Tab_DaBa[],MATCH(CONCATENATE(Liste!$C$3,$B$3389,$B$3503),Data!$BO:$BO,0)-2,53)&lt;&gt;"","PFH [1/h] = "&amp;10^9*INDEX(Tab_DaBa[],MATCH(CONCATENATE(Liste!$C$3,$B$3389,$B$3503),Data!$BO:$BO,0)-2,61)&amp;"E-9","")),"")</f>
        <v/>
      </c>
      <c r="E3525" s="37"/>
      <c r="F3525" s="35" t="str">
        <f ca="1">IFERROR(IF(AND(INDEX(Tab_DaBa[],MATCH(CONCATENATE(Liste!$C$3,$B$3389,$B$3503),Data!$BO:$BO,0)-2,58)&lt;&gt;"",INDEX(Tab_DaBa[],MATCH(CONCATENATE(Liste!$C$3,$B$3389,$B$3503),Data!$BO:$BO,0)-2,63)=""),"PFH [1/h] = "&amp;10^9*INDEX(Tab_DaBa[],MATCH(CONCATENATE(Liste!$C$3,$B$3389,$B$3503),Data!$BO:$BO,0)-2,16)&amp;"E-9",IF(INDEX(Tab_DaBa[],MATCH(CONCATENATE(Liste!$C$3,$B$3389,$B$3503),Data!$BO:$BO,0)-2,58)&lt;&gt;"","PFH [1/h] = "&amp;10^9*INDEX(Tab_DaBa[],MATCH(CONCATENATE(Liste!$C$3,$B$3389,$B$3503),Data!$BO:$BO,0)-2,66)&amp;"E-9","")),"")</f>
        <v/>
      </c>
      <c r="G3525" s="39"/>
      <c r="H3525" s="35" t="str">
        <f ca="1">IFERROR(IF(INDEX(Tab_DaBa[],MATCH(CONCATENATE(Liste!$C$3,$B$3389,$B$3503),Data!$BO:$BO,0)-2,63)&lt;&gt;"","PFH [1/h] = "&amp;10^9*INDEX(Tab_DaBa[],MATCH(CONCATENATE(Liste!$C$3,$B$3389,$B$3503),Data!$BO:$BO,0)-2,16)&amp;"E-9",""),"")</f>
        <v/>
      </c>
    </row>
    <row r="3526" spans="2:9" s="16" customFormat="1"/>
    <row r="3527" spans="2:9" s="16" customFormat="1">
      <c r="B3527" s="43" t="str">
        <f ca="1">IF(D3527="","","Erforderlich")</f>
        <v>Erforderlich</v>
      </c>
      <c r="D3527" s="44" t="str">
        <f ca="1">IFERROR("Performance Level: "&amp;INDEX(Tab_DaBa[],MATCH(CONCATENATE(Liste!$C$3,$B$3389,$B$3503),Data!$BO:$BO,0)-2,4),"")</f>
        <v>Performance Level: PLr_ges4_5</v>
      </c>
    </row>
    <row r="3528" spans="2:9" s="16" customFormat="1">
      <c r="B3528" s="45"/>
    </row>
    <row r="3529" spans="2:9" s="16" customFormat="1">
      <c r="B3529" s="46" t="str">
        <f ca="1">IF(D3529="","","Erreicht")</f>
        <v>Erreicht</v>
      </c>
      <c r="D3529" s="47" t="str">
        <f ca="1">IFERROR("Performance Level: "&amp;INDEX(Tab_DaBa[],MATCH(CONCATENATE(Liste!$C$3,$B$3389,$B$3503),Data!$BO:$BO,0)-2,5)&amp;"          PFH [1/h] = "&amp;10^9*INDEX(Tab_DaBa[],MATCH(CONCATENATE(Liste!$C$3,$B$3389,$B$3503),Data!$BO:$BO,0)-2,6)&amp;"E-9","")</f>
        <v>Performance Level: Pl_ges4_5          PFH [1/h] = 71,7E-9</v>
      </c>
    </row>
    <row r="3530" spans="2:9" s="16" customFormat="1"/>
    <row r="3531" spans="2:9" s="16" customFormat="1">
      <c r="B3531" s="42" t="str">
        <f ca="1">IFERROR(IF(6&gt;COUNTIF(Data!$BP:$BP,CONCATENATE(Liste!$C$3,$B$3389)),"",INDEX(Tab_DaBa[],MATCH(CONCATENATE(Liste!$C$3,$B$3389),Data!$BP:$BP,0)+3,3)),"")</f>
        <v>13.6 Test13 (E+6L+A)</v>
      </c>
    </row>
    <row r="3532" spans="2:9" s="16" customFormat="1"/>
    <row r="3533" spans="2:9" s="16" customFormat="1" ht="15.75">
      <c r="B3533" s="35" t="str">
        <f ca="1">IFERROR(INDEX(Tab_DaBa[],MATCH(CONCATENATE(Liste!$C$3,$B$3389,$B$3531),Data!$BO:$BO,0)-2,9),"")</f>
        <v>Eingang</v>
      </c>
      <c r="C3533" s="54"/>
      <c r="D3533" s="35" t="str">
        <f ca="1">IFERROR(IF(INDEX(Tab_DaBa[],MATCH(CONCATENATE(Liste!$C$3,$B$3389,$B$3531),Data!$BO:$BO,0)-2,18)=0,INDEX(Tab_DaBa[],MATCH(CONCATENATE(Liste!$C$3,$B$3389,$B$3531),Data!$BO:$BO,0)-2,14),INDEX(Tab_DaBa[],MATCH(CONCATENATE(Liste!$C$3,$B$3389,$B$3531),Data!$BO:$BO,0)-2,19)),"")</f>
        <v>Logik 01</v>
      </c>
      <c r="E3533" s="33"/>
      <c r="F3533" s="35" t="str">
        <f ca="1">IFERROR(IF(AND(INDEX(Tab_DaBa[],MATCH(CONCATENATE(Liste!$C$3,$B$3389,$B$3531),Data!$BO:$BO,0)-2,18)&lt;&gt;"",INDEX(Tab_DaBa[],MATCH(CONCATENATE(Liste!$C$3,$B$3389,$B$3531),Data!$BO:$BO,0)-2,23)=0),INDEX(Tab_DaBa[],MATCH(CONCATENATE(Liste!$C$3,$B$3389,$B$3531),Data!$BO:$BO,0)-2,14),IF(INDEX(Tab_DaBa[],MATCH(CONCATENATE(Liste!$C$3,$B$3389,$B$3531),Data!$BO:$BO,0)-2,23)&lt;&gt;"",INDEX(Tab_DaBa[],MATCH(CONCATENATE(Liste!$C$3,$B$3389,$B$3531),Data!$BO:$BO,0)-2,24),"")),"")</f>
        <v>Logik 02</v>
      </c>
      <c r="G3533" s="39"/>
      <c r="H3533" s="35" t="str">
        <f ca="1">IFERROR(IF(AND(INDEX(Tab_DaBa[],MATCH(CONCATENATE(Liste!$C$3,$B$3389,$B$3531),Data!$BO:$BO,0)-2,23)&lt;&gt;"",INDEX(Tab_DaBa[],MATCH(CONCATENATE(Liste!$C$3,$B$3389,$B$3531),Data!$BO:$BO,0)-2,28)=0),INDEX(Tab_DaBa[],MATCH(CONCATENATE(Liste!$C$3,$B$3389,$B$3531),Data!$BO:$BO,0)-2,14),IF(INDEX(Tab_DaBa[],MATCH(CONCATENATE(Liste!$C$3,$B$3389,$B$3531),Data!$BO:$BO,0)-2,23)&lt;&gt;"",INDEX(Tab_DaBa[],MATCH(CONCATENATE(Liste!$C$3,$B$3389,$B$3531),Data!$BO:$BO,0)-2,29),"")),"")</f>
        <v>Logik 03</v>
      </c>
      <c r="I3533" s="39"/>
    </row>
    <row r="3534" spans="2:9" s="16" customFormat="1" ht="15.75">
      <c r="B3534" s="35" t="str">
        <f ca="1">IFERROR(INDEX(Tab_DaBa[],MATCH(CONCATENATE(Liste!$C$3,$B$3389,$B$3531),Data!$BO:$BO,0)-2,7),"")</f>
        <v>eeee-33_6</v>
      </c>
      <c r="C3534" s="54"/>
      <c r="D3534" s="35" t="str">
        <f ca="1">IFERROR(IF(INDEX(Tab_DaBa[],MATCH(CONCATENATE(Liste!$C$3,$B$3389,$B$3531),Data!$BO:$BO,0)-2,18)="",INDEX(Tab_DaBa[],MATCH(CONCATENATE(Liste!$C$3,$B$3389,$B$3531),Data!$BO:$BO,0)-2,12),INDEX(Tab_DaBa[],MATCH(CONCATENATE(Liste!$C$3,$B$3389,$B$3531),Data!$BO:$BO,0)-2,17)),"")</f>
        <v>Log01-04_06</v>
      </c>
      <c r="E3534" s="36"/>
      <c r="F3534" s="35" t="str">
        <f ca="1">IFERROR(IF(AND(INDEX(Tab_DaBa[],MATCH(CONCATENATE(Liste!$C$3,$B$3389,$B$3531),Data!$BO:$BO,0)-2,18)&lt;&gt;"",INDEX(Tab_DaBa[],MATCH(CONCATENATE(Liste!$C$3,$B$3389,$B$3531),Data!$BO:$BO,0)-2,23)=0),INDEX(Tab_DaBa[],MATCH(CONCATENATE(Liste!$C$3,$B$3389,$B$3531),Data!$BO:$BO,0)-2,12),IF(INDEX(Tab_DaBa[],MATCH(CONCATENATE(Liste!$C$3,$B$3389,$B$3531),Data!$BO:$BO,0)-2,23)&lt;&gt;"",INDEX(Tab_DaBa[],MATCH(CONCATENATE(Liste!$C$3,$B$3389,$B$3531),Data!$BO:$BO,0)-2,22),"")),"")</f>
        <v>Lo04-04_06</v>
      </c>
      <c r="G3534" s="39"/>
      <c r="H3534" s="35" t="str">
        <f ca="1">IFERROR(IF(AND(INDEX(Tab_DaBa[],MATCH(CONCATENATE(Liste!$C$3,$B$3389,$B$3531),Data!$BO:$BO,0)-2,23)&lt;&gt;"",INDEX(Tab_DaBa[],MATCH(CONCATENATE(Liste!$C$3,$B$3389,$B$3531),Data!$BO:$BO,0)-2,28)=0),INDEX(Tab_DaBa[],MATCH(CONCATENATE(Liste!$C$3,$B$3389,$B$3531),Data!$BO:$BO,0)-2,12),IF(INDEX(Tab_DaBa[],MATCH(CONCATENATE(Liste!$C$3,$B$3389,$B$3531),Data!$BO:$BO,0)-2,23)&lt;&gt;"",INDEX(Tab_DaBa[],MATCH(CONCATENATE(Liste!$C$3,$B$3389,$B$3531),Data!$BO:$BO,0)-2,27),"")),"")</f>
        <v>Lo04-44_06</v>
      </c>
      <c r="I3534" s="39"/>
    </row>
    <row r="3535" spans="2:9" s="16" customFormat="1" ht="15.75">
      <c r="B3535" s="35" t="str">
        <f ca="1">IFERROR(INDEX(Tab_DaBa[],MATCH(CONCATENATE(Liste!$C$3,$B$3389,$B$3531),Data!$BO:$BO,0)-2,8),"")</f>
        <v>Bez_Ein4_6</v>
      </c>
      <c r="C3535" s="40">
        <f ca="1">IF(D3533="","",4)</f>
        <v>4</v>
      </c>
      <c r="D3535" s="35" t="str">
        <f ca="1">IFERROR(IF(INDEX(Tab_DaBa[],MATCH(CONCATENATE(Liste!$C$3,$B$3389,$B$3531),Data!$BO:$BO,0)-2,18)="",INDEX(Tab_DaBa[],MATCH(CONCATENATE(Liste!$C$3,$B$3389,$B$3531),Data!$BO:$BO,0)-2,13),INDEX(Tab_DaBa[],MATCH(CONCATENATE(Liste!$C$3,$B$3389,$B$3531),Data!$BO:$BO,0)-2,18)),"")</f>
        <v>Bez_Log01_04_06</v>
      </c>
      <c r="E3535" s="40">
        <f ca="1">IF(F3533="","",4)</f>
        <v>4</v>
      </c>
      <c r="F3535" s="35" t="str">
        <f ca="1">IFERROR(IF(AND(INDEX(Tab_DaBa[],MATCH(CONCATENATE(Liste!$C$3,$B$3389,$B$3531),Data!$BO:$BO,0)-2,18)&lt;&gt;"",INDEX(Tab_DaBa[],MATCH(CONCATENATE(Liste!$C$3,$B$3389,$B$3531),Data!$BO:$BO,0)-2,23)=""),INDEX(Tab_DaBa[],MATCH(CONCATENATE(Liste!$C$3,$B$3389,$B$3531),Data!$BO:$BO,0)-2,13),IF(INDEX(Tab_DaBa[],MATCH(CONCATENATE(Liste!$C$3,$B$3389,$B$3531),Data!$BO:$BO,0)-2,23)&lt;&gt;"",INDEX(Tab_DaBa[],MATCH(CONCATENATE(Liste!$C$3,$B$3389,$B$3531),Data!$BO:$BO,0)-2,23),"")),"")</f>
        <v>Bez_Lo04_06</v>
      </c>
      <c r="G3535" s="38">
        <f ca="1">IF(H3533="","",4)</f>
        <v>4</v>
      </c>
      <c r="H3535" s="35" t="str">
        <f ca="1">IFERROR(IF(AND(INDEX(Tab_DaBa[],MATCH(CONCATENATE(Liste!$C$3,$B$3389,$B$3531),Data!$BO:$BO,0)-2,23)&lt;&gt;"",INDEX(Tab_DaBa[],MATCH(CONCATENATE(Liste!$C$3,$B$3389,$B$3531),Data!$BO:$BO,0)-2,28)=""),INDEX(Tab_DaBa[],MATCH(CONCATENATE(Liste!$C$3,$B$3389,$B$3531),Data!$BO:$BO,0)-2,13),IF(INDEX(Tab_DaBa[],MATCH(CONCATENATE(Liste!$C$3,$B$3389,$B$3531),Data!$BO:$BO,0)-2,23)&lt;&gt;"",INDEX(Tab_DaBa[],MATCH(CONCATENATE(Liste!$C$3,$B$3389,$B$3531),Data!$BO:$BO,0)-2,28),"")),"")</f>
        <v>Bez_Lo04_06</v>
      </c>
      <c r="I3535" s="38">
        <f ca="1">IF(B3541="","",6)</f>
        <v>6</v>
      </c>
    </row>
    <row r="3536" spans="2:9" s="16" customFormat="1" ht="15.75">
      <c r="B3536" s="35" t="str">
        <f ca="1">IFERROR("Performance Level: "&amp;INDEX(Tab_DaBa[],MATCH(CONCATENATE(Liste!$C$3,$B$3389,$B$3531),Data!$BO:$BO,0)-2,10),"")</f>
        <v>Performance Level: PL_Ein4_6</v>
      </c>
      <c r="C3536" s="54"/>
      <c r="D3536" s="35" t="str">
        <f ca="1">IFERROR(IF(INDEX(Tab_DaBa[],MATCH(CONCATENATE(Liste!$C$3,$B$3389,$B$3531),Data!$BO:$BO,0)-2,18)="","Performance Level: "&amp;INDEX(Tab_DaBa[],MATCH(CONCATENATE(Liste!$C$3,$B$3389,$B$3531),Data!$BO:$BO,0)-2,15),"Performance Level: "&amp;INDEX(Tab_DaBa[],MATCH(CONCATENATE(Liste!$C$3,$B$3389,$B$3531),Data!$BO:$BO,0)-2,20)),"")</f>
        <v>Performance Level: PL_Log01_04_06</v>
      </c>
      <c r="E3536" s="36"/>
      <c r="F3536" s="35" t="str">
        <f ca="1">IFERROR(IF(AND(INDEX(Tab_DaBa[],MATCH(CONCATENATE(Liste!$C$3,$B$3389,$B$3531),Data!$BO:$BO,0)-2,18)&lt;&gt;"",INDEX(Tab_DaBa[],MATCH(CONCATENATE(Liste!$C$3,$B$3389,$B$3531),Data!$BO:$BO,0)-2,23)=""),"Performance Level: "&amp;INDEX(Tab_DaBa[],MATCH(CONCATENATE(Liste!$C$3,$B$3389,$B$3531),Data!$BO:$BO,0)-2,15),IF(INDEX(Tab_DaBa[],MATCH(CONCATENATE(Liste!$C$3,$B$3389,$B$3531),Data!$BO:$BO,0)-2,23)&lt;&gt;"","Performance Level: "&amp;INDEX(Tab_DaBa[],MATCH(CONCATENATE(Liste!$C$3,$B$3389,$B$3531),Data!$BO:$BO,0)-2,25),"")),"")</f>
        <v>Performance Level: PL_Lo04_06</v>
      </c>
      <c r="G3536" s="39"/>
      <c r="H3536" s="35" t="str">
        <f ca="1">IFERROR(IF(AND(INDEX(Tab_DaBa[],MATCH(CONCATENATE(Liste!$C$3,$B$3389,$B$3531),Data!$BO:$BO,0)-2,23)&lt;&gt;"",INDEX(Tab_DaBa[],MATCH(CONCATENATE(Liste!$C$3,$B$3389,$B$3531),Data!$BO:$BO,0)-2,28)=""),"Performance Level: "&amp;INDEX(Tab_DaBa[],MATCH(CONCATENATE(Liste!$C$3,$B$3389,$B$3531),Data!$BO:$BO,0)-2,15),IF(INDEX(Tab_DaBa[],MATCH(CONCATENATE(Liste!$C$3,$B$3389,$B$3531),Data!$BO:$BO,0)-2,23)&lt;&gt;"","Performance Level: "&amp;INDEX(Tab_DaBa[],MATCH(CONCATENATE(Liste!$C$3,$B$3389,$B$3531),Data!$BO:$BO,0)-2,30),"")),"")</f>
        <v>Performance Level: PL_Lo04_06</v>
      </c>
      <c r="I3536" s="38"/>
    </row>
    <row r="3537" spans="2:9" s="16" customFormat="1" ht="15.75">
      <c r="B3537" s="53" t="str">
        <f ca="1">IFERROR("PFH [1/h] = "&amp;10^9*INDEX(Tab_DaBa[],MATCH(CONCATENATE(Liste!$C$3,$B$3389,$B$3531),Data!$BO:$BO,0)-2,11)&amp;"E-9","")</f>
        <v>PFH [1/h] = 42,9E-9</v>
      </c>
      <c r="C3537" s="54"/>
      <c r="D3537" s="35" t="str">
        <f ca="1">IFERROR(IF(INDEX(Tab_DaBa[],MATCH(CONCATENATE(Liste!$C$3,$B$3389,$B$3531),Data!$BO:$BO,0)-2,18)="","PFH [1/h] = "&amp;10^9*INDEX(Tab_DaBa[],MATCH(CONCATENATE(Liste!$C$3,$B$3389,$B$3531),Data!$BO:$BO,0)-2,16)&amp;"E-9","PFH [1/h] = "&amp;10^9*INDEX(Tab_DaBa[],MATCH(CONCATENATE(Liste!$C$3,$B$3389,$B$3531),Data!$BO:$BO,0)-2,21)&amp;"E-9"),"")</f>
        <v>PFH [1/h] = 4,19E-9</v>
      </c>
      <c r="E3537" s="36"/>
      <c r="F3537" s="35" t="str">
        <f ca="1">IFERROR(IF(AND(INDEX(Tab_DaBa[],MATCH(CONCATENATE(Liste!$C$3,$B$3389,$B$3531),Data!$BO:$BO,0)-2,18)&lt;&gt;"",INDEX(Tab_DaBa[],MATCH(CONCATENATE(Liste!$C$3,$B$3389,$B$3531),Data!$BO:$BO,0)-2,23)=""),"PFH [1/h] = "&amp;10^9*INDEX(Tab_DaBa[],MATCH(CONCATENATE(Liste!$C$3,$B$3389,$B$3531),Data!$BO:$BO,0)-2,16)&amp;"E-9",IF(INDEX(Tab_DaBa[],MATCH(CONCATENATE(Liste!$C$3,$B$3389,$B$3531),Data!$BO:$BO,0)-2,23)&lt;&gt;"","PFH [1/h] = "&amp;10^9*INDEX(Tab_DaBa[],MATCH(CONCATENATE(Liste!$C$3,$B$3389,$B$3531),Data!$BO:$BO,0)-2,26)&amp;"E-9","")),"")</f>
        <v>PFH [1/h] = 4,19E-9</v>
      </c>
      <c r="G3537" s="39"/>
      <c r="H3537" s="35" t="str">
        <f ca="1">IFERROR(IF(AND(INDEX(Tab_DaBa[],MATCH(CONCATENATE(Liste!$C$3,$B$3389,$B$3531),Data!$BO:$BO,0)-2,23)&lt;&gt;"",INDEX(Tab_DaBa[],MATCH(CONCATENATE(Liste!$C$3,$B$3389,$B$3531),Data!$BO:$BO,0)-2,28)=""),"PFH [1/h] = "&amp;10^9*INDEX(Tab_DaBa[],MATCH(CONCATENATE(Liste!$C$3,$B$3389,$B$3531),Data!$BO:$BO,0)-2,16)&amp;"E-9",IF(INDEX(Tab_DaBa[],MATCH(CONCATENATE(Liste!$C$3,$B$3389,$B$3531),Data!$BO:$BO,0)-2,23)&lt;&gt;"","PFH [1/h] = "&amp;10^9*INDEX(Tab_DaBa[],MATCH(CONCATENATE(Liste!$C$3,$B$3389,$B$3531),Data!$BO:$BO,0)-2,31)&amp;"E-9","")),"")</f>
        <v>PFH [1/h] = 4,19E-9</v>
      </c>
      <c r="I3537" s="39"/>
    </row>
    <row r="3538" spans="2:9" s="16" customFormat="1">
      <c r="B3538" s="33"/>
      <c r="C3538" s="34"/>
      <c r="D3538" s="33"/>
      <c r="E3538" s="33"/>
      <c r="F3538" s="33"/>
      <c r="G3538" s="33"/>
      <c r="H3538" s="33"/>
      <c r="I3538" s="33"/>
    </row>
    <row r="3539" spans="2:9" s="16" customFormat="1" ht="15.75">
      <c r="B3539" s="38">
        <f ca="1">IF(B3541="","",6)</f>
        <v>6</v>
      </c>
      <c r="C3539" s="34"/>
      <c r="D3539" s="38">
        <f ca="1">IF(B3541="","",3)</f>
        <v>3</v>
      </c>
      <c r="E3539" s="33"/>
      <c r="F3539" s="38">
        <f ca="1">IF(B3541="","",3)</f>
        <v>3</v>
      </c>
      <c r="G3539" s="33"/>
      <c r="H3539" s="38">
        <f ca="1">IF(B3541="","",3)</f>
        <v>3</v>
      </c>
      <c r="I3539" s="33"/>
    </row>
    <row r="3540" spans="2:9" s="16" customFormat="1" ht="15.75">
      <c r="B3540" s="39"/>
      <c r="C3540" s="33"/>
      <c r="D3540" s="33"/>
      <c r="E3540" s="33"/>
      <c r="F3540" s="33"/>
      <c r="G3540" s="33"/>
      <c r="H3540" s="33"/>
      <c r="I3540" s="33"/>
    </row>
    <row r="3541" spans="2:9" s="16" customFormat="1" ht="15.75">
      <c r="B3541" s="35" t="str">
        <f ca="1">IFERROR(IF(AND(INDEX(Tab_DaBa[],MATCH(CONCATENATE(Liste!$C$3,$B$3389,$B$3531),Data!$BO:$BO,0)-2,28)&lt;&gt;"",INDEX(Tab_DaBa[],MATCH(CONCATENATE(Liste!$C$3,$B$3389,$B$3531),Data!$BO:$BO,0)-2,33)=0),INDEX(Tab_DaBa[],MATCH(CONCATENATE(Liste!$C$3,$B$3389,$B$3531),Data!$BO:$BO,0)-2,14),IF(INDEX(Tab_DaBa[],MATCH(CONCATENATE(Liste!$C$3,$B$3389,$B$3531),Data!$BO:$BO,0)-2,28)&lt;&gt;"",INDEX(Tab_DaBa[],MATCH(CONCATENATE(Liste!$C$3,$B$3389,$B$3531),Data!$BO:$BO,0)-2,34),"")),"")</f>
        <v>Logik 04</v>
      </c>
      <c r="C3541" s="39"/>
      <c r="D3541" s="35" t="str">
        <f ca="1">IFERROR(IF(AND(INDEX(Tab_DaBa[],MATCH(CONCATENATE(Liste!$C$3,$B$3389,$B$3531),Data!$BO:$BO,0)-2,33)&lt;&gt;"",INDEX(Tab_DaBa[],MATCH(CONCATENATE(Liste!$C$3,$B$3389,$B$3531),Data!$BO:$BO,0)-2,38)=0),INDEX(Tab_DaBa[],MATCH(CONCATENATE(Liste!$C$3,$B$3389,$B$3531),Data!$BO:$BO,0)-2,14),IF(INDEX(Tab_DaBa[],MATCH(CONCATENATE(Liste!$C$3,$B$3389,$B$3531),Data!$BO:$BO,0)-2,33)&lt;&gt;"",INDEX(Tab_DaBa[],MATCH(CONCATENATE(Liste!$C$3,$B$3389,$B$3531),Data!$BO:$BO,0)-2,39),"")),"")</f>
        <v>Logik 05</v>
      </c>
      <c r="E3541" s="33"/>
      <c r="F3541" s="35" t="str">
        <f ca="1">IFERROR(IF(AND(INDEX(Tab_DaBa[],MATCH(CONCATENATE(Liste!$C$3,$B$3389,$B$3531),Data!$BO:$BO,0)-2,38)&lt;&gt;"",INDEX(Tab_DaBa[],MATCH(CONCATENATE(Liste!$C$3,$B$3389,$B$3531),Data!$BO:$BO,0)-2,43)=0),INDEX(Tab_DaBa[],MATCH(CONCATENATE(Liste!$C$3,$B$3389,$B$3531),Data!$BO:$BO,0)-2,14),IF(INDEX(Tab_DaBa[],MATCH(CONCATENATE(Liste!$C$3,$B$3389,$B$3531),Data!$BO:$BO,0)-2,38)&lt;&gt;"",INDEX(Tab_DaBa[],MATCH(CONCATENATE(Liste!$C$3,$B$3389,$B$3531),Data!$BO:$BO,0)-2,44),"")),"")</f>
        <v>Logik 06</v>
      </c>
      <c r="G3541" s="39"/>
      <c r="H3541" s="35" t="str">
        <f ca="1">IFERROR(IF(AND(INDEX(Tab_DaBa[],MATCH(CONCATENATE(Liste!$C$3,$B$3389,$B$3531),Data!$BO:$BO,0)-2,43)&lt;&gt;"",INDEX(Tab_DaBa[],MATCH(CONCATENATE(Liste!$C$3,$B$3389,$B$3531),Data!$BO:$BO,0)-2,48)=0),INDEX(Tab_DaBa[],MATCH(CONCATENATE(Liste!$C$3,$B$3389,$B$3531),Data!$BO:$BO,0)-2,14),IF(INDEX(Tab_DaBa[],MATCH(CONCATENATE(Liste!$C$3,$B$3389,$B$3531),Data!$BO:$BO,0)-2,43)&lt;&gt;"",INDEX(Tab_DaBa[],MATCH(CONCATENATE(Liste!$C$3,$B$3389,$B$3531),Data!$BO:$BO,0)-2,49),"")),"")</f>
        <v>Ausgang</v>
      </c>
      <c r="I3541" s="39"/>
    </row>
    <row r="3542" spans="2:9" s="16" customFormat="1" ht="15.75">
      <c r="B3542" s="35" t="str">
        <f ca="1">IFERROR(IF(AND(INDEX(Tab_DaBa[],MATCH(CONCATENATE(Liste!$C$3,$B$3389,$B$3531),Data!$BO:$BO,0)-2,28)&lt;&gt;"",INDEX(Tab_DaBa[],MATCH(CONCATENATE(Liste!$C$3,$B$3389,$B$3531),Data!$BO:$BO,0)-2,33)=0),INDEX(Tab_DaBa[],MATCH(CONCATENATE(Liste!$C$3,$B$3389,$B$3531),Data!$BO:$BO,0)-2,12),IF(INDEX(Tab_DaBa[],MATCH(CONCATENATE(Liste!$C$3,$B$3389,$B$3531),Data!$BO:$BO,0)-2,28)&lt;&gt;"",INDEX(Tab_DaBa[],MATCH(CONCATENATE(Liste!$C$3,$B$3389,$B$3531),Data!$BO:$BO,0)-2,32),"")),"")</f>
        <v>Lo04-44_06</v>
      </c>
      <c r="C3542" s="39"/>
      <c r="D3542" s="35" t="str">
        <f ca="1">IFERROR(IF(AND(INDEX(Tab_DaBa[],MATCH(CONCATENATE(Liste!$C$3,$B$3389,$B$3531),Data!$BO:$BO,0)-2,33)&lt;&gt;"",INDEX(Tab_DaBa[],MATCH(CONCATENATE(Liste!$C$3,$B$3389,$B$3531),Data!$BO:$BO,0)-2,38)=0),INDEX(Tab_DaBa[],MATCH(CONCATENATE(Liste!$C$3,$B$3389,$B$3531),Data!$BO:$BO,0)-2,12),IF(INDEX(Tab_DaBa[],MATCH(CONCATENATE(Liste!$C$3,$B$3389,$B$3531),Data!$BO:$BO,0)-2,33)&lt;&gt;"",INDEX(Tab_DaBa[],MATCH(CONCATENATE(Liste!$C$3,$B$3389,$B$3531),Data!$BO:$BO,0)-2,37),"")),"")</f>
        <v>Lo04-44_06</v>
      </c>
      <c r="E3542" s="37"/>
      <c r="F3542" s="35" t="str">
        <f ca="1">IFERROR(IF(AND(INDEX(Tab_DaBa[],MATCH(CONCATENATE(Liste!$C$3,$B$3389,$B$3531),Data!$BO:$BO,0)-2,38)&lt;&gt;"",INDEX(Tab_DaBa[],MATCH(CONCATENATE(Liste!$C$3,$B$3389,$B$3531),Data!$BO:$BO,0)-2,43)=0),INDEX(Tab_DaBa[],MATCH(CONCATENATE(Liste!$C$3,$B$3389,$B$3531),Data!$BO:$BO,0)-2,12),IF(INDEX(Tab_DaBa[],MATCH(CONCATENATE(Liste!$C$3,$B$3389,$B$3531),Data!$BO:$BO,0)-2,38)&lt;&gt;"",INDEX(Tab_DaBa[],MATCH(CONCATENATE(Liste!$C$3,$B$3389,$B$3531),Data!$BO:$BO,0)-2,42),"")),"")</f>
        <v>Lo03-33_06</v>
      </c>
      <c r="G3542" s="39"/>
      <c r="H3542" s="35" t="str">
        <f ca="1">IFERROR(IF(AND(INDEX(Tab_DaBa[],MATCH(CONCATENATE(Liste!$C$3,$B$3389,$B$3531),Data!$BO:$BO,0)-2,43)&lt;&gt;"",INDEX(Tab_DaBa[],MATCH(CONCATENATE(Liste!$C$3,$B$3389,$B$3531),Data!$BO:$BO,0)-2,48)=0),INDEX(Tab_DaBa[],MATCH(CONCATENATE(Liste!$C$3,$B$3389,$B$3531),Data!$BO:$BO,0)-2,12),IF(INDEX(Tab_DaBa[],MATCH(CONCATENATE(Liste!$C$3,$B$3389,$B$3531),Data!$BO:$BO,0)-2,43)&lt;&gt;"",INDEX(Tab_DaBa[],MATCH(CONCATENATE(Liste!$C$3,$B$3389,$B$3531),Data!$BO:$BO,0)-2,47),"")),"")</f>
        <v>aaaa-44_6</v>
      </c>
      <c r="I3542" s="39"/>
    </row>
    <row r="3543" spans="2:9" s="16" customFormat="1" ht="15.75">
      <c r="B3543" s="35" t="str">
        <f ca="1">IFERROR(IF(AND(INDEX(Tab_DaBa[],MATCH(CONCATENATE(Liste!$C$3,$B$3389,$B$3531),Data!$BO:$BO,0)-2,28)&lt;&gt;"",INDEX(Tab_DaBa[],MATCH(CONCATENATE(Liste!$C$3,$B$3389,$B$3531),Data!$BO:$BO,0)-2,33)=""),INDEX(Tab_DaBa[],MATCH(CONCATENATE(Liste!$C$3,$B$3389,$B$3531),Data!$BO:$BO,0)-2,13),IF(INDEX(Tab_DaBa[],MATCH(CONCATENATE(Liste!$C$3,$B$3389,$B$3531),Data!$BO:$BO,0)-2,28)&lt;&gt;"",INDEX(Tab_DaBa[],MATCH(CONCATENATE(Liste!$C$3,$B$3389,$B$3531),Data!$BO:$BO,0)-2,33),"")),"")</f>
        <v>Bez_Lo04_06</v>
      </c>
      <c r="C3543" s="38">
        <f ca="1">IF(D3541="","",4)</f>
        <v>4</v>
      </c>
      <c r="D3543" s="35" t="str">
        <f ca="1">IFERROR(IF(AND(INDEX(Tab_DaBa[],MATCH(CONCATENATE(Liste!$C$3,$B$3389,$B$3531),Data!$BO:$BO,0)-2,33)&lt;&gt;"",INDEX(Tab_DaBa[],MATCH(CONCATENATE(Liste!$C$3,$B$3389,$B$3531),Data!$BO:$BO,0)-2,38)=""),INDEX(Tab_DaBa[],MATCH(CONCATENATE(Liste!$C$3,$B$3389,$B$3531),Data!$BO:$BO,0)-2,13),IF(INDEX(Tab_DaBa[],MATCH(CONCATENATE(Liste!$C$3,$B$3389,$B$3531),Data!$BO:$BO,0)-2,33)&lt;&gt;"",INDEX(Tab_DaBa[],MATCH(CONCATENATE(Liste!$C$3,$B$3389,$B$3531),Data!$BO:$BO,0)-2,38),"")),"")</f>
        <v>Bez_Lo03_06</v>
      </c>
      <c r="E3543" s="38">
        <f ca="1">IF(F3541="","",4)</f>
        <v>4</v>
      </c>
      <c r="F3543" s="35" t="str">
        <f ca="1">IFERROR(IF(AND(INDEX(Tab_DaBa[],MATCH(CONCATENATE(Liste!$C$3,$B$3389,$B$3531),Data!$BO:$BO,0)-2,38)&lt;&gt;"",INDEX(Tab_DaBa[],MATCH(CONCATENATE(Liste!$C$3,$B$3389,$B$3531),Data!$BO:$BO,0)-2,43)=""),INDEX(Tab_DaBa[],MATCH(CONCATENATE(Liste!$C$3,$B$3389,$B$3531),Data!$BO:$BO,0)-2,13),IF(INDEX(Tab_DaBa[],MATCH(CONCATENATE(Liste!$C$3,$B$3389,$B$3531),Data!$BO:$BO,0)-2,38)&lt;&gt;"",INDEX(Tab_DaBa[],MATCH(CONCATENATE(Liste!$C$3,$B$3389,$B$3531),Data!$BO:$BO,0)-2,43),"")),"")</f>
        <v>Bez_Lo03_06</v>
      </c>
      <c r="G3543" s="38">
        <f ca="1">IF(H3541="","",4)</f>
        <v>4</v>
      </c>
      <c r="H3543" s="35" t="str">
        <f ca="1">IFERROR(IF(AND(INDEX(Tab_DaBa[],MATCH(CONCATENATE(Liste!$C$3,$B$3389,$B$3531),Data!$BO:$BO,0)-2,43)&lt;&gt;"",INDEX(Tab_DaBa[],MATCH(CONCATENATE(Liste!$C$3,$B$3389,$B$3531),Data!$BO:$BO,0)-2,48)=""),INDEX(Tab_DaBa[],MATCH(CONCATENATE(Liste!$C$3,$B$3389,$B$3531),Data!$BO:$BO,0)-2,13),IF(INDEX(Tab_DaBa[],MATCH(CONCATENATE(Liste!$C$3,$B$3389,$B$3531),Data!$BO:$BO,0)-2,43)&lt;&gt;"",INDEX(Tab_DaBa[],MATCH(CONCATENATE(Liste!$C$3,$B$3389,$B$3531),Data!$BO:$BO,0)-2,48),"")),"")</f>
        <v>Bez_Aus4_6</v>
      </c>
      <c r="I3543" s="38" t="str">
        <f ca="1">IF(B3549="","",6)</f>
        <v/>
      </c>
    </row>
    <row r="3544" spans="2:9" s="16" customFormat="1" ht="15.75">
      <c r="B3544" s="35" t="str">
        <f ca="1">IFERROR(IF(AND(INDEX(Tab_DaBa[],MATCH(CONCATENATE(Liste!$C$3,$B$3389,$B$3531),Data!$BO:$BO,0)-2,28)&lt;&gt;"",INDEX(Tab_DaBa[],MATCH(CONCATENATE(Liste!$C$3,$B$3389,$B$3531),Data!$BO:$BO,0)-2,33)=""),"Performance Level: "&amp;INDEX(Tab_DaBa[],MATCH(CONCATENATE(Liste!$C$3,$B$3389,$B$3531),Data!$BO:$BO,0)-2,15),IF(INDEX(Tab_DaBa[],MATCH(CONCATENATE(Liste!$C$3,$B$3389,$B$3531),Data!$BO:$BO,0)-2,28)&lt;&gt;"","Performance Level: "&amp;INDEX(Tab_DaBa[],MATCH(CONCATENATE(Liste!$C$3,$B$3389,$B$3531),Data!$BO:$BO,0)-2,35),"")),"")</f>
        <v>Performance Level: PL_Lo04_06</v>
      </c>
      <c r="C3544" s="39"/>
      <c r="D3544" s="35" t="str">
        <f ca="1">IFERROR(IF(AND(INDEX(Tab_DaBa[],MATCH(CONCATENATE(Liste!$C$3,$B$3389,$B$3531),Data!$BO:$BO,0)-2,33)&lt;&gt;"",INDEX(Tab_DaBa[],MATCH(CONCATENATE(Liste!$C$3,$B$3389,$B$3531),Data!$BO:$BO,0)-2,38)=""),"Performance Level: "&amp;INDEX(Tab_DaBa[],MATCH(CONCATENATE(Liste!$C$3,$B$3389,$B$3531),Data!$BO:$BO,0)-2,15),IF(INDEX(Tab_DaBa[],MATCH(CONCATENATE(Liste!$C$3,$B$3389,$B$3531),Data!$BO:$BO,0)-2,33)&lt;&gt;"","Performance Level: "&amp;INDEX(Tab_DaBa[],MATCH(CONCATENATE(Liste!$C$3,$B$3389,$B$3531),Data!$BO:$BO,0)-2,40),"")),"")</f>
        <v>Performance Level: PL_Lo03_6</v>
      </c>
      <c r="E3544" s="37"/>
      <c r="F3544" s="35" t="str">
        <f ca="1">IFERROR(IF(AND(INDEX(Tab_DaBa[],MATCH(CONCATENATE(Liste!$C$3,$B$3389,$B$3531),Data!$BO:$BO,0)-2,38)&lt;&gt;"",INDEX(Tab_DaBa[],MATCH(CONCATENATE(Liste!$C$3,$B$3389,$B$3531),Data!$BO:$BO,0)-2,43)=""),"Performance Level: "&amp;INDEX(Tab_DaBa[],MATCH(CONCATENATE(Liste!$C$3,$B$3389,$B$3531),Data!$BO:$BO,0)-2,15),IF(INDEX(Tab_DaBa[],MATCH(CONCATENATE(Liste!$C$3,$B$3389,$B$3531),Data!$BO:$BO,0)-2,38)&lt;&gt;"","Performance Level: "&amp;INDEX(Tab_DaBa[],MATCH(CONCATENATE(Liste!$C$3,$B$3389,$B$3531),Data!$BO:$BO,0)-2,45),"")),"")</f>
        <v>Performance Level: PL_Lo03_06</v>
      </c>
      <c r="G3544" s="39"/>
      <c r="H3544" s="35" t="str">
        <f ca="1">IFERROR(IF(AND(INDEX(Tab_DaBa[],MATCH(CONCATENATE(Liste!$C$3,$B$3389,$B$3531),Data!$BO:$BO,0)-2,43)&lt;&gt;"",INDEX(Tab_DaBa[],MATCH(CONCATENATE(Liste!$C$3,$B$3389,$B$3531),Data!$BO:$BO,0)-2,48)=""),"Performance Level: "&amp;INDEX(Tab_DaBa[],MATCH(CONCATENATE(Liste!$C$3,$B$3389,$B$3531),Data!$BO:$BO,0)-2,15),IF(INDEX(Tab_DaBa[],MATCH(CONCATENATE(Liste!$C$3,$B$3389,$B$3531),Data!$BO:$BO,0)-2,43)&lt;&gt;"","Performance Level: "&amp;INDEX(Tab_DaBa[],MATCH(CONCATENATE(Liste!$C$3,$B$3389,$B$3531),Data!$BO:$BO,0)-2,50),"")),"")</f>
        <v>Performance Level: PL_Aus4_6</v>
      </c>
      <c r="I3544" s="39"/>
    </row>
    <row r="3545" spans="2:9" s="16" customFormat="1" ht="15.75">
      <c r="B3545" s="35" t="str">
        <f ca="1">IFERROR(IF(AND(INDEX(Tab_DaBa[],MATCH(CONCATENATE(Liste!$C$3,$B$3389,$B$3531),Data!$BO:$BO,0)-2,28)&lt;&gt;"",INDEX(Tab_DaBa[],MATCH(CONCATENATE(Liste!$C$3,$B$3389,$B$3531),Data!$BO:$BO,0)-2,33)=""),"PFH [1/h] = "&amp;10^9*INDEX(Tab_DaBa[],MATCH(CONCATENATE(Liste!$C$3,$B$3389,$B$3531),Data!$BO:$BO,0)-2,16)&amp;"E-9",IF(INDEX(Tab_DaBa[],MATCH(CONCATENATE(Liste!$C$3,$B$3389,$B$3531),Data!$BO:$BO,0)-2,28)&lt;&gt;"","PFH [1/h] = "&amp;10^9*INDEX(Tab_DaBa[],MATCH(CONCATENATE(Liste!$C$3,$B$3389,$B$3531),Data!$BO:$BO,0)-2,36)&amp;"E-9","")),"")</f>
        <v>PFH [1/h] = 4,19E-9</v>
      </c>
      <c r="C3545" s="39"/>
      <c r="D3545" s="35" t="str">
        <f ca="1">IFERROR(IF(AND(INDEX(Tab_DaBa[],MATCH(CONCATENATE(Liste!$C$3,$B$3389,$B$3531),Data!$BO:$BO,0)-2,33)&lt;&gt;"",INDEX(Tab_DaBa[],MATCH(CONCATENATE(Liste!$C$3,$B$3389,$B$3531),Data!$BO:$BO,0)-2,38)=""),"PFH [1/h] = "&amp;10^9*INDEX(Tab_DaBa[],MATCH(CONCATENATE(Liste!$C$3,$B$3389,$B$3531),Data!$BO:$BO,0)-2,16)&amp;"E-9",IF(INDEX(Tab_DaBa[],MATCH(CONCATENATE(Liste!$C$3,$B$3389,$B$3531),Data!$BO:$BO,0)-2,33)&lt;&gt;"","PFH [1/h] = "&amp;10^9*INDEX(Tab_DaBa[],MATCH(CONCATENATE(Liste!$C$3,$B$3389,$B$3531),Data!$BO:$BO,0)-2,41)&amp;"E-9","")),"")</f>
        <v>PFH [1/h] = 4,19E-9</v>
      </c>
      <c r="E3545" s="37"/>
      <c r="F3545" s="35" t="str">
        <f ca="1">IFERROR(IF(AND(INDEX(Tab_DaBa[],MATCH(CONCATENATE(Liste!$C$3,$B$3389,$B$3531),Data!$BO:$BO,0)-2,38)&lt;&gt;"",INDEX(Tab_DaBa[],MATCH(CONCATENATE(Liste!$C$3,$B$3389,$B$3531),Data!$BO:$BO,0)-2,43)=""),"PFH [1/h] = "&amp;10^9*INDEX(Tab_DaBa[],MATCH(CONCATENATE(Liste!$C$3,$B$3389,$B$3531),Data!$BO:$BO,0)-2,16)&amp;"E-9",IF(INDEX(Tab_DaBa[],MATCH(CONCATENATE(Liste!$C$3,$B$3389,$B$3531),Data!$BO:$BO,0)-2,38)&lt;&gt;"","PFH [1/h] = "&amp;10^9*INDEX(Tab_DaBa[],MATCH(CONCATENATE(Liste!$C$3,$B$3389,$B$3531),Data!$BO:$BO,0)-2,46)&amp;"E-9","")),"")</f>
        <v>PFH [1/h] = 4,19E-9</v>
      </c>
      <c r="G3545" s="39"/>
      <c r="H3545" s="35" t="str">
        <f ca="1">IFERROR(IF(AND(INDEX(Tab_DaBa[],MATCH(CONCATENATE(Liste!$C$3,$B$3389,$B$3531),Data!$BO:$BO,0)-2,43)&lt;&gt;"",INDEX(Tab_DaBa[],MATCH(CONCATENATE(Liste!$C$3,$B$3389,$B$3531),Data!$BO:$BO,0)-2,48)=""),"PFH [1/h] = "&amp;10^9*INDEX(Tab_DaBa[],MATCH(CONCATENATE(Liste!$C$3,$B$3389,$B$3531),Data!$BO:$BO,0)-2,16)&amp;"E-9",IF(INDEX(Tab_DaBa[],MATCH(CONCATENATE(Liste!$C$3,$B$3389,$B$3531),Data!$BO:$BO,0)-2,43)&lt;&gt;"","PFH [1/h] = "&amp;10^9*INDEX(Tab_DaBa[],MATCH(CONCATENATE(Liste!$C$3,$B$3389,$B$3531),Data!$BO:$BO,0)-2,51)&amp;"E-9","")),"")</f>
        <v>PFH [1/h] = 24,7E-9</v>
      </c>
      <c r="I3545" s="39"/>
    </row>
    <row r="3546" spans="2:9" s="16" customFormat="1">
      <c r="B3546" s="33"/>
      <c r="C3546" s="33"/>
      <c r="D3546" s="33"/>
      <c r="E3546" s="33"/>
      <c r="F3546" s="33"/>
      <c r="G3546" s="33"/>
      <c r="H3546" s="33"/>
      <c r="I3546" s="33"/>
    </row>
    <row r="3547" spans="2:9" s="16" customFormat="1" ht="15.75">
      <c r="B3547" s="38" t="str">
        <f ca="1">IF(B3549="","",6)</f>
        <v/>
      </c>
      <c r="C3547" s="33"/>
      <c r="D3547" s="38" t="str">
        <f ca="1">IF(B3549="","",3)</f>
        <v/>
      </c>
      <c r="E3547" s="33"/>
      <c r="F3547" s="38" t="str">
        <f ca="1">IF(B3549="","",3)</f>
        <v/>
      </c>
      <c r="G3547" s="33"/>
      <c r="H3547" s="38" t="str">
        <f ca="1">IF(B3549="","",3)</f>
        <v/>
      </c>
      <c r="I3547" s="33"/>
    </row>
    <row r="3548" spans="2:9" s="16" customFormat="1" ht="15.75">
      <c r="B3548" s="39"/>
      <c r="C3548" s="33"/>
      <c r="D3548" s="33"/>
      <c r="E3548" s="33"/>
      <c r="F3548" s="33"/>
      <c r="G3548" s="33"/>
      <c r="H3548" s="33"/>
      <c r="I3548" s="33"/>
    </row>
    <row r="3549" spans="2:9" s="16" customFormat="1" ht="15.75">
      <c r="B3549" s="35" t="str">
        <f ca="1">IFERROR(IF(AND(INDEX(Tab_DaBa[],MATCH(CONCATENATE(Liste!$C$3,$B$3389,$B$3531),Data!$BO:$BO,0)-2,48)&lt;&gt;"",INDEX(Tab_DaBa[],MATCH(CONCATENATE(Liste!$C$3,$B$3389,$B$3531),Data!$BO:$BO,0)-2,53)=0),INDEX(Tab_DaBa[],MATCH(CONCATENATE(Liste!$C$3,$B$3389,$B$3531),Data!$BO:$BO,0)-2,14),IF(INDEX(Tab_DaBa[],MATCH(CONCATENATE(Liste!$C$3,$B$3389,$B$3531),Data!$BO:$BO,0)-2,48)&lt;&gt;"",INDEX(Tab_DaBa[],MATCH(CONCATENATE(Liste!$C$3,$B$3389,$B$3531),Data!$BO:$BO,0)-2,54),"")),"")</f>
        <v/>
      </c>
      <c r="C3549" s="39"/>
      <c r="D3549" s="35" t="str">
        <f ca="1">IFERROR(IF(AND(INDEX(Tab_DaBa[],MATCH(CONCATENATE(Liste!$C$3,$B$3389,$B$3531),Data!$BO:$BO,0)-2,53)&lt;&gt;"",INDEX(Tab_DaBa[],MATCH(CONCATENATE(Liste!$C$3,$B$3389,$B$3531),Data!$BO:$BO,0)-2,58)=0),INDEX(Tab_DaBa[],MATCH(CONCATENATE(Liste!$C$3,$B$3389,$B$3531),Data!$BO:$BO,0)-2,14),IF(INDEX(Tab_DaBa[],MATCH(CONCATENATE(Liste!$C$3,$B$3389,$B$3531),Data!$BO:$BO,0)-2,53)&lt;&gt;"",INDEX(Tab_DaBa[],MATCH(CONCATENATE(Liste!$C$3,$B$3389,$B$3531),Data!$BO:$BO,0)-2,59),"")),"")</f>
        <v/>
      </c>
      <c r="E3549" s="33"/>
      <c r="F3549" s="35" t="str">
        <f ca="1">IFERROR(IF(AND(INDEX(Tab_DaBa[],MATCH(CONCATENATE(Liste!$C$3,$B$3389,$B$3531),Data!$BO:$BO,0)-2,58)&lt;&gt;"",INDEX(Tab_DaBa[],MATCH(CONCATENATE(Liste!$C$3,$B$3389,$B$3531),Data!$BO:$BO,0)-2,63)=0),INDEX(Tab_DaBa[],MATCH(CONCATENATE(Liste!$C$3,$B$3389,$B$3531),Data!$BO:$BO,0)-2,14),IF(INDEX(Tab_DaBa[],MATCH(CONCATENATE(Liste!$C$3,$B$3389,$B$3531),Data!$BO:$BO,0)-2,58)&lt;&gt;"",INDEX(Tab_DaBa[],MATCH(CONCATENATE(Liste!$C$3,$B$3389,$B$3531),Data!$BO:$BO,0)-2,64),"")),"")</f>
        <v/>
      </c>
      <c r="G3549" s="39"/>
      <c r="H3549" s="35" t="str">
        <f ca="1">IFERROR(IF(INDEX(Tab_DaBa[],MATCH(CONCATENATE(Liste!$C$3,$B$3389,$B$3531),Data!$BO:$BO,0)-2,63)&lt;&gt;"",INDEX(Tab_DaBa[],MATCH(CONCATENATE(Liste!$C$3,$B$3389,$B$3531),Data!$BO:$BO,0)-2,14),""),"")</f>
        <v/>
      </c>
    </row>
    <row r="3550" spans="2:9" s="16" customFormat="1" ht="15.75">
      <c r="B3550" s="35" t="str">
        <f ca="1">IFERROR(IF(AND(INDEX(Tab_DaBa[],MATCH(CONCATENATE(Liste!$C$3,$B$3389,$B$3531),Data!$BO:$BO,0)-2,48)&lt;&gt;"",INDEX(Tab_DaBa[],MATCH(CONCATENATE(Liste!$C$3,$B$3389,$B$3531),Data!$BO:$BO,0)-2,53)=0),INDEX(Tab_DaBa[],MATCH(CONCATENATE(Liste!$C$3,$B$3389,$B$3531),Data!$BO:$BO,0)-2,12),IF(INDEX(Tab_DaBa[],MATCH(CONCATENATE(Liste!$C$3,$B$3389,$B$3531),Data!$BO:$BO,0)-2,48)&lt;&gt;"",INDEX(Tab_DaBa[],MATCH(CONCATENATE(Liste!$C$3,$B$3389,$B$3531),Data!$BO:$BO,0)-2,52),"")),"")</f>
        <v/>
      </c>
      <c r="C3550" s="39"/>
      <c r="D3550" s="35" t="str">
        <f ca="1">IFERROR(IF(AND(INDEX(Tab_DaBa[],MATCH(CONCATENATE(Liste!$C$3,$B$3389,$B$3531),Data!$BO:$BO,0)-2,53)&lt;&gt;"",INDEX(Tab_DaBa[],MATCH(CONCATENATE(Liste!$C$3,$B$3389,$B$3531),Data!$BO:$BO,0)-2,58)=0),INDEX(Tab_DaBa[],MATCH(CONCATENATE(Liste!$C$3,$B$3389,$B$3531),Data!$BO:$BO,0)-2,12),IF(INDEX(Tab_DaBa[],MATCH(CONCATENATE(Liste!$C$3,$B$3389,$B$3531),Data!$BO:$BO,0)-2,53)&lt;&gt;"",INDEX(Tab_DaBa[],MATCH(CONCATENATE(Liste!$C$3,$B$3389,$B$3531),Data!$BO:$BO,0)-2,57),"")),"")</f>
        <v/>
      </c>
      <c r="E3550" s="37"/>
      <c r="F3550" s="35" t="str">
        <f ca="1">IFERROR(IF(AND(INDEX(Tab_DaBa[],MATCH(CONCATENATE(Liste!$C$3,$B$3389,$B$3531),Data!$BO:$BO,0)-2,58)&lt;&gt;"",INDEX(Tab_DaBa[],MATCH(CONCATENATE(Liste!$C$3,$B$3389,$B$3531),Data!$BO:$BO,0)-2,63)=0),INDEX(Tab_DaBa[],MATCH(CONCATENATE(Liste!$C$3,$B$3389,$B$3531),Data!$BO:$BO,0)-2,12),IF(INDEX(Tab_DaBa[],MATCH(CONCATENATE(Liste!$C$3,$B$3389,$B$3531),Data!$BO:$BO,0)-2,58)&lt;&gt;"",INDEX(Tab_DaBa[],MATCH(CONCATENATE(Liste!$C$3,$B$3389,$B$3531),Data!$BO:$BO,0)-2,62),"")),"")</f>
        <v/>
      </c>
      <c r="G3550" s="39"/>
      <c r="H3550" s="35" t="str">
        <f ca="1">IFERROR(IF(INDEX(Tab_DaBa[],MATCH(CONCATENATE(Liste!$C$3,$B$3389,$B$3531),Data!$BO:$BO,0)-2,63)&lt;&gt;"",INDEX(Tab_DaBa[],MATCH(CONCATENATE(Liste!$C$3,$B$3389,$B$3531),Data!$BO:$BO,0)-2,12),""),"")</f>
        <v/>
      </c>
    </row>
    <row r="3551" spans="2:9" s="16" customFormat="1" ht="15.75">
      <c r="B3551" s="35" t="str">
        <f ca="1">IFERROR(IF(AND(INDEX(Tab_DaBa[],MATCH(CONCATENATE(Liste!$C$3,$B$3389,$B$3531),Data!$BO:$BO,0)-2,48)&lt;&gt;"",INDEX(Tab_DaBa[],MATCH(CONCATENATE(Liste!$C$3,$B$3389,$B$3531),Data!$BO:$BO,0)-2,53)=""),INDEX(Tab_DaBa[],MATCH(CONCATENATE(Liste!$C$3,$B$3389,$B$3531),Data!$BO:$BO,0)-2,13),IF(INDEX(Tab_DaBa[],MATCH(CONCATENATE(Liste!$C$3,$B$3389,$B$3531),Data!$BO:$BO,0)-2,48)&lt;&gt;"",INDEX(Tab_DaBa[],MATCH(CONCATENATE(Liste!$C$3,$B$3389,$B$3531),Data!$BO:$BO,0)-2,53),"")),"")</f>
        <v/>
      </c>
      <c r="C3551" s="38" t="str">
        <f ca="1">IF(D3549="","",4)</f>
        <v/>
      </c>
      <c r="D3551" s="35" t="str">
        <f ca="1">IFERROR(IF(AND(INDEX(Tab_DaBa[],MATCH(CONCATENATE(Liste!$C$3,$B$3389,$B$3531),Data!$BO:$BO,0)-2,53)&lt;&gt;"",INDEX(Tab_DaBa[],MATCH(CONCATENATE(Liste!$C$3,$B$3389,$B$3531),Data!$BO:$BO,0)-2,58)=""),INDEX(Tab_DaBa[],MATCH(CONCATENATE(Liste!$C$3,$B$3389,$B$3531),Data!$BO:$BO,0)-2,13),IF(INDEX(Tab_DaBa[],MATCH(CONCATENATE(Liste!$C$3,$B$3389,$B$3531),Data!$BO:$BO,0)-2,53)&lt;&gt;"",INDEX(Tab_DaBa[],MATCH(CONCATENATE(Liste!$C$3,$B$3389,$B$3531),Data!$BO:$BO,0)-2,58),"")),"")</f>
        <v/>
      </c>
      <c r="E3551" s="38" t="str">
        <f ca="1">IF(F3549="","",4)</f>
        <v/>
      </c>
      <c r="F3551" s="35" t="str">
        <f ca="1">IFERROR(IF(AND(INDEX(Tab_DaBa[],MATCH(CONCATENATE(Liste!$C$3,$B$3389,$B$3531),Data!$BO:$BO,0)-2,58)&lt;&gt;"",INDEX(Tab_DaBa[],MATCH(CONCATENATE(Liste!$C$3,$B$3389,$B$3531),Data!$BO:$BO,0)-2,63)=""),INDEX(Tab_DaBa[],MATCH(CONCATENATE(Liste!$C$3,$B$3389,$B$3531),Data!$BO:$BO,0)-2,13),IF(INDEX(Tab_DaBa[],MATCH(CONCATENATE(Liste!$C$3,$B$3389,$B$3531),Data!$BO:$BO,0)-2,58)&lt;&gt;"",INDEX(Tab_DaBa[],MATCH(CONCATENATE(Liste!$C$3,$B$3389,$B$3531),Data!$BO:$BO,0)-2,63),"")),"")</f>
        <v/>
      </c>
      <c r="G3551" s="38" t="str">
        <f ca="1">IF(H3549="","",4)</f>
        <v/>
      </c>
      <c r="H3551" s="35" t="str">
        <f ca="1">IFERROR(IF(INDEX(Tab_DaBa[],MATCH(CONCATENATE(Liste!$C$3,$B$3389,$B$3531),Data!$BO:$BO,0)-2,63)&lt;&gt;"",INDEX(Tab_DaBa[],MATCH(CONCATENATE(Liste!$C$3,$B$3389,$B$3531),Data!$BO:$BO,0)-2,13),""),"")</f>
        <v/>
      </c>
    </row>
    <row r="3552" spans="2:9" s="16" customFormat="1" ht="15.75">
      <c r="B3552" s="35" t="str">
        <f ca="1">IFERROR(IF(AND(INDEX(Tab_DaBa[],MATCH(CONCATENATE(Liste!$C$3,$B$3389,$B$3531),Data!$BO:$BO,0)-2,48)&lt;&gt;"",INDEX(Tab_DaBa[],MATCH(CONCATENATE(Liste!$C$3,$B$3389,$B$3531),Data!$BO:$BO,0)-2,53)=""),"Performance Level: "&amp;INDEX(Tab_DaBa[],MATCH(CONCATENATE(Liste!$C$3,$B$3389,$B$3531),Data!$BO:$BO,0)-2,15),IF(INDEX(Tab_DaBa[],MATCH(CONCATENATE(Liste!$C$3,$B$3389,$B$3531),Data!$BO:$BO,0)-2,48)&lt;&gt;"","Performance Level: "&amp;INDEX(Tab_DaBa[],MATCH(CONCATENATE(Liste!$C$3,$B$3389,$B$3531),Data!$BO:$BO,0)-2,55),"")),"")</f>
        <v/>
      </c>
      <c r="C3552" s="39"/>
      <c r="D3552" s="35" t="str">
        <f ca="1">IFERROR(IF(AND(INDEX(Tab_DaBa[],MATCH(CONCATENATE(Liste!$C$3,$B$3389,$B$3531),Data!$BO:$BO,0)-2,53)&lt;&gt;"",INDEX(Tab_DaBa[],MATCH(CONCATENATE(Liste!$C$3,$B$3389,$B$3531),Data!$BO:$BO,0)-2,58)=""),"Performance Level: "&amp;INDEX(Tab_DaBa[],MATCH(CONCATENATE(Liste!$C$3,$B$3389,$B$3531),Data!$BO:$BO,0)-2,15),IF(INDEX(Tab_DaBa[],MATCH(CONCATENATE(Liste!$C$3,$B$3389,$B$3531),Data!$BO:$BO,0)-2,53)&lt;&gt;"","Performance Level: "&amp;INDEX(Tab_DaBa[],MATCH(CONCATENATE(Liste!$C$3,$B$3389,$B$3531),Data!$BO:$BO,0)-2,60),"")),"")</f>
        <v/>
      </c>
      <c r="E3552" s="37"/>
      <c r="F3552" s="35" t="str">
        <f ca="1">IFERROR(IF(AND(INDEX(Tab_DaBa[],MATCH(CONCATENATE(Liste!$C$3,$B$3389,$B$3531),Data!$BO:$BO,0)-2,58)&lt;&gt;"",INDEX(Tab_DaBa[],MATCH(CONCATENATE(Liste!$C$3,$B$3389,$B$3531),Data!$BO:$BO,0)-2,63)=""),"Performance Level: "&amp;INDEX(Tab_DaBa[],MATCH(CONCATENATE(Liste!$C$3,$B$3389,$B$3531),Data!$BO:$BO,0)-2,15),IF(INDEX(Tab_DaBa[],MATCH(CONCATENATE(Liste!$C$3,$B$3389,$B$3531),Data!$BO:$BO,0)-2,58)&lt;&gt;"","Performance Level: "&amp;INDEX(Tab_DaBa[],MATCH(CONCATENATE(Liste!$C$3,$B$3389,$B$3531),Data!$BO:$BO,0)-2,65),"")),"")</f>
        <v/>
      </c>
      <c r="G3552" s="39"/>
      <c r="H3552" s="35" t="str">
        <f ca="1">IFERROR(IF(INDEX(Tab_DaBa[],MATCH(CONCATENATE(Liste!$C$3,$B$3389,$B$3531),Data!$BO:$BO,0)-2,63)&lt;&gt;"","Performance Level: "&amp;INDEX(Tab_DaBa[],MATCH(CONCATENATE(Liste!$C$3,$B$3389,$B$3531),Data!$BO:$BO,0)-2,15),""),"")</f>
        <v/>
      </c>
    </row>
    <row r="3553" spans="2:9" s="16" customFormat="1" ht="15.75">
      <c r="B3553" s="35" t="str">
        <f ca="1">IFERROR(IF(AND(INDEX(Tab_DaBa[],MATCH(CONCATENATE(Liste!$C$3,$B$3389,$B$3531),Data!$BO:$BO,0)-2,48)&lt;&gt;"",INDEX(Tab_DaBa[],MATCH(CONCATENATE(Liste!$C$3,$B$3389,$B$3531),Data!$BO:$BO,0)-2,53)=""),"PFH [1/h] = "&amp;10^9*INDEX(Tab_DaBa[],MATCH(CONCATENATE(Liste!$C$3,$B$3389,$B$3531),Data!$BO:$BO,0)-2,16)&amp;"E-9",IF(INDEX(Tab_DaBa[],MATCH(CONCATENATE(Liste!$C$3,$B$3389,$B$3531),Data!$BO:$BO,0)-2,48)&lt;&gt;"","PFH [1/h] = "&amp;10^9*INDEX(Tab_DaBa[],MATCH(CONCATENATE(Liste!$C$3,$B$3389,$B$3531),Data!$BO:$BO,0)-2,56)&amp;"E-9","")),"")</f>
        <v/>
      </c>
      <c r="C3553" s="39"/>
      <c r="D3553" s="35" t="str">
        <f ca="1">IFERROR(IF(AND(INDEX(Tab_DaBa[],MATCH(CONCATENATE(Liste!$C$3,$B$3389,$B$3531),Data!$BO:$BO,0)-2,53)&lt;&gt;"",INDEX(Tab_DaBa[],MATCH(CONCATENATE(Liste!$C$3,$B$3389,$B$3531),Data!$BO:$BO,0)-2,58)=""),"PFH [1/h] = "&amp;10^9*INDEX(Tab_DaBa[],MATCH(CONCATENATE(Liste!$C$3,$B$3389,$B$3531),Data!$BO:$BO,0)-2,16)&amp;"E-9",IF(INDEX(Tab_DaBa[],MATCH(CONCATENATE(Liste!$C$3,$B$3389,$B$3531),Data!$BO:$BO,0)-2,53)&lt;&gt;"","PFH [1/h] = "&amp;10^9*INDEX(Tab_DaBa[],MATCH(CONCATENATE(Liste!$C$3,$B$3389,$B$3531),Data!$BO:$BO,0)-2,61)&amp;"E-9","")),"")</f>
        <v/>
      </c>
      <c r="E3553" s="37"/>
      <c r="F3553" s="35" t="str">
        <f ca="1">IFERROR(IF(AND(INDEX(Tab_DaBa[],MATCH(CONCATENATE(Liste!$C$3,$B$3389,$B$3531),Data!$BO:$BO,0)-2,58)&lt;&gt;"",INDEX(Tab_DaBa[],MATCH(CONCATENATE(Liste!$C$3,$B$3389,$B$3531),Data!$BO:$BO,0)-2,63)=""),"PFH [1/h] = "&amp;10^9*INDEX(Tab_DaBa[],MATCH(CONCATENATE(Liste!$C$3,$B$3389,$B$3531),Data!$BO:$BO,0)-2,16)&amp;"E-9",IF(INDEX(Tab_DaBa[],MATCH(CONCATENATE(Liste!$C$3,$B$3389,$B$3531),Data!$BO:$BO,0)-2,58)&lt;&gt;"","PFH [1/h] = "&amp;10^9*INDEX(Tab_DaBa[],MATCH(CONCATENATE(Liste!$C$3,$B$3389,$B$3531),Data!$BO:$BO,0)-2,66)&amp;"E-9","")),"")</f>
        <v/>
      </c>
      <c r="G3553" s="39"/>
      <c r="H3553" s="35" t="str">
        <f ca="1">IFERROR(IF(INDEX(Tab_DaBa[],MATCH(CONCATENATE(Liste!$C$3,$B$3389,$B$3531),Data!$BO:$BO,0)-2,63)&lt;&gt;"","PFH [1/h] = "&amp;10^9*INDEX(Tab_DaBa[],MATCH(CONCATENATE(Liste!$C$3,$B$3389,$B$3531),Data!$BO:$BO,0)-2,16)&amp;"E-9",""),"")</f>
        <v/>
      </c>
    </row>
    <row r="3554" spans="2:9" s="16" customFormat="1"/>
    <row r="3555" spans="2:9" s="16" customFormat="1">
      <c r="B3555" s="43" t="str">
        <f ca="1">IF(D3555="","","Erforderlich")</f>
        <v>Erforderlich</v>
      </c>
      <c r="D3555" s="44" t="str">
        <f ca="1">IFERROR("Performance Level: "&amp;INDEX(Tab_DaBa[],MATCH(CONCATENATE(Liste!$C$3,$B$3389,$B$3531),Data!$BO:$BO,0)-2,4),"")</f>
        <v>Performance Level: PLr_ges4_6</v>
      </c>
    </row>
    <row r="3556" spans="2:9" s="16" customFormat="1">
      <c r="B3556" s="45"/>
    </row>
    <row r="3557" spans="2:9" s="16" customFormat="1">
      <c r="B3557" s="46" t="str">
        <f ca="1">IF(D3557="","","Erreicht")</f>
        <v>Erreicht</v>
      </c>
      <c r="D3557" s="47" t="str">
        <f ca="1">IFERROR("Performance Level: "&amp;INDEX(Tab_DaBa[],MATCH(CONCATENATE(Liste!$C$3,$B$3389,$B$3531),Data!$BO:$BO,0)-2,5)&amp;"          PFH [1/h] = "&amp;10^9*INDEX(Tab_DaBa[],MATCH(CONCATENATE(Liste!$C$3,$B$3389,$B$3531),Data!$BO:$BO,0)-2,6)&amp;"E-9","")</f>
        <v>Performance Level: Pl_ges4_6          PFH [1/h] = 71,7E-9</v>
      </c>
    </row>
    <row r="3558" spans="2:9" s="16" customFormat="1"/>
    <row r="3559" spans="2:9" s="16" customFormat="1">
      <c r="B3559" s="42" t="str">
        <f ca="1">IFERROR(IF(7&gt;COUNTIF(Data!$BP:$BP,CONCATENATE(Liste!$C$3,$B$3389)),"",INDEX(Tab_DaBa[],MATCH(CONCATENATE(Liste!$C$3,$B$3389),Data!$BP:$BP,0)+4,3)),"")</f>
        <v>13.7 Test13 (E+7L+A)</v>
      </c>
    </row>
    <row r="3560" spans="2:9" s="16" customFormat="1"/>
    <row r="3561" spans="2:9" s="16" customFormat="1" ht="15.75">
      <c r="B3561" s="35" t="str">
        <f ca="1">IFERROR(INDEX(Tab_DaBa[],MATCH(CONCATENATE(Liste!$C$3,$B$3389,$B$3559),Data!$BO:$BO,0)-2,9),"")</f>
        <v>Eingang</v>
      </c>
      <c r="C3561" s="54"/>
      <c r="D3561" s="35" t="str">
        <f ca="1">IFERROR(IF(INDEX(Tab_DaBa[],MATCH(CONCATENATE(Liste!$C$3,$B$3389,$B$3559),Data!$BO:$BO,0)-2,18)=0,INDEX(Tab_DaBa[],MATCH(CONCATENATE(Liste!$C$3,$B$3389,$B$3559),Data!$BO:$BO,0)-2,14),INDEX(Tab_DaBa[],MATCH(CONCATENATE(Liste!$C$3,$B$3389,$B$3559),Data!$BO:$BO,0)-2,19)),"")</f>
        <v>Logik 01</v>
      </c>
      <c r="E3561" s="33"/>
      <c r="F3561" s="35" t="str">
        <f ca="1">IFERROR(IF(AND(INDEX(Tab_DaBa[],MATCH(CONCATENATE(Liste!$C$3,$B$3389,$B$3559),Data!$BO:$BO,0)-2,18)&lt;&gt;"",INDEX(Tab_DaBa[],MATCH(CONCATENATE(Liste!$C$3,$B$3389,$B$3559),Data!$BO:$BO,0)-2,23)=0),INDEX(Tab_DaBa[],MATCH(CONCATENATE(Liste!$C$3,$B$3389,$B$3559),Data!$BO:$BO,0)-2,14),IF(INDEX(Tab_DaBa[],MATCH(CONCATENATE(Liste!$C$3,$B$3389,$B$3559),Data!$BO:$BO,0)-2,23)&lt;&gt;"",INDEX(Tab_DaBa[],MATCH(CONCATENATE(Liste!$C$3,$B$3389,$B$3559),Data!$BO:$BO,0)-2,24),"")),"")</f>
        <v>Logik 02</v>
      </c>
      <c r="G3561" s="39"/>
      <c r="H3561" s="35" t="str">
        <f ca="1">IFERROR(IF(AND(INDEX(Tab_DaBa[],MATCH(CONCATENATE(Liste!$C$3,$B$3389,$B$3559),Data!$BO:$BO,0)-2,23)&lt;&gt;"",INDEX(Tab_DaBa[],MATCH(CONCATENATE(Liste!$C$3,$B$3389,$B$3559),Data!$BO:$BO,0)-2,28)=0),INDEX(Tab_DaBa[],MATCH(CONCATENATE(Liste!$C$3,$B$3389,$B$3559),Data!$BO:$BO,0)-2,14),IF(INDEX(Tab_DaBa[],MATCH(CONCATENATE(Liste!$C$3,$B$3389,$B$3559),Data!$BO:$BO,0)-2,23)&lt;&gt;"",INDEX(Tab_DaBa[],MATCH(CONCATENATE(Liste!$C$3,$B$3389,$B$3559),Data!$BO:$BO,0)-2,29),"")),"")</f>
        <v>Logik 03</v>
      </c>
      <c r="I3561" s="39"/>
    </row>
    <row r="3562" spans="2:9" s="16" customFormat="1" ht="15.75">
      <c r="B3562" s="35" t="str">
        <f ca="1">IFERROR(INDEX(Tab_DaBa[],MATCH(CONCATENATE(Liste!$C$3,$B$3389,$B$3559),Data!$BO:$BO,0)-2,7),"")</f>
        <v>eeee-33_7</v>
      </c>
      <c r="C3562" s="54"/>
      <c r="D3562" s="35" t="str">
        <f ca="1">IFERROR(IF(INDEX(Tab_DaBa[],MATCH(CONCATENATE(Liste!$C$3,$B$3389,$B$3559),Data!$BO:$BO,0)-2,18)="",INDEX(Tab_DaBa[],MATCH(CONCATENATE(Liste!$C$3,$B$3389,$B$3559),Data!$BO:$BO,0)-2,12),INDEX(Tab_DaBa[],MATCH(CONCATENATE(Liste!$C$3,$B$3389,$B$3559),Data!$BO:$BO,0)-2,17)),"")</f>
        <v>Log01-04_07</v>
      </c>
      <c r="E3562" s="36"/>
      <c r="F3562" s="35" t="str">
        <f ca="1">IFERROR(IF(AND(INDEX(Tab_DaBa[],MATCH(CONCATENATE(Liste!$C$3,$B$3389,$B$3559),Data!$BO:$BO,0)-2,18)&lt;&gt;"",INDEX(Tab_DaBa[],MATCH(CONCATENATE(Liste!$C$3,$B$3389,$B$3559),Data!$BO:$BO,0)-2,23)=0),INDEX(Tab_DaBa[],MATCH(CONCATENATE(Liste!$C$3,$B$3389,$B$3559),Data!$BO:$BO,0)-2,12),IF(INDEX(Tab_DaBa[],MATCH(CONCATENATE(Liste!$C$3,$B$3389,$B$3559),Data!$BO:$BO,0)-2,23)&lt;&gt;"",INDEX(Tab_DaBa[],MATCH(CONCATENATE(Liste!$C$3,$B$3389,$B$3559),Data!$BO:$BO,0)-2,22),"")),"")</f>
        <v>Lo04-04_07</v>
      </c>
      <c r="G3562" s="39"/>
      <c r="H3562" s="35" t="str">
        <f ca="1">IFERROR(IF(AND(INDEX(Tab_DaBa[],MATCH(CONCATENATE(Liste!$C$3,$B$3389,$B$3559),Data!$BO:$BO,0)-2,23)&lt;&gt;"",INDEX(Tab_DaBa[],MATCH(CONCATENATE(Liste!$C$3,$B$3389,$B$3559),Data!$BO:$BO,0)-2,28)=0),INDEX(Tab_DaBa[],MATCH(CONCATENATE(Liste!$C$3,$B$3389,$B$3559),Data!$BO:$BO,0)-2,12),IF(INDEX(Tab_DaBa[],MATCH(CONCATENATE(Liste!$C$3,$B$3389,$B$3559),Data!$BO:$BO,0)-2,23)&lt;&gt;"",INDEX(Tab_DaBa[],MATCH(CONCATENATE(Liste!$C$3,$B$3389,$B$3559),Data!$BO:$BO,0)-2,27),"")),"")</f>
        <v>Lo04-44_07</v>
      </c>
      <c r="I3562" s="39"/>
    </row>
    <row r="3563" spans="2:9" s="16" customFormat="1" ht="15.75">
      <c r="B3563" s="35" t="str">
        <f ca="1">IFERROR(INDEX(Tab_DaBa[],MATCH(CONCATENATE(Liste!$C$3,$B$3389,$B$3559),Data!$BO:$BO,0)-2,8),"")</f>
        <v>Bez_Ein4_7</v>
      </c>
      <c r="C3563" s="40">
        <f ca="1">IF(D3561="","",4)</f>
        <v>4</v>
      </c>
      <c r="D3563" s="35" t="str">
        <f ca="1">IFERROR(IF(INDEX(Tab_DaBa[],MATCH(CONCATENATE(Liste!$C$3,$B$3389,$B$3559),Data!$BO:$BO,0)-2,18)="",INDEX(Tab_DaBa[],MATCH(CONCATENATE(Liste!$C$3,$B$3389,$B$3559),Data!$BO:$BO,0)-2,13),INDEX(Tab_DaBa[],MATCH(CONCATENATE(Liste!$C$3,$B$3389,$B$3559),Data!$BO:$BO,0)-2,18)),"")</f>
        <v>Bez_Log01_04_07</v>
      </c>
      <c r="E3563" s="40">
        <f ca="1">IF(F3561="","",4)</f>
        <v>4</v>
      </c>
      <c r="F3563" s="35" t="str">
        <f ca="1">IFERROR(IF(AND(INDEX(Tab_DaBa[],MATCH(CONCATENATE(Liste!$C$3,$B$3389,$B$3559),Data!$BO:$BO,0)-2,18)&lt;&gt;"",INDEX(Tab_DaBa[],MATCH(CONCATENATE(Liste!$C$3,$B$3389,$B$3559),Data!$BO:$BO,0)-2,23)=""),INDEX(Tab_DaBa[],MATCH(CONCATENATE(Liste!$C$3,$B$3389,$B$3559),Data!$BO:$BO,0)-2,13),IF(INDEX(Tab_DaBa[],MATCH(CONCATENATE(Liste!$C$3,$B$3389,$B$3559),Data!$BO:$BO,0)-2,23)&lt;&gt;"",INDEX(Tab_DaBa[],MATCH(CONCATENATE(Liste!$C$3,$B$3389,$B$3559),Data!$BO:$BO,0)-2,23),"")),"")</f>
        <v>Bez_Lo04_07</v>
      </c>
      <c r="G3563" s="38">
        <f ca="1">IF(H3561="","",4)</f>
        <v>4</v>
      </c>
      <c r="H3563" s="35" t="str">
        <f ca="1">IFERROR(IF(AND(INDEX(Tab_DaBa[],MATCH(CONCATENATE(Liste!$C$3,$B$3389,$B$3559),Data!$BO:$BO,0)-2,23)&lt;&gt;"",INDEX(Tab_DaBa[],MATCH(CONCATENATE(Liste!$C$3,$B$3389,$B$3559),Data!$BO:$BO,0)-2,28)=""),INDEX(Tab_DaBa[],MATCH(CONCATENATE(Liste!$C$3,$B$3389,$B$3559),Data!$BO:$BO,0)-2,13),IF(INDEX(Tab_DaBa[],MATCH(CONCATENATE(Liste!$C$3,$B$3389,$B$3559),Data!$BO:$BO,0)-2,23)&lt;&gt;"",INDEX(Tab_DaBa[],MATCH(CONCATENATE(Liste!$C$3,$B$3389,$B$3559),Data!$BO:$BO,0)-2,28),"")),"")</f>
        <v>Bez_Lo04_07</v>
      </c>
      <c r="I3563" s="38">
        <f ca="1">IF(B3569="","",6)</f>
        <v>6</v>
      </c>
    </row>
    <row r="3564" spans="2:9" s="16" customFormat="1" ht="15.75">
      <c r="B3564" s="35" t="str">
        <f ca="1">IFERROR("Performance Level: "&amp;INDEX(Tab_DaBa[],MATCH(CONCATENATE(Liste!$C$3,$B$3389,$B$3559),Data!$BO:$BO,0)-2,10),"")</f>
        <v>Performance Level: PL_Ein4_7</v>
      </c>
      <c r="C3564" s="54"/>
      <c r="D3564" s="35" t="str">
        <f ca="1">IFERROR(IF(INDEX(Tab_DaBa[],MATCH(CONCATENATE(Liste!$C$3,$B$3389,$B$3559),Data!$BO:$BO,0)-2,18)="","Performance Level: "&amp;INDEX(Tab_DaBa[],MATCH(CONCATENATE(Liste!$C$3,$B$3389,$B$3559),Data!$BO:$BO,0)-2,15),"Performance Level: "&amp;INDEX(Tab_DaBa[],MATCH(CONCATENATE(Liste!$C$3,$B$3389,$B$3559),Data!$BO:$BO,0)-2,20)),"")</f>
        <v>Performance Level: PL_Log01_04_07</v>
      </c>
      <c r="E3564" s="36"/>
      <c r="F3564" s="35" t="str">
        <f ca="1">IFERROR(IF(AND(INDEX(Tab_DaBa[],MATCH(CONCATENATE(Liste!$C$3,$B$3389,$B$3559),Data!$BO:$BO,0)-2,18)&lt;&gt;"",INDEX(Tab_DaBa[],MATCH(CONCATENATE(Liste!$C$3,$B$3389,$B$3559),Data!$BO:$BO,0)-2,23)=""),"Performance Level: "&amp;INDEX(Tab_DaBa[],MATCH(CONCATENATE(Liste!$C$3,$B$3389,$B$3559),Data!$BO:$BO,0)-2,15),IF(INDEX(Tab_DaBa[],MATCH(CONCATENATE(Liste!$C$3,$B$3389,$B$3559),Data!$BO:$BO,0)-2,23)&lt;&gt;"","Performance Level: "&amp;INDEX(Tab_DaBa[],MATCH(CONCATENATE(Liste!$C$3,$B$3389,$B$3559),Data!$BO:$BO,0)-2,25),"")),"")</f>
        <v>Performance Level: PL_Lo04_07</v>
      </c>
      <c r="G3564" s="39"/>
      <c r="H3564" s="35" t="str">
        <f ca="1">IFERROR(IF(AND(INDEX(Tab_DaBa[],MATCH(CONCATENATE(Liste!$C$3,$B$3389,$B$3559),Data!$BO:$BO,0)-2,23)&lt;&gt;"",INDEX(Tab_DaBa[],MATCH(CONCATENATE(Liste!$C$3,$B$3389,$B$3559),Data!$BO:$BO,0)-2,28)=""),"Performance Level: "&amp;INDEX(Tab_DaBa[],MATCH(CONCATENATE(Liste!$C$3,$B$3389,$B$3559),Data!$BO:$BO,0)-2,15),IF(INDEX(Tab_DaBa[],MATCH(CONCATENATE(Liste!$C$3,$B$3389,$B$3559),Data!$BO:$BO,0)-2,23)&lt;&gt;"","Performance Level: "&amp;INDEX(Tab_DaBa[],MATCH(CONCATENATE(Liste!$C$3,$B$3389,$B$3559),Data!$BO:$BO,0)-2,30),"")),"")</f>
        <v>Performance Level: PL_Lo04_07</v>
      </c>
      <c r="I3564" s="38"/>
    </row>
    <row r="3565" spans="2:9" s="16" customFormat="1" ht="15.75">
      <c r="B3565" s="53" t="str">
        <f ca="1">IFERROR("PFH [1/h] = "&amp;10^9*INDEX(Tab_DaBa[],MATCH(CONCATENATE(Liste!$C$3,$B$3389,$B$3559),Data!$BO:$BO,0)-2,11)&amp;"E-9","")</f>
        <v>PFH [1/h] = 42,9E-9</v>
      </c>
      <c r="C3565" s="54"/>
      <c r="D3565" s="35" t="str">
        <f ca="1">IFERROR(IF(INDEX(Tab_DaBa[],MATCH(CONCATENATE(Liste!$C$3,$B$3389,$B$3559),Data!$BO:$BO,0)-2,18)="","PFH [1/h] = "&amp;10^9*INDEX(Tab_DaBa[],MATCH(CONCATENATE(Liste!$C$3,$B$3389,$B$3559),Data!$BO:$BO,0)-2,16)&amp;"E-9","PFH [1/h] = "&amp;10^9*INDEX(Tab_DaBa[],MATCH(CONCATENATE(Liste!$C$3,$B$3389,$B$3559),Data!$BO:$BO,0)-2,21)&amp;"E-9"),"")</f>
        <v>PFH [1/h] = 4,19E-9</v>
      </c>
      <c r="E3565" s="36"/>
      <c r="F3565" s="35" t="str">
        <f ca="1">IFERROR(IF(AND(INDEX(Tab_DaBa[],MATCH(CONCATENATE(Liste!$C$3,$B$3389,$B$3559),Data!$BO:$BO,0)-2,18)&lt;&gt;"",INDEX(Tab_DaBa[],MATCH(CONCATENATE(Liste!$C$3,$B$3389,$B$3559),Data!$BO:$BO,0)-2,23)=""),"PFH [1/h] = "&amp;10^9*INDEX(Tab_DaBa[],MATCH(CONCATENATE(Liste!$C$3,$B$3389,$B$3559),Data!$BO:$BO,0)-2,16)&amp;"E-9",IF(INDEX(Tab_DaBa[],MATCH(CONCATENATE(Liste!$C$3,$B$3389,$B$3559),Data!$BO:$BO,0)-2,23)&lt;&gt;"","PFH [1/h] = "&amp;10^9*INDEX(Tab_DaBa[],MATCH(CONCATENATE(Liste!$C$3,$B$3389,$B$3559),Data!$BO:$BO,0)-2,26)&amp;"E-9","")),"")</f>
        <v>PFH [1/h] = 4,19E-9</v>
      </c>
      <c r="G3565" s="39"/>
      <c r="H3565" s="35" t="str">
        <f ca="1">IFERROR(IF(AND(INDEX(Tab_DaBa[],MATCH(CONCATENATE(Liste!$C$3,$B$3389,$B$3559),Data!$BO:$BO,0)-2,23)&lt;&gt;"",INDEX(Tab_DaBa[],MATCH(CONCATENATE(Liste!$C$3,$B$3389,$B$3559),Data!$BO:$BO,0)-2,28)=""),"PFH [1/h] = "&amp;10^9*INDEX(Tab_DaBa[],MATCH(CONCATENATE(Liste!$C$3,$B$3389,$B$3559),Data!$BO:$BO,0)-2,16)&amp;"E-9",IF(INDEX(Tab_DaBa[],MATCH(CONCATENATE(Liste!$C$3,$B$3389,$B$3559),Data!$BO:$BO,0)-2,23)&lt;&gt;"","PFH [1/h] = "&amp;10^9*INDEX(Tab_DaBa[],MATCH(CONCATENATE(Liste!$C$3,$B$3389,$B$3559),Data!$BO:$BO,0)-2,31)&amp;"E-9","")),"")</f>
        <v>PFH [1/h] = 4,19E-9</v>
      </c>
      <c r="I3565" s="39"/>
    </row>
    <row r="3566" spans="2:9" s="16" customFormat="1">
      <c r="B3566" s="33"/>
      <c r="C3566" s="34"/>
      <c r="D3566" s="33"/>
      <c r="E3566" s="33"/>
      <c r="F3566" s="33"/>
      <c r="G3566" s="33"/>
      <c r="H3566" s="33"/>
      <c r="I3566" s="33"/>
    </row>
    <row r="3567" spans="2:9" s="16" customFormat="1" ht="15.75">
      <c r="B3567" s="38">
        <f ca="1">IF(B3569="","",6)</f>
        <v>6</v>
      </c>
      <c r="C3567" s="34"/>
      <c r="D3567" s="38">
        <f ca="1">IF(B3569="","",3)</f>
        <v>3</v>
      </c>
      <c r="E3567" s="33"/>
      <c r="F3567" s="38">
        <f ca="1">IF(B3569="","",3)</f>
        <v>3</v>
      </c>
      <c r="G3567" s="33"/>
      <c r="H3567" s="38">
        <f ca="1">IF(B3569="","",3)</f>
        <v>3</v>
      </c>
      <c r="I3567" s="33"/>
    </row>
    <row r="3568" spans="2:9" s="16" customFormat="1" ht="15.75">
      <c r="B3568" s="39"/>
      <c r="C3568" s="33"/>
      <c r="D3568" s="33"/>
      <c r="E3568" s="33"/>
      <c r="F3568" s="33"/>
      <c r="G3568" s="33"/>
      <c r="H3568" s="33"/>
      <c r="I3568" s="33"/>
    </row>
    <row r="3569" spans="2:9" s="16" customFormat="1" ht="15.75">
      <c r="B3569" s="35" t="str">
        <f ca="1">IFERROR(IF(AND(INDEX(Tab_DaBa[],MATCH(CONCATENATE(Liste!$C$3,$B$3389,$B$3559),Data!$BO:$BO,0)-2,28)&lt;&gt;"",INDEX(Tab_DaBa[],MATCH(CONCATENATE(Liste!$C$3,$B$3389,$B$3559),Data!$BO:$BO,0)-2,33)=0),INDEX(Tab_DaBa[],MATCH(CONCATENATE(Liste!$C$3,$B$3389,$B$3559),Data!$BO:$BO,0)-2,14),IF(INDEX(Tab_DaBa[],MATCH(CONCATENATE(Liste!$C$3,$B$3389,$B$3559),Data!$BO:$BO,0)-2,28)&lt;&gt;"",INDEX(Tab_DaBa[],MATCH(CONCATENATE(Liste!$C$3,$B$3389,$B$3559),Data!$BO:$BO,0)-2,34),"")),"")</f>
        <v>Logik 04</v>
      </c>
      <c r="C3569" s="39"/>
      <c r="D3569" s="35" t="str">
        <f ca="1">IFERROR(IF(AND(INDEX(Tab_DaBa[],MATCH(CONCATENATE(Liste!$C$3,$B$3389,$B$3559),Data!$BO:$BO,0)-2,33)&lt;&gt;"",INDEX(Tab_DaBa[],MATCH(CONCATENATE(Liste!$C$3,$B$3389,$B$3559),Data!$BO:$BO,0)-2,38)=0),INDEX(Tab_DaBa[],MATCH(CONCATENATE(Liste!$C$3,$B$3389,$B$3559),Data!$BO:$BO,0)-2,14),IF(INDEX(Tab_DaBa[],MATCH(CONCATENATE(Liste!$C$3,$B$3389,$B$3559),Data!$BO:$BO,0)-2,33)&lt;&gt;"",INDEX(Tab_DaBa[],MATCH(CONCATENATE(Liste!$C$3,$B$3389,$B$3559),Data!$BO:$BO,0)-2,39),"")),"")</f>
        <v>Logik 05</v>
      </c>
      <c r="E3569" s="33"/>
      <c r="F3569" s="35" t="str">
        <f ca="1">IFERROR(IF(AND(INDEX(Tab_DaBa[],MATCH(CONCATENATE(Liste!$C$3,$B$3389,$B$3559),Data!$BO:$BO,0)-2,38)&lt;&gt;"",INDEX(Tab_DaBa[],MATCH(CONCATENATE(Liste!$C$3,$B$3389,$B$3559),Data!$BO:$BO,0)-2,43)=0),INDEX(Tab_DaBa[],MATCH(CONCATENATE(Liste!$C$3,$B$3389,$B$3559),Data!$BO:$BO,0)-2,14),IF(INDEX(Tab_DaBa[],MATCH(CONCATENATE(Liste!$C$3,$B$3389,$B$3559),Data!$BO:$BO,0)-2,38)&lt;&gt;"",INDEX(Tab_DaBa[],MATCH(CONCATENATE(Liste!$C$3,$B$3389,$B$3559),Data!$BO:$BO,0)-2,44),"")),"")</f>
        <v>Logik 06</v>
      </c>
      <c r="G3569" s="39"/>
      <c r="H3569" s="35" t="str">
        <f ca="1">IFERROR(IF(AND(INDEX(Tab_DaBa[],MATCH(CONCATENATE(Liste!$C$3,$B$3389,$B$3559),Data!$BO:$BO,0)-2,43)&lt;&gt;"",INDEX(Tab_DaBa[],MATCH(CONCATENATE(Liste!$C$3,$B$3389,$B$3559),Data!$BO:$BO,0)-2,48)=0),INDEX(Tab_DaBa[],MATCH(CONCATENATE(Liste!$C$3,$B$3389,$B$3559),Data!$BO:$BO,0)-2,14),IF(INDEX(Tab_DaBa[],MATCH(CONCATENATE(Liste!$C$3,$B$3389,$B$3559),Data!$BO:$BO,0)-2,43)&lt;&gt;"",INDEX(Tab_DaBa[],MATCH(CONCATENATE(Liste!$C$3,$B$3389,$B$3559),Data!$BO:$BO,0)-2,49),"")),"")</f>
        <v>Logik 07</v>
      </c>
      <c r="I3569" s="39"/>
    </row>
    <row r="3570" spans="2:9" s="16" customFormat="1" ht="15.75">
      <c r="B3570" s="35" t="str">
        <f ca="1">IFERROR(IF(AND(INDEX(Tab_DaBa[],MATCH(CONCATENATE(Liste!$C$3,$B$3389,$B$3559),Data!$BO:$BO,0)-2,28)&lt;&gt;"",INDEX(Tab_DaBa[],MATCH(CONCATENATE(Liste!$C$3,$B$3389,$B$3559),Data!$BO:$BO,0)-2,33)=0),INDEX(Tab_DaBa[],MATCH(CONCATENATE(Liste!$C$3,$B$3389,$B$3559),Data!$BO:$BO,0)-2,12),IF(INDEX(Tab_DaBa[],MATCH(CONCATENATE(Liste!$C$3,$B$3389,$B$3559),Data!$BO:$BO,0)-2,28)&lt;&gt;"",INDEX(Tab_DaBa[],MATCH(CONCATENATE(Liste!$C$3,$B$3389,$B$3559),Data!$BO:$BO,0)-2,32),"")),"")</f>
        <v>Lo04-44_07</v>
      </c>
      <c r="C3570" s="39"/>
      <c r="D3570" s="35" t="str">
        <f ca="1">IFERROR(IF(AND(INDEX(Tab_DaBa[],MATCH(CONCATENATE(Liste!$C$3,$B$3389,$B$3559),Data!$BO:$BO,0)-2,33)&lt;&gt;"",INDEX(Tab_DaBa[],MATCH(CONCATENATE(Liste!$C$3,$B$3389,$B$3559),Data!$BO:$BO,0)-2,38)=0),INDEX(Tab_DaBa[],MATCH(CONCATENATE(Liste!$C$3,$B$3389,$B$3559),Data!$BO:$BO,0)-2,12),IF(INDEX(Tab_DaBa[],MATCH(CONCATENATE(Liste!$C$3,$B$3389,$B$3559),Data!$BO:$BO,0)-2,33)&lt;&gt;"",INDEX(Tab_DaBa[],MATCH(CONCATENATE(Liste!$C$3,$B$3389,$B$3559),Data!$BO:$BO,0)-2,37),"")),"")</f>
        <v>Lo04-44_07</v>
      </c>
      <c r="E3570" s="37"/>
      <c r="F3570" s="35" t="str">
        <f ca="1">IFERROR(IF(AND(INDEX(Tab_DaBa[],MATCH(CONCATENATE(Liste!$C$3,$B$3389,$B$3559),Data!$BO:$BO,0)-2,38)&lt;&gt;"",INDEX(Tab_DaBa[],MATCH(CONCATENATE(Liste!$C$3,$B$3389,$B$3559),Data!$BO:$BO,0)-2,43)=0),INDEX(Tab_DaBa[],MATCH(CONCATENATE(Liste!$C$3,$B$3389,$B$3559),Data!$BO:$BO,0)-2,12),IF(INDEX(Tab_DaBa[],MATCH(CONCATENATE(Liste!$C$3,$B$3389,$B$3559),Data!$BO:$BO,0)-2,38)&lt;&gt;"",INDEX(Tab_DaBa[],MATCH(CONCATENATE(Liste!$C$3,$B$3389,$B$3559),Data!$BO:$BO,0)-2,42),"")),"")</f>
        <v>Lo03-33_07</v>
      </c>
      <c r="G3570" s="39"/>
      <c r="H3570" s="35" t="str">
        <f ca="1">IFERROR(IF(AND(INDEX(Tab_DaBa[],MATCH(CONCATENATE(Liste!$C$3,$B$3389,$B$3559),Data!$BO:$BO,0)-2,43)&lt;&gt;"",INDEX(Tab_DaBa[],MATCH(CONCATENATE(Liste!$C$3,$B$3389,$B$3559),Data!$BO:$BO,0)-2,48)=0),INDEX(Tab_DaBa[],MATCH(CONCATENATE(Liste!$C$3,$B$3389,$B$3559),Data!$BO:$BO,0)-2,12),IF(INDEX(Tab_DaBa[],MATCH(CONCATENATE(Liste!$C$3,$B$3389,$B$3559),Data!$BO:$BO,0)-2,43)&lt;&gt;"",INDEX(Tab_DaBa[],MATCH(CONCATENATE(Liste!$C$3,$B$3389,$B$3559),Data!$BO:$BO,0)-2,47),"")),"")</f>
        <v>Lo03-33_07</v>
      </c>
      <c r="I3570" s="39"/>
    </row>
    <row r="3571" spans="2:9" s="16" customFormat="1" ht="15.75">
      <c r="B3571" s="35" t="str">
        <f ca="1">IFERROR(IF(AND(INDEX(Tab_DaBa[],MATCH(CONCATENATE(Liste!$C$3,$B$3389,$B$3559),Data!$BO:$BO,0)-2,28)&lt;&gt;"",INDEX(Tab_DaBa[],MATCH(CONCATENATE(Liste!$C$3,$B$3389,$B$3559),Data!$BO:$BO,0)-2,33)=""),INDEX(Tab_DaBa[],MATCH(CONCATENATE(Liste!$C$3,$B$3389,$B$3559),Data!$BO:$BO,0)-2,13),IF(INDEX(Tab_DaBa[],MATCH(CONCATENATE(Liste!$C$3,$B$3389,$B$3559),Data!$BO:$BO,0)-2,28)&lt;&gt;"",INDEX(Tab_DaBa[],MATCH(CONCATENATE(Liste!$C$3,$B$3389,$B$3559),Data!$BO:$BO,0)-2,33),"")),"")</f>
        <v>Bez_Lo04_07</v>
      </c>
      <c r="C3571" s="38">
        <f ca="1">IF(D3569="","",4)</f>
        <v>4</v>
      </c>
      <c r="D3571" s="35" t="str">
        <f ca="1">IFERROR(IF(AND(INDEX(Tab_DaBa[],MATCH(CONCATENATE(Liste!$C$3,$B$3389,$B$3559),Data!$BO:$BO,0)-2,33)&lt;&gt;"",INDEX(Tab_DaBa[],MATCH(CONCATENATE(Liste!$C$3,$B$3389,$B$3559),Data!$BO:$BO,0)-2,38)=""),INDEX(Tab_DaBa[],MATCH(CONCATENATE(Liste!$C$3,$B$3389,$B$3559),Data!$BO:$BO,0)-2,13),IF(INDEX(Tab_DaBa[],MATCH(CONCATENATE(Liste!$C$3,$B$3389,$B$3559),Data!$BO:$BO,0)-2,33)&lt;&gt;"",INDEX(Tab_DaBa[],MATCH(CONCATENATE(Liste!$C$3,$B$3389,$B$3559),Data!$BO:$BO,0)-2,38),"")),"")</f>
        <v>Bez_Lo03_07</v>
      </c>
      <c r="E3571" s="38">
        <f ca="1">IF(F3569="","",4)</f>
        <v>4</v>
      </c>
      <c r="F3571" s="35" t="str">
        <f ca="1">IFERROR(IF(AND(INDEX(Tab_DaBa[],MATCH(CONCATENATE(Liste!$C$3,$B$3389,$B$3559),Data!$BO:$BO,0)-2,38)&lt;&gt;"",INDEX(Tab_DaBa[],MATCH(CONCATENATE(Liste!$C$3,$B$3389,$B$3559),Data!$BO:$BO,0)-2,43)=""),INDEX(Tab_DaBa[],MATCH(CONCATENATE(Liste!$C$3,$B$3389,$B$3559),Data!$BO:$BO,0)-2,13),IF(INDEX(Tab_DaBa[],MATCH(CONCATENATE(Liste!$C$3,$B$3389,$B$3559),Data!$BO:$BO,0)-2,38)&lt;&gt;"",INDEX(Tab_DaBa[],MATCH(CONCATENATE(Liste!$C$3,$B$3389,$B$3559),Data!$BO:$BO,0)-2,43),"")),"")</f>
        <v>Bez_Lo03_07</v>
      </c>
      <c r="G3571" s="38">
        <f ca="1">IF(H3569="","",4)</f>
        <v>4</v>
      </c>
      <c r="H3571" s="35" t="str">
        <f ca="1">IFERROR(IF(AND(INDEX(Tab_DaBa[],MATCH(CONCATENATE(Liste!$C$3,$B$3389,$B$3559),Data!$BO:$BO,0)-2,43)&lt;&gt;"",INDEX(Tab_DaBa[],MATCH(CONCATENATE(Liste!$C$3,$B$3389,$B$3559),Data!$BO:$BO,0)-2,48)=""),INDEX(Tab_DaBa[],MATCH(CONCATENATE(Liste!$C$3,$B$3389,$B$3559),Data!$BO:$BO,0)-2,13),IF(INDEX(Tab_DaBa[],MATCH(CONCATENATE(Liste!$C$3,$B$3389,$B$3559),Data!$BO:$BO,0)-2,43)&lt;&gt;"",INDEX(Tab_DaBa[],MATCH(CONCATENATE(Liste!$C$3,$B$3389,$B$3559),Data!$BO:$BO,0)-2,48),"")),"")</f>
        <v>Bez_Lo03_07</v>
      </c>
      <c r="I3571" s="38">
        <f ca="1">IF(B3577="","",6)</f>
        <v>6</v>
      </c>
    </row>
    <row r="3572" spans="2:9" s="16" customFormat="1" ht="15.75">
      <c r="B3572" s="35" t="str">
        <f ca="1">IFERROR(IF(AND(INDEX(Tab_DaBa[],MATCH(CONCATENATE(Liste!$C$3,$B$3389,$B$3559),Data!$BO:$BO,0)-2,28)&lt;&gt;"",INDEX(Tab_DaBa[],MATCH(CONCATENATE(Liste!$C$3,$B$3389,$B$3559),Data!$BO:$BO,0)-2,33)=""),"Performance Level: "&amp;INDEX(Tab_DaBa[],MATCH(CONCATENATE(Liste!$C$3,$B$3389,$B$3559),Data!$BO:$BO,0)-2,15),IF(INDEX(Tab_DaBa[],MATCH(CONCATENATE(Liste!$C$3,$B$3389,$B$3559),Data!$BO:$BO,0)-2,28)&lt;&gt;"","Performance Level: "&amp;INDEX(Tab_DaBa[],MATCH(CONCATENATE(Liste!$C$3,$B$3389,$B$3559),Data!$BO:$BO,0)-2,35),"")),"")</f>
        <v>Performance Level: PL_Lo04_07</v>
      </c>
      <c r="C3572" s="39"/>
      <c r="D3572" s="35" t="str">
        <f ca="1">IFERROR(IF(AND(INDEX(Tab_DaBa[],MATCH(CONCATENATE(Liste!$C$3,$B$3389,$B$3559),Data!$BO:$BO,0)-2,33)&lt;&gt;"",INDEX(Tab_DaBa[],MATCH(CONCATENATE(Liste!$C$3,$B$3389,$B$3559),Data!$BO:$BO,0)-2,38)=""),"Performance Level: "&amp;INDEX(Tab_DaBa[],MATCH(CONCATENATE(Liste!$C$3,$B$3389,$B$3559),Data!$BO:$BO,0)-2,15),IF(INDEX(Tab_DaBa[],MATCH(CONCATENATE(Liste!$C$3,$B$3389,$B$3559),Data!$BO:$BO,0)-2,33)&lt;&gt;"","Performance Level: "&amp;INDEX(Tab_DaBa[],MATCH(CONCATENATE(Liste!$C$3,$B$3389,$B$3559),Data!$BO:$BO,0)-2,40),"")),"")</f>
        <v>Performance Level: PL_Lo03_7</v>
      </c>
      <c r="E3572" s="37"/>
      <c r="F3572" s="35" t="str">
        <f ca="1">IFERROR(IF(AND(INDEX(Tab_DaBa[],MATCH(CONCATENATE(Liste!$C$3,$B$3389,$B$3559),Data!$BO:$BO,0)-2,38)&lt;&gt;"",INDEX(Tab_DaBa[],MATCH(CONCATENATE(Liste!$C$3,$B$3389,$B$3559),Data!$BO:$BO,0)-2,43)=""),"Performance Level: "&amp;INDEX(Tab_DaBa[],MATCH(CONCATENATE(Liste!$C$3,$B$3389,$B$3559),Data!$BO:$BO,0)-2,15),IF(INDEX(Tab_DaBa[],MATCH(CONCATENATE(Liste!$C$3,$B$3389,$B$3559),Data!$BO:$BO,0)-2,38)&lt;&gt;"","Performance Level: "&amp;INDEX(Tab_DaBa[],MATCH(CONCATENATE(Liste!$C$3,$B$3389,$B$3559),Data!$BO:$BO,0)-2,45),"")),"")</f>
        <v>Performance Level: PL_Lo03_07</v>
      </c>
      <c r="G3572" s="39"/>
      <c r="H3572" s="35" t="str">
        <f ca="1">IFERROR(IF(AND(INDEX(Tab_DaBa[],MATCH(CONCATENATE(Liste!$C$3,$B$3389,$B$3559),Data!$BO:$BO,0)-2,43)&lt;&gt;"",INDEX(Tab_DaBa[],MATCH(CONCATENATE(Liste!$C$3,$B$3389,$B$3559),Data!$BO:$BO,0)-2,48)=""),"Performance Level: "&amp;INDEX(Tab_DaBa[],MATCH(CONCATENATE(Liste!$C$3,$B$3389,$B$3559),Data!$BO:$BO,0)-2,15),IF(INDEX(Tab_DaBa[],MATCH(CONCATENATE(Liste!$C$3,$B$3389,$B$3559),Data!$BO:$BO,0)-2,43)&lt;&gt;"","Performance Level: "&amp;INDEX(Tab_DaBa[],MATCH(CONCATENATE(Liste!$C$3,$B$3389,$B$3559),Data!$BO:$BO,0)-2,50),"")),"")</f>
        <v>Performance Level: PL_Lo03_07</v>
      </c>
      <c r="I3572" s="39"/>
    </row>
    <row r="3573" spans="2:9" s="16" customFormat="1" ht="15.75">
      <c r="B3573" s="35" t="str">
        <f ca="1">IFERROR(IF(AND(INDEX(Tab_DaBa[],MATCH(CONCATENATE(Liste!$C$3,$B$3389,$B$3559),Data!$BO:$BO,0)-2,28)&lt;&gt;"",INDEX(Tab_DaBa[],MATCH(CONCATENATE(Liste!$C$3,$B$3389,$B$3559),Data!$BO:$BO,0)-2,33)=""),"PFH [1/h] = "&amp;10^9*INDEX(Tab_DaBa[],MATCH(CONCATENATE(Liste!$C$3,$B$3389,$B$3559),Data!$BO:$BO,0)-2,16)&amp;"E-9",IF(INDEX(Tab_DaBa[],MATCH(CONCATENATE(Liste!$C$3,$B$3389,$B$3559),Data!$BO:$BO,0)-2,28)&lt;&gt;"","PFH [1/h] = "&amp;10^9*INDEX(Tab_DaBa[],MATCH(CONCATENATE(Liste!$C$3,$B$3389,$B$3559),Data!$BO:$BO,0)-2,36)&amp;"E-9","")),"")</f>
        <v>PFH [1/h] = 4,19E-9</v>
      </c>
      <c r="C3573" s="39"/>
      <c r="D3573" s="35" t="str">
        <f ca="1">IFERROR(IF(AND(INDEX(Tab_DaBa[],MATCH(CONCATENATE(Liste!$C$3,$B$3389,$B$3559),Data!$BO:$BO,0)-2,33)&lt;&gt;"",INDEX(Tab_DaBa[],MATCH(CONCATENATE(Liste!$C$3,$B$3389,$B$3559),Data!$BO:$BO,0)-2,38)=""),"PFH [1/h] = "&amp;10^9*INDEX(Tab_DaBa[],MATCH(CONCATENATE(Liste!$C$3,$B$3389,$B$3559),Data!$BO:$BO,0)-2,16)&amp;"E-9",IF(INDEX(Tab_DaBa[],MATCH(CONCATENATE(Liste!$C$3,$B$3389,$B$3559),Data!$BO:$BO,0)-2,33)&lt;&gt;"","PFH [1/h] = "&amp;10^9*INDEX(Tab_DaBa[],MATCH(CONCATENATE(Liste!$C$3,$B$3389,$B$3559),Data!$BO:$BO,0)-2,41)&amp;"E-9","")),"")</f>
        <v>PFH [1/h] = 4,19E-9</v>
      </c>
      <c r="E3573" s="37"/>
      <c r="F3573" s="35" t="str">
        <f ca="1">IFERROR(IF(AND(INDEX(Tab_DaBa[],MATCH(CONCATENATE(Liste!$C$3,$B$3389,$B$3559),Data!$BO:$BO,0)-2,38)&lt;&gt;"",INDEX(Tab_DaBa[],MATCH(CONCATENATE(Liste!$C$3,$B$3389,$B$3559),Data!$BO:$BO,0)-2,43)=""),"PFH [1/h] = "&amp;10^9*INDEX(Tab_DaBa[],MATCH(CONCATENATE(Liste!$C$3,$B$3389,$B$3559),Data!$BO:$BO,0)-2,16)&amp;"E-9",IF(INDEX(Tab_DaBa[],MATCH(CONCATENATE(Liste!$C$3,$B$3389,$B$3559),Data!$BO:$BO,0)-2,38)&lt;&gt;"","PFH [1/h] = "&amp;10^9*INDEX(Tab_DaBa[],MATCH(CONCATENATE(Liste!$C$3,$B$3389,$B$3559),Data!$BO:$BO,0)-2,46)&amp;"E-9","")),"")</f>
        <v>PFH [1/h] = 4,19E-9</v>
      </c>
      <c r="G3573" s="39"/>
      <c r="H3573" s="35" t="str">
        <f ca="1">IFERROR(IF(AND(INDEX(Tab_DaBa[],MATCH(CONCATENATE(Liste!$C$3,$B$3389,$B$3559),Data!$BO:$BO,0)-2,43)&lt;&gt;"",INDEX(Tab_DaBa[],MATCH(CONCATENATE(Liste!$C$3,$B$3389,$B$3559),Data!$BO:$BO,0)-2,48)=""),"PFH [1/h] = "&amp;10^9*INDEX(Tab_DaBa[],MATCH(CONCATENATE(Liste!$C$3,$B$3389,$B$3559),Data!$BO:$BO,0)-2,16)&amp;"E-9",IF(INDEX(Tab_DaBa[],MATCH(CONCATENATE(Liste!$C$3,$B$3389,$B$3559),Data!$BO:$BO,0)-2,43)&lt;&gt;"","PFH [1/h] = "&amp;10^9*INDEX(Tab_DaBa[],MATCH(CONCATENATE(Liste!$C$3,$B$3389,$B$3559),Data!$BO:$BO,0)-2,51)&amp;"E-9","")),"")</f>
        <v>PFH [1/h] = 4,19E-9</v>
      </c>
      <c r="I3573" s="39"/>
    </row>
    <row r="3574" spans="2:9" s="16" customFormat="1">
      <c r="B3574" s="33"/>
      <c r="C3574" s="33"/>
      <c r="D3574" s="33"/>
      <c r="E3574" s="33"/>
      <c r="F3574" s="33"/>
      <c r="G3574" s="33"/>
      <c r="H3574" s="33"/>
      <c r="I3574" s="33"/>
    </row>
    <row r="3575" spans="2:9" s="16" customFormat="1" ht="15.75">
      <c r="B3575" s="38">
        <f ca="1">IF(B3577="","",6)</f>
        <v>6</v>
      </c>
      <c r="C3575" s="33"/>
      <c r="D3575" s="38">
        <f ca="1">IF(B3577="","",3)</f>
        <v>3</v>
      </c>
      <c r="E3575" s="33"/>
      <c r="F3575" s="38">
        <f ca="1">IF(B3577="","",3)</f>
        <v>3</v>
      </c>
      <c r="G3575" s="33"/>
      <c r="H3575" s="38">
        <f ca="1">IF(B3577="","",3)</f>
        <v>3</v>
      </c>
      <c r="I3575" s="33"/>
    </row>
    <row r="3576" spans="2:9" s="16" customFormat="1" ht="15.75">
      <c r="B3576" s="39"/>
      <c r="C3576" s="33"/>
      <c r="D3576" s="33"/>
      <c r="E3576" s="33"/>
      <c r="F3576" s="33"/>
      <c r="G3576" s="33"/>
      <c r="H3576" s="33"/>
      <c r="I3576" s="33"/>
    </row>
    <row r="3577" spans="2:9" s="16" customFormat="1" ht="15.75">
      <c r="B3577" s="35" t="str">
        <f ca="1">IFERROR(IF(AND(INDEX(Tab_DaBa[],MATCH(CONCATENATE(Liste!$C$3,$B$3389,$B$3559),Data!$BO:$BO,0)-2,48)&lt;&gt;"",INDEX(Tab_DaBa[],MATCH(CONCATENATE(Liste!$C$3,$B$3389,$B$3559),Data!$BO:$BO,0)-2,53)=0),INDEX(Tab_DaBa[],MATCH(CONCATENATE(Liste!$C$3,$B$3389,$B$3559),Data!$BO:$BO,0)-2,14),IF(INDEX(Tab_DaBa[],MATCH(CONCATENATE(Liste!$C$3,$B$3389,$B$3559),Data!$BO:$BO,0)-2,48)&lt;&gt;"",INDEX(Tab_DaBa[],MATCH(CONCATENATE(Liste!$C$3,$B$3389,$B$3559),Data!$BO:$BO,0)-2,54),"")),"")</f>
        <v>Ausgang</v>
      </c>
      <c r="C3577" s="39"/>
      <c r="D3577" s="35" t="str">
        <f ca="1">IFERROR(IF(AND(INDEX(Tab_DaBa[],MATCH(CONCATENATE(Liste!$C$3,$B$3389,$B$3559),Data!$BO:$BO,0)-2,53)&lt;&gt;"",INDEX(Tab_DaBa[],MATCH(CONCATENATE(Liste!$C$3,$B$3389,$B$3559),Data!$BO:$BO,0)-2,58)=0),INDEX(Tab_DaBa[],MATCH(CONCATENATE(Liste!$C$3,$B$3389,$B$3559),Data!$BO:$BO,0)-2,14),IF(INDEX(Tab_DaBa[],MATCH(CONCATENATE(Liste!$C$3,$B$3389,$B$3559),Data!$BO:$BO,0)-2,53)&lt;&gt;"",INDEX(Tab_DaBa[],MATCH(CONCATENATE(Liste!$C$3,$B$3389,$B$3559),Data!$BO:$BO,0)-2,59),"")),"")</f>
        <v/>
      </c>
      <c r="E3577" s="33"/>
      <c r="F3577" s="35" t="str">
        <f ca="1">IFERROR(IF(AND(INDEX(Tab_DaBa[],MATCH(CONCATENATE(Liste!$C$3,$B$3389,$B$3559),Data!$BO:$BO,0)-2,58)&lt;&gt;"",INDEX(Tab_DaBa[],MATCH(CONCATENATE(Liste!$C$3,$B$3389,$B$3559),Data!$BO:$BO,0)-2,63)=0),INDEX(Tab_DaBa[],MATCH(CONCATENATE(Liste!$C$3,$B$3389,$B$3559),Data!$BO:$BO,0)-2,14),IF(INDEX(Tab_DaBa[],MATCH(CONCATENATE(Liste!$C$3,$B$3389,$B$3559),Data!$BO:$BO,0)-2,58)&lt;&gt;"",INDEX(Tab_DaBa[],MATCH(CONCATENATE(Liste!$C$3,$B$3389,$B$3559),Data!$BO:$BO,0)-2,64),"")),"")</f>
        <v/>
      </c>
      <c r="G3577" s="39"/>
      <c r="H3577" s="35" t="str">
        <f ca="1">IFERROR(IF(INDEX(Tab_DaBa[],MATCH(CONCATENATE(Liste!$C$3,$B$3389,$B$3559),Data!$BO:$BO,0)-2,63)&lt;&gt;"",INDEX(Tab_DaBa[],MATCH(CONCATENATE(Liste!$C$3,$B$3389,$B$3559),Data!$BO:$BO,0)-2,14),""),"")</f>
        <v/>
      </c>
    </row>
    <row r="3578" spans="2:9" s="16" customFormat="1" ht="15.75">
      <c r="B3578" s="35" t="str">
        <f ca="1">IFERROR(IF(AND(INDEX(Tab_DaBa[],MATCH(CONCATENATE(Liste!$C$3,$B$3389,$B$3559),Data!$BO:$BO,0)-2,48)&lt;&gt;"",INDEX(Tab_DaBa[],MATCH(CONCATENATE(Liste!$C$3,$B$3389,$B$3559),Data!$BO:$BO,0)-2,53)=0),INDEX(Tab_DaBa[],MATCH(CONCATENATE(Liste!$C$3,$B$3389,$B$3559),Data!$BO:$BO,0)-2,12),IF(INDEX(Tab_DaBa[],MATCH(CONCATENATE(Liste!$C$3,$B$3389,$B$3559),Data!$BO:$BO,0)-2,48)&lt;&gt;"",INDEX(Tab_DaBa[],MATCH(CONCATENATE(Liste!$C$3,$B$3389,$B$3559),Data!$BO:$BO,0)-2,52),"")),"")</f>
        <v>aaaa-44_7</v>
      </c>
      <c r="C3578" s="39"/>
      <c r="D3578" s="35" t="str">
        <f ca="1">IFERROR(IF(AND(INDEX(Tab_DaBa[],MATCH(CONCATENATE(Liste!$C$3,$B$3389,$B$3559),Data!$BO:$BO,0)-2,53)&lt;&gt;"",INDEX(Tab_DaBa[],MATCH(CONCATENATE(Liste!$C$3,$B$3389,$B$3559),Data!$BO:$BO,0)-2,58)=0),INDEX(Tab_DaBa[],MATCH(CONCATENATE(Liste!$C$3,$B$3389,$B$3559),Data!$BO:$BO,0)-2,12),IF(INDEX(Tab_DaBa[],MATCH(CONCATENATE(Liste!$C$3,$B$3389,$B$3559),Data!$BO:$BO,0)-2,53)&lt;&gt;"",INDEX(Tab_DaBa[],MATCH(CONCATENATE(Liste!$C$3,$B$3389,$B$3559),Data!$BO:$BO,0)-2,57),"")),"")</f>
        <v/>
      </c>
      <c r="E3578" s="37"/>
      <c r="F3578" s="35" t="str">
        <f ca="1">IFERROR(IF(AND(INDEX(Tab_DaBa[],MATCH(CONCATENATE(Liste!$C$3,$B$3389,$B$3559),Data!$BO:$BO,0)-2,58)&lt;&gt;"",INDEX(Tab_DaBa[],MATCH(CONCATENATE(Liste!$C$3,$B$3389,$B$3559),Data!$BO:$BO,0)-2,63)=0),INDEX(Tab_DaBa[],MATCH(CONCATENATE(Liste!$C$3,$B$3389,$B$3559),Data!$BO:$BO,0)-2,12),IF(INDEX(Tab_DaBa[],MATCH(CONCATENATE(Liste!$C$3,$B$3389,$B$3559),Data!$BO:$BO,0)-2,58)&lt;&gt;"",INDEX(Tab_DaBa[],MATCH(CONCATENATE(Liste!$C$3,$B$3389,$B$3559),Data!$BO:$BO,0)-2,62),"")),"")</f>
        <v/>
      </c>
      <c r="G3578" s="39"/>
      <c r="H3578" s="35" t="str">
        <f ca="1">IFERROR(IF(INDEX(Tab_DaBa[],MATCH(CONCATENATE(Liste!$C$3,$B$3389,$B$3559),Data!$BO:$BO,0)-2,63)&lt;&gt;"",INDEX(Tab_DaBa[],MATCH(CONCATENATE(Liste!$C$3,$B$3389,$B$3559),Data!$BO:$BO,0)-2,12),""),"")</f>
        <v/>
      </c>
    </row>
    <row r="3579" spans="2:9" s="16" customFormat="1" ht="15.75">
      <c r="B3579" s="35" t="str">
        <f ca="1">IFERROR(IF(AND(INDEX(Tab_DaBa[],MATCH(CONCATENATE(Liste!$C$3,$B$3389,$B$3559),Data!$BO:$BO,0)-2,48)&lt;&gt;"",INDEX(Tab_DaBa[],MATCH(CONCATENATE(Liste!$C$3,$B$3389,$B$3559),Data!$BO:$BO,0)-2,53)=""),INDEX(Tab_DaBa[],MATCH(CONCATENATE(Liste!$C$3,$B$3389,$B$3559),Data!$BO:$BO,0)-2,13),IF(INDEX(Tab_DaBa[],MATCH(CONCATENATE(Liste!$C$3,$B$3389,$B$3559),Data!$BO:$BO,0)-2,48)&lt;&gt;"",INDEX(Tab_DaBa[],MATCH(CONCATENATE(Liste!$C$3,$B$3389,$B$3559),Data!$BO:$BO,0)-2,53),"")),"")</f>
        <v>Bez_Aus4_7</v>
      </c>
      <c r="C3579" s="38" t="str">
        <f ca="1">IF(D3577="","",4)</f>
        <v/>
      </c>
      <c r="D3579" s="35" t="str">
        <f ca="1">IFERROR(IF(AND(INDEX(Tab_DaBa[],MATCH(CONCATENATE(Liste!$C$3,$B$3389,$B$3559),Data!$BO:$BO,0)-2,53)&lt;&gt;"",INDEX(Tab_DaBa[],MATCH(CONCATENATE(Liste!$C$3,$B$3389,$B$3559),Data!$BO:$BO,0)-2,58)=""),INDEX(Tab_DaBa[],MATCH(CONCATENATE(Liste!$C$3,$B$3389,$B$3559),Data!$BO:$BO,0)-2,13),IF(INDEX(Tab_DaBa[],MATCH(CONCATENATE(Liste!$C$3,$B$3389,$B$3559),Data!$BO:$BO,0)-2,53)&lt;&gt;"",INDEX(Tab_DaBa[],MATCH(CONCATENATE(Liste!$C$3,$B$3389,$B$3559),Data!$BO:$BO,0)-2,58),"")),"")</f>
        <v/>
      </c>
      <c r="E3579" s="38" t="str">
        <f ca="1">IF(F3577="","",4)</f>
        <v/>
      </c>
      <c r="F3579" s="35" t="str">
        <f ca="1">IFERROR(IF(AND(INDEX(Tab_DaBa[],MATCH(CONCATENATE(Liste!$C$3,$B$3389,$B$3559),Data!$BO:$BO,0)-2,58)&lt;&gt;"",INDEX(Tab_DaBa[],MATCH(CONCATENATE(Liste!$C$3,$B$3389,$B$3559),Data!$BO:$BO,0)-2,63)=""),INDEX(Tab_DaBa[],MATCH(CONCATENATE(Liste!$C$3,$B$3389,$B$3559),Data!$BO:$BO,0)-2,13),IF(INDEX(Tab_DaBa[],MATCH(CONCATENATE(Liste!$C$3,$B$3389,$B$3559),Data!$BO:$BO,0)-2,58)&lt;&gt;"",INDEX(Tab_DaBa[],MATCH(CONCATENATE(Liste!$C$3,$B$3389,$B$3559),Data!$BO:$BO,0)-2,63),"")),"")</f>
        <v/>
      </c>
      <c r="G3579" s="38" t="str">
        <f ca="1">IF(H3577="","",4)</f>
        <v/>
      </c>
      <c r="H3579" s="35" t="str">
        <f ca="1">IFERROR(IF(INDEX(Tab_DaBa[],MATCH(CONCATENATE(Liste!$C$3,$B$3389,$B$3559),Data!$BO:$BO,0)-2,63)&lt;&gt;"",INDEX(Tab_DaBa[],MATCH(CONCATENATE(Liste!$C$3,$B$3389,$B$3559),Data!$BO:$BO,0)-2,13),""),"")</f>
        <v/>
      </c>
    </row>
    <row r="3580" spans="2:9" s="16" customFormat="1" ht="15.75">
      <c r="B3580" s="35" t="str">
        <f ca="1">IFERROR(IF(AND(INDEX(Tab_DaBa[],MATCH(CONCATENATE(Liste!$C$3,$B$3389,$B$3559),Data!$BO:$BO,0)-2,48)&lt;&gt;"",INDEX(Tab_DaBa[],MATCH(CONCATENATE(Liste!$C$3,$B$3389,$B$3559),Data!$BO:$BO,0)-2,53)=""),"Performance Level: "&amp;INDEX(Tab_DaBa[],MATCH(CONCATENATE(Liste!$C$3,$B$3389,$B$3559),Data!$BO:$BO,0)-2,15),IF(INDEX(Tab_DaBa[],MATCH(CONCATENATE(Liste!$C$3,$B$3389,$B$3559),Data!$BO:$BO,0)-2,48)&lt;&gt;"","Performance Level: "&amp;INDEX(Tab_DaBa[],MATCH(CONCATENATE(Liste!$C$3,$B$3389,$B$3559),Data!$BO:$BO,0)-2,55),"")),"")</f>
        <v>Performance Level: PL_Aus4_7</v>
      </c>
      <c r="C3580" s="39"/>
      <c r="D3580" s="35" t="str">
        <f ca="1">IFERROR(IF(AND(INDEX(Tab_DaBa[],MATCH(CONCATENATE(Liste!$C$3,$B$3389,$B$3559),Data!$BO:$BO,0)-2,53)&lt;&gt;"",INDEX(Tab_DaBa[],MATCH(CONCATENATE(Liste!$C$3,$B$3389,$B$3559),Data!$BO:$BO,0)-2,58)=""),"Performance Level: "&amp;INDEX(Tab_DaBa[],MATCH(CONCATENATE(Liste!$C$3,$B$3389,$B$3559),Data!$BO:$BO,0)-2,15),IF(INDEX(Tab_DaBa[],MATCH(CONCATENATE(Liste!$C$3,$B$3389,$B$3559),Data!$BO:$BO,0)-2,53)&lt;&gt;"","Performance Level: "&amp;INDEX(Tab_DaBa[],MATCH(CONCATENATE(Liste!$C$3,$B$3389,$B$3559),Data!$BO:$BO,0)-2,60),"")),"")</f>
        <v/>
      </c>
      <c r="E3580" s="37"/>
      <c r="F3580" s="35" t="str">
        <f ca="1">IFERROR(IF(AND(INDEX(Tab_DaBa[],MATCH(CONCATENATE(Liste!$C$3,$B$3389,$B$3559),Data!$BO:$BO,0)-2,58)&lt;&gt;"",INDEX(Tab_DaBa[],MATCH(CONCATENATE(Liste!$C$3,$B$3389,$B$3559),Data!$BO:$BO,0)-2,63)=""),"Performance Level: "&amp;INDEX(Tab_DaBa[],MATCH(CONCATENATE(Liste!$C$3,$B$3389,$B$3559),Data!$BO:$BO,0)-2,15),IF(INDEX(Tab_DaBa[],MATCH(CONCATENATE(Liste!$C$3,$B$3389,$B$3559),Data!$BO:$BO,0)-2,58)&lt;&gt;"","Performance Level: "&amp;INDEX(Tab_DaBa[],MATCH(CONCATENATE(Liste!$C$3,$B$3389,$B$3559),Data!$BO:$BO,0)-2,65),"")),"")</f>
        <v/>
      </c>
      <c r="G3580" s="39"/>
      <c r="H3580" s="35" t="str">
        <f ca="1">IFERROR(IF(INDEX(Tab_DaBa[],MATCH(CONCATENATE(Liste!$C$3,$B$3389,$B$3559),Data!$BO:$BO,0)-2,63)&lt;&gt;"","Performance Level: "&amp;INDEX(Tab_DaBa[],MATCH(CONCATENATE(Liste!$C$3,$B$3389,$B$3559),Data!$BO:$BO,0)-2,15),""),"")</f>
        <v/>
      </c>
    </row>
    <row r="3581" spans="2:9" s="16" customFormat="1" ht="15.75">
      <c r="B3581" s="35" t="str">
        <f ca="1">IFERROR(IF(AND(INDEX(Tab_DaBa[],MATCH(CONCATENATE(Liste!$C$3,$B$3389,$B$3559),Data!$BO:$BO,0)-2,48)&lt;&gt;"",INDEX(Tab_DaBa[],MATCH(CONCATENATE(Liste!$C$3,$B$3389,$B$3559),Data!$BO:$BO,0)-2,53)=""),"PFH [1/h] = "&amp;10^9*INDEX(Tab_DaBa[],MATCH(CONCATENATE(Liste!$C$3,$B$3389,$B$3559),Data!$BO:$BO,0)-2,16)&amp;"E-9",IF(INDEX(Tab_DaBa[],MATCH(CONCATENATE(Liste!$C$3,$B$3389,$B$3559),Data!$BO:$BO,0)-2,48)&lt;&gt;"","PFH [1/h] = "&amp;10^9*INDEX(Tab_DaBa[],MATCH(CONCATENATE(Liste!$C$3,$B$3389,$B$3559),Data!$BO:$BO,0)-2,56)&amp;"E-9","")),"")</f>
        <v>PFH [1/h] = 24,7E-9</v>
      </c>
      <c r="C3581" s="39"/>
      <c r="D3581" s="35" t="str">
        <f ca="1">IFERROR(IF(AND(INDEX(Tab_DaBa[],MATCH(CONCATENATE(Liste!$C$3,$B$3389,$B$3559),Data!$BO:$BO,0)-2,53)&lt;&gt;"",INDEX(Tab_DaBa[],MATCH(CONCATENATE(Liste!$C$3,$B$3389,$B$3559),Data!$BO:$BO,0)-2,58)=""),"PFH [1/h] = "&amp;10^9*INDEX(Tab_DaBa[],MATCH(CONCATENATE(Liste!$C$3,$B$3389,$B$3559),Data!$BO:$BO,0)-2,16)&amp;"E-9",IF(INDEX(Tab_DaBa[],MATCH(CONCATENATE(Liste!$C$3,$B$3389,$B$3559),Data!$BO:$BO,0)-2,53)&lt;&gt;"","PFH [1/h] = "&amp;10^9*INDEX(Tab_DaBa[],MATCH(CONCATENATE(Liste!$C$3,$B$3389,$B$3559),Data!$BO:$BO,0)-2,61)&amp;"E-9","")),"")</f>
        <v/>
      </c>
      <c r="E3581" s="37"/>
      <c r="F3581" s="35" t="str">
        <f ca="1">IFERROR(IF(AND(INDEX(Tab_DaBa[],MATCH(CONCATENATE(Liste!$C$3,$B$3389,$B$3559),Data!$BO:$BO,0)-2,58)&lt;&gt;"",INDEX(Tab_DaBa[],MATCH(CONCATENATE(Liste!$C$3,$B$3389,$B$3559),Data!$BO:$BO,0)-2,63)=""),"PFH [1/h] = "&amp;10^9*INDEX(Tab_DaBa[],MATCH(CONCATENATE(Liste!$C$3,$B$3389,$B$3559),Data!$BO:$BO,0)-2,16)&amp;"E-9",IF(INDEX(Tab_DaBa[],MATCH(CONCATENATE(Liste!$C$3,$B$3389,$B$3559),Data!$BO:$BO,0)-2,58)&lt;&gt;"","PFH [1/h] = "&amp;10^9*INDEX(Tab_DaBa[],MATCH(CONCATENATE(Liste!$C$3,$B$3389,$B$3559),Data!$BO:$BO,0)-2,66)&amp;"E-9","")),"")</f>
        <v/>
      </c>
      <c r="G3581" s="39"/>
      <c r="H3581" s="35" t="str">
        <f ca="1">IFERROR(IF(INDEX(Tab_DaBa[],MATCH(CONCATENATE(Liste!$C$3,$B$3389,$B$3559),Data!$BO:$BO,0)-2,63)&lt;&gt;"","PFH [1/h] = "&amp;10^9*INDEX(Tab_DaBa[],MATCH(CONCATENATE(Liste!$C$3,$B$3389,$B$3559),Data!$BO:$BO,0)-2,16)&amp;"E-9",""),"")</f>
        <v/>
      </c>
    </row>
    <row r="3582" spans="2:9" s="16" customFormat="1"/>
    <row r="3583" spans="2:9" s="16" customFormat="1">
      <c r="B3583" s="43" t="str">
        <f ca="1">IF(D3583="","","Erforderlich")</f>
        <v>Erforderlich</v>
      </c>
      <c r="D3583" s="44" t="str">
        <f ca="1">IFERROR("Performance Level: "&amp;INDEX(Tab_DaBa[],MATCH(CONCATENATE(Liste!$C$3,$B$3389,$B$3559),Data!$BO:$BO,0)-2,4),"")</f>
        <v>Performance Level: PLr_ges4_7</v>
      </c>
    </row>
    <row r="3584" spans="2:9" s="16" customFormat="1">
      <c r="B3584" s="45"/>
    </row>
    <row r="3585" spans="2:9" s="16" customFormat="1">
      <c r="B3585" s="46" t="str">
        <f ca="1">IF(D3585="","","Erreicht")</f>
        <v>Erreicht</v>
      </c>
      <c r="D3585" s="47" t="str">
        <f ca="1">IFERROR("Performance Level: "&amp;INDEX(Tab_DaBa[],MATCH(CONCATENATE(Liste!$C$3,$B$3389,$B$3559),Data!$BO:$BO,0)-2,5)&amp;"          PFH [1/h] = "&amp;10^9*INDEX(Tab_DaBa[],MATCH(CONCATENATE(Liste!$C$3,$B$3389,$B$3559),Data!$BO:$BO,0)-2,6)&amp;"E-9","")</f>
        <v>Performance Level: Pl_ges4_7          PFH [1/h] = 71,7E-9</v>
      </c>
    </row>
    <row r="3586" spans="2:9" s="16" customFormat="1"/>
    <row r="3587" spans="2:9" s="16" customFormat="1">
      <c r="B3587" s="42" t="str">
        <f ca="1">IFERROR(IF(8&gt;COUNTIF(Data!$BP:$BP,CONCATENATE(Liste!$C$3,$B$3389)),"",INDEX(Tab_DaBa[],MATCH(CONCATENATE(Liste!$C$3,$B$3389),Data!$BP:$BP,0)+5,3)),"")</f>
        <v>13.8 Test13 (E+8L+A)</v>
      </c>
    </row>
    <row r="3588" spans="2:9" s="16" customFormat="1"/>
    <row r="3589" spans="2:9" s="16" customFormat="1" ht="15.75">
      <c r="B3589" s="35" t="str">
        <f ca="1">IFERROR(INDEX(Tab_DaBa[],MATCH(CONCATENATE(Liste!$C$3,$B$3389,$B$3587),Data!$BO:$BO,0)-2,9),"")</f>
        <v>Eingang</v>
      </c>
      <c r="C3589" s="54"/>
      <c r="D3589" s="35" t="str">
        <f ca="1">IFERROR(IF(INDEX(Tab_DaBa[],MATCH(CONCATENATE(Liste!$C$3,$B$3389,$B$3587),Data!$BO:$BO,0)-2,18)=0,INDEX(Tab_DaBa[],MATCH(CONCATENATE(Liste!$C$3,$B$3389,$B$3587),Data!$BO:$BO,0)-2,14),INDEX(Tab_DaBa[],MATCH(CONCATENATE(Liste!$C$3,$B$3389,$B$3587),Data!$BO:$BO,0)-2,19)),"")</f>
        <v>Logik 01</v>
      </c>
      <c r="E3589" s="33"/>
      <c r="F3589" s="35" t="str">
        <f ca="1">IFERROR(IF(AND(INDEX(Tab_DaBa[],MATCH(CONCATENATE(Liste!$C$3,$B$3389,$B$3587),Data!$BO:$BO,0)-2,18)&lt;&gt;"",INDEX(Tab_DaBa[],MATCH(CONCATENATE(Liste!$C$3,$B$3389,$B$3587),Data!$BO:$BO,0)-2,23)=0),INDEX(Tab_DaBa[],MATCH(CONCATENATE(Liste!$C$3,$B$3389,$B$3587),Data!$BO:$BO,0)-2,14),IF(INDEX(Tab_DaBa[],MATCH(CONCATENATE(Liste!$C$3,$B$3389,$B$3587),Data!$BO:$BO,0)-2,23)&lt;&gt;"",INDEX(Tab_DaBa[],MATCH(CONCATENATE(Liste!$C$3,$B$3389,$B$3587),Data!$BO:$BO,0)-2,24),"")),"")</f>
        <v>Logik 02</v>
      </c>
      <c r="G3589" s="39"/>
      <c r="H3589" s="35" t="str">
        <f ca="1">IFERROR(IF(AND(INDEX(Tab_DaBa[],MATCH(CONCATENATE(Liste!$C$3,$B$3389,$B$3587),Data!$BO:$BO,0)-2,23)&lt;&gt;"",INDEX(Tab_DaBa[],MATCH(CONCATENATE(Liste!$C$3,$B$3389,$B$3587),Data!$BO:$BO,0)-2,28)=0),INDEX(Tab_DaBa[],MATCH(CONCATENATE(Liste!$C$3,$B$3389,$B$3587),Data!$BO:$BO,0)-2,14),IF(INDEX(Tab_DaBa[],MATCH(CONCATENATE(Liste!$C$3,$B$3389,$B$3587),Data!$BO:$BO,0)-2,23)&lt;&gt;"",INDEX(Tab_DaBa[],MATCH(CONCATENATE(Liste!$C$3,$B$3389,$B$3587),Data!$BO:$BO,0)-2,29),"")),"")</f>
        <v>Logik 03</v>
      </c>
      <c r="I3589" s="39"/>
    </row>
    <row r="3590" spans="2:9" s="16" customFormat="1" ht="15.75">
      <c r="B3590" s="35" t="str">
        <f ca="1">IFERROR(INDEX(Tab_DaBa[],MATCH(CONCATENATE(Liste!$C$3,$B$3389,$B$3587),Data!$BO:$BO,0)-2,7),"")</f>
        <v>eeee-33_8</v>
      </c>
      <c r="C3590" s="54"/>
      <c r="D3590" s="35" t="str">
        <f ca="1">IFERROR(IF(INDEX(Tab_DaBa[],MATCH(CONCATENATE(Liste!$C$3,$B$3389,$B$3587),Data!$BO:$BO,0)-2,18)="",INDEX(Tab_DaBa[],MATCH(CONCATENATE(Liste!$C$3,$B$3389,$B$3587),Data!$BO:$BO,0)-2,12),INDEX(Tab_DaBa[],MATCH(CONCATENATE(Liste!$C$3,$B$3389,$B$3587),Data!$BO:$BO,0)-2,17)),"")</f>
        <v>Log01-04_08</v>
      </c>
      <c r="E3590" s="36"/>
      <c r="F3590" s="35" t="str">
        <f ca="1">IFERROR(IF(AND(INDEX(Tab_DaBa[],MATCH(CONCATENATE(Liste!$C$3,$B$3389,$B$3587),Data!$BO:$BO,0)-2,18)&lt;&gt;"",INDEX(Tab_DaBa[],MATCH(CONCATENATE(Liste!$C$3,$B$3389,$B$3587),Data!$BO:$BO,0)-2,23)=0),INDEX(Tab_DaBa[],MATCH(CONCATENATE(Liste!$C$3,$B$3389,$B$3587),Data!$BO:$BO,0)-2,12),IF(INDEX(Tab_DaBa[],MATCH(CONCATENATE(Liste!$C$3,$B$3389,$B$3587),Data!$BO:$BO,0)-2,23)&lt;&gt;"",INDEX(Tab_DaBa[],MATCH(CONCATENATE(Liste!$C$3,$B$3389,$B$3587),Data!$BO:$BO,0)-2,22),"")),"")</f>
        <v>Lo04-04_08</v>
      </c>
      <c r="G3590" s="39"/>
      <c r="H3590" s="35" t="str">
        <f ca="1">IFERROR(IF(AND(INDEX(Tab_DaBa[],MATCH(CONCATENATE(Liste!$C$3,$B$3389,$B$3587),Data!$BO:$BO,0)-2,23)&lt;&gt;"",INDEX(Tab_DaBa[],MATCH(CONCATENATE(Liste!$C$3,$B$3389,$B$3587),Data!$BO:$BO,0)-2,28)=0),INDEX(Tab_DaBa[],MATCH(CONCATENATE(Liste!$C$3,$B$3389,$B$3587),Data!$BO:$BO,0)-2,12),IF(INDEX(Tab_DaBa[],MATCH(CONCATENATE(Liste!$C$3,$B$3389,$B$3587),Data!$BO:$BO,0)-2,23)&lt;&gt;"",INDEX(Tab_DaBa[],MATCH(CONCATENATE(Liste!$C$3,$B$3389,$B$3587),Data!$BO:$BO,0)-2,27),"")),"")</f>
        <v>Lo04-44_08</v>
      </c>
      <c r="I3590" s="39"/>
    </row>
    <row r="3591" spans="2:9" s="16" customFormat="1" ht="15.75">
      <c r="B3591" s="35" t="str">
        <f ca="1">IFERROR(INDEX(Tab_DaBa[],MATCH(CONCATENATE(Liste!$C$3,$B$3389,$B$3587),Data!$BO:$BO,0)-2,8),"")</f>
        <v>Bez_Ein4_8</v>
      </c>
      <c r="C3591" s="40">
        <f ca="1">IF(D3589="","",4)</f>
        <v>4</v>
      </c>
      <c r="D3591" s="35" t="str">
        <f ca="1">IFERROR(IF(INDEX(Tab_DaBa[],MATCH(CONCATENATE(Liste!$C$3,$B$3389,$B$3587),Data!$BO:$BO,0)-2,18)="",INDEX(Tab_DaBa[],MATCH(CONCATENATE(Liste!$C$3,$B$3389,$B$3587),Data!$BO:$BO,0)-2,13),INDEX(Tab_DaBa[],MATCH(CONCATENATE(Liste!$C$3,$B$3389,$B$3587),Data!$BO:$BO,0)-2,18)),"")</f>
        <v>Bez_Log01_04_08</v>
      </c>
      <c r="E3591" s="40">
        <f ca="1">IF(F3589="","",4)</f>
        <v>4</v>
      </c>
      <c r="F3591" s="35" t="str">
        <f ca="1">IFERROR(IF(AND(INDEX(Tab_DaBa[],MATCH(CONCATENATE(Liste!$C$3,$B$3389,$B$3587),Data!$BO:$BO,0)-2,18)&lt;&gt;"",INDEX(Tab_DaBa[],MATCH(CONCATENATE(Liste!$C$3,$B$3389,$B$3587),Data!$BO:$BO,0)-2,23)=""),INDEX(Tab_DaBa[],MATCH(CONCATENATE(Liste!$C$3,$B$3389,$B$3587),Data!$BO:$BO,0)-2,13),IF(INDEX(Tab_DaBa[],MATCH(CONCATENATE(Liste!$C$3,$B$3389,$B$3587),Data!$BO:$BO,0)-2,23)&lt;&gt;"",INDEX(Tab_DaBa[],MATCH(CONCATENATE(Liste!$C$3,$B$3389,$B$3587),Data!$BO:$BO,0)-2,23),"")),"")</f>
        <v>Bez_Lo04_08</v>
      </c>
      <c r="G3591" s="38">
        <f ca="1">IF(H3589="","",4)</f>
        <v>4</v>
      </c>
      <c r="H3591" s="35" t="str">
        <f ca="1">IFERROR(IF(AND(INDEX(Tab_DaBa[],MATCH(CONCATENATE(Liste!$C$3,$B$3389,$B$3587),Data!$BO:$BO,0)-2,23)&lt;&gt;"",INDEX(Tab_DaBa[],MATCH(CONCATENATE(Liste!$C$3,$B$3389,$B$3587),Data!$BO:$BO,0)-2,28)=""),INDEX(Tab_DaBa[],MATCH(CONCATENATE(Liste!$C$3,$B$3389,$B$3587),Data!$BO:$BO,0)-2,13),IF(INDEX(Tab_DaBa[],MATCH(CONCATENATE(Liste!$C$3,$B$3389,$B$3587),Data!$BO:$BO,0)-2,23)&lt;&gt;"",INDEX(Tab_DaBa[],MATCH(CONCATENATE(Liste!$C$3,$B$3389,$B$3587),Data!$BO:$BO,0)-2,28),"")),"")</f>
        <v>Bez_Lo04_08</v>
      </c>
      <c r="I3591" s="38">
        <f ca="1">IF(B3597="","",6)</f>
        <v>6</v>
      </c>
    </row>
    <row r="3592" spans="2:9" s="16" customFormat="1" ht="15.75">
      <c r="B3592" s="35" t="str">
        <f ca="1">IFERROR("Performance Level: "&amp;INDEX(Tab_DaBa[],MATCH(CONCATENATE(Liste!$C$3,$B$3389,$B$3587),Data!$BO:$BO,0)-2,10),"")</f>
        <v>Performance Level: PL_Ein4_8</v>
      </c>
      <c r="C3592" s="54"/>
      <c r="D3592" s="35" t="str">
        <f ca="1">IFERROR(IF(INDEX(Tab_DaBa[],MATCH(CONCATENATE(Liste!$C$3,$B$3389,$B$3587),Data!$BO:$BO,0)-2,18)="","Performance Level: "&amp;INDEX(Tab_DaBa[],MATCH(CONCATENATE(Liste!$C$3,$B$3389,$B$3587),Data!$BO:$BO,0)-2,15),"Performance Level: "&amp;INDEX(Tab_DaBa[],MATCH(CONCATENATE(Liste!$C$3,$B$3389,$B$3587),Data!$BO:$BO,0)-2,20)),"")</f>
        <v>Performance Level: PL_Log01_04_08</v>
      </c>
      <c r="E3592" s="36"/>
      <c r="F3592" s="35" t="str">
        <f ca="1">IFERROR(IF(AND(INDEX(Tab_DaBa[],MATCH(CONCATENATE(Liste!$C$3,$B$3389,$B$3587),Data!$BO:$BO,0)-2,18)&lt;&gt;"",INDEX(Tab_DaBa[],MATCH(CONCATENATE(Liste!$C$3,$B$3389,$B$3587),Data!$BO:$BO,0)-2,23)=""),"Performance Level: "&amp;INDEX(Tab_DaBa[],MATCH(CONCATENATE(Liste!$C$3,$B$3389,$B$3587),Data!$BO:$BO,0)-2,15),IF(INDEX(Tab_DaBa[],MATCH(CONCATENATE(Liste!$C$3,$B$3389,$B$3587),Data!$BO:$BO,0)-2,23)&lt;&gt;"","Performance Level: "&amp;INDEX(Tab_DaBa[],MATCH(CONCATENATE(Liste!$C$3,$B$3389,$B$3587),Data!$BO:$BO,0)-2,25),"")),"")</f>
        <v>Performance Level: PL_Lo04_08</v>
      </c>
      <c r="G3592" s="39"/>
      <c r="H3592" s="35" t="str">
        <f ca="1">IFERROR(IF(AND(INDEX(Tab_DaBa[],MATCH(CONCATENATE(Liste!$C$3,$B$3389,$B$3587),Data!$BO:$BO,0)-2,23)&lt;&gt;"",INDEX(Tab_DaBa[],MATCH(CONCATENATE(Liste!$C$3,$B$3389,$B$3587),Data!$BO:$BO,0)-2,28)=""),"Performance Level: "&amp;INDEX(Tab_DaBa[],MATCH(CONCATENATE(Liste!$C$3,$B$3389,$B$3587),Data!$BO:$BO,0)-2,15),IF(INDEX(Tab_DaBa[],MATCH(CONCATENATE(Liste!$C$3,$B$3389,$B$3587),Data!$BO:$BO,0)-2,23)&lt;&gt;"","Performance Level: "&amp;INDEX(Tab_DaBa[],MATCH(CONCATENATE(Liste!$C$3,$B$3389,$B$3587),Data!$BO:$BO,0)-2,30),"")),"")</f>
        <v>Performance Level: PL_Lo04_08</v>
      </c>
      <c r="I3592" s="38"/>
    </row>
    <row r="3593" spans="2:9" s="16" customFormat="1" ht="15.75">
      <c r="B3593" s="53" t="str">
        <f ca="1">IFERROR("PFH [1/h] = "&amp;10^9*INDEX(Tab_DaBa[],MATCH(CONCATENATE(Liste!$C$3,$B$3389,$B$3587),Data!$BO:$BO,0)-2,11)&amp;"E-9","")</f>
        <v>PFH [1/h] = 42,9E-9</v>
      </c>
      <c r="C3593" s="54"/>
      <c r="D3593" s="35" t="str">
        <f ca="1">IFERROR(IF(INDEX(Tab_DaBa[],MATCH(CONCATENATE(Liste!$C$3,$B$3389,$B$3587),Data!$BO:$BO,0)-2,18)="","PFH [1/h] = "&amp;10^9*INDEX(Tab_DaBa[],MATCH(CONCATENATE(Liste!$C$3,$B$3389,$B$3587),Data!$BO:$BO,0)-2,16)&amp;"E-9","PFH [1/h] = "&amp;10^9*INDEX(Tab_DaBa[],MATCH(CONCATENATE(Liste!$C$3,$B$3389,$B$3587),Data!$BO:$BO,0)-2,21)&amp;"E-9"),"")</f>
        <v>PFH [1/h] = 4,19E-9</v>
      </c>
      <c r="E3593" s="36"/>
      <c r="F3593" s="35" t="str">
        <f ca="1">IFERROR(IF(AND(INDEX(Tab_DaBa[],MATCH(CONCATENATE(Liste!$C$3,$B$3389,$B$3587),Data!$BO:$BO,0)-2,18)&lt;&gt;"",INDEX(Tab_DaBa[],MATCH(CONCATENATE(Liste!$C$3,$B$3389,$B$3587),Data!$BO:$BO,0)-2,23)=""),"PFH [1/h] = "&amp;10^9*INDEX(Tab_DaBa[],MATCH(CONCATENATE(Liste!$C$3,$B$3389,$B$3587),Data!$BO:$BO,0)-2,16)&amp;"E-9",IF(INDEX(Tab_DaBa[],MATCH(CONCATENATE(Liste!$C$3,$B$3389,$B$3587),Data!$BO:$BO,0)-2,23)&lt;&gt;"","PFH [1/h] = "&amp;10^9*INDEX(Tab_DaBa[],MATCH(CONCATENATE(Liste!$C$3,$B$3389,$B$3587),Data!$BO:$BO,0)-2,26)&amp;"E-9","")),"")</f>
        <v>PFH [1/h] = 4,19E-9</v>
      </c>
      <c r="G3593" s="39"/>
      <c r="H3593" s="35" t="str">
        <f ca="1">IFERROR(IF(AND(INDEX(Tab_DaBa[],MATCH(CONCATENATE(Liste!$C$3,$B$3389,$B$3587),Data!$BO:$BO,0)-2,23)&lt;&gt;"",INDEX(Tab_DaBa[],MATCH(CONCATENATE(Liste!$C$3,$B$3389,$B$3587),Data!$BO:$BO,0)-2,28)=""),"PFH [1/h] = "&amp;10^9*INDEX(Tab_DaBa[],MATCH(CONCATENATE(Liste!$C$3,$B$3389,$B$3587),Data!$BO:$BO,0)-2,16)&amp;"E-9",IF(INDEX(Tab_DaBa[],MATCH(CONCATENATE(Liste!$C$3,$B$3389,$B$3587),Data!$BO:$BO,0)-2,23)&lt;&gt;"","PFH [1/h] = "&amp;10^9*INDEX(Tab_DaBa[],MATCH(CONCATENATE(Liste!$C$3,$B$3389,$B$3587),Data!$BO:$BO,0)-2,31)&amp;"E-9","")),"")</f>
        <v>PFH [1/h] = 4,19E-9</v>
      </c>
      <c r="I3593" s="39"/>
    </row>
    <row r="3594" spans="2:9" s="16" customFormat="1">
      <c r="B3594" s="33"/>
      <c r="C3594" s="34"/>
      <c r="D3594" s="33"/>
      <c r="E3594" s="33"/>
      <c r="F3594" s="33"/>
      <c r="G3594" s="33"/>
      <c r="H3594" s="33"/>
      <c r="I3594" s="33"/>
    </row>
    <row r="3595" spans="2:9" s="16" customFormat="1" ht="15.75">
      <c r="B3595" s="38">
        <f ca="1">IF(B3597="","",6)</f>
        <v>6</v>
      </c>
      <c r="C3595" s="34"/>
      <c r="D3595" s="38">
        <f ca="1">IF(B3597="","",3)</f>
        <v>3</v>
      </c>
      <c r="E3595" s="33"/>
      <c r="F3595" s="38">
        <f ca="1">IF(B3597="","",3)</f>
        <v>3</v>
      </c>
      <c r="G3595" s="33"/>
      <c r="H3595" s="38">
        <f ca="1">IF(B3597="","",3)</f>
        <v>3</v>
      </c>
      <c r="I3595" s="33"/>
    </row>
    <row r="3596" spans="2:9" s="16" customFormat="1" ht="15.75">
      <c r="B3596" s="39"/>
      <c r="C3596" s="33"/>
      <c r="D3596" s="33"/>
      <c r="E3596" s="33"/>
      <c r="F3596" s="33"/>
      <c r="G3596" s="33"/>
      <c r="H3596" s="33"/>
      <c r="I3596" s="33"/>
    </row>
    <row r="3597" spans="2:9" s="16" customFormat="1" ht="15.75">
      <c r="B3597" s="35" t="str">
        <f ca="1">IFERROR(IF(AND(INDEX(Tab_DaBa[],MATCH(CONCATENATE(Liste!$C$3,$B$3389,$B$3587),Data!$BO:$BO,0)-2,28)&lt;&gt;"",INDEX(Tab_DaBa[],MATCH(CONCATENATE(Liste!$C$3,$B$3389,$B$3587),Data!$BO:$BO,0)-2,33)=0),INDEX(Tab_DaBa[],MATCH(CONCATENATE(Liste!$C$3,$B$3389,$B$3587),Data!$BO:$BO,0)-2,14),IF(INDEX(Tab_DaBa[],MATCH(CONCATENATE(Liste!$C$3,$B$3389,$B$3587),Data!$BO:$BO,0)-2,28)&lt;&gt;"",INDEX(Tab_DaBa[],MATCH(CONCATENATE(Liste!$C$3,$B$3389,$B$3587),Data!$BO:$BO,0)-2,34),"")),"")</f>
        <v>Logik 04</v>
      </c>
      <c r="C3597" s="39"/>
      <c r="D3597" s="35" t="str">
        <f ca="1">IFERROR(IF(AND(INDEX(Tab_DaBa[],MATCH(CONCATENATE(Liste!$C$3,$B$3389,$B$3587),Data!$BO:$BO,0)-2,33)&lt;&gt;"",INDEX(Tab_DaBa[],MATCH(CONCATENATE(Liste!$C$3,$B$3389,$B$3587),Data!$BO:$BO,0)-2,38)=0),INDEX(Tab_DaBa[],MATCH(CONCATENATE(Liste!$C$3,$B$3389,$B$3587),Data!$BO:$BO,0)-2,14),IF(INDEX(Tab_DaBa[],MATCH(CONCATENATE(Liste!$C$3,$B$3389,$B$3587),Data!$BO:$BO,0)-2,33)&lt;&gt;"",INDEX(Tab_DaBa[],MATCH(CONCATENATE(Liste!$C$3,$B$3389,$B$3587),Data!$BO:$BO,0)-2,39),"")),"")</f>
        <v>Logik 06</v>
      </c>
      <c r="E3597" s="33"/>
      <c r="F3597" s="35" t="str">
        <f ca="1">IFERROR(IF(AND(INDEX(Tab_DaBa[],MATCH(CONCATENATE(Liste!$C$3,$B$3389,$B$3587),Data!$BO:$BO,0)-2,38)&lt;&gt;"",INDEX(Tab_DaBa[],MATCH(CONCATENATE(Liste!$C$3,$B$3389,$B$3587),Data!$BO:$BO,0)-2,43)=0),INDEX(Tab_DaBa[],MATCH(CONCATENATE(Liste!$C$3,$B$3389,$B$3587),Data!$BO:$BO,0)-2,14),IF(INDEX(Tab_DaBa[],MATCH(CONCATENATE(Liste!$C$3,$B$3389,$B$3587),Data!$BO:$BO,0)-2,38)&lt;&gt;"",INDEX(Tab_DaBa[],MATCH(CONCATENATE(Liste!$C$3,$B$3389,$B$3587),Data!$BO:$BO,0)-2,44),"")),"")</f>
        <v>Logik 06</v>
      </c>
      <c r="G3597" s="39"/>
      <c r="H3597" s="35" t="str">
        <f ca="1">IFERROR(IF(AND(INDEX(Tab_DaBa[],MATCH(CONCATENATE(Liste!$C$3,$B$3389,$B$3587),Data!$BO:$BO,0)-2,43)&lt;&gt;"",INDEX(Tab_DaBa[],MATCH(CONCATENATE(Liste!$C$3,$B$3389,$B$3587),Data!$BO:$BO,0)-2,48)=0),INDEX(Tab_DaBa[],MATCH(CONCATENATE(Liste!$C$3,$B$3389,$B$3587),Data!$BO:$BO,0)-2,14),IF(INDEX(Tab_DaBa[],MATCH(CONCATENATE(Liste!$C$3,$B$3389,$B$3587),Data!$BO:$BO,0)-2,43)&lt;&gt;"",INDEX(Tab_DaBa[],MATCH(CONCATENATE(Liste!$C$3,$B$3389,$B$3587),Data!$BO:$BO,0)-2,49),"")),"")</f>
        <v>Logik 07</v>
      </c>
      <c r="I3597" s="39"/>
    </row>
    <row r="3598" spans="2:9" s="16" customFormat="1" ht="15.75">
      <c r="B3598" s="35" t="str">
        <f ca="1">IFERROR(IF(AND(INDEX(Tab_DaBa[],MATCH(CONCATENATE(Liste!$C$3,$B$3389,$B$3587),Data!$BO:$BO,0)-2,28)&lt;&gt;"",INDEX(Tab_DaBa[],MATCH(CONCATENATE(Liste!$C$3,$B$3389,$B$3587),Data!$BO:$BO,0)-2,33)=0),INDEX(Tab_DaBa[],MATCH(CONCATENATE(Liste!$C$3,$B$3389,$B$3587),Data!$BO:$BO,0)-2,12),IF(INDEX(Tab_DaBa[],MATCH(CONCATENATE(Liste!$C$3,$B$3389,$B$3587),Data!$BO:$BO,0)-2,28)&lt;&gt;"",INDEX(Tab_DaBa[],MATCH(CONCATENATE(Liste!$C$3,$B$3389,$B$3587),Data!$BO:$BO,0)-2,32),"")),"")</f>
        <v>Lo04-44_08</v>
      </c>
      <c r="C3598" s="39"/>
      <c r="D3598" s="35" t="str">
        <f ca="1">IFERROR(IF(AND(INDEX(Tab_DaBa[],MATCH(CONCATENATE(Liste!$C$3,$B$3389,$B$3587),Data!$BO:$BO,0)-2,33)&lt;&gt;"",INDEX(Tab_DaBa[],MATCH(CONCATENATE(Liste!$C$3,$B$3389,$B$3587),Data!$BO:$BO,0)-2,38)=0),INDEX(Tab_DaBa[],MATCH(CONCATENATE(Liste!$C$3,$B$3389,$B$3587),Data!$BO:$BO,0)-2,12),IF(INDEX(Tab_DaBa[],MATCH(CONCATENATE(Liste!$C$3,$B$3389,$B$3587),Data!$BO:$BO,0)-2,33)&lt;&gt;"",INDEX(Tab_DaBa[],MATCH(CONCATENATE(Liste!$C$3,$B$3389,$B$3587),Data!$BO:$BO,0)-2,37),"")),"")</f>
        <v>Lo04-44_08</v>
      </c>
      <c r="E3598" s="37"/>
      <c r="F3598" s="35" t="str">
        <f ca="1">IFERROR(IF(AND(INDEX(Tab_DaBa[],MATCH(CONCATENATE(Liste!$C$3,$B$3389,$B$3587),Data!$BO:$BO,0)-2,38)&lt;&gt;"",INDEX(Tab_DaBa[],MATCH(CONCATENATE(Liste!$C$3,$B$3389,$B$3587),Data!$BO:$BO,0)-2,43)=0),INDEX(Tab_DaBa[],MATCH(CONCATENATE(Liste!$C$3,$B$3389,$B$3587),Data!$BO:$BO,0)-2,12),IF(INDEX(Tab_DaBa[],MATCH(CONCATENATE(Liste!$C$3,$B$3389,$B$3587),Data!$BO:$BO,0)-2,38)&lt;&gt;"",INDEX(Tab_DaBa[],MATCH(CONCATENATE(Liste!$C$3,$B$3389,$B$3587),Data!$BO:$BO,0)-2,42),"")),"")</f>
        <v>Lo03-33_08</v>
      </c>
      <c r="G3598" s="39"/>
      <c r="H3598" s="35" t="str">
        <f ca="1">IFERROR(IF(AND(INDEX(Tab_DaBa[],MATCH(CONCATENATE(Liste!$C$3,$B$3389,$B$3587),Data!$BO:$BO,0)-2,43)&lt;&gt;"",INDEX(Tab_DaBa[],MATCH(CONCATENATE(Liste!$C$3,$B$3389,$B$3587),Data!$BO:$BO,0)-2,48)=0),INDEX(Tab_DaBa[],MATCH(CONCATENATE(Liste!$C$3,$B$3389,$B$3587),Data!$BO:$BO,0)-2,12),IF(INDEX(Tab_DaBa[],MATCH(CONCATENATE(Liste!$C$3,$B$3389,$B$3587),Data!$BO:$BO,0)-2,43)&lt;&gt;"",INDEX(Tab_DaBa[],MATCH(CONCATENATE(Liste!$C$3,$B$3389,$B$3587),Data!$BO:$BO,0)-2,47),"")),"")</f>
        <v>Lo03-33_08</v>
      </c>
      <c r="I3598" s="39"/>
    </row>
    <row r="3599" spans="2:9" s="16" customFormat="1" ht="15.75">
      <c r="B3599" s="35" t="str">
        <f ca="1">IFERROR(IF(AND(INDEX(Tab_DaBa[],MATCH(CONCATENATE(Liste!$C$3,$B$3389,$B$3587),Data!$BO:$BO,0)-2,28)&lt;&gt;"",INDEX(Tab_DaBa[],MATCH(CONCATENATE(Liste!$C$3,$B$3389,$B$3587),Data!$BO:$BO,0)-2,33)=""),INDEX(Tab_DaBa[],MATCH(CONCATENATE(Liste!$C$3,$B$3389,$B$3587),Data!$BO:$BO,0)-2,13),IF(INDEX(Tab_DaBa[],MATCH(CONCATENATE(Liste!$C$3,$B$3389,$B$3587),Data!$BO:$BO,0)-2,28)&lt;&gt;"",INDEX(Tab_DaBa[],MATCH(CONCATENATE(Liste!$C$3,$B$3389,$B$3587),Data!$BO:$BO,0)-2,33),"")),"")</f>
        <v>Bez_Lo04_08</v>
      </c>
      <c r="C3599" s="38">
        <f ca="1">IF(D3597="","",4)</f>
        <v>4</v>
      </c>
      <c r="D3599" s="35" t="str">
        <f ca="1">IFERROR(IF(AND(INDEX(Tab_DaBa[],MATCH(CONCATENATE(Liste!$C$3,$B$3389,$B$3587),Data!$BO:$BO,0)-2,33)&lt;&gt;"",INDEX(Tab_DaBa[],MATCH(CONCATENATE(Liste!$C$3,$B$3389,$B$3587),Data!$BO:$BO,0)-2,38)=""),INDEX(Tab_DaBa[],MATCH(CONCATENATE(Liste!$C$3,$B$3389,$B$3587),Data!$BO:$BO,0)-2,13),IF(INDEX(Tab_DaBa[],MATCH(CONCATENATE(Liste!$C$3,$B$3389,$B$3587),Data!$BO:$BO,0)-2,33)&lt;&gt;"",INDEX(Tab_DaBa[],MATCH(CONCATENATE(Liste!$C$3,$B$3389,$B$3587),Data!$BO:$BO,0)-2,38),"")),"")</f>
        <v>Bez_Lo03_08</v>
      </c>
      <c r="E3599" s="38">
        <f ca="1">IF(F3597="","",4)</f>
        <v>4</v>
      </c>
      <c r="F3599" s="35" t="str">
        <f ca="1">IFERROR(IF(AND(INDEX(Tab_DaBa[],MATCH(CONCATENATE(Liste!$C$3,$B$3389,$B$3587),Data!$BO:$BO,0)-2,38)&lt;&gt;"",INDEX(Tab_DaBa[],MATCH(CONCATENATE(Liste!$C$3,$B$3389,$B$3587),Data!$BO:$BO,0)-2,43)=""),INDEX(Tab_DaBa[],MATCH(CONCATENATE(Liste!$C$3,$B$3389,$B$3587),Data!$BO:$BO,0)-2,13),IF(INDEX(Tab_DaBa[],MATCH(CONCATENATE(Liste!$C$3,$B$3389,$B$3587),Data!$BO:$BO,0)-2,38)&lt;&gt;"",INDEX(Tab_DaBa[],MATCH(CONCATENATE(Liste!$C$3,$B$3389,$B$3587),Data!$BO:$BO,0)-2,43),"")),"")</f>
        <v>Bez_Lo03_08</v>
      </c>
      <c r="G3599" s="38">
        <f ca="1">IF(H3597="","",4)</f>
        <v>4</v>
      </c>
      <c r="H3599" s="35" t="str">
        <f ca="1">IFERROR(IF(AND(INDEX(Tab_DaBa[],MATCH(CONCATENATE(Liste!$C$3,$B$3389,$B$3587),Data!$BO:$BO,0)-2,43)&lt;&gt;"",INDEX(Tab_DaBa[],MATCH(CONCATENATE(Liste!$C$3,$B$3389,$B$3587),Data!$BO:$BO,0)-2,48)=""),INDEX(Tab_DaBa[],MATCH(CONCATENATE(Liste!$C$3,$B$3389,$B$3587),Data!$BO:$BO,0)-2,13),IF(INDEX(Tab_DaBa[],MATCH(CONCATENATE(Liste!$C$3,$B$3389,$B$3587),Data!$BO:$BO,0)-2,43)&lt;&gt;"",INDEX(Tab_DaBa[],MATCH(CONCATENATE(Liste!$C$3,$B$3389,$B$3587),Data!$BO:$BO,0)-2,48),"")),"")</f>
        <v>Bez_Lo03_08</v>
      </c>
      <c r="I3599" s="38">
        <f ca="1">IF(B3605="","",6)</f>
        <v>6</v>
      </c>
    </row>
    <row r="3600" spans="2:9" s="16" customFormat="1" ht="15.75">
      <c r="B3600" s="35" t="str">
        <f ca="1">IFERROR(IF(AND(INDEX(Tab_DaBa[],MATCH(CONCATENATE(Liste!$C$3,$B$3389,$B$3587),Data!$BO:$BO,0)-2,28)&lt;&gt;"",INDEX(Tab_DaBa[],MATCH(CONCATENATE(Liste!$C$3,$B$3389,$B$3587),Data!$BO:$BO,0)-2,33)=""),"Performance Level: "&amp;INDEX(Tab_DaBa[],MATCH(CONCATENATE(Liste!$C$3,$B$3389,$B$3587),Data!$BO:$BO,0)-2,15),IF(INDEX(Tab_DaBa[],MATCH(CONCATENATE(Liste!$C$3,$B$3389,$B$3587),Data!$BO:$BO,0)-2,28)&lt;&gt;"","Performance Level: "&amp;INDEX(Tab_DaBa[],MATCH(CONCATENATE(Liste!$C$3,$B$3389,$B$3587),Data!$BO:$BO,0)-2,35),"")),"")</f>
        <v>Performance Level: PL_Lo04_08</v>
      </c>
      <c r="C3600" s="39"/>
      <c r="D3600" s="35" t="str">
        <f ca="1">IFERROR(IF(AND(INDEX(Tab_DaBa[],MATCH(CONCATENATE(Liste!$C$3,$B$3389,$B$3587),Data!$BO:$BO,0)-2,33)&lt;&gt;"",INDEX(Tab_DaBa[],MATCH(CONCATENATE(Liste!$C$3,$B$3389,$B$3587),Data!$BO:$BO,0)-2,38)=""),"Performance Level: "&amp;INDEX(Tab_DaBa[],MATCH(CONCATENATE(Liste!$C$3,$B$3389,$B$3587),Data!$BO:$BO,0)-2,15),IF(INDEX(Tab_DaBa[],MATCH(CONCATENATE(Liste!$C$3,$B$3389,$B$3587),Data!$BO:$BO,0)-2,33)&lt;&gt;"","Performance Level: "&amp;INDEX(Tab_DaBa[],MATCH(CONCATENATE(Liste!$C$3,$B$3389,$B$3587),Data!$BO:$BO,0)-2,40),"")),"")</f>
        <v>Performance Level: PL_Lo03_8</v>
      </c>
      <c r="E3600" s="37"/>
      <c r="F3600" s="35" t="str">
        <f ca="1">IFERROR(IF(AND(INDEX(Tab_DaBa[],MATCH(CONCATENATE(Liste!$C$3,$B$3389,$B$3587),Data!$BO:$BO,0)-2,38)&lt;&gt;"",INDEX(Tab_DaBa[],MATCH(CONCATENATE(Liste!$C$3,$B$3389,$B$3587),Data!$BO:$BO,0)-2,43)=""),"Performance Level: "&amp;INDEX(Tab_DaBa[],MATCH(CONCATENATE(Liste!$C$3,$B$3389,$B$3587),Data!$BO:$BO,0)-2,15),IF(INDEX(Tab_DaBa[],MATCH(CONCATENATE(Liste!$C$3,$B$3389,$B$3587),Data!$BO:$BO,0)-2,38)&lt;&gt;"","Performance Level: "&amp;INDEX(Tab_DaBa[],MATCH(CONCATENATE(Liste!$C$3,$B$3389,$B$3587),Data!$BO:$BO,0)-2,45),"")),"")</f>
        <v>Performance Level: PL_Lo03_08</v>
      </c>
      <c r="G3600" s="39"/>
      <c r="H3600" s="35" t="str">
        <f ca="1">IFERROR(IF(AND(INDEX(Tab_DaBa[],MATCH(CONCATENATE(Liste!$C$3,$B$3389,$B$3587),Data!$BO:$BO,0)-2,43)&lt;&gt;"",INDEX(Tab_DaBa[],MATCH(CONCATENATE(Liste!$C$3,$B$3389,$B$3587),Data!$BO:$BO,0)-2,48)=""),"Performance Level: "&amp;INDEX(Tab_DaBa[],MATCH(CONCATENATE(Liste!$C$3,$B$3389,$B$3587),Data!$BO:$BO,0)-2,15),IF(INDEX(Tab_DaBa[],MATCH(CONCATENATE(Liste!$C$3,$B$3389,$B$3587),Data!$BO:$BO,0)-2,43)&lt;&gt;"","Performance Level: "&amp;INDEX(Tab_DaBa[],MATCH(CONCATENATE(Liste!$C$3,$B$3389,$B$3587),Data!$BO:$BO,0)-2,50),"")),"")</f>
        <v>Performance Level: PL_Lo03_08</v>
      </c>
      <c r="I3600" s="39"/>
    </row>
    <row r="3601" spans="2:9" s="16" customFormat="1" ht="15.75">
      <c r="B3601" s="35" t="str">
        <f ca="1">IFERROR(IF(AND(INDEX(Tab_DaBa[],MATCH(CONCATENATE(Liste!$C$3,$B$3389,$B$3587),Data!$BO:$BO,0)-2,28)&lt;&gt;"",INDEX(Tab_DaBa[],MATCH(CONCATENATE(Liste!$C$3,$B$3389,$B$3587),Data!$BO:$BO,0)-2,33)=""),"PFH [1/h] = "&amp;10^9*INDEX(Tab_DaBa[],MATCH(CONCATENATE(Liste!$C$3,$B$3389,$B$3587),Data!$BO:$BO,0)-2,16)&amp;"E-9",IF(INDEX(Tab_DaBa[],MATCH(CONCATENATE(Liste!$C$3,$B$3389,$B$3587),Data!$BO:$BO,0)-2,28)&lt;&gt;"","PFH [1/h] = "&amp;10^9*INDEX(Tab_DaBa[],MATCH(CONCATENATE(Liste!$C$3,$B$3389,$B$3587),Data!$BO:$BO,0)-2,36)&amp;"E-9","")),"")</f>
        <v>PFH [1/h] = 4,19E-9</v>
      </c>
      <c r="C3601" s="39"/>
      <c r="D3601" s="35" t="str">
        <f ca="1">IFERROR(IF(AND(INDEX(Tab_DaBa[],MATCH(CONCATENATE(Liste!$C$3,$B$3389,$B$3587),Data!$BO:$BO,0)-2,33)&lt;&gt;"",INDEX(Tab_DaBa[],MATCH(CONCATENATE(Liste!$C$3,$B$3389,$B$3587),Data!$BO:$BO,0)-2,38)=""),"PFH [1/h] = "&amp;10^9*INDEX(Tab_DaBa[],MATCH(CONCATENATE(Liste!$C$3,$B$3389,$B$3587),Data!$BO:$BO,0)-2,16)&amp;"E-9",IF(INDEX(Tab_DaBa[],MATCH(CONCATENATE(Liste!$C$3,$B$3389,$B$3587),Data!$BO:$BO,0)-2,33)&lt;&gt;"","PFH [1/h] = "&amp;10^9*INDEX(Tab_DaBa[],MATCH(CONCATENATE(Liste!$C$3,$B$3389,$B$3587),Data!$BO:$BO,0)-2,41)&amp;"E-9","")),"")</f>
        <v>PFH [1/h] = 4,19E-9</v>
      </c>
      <c r="E3601" s="37"/>
      <c r="F3601" s="35" t="str">
        <f ca="1">IFERROR(IF(AND(INDEX(Tab_DaBa[],MATCH(CONCATENATE(Liste!$C$3,$B$3389,$B$3587),Data!$BO:$BO,0)-2,38)&lt;&gt;"",INDEX(Tab_DaBa[],MATCH(CONCATENATE(Liste!$C$3,$B$3389,$B$3587),Data!$BO:$BO,0)-2,43)=""),"PFH [1/h] = "&amp;10^9*INDEX(Tab_DaBa[],MATCH(CONCATENATE(Liste!$C$3,$B$3389,$B$3587),Data!$BO:$BO,0)-2,16)&amp;"E-9",IF(INDEX(Tab_DaBa[],MATCH(CONCATENATE(Liste!$C$3,$B$3389,$B$3587),Data!$BO:$BO,0)-2,38)&lt;&gt;"","PFH [1/h] = "&amp;10^9*INDEX(Tab_DaBa[],MATCH(CONCATENATE(Liste!$C$3,$B$3389,$B$3587),Data!$BO:$BO,0)-2,46)&amp;"E-9","")),"")</f>
        <v>PFH [1/h] = 4,19E-9</v>
      </c>
      <c r="G3601" s="39"/>
      <c r="H3601" s="35" t="str">
        <f ca="1">IFERROR(IF(AND(INDEX(Tab_DaBa[],MATCH(CONCATENATE(Liste!$C$3,$B$3389,$B$3587),Data!$BO:$BO,0)-2,43)&lt;&gt;"",INDEX(Tab_DaBa[],MATCH(CONCATENATE(Liste!$C$3,$B$3389,$B$3587),Data!$BO:$BO,0)-2,48)=""),"PFH [1/h] = "&amp;10^9*INDEX(Tab_DaBa[],MATCH(CONCATENATE(Liste!$C$3,$B$3389,$B$3587),Data!$BO:$BO,0)-2,16)&amp;"E-9",IF(INDEX(Tab_DaBa[],MATCH(CONCATENATE(Liste!$C$3,$B$3389,$B$3587),Data!$BO:$BO,0)-2,43)&lt;&gt;"","PFH [1/h] = "&amp;10^9*INDEX(Tab_DaBa[],MATCH(CONCATENATE(Liste!$C$3,$B$3389,$B$3587),Data!$BO:$BO,0)-2,51)&amp;"E-9","")),"")</f>
        <v>PFH [1/h] = 4,19E-9</v>
      </c>
      <c r="I3601" s="39"/>
    </row>
    <row r="3602" spans="2:9" s="16" customFormat="1">
      <c r="B3602" s="33"/>
      <c r="C3602" s="33"/>
      <c r="D3602" s="33"/>
      <c r="E3602" s="33"/>
      <c r="F3602" s="33"/>
      <c r="G3602" s="33"/>
      <c r="H3602" s="33"/>
      <c r="I3602" s="33"/>
    </row>
    <row r="3603" spans="2:9" s="16" customFormat="1" ht="15.75">
      <c r="B3603" s="38">
        <f ca="1">IF(B3605="","",6)</f>
        <v>6</v>
      </c>
      <c r="C3603" s="33"/>
      <c r="D3603" s="38">
        <f ca="1">IF(B3605="","",3)</f>
        <v>3</v>
      </c>
      <c r="E3603" s="33"/>
      <c r="F3603" s="38">
        <f ca="1">IF(B3605="","",3)</f>
        <v>3</v>
      </c>
      <c r="G3603" s="33"/>
      <c r="H3603" s="38">
        <f ca="1">IF(B3605="","",3)</f>
        <v>3</v>
      </c>
      <c r="I3603" s="33"/>
    </row>
    <row r="3604" spans="2:9" s="16" customFormat="1" ht="15.75">
      <c r="B3604" s="39"/>
      <c r="C3604" s="33"/>
      <c r="D3604" s="33"/>
      <c r="E3604" s="33"/>
      <c r="F3604" s="33"/>
      <c r="G3604" s="33"/>
      <c r="H3604" s="33"/>
      <c r="I3604" s="33"/>
    </row>
    <row r="3605" spans="2:9" s="16" customFormat="1" ht="15.75">
      <c r="B3605" s="35" t="str">
        <f ca="1">IFERROR(IF(AND(INDEX(Tab_DaBa[],MATCH(CONCATENATE(Liste!$C$3,$B$3389,$B$3587),Data!$BO:$BO,0)-2,48)&lt;&gt;"",INDEX(Tab_DaBa[],MATCH(CONCATENATE(Liste!$C$3,$B$3389,$B$3587),Data!$BO:$BO,0)-2,53)=0),INDEX(Tab_DaBa[],MATCH(CONCATENATE(Liste!$C$3,$B$3389,$B$3587),Data!$BO:$BO,0)-2,14),IF(INDEX(Tab_DaBa[],MATCH(CONCATENATE(Liste!$C$3,$B$3389,$B$3587),Data!$BO:$BO,0)-2,48)&lt;&gt;"",INDEX(Tab_DaBa[],MATCH(CONCATENATE(Liste!$C$3,$B$3389,$B$3587),Data!$BO:$BO,0)-2,54),"")),"")</f>
        <v>Logik 08</v>
      </c>
      <c r="C3605" s="39"/>
      <c r="D3605" s="35" t="str">
        <f ca="1">IFERROR(IF(AND(INDEX(Tab_DaBa[],MATCH(CONCATENATE(Liste!$C$3,$B$3389,$B$3587),Data!$BO:$BO,0)-2,53)&lt;&gt;"",INDEX(Tab_DaBa[],MATCH(CONCATENATE(Liste!$C$3,$B$3389,$B$3587),Data!$BO:$BO,0)-2,58)=0),INDEX(Tab_DaBa[],MATCH(CONCATENATE(Liste!$C$3,$B$3389,$B$3587),Data!$BO:$BO,0)-2,14),IF(INDEX(Tab_DaBa[],MATCH(CONCATENATE(Liste!$C$3,$B$3389,$B$3587),Data!$BO:$BO,0)-2,53)&lt;&gt;"",INDEX(Tab_DaBa[],MATCH(CONCATENATE(Liste!$C$3,$B$3389,$B$3587),Data!$BO:$BO,0)-2,59),"")),"")</f>
        <v>Ausgang</v>
      </c>
      <c r="E3605" s="33"/>
      <c r="F3605" s="35" t="str">
        <f ca="1">IFERROR(IF(AND(INDEX(Tab_DaBa[],MATCH(CONCATENATE(Liste!$C$3,$B$3389,$B$3587),Data!$BO:$BO,0)-2,58)&lt;&gt;"",INDEX(Tab_DaBa[],MATCH(CONCATENATE(Liste!$C$3,$B$3389,$B$3587),Data!$BO:$BO,0)-2,63)=0),INDEX(Tab_DaBa[],MATCH(CONCATENATE(Liste!$C$3,$B$3389,$B$3587),Data!$BO:$BO,0)-2,14),IF(INDEX(Tab_DaBa[],MATCH(CONCATENATE(Liste!$C$3,$B$3389,$B$3587),Data!$BO:$BO,0)-2,58)&lt;&gt;"",INDEX(Tab_DaBa[],MATCH(CONCATENATE(Liste!$C$3,$B$3389,$B$3587),Data!$BO:$BO,0)-2,64),"")),"")</f>
        <v/>
      </c>
      <c r="G3605" s="39"/>
      <c r="H3605" s="35" t="str">
        <f ca="1">IFERROR(IF(INDEX(Tab_DaBa[],MATCH(CONCATENATE(Liste!$C$3,$B$3389,$B$3587),Data!$BO:$BO,0)-2,63)&lt;&gt;"",INDEX(Tab_DaBa[],MATCH(CONCATENATE(Liste!$C$3,$B$3389,$B$3587),Data!$BO:$BO,0)-2,14),""),"")</f>
        <v/>
      </c>
    </row>
    <row r="3606" spans="2:9" s="16" customFormat="1" ht="15.75">
      <c r="B3606" s="35" t="str">
        <f ca="1">IFERROR(IF(AND(INDEX(Tab_DaBa[],MATCH(CONCATENATE(Liste!$C$3,$B$3389,$B$3587),Data!$BO:$BO,0)-2,48)&lt;&gt;"",INDEX(Tab_DaBa[],MATCH(CONCATENATE(Liste!$C$3,$B$3389,$B$3587),Data!$BO:$BO,0)-2,53)=0),INDEX(Tab_DaBa[],MATCH(CONCATENATE(Liste!$C$3,$B$3389,$B$3587),Data!$BO:$BO,0)-2,12),IF(INDEX(Tab_DaBa[],MATCH(CONCATENATE(Liste!$C$3,$B$3389,$B$3587),Data!$BO:$BO,0)-2,48)&lt;&gt;"",INDEX(Tab_DaBa[],MATCH(CONCATENATE(Liste!$C$3,$B$3389,$B$3587),Data!$BO:$BO,0)-2,52),"")),"")</f>
        <v>Lo03-88_08</v>
      </c>
      <c r="C3606" s="39"/>
      <c r="D3606" s="35" t="str">
        <f ca="1">IFERROR(IF(AND(INDEX(Tab_DaBa[],MATCH(CONCATENATE(Liste!$C$3,$B$3389,$B$3587),Data!$BO:$BO,0)-2,53)&lt;&gt;"",INDEX(Tab_DaBa[],MATCH(CONCATENATE(Liste!$C$3,$B$3389,$B$3587),Data!$BO:$BO,0)-2,58)=0),INDEX(Tab_DaBa[],MATCH(CONCATENATE(Liste!$C$3,$B$3389,$B$3587),Data!$BO:$BO,0)-2,12),IF(INDEX(Tab_DaBa[],MATCH(CONCATENATE(Liste!$C$3,$B$3389,$B$3587),Data!$BO:$BO,0)-2,53)&lt;&gt;"",INDEX(Tab_DaBa[],MATCH(CONCATENATE(Liste!$C$3,$B$3389,$B$3587),Data!$BO:$BO,0)-2,57),"")),"")</f>
        <v>aaaa-44_8</v>
      </c>
      <c r="E3606" s="37"/>
      <c r="F3606" s="35" t="str">
        <f ca="1">IFERROR(IF(AND(INDEX(Tab_DaBa[],MATCH(CONCATENATE(Liste!$C$3,$B$3389,$B$3587),Data!$BO:$BO,0)-2,58)&lt;&gt;"",INDEX(Tab_DaBa[],MATCH(CONCATENATE(Liste!$C$3,$B$3389,$B$3587),Data!$BO:$BO,0)-2,63)=0),INDEX(Tab_DaBa[],MATCH(CONCATENATE(Liste!$C$3,$B$3389,$B$3587),Data!$BO:$BO,0)-2,12),IF(INDEX(Tab_DaBa[],MATCH(CONCATENATE(Liste!$C$3,$B$3389,$B$3587),Data!$BO:$BO,0)-2,58)&lt;&gt;"",INDEX(Tab_DaBa[],MATCH(CONCATENATE(Liste!$C$3,$B$3389,$B$3587),Data!$BO:$BO,0)-2,62),"")),"")</f>
        <v/>
      </c>
      <c r="G3606" s="39"/>
      <c r="H3606" s="35" t="str">
        <f ca="1">IFERROR(IF(INDEX(Tab_DaBa[],MATCH(CONCATENATE(Liste!$C$3,$B$3389,$B$3587),Data!$BO:$BO,0)-2,63)&lt;&gt;"",INDEX(Tab_DaBa[],MATCH(CONCATENATE(Liste!$C$3,$B$3389,$B$3587),Data!$BO:$BO,0)-2,12),""),"")</f>
        <v/>
      </c>
    </row>
    <row r="3607" spans="2:9" s="16" customFormat="1" ht="15.75">
      <c r="B3607" s="35" t="str">
        <f ca="1">IFERROR(IF(AND(INDEX(Tab_DaBa[],MATCH(CONCATENATE(Liste!$C$3,$B$3389,$B$3587),Data!$BO:$BO,0)-2,48)&lt;&gt;"",INDEX(Tab_DaBa[],MATCH(CONCATENATE(Liste!$C$3,$B$3389,$B$3587),Data!$BO:$BO,0)-2,53)=""),INDEX(Tab_DaBa[],MATCH(CONCATENATE(Liste!$C$3,$B$3389,$B$3587),Data!$BO:$BO,0)-2,13),IF(INDEX(Tab_DaBa[],MATCH(CONCATENATE(Liste!$C$3,$B$3389,$B$3587),Data!$BO:$BO,0)-2,48)&lt;&gt;"",INDEX(Tab_DaBa[],MATCH(CONCATENATE(Liste!$C$3,$B$3389,$B$3587),Data!$BO:$BO,0)-2,53),"")),"")</f>
        <v>Bez_Lo03_08</v>
      </c>
      <c r="C3607" s="38">
        <f ca="1">IF(D3605="","",4)</f>
        <v>4</v>
      </c>
      <c r="D3607" s="35" t="str">
        <f ca="1">IFERROR(IF(AND(INDEX(Tab_DaBa[],MATCH(CONCATENATE(Liste!$C$3,$B$3389,$B$3587),Data!$BO:$BO,0)-2,53)&lt;&gt;"",INDEX(Tab_DaBa[],MATCH(CONCATENATE(Liste!$C$3,$B$3389,$B$3587),Data!$BO:$BO,0)-2,58)=""),INDEX(Tab_DaBa[],MATCH(CONCATENATE(Liste!$C$3,$B$3389,$B$3587),Data!$BO:$BO,0)-2,13),IF(INDEX(Tab_DaBa[],MATCH(CONCATENATE(Liste!$C$3,$B$3389,$B$3587),Data!$BO:$BO,0)-2,53)&lt;&gt;"",INDEX(Tab_DaBa[],MATCH(CONCATENATE(Liste!$C$3,$B$3389,$B$3587),Data!$BO:$BO,0)-2,58),"")),"")</f>
        <v>Bez_Aus4_8</v>
      </c>
      <c r="E3607" s="38" t="str">
        <f ca="1">IF(F3605="","",4)</f>
        <v/>
      </c>
      <c r="F3607" s="35" t="str">
        <f ca="1">IFERROR(IF(AND(INDEX(Tab_DaBa[],MATCH(CONCATENATE(Liste!$C$3,$B$3389,$B$3587),Data!$BO:$BO,0)-2,58)&lt;&gt;"",INDEX(Tab_DaBa[],MATCH(CONCATENATE(Liste!$C$3,$B$3389,$B$3587),Data!$BO:$BO,0)-2,63)=""),INDEX(Tab_DaBa[],MATCH(CONCATENATE(Liste!$C$3,$B$3389,$B$3587),Data!$BO:$BO,0)-2,13),IF(INDEX(Tab_DaBa[],MATCH(CONCATENATE(Liste!$C$3,$B$3389,$B$3587),Data!$BO:$BO,0)-2,58)&lt;&gt;"",INDEX(Tab_DaBa[],MATCH(CONCATENATE(Liste!$C$3,$B$3389,$B$3587),Data!$BO:$BO,0)-2,63),"")),"")</f>
        <v/>
      </c>
      <c r="G3607" s="38" t="str">
        <f ca="1">IF(H3605="","",4)</f>
        <v/>
      </c>
      <c r="H3607" s="35" t="str">
        <f ca="1">IFERROR(IF(INDEX(Tab_DaBa[],MATCH(CONCATENATE(Liste!$C$3,$B$3389,$B$3587),Data!$BO:$BO,0)-2,63)&lt;&gt;"",INDEX(Tab_DaBa[],MATCH(CONCATENATE(Liste!$C$3,$B$3389,$B$3587),Data!$BO:$BO,0)-2,13),""),"")</f>
        <v/>
      </c>
    </row>
    <row r="3608" spans="2:9" s="16" customFormat="1" ht="15.75">
      <c r="B3608" s="35" t="str">
        <f ca="1">IFERROR(IF(AND(INDEX(Tab_DaBa[],MATCH(CONCATENATE(Liste!$C$3,$B$3389,$B$3587),Data!$BO:$BO,0)-2,48)&lt;&gt;"",INDEX(Tab_DaBa[],MATCH(CONCATENATE(Liste!$C$3,$B$3389,$B$3587),Data!$BO:$BO,0)-2,53)=""),"Performance Level: "&amp;INDEX(Tab_DaBa[],MATCH(CONCATENATE(Liste!$C$3,$B$3389,$B$3587),Data!$BO:$BO,0)-2,15),IF(INDEX(Tab_DaBa[],MATCH(CONCATENATE(Liste!$C$3,$B$3389,$B$3587),Data!$BO:$BO,0)-2,48)&lt;&gt;"","Performance Level: "&amp;INDEX(Tab_DaBa[],MATCH(CONCATENATE(Liste!$C$3,$B$3389,$B$3587),Data!$BO:$BO,0)-2,55),"")),"")</f>
        <v>Performance Level: PL_Lo03_08</v>
      </c>
      <c r="C3608" s="39"/>
      <c r="D3608" s="35" t="str">
        <f ca="1">IFERROR(IF(AND(INDEX(Tab_DaBa[],MATCH(CONCATENATE(Liste!$C$3,$B$3389,$B$3587),Data!$BO:$BO,0)-2,53)&lt;&gt;"",INDEX(Tab_DaBa[],MATCH(CONCATENATE(Liste!$C$3,$B$3389,$B$3587),Data!$BO:$BO,0)-2,58)=""),"Performance Level: "&amp;INDEX(Tab_DaBa[],MATCH(CONCATENATE(Liste!$C$3,$B$3389,$B$3587),Data!$BO:$BO,0)-2,15),IF(INDEX(Tab_DaBa[],MATCH(CONCATENATE(Liste!$C$3,$B$3389,$B$3587),Data!$BO:$BO,0)-2,53)&lt;&gt;"","Performance Level: "&amp;INDEX(Tab_DaBa[],MATCH(CONCATENATE(Liste!$C$3,$B$3389,$B$3587),Data!$BO:$BO,0)-2,60),"")),"")</f>
        <v>Performance Level: PL_Aus4_8</v>
      </c>
      <c r="E3608" s="37"/>
      <c r="F3608" s="35" t="str">
        <f ca="1">IFERROR(IF(AND(INDEX(Tab_DaBa[],MATCH(CONCATENATE(Liste!$C$3,$B$3389,$B$3587),Data!$BO:$BO,0)-2,58)&lt;&gt;"",INDEX(Tab_DaBa[],MATCH(CONCATENATE(Liste!$C$3,$B$3389,$B$3587),Data!$BO:$BO,0)-2,63)=""),"Performance Level: "&amp;INDEX(Tab_DaBa[],MATCH(CONCATENATE(Liste!$C$3,$B$3389,$B$3587),Data!$BO:$BO,0)-2,15),IF(INDEX(Tab_DaBa[],MATCH(CONCATENATE(Liste!$C$3,$B$3389,$B$3587),Data!$BO:$BO,0)-2,58)&lt;&gt;"","Performance Level: "&amp;INDEX(Tab_DaBa[],MATCH(CONCATENATE(Liste!$C$3,$B$3389,$B$3587),Data!$BO:$BO,0)-2,65),"")),"")</f>
        <v/>
      </c>
      <c r="G3608" s="39"/>
      <c r="H3608" s="35" t="str">
        <f ca="1">IFERROR(IF(INDEX(Tab_DaBa[],MATCH(CONCATENATE(Liste!$C$3,$B$3389,$B$3587),Data!$BO:$BO,0)-2,63)&lt;&gt;"","Performance Level: "&amp;INDEX(Tab_DaBa[],MATCH(CONCATENATE(Liste!$C$3,$B$3389,$B$3587),Data!$BO:$BO,0)-2,15),""),"")</f>
        <v/>
      </c>
    </row>
    <row r="3609" spans="2:9" s="16" customFormat="1" ht="15.75">
      <c r="B3609" s="35" t="str">
        <f ca="1">IFERROR(IF(AND(INDEX(Tab_DaBa[],MATCH(CONCATENATE(Liste!$C$3,$B$3389,$B$3587),Data!$BO:$BO,0)-2,48)&lt;&gt;"",INDEX(Tab_DaBa[],MATCH(CONCATENATE(Liste!$C$3,$B$3389,$B$3587),Data!$BO:$BO,0)-2,53)=""),"PFH [1/h] = "&amp;10^9*INDEX(Tab_DaBa[],MATCH(CONCATENATE(Liste!$C$3,$B$3389,$B$3587),Data!$BO:$BO,0)-2,16)&amp;"E-9",IF(INDEX(Tab_DaBa[],MATCH(CONCATENATE(Liste!$C$3,$B$3389,$B$3587),Data!$BO:$BO,0)-2,48)&lt;&gt;"","PFH [1/h] = "&amp;10^9*INDEX(Tab_DaBa[],MATCH(CONCATENATE(Liste!$C$3,$B$3389,$B$3587),Data!$BO:$BO,0)-2,56)&amp;"E-9","")),"")</f>
        <v>PFH [1/h] = 4,19E-9</v>
      </c>
      <c r="C3609" s="39"/>
      <c r="D3609" s="35" t="str">
        <f ca="1">IFERROR(IF(AND(INDEX(Tab_DaBa[],MATCH(CONCATENATE(Liste!$C$3,$B$3389,$B$3587),Data!$BO:$BO,0)-2,53)&lt;&gt;"",INDEX(Tab_DaBa[],MATCH(CONCATENATE(Liste!$C$3,$B$3389,$B$3587),Data!$BO:$BO,0)-2,58)=""),"PFH [1/h] = "&amp;10^9*INDEX(Tab_DaBa[],MATCH(CONCATENATE(Liste!$C$3,$B$3389,$B$3587),Data!$BO:$BO,0)-2,16)&amp;"E-9",IF(INDEX(Tab_DaBa[],MATCH(CONCATENATE(Liste!$C$3,$B$3389,$B$3587),Data!$BO:$BO,0)-2,53)&lt;&gt;"","PFH [1/h] = "&amp;10^9*INDEX(Tab_DaBa[],MATCH(CONCATENATE(Liste!$C$3,$B$3389,$B$3587),Data!$BO:$BO,0)-2,61)&amp;"E-9","")),"")</f>
        <v>PFH [1/h] = 24,7E-9</v>
      </c>
      <c r="E3609" s="37"/>
      <c r="F3609" s="35" t="str">
        <f ca="1">IFERROR(IF(AND(INDEX(Tab_DaBa[],MATCH(CONCATENATE(Liste!$C$3,$B$3389,$B$3587),Data!$BO:$BO,0)-2,58)&lt;&gt;"",INDEX(Tab_DaBa[],MATCH(CONCATENATE(Liste!$C$3,$B$3389,$B$3587),Data!$BO:$BO,0)-2,63)=""),"PFH [1/h] = "&amp;10^9*INDEX(Tab_DaBa[],MATCH(CONCATENATE(Liste!$C$3,$B$3389,$B$3587),Data!$BO:$BO,0)-2,16)&amp;"E-9",IF(INDEX(Tab_DaBa[],MATCH(CONCATENATE(Liste!$C$3,$B$3389,$B$3587),Data!$BO:$BO,0)-2,58)&lt;&gt;"","PFH [1/h] = "&amp;10^9*INDEX(Tab_DaBa[],MATCH(CONCATENATE(Liste!$C$3,$B$3389,$B$3587),Data!$BO:$BO,0)-2,66)&amp;"E-9","")),"")</f>
        <v/>
      </c>
      <c r="G3609" s="39"/>
      <c r="H3609" s="35" t="str">
        <f ca="1">IFERROR(IF(INDEX(Tab_DaBa[],MATCH(CONCATENATE(Liste!$C$3,$B$3389,$B$3587),Data!$BO:$BO,0)-2,63)&lt;&gt;"","PFH [1/h] = "&amp;10^9*INDEX(Tab_DaBa[],MATCH(CONCATENATE(Liste!$C$3,$B$3389,$B$3587),Data!$BO:$BO,0)-2,16)&amp;"E-9",""),"")</f>
        <v/>
      </c>
    </row>
    <row r="3610" spans="2:9" s="16" customFormat="1"/>
    <row r="3611" spans="2:9" s="16" customFormat="1">
      <c r="B3611" s="43" t="str">
        <f ca="1">IF(D3611="","","Erforderlich")</f>
        <v>Erforderlich</v>
      </c>
      <c r="D3611" s="44" t="str">
        <f ca="1">IFERROR("Performance Level: "&amp;INDEX(Tab_DaBa[],MATCH(CONCATENATE(Liste!$C$3,$B$3389,$B$3587),Data!$BO:$BO,0)-2,4),"")</f>
        <v>Performance Level: PLr_ges4_8</v>
      </c>
    </row>
    <row r="3612" spans="2:9" s="16" customFormat="1">
      <c r="B3612" s="45"/>
    </row>
    <row r="3613" spans="2:9" s="16" customFormat="1">
      <c r="B3613" s="46" t="str">
        <f ca="1">IF(D3613="","","Erreicht")</f>
        <v>Erreicht</v>
      </c>
      <c r="D3613" s="47" t="str">
        <f ca="1">IFERROR("Performance Level: "&amp;INDEX(Tab_DaBa[],MATCH(CONCATENATE(Liste!$C$3,$B$3389,$B$3587),Data!$BO:$BO,0)-2,5)&amp;"          PFH [1/h] = "&amp;10^9*INDEX(Tab_DaBa[],MATCH(CONCATENATE(Liste!$C$3,$B$3389,$B$3587),Data!$BO:$BO,0)-2,6)&amp;"E-9","")</f>
        <v>Performance Level: Pl_ges4_8          PFH [1/h] = 71,7E-9</v>
      </c>
    </row>
    <row r="3614" spans="2:9" s="16" customFormat="1">
      <c r="B3614" s="50"/>
      <c r="C3614" s="49"/>
      <c r="D3614" s="49"/>
    </row>
    <row r="3615" spans="2:9" s="16" customFormat="1">
      <c r="B3615" s="42" t="str">
        <f ca="1">IFERROR(IF(9&gt;COUNTIF(Data!$BP:$BP,CONCATENATE(Liste!$C$3,$B$3389)),"",INDEX(Tab_DaBa[],MATCH(CONCATENATE(Liste!$C$3,$B$3389),Data!$BP:$BP,0)+6,3)),"")</f>
        <v>13.9 Test13 (E+9L+A)</v>
      </c>
    </row>
    <row r="3616" spans="2:9" s="16" customFormat="1"/>
    <row r="3617" spans="2:9" s="16" customFormat="1" ht="15.75">
      <c r="B3617" s="35" t="str">
        <f ca="1">IFERROR(INDEX(Tab_DaBa[],MATCH(CONCATENATE(Liste!$C$3,$B$3389,$B$3615),Data!$BO:$BO,0)-2,9),"")</f>
        <v>Eingang</v>
      </c>
      <c r="C3617" s="54"/>
      <c r="D3617" s="35" t="str">
        <f ca="1">IFERROR(IF(INDEX(Tab_DaBa[],MATCH(CONCATENATE(Liste!$C$3,$B$3389,$B$3615),Data!$BO:$BO,0)-2,18)=0,INDEX(Tab_DaBa[],MATCH(CONCATENATE(Liste!$C$3,$B$3389,$B$3615),Data!$BO:$BO,0)-2,14),INDEX(Tab_DaBa[],MATCH(CONCATENATE(Liste!$C$3,$B$3389,$B$3615),Data!$BO:$BO,0)-2,19)),"")</f>
        <v>Logik 01</v>
      </c>
      <c r="E3617" s="33"/>
      <c r="F3617" s="35" t="str">
        <f ca="1">IFERROR(IF(AND(INDEX(Tab_DaBa[],MATCH(CONCATENATE(Liste!$C$3,$B$3389,$B$3615),Data!$BO:$BO,0)-2,18)&lt;&gt;"",INDEX(Tab_DaBa[],MATCH(CONCATENATE(Liste!$C$3,$B$3389,$B$3615),Data!$BO:$BO,0)-2,23)=0),INDEX(Tab_DaBa[],MATCH(CONCATENATE(Liste!$C$3,$B$3389,$B$3615),Data!$BO:$BO,0)-2,14),IF(INDEX(Tab_DaBa[],MATCH(CONCATENATE(Liste!$C$3,$B$3389,$B$3615),Data!$BO:$BO,0)-2,23)&lt;&gt;"",INDEX(Tab_DaBa[],MATCH(CONCATENATE(Liste!$C$3,$B$3389,$B$3615),Data!$BO:$BO,0)-2,24),"")),"")</f>
        <v>Logik 02</v>
      </c>
      <c r="G3617" s="39"/>
      <c r="H3617" s="35" t="str">
        <f ca="1">IFERROR(IF(AND(INDEX(Tab_DaBa[],MATCH(CONCATENATE(Liste!$C$3,$B$3389,$B$3615),Data!$BO:$BO,0)-2,23)&lt;&gt;"",INDEX(Tab_DaBa[],MATCH(CONCATENATE(Liste!$C$3,$B$3389,$B$3615),Data!$BO:$BO,0)-2,28)=0),INDEX(Tab_DaBa[],MATCH(CONCATENATE(Liste!$C$3,$B$3389,$B$3615),Data!$BO:$BO,0)-2,14),IF(INDEX(Tab_DaBa[],MATCH(CONCATENATE(Liste!$C$3,$B$3389,$B$3615),Data!$BO:$BO,0)-2,23)&lt;&gt;"",INDEX(Tab_DaBa[],MATCH(CONCATENATE(Liste!$C$3,$B$3389,$B$3615),Data!$BO:$BO,0)-2,29),"")),"")</f>
        <v>Logik 03</v>
      </c>
      <c r="I3617" s="39"/>
    </row>
    <row r="3618" spans="2:9" s="16" customFormat="1" ht="15.75">
      <c r="B3618" s="35" t="str">
        <f ca="1">IFERROR(INDEX(Tab_DaBa[],MATCH(CONCATENATE(Liste!$C$3,$B$3389,$B$3615),Data!$BO:$BO,0)-2,7),"")</f>
        <v>eeee-33_9</v>
      </c>
      <c r="C3618" s="54"/>
      <c r="D3618" s="35" t="str">
        <f ca="1">IFERROR(IF(INDEX(Tab_DaBa[],MATCH(CONCATENATE(Liste!$C$3,$B$3389,$B$3615),Data!$BO:$BO,0)-2,18)="",INDEX(Tab_DaBa[],MATCH(CONCATENATE(Liste!$C$3,$B$3389,$B$3615),Data!$BO:$BO,0)-2,12),INDEX(Tab_DaBa[],MATCH(CONCATENATE(Liste!$C$3,$B$3389,$B$3615),Data!$BO:$BO,0)-2,17)),"")</f>
        <v>Log01-04_09</v>
      </c>
      <c r="E3618" s="36"/>
      <c r="F3618" s="35" t="str">
        <f ca="1">IFERROR(IF(AND(INDEX(Tab_DaBa[],MATCH(CONCATENATE(Liste!$C$3,$B$3389,$B$3615),Data!$BO:$BO,0)-2,18)&lt;&gt;"",INDEX(Tab_DaBa[],MATCH(CONCATENATE(Liste!$C$3,$B$3389,$B$3615),Data!$BO:$BO,0)-2,23)=0),INDEX(Tab_DaBa[],MATCH(CONCATENATE(Liste!$C$3,$B$3389,$B$3615),Data!$BO:$BO,0)-2,12),IF(INDEX(Tab_DaBa[],MATCH(CONCATENATE(Liste!$C$3,$B$3389,$B$3615),Data!$BO:$BO,0)-2,23)&lt;&gt;"",INDEX(Tab_DaBa[],MATCH(CONCATENATE(Liste!$C$3,$B$3389,$B$3615),Data!$BO:$BO,0)-2,22),"")),"")</f>
        <v>Lo04-04_09</v>
      </c>
      <c r="G3618" s="39"/>
      <c r="H3618" s="35" t="str">
        <f ca="1">IFERROR(IF(AND(INDEX(Tab_DaBa[],MATCH(CONCATENATE(Liste!$C$3,$B$3389,$B$3615),Data!$BO:$BO,0)-2,23)&lt;&gt;"",INDEX(Tab_DaBa[],MATCH(CONCATENATE(Liste!$C$3,$B$3389,$B$3615),Data!$BO:$BO,0)-2,28)=0),INDEX(Tab_DaBa[],MATCH(CONCATENATE(Liste!$C$3,$B$3389,$B$3615),Data!$BO:$BO,0)-2,12),IF(INDEX(Tab_DaBa[],MATCH(CONCATENATE(Liste!$C$3,$B$3389,$B$3615),Data!$BO:$BO,0)-2,23)&lt;&gt;"",INDEX(Tab_DaBa[],MATCH(CONCATENATE(Liste!$C$3,$B$3389,$B$3615),Data!$BO:$BO,0)-2,27),"")),"")</f>
        <v>Lo04-44_09</v>
      </c>
      <c r="I3618" s="39"/>
    </row>
    <row r="3619" spans="2:9" s="16" customFormat="1" ht="15.75">
      <c r="B3619" s="35" t="str">
        <f ca="1">IFERROR(INDEX(Tab_DaBa[],MATCH(CONCATENATE(Liste!$C$3,$B$3389,$B$3615),Data!$BO:$BO,0)-2,8),"")</f>
        <v>Bez_Ein4_9</v>
      </c>
      <c r="C3619" s="40">
        <f ca="1">IF(D3617="","",4)</f>
        <v>4</v>
      </c>
      <c r="D3619" s="35" t="str">
        <f ca="1">IFERROR(IF(INDEX(Tab_DaBa[],MATCH(CONCATENATE(Liste!$C$3,$B$3389,$B$3615),Data!$BO:$BO,0)-2,18)="",INDEX(Tab_DaBa[],MATCH(CONCATENATE(Liste!$C$3,$B$3389,$B$3615),Data!$BO:$BO,0)-2,13),INDEX(Tab_DaBa[],MATCH(CONCATENATE(Liste!$C$3,$B$3389,$B$3615),Data!$BO:$BO,0)-2,18)),"")</f>
        <v>Bez_Log01_04_09</v>
      </c>
      <c r="E3619" s="40">
        <f ca="1">IF(F3617="","",4)</f>
        <v>4</v>
      </c>
      <c r="F3619" s="35" t="str">
        <f ca="1">IFERROR(IF(AND(INDEX(Tab_DaBa[],MATCH(CONCATENATE(Liste!$C$3,$B$3389,$B$3615),Data!$BO:$BO,0)-2,18)&lt;&gt;"",INDEX(Tab_DaBa[],MATCH(CONCATENATE(Liste!$C$3,$B$3389,$B$3615),Data!$BO:$BO,0)-2,23)=""),INDEX(Tab_DaBa[],MATCH(CONCATENATE(Liste!$C$3,$B$3389,$B$3615),Data!$BO:$BO,0)-2,13),IF(INDEX(Tab_DaBa[],MATCH(CONCATENATE(Liste!$C$3,$B$3389,$B$3615),Data!$BO:$BO,0)-2,23)&lt;&gt;"",INDEX(Tab_DaBa[],MATCH(CONCATENATE(Liste!$C$3,$B$3389,$B$3615),Data!$BO:$BO,0)-2,23),"")),"")</f>
        <v>Bez_Lo04_09</v>
      </c>
      <c r="G3619" s="38">
        <f ca="1">IF(H3617="","",4)</f>
        <v>4</v>
      </c>
      <c r="H3619" s="35" t="str">
        <f ca="1">IFERROR(IF(AND(INDEX(Tab_DaBa[],MATCH(CONCATENATE(Liste!$C$3,$B$3389,$B$3615),Data!$BO:$BO,0)-2,23)&lt;&gt;"",INDEX(Tab_DaBa[],MATCH(CONCATENATE(Liste!$C$3,$B$3389,$B$3615),Data!$BO:$BO,0)-2,28)=""),INDEX(Tab_DaBa[],MATCH(CONCATENATE(Liste!$C$3,$B$3389,$B$3615),Data!$BO:$BO,0)-2,13),IF(INDEX(Tab_DaBa[],MATCH(CONCATENATE(Liste!$C$3,$B$3389,$B$3615),Data!$BO:$BO,0)-2,23)&lt;&gt;"",INDEX(Tab_DaBa[],MATCH(CONCATENATE(Liste!$C$3,$B$3389,$B$3615),Data!$BO:$BO,0)-2,28),"")),"")</f>
        <v>Bez_Lo04_09</v>
      </c>
      <c r="I3619" s="38">
        <f ca="1">IF(B3625="","",6)</f>
        <v>6</v>
      </c>
    </row>
    <row r="3620" spans="2:9" s="16" customFormat="1" ht="15.75">
      <c r="B3620" s="35" t="str">
        <f ca="1">IFERROR("Performance Level: "&amp;INDEX(Tab_DaBa[],MATCH(CONCATENATE(Liste!$C$3,$B$3389,$B$3615),Data!$BO:$BO,0)-2,10),"")</f>
        <v>Performance Level: PL_Ein4_9</v>
      </c>
      <c r="C3620" s="54"/>
      <c r="D3620" s="35" t="str">
        <f ca="1">IFERROR(IF(INDEX(Tab_DaBa[],MATCH(CONCATENATE(Liste!$C$3,$B$3389,$B$3615),Data!$BO:$BO,0)-2,18)="","Performance Level: "&amp;INDEX(Tab_DaBa[],MATCH(CONCATENATE(Liste!$C$3,$B$3389,$B$3615),Data!$BO:$BO,0)-2,15),"Performance Level: "&amp;INDEX(Tab_DaBa[],MATCH(CONCATENATE(Liste!$C$3,$B$3389,$B$3615),Data!$BO:$BO,0)-2,20)),"")</f>
        <v>Performance Level: PL_Log01_04_09</v>
      </c>
      <c r="E3620" s="36"/>
      <c r="F3620" s="35" t="str">
        <f ca="1">IFERROR(IF(AND(INDEX(Tab_DaBa[],MATCH(CONCATENATE(Liste!$C$3,$B$3389,$B$3615),Data!$BO:$BO,0)-2,18)&lt;&gt;"",INDEX(Tab_DaBa[],MATCH(CONCATENATE(Liste!$C$3,$B$3389,$B$3615),Data!$BO:$BO,0)-2,23)=""),"Performance Level: "&amp;INDEX(Tab_DaBa[],MATCH(CONCATENATE(Liste!$C$3,$B$3389,$B$3615),Data!$BO:$BO,0)-2,15),IF(INDEX(Tab_DaBa[],MATCH(CONCATENATE(Liste!$C$3,$B$3389,$B$3615),Data!$BO:$BO,0)-2,23)&lt;&gt;"","Performance Level: "&amp;INDEX(Tab_DaBa[],MATCH(CONCATENATE(Liste!$C$3,$B$3389,$B$3615),Data!$BO:$BO,0)-2,25),"")),"")</f>
        <v>Performance Level: PL_Lo04_09</v>
      </c>
      <c r="G3620" s="39"/>
      <c r="H3620" s="35" t="str">
        <f ca="1">IFERROR(IF(AND(INDEX(Tab_DaBa[],MATCH(CONCATENATE(Liste!$C$3,$B$3389,$B$3615),Data!$BO:$BO,0)-2,23)&lt;&gt;"",INDEX(Tab_DaBa[],MATCH(CONCATENATE(Liste!$C$3,$B$3389,$B$3615),Data!$BO:$BO,0)-2,28)=""),"Performance Level: "&amp;INDEX(Tab_DaBa[],MATCH(CONCATENATE(Liste!$C$3,$B$3389,$B$3615),Data!$BO:$BO,0)-2,15),IF(INDEX(Tab_DaBa[],MATCH(CONCATENATE(Liste!$C$3,$B$3389,$B$3615),Data!$BO:$BO,0)-2,23)&lt;&gt;"","Performance Level: "&amp;INDEX(Tab_DaBa[],MATCH(CONCATENATE(Liste!$C$3,$B$3389,$B$3615),Data!$BO:$BO,0)-2,30),"")),"")</f>
        <v>Performance Level: PL_Lo04_09</v>
      </c>
      <c r="I3620" s="38"/>
    </row>
    <row r="3621" spans="2:9" s="16" customFormat="1" ht="15.75">
      <c r="B3621" s="53" t="str">
        <f ca="1">IFERROR("PFH [1/h] = "&amp;10^9*INDEX(Tab_DaBa[],MATCH(CONCATENATE(Liste!$C$3,$B$3389,$B$3615),Data!$BO:$BO,0)-2,11)&amp;"E-9","")</f>
        <v>PFH [1/h] = 42,9E-9</v>
      </c>
      <c r="C3621" s="54"/>
      <c r="D3621" s="35" t="str">
        <f ca="1">IFERROR(IF(INDEX(Tab_DaBa[],MATCH(CONCATENATE(Liste!$C$3,$B$3389,$B$3615),Data!$BO:$BO,0)-2,18)="","PFH [1/h] = "&amp;10^9*INDEX(Tab_DaBa[],MATCH(CONCATENATE(Liste!$C$3,$B$3389,$B$3615),Data!$BO:$BO,0)-2,16)&amp;"E-9","PFH [1/h] = "&amp;10^9*INDEX(Tab_DaBa[],MATCH(CONCATENATE(Liste!$C$3,$B$3389,$B$3615),Data!$BO:$BO,0)-2,21)&amp;"E-9"),"")</f>
        <v>PFH [1/h] = 4,19E-9</v>
      </c>
      <c r="E3621" s="36"/>
      <c r="F3621" s="35" t="str">
        <f ca="1">IFERROR(IF(AND(INDEX(Tab_DaBa[],MATCH(CONCATENATE(Liste!$C$3,$B$3389,$B$3615),Data!$BO:$BO,0)-2,18)&lt;&gt;"",INDEX(Tab_DaBa[],MATCH(CONCATENATE(Liste!$C$3,$B$3389,$B$3615),Data!$BO:$BO,0)-2,23)=""),"PFH [1/h] = "&amp;10^9*INDEX(Tab_DaBa[],MATCH(CONCATENATE(Liste!$C$3,$B$3389,$B$3615),Data!$BO:$BO,0)-2,16)&amp;"E-9",IF(INDEX(Tab_DaBa[],MATCH(CONCATENATE(Liste!$C$3,$B$3389,$B$3615),Data!$BO:$BO,0)-2,23)&lt;&gt;"","PFH [1/h] = "&amp;10^9*INDEX(Tab_DaBa[],MATCH(CONCATENATE(Liste!$C$3,$B$3389,$B$3615),Data!$BO:$BO,0)-2,26)&amp;"E-9","")),"")</f>
        <v>PFH [1/h] = 4,19E-9</v>
      </c>
      <c r="G3621" s="39"/>
      <c r="H3621" s="35" t="str">
        <f ca="1">IFERROR(IF(AND(INDEX(Tab_DaBa[],MATCH(CONCATENATE(Liste!$C$3,$B$3389,$B$3615),Data!$BO:$BO,0)-2,23)&lt;&gt;"",INDEX(Tab_DaBa[],MATCH(CONCATENATE(Liste!$C$3,$B$3389,$B$3615),Data!$BO:$BO,0)-2,28)=""),"PFH [1/h] = "&amp;10^9*INDEX(Tab_DaBa[],MATCH(CONCATENATE(Liste!$C$3,$B$3389,$B$3615),Data!$BO:$BO,0)-2,16)&amp;"E-9",IF(INDEX(Tab_DaBa[],MATCH(CONCATENATE(Liste!$C$3,$B$3389,$B$3615),Data!$BO:$BO,0)-2,23)&lt;&gt;"","PFH [1/h] = "&amp;10^9*INDEX(Tab_DaBa[],MATCH(CONCATENATE(Liste!$C$3,$B$3389,$B$3615),Data!$BO:$BO,0)-2,31)&amp;"E-9","")),"")</f>
        <v>PFH [1/h] = 4,19E-9</v>
      </c>
      <c r="I3621" s="39"/>
    </row>
    <row r="3622" spans="2:9" s="16" customFormat="1">
      <c r="B3622" s="33"/>
      <c r="C3622" s="34"/>
      <c r="D3622" s="33"/>
      <c r="E3622" s="33"/>
      <c r="F3622" s="33"/>
      <c r="G3622" s="33"/>
      <c r="H3622" s="33"/>
      <c r="I3622" s="33"/>
    </row>
    <row r="3623" spans="2:9" s="16" customFormat="1" ht="15.75">
      <c r="B3623" s="38">
        <f ca="1">IF(B3625="","",6)</f>
        <v>6</v>
      </c>
      <c r="C3623" s="34"/>
      <c r="D3623" s="38">
        <f ca="1">IF(B3625="","",3)</f>
        <v>3</v>
      </c>
      <c r="E3623" s="33"/>
      <c r="F3623" s="38">
        <f ca="1">IF(B3625="","",3)</f>
        <v>3</v>
      </c>
      <c r="G3623" s="33"/>
      <c r="H3623" s="38">
        <f ca="1">IF(B3625="","",3)</f>
        <v>3</v>
      </c>
      <c r="I3623" s="33"/>
    </row>
    <row r="3624" spans="2:9" s="16" customFormat="1" ht="15.75">
      <c r="B3624" s="39"/>
      <c r="C3624" s="33"/>
      <c r="D3624" s="33"/>
      <c r="E3624" s="33"/>
      <c r="F3624" s="33"/>
      <c r="G3624" s="33"/>
      <c r="H3624" s="33"/>
      <c r="I3624" s="33"/>
    </row>
    <row r="3625" spans="2:9" s="16" customFormat="1" ht="15.75">
      <c r="B3625" s="35" t="str">
        <f ca="1">IFERROR(IF(AND(INDEX(Tab_DaBa[],MATCH(CONCATENATE(Liste!$C$3,$B$3389,$B$3615),Data!$BO:$BO,0)-2,28)&lt;&gt;"",INDEX(Tab_DaBa[],MATCH(CONCATENATE(Liste!$C$3,$B$3389,$B$3615),Data!$BO:$BO,0)-2,33)=0),INDEX(Tab_DaBa[],MATCH(CONCATENATE(Liste!$C$3,$B$3389,$B$3615),Data!$BO:$BO,0)-2,14),IF(INDEX(Tab_DaBa[],MATCH(CONCATENATE(Liste!$C$3,$B$3389,$B$3615),Data!$BO:$BO,0)-2,28)&lt;&gt;"",INDEX(Tab_DaBa[],MATCH(CONCATENATE(Liste!$C$3,$B$3389,$B$3615),Data!$BO:$BO,0)-2,34),"")),"")</f>
        <v>Logik 04</v>
      </c>
      <c r="C3625" s="39"/>
      <c r="D3625" s="35" t="str">
        <f ca="1">IFERROR(IF(AND(INDEX(Tab_DaBa[],MATCH(CONCATENATE(Liste!$C$3,$B$3389,$B$3615),Data!$BO:$BO,0)-2,33)&lt;&gt;"",INDEX(Tab_DaBa[],MATCH(CONCATENATE(Liste!$C$3,$B$3389,$B$3615),Data!$BO:$BO,0)-2,38)=0),INDEX(Tab_DaBa[],MATCH(CONCATENATE(Liste!$C$3,$B$3389,$B$3615),Data!$BO:$BO,0)-2,14),IF(INDEX(Tab_DaBa[],MATCH(CONCATENATE(Liste!$C$3,$B$3389,$B$3615),Data!$BO:$BO,0)-2,33)&lt;&gt;"",INDEX(Tab_DaBa[],MATCH(CONCATENATE(Liste!$C$3,$B$3389,$B$3615),Data!$BO:$BO,0)-2,39),"")),"")</f>
        <v>Logik 07</v>
      </c>
      <c r="E3625" s="33"/>
      <c r="F3625" s="35" t="str">
        <f ca="1">IFERROR(IF(AND(INDEX(Tab_DaBa[],MATCH(CONCATENATE(Liste!$C$3,$B$3389,$B$3615),Data!$BO:$BO,0)-2,38)&lt;&gt;"",INDEX(Tab_DaBa[],MATCH(CONCATENATE(Liste!$C$3,$B$3389,$B$3615),Data!$BO:$BO,0)-2,43)=0),INDEX(Tab_DaBa[],MATCH(CONCATENATE(Liste!$C$3,$B$3389,$B$3615),Data!$BO:$BO,0)-2,14),IF(INDEX(Tab_DaBa[],MATCH(CONCATENATE(Liste!$C$3,$B$3389,$B$3615),Data!$BO:$BO,0)-2,38)&lt;&gt;"",INDEX(Tab_DaBa[],MATCH(CONCATENATE(Liste!$C$3,$B$3389,$B$3615),Data!$BO:$BO,0)-2,44),"")),"")</f>
        <v>Logik 06</v>
      </c>
      <c r="G3625" s="39"/>
      <c r="H3625" s="35" t="str">
        <f ca="1">IFERROR(IF(AND(INDEX(Tab_DaBa[],MATCH(CONCATENATE(Liste!$C$3,$B$3389,$B$3615),Data!$BO:$BO,0)-2,43)&lt;&gt;"",INDEX(Tab_DaBa[],MATCH(CONCATENATE(Liste!$C$3,$B$3389,$B$3615),Data!$BO:$BO,0)-2,48)=0),INDEX(Tab_DaBa[],MATCH(CONCATENATE(Liste!$C$3,$B$3389,$B$3615),Data!$BO:$BO,0)-2,14),IF(INDEX(Tab_DaBa[],MATCH(CONCATENATE(Liste!$C$3,$B$3389,$B$3615),Data!$BO:$BO,0)-2,43)&lt;&gt;"",INDEX(Tab_DaBa[],MATCH(CONCATENATE(Liste!$C$3,$B$3389,$B$3615),Data!$BO:$BO,0)-2,49),"")),"")</f>
        <v>Logik 07</v>
      </c>
      <c r="I3625" s="39"/>
    </row>
    <row r="3626" spans="2:9" s="16" customFormat="1" ht="15.75">
      <c r="B3626" s="35" t="str">
        <f ca="1">IFERROR(IF(AND(INDEX(Tab_DaBa[],MATCH(CONCATENATE(Liste!$C$3,$B$3389,$B$3615),Data!$BO:$BO,0)-2,28)&lt;&gt;"",INDEX(Tab_DaBa[],MATCH(CONCATENATE(Liste!$C$3,$B$3389,$B$3615),Data!$BO:$BO,0)-2,33)=0),INDEX(Tab_DaBa[],MATCH(CONCATENATE(Liste!$C$3,$B$3389,$B$3615),Data!$BO:$BO,0)-2,12),IF(INDEX(Tab_DaBa[],MATCH(CONCATENATE(Liste!$C$3,$B$3389,$B$3615),Data!$BO:$BO,0)-2,28)&lt;&gt;"",INDEX(Tab_DaBa[],MATCH(CONCATENATE(Liste!$C$3,$B$3389,$B$3615),Data!$BO:$BO,0)-2,32),"")),"")</f>
        <v>Lo04-44_09</v>
      </c>
      <c r="C3626" s="39"/>
      <c r="D3626" s="35" t="str">
        <f ca="1">IFERROR(IF(AND(INDEX(Tab_DaBa[],MATCH(CONCATENATE(Liste!$C$3,$B$3389,$B$3615),Data!$BO:$BO,0)-2,33)&lt;&gt;"",INDEX(Tab_DaBa[],MATCH(CONCATENATE(Liste!$C$3,$B$3389,$B$3615),Data!$BO:$BO,0)-2,38)=0),INDEX(Tab_DaBa[],MATCH(CONCATENATE(Liste!$C$3,$B$3389,$B$3615),Data!$BO:$BO,0)-2,12),IF(INDEX(Tab_DaBa[],MATCH(CONCATENATE(Liste!$C$3,$B$3389,$B$3615),Data!$BO:$BO,0)-2,33)&lt;&gt;"",INDEX(Tab_DaBa[],MATCH(CONCATENATE(Liste!$C$3,$B$3389,$B$3615),Data!$BO:$BO,0)-2,37),"")),"")</f>
        <v>Lo04-44_09</v>
      </c>
      <c r="E3626" s="37"/>
      <c r="F3626" s="35" t="str">
        <f ca="1">IFERROR(IF(AND(INDEX(Tab_DaBa[],MATCH(CONCATENATE(Liste!$C$3,$B$3389,$B$3615),Data!$BO:$BO,0)-2,38)&lt;&gt;"",INDEX(Tab_DaBa[],MATCH(CONCATENATE(Liste!$C$3,$B$3389,$B$3615),Data!$BO:$BO,0)-2,43)=0),INDEX(Tab_DaBa[],MATCH(CONCATENATE(Liste!$C$3,$B$3389,$B$3615),Data!$BO:$BO,0)-2,12),IF(INDEX(Tab_DaBa[],MATCH(CONCATENATE(Liste!$C$3,$B$3389,$B$3615),Data!$BO:$BO,0)-2,38)&lt;&gt;"",INDEX(Tab_DaBa[],MATCH(CONCATENATE(Liste!$C$3,$B$3389,$B$3615),Data!$BO:$BO,0)-2,42),"")),"")</f>
        <v>Lo03-33_09</v>
      </c>
      <c r="G3626" s="39"/>
      <c r="H3626" s="35" t="str">
        <f ca="1">IFERROR(IF(AND(INDEX(Tab_DaBa[],MATCH(CONCATENATE(Liste!$C$3,$B$3389,$B$3615),Data!$BO:$BO,0)-2,43)&lt;&gt;"",INDEX(Tab_DaBa[],MATCH(CONCATENATE(Liste!$C$3,$B$3389,$B$3615),Data!$BO:$BO,0)-2,48)=0),INDEX(Tab_DaBa[],MATCH(CONCATENATE(Liste!$C$3,$B$3389,$B$3615),Data!$BO:$BO,0)-2,12),IF(INDEX(Tab_DaBa[],MATCH(CONCATENATE(Liste!$C$3,$B$3389,$B$3615),Data!$BO:$BO,0)-2,43)&lt;&gt;"",INDEX(Tab_DaBa[],MATCH(CONCATENATE(Liste!$C$3,$B$3389,$B$3615),Data!$BO:$BO,0)-2,47),"")),"")</f>
        <v>Lo03-33_09</v>
      </c>
      <c r="I3626" s="39"/>
    </row>
    <row r="3627" spans="2:9" s="16" customFormat="1" ht="15.75">
      <c r="B3627" s="35" t="str">
        <f ca="1">IFERROR(IF(AND(INDEX(Tab_DaBa[],MATCH(CONCATENATE(Liste!$C$3,$B$3389,$B$3615),Data!$BO:$BO,0)-2,28)&lt;&gt;"",INDEX(Tab_DaBa[],MATCH(CONCATENATE(Liste!$C$3,$B$3389,$B$3615),Data!$BO:$BO,0)-2,33)=""),INDEX(Tab_DaBa[],MATCH(CONCATENATE(Liste!$C$3,$B$3389,$B$3615),Data!$BO:$BO,0)-2,13),IF(INDEX(Tab_DaBa[],MATCH(CONCATENATE(Liste!$C$3,$B$3389,$B$3615),Data!$BO:$BO,0)-2,28)&lt;&gt;"",INDEX(Tab_DaBa[],MATCH(CONCATENATE(Liste!$C$3,$B$3389,$B$3615),Data!$BO:$BO,0)-2,33),"")),"")</f>
        <v>Bez_Lo04_09</v>
      </c>
      <c r="C3627" s="38">
        <f ca="1">IF(D3625="","",4)</f>
        <v>4</v>
      </c>
      <c r="D3627" s="35" t="str">
        <f ca="1">IFERROR(IF(AND(INDEX(Tab_DaBa[],MATCH(CONCATENATE(Liste!$C$3,$B$3389,$B$3615),Data!$BO:$BO,0)-2,33)&lt;&gt;"",INDEX(Tab_DaBa[],MATCH(CONCATENATE(Liste!$C$3,$B$3389,$B$3615),Data!$BO:$BO,0)-2,38)=""),INDEX(Tab_DaBa[],MATCH(CONCATENATE(Liste!$C$3,$B$3389,$B$3615),Data!$BO:$BO,0)-2,13),IF(INDEX(Tab_DaBa[],MATCH(CONCATENATE(Liste!$C$3,$B$3389,$B$3615),Data!$BO:$BO,0)-2,33)&lt;&gt;"",INDEX(Tab_DaBa[],MATCH(CONCATENATE(Liste!$C$3,$B$3389,$B$3615),Data!$BO:$BO,0)-2,38),"")),"")</f>
        <v>Bez_Lo03_09</v>
      </c>
      <c r="E3627" s="38">
        <f ca="1">IF(F3625="","",4)</f>
        <v>4</v>
      </c>
      <c r="F3627" s="35" t="str">
        <f ca="1">IFERROR(IF(AND(INDEX(Tab_DaBa[],MATCH(CONCATENATE(Liste!$C$3,$B$3389,$B$3615),Data!$BO:$BO,0)-2,38)&lt;&gt;"",INDEX(Tab_DaBa[],MATCH(CONCATENATE(Liste!$C$3,$B$3389,$B$3615),Data!$BO:$BO,0)-2,43)=""),INDEX(Tab_DaBa[],MATCH(CONCATENATE(Liste!$C$3,$B$3389,$B$3615),Data!$BO:$BO,0)-2,13),IF(INDEX(Tab_DaBa[],MATCH(CONCATENATE(Liste!$C$3,$B$3389,$B$3615),Data!$BO:$BO,0)-2,38)&lt;&gt;"",INDEX(Tab_DaBa[],MATCH(CONCATENATE(Liste!$C$3,$B$3389,$B$3615),Data!$BO:$BO,0)-2,43),"")),"")</f>
        <v>Bez_Lo03_09</v>
      </c>
      <c r="G3627" s="38">
        <f ca="1">IF(H3625="","",4)</f>
        <v>4</v>
      </c>
      <c r="H3627" s="35" t="str">
        <f ca="1">IFERROR(IF(AND(INDEX(Tab_DaBa[],MATCH(CONCATENATE(Liste!$C$3,$B$3389,$B$3615),Data!$BO:$BO,0)-2,43)&lt;&gt;"",INDEX(Tab_DaBa[],MATCH(CONCATENATE(Liste!$C$3,$B$3389,$B$3615),Data!$BO:$BO,0)-2,48)=""),INDEX(Tab_DaBa[],MATCH(CONCATENATE(Liste!$C$3,$B$3389,$B$3615),Data!$BO:$BO,0)-2,13),IF(INDEX(Tab_DaBa[],MATCH(CONCATENATE(Liste!$C$3,$B$3389,$B$3615),Data!$BO:$BO,0)-2,43)&lt;&gt;"",INDEX(Tab_DaBa[],MATCH(CONCATENATE(Liste!$C$3,$B$3389,$B$3615),Data!$BO:$BO,0)-2,48),"")),"")</f>
        <v>Bez_Lo03_09</v>
      </c>
      <c r="I3627" s="38">
        <f ca="1">IF(B3633="","",6)</f>
        <v>6</v>
      </c>
    </row>
    <row r="3628" spans="2:9" s="16" customFormat="1" ht="15.75">
      <c r="B3628" s="35" t="str">
        <f ca="1">IFERROR(IF(AND(INDEX(Tab_DaBa[],MATCH(CONCATENATE(Liste!$C$3,$B$3389,$B$3615),Data!$BO:$BO,0)-2,28)&lt;&gt;"",INDEX(Tab_DaBa[],MATCH(CONCATENATE(Liste!$C$3,$B$3389,$B$3615),Data!$BO:$BO,0)-2,33)=""),"Performance Level: "&amp;INDEX(Tab_DaBa[],MATCH(CONCATENATE(Liste!$C$3,$B$3389,$B$3615),Data!$BO:$BO,0)-2,15),IF(INDEX(Tab_DaBa[],MATCH(CONCATENATE(Liste!$C$3,$B$3389,$B$3615),Data!$BO:$BO,0)-2,28)&lt;&gt;"","Performance Level: "&amp;INDEX(Tab_DaBa[],MATCH(CONCATENATE(Liste!$C$3,$B$3389,$B$3615),Data!$BO:$BO,0)-2,35),"")),"")</f>
        <v>Performance Level: PL_Lo04_09</v>
      </c>
      <c r="C3628" s="39"/>
      <c r="D3628" s="35" t="str">
        <f ca="1">IFERROR(IF(AND(INDEX(Tab_DaBa[],MATCH(CONCATENATE(Liste!$C$3,$B$3389,$B$3615),Data!$BO:$BO,0)-2,33)&lt;&gt;"",INDEX(Tab_DaBa[],MATCH(CONCATENATE(Liste!$C$3,$B$3389,$B$3615),Data!$BO:$BO,0)-2,38)=""),"Performance Level: "&amp;INDEX(Tab_DaBa[],MATCH(CONCATENATE(Liste!$C$3,$B$3389,$B$3615),Data!$BO:$BO,0)-2,15),IF(INDEX(Tab_DaBa[],MATCH(CONCATENATE(Liste!$C$3,$B$3389,$B$3615),Data!$BO:$BO,0)-2,33)&lt;&gt;"","Performance Level: "&amp;INDEX(Tab_DaBa[],MATCH(CONCATENATE(Liste!$C$3,$B$3389,$B$3615),Data!$BO:$BO,0)-2,40),"")),"")</f>
        <v>Performance Level: PL_Lo03_9</v>
      </c>
      <c r="E3628" s="37"/>
      <c r="F3628" s="35" t="str">
        <f ca="1">IFERROR(IF(AND(INDEX(Tab_DaBa[],MATCH(CONCATENATE(Liste!$C$3,$B$3389,$B$3615),Data!$BO:$BO,0)-2,38)&lt;&gt;"",INDEX(Tab_DaBa[],MATCH(CONCATENATE(Liste!$C$3,$B$3389,$B$3615),Data!$BO:$BO,0)-2,43)=""),"Performance Level: "&amp;INDEX(Tab_DaBa[],MATCH(CONCATENATE(Liste!$C$3,$B$3389,$B$3615),Data!$BO:$BO,0)-2,15),IF(INDEX(Tab_DaBa[],MATCH(CONCATENATE(Liste!$C$3,$B$3389,$B$3615),Data!$BO:$BO,0)-2,38)&lt;&gt;"","Performance Level: "&amp;INDEX(Tab_DaBa[],MATCH(CONCATENATE(Liste!$C$3,$B$3389,$B$3615),Data!$BO:$BO,0)-2,45),"")),"")</f>
        <v>Performance Level: PL_Lo03_09</v>
      </c>
      <c r="G3628" s="39"/>
      <c r="H3628" s="35" t="str">
        <f ca="1">IFERROR(IF(AND(INDEX(Tab_DaBa[],MATCH(CONCATENATE(Liste!$C$3,$B$3389,$B$3615),Data!$BO:$BO,0)-2,43)&lt;&gt;"",INDEX(Tab_DaBa[],MATCH(CONCATENATE(Liste!$C$3,$B$3389,$B$3615),Data!$BO:$BO,0)-2,48)=""),"Performance Level: "&amp;INDEX(Tab_DaBa[],MATCH(CONCATENATE(Liste!$C$3,$B$3389,$B$3615),Data!$BO:$BO,0)-2,15),IF(INDEX(Tab_DaBa[],MATCH(CONCATENATE(Liste!$C$3,$B$3389,$B$3615),Data!$BO:$BO,0)-2,43)&lt;&gt;"","Performance Level: "&amp;INDEX(Tab_DaBa[],MATCH(CONCATENATE(Liste!$C$3,$B$3389,$B$3615),Data!$BO:$BO,0)-2,50),"")),"")</f>
        <v>Performance Level: PL_Lo03_09</v>
      </c>
      <c r="I3628" s="39"/>
    </row>
    <row r="3629" spans="2:9" s="16" customFormat="1" ht="15.75">
      <c r="B3629" s="35" t="str">
        <f ca="1">IFERROR(IF(AND(INDEX(Tab_DaBa[],MATCH(CONCATENATE(Liste!$C$3,$B$3389,$B$3615),Data!$BO:$BO,0)-2,28)&lt;&gt;"",INDEX(Tab_DaBa[],MATCH(CONCATENATE(Liste!$C$3,$B$3389,$B$3615),Data!$BO:$BO,0)-2,33)=""),"PFH [1/h] = "&amp;10^9*INDEX(Tab_DaBa[],MATCH(CONCATENATE(Liste!$C$3,$B$3389,$B$3615),Data!$BO:$BO,0)-2,16)&amp;"E-9",IF(INDEX(Tab_DaBa[],MATCH(CONCATENATE(Liste!$C$3,$B$3389,$B$3615),Data!$BO:$BO,0)-2,28)&lt;&gt;"","PFH [1/h] = "&amp;10^9*INDEX(Tab_DaBa[],MATCH(CONCATENATE(Liste!$C$3,$B$3389,$B$3615),Data!$BO:$BO,0)-2,36)&amp;"E-9","")),"")</f>
        <v>PFH [1/h] = 4,19E-9</v>
      </c>
      <c r="C3629" s="39"/>
      <c r="D3629" s="35" t="str">
        <f ca="1">IFERROR(IF(AND(INDEX(Tab_DaBa[],MATCH(CONCATENATE(Liste!$C$3,$B$3389,$B$3615),Data!$BO:$BO,0)-2,33)&lt;&gt;"",INDEX(Tab_DaBa[],MATCH(CONCATENATE(Liste!$C$3,$B$3389,$B$3615),Data!$BO:$BO,0)-2,38)=""),"PFH [1/h] = "&amp;10^9*INDEX(Tab_DaBa[],MATCH(CONCATENATE(Liste!$C$3,$B$3389,$B$3615),Data!$BO:$BO,0)-2,16)&amp;"E-9",IF(INDEX(Tab_DaBa[],MATCH(CONCATENATE(Liste!$C$3,$B$3389,$B$3615),Data!$BO:$BO,0)-2,33)&lt;&gt;"","PFH [1/h] = "&amp;10^9*INDEX(Tab_DaBa[],MATCH(CONCATENATE(Liste!$C$3,$B$3389,$B$3615),Data!$BO:$BO,0)-2,41)&amp;"E-9","")),"")</f>
        <v>PFH [1/h] = 4,19E-9</v>
      </c>
      <c r="E3629" s="37"/>
      <c r="F3629" s="35" t="str">
        <f ca="1">IFERROR(IF(AND(INDEX(Tab_DaBa[],MATCH(CONCATENATE(Liste!$C$3,$B$3389,$B$3615),Data!$BO:$BO,0)-2,38)&lt;&gt;"",INDEX(Tab_DaBa[],MATCH(CONCATENATE(Liste!$C$3,$B$3389,$B$3615),Data!$BO:$BO,0)-2,43)=""),"PFH [1/h] = "&amp;10^9*INDEX(Tab_DaBa[],MATCH(CONCATENATE(Liste!$C$3,$B$3389,$B$3615),Data!$BO:$BO,0)-2,16)&amp;"E-9",IF(INDEX(Tab_DaBa[],MATCH(CONCATENATE(Liste!$C$3,$B$3389,$B$3615),Data!$BO:$BO,0)-2,38)&lt;&gt;"","PFH [1/h] = "&amp;10^9*INDEX(Tab_DaBa[],MATCH(CONCATENATE(Liste!$C$3,$B$3389,$B$3615),Data!$BO:$BO,0)-2,46)&amp;"E-9","")),"")</f>
        <v>PFH [1/h] = 4,19E-9</v>
      </c>
      <c r="G3629" s="39"/>
      <c r="H3629" s="35" t="str">
        <f ca="1">IFERROR(IF(AND(INDEX(Tab_DaBa[],MATCH(CONCATENATE(Liste!$C$3,$B$3389,$B$3615),Data!$BO:$BO,0)-2,43)&lt;&gt;"",INDEX(Tab_DaBa[],MATCH(CONCATENATE(Liste!$C$3,$B$3389,$B$3615),Data!$BO:$BO,0)-2,48)=""),"PFH [1/h] = "&amp;10^9*INDEX(Tab_DaBa[],MATCH(CONCATENATE(Liste!$C$3,$B$3389,$B$3615),Data!$BO:$BO,0)-2,16)&amp;"E-9",IF(INDEX(Tab_DaBa[],MATCH(CONCATENATE(Liste!$C$3,$B$3389,$B$3615),Data!$BO:$BO,0)-2,43)&lt;&gt;"","PFH [1/h] = "&amp;10^9*INDEX(Tab_DaBa[],MATCH(CONCATENATE(Liste!$C$3,$B$3389,$B$3615),Data!$BO:$BO,0)-2,51)&amp;"E-9","")),"")</f>
        <v>PFH [1/h] = 4,19E-9</v>
      </c>
      <c r="I3629" s="39"/>
    </row>
    <row r="3630" spans="2:9" s="16" customFormat="1">
      <c r="B3630" s="33"/>
      <c r="C3630" s="33"/>
      <c r="D3630" s="33"/>
      <c r="E3630" s="33"/>
      <c r="F3630" s="33"/>
      <c r="G3630" s="33"/>
      <c r="H3630" s="33"/>
      <c r="I3630" s="33"/>
    </row>
    <row r="3631" spans="2:9" s="16" customFormat="1" ht="15.75">
      <c r="B3631" s="38">
        <f ca="1">IF(B3633="","",6)</f>
        <v>6</v>
      </c>
      <c r="C3631" s="33"/>
      <c r="D3631" s="38">
        <f ca="1">IF(B3633="","",3)</f>
        <v>3</v>
      </c>
      <c r="E3631" s="33"/>
      <c r="F3631" s="38">
        <f ca="1">IF(B3633="","",3)</f>
        <v>3</v>
      </c>
      <c r="G3631" s="33"/>
      <c r="H3631" s="38">
        <f ca="1">IF(B3633="","",3)</f>
        <v>3</v>
      </c>
      <c r="I3631" s="33"/>
    </row>
    <row r="3632" spans="2:9" s="16" customFormat="1" ht="15.75">
      <c r="B3632" s="39"/>
      <c r="C3632" s="33"/>
      <c r="D3632" s="33"/>
      <c r="E3632" s="33"/>
      <c r="F3632" s="33"/>
      <c r="G3632" s="33"/>
      <c r="H3632" s="33"/>
      <c r="I3632" s="33"/>
    </row>
    <row r="3633" spans="2:9" s="16" customFormat="1" ht="15.75">
      <c r="B3633" s="35" t="str">
        <f ca="1">IFERROR(IF(AND(INDEX(Tab_DaBa[],MATCH(CONCATENATE(Liste!$C$3,$B$3389,$B$3615),Data!$BO:$BO,0)-2,48)&lt;&gt;"",INDEX(Tab_DaBa[],MATCH(CONCATENATE(Liste!$C$3,$B$3389,$B$3615),Data!$BO:$BO,0)-2,53)=0),INDEX(Tab_DaBa[],MATCH(CONCATENATE(Liste!$C$3,$B$3389,$B$3615),Data!$BO:$BO,0)-2,14),IF(INDEX(Tab_DaBa[],MATCH(CONCATENATE(Liste!$C$3,$B$3389,$B$3615),Data!$BO:$BO,0)-2,48)&lt;&gt;"",INDEX(Tab_DaBa[],MATCH(CONCATENATE(Liste!$C$3,$B$3389,$B$3615),Data!$BO:$BO,0)-2,54),"")),"")</f>
        <v>Logik 08</v>
      </c>
      <c r="C3633" s="39"/>
      <c r="D3633" s="35" t="str">
        <f ca="1">IFERROR(IF(AND(INDEX(Tab_DaBa[],MATCH(CONCATENATE(Liste!$C$3,$B$3389,$B$3615),Data!$BO:$BO,0)-2,53)&lt;&gt;"",INDEX(Tab_DaBa[],MATCH(CONCATENATE(Liste!$C$3,$B$3389,$B$3615),Data!$BO:$BO,0)-2,58)=0),INDEX(Tab_DaBa[],MATCH(CONCATENATE(Liste!$C$3,$B$3389,$B$3615),Data!$BO:$BO,0)-2,14),IF(INDEX(Tab_DaBa[],MATCH(CONCATENATE(Liste!$C$3,$B$3389,$B$3615),Data!$BO:$BO,0)-2,53)&lt;&gt;"",INDEX(Tab_DaBa[],MATCH(CONCATENATE(Liste!$C$3,$B$3389,$B$3615),Data!$BO:$BO,0)-2,59),"")),"")</f>
        <v>Logik 09</v>
      </c>
      <c r="E3633" s="33"/>
      <c r="F3633" s="35" t="str">
        <f ca="1">IFERROR(IF(AND(INDEX(Tab_DaBa[],MATCH(CONCATENATE(Liste!$C$3,$B$3389,$B$3615),Data!$BO:$BO,0)-2,58)&lt;&gt;"",INDEX(Tab_DaBa[],MATCH(CONCATENATE(Liste!$C$3,$B$3389,$B$3615),Data!$BO:$BO,0)-2,63)=0),INDEX(Tab_DaBa[],MATCH(CONCATENATE(Liste!$C$3,$B$3389,$B$3615),Data!$BO:$BO,0)-2,14),IF(INDEX(Tab_DaBa[],MATCH(CONCATENATE(Liste!$C$3,$B$3389,$B$3615),Data!$BO:$BO,0)-2,58)&lt;&gt;"",INDEX(Tab_DaBa[],MATCH(CONCATENATE(Liste!$C$3,$B$3389,$B$3615),Data!$BO:$BO,0)-2,64),"")),"")</f>
        <v>Ausgang</v>
      </c>
      <c r="G3633" s="39"/>
      <c r="H3633" s="35" t="str">
        <f ca="1">IFERROR(IF(INDEX(Tab_DaBa[],MATCH(CONCATENATE(Liste!$C$3,$B$3389,$B$3615),Data!$BO:$BO,0)-2,63)&lt;&gt;"",INDEX(Tab_DaBa[],MATCH(CONCATENATE(Liste!$C$3,$B$3389,$B$3615),Data!$BO:$BO,0)-2,14),""),"")</f>
        <v/>
      </c>
    </row>
    <row r="3634" spans="2:9" s="16" customFormat="1" ht="15.75">
      <c r="B3634" s="35" t="str">
        <f ca="1">IFERROR(IF(AND(INDEX(Tab_DaBa[],MATCH(CONCATENATE(Liste!$C$3,$B$3389,$B$3615),Data!$BO:$BO,0)-2,48)&lt;&gt;"",INDEX(Tab_DaBa[],MATCH(CONCATENATE(Liste!$C$3,$B$3389,$B$3615),Data!$BO:$BO,0)-2,53)=0),INDEX(Tab_DaBa[],MATCH(CONCATENATE(Liste!$C$3,$B$3389,$B$3615),Data!$BO:$BO,0)-2,12),IF(INDEX(Tab_DaBa[],MATCH(CONCATENATE(Liste!$C$3,$B$3389,$B$3615),Data!$BO:$BO,0)-2,48)&lt;&gt;"",INDEX(Tab_DaBa[],MATCH(CONCATENATE(Liste!$C$3,$B$3389,$B$3615),Data!$BO:$BO,0)-2,52),"")),"")</f>
        <v>Lo03-88_09</v>
      </c>
      <c r="C3634" s="39"/>
      <c r="D3634" s="35" t="str">
        <f ca="1">IFERROR(IF(AND(INDEX(Tab_DaBa[],MATCH(CONCATENATE(Liste!$C$3,$B$3389,$B$3615),Data!$BO:$BO,0)-2,53)&lt;&gt;"",INDEX(Tab_DaBa[],MATCH(CONCATENATE(Liste!$C$3,$B$3389,$B$3615),Data!$BO:$BO,0)-2,58)=0),INDEX(Tab_DaBa[],MATCH(CONCATENATE(Liste!$C$3,$B$3389,$B$3615),Data!$BO:$BO,0)-2,12),IF(INDEX(Tab_DaBa[],MATCH(CONCATENATE(Liste!$C$3,$B$3389,$B$3615),Data!$BO:$BO,0)-2,53)&lt;&gt;"",INDEX(Tab_DaBa[],MATCH(CONCATENATE(Liste!$C$3,$B$3389,$B$3615),Data!$BO:$BO,0)-2,57),"")),"")</f>
        <v>Lo03-33_09</v>
      </c>
      <c r="E3634" s="37"/>
      <c r="F3634" s="35" t="str">
        <f ca="1">IFERROR(IF(AND(INDEX(Tab_DaBa[],MATCH(CONCATENATE(Liste!$C$3,$B$3389,$B$3615),Data!$BO:$BO,0)-2,58)&lt;&gt;"",INDEX(Tab_DaBa[],MATCH(CONCATENATE(Liste!$C$3,$B$3389,$B$3615),Data!$BO:$BO,0)-2,63)=0),INDEX(Tab_DaBa[],MATCH(CONCATENATE(Liste!$C$3,$B$3389,$B$3615),Data!$BO:$BO,0)-2,12),IF(INDEX(Tab_DaBa[],MATCH(CONCATENATE(Liste!$C$3,$B$3389,$B$3615),Data!$BO:$BO,0)-2,58)&lt;&gt;"",INDEX(Tab_DaBa[],MATCH(CONCATENATE(Liste!$C$3,$B$3389,$B$3615),Data!$BO:$BO,0)-2,62),"")),"")</f>
        <v>aaaa-44_9</v>
      </c>
      <c r="G3634" s="39"/>
      <c r="H3634" s="35" t="str">
        <f ca="1">IFERROR(IF(INDEX(Tab_DaBa[],MATCH(CONCATENATE(Liste!$C$3,$B$3389,$B$3615),Data!$BO:$BO,0)-2,63)&lt;&gt;"",INDEX(Tab_DaBa[],MATCH(CONCATENATE(Liste!$C$3,$B$3389,$B$3615),Data!$BO:$BO,0)-2,12),""),"")</f>
        <v/>
      </c>
    </row>
    <row r="3635" spans="2:9" s="16" customFormat="1" ht="15.75">
      <c r="B3635" s="35" t="str">
        <f ca="1">IFERROR(IF(AND(INDEX(Tab_DaBa[],MATCH(CONCATENATE(Liste!$C$3,$B$3389,$B$3615),Data!$BO:$BO,0)-2,48)&lt;&gt;"",INDEX(Tab_DaBa[],MATCH(CONCATENATE(Liste!$C$3,$B$3389,$B$3615),Data!$BO:$BO,0)-2,53)=""),INDEX(Tab_DaBa[],MATCH(CONCATENATE(Liste!$C$3,$B$3389,$B$3615),Data!$BO:$BO,0)-2,13),IF(INDEX(Tab_DaBa[],MATCH(CONCATENATE(Liste!$C$3,$B$3389,$B$3615),Data!$BO:$BO,0)-2,48)&lt;&gt;"",INDEX(Tab_DaBa[],MATCH(CONCATENATE(Liste!$C$3,$B$3389,$B$3615),Data!$BO:$BO,0)-2,53),"")),"")</f>
        <v>Bez_Lo03_09</v>
      </c>
      <c r="C3635" s="38">
        <f ca="1">IF(D3633="","",4)</f>
        <v>4</v>
      </c>
      <c r="D3635" s="35" t="str">
        <f ca="1">IFERROR(IF(AND(INDEX(Tab_DaBa[],MATCH(CONCATENATE(Liste!$C$3,$B$3389,$B$3615),Data!$BO:$BO,0)-2,53)&lt;&gt;"",INDEX(Tab_DaBa[],MATCH(CONCATENATE(Liste!$C$3,$B$3389,$B$3615),Data!$BO:$BO,0)-2,58)=""),INDEX(Tab_DaBa[],MATCH(CONCATENATE(Liste!$C$3,$B$3389,$B$3615),Data!$BO:$BO,0)-2,13),IF(INDEX(Tab_DaBa[],MATCH(CONCATENATE(Liste!$C$3,$B$3389,$B$3615),Data!$BO:$BO,0)-2,53)&lt;&gt;"",INDEX(Tab_DaBa[],MATCH(CONCATENATE(Liste!$C$3,$B$3389,$B$3615),Data!$BO:$BO,0)-2,58),"")),"")</f>
        <v>Bez_Lo03_09</v>
      </c>
      <c r="E3635" s="38">
        <f ca="1">IF(F3633="","",4)</f>
        <v>4</v>
      </c>
      <c r="F3635" s="35" t="str">
        <f ca="1">IFERROR(IF(AND(INDEX(Tab_DaBa[],MATCH(CONCATENATE(Liste!$C$3,$B$3389,$B$3615),Data!$BO:$BO,0)-2,58)&lt;&gt;"",INDEX(Tab_DaBa[],MATCH(CONCATENATE(Liste!$C$3,$B$3389,$B$3615),Data!$BO:$BO,0)-2,63)=""),INDEX(Tab_DaBa[],MATCH(CONCATENATE(Liste!$C$3,$B$3389,$B$3615),Data!$BO:$BO,0)-2,13),IF(INDEX(Tab_DaBa[],MATCH(CONCATENATE(Liste!$C$3,$B$3389,$B$3615),Data!$BO:$BO,0)-2,58)&lt;&gt;"",INDEX(Tab_DaBa[],MATCH(CONCATENATE(Liste!$C$3,$B$3389,$B$3615),Data!$BO:$BO,0)-2,63),"")),"")</f>
        <v>Bez_Aus4_9</v>
      </c>
      <c r="G3635" s="38" t="str">
        <f ca="1">IF(H3633="","",4)</f>
        <v/>
      </c>
      <c r="H3635" s="35" t="str">
        <f ca="1">IFERROR(IF(INDEX(Tab_DaBa[],MATCH(CONCATENATE(Liste!$C$3,$B$3389,$B$3615),Data!$BO:$BO,0)-2,63)&lt;&gt;"",INDEX(Tab_DaBa[],MATCH(CONCATENATE(Liste!$C$3,$B$3389,$B$3615),Data!$BO:$BO,0)-2,13),""),"")</f>
        <v/>
      </c>
    </row>
    <row r="3636" spans="2:9" s="16" customFormat="1" ht="15.75">
      <c r="B3636" s="35" t="str">
        <f ca="1">IFERROR(IF(AND(INDEX(Tab_DaBa[],MATCH(CONCATENATE(Liste!$C$3,$B$3389,$B$3615),Data!$BO:$BO,0)-2,48)&lt;&gt;"",INDEX(Tab_DaBa[],MATCH(CONCATENATE(Liste!$C$3,$B$3389,$B$3615),Data!$BO:$BO,0)-2,53)=""),"Performance Level: "&amp;INDEX(Tab_DaBa[],MATCH(CONCATENATE(Liste!$C$3,$B$3389,$B$3615),Data!$BO:$BO,0)-2,15),IF(INDEX(Tab_DaBa[],MATCH(CONCATENATE(Liste!$C$3,$B$3389,$B$3615),Data!$BO:$BO,0)-2,48)&lt;&gt;"","Performance Level: "&amp;INDEX(Tab_DaBa[],MATCH(CONCATENATE(Liste!$C$3,$B$3389,$B$3615),Data!$BO:$BO,0)-2,55),"")),"")</f>
        <v>Performance Level: PL_Lo03_09</v>
      </c>
      <c r="C3636" s="39"/>
      <c r="D3636" s="35" t="str">
        <f ca="1">IFERROR(IF(AND(INDEX(Tab_DaBa[],MATCH(CONCATENATE(Liste!$C$3,$B$3389,$B$3615),Data!$BO:$BO,0)-2,53)&lt;&gt;"",INDEX(Tab_DaBa[],MATCH(CONCATENATE(Liste!$C$3,$B$3389,$B$3615),Data!$BO:$BO,0)-2,58)=""),"Performance Level: "&amp;INDEX(Tab_DaBa[],MATCH(CONCATENATE(Liste!$C$3,$B$3389,$B$3615),Data!$BO:$BO,0)-2,15),IF(INDEX(Tab_DaBa[],MATCH(CONCATENATE(Liste!$C$3,$B$3389,$B$3615),Data!$BO:$BO,0)-2,53)&lt;&gt;"","Performance Level: "&amp;INDEX(Tab_DaBa[],MATCH(CONCATENATE(Liste!$C$3,$B$3389,$B$3615),Data!$BO:$BO,0)-2,60),"")),"")</f>
        <v>Performance Level: PL_Lo03_09</v>
      </c>
      <c r="E3636" s="37"/>
      <c r="F3636" s="35" t="str">
        <f ca="1">IFERROR(IF(AND(INDEX(Tab_DaBa[],MATCH(CONCATENATE(Liste!$C$3,$B$3389,$B$3615),Data!$BO:$BO,0)-2,58)&lt;&gt;"",INDEX(Tab_DaBa[],MATCH(CONCATENATE(Liste!$C$3,$B$3389,$B$3615),Data!$BO:$BO,0)-2,63)=""),"Performance Level: "&amp;INDEX(Tab_DaBa[],MATCH(CONCATENATE(Liste!$C$3,$B$3389,$B$3615),Data!$BO:$BO,0)-2,15),IF(INDEX(Tab_DaBa[],MATCH(CONCATENATE(Liste!$C$3,$B$3389,$B$3615),Data!$BO:$BO,0)-2,58)&lt;&gt;"","Performance Level: "&amp;INDEX(Tab_DaBa[],MATCH(CONCATENATE(Liste!$C$3,$B$3389,$B$3615),Data!$BO:$BO,0)-2,65),"")),"")</f>
        <v>Performance Level: PL_Aus4_9</v>
      </c>
      <c r="G3636" s="39"/>
      <c r="H3636" s="35" t="str">
        <f ca="1">IFERROR(IF(INDEX(Tab_DaBa[],MATCH(CONCATENATE(Liste!$C$3,$B$3389,$B$3615),Data!$BO:$BO,0)-2,63)&lt;&gt;"","Performance Level: "&amp;INDEX(Tab_DaBa[],MATCH(CONCATENATE(Liste!$C$3,$B$3389,$B$3615),Data!$BO:$BO,0)-2,15),""),"")</f>
        <v/>
      </c>
    </row>
    <row r="3637" spans="2:9" s="16" customFormat="1" ht="15.75">
      <c r="B3637" s="35" t="str">
        <f ca="1">IFERROR(IF(AND(INDEX(Tab_DaBa[],MATCH(CONCATENATE(Liste!$C$3,$B$3389,$B$3615),Data!$BO:$BO,0)-2,48)&lt;&gt;"",INDEX(Tab_DaBa[],MATCH(CONCATENATE(Liste!$C$3,$B$3389,$B$3615),Data!$BO:$BO,0)-2,53)=""),"PFH [1/h] = "&amp;10^9*INDEX(Tab_DaBa[],MATCH(CONCATENATE(Liste!$C$3,$B$3389,$B$3615),Data!$BO:$BO,0)-2,16)&amp;"E-9",IF(INDEX(Tab_DaBa[],MATCH(CONCATENATE(Liste!$C$3,$B$3389,$B$3615),Data!$BO:$BO,0)-2,48)&lt;&gt;"","PFH [1/h] = "&amp;10^9*INDEX(Tab_DaBa[],MATCH(CONCATENATE(Liste!$C$3,$B$3389,$B$3615),Data!$BO:$BO,0)-2,56)&amp;"E-9","")),"")</f>
        <v>PFH [1/h] = 4,19E-9</v>
      </c>
      <c r="C3637" s="39"/>
      <c r="D3637" s="35" t="str">
        <f ca="1">IFERROR(IF(AND(INDEX(Tab_DaBa[],MATCH(CONCATENATE(Liste!$C$3,$B$3389,$B$3615),Data!$BO:$BO,0)-2,53)&lt;&gt;"",INDEX(Tab_DaBa[],MATCH(CONCATENATE(Liste!$C$3,$B$3389,$B$3615),Data!$BO:$BO,0)-2,58)=""),"PFH [1/h] = "&amp;10^9*INDEX(Tab_DaBa[],MATCH(CONCATENATE(Liste!$C$3,$B$3389,$B$3615),Data!$BO:$BO,0)-2,16)&amp;"E-9",IF(INDEX(Tab_DaBa[],MATCH(CONCATENATE(Liste!$C$3,$B$3389,$B$3615),Data!$BO:$BO,0)-2,53)&lt;&gt;"","PFH [1/h] = "&amp;10^9*INDEX(Tab_DaBa[],MATCH(CONCATENATE(Liste!$C$3,$B$3389,$B$3615),Data!$BO:$BO,0)-2,61)&amp;"E-9","")),"")</f>
        <v>PFH [1/h] = 4,19E-9</v>
      </c>
      <c r="E3637" s="37"/>
      <c r="F3637" s="35" t="str">
        <f ca="1">IFERROR(IF(AND(INDEX(Tab_DaBa[],MATCH(CONCATENATE(Liste!$C$3,$B$3389,$B$3615),Data!$BO:$BO,0)-2,58)&lt;&gt;"",INDEX(Tab_DaBa[],MATCH(CONCATENATE(Liste!$C$3,$B$3389,$B$3615),Data!$BO:$BO,0)-2,63)=""),"PFH [1/h] = "&amp;10^9*INDEX(Tab_DaBa[],MATCH(CONCATENATE(Liste!$C$3,$B$3389,$B$3615),Data!$BO:$BO,0)-2,16)&amp;"E-9",IF(INDEX(Tab_DaBa[],MATCH(CONCATENATE(Liste!$C$3,$B$3389,$B$3615),Data!$BO:$BO,0)-2,58)&lt;&gt;"","PFH [1/h] = "&amp;10^9*INDEX(Tab_DaBa[],MATCH(CONCATENATE(Liste!$C$3,$B$3389,$B$3615),Data!$BO:$BO,0)-2,66)&amp;"E-9","")),"")</f>
        <v>PFH [1/h] = 24,7E-9</v>
      </c>
      <c r="G3637" s="39"/>
      <c r="H3637" s="35" t="str">
        <f ca="1">IFERROR(IF(INDEX(Tab_DaBa[],MATCH(CONCATENATE(Liste!$C$3,$B$3389,$B$3615),Data!$BO:$BO,0)-2,63)&lt;&gt;"","PFH [1/h] = "&amp;10^9*INDEX(Tab_DaBa[],MATCH(CONCATENATE(Liste!$C$3,$B$3389,$B$3615),Data!$BO:$BO,0)-2,16)&amp;"E-9",""),"")</f>
        <v/>
      </c>
    </row>
    <row r="3638" spans="2:9" s="16" customFormat="1"/>
    <row r="3639" spans="2:9" s="16" customFormat="1">
      <c r="B3639" s="43" t="str">
        <f ca="1">IF(D3639="","","Erforderlich")</f>
        <v>Erforderlich</v>
      </c>
      <c r="D3639" s="44" t="str">
        <f ca="1">IFERROR("Performance Level: "&amp;INDEX(Tab_DaBa[],MATCH(CONCATENATE(Liste!$C$3,$B$3389,$B$3615),Data!$BO:$BO,0)-2,4),"")</f>
        <v>Performance Level: PLr_ges4_9</v>
      </c>
    </row>
    <row r="3640" spans="2:9" s="16" customFormat="1">
      <c r="B3640" s="45"/>
    </row>
    <row r="3641" spans="2:9" s="16" customFormat="1">
      <c r="B3641" s="46" t="str">
        <f ca="1">IF(D3641="","","Erreicht")</f>
        <v>Erreicht</v>
      </c>
      <c r="D3641" s="47" t="str">
        <f ca="1">IFERROR("Performance Level: "&amp;INDEX(Tab_DaBa[],MATCH(CONCATENATE(Liste!$C$3,$B$3389,$B$3615),Data!$BO:$BO,0)-2,5)&amp;"          PFH [1/h] = "&amp;10^9*INDEX(Tab_DaBa[],MATCH(CONCATENATE(Liste!$C$3,$B$3389,$B$3615),Data!$BO:$BO,0)-2,6)&amp;"E-9","")</f>
        <v>Performance Level: Pl_ges4_9          PFH [1/h] = 71,7E-9</v>
      </c>
    </row>
    <row r="3642" spans="2:9" s="16" customFormat="1">
      <c r="B3642" s="50"/>
      <c r="C3642" s="49"/>
      <c r="D3642" s="49"/>
    </row>
    <row r="3643" spans="2:9" s="16" customFormat="1">
      <c r="B3643" s="42" t="str">
        <f ca="1">IFERROR(IF(10&gt;COUNTIF(Data!$BP:$BP,CONCATENATE(Liste!$C$3,$B$3389)),"",INDEX(Tab_DaBa[],MATCH(CONCATENATE(Liste!$C$3,$B$3389),Data!$BP:$BP,0)+7,3)),"")</f>
        <v>13.10 Test13 (E+10L+A)</v>
      </c>
    </row>
    <row r="3644" spans="2:9" s="16" customFormat="1"/>
    <row r="3645" spans="2:9" s="16" customFormat="1" ht="15.75">
      <c r="B3645" s="35" t="str">
        <f ca="1">IFERROR(INDEX(Tab_DaBa[],MATCH(CONCATENATE(Liste!$C$3,$B$3389,$B$3643),Data!$BO:$BO,0)-2,9),"")</f>
        <v>Eingang</v>
      </c>
      <c r="C3645" s="54"/>
      <c r="D3645" s="35" t="str">
        <f ca="1">IFERROR(IF(INDEX(Tab_DaBa[],MATCH(CONCATENATE(Liste!$C$3,$B$3389,$B$3643),Data!$BO:$BO,0)-2,18)=0,INDEX(Tab_DaBa[],MATCH(CONCATENATE(Liste!$C$3,$B$3389,$B$3643),Data!$BO:$BO,0)-2,14),INDEX(Tab_DaBa[],MATCH(CONCATENATE(Liste!$C$3,$B$3389,$B$3643),Data!$BO:$BO,0)-2,19)),"")</f>
        <v>Logik 01</v>
      </c>
      <c r="E3645" s="33"/>
      <c r="F3645" s="35" t="str">
        <f ca="1">IFERROR(IF(AND(INDEX(Tab_DaBa[],MATCH(CONCATENATE(Liste!$C$3,$B$3389,$B$3643),Data!$BO:$BO,0)-2,18)&lt;&gt;"",INDEX(Tab_DaBa[],MATCH(CONCATENATE(Liste!$C$3,$B$3389,$B$3643),Data!$BO:$BO,0)-2,23)=0),INDEX(Tab_DaBa[],MATCH(CONCATENATE(Liste!$C$3,$B$3389,$B$3643),Data!$BO:$BO,0)-2,14),IF(INDEX(Tab_DaBa[],MATCH(CONCATENATE(Liste!$C$3,$B$3389,$B$3643),Data!$BO:$BO,0)-2,23)&lt;&gt;"",INDEX(Tab_DaBa[],MATCH(CONCATENATE(Liste!$C$3,$B$3389,$B$3643),Data!$BO:$BO,0)-2,24),"")),"")</f>
        <v>Logik 02</v>
      </c>
      <c r="G3645" s="39"/>
      <c r="H3645" s="35" t="str">
        <f ca="1">IFERROR(IF(AND(INDEX(Tab_DaBa[],MATCH(CONCATENATE(Liste!$C$3,$B$3389,$B$3643),Data!$BO:$BO,0)-2,23)&lt;&gt;"",INDEX(Tab_DaBa[],MATCH(CONCATENATE(Liste!$C$3,$B$3389,$B$3643),Data!$BO:$BO,0)-2,28)=0),INDEX(Tab_DaBa[],MATCH(CONCATENATE(Liste!$C$3,$B$3389,$B$3643),Data!$BO:$BO,0)-2,14),IF(INDEX(Tab_DaBa[],MATCH(CONCATENATE(Liste!$C$3,$B$3389,$B$3643),Data!$BO:$BO,0)-2,23)&lt;&gt;"",INDEX(Tab_DaBa[],MATCH(CONCATENATE(Liste!$C$3,$B$3389,$B$3643),Data!$BO:$BO,0)-2,29),"")),"")</f>
        <v>Logik 03</v>
      </c>
      <c r="I3645" s="39"/>
    </row>
    <row r="3646" spans="2:9" s="16" customFormat="1" ht="15.75">
      <c r="B3646" s="35" t="str">
        <f ca="1">IFERROR(INDEX(Tab_DaBa[],MATCH(CONCATENATE(Liste!$C$3,$B$3389,$B$3643),Data!$BO:$BO,0)-2,7),"")</f>
        <v>eeee-33_10</v>
      </c>
      <c r="C3646" s="54"/>
      <c r="D3646" s="35" t="str">
        <f ca="1">IFERROR(IF(INDEX(Tab_DaBa[],MATCH(CONCATENATE(Liste!$C$3,$B$3389,$B$3643),Data!$BO:$BO,0)-2,18)="",INDEX(Tab_DaBa[],MATCH(CONCATENATE(Liste!$C$3,$B$3389,$B$3643),Data!$BO:$BO,0)-2,12),INDEX(Tab_DaBa[],MATCH(CONCATENATE(Liste!$C$3,$B$3389,$B$3643),Data!$BO:$BO,0)-2,17)),"")</f>
        <v>Log01-04_10</v>
      </c>
      <c r="E3646" s="36"/>
      <c r="F3646" s="35" t="str">
        <f ca="1">IFERROR(IF(AND(INDEX(Tab_DaBa[],MATCH(CONCATENATE(Liste!$C$3,$B$3389,$B$3643),Data!$BO:$BO,0)-2,18)&lt;&gt;"",INDEX(Tab_DaBa[],MATCH(CONCATENATE(Liste!$C$3,$B$3389,$B$3643),Data!$BO:$BO,0)-2,23)=0),INDEX(Tab_DaBa[],MATCH(CONCATENATE(Liste!$C$3,$B$3389,$B$3643),Data!$BO:$BO,0)-2,12),IF(INDEX(Tab_DaBa[],MATCH(CONCATENATE(Liste!$C$3,$B$3389,$B$3643),Data!$BO:$BO,0)-2,23)&lt;&gt;"",INDEX(Tab_DaBa[],MATCH(CONCATENATE(Liste!$C$3,$B$3389,$B$3643),Data!$BO:$BO,0)-2,22),"")),"")</f>
        <v>Lo04-04_10</v>
      </c>
      <c r="G3646" s="39"/>
      <c r="H3646" s="35" t="str">
        <f ca="1">IFERROR(IF(AND(INDEX(Tab_DaBa[],MATCH(CONCATENATE(Liste!$C$3,$B$3389,$B$3643),Data!$BO:$BO,0)-2,23)&lt;&gt;"",INDEX(Tab_DaBa[],MATCH(CONCATENATE(Liste!$C$3,$B$3389,$B$3643),Data!$BO:$BO,0)-2,28)=0),INDEX(Tab_DaBa[],MATCH(CONCATENATE(Liste!$C$3,$B$3389,$B$3643),Data!$BO:$BO,0)-2,12),IF(INDEX(Tab_DaBa[],MATCH(CONCATENATE(Liste!$C$3,$B$3389,$B$3643),Data!$BO:$BO,0)-2,23)&lt;&gt;"",INDEX(Tab_DaBa[],MATCH(CONCATENATE(Liste!$C$3,$B$3389,$B$3643),Data!$BO:$BO,0)-2,27),"")),"")</f>
        <v>Lo04-44_10</v>
      </c>
      <c r="I3646" s="39"/>
    </row>
    <row r="3647" spans="2:9" s="16" customFormat="1" ht="15.75">
      <c r="B3647" s="35" t="str">
        <f ca="1">IFERROR(INDEX(Tab_DaBa[],MATCH(CONCATENATE(Liste!$C$3,$B$3389,$B$3643),Data!$BO:$BO,0)-2,8),"")</f>
        <v>Bez_Ein4_10</v>
      </c>
      <c r="C3647" s="40">
        <f ca="1">IF(D3645="","",4)</f>
        <v>4</v>
      </c>
      <c r="D3647" s="35" t="str">
        <f ca="1">IFERROR(IF(INDEX(Tab_DaBa[],MATCH(CONCATENATE(Liste!$C$3,$B$3389,$B$3643),Data!$BO:$BO,0)-2,18)="",INDEX(Tab_DaBa[],MATCH(CONCATENATE(Liste!$C$3,$B$3389,$B$3643),Data!$BO:$BO,0)-2,13),INDEX(Tab_DaBa[],MATCH(CONCATENATE(Liste!$C$3,$B$3389,$B$3643),Data!$BO:$BO,0)-2,18)),"")</f>
        <v>Bez_Log01_04_10</v>
      </c>
      <c r="E3647" s="40">
        <f ca="1">IF(F3645="","",4)</f>
        <v>4</v>
      </c>
      <c r="F3647" s="35" t="str">
        <f ca="1">IFERROR(IF(AND(INDEX(Tab_DaBa[],MATCH(CONCATENATE(Liste!$C$3,$B$3389,$B$3643),Data!$BO:$BO,0)-2,18)&lt;&gt;"",INDEX(Tab_DaBa[],MATCH(CONCATENATE(Liste!$C$3,$B$3389,$B$3643),Data!$BO:$BO,0)-2,23)=""),INDEX(Tab_DaBa[],MATCH(CONCATENATE(Liste!$C$3,$B$3389,$B$3643),Data!$BO:$BO,0)-2,13),IF(INDEX(Tab_DaBa[],MATCH(CONCATENATE(Liste!$C$3,$B$3389,$B$3643),Data!$BO:$BO,0)-2,23)&lt;&gt;"",INDEX(Tab_DaBa[],MATCH(CONCATENATE(Liste!$C$3,$B$3389,$B$3643),Data!$BO:$BO,0)-2,23),"")),"")</f>
        <v>Bez_Lo04_10</v>
      </c>
      <c r="G3647" s="38">
        <f ca="1">IF(H3645="","",4)</f>
        <v>4</v>
      </c>
      <c r="H3647" s="35" t="str">
        <f ca="1">IFERROR(IF(AND(INDEX(Tab_DaBa[],MATCH(CONCATENATE(Liste!$C$3,$B$3389,$B$3643),Data!$BO:$BO,0)-2,23)&lt;&gt;"",INDEX(Tab_DaBa[],MATCH(CONCATENATE(Liste!$C$3,$B$3389,$B$3643),Data!$BO:$BO,0)-2,28)=""),INDEX(Tab_DaBa[],MATCH(CONCATENATE(Liste!$C$3,$B$3389,$B$3643),Data!$BO:$BO,0)-2,13),IF(INDEX(Tab_DaBa[],MATCH(CONCATENATE(Liste!$C$3,$B$3389,$B$3643),Data!$BO:$BO,0)-2,23)&lt;&gt;"",INDEX(Tab_DaBa[],MATCH(CONCATENATE(Liste!$C$3,$B$3389,$B$3643),Data!$BO:$BO,0)-2,28),"")),"")</f>
        <v>Bez_Lo04_10</v>
      </c>
      <c r="I3647" s="38">
        <f ca="1">IF(B3653="","",6)</f>
        <v>6</v>
      </c>
    </row>
    <row r="3648" spans="2:9" s="16" customFormat="1" ht="15.75">
      <c r="B3648" s="35" t="str">
        <f ca="1">IFERROR("Performance Level: "&amp;INDEX(Tab_DaBa[],MATCH(CONCATENATE(Liste!$C$3,$B$3389,$B$3643),Data!$BO:$BO,0)-2,10),"")</f>
        <v>Performance Level: PL_Ein4_10</v>
      </c>
      <c r="C3648" s="54"/>
      <c r="D3648" s="35" t="str">
        <f ca="1">IFERROR(IF(INDEX(Tab_DaBa[],MATCH(CONCATENATE(Liste!$C$3,$B$3389,$B$3643),Data!$BO:$BO,0)-2,18)="","Performance Level: "&amp;INDEX(Tab_DaBa[],MATCH(CONCATENATE(Liste!$C$3,$B$3389,$B$3643),Data!$BO:$BO,0)-2,15),"Performance Level: "&amp;INDEX(Tab_DaBa[],MATCH(CONCATENATE(Liste!$C$3,$B$3389,$B$3643),Data!$BO:$BO,0)-2,20)),"")</f>
        <v>Performance Level: PL_Log01_04_10</v>
      </c>
      <c r="E3648" s="36"/>
      <c r="F3648" s="35" t="str">
        <f ca="1">IFERROR(IF(AND(INDEX(Tab_DaBa[],MATCH(CONCATENATE(Liste!$C$3,$B$3389,$B$3643),Data!$BO:$BO,0)-2,18)&lt;&gt;"",INDEX(Tab_DaBa[],MATCH(CONCATENATE(Liste!$C$3,$B$3389,$B$3643),Data!$BO:$BO,0)-2,23)=""),"Performance Level: "&amp;INDEX(Tab_DaBa[],MATCH(CONCATENATE(Liste!$C$3,$B$3389,$B$3643),Data!$BO:$BO,0)-2,15),IF(INDEX(Tab_DaBa[],MATCH(CONCATENATE(Liste!$C$3,$B$3389,$B$3643),Data!$BO:$BO,0)-2,23)&lt;&gt;"","Performance Level: "&amp;INDEX(Tab_DaBa[],MATCH(CONCATENATE(Liste!$C$3,$B$3389,$B$3643),Data!$BO:$BO,0)-2,25),"")),"")</f>
        <v>Performance Level: PL_Lo04_10</v>
      </c>
      <c r="G3648" s="39"/>
      <c r="H3648" s="35" t="str">
        <f ca="1">IFERROR(IF(AND(INDEX(Tab_DaBa[],MATCH(CONCATENATE(Liste!$C$3,$B$3389,$B$3643),Data!$BO:$BO,0)-2,23)&lt;&gt;"",INDEX(Tab_DaBa[],MATCH(CONCATENATE(Liste!$C$3,$B$3389,$B$3643),Data!$BO:$BO,0)-2,28)=""),"Performance Level: "&amp;INDEX(Tab_DaBa[],MATCH(CONCATENATE(Liste!$C$3,$B$3389,$B$3643),Data!$BO:$BO,0)-2,15),IF(INDEX(Tab_DaBa[],MATCH(CONCATENATE(Liste!$C$3,$B$3389,$B$3643),Data!$BO:$BO,0)-2,23)&lt;&gt;"","Performance Level: "&amp;INDEX(Tab_DaBa[],MATCH(CONCATENATE(Liste!$C$3,$B$3389,$B$3643),Data!$BO:$BO,0)-2,30),"")),"")</f>
        <v>Performance Level: PL_Lo04_10</v>
      </c>
      <c r="I3648" s="38"/>
    </row>
    <row r="3649" spans="2:9" s="16" customFormat="1" ht="15.75">
      <c r="B3649" s="53" t="str">
        <f ca="1">IFERROR("PFH [1/h] = "&amp;10^9*INDEX(Tab_DaBa[],MATCH(CONCATENATE(Liste!$C$3,$B$3389,$B$3643),Data!$BO:$BO,0)-2,11)&amp;"E-9","")</f>
        <v>PFH [1/h] = 42,9E-9</v>
      </c>
      <c r="C3649" s="54"/>
      <c r="D3649" s="35" t="str">
        <f ca="1">IFERROR(IF(INDEX(Tab_DaBa[],MATCH(CONCATENATE(Liste!$C$3,$B$3389,$B$3643),Data!$BO:$BO,0)-2,18)="","PFH [1/h] = "&amp;10^9*INDEX(Tab_DaBa[],MATCH(CONCATENATE(Liste!$C$3,$B$3389,$B$3643),Data!$BO:$BO,0)-2,16)&amp;"E-9","PFH [1/h] = "&amp;10^9*INDEX(Tab_DaBa[],MATCH(CONCATENATE(Liste!$C$3,$B$3389,$B$3643),Data!$BO:$BO,0)-2,21)&amp;"E-9"),"")</f>
        <v>PFH [1/h] = 4,19E-9</v>
      </c>
      <c r="E3649" s="36"/>
      <c r="F3649" s="35" t="str">
        <f ca="1">IFERROR(IF(AND(INDEX(Tab_DaBa[],MATCH(CONCATENATE(Liste!$C$3,$B$3389,$B$3643),Data!$BO:$BO,0)-2,18)&lt;&gt;"",INDEX(Tab_DaBa[],MATCH(CONCATENATE(Liste!$C$3,$B$3389,$B$3643),Data!$BO:$BO,0)-2,23)=""),"PFH [1/h] = "&amp;10^9*INDEX(Tab_DaBa[],MATCH(CONCATENATE(Liste!$C$3,$B$3389,$B$3643),Data!$BO:$BO,0)-2,16)&amp;"E-9",IF(INDEX(Tab_DaBa[],MATCH(CONCATENATE(Liste!$C$3,$B$3389,$B$3643),Data!$BO:$BO,0)-2,23)&lt;&gt;"","PFH [1/h] = "&amp;10^9*INDEX(Tab_DaBa[],MATCH(CONCATENATE(Liste!$C$3,$B$3389,$B$3643),Data!$BO:$BO,0)-2,26)&amp;"E-9","")),"")</f>
        <v>PFH [1/h] = 4,19E-9</v>
      </c>
      <c r="G3649" s="39"/>
      <c r="H3649" s="35" t="str">
        <f ca="1">IFERROR(IF(AND(INDEX(Tab_DaBa[],MATCH(CONCATENATE(Liste!$C$3,$B$3389,$B$3643),Data!$BO:$BO,0)-2,23)&lt;&gt;"",INDEX(Tab_DaBa[],MATCH(CONCATENATE(Liste!$C$3,$B$3389,$B$3643),Data!$BO:$BO,0)-2,28)=""),"PFH [1/h] = "&amp;10^9*INDEX(Tab_DaBa[],MATCH(CONCATENATE(Liste!$C$3,$B$3389,$B$3643),Data!$BO:$BO,0)-2,16)&amp;"E-9",IF(INDEX(Tab_DaBa[],MATCH(CONCATENATE(Liste!$C$3,$B$3389,$B$3643),Data!$BO:$BO,0)-2,23)&lt;&gt;"","PFH [1/h] = "&amp;10^9*INDEX(Tab_DaBa[],MATCH(CONCATENATE(Liste!$C$3,$B$3389,$B$3643),Data!$BO:$BO,0)-2,31)&amp;"E-9","")),"")</f>
        <v>PFH [1/h] = 4,19E-9</v>
      </c>
      <c r="I3649" s="39"/>
    </row>
    <row r="3650" spans="2:9" s="16" customFormat="1">
      <c r="B3650" s="33"/>
      <c r="C3650" s="34"/>
      <c r="D3650" s="33"/>
      <c r="E3650" s="33"/>
      <c r="F3650" s="33"/>
      <c r="G3650" s="33"/>
      <c r="H3650" s="33"/>
      <c r="I3650" s="33"/>
    </row>
    <row r="3651" spans="2:9" s="16" customFormat="1" ht="15.75">
      <c r="B3651" s="38">
        <f ca="1">IF(B3653="","",6)</f>
        <v>6</v>
      </c>
      <c r="C3651" s="34"/>
      <c r="D3651" s="38">
        <f ca="1">IF(B3653="","",3)</f>
        <v>3</v>
      </c>
      <c r="E3651" s="33"/>
      <c r="F3651" s="38">
        <f ca="1">IF(B3653="","",3)</f>
        <v>3</v>
      </c>
      <c r="G3651" s="33"/>
      <c r="H3651" s="38">
        <f ca="1">IF(B3653="","",3)</f>
        <v>3</v>
      </c>
      <c r="I3651" s="33"/>
    </row>
    <row r="3652" spans="2:9" s="16" customFormat="1" ht="15.75">
      <c r="B3652" s="39"/>
      <c r="C3652" s="33"/>
      <c r="D3652" s="33"/>
      <c r="E3652" s="33"/>
      <c r="F3652" s="33"/>
      <c r="G3652" s="33"/>
      <c r="H3652" s="33"/>
      <c r="I3652" s="33"/>
    </row>
    <row r="3653" spans="2:9" s="16" customFormat="1" ht="15.75">
      <c r="B3653" s="35" t="str">
        <f ca="1">IFERROR(IF(AND(INDEX(Tab_DaBa[],MATCH(CONCATENATE(Liste!$C$3,$B$3389,$B$3643),Data!$BO:$BO,0)-2,28)&lt;&gt;"",INDEX(Tab_DaBa[],MATCH(CONCATENATE(Liste!$C$3,$B$3389,$B$3643),Data!$BO:$BO,0)-2,33)=0),INDEX(Tab_DaBa[],MATCH(CONCATENATE(Liste!$C$3,$B$3389,$B$3643),Data!$BO:$BO,0)-2,14),IF(INDEX(Tab_DaBa[],MATCH(CONCATENATE(Liste!$C$3,$B$3389,$B$3643),Data!$BO:$BO,0)-2,28)&lt;&gt;"",INDEX(Tab_DaBa[],MATCH(CONCATENATE(Liste!$C$3,$B$3389,$B$3643),Data!$BO:$BO,0)-2,34),"")),"")</f>
        <v>Logik 04</v>
      </c>
      <c r="C3653" s="39"/>
      <c r="D3653" s="35" t="str">
        <f ca="1">IFERROR(IF(AND(INDEX(Tab_DaBa[],MATCH(CONCATENATE(Liste!$C$3,$B$3389,$B$3643),Data!$BO:$BO,0)-2,33)&lt;&gt;"",INDEX(Tab_DaBa[],MATCH(CONCATENATE(Liste!$C$3,$B$3389,$B$3643),Data!$BO:$BO,0)-2,38)=0),INDEX(Tab_DaBa[],MATCH(CONCATENATE(Liste!$C$3,$B$3389,$B$3643),Data!$BO:$BO,0)-2,14),IF(INDEX(Tab_DaBa[],MATCH(CONCATENATE(Liste!$C$3,$B$3389,$B$3643),Data!$BO:$BO,0)-2,33)&lt;&gt;"",INDEX(Tab_DaBa[],MATCH(CONCATENATE(Liste!$C$3,$B$3389,$B$3643),Data!$BO:$BO,0)-2,39),"")),"")</f>
        <v>Logik 08</v>
      </c>
      <c r="E3653" s="33"/>
      <c r="F3653" s="35" t="str">
        <f ca="1">IFERROR(IF(AND(INDEX(Tab_DaBa[],MATCH(CONCATENATE(Liste!$C$3,$B$3389,$B$3643),Data!$BO:$BO,0)-2,38)&lt;&gt;"",INDEX(Tab_DaBa[],MATCH(CONCATENATE(Liste!$C$3,$B$3389,$B$3643),Data!$BO:$BO,0)-2,43)=0),INDEX(Tab_DaBa[],MATCH(CONCATENATE(Liste!$C$3,$B$3389,$B$3643),Data!$BO:$BO,0)-2,14),IF(INDEX(Tab_DaBa[],MATCH(CONCATENATE(Liste!$C$3,$B$3389,$B$3643),Data!$BO:$BO,0)-2,38)&lt;&gt;"",INDEX(Tab_DaBa[],MATCH(CONCATENATE(Liste!$C$3,$B$3389,$B$3643),Data!$BO:$BO,0)-2,44),"")),"")</f>
        <v>Logik 06</v>
      </c>
      <c r="G3653" s="39"/>
      <c r="H3653" s="35" t="str">
        <f ca="1">IFERROR(IF(AND(INDEX(Tab_DaBa[],MATCH(CONCATENATE(Liste!$C$3,$B$3389,$B$3643),Data!$BO:$BO,0)-2,43)&lt;&gt;"",INDEX(Tab_DaBa[],MATCH(CONCATENATE(Liste!$C$3,$B$3389,$B$3643),Data!$BO:$BO,0)-2,48)=0),INDEX(Tab_DaBa[],MATCH(CONCATENATE(Liste!$C$3,$B$3389,$B$3643),Data!$BO:$BO,0)-2,14),IF(INDEX(Tab_DaBa[],MATCH(CONCATENATE(Liste!$C$3,$B$3389,$B$3643),Data!$BO:$BO,0)-2,43)&lt;&gt;"",INDEX(Tab_DaBa[],MATCH(CONCATENATE(Liste!$C$3,$B$3389,$B$3643),Data!$BO:$BO,0)-2,49),"")),"")</f>
        <v>Logik 07</v>
      </c>
      <c r="I3653" s="39"/>
    </row>
    <row r="3654" spans="2:9" s="16" customFormat="1" ht="15.75">
      <c r="B3654" s="35" t="str">
        <f ca="1">IFERROR(IF(AND(INDEX(Tab_DaBa[],MATCH(CONCATENATE(Liste!$C$3,$B$3389,$B$3643),Data!$BO:$BO,0)-2,28)&lt;&gt;"",INDEX(Tab_DaBa[],MATCH(CONCATENATE(Liste!$C$3,$B$3389,$B$3643),Data!$BO:$BO,0)-2,33)=0),INDEX(Tab_DaBa[],MATCH(CONCATENATE(Liste!$C$3,$B$3389,$B$3643),Data!$BO:$BO,0)-2,12),IF(INDEX(Tab_DaBa[],MATCH(CONCATENATE(Liste!$C$3,$B$3389,$B$3643),Data!$BO:$BO,0)-2,28)&lt;&gt;"",INDEX(Tab_DaBa[],MATCH(CONCATENATE(Liste!$C$3,$B$3389,$B$3643),Data!$BO:$BO,0)-2,32),"")),"")</f>
        <v>Lo04-44_10</v>
      </c>
      <c r="C3654" s="39"/>
      <c r="D3654" s="35" t="str">
        <f ca="1">IFERROR(IF(AND(INDEX(Tab_DaBa[],MATCH(CONCATENATE(Liste!$C$3,$B$3389,$B$3643),Data!$BO:$BO,0)-2,33)&lt;&gt;"",INDEX(Tab_DaBa[],MATCH(CONCATENATE(Liste!$C$3,$B$3389,$B$3643),Data!$BO:$BO,0)-2,38)=0),INDEX(Tab_DaBa[],MATCH(CONCATENATE(Liste!$C$3,$B$3389,$B$3643),Data!$BO:$BO,0)-2,12),IF(INDEX(Tab_DaBa[],MATCH(CONCATENATE(Liste!$C$3,$B$3389,$B$3643),Data!$BO:$BO,0)-2,33)&lt;&gt;"",INDEX(Tab_DaBa[],MATCH(CONCATENATE(Liste!$C$3,$B$3389,$B$3643),Data!$BO:$BO,0)-2,37),"")),"")</f>
        <v>Lo04-44_10</v>
      </c>
      <c r="E3654" s="37"/>
      <c r="F3654" s="35" t="str">
        <f ca="1">IFERROR(IF(AND(INDEX(Tab_DaBa[],MATCH(CONCATENATE(Liste!$C$3,$B$3389,$B$3643),Data!$BO:$BO,0)-2,38)&lt;&gt;"",INDEX(Tab_DaBa[],MATCH(CONCATENATE(Liste!$C$3,$B$3389,$B$3643),Data!$BO:$BO,0)-2,43)=0),INDEX(Tab_DaBa[],MATCH(CONCATENATE(Liste!$C$3,$B$3389,$B$3643),Data!$BO:$BO,0)-2,12),IF(INDEX(Tab_DaBa[],MATCH(CONCATENATE(Liste!$C$3,$B$3389,$B$3643),Data!$BO:$BO,0)-2,38)&lt;&gt;"",INDEX(Tab_DaBa[],MATCH(CONCATENATE(Liste!$C$3,$B$3389,$B$3643),Data!$BO:$BO,0)-2,42),"")),"")</f>
        <v>Lo03-33_10</v>
      </c>
      <c r="G3654" s="39"/>
      <c r="H3654" s="35" t="str">
        <f ca="1">IFERROR(IF(AND(INDEX(Tab_DaBa[],MATCH(CONCATENATE(Liste!$C$3,$B$3389,$B$3643),Data!$BO:$BO,0)-2,43)&lt;&gt;"",INDEX(Tab_DaBa[],MATCH(CONCATENATE(Liste!$C$3,$B$3389,$B$3643),Data!$BO:$BO,0)-2,48)=0),INDEX(Tab_DaBa[],MATCH(CONCATENATE(Liste!$C$3,$B$3389,$B$3643),Data!$BO:$BO,0)-2,12),IF(INDEX(Tab_DaBa[],MATCH(CONCATENATE(Liste!$C$3,$B$3389,$B$3643),Data!$BO:$BO,0)-2,43)&lt;&gt;"",INDEX(Tab_DaBa[],MATCH(CONCATENATE(Liste!$C$3,$B$3389,$B$3643),Data!$BO:$BO,0)-2,47),"")),"")</f>
        <v>Lo03-33_10</v>
      </c>
      <c r="I3654" s="39"/>
    </row>
    <row r="3655" spans="2:9" s="16" customFormat="1" ht="15.75">
      <c r="B3655" s="35" t="str">
        <f ca="1">IFERROR(IF(AND(INDEX(Tab_DaBa[],MATCH(CONCATENATE(Liste!$C$3,$B$3389,$B$3643),Data!$BO:$BO,0)-2,28)&lt;&gt;"",INDEX(Tab_DaBa[],MATCH(CONCATENATE(Liste!$C$3,$B$3389,$B$3643),Data!$BO:$BO,0)-2,33)=""),INDEX(Tab_DaBa[],MATCH(CONCATENATE(Liste!$C$3,$B$3389,$B$3643),Data!$BO:$BO,0)-2,13),IF(INDEX(Tab_DaBa[],MATCH(CONCATENATE(Liste!$C$3,$B$3389,$B$3643),Data!$BO:$BO,0)-2,28)&lt;&gt;"",INDEX(Tab_DaBa[],MATCH(CONCATENATE(Liste!$C$3,$B$3389,$B$3643),Data!$BO:$BO,0)-2,33),"")),"")</f>
        <v>Bez_Lo04_10</v>
      </c>
      <c r="C3655" s="38">
        <f ca="1">IF(D3653="","",4)</f>
        <v>4</v>
      </c>
      <c r="D3655" s="35" t="str">
        <f ca="1">IFERROR(IF(AND(INDEX(Tab_DaBa[],MATCH(CONCATENATE(Liste!$C$3,$B$3389,$B$3643),Data!$BO:$BO,0)-2,33)&lt;&gt;"",INDEX(Tab_DaBa[],MATCH(CONCATENATE(Liste!$C$3,$B$3389,$B$3643),Data!$BO:$BO,0)-2,38)=""),INDEX(Tab_DaBa[],MATCH(CONCATENATE(Liste!$C$3,$B$3389,$B$3643),Data!$BO:$BO,0)-2,13),IF(INDEX(Tab_DaBa[],MATCH(CONCATENATE(Liste!$C$3,$B$3389,$B$3643),Data!$BO:$BO,0)-2,33)&lt;&gt;"",INDEX(Tab_DaBa[],MATCH(CONCATENATE(Liste!$C$3,$B$3389,$B$3643),Data!$BO:$BO,0)-2,38),"")),"")</f>
        <v>Bez_Lo03_10</v>
      </c>
      <c r="E3655" s="38">
        <f ca="1">IF(F3653="","",4)</f>
        <v>4</v>
      </c>
      <c r="F3655" s="35" t="str">
        <f ca="1">IFERROR(IF(AND(INDEX(Tab_DaBa[],MATCH(CONCATENATE(Liste!$C$3,$B$3389,$B$3643),Data!$BO:$BO,0)-2,38)&lt;&gt;"",INDEX(Tab_DaBa[],MATCH(CONCATENATE(Liste!$C$3,$B$3389,$B$3643),Data!$BO:$BO,0)-2,43)=""),INDEX(Tab_DaBa[],MATCH(CONCATENATE(Liste!$C$3,$B$3389,$B$3643),Data!$BO:$BO,0)-2,13),IF(INDEX(Tab_DaBa[],MATCH(CONCATENATE(Liste!$C$3,$B$3389,$B$3643),Data!$BO:$BO,0)-2,38)&lt;&gt;"",INDEX(Tab_DaBa[],MATCH(CONCATENATE(Liste!$C$3,$B$3389,$B$3643),Data!$BO:$BO,0)-2,43),"")),"")</f>
        <v>Bez_Lo03_10</v>
      </c>
      <c r="G3655" s="38">
        <f ca="1">IF(H3653="","",4)</f>
        <v>4</v>
      </c>
      <c r="H3655" s="35" t="str">
        <f ca="1">IFERROR(IF(AND(INDEX(Tab_DaBa[],MATCH(CONCATENATE(Liste!$C$3,$B$3389,$B$3643),Data!$BO:$BO,0)-2,43)&lt;&gt;"",INDEX(Tab_DaBa[],MATCH(CONCATENATE(Liste!$C$3,$B$3389,$B$3643),Data!$BO:$BO,0)-2,48)=""),INDEX(Tab_DaBa[],MATCH(CONCATENATE(Liste!$C$3,$B$3389,$B$3643),Data!$BO:$BO,0)-2,13),IF(INDEX(Tab_DaBa[],MATCH(CONCATENATE(Liste!$C$3,$B$3389,$B$3643),Data!$BO:$BO,0)-2,43)&lt;&gt;"",INDEX(Tab_DaBa[],MATCH(CONCATENATE(Liste!$C$3,$B$3389,$B$3643),Data!$BO:$BO,0)-2,48),"")),"")</f>
        <v>Bez_Lo03_10</v>
      </c>
      <c r="I3655" s="38">
        <f ca="1">IF(B3661="","",6)</f>
        <v>6</v>
      </c>
    </row>
    <row r="3656" spans="2:9" s="16" customFormat="1" ht="15.75">
      <c r="B3656" s="35" t="str">
        <f ca="1">IFERROR(IF(AND(INDEX(Tab_DaBa[],MATCH(CONCATENATE(Liste!$C$3,$B$3389,$B$3643),Data!$BO:$BO,0)-2,28)&lt;&gt;"",INDEX(Tab_DaBa[],MATCH(CONCATENATE(Liste!$C$3,$B$3389,$B$3643),Data!$BO:$BO,0)-2,33)=""),"Performance Level: "&amp;INDEX(Tab_DaBa[],MATCH(CONCATENATE(Liste!$C$3,$B$3389,$B$3643),Data!$BO:$BO,0)-2,15),IF(INDEX(Tab_DaBa[],MATCH(CONCATENATE(Liste!$C$3,$B$3389,$B$3643),Data!$BO:$BO,0)-2,28)&lt;&gt;"","Performance Level: "&amp;INDEX(Tab_DaBa[],MATCH(CONCATENATE(Liste!$C$3,$B$3389,$B$3643),Data!$BO:$BO,0)-2,35),"")),"")</f>
        <v>Performance Level: PL_Lo04_10</v>
      </c>
      <c r="C3656" s="39"/>
      <c r="D3656" s="35" t="str">
        <f ca="1">IFERROR(IF(AND(INDEX(Tab_DaBa[],MATCH(CONCATENATE(Liste!$C$3,$B$3389,$B$3643),Data!$BO:$BO,0)-2,33)&lt;&gt;"",INDEX(Tab_DaBa[],MATCH(CONCATENATE(Liste!$C$3,$B$3389,$B$3643),Data!$BO:$BO,0)-2,38)=""),"Performance Level: "&amp;INDEX(Tab_DaBa[],MATCH(CONCATENATE(Liste!$C$3,$B$3389,$B$3643),Data!$BO:$BO,0)-2,15),IF(INDEX(Tab_DaBa[],MATCH(CONCATENATE(Liste!$C$3,$B$3389,$B$3643),Data!$BO:$BO,0)-2,33)&lt;&gt;"","Performance Level: "&amp;INDEX(Tab_DaBa[],MATCH(CONCATENATE(Liste!$C$3,$B$3389,$B$3643),Data!$BO:$BO,0)-2,40),"")),"")</f>
        <v>Performance Level: PL_Lo03_10</v>
      </c>
      <c r="E3656" s="37"/>
      <c r="F3656" s="35" t="str">
        <f ca="1">IFERROR(IF(AND(INDEX(Tab_DaBa[],MATCH(CONCATENATE(Liste!$C$3,$B$3389,$B$3643),Data!$BO:$BO,0)-2,38)&lt;&gt;"",INDEX(Tab_DaBa[],MATCH(CONCATENATE(Liste!$C$3,$B$3389,$B$3643),Data!$BO:$BO,0)-2,43)=""),"Performance Level: "&amp;INDEX(Tab_DaBa[],MATCH(CONCATENATE(Liste!$C$3,$B$3389,$B$3643),Data!$BO:$BO,0)-2,15),IF(INDEX(Tab_DaBa[],MATCH(CONCATENATE(Liste!$C$3,$B$3389,$B$3643),Data!$BO:$BO,0)-2,38)&lt;&gt;"","Performance Level: "&amp;INDEX(Tab_DaBa[],MATCH(CONCATENATE(Liste!$C$3,$B$3389,$B$3643),Data!$BO:$BO,0)-2,45),"")),"")</f>
        <v>Performance Level: PL_Lo03_10</v>
      </c>
      <c r="G3656" s="39"/>
      <c r="H3656" s="35" t="str">
        <f ca="1">IFERROR(IF(AND(INDEX(Tab_DaBa[],MATCH(CONCATENATE(Liste!$C$3,$B$3389,$B$3643),Data!$BO:$BO,0)-2,43)&lt;&gt;"",INDEX(Tab_DaBa[],MATCH(CONCATENATE(Liste!$C$3,$B$3389,$B$3643),Data!$BO:$BO,0)-2,48)=""),"Performance Level: "&amp;INDEX(Tab_DaBa[],MATCH(CONCATENATE(Liste!$C$3,$B$3389,$B$3643),Data!$BO:$BO,0)-2,15),IF(INDEX(Tab_DaBa[],MATCH(CONCATENATE(Liste!$C$3,$B$3389,$B$3643),Data!$BO:$BO,0)-2,43)&lt;&gt;"","Performance Level: "&amp;INDEX(Tab_DaBa[],MATCH(CONCATENATE(Liste!$C$3,$B$3389,$B$3643),Data!$BO:$BO,0)-2,50),"")),"")</f>
        <v>Performance Level: PL_Lo03_10</v>
      </c>
      <c r="I3656" s="39"/>
    </row>
    <row r="3657" spans="2:9" s="16" customFormat="1" ht="15.75">
      <c r="B3657" s="35" t="str">
        <f ca="1">IFERROR(IF(AND(INDEX(Tab_DaBa[],MATCH(CONCATENATE(Liste!$C$3,$B$3389,$B$3643),Data!$BO:$BO,0)-2,28)&lt;&gt;"",INDEX(Tab_DaBa[],MATCH(CONCATENATE(Liste!$C$3,$B$3389,$B$3643),Data!$BO:$BO,0)-2,33)=""),"PFH [1/h] = "&amp;10^9*INDEX(Tab_DaBa[],MATCH(CONCATENATE(Liste!$C$3,$B$3389,$B$3643),Data!$BO:$BO,0)-2,16)&amp;"E-9",IF(INDEX(Tab_DaBa[],MATCH(CONCATENATE(Liste!$C$3,$B$3389,$B$3643),Data!$BO:$BO,0)-2,28)&lt;&gt;"","PFH [1/h] = "&amp;10^9*INDEX(Tab_DaBa[],MATCH(CONCATENATE(Liste!$C$3,$B$3389,$B$3643),Data!$BO:$BO,0)-2,36)&amp;"E-9","")),"")</f>
        <v>PFH [1/h] = 4,19E-9</v>
      </c>
      <c r="C3657" s="39"/>
      <c r="D3657" s="35" t="str">
        <f ca="1">IFERROR(IF(AND(INDEX(Tab_DaBa[],MATCH(CONCATENATE(Liste!$C$3,$B$3389,$B$3643),Data!$BO:$BO,0)-2,33)&lt;&gt;"",INDEX(Tab_DaBa[],MATCH(CONCATENATE(Liste!$C$3,$B$3389,$B$3643),Data!$BO:$BO,0)-2,38)=""),"PFH [1/h] = "&amp;10^9*INDEX(Tab_DaBa[],MATCH(CONCATENATE(Liste!$C$3,$B$3389,$B$3643),Data!$BO:$BO,0)-2,16)&amp;"E-9",IF(INDEX(Tab_DaBa[],MATCH(CONCATENATE(Liste!$C$3,$B$3389,$B$3643),Data!$BO:$BO,0)-2,33)&lt;&gt;"","PFH [1/h] = "&amp;10^9*INDEX(Tab_DaBa[],MATCH(CONCATENATE(Liste!$C$3,$B$3389,$B$3643),Data!$BO:$BO,0)-2,41)&amp;"E-9","")),"")</f>
        <v>PFH [1/h] = 4,19E-9</v>
      </c>
      <c r="E3657" s="37"/>
      <c r="F3657" s="35" t="str">
        <f ca="1">IFERROR(IF(AND(INDEX(Tab_DaBa[],MATCH(CONCATENATE(Liste!$C$3,$B$3389,$B$3643),Data!$BO:$BO,0)-2,38)&lt;&gt;"",INDEX(Tab_DaBa[],MATCH(CONCATENATE(Liste!$C$3,$B$3389,$B$3643),Data!$BO:$BO,0)-2,43)=""),"PFH [1/h] = "&amp;10^9*INDEX(Tab_DaBa[],MATCH(CONCATENATE(Liste!$C$3,$B$3389,$B$3643),Data!$BO:$BO,0)-2,16)&amp;"E-9",IF(INDEX(Tab_DaBa[],MATCH(CONCATENATE(Liste!$C$3,$B$3389,$B$3643),Data!$BO:$BO,0)-2,38)&lt;&gt;"","PFH [1/h] = "&amp;10^9*INDEX(Tab_DaBa[],MATCH(CONCATENATE(Liste!$C$3,$B$3389,$B$3643),Data!$BO:$BO,0)-2,46)&amp;"E-9","")),"")</f>
        <v>PFH [1/h] = 4,19E-9</v>
      </c>
      <c r="G3657" s="39"/>
      <c r="H3657" s="35" t="str">
        <f ca="1">IFERROR(IF(AND(INDEX(Tab_DaBa[],MATCH(CONCATENATE(Liste!$C$3,$B$3389,$B$3643),Data!$BO:$BO,0)-2,43)&lt;&gt;"",INDEX(Tab_DaBa[],MATCH(CONCATENATE(Liste!$C$3,$B$3389,$B$3643),Data!$BO:$BO,0)-2,48)=""),"PFH [1/h] = "&amp;10^9*INDEX(Tab_DaBa[],MATCH(CONCATENATE(Liste!$C$3,$B$3389,$B$3643),Data!$BO:$BO,0)-2,16)&amp;"E-9",IF(INDEX(Tab_DaBa[],MATCH(CONCATENATE(Liste!$C$3,$B$3389,$B$3643),Data!$BO:$BO,0)-2,43)&lt;&gt;"","PFH [1/h] = "&amp;10^9*INDEX(Tab_DaBa[],MATCH(CONCATENATE(Liste!$C$3,$B$3389,$B$3643),Data!$BO:$BO,0)-2,51)&amp;"E-9","")),"")</f>
        <v>PFH [1/h] = 4,19E-9</v>
      </c>
      <c r="I3657" s="39"/>
    </row>
    <row r="3658" spans="2:9" s="16" customFormat="1">
      <c r="B3658" s="33"/>
      <c r="C3658" s="33"/>
      <c r="D3658" s="33"/>
      <c r="E3658" s="33"/>
      <c r="F3658" s="33"/>
      <c r="G3658" s="33"/>
      <c r="H3658" s="33"/>
      <c r="I3658" s="33"/>
    </row>
    <row r="3659" spans="2:9" s="16" customFormat="1" ht="15.75">
      <c r="B3659" s="38">
        <f ca="1">IF(B3661="","",6)</f>
        <v>6</v>
      </c>
      <c r="C3659" s="33"/>
      <c r="D3659" s="38">
        <f ca="1">IF(B3661="","",3)</f>
        <v>3</v>
      </c>
      <c r="E3659" s="33"/>
      <c r="F3659" s="38">
        <f ca="1">IF(B3661="","",3)</f>
        <v>3</v>
      </c>
      <c r="G3659" s="33"/>
      <c r="H3659" s="38">
        <f ca="1">IF(B3661="","",3)</f>
        <v>3</v>
      </c>
      <c r="I3659" s="33"/>
    </row>
    <row r="3660" spans="2:9" s="16" customFormat="1" ht="15.75">
      <c r="B3660" s="39"/>
      <c r="C3660" s="33"/>
      <c r="D3660" s="33"/>
      <c r="E3660" s="33"/>
      <c r="F3660" s="33"/>
      <c r="G3660" s="33"/>
      <c r="H3660" s="33"/>
      <c r="I3660" s="33"/>
    </row>
    <row r="3661" spans="2:9" s="16" customFormat="1" ht="15.75">
      <c r="B3661" s="35" t="str">
        <f ca="1">IFERROR(IF(AND(INDEX(Tab_DaBa[],MATCH(CONCATENATE(Liste!$C$3,$B$3389,$B$3643),Data!$BO:$BO,0)-2,48)&lt;&gt;"",INDEX(Tab_DaBa[],MATCH(CONCATENATE(Liste!$C$3,$B$3389,$B$3643),Data!$BO:$BO,0)-2,53)=0),INDEX(Tab_DaBa[],MATCH(CONCATENATE(Liste!$C$3,$B$3389,$B$3643),Data!$BO:$BO,0)-2,14),IF(INDEX(Tab_DaBa[],MATCH(CONCATENATE(Liste!$C$3,$B$3389,$B$3643),Data!$BO:$BO,0)-2,48)&lt;&gt;"",INDEX(Tab_DaBa[],MATCH(CONCATENATE(Liste!$C$3,$B$3389,$B$3643),Data!$BO:$BO,0)-2,54),"")),"")</f>
        <v>Logik 08</v>
      </c>
      <c r="C3661" s="39"/>
      <c r="D3661" s="35" t="str">
        <f ca="1">IFERROR(IF(AND(INDEX(Tab_DaBa[],MATCH(CONCATENATE(Liste!$C$3,$B$3389,$B$3643),Data!$BO:$BO,0)-2,53)&lt;&gt;"",INDEX(Tab_DaBa[],MATCH(CONCATENATE(Liste!$C$3,$B$3389,$B$3643),Data!$BO:$BO,0)-2,58)=0),INDEX(Tab_DaBa[],MATCH(CONCATENATE(Liste!$C$3,$B$3389,$B$3643),Data!$BO:$BO,0)-2,14),IF(INDEX(Tab_DaBa[],MATCH(CONCATENATE(Liste!$C$3,$B$3389,$B$3643),Data!$BO:$BO,0)-2,53)&lt;&gt;"",INDEX(Tab_DaBa[],MATCH(CONCATENATE(Liste!$C$3,$B$3389,$B$3643),Data!$BO:$BO,0)-2,59),"")),"")</f>
        <v>Logik 09</v>
      </c>
      <c r="E3661" s="33"/>
      <c r="F3661" s="35" t="str">
        <f ca="1">IFERROR(IF(AND(INDEX(Tab_DaBa[],MATCH(CONCATENATE(Liste!$C$3,$B$3389,$B$3643),Data!$BO:$BO,0)-2,58)&lt;&gt;"",INDEX(Tab_DaBa[],MATCH(CONCATENATE(Liste!$C$3,$B$3389,$B$3643),Data!$BO:$BO,0)-2,63)=0),INDEX(Tab_DaBa[],MATCH(CONCATENATE(Liste!$C$3,$B$3389,$B$3643),Data!$BO:$BO,0)-2,14),IF(INDEX(Tab_DaBa[],MATCH(CONCATENATE(Liste!$C$3,$B$3389,$B$3643),Data!$BO:$BO,0)-2,58)&lt;&gt;"",INDEX(Tab_DaBa[],MATCH(CONCATENATE(Liste!$C$3,$B$3389,$B$3643),Data!$BO:$BO,0)-2,64),"")),"")</f>
        <v>Logik 10</v>
      </c>
      <c r="G3661" s="39"/>
      <c r="H3661" s="35" t="str">
        <f ca="1">IFERROR(IF(INDEX(Tab_DaBa[],MATCH(CONCATENATE(Liste!$C$3,$B$3389,$B$3643),Data!$BO:$BO,0)-2,63)&lt;&gt;"",INDEX(Tab_DaBa[],MATCH(CONCATENATE(Liste!$C$3,$B$3389,$B$3643),Data!$BO:$BO,0)-2,14),""),"")</f>
        <v>Ausgang</v>
      </c>
    </row>
    <row r="3662" spans="2:9" s="16" customFormat="1" ht="15.75">
      <c r="B3662" s="35" t="str">
        <f ca="1">IFERROR(IF(AND(INDEX(Tab_DaBa[],MATCH(CONCATENATE(Liste!$C$3,$B$3389,$B$3643),Data!$BO:$BO,0)-2,48)&lt;&gt;"",INDEX(Tab_DaBa[],MATCH(CONCATENATE(Liste!$C$3,$B$3389,$B$3643),Data!$BO:$BO,0)-2,53)=0),INDEX(Tab_DaBa[],MATCH(CONCATENATE(Liste!$C$3,$B$3389,$B$3643),Data!$BO:$BO,0)-2,12),IF(INDEX(Tab_DaBa[],MATCH(CONCATENATE(Liste!$C$3,$B$3389,$B$3643),Data!$BO:$BO,0)-2,48)&lt;&gt;"",INDEX(Tab_DaBa[],MATCH(CONCATENATE(Liste!$C$3,$B$3389,$B$3643),Data!$BO:$BO,0)-2,52),"")),"")</f>
        <v>Lo03-88_10</v>
      </c>
      <c r="C3662" s="39"/>
      <c r="D3662" s="35" t="str">
        <f ca="1">IFERROR(IF(AND(INDEX(Tab_DaBa[],MATCH(CONCATENATE(Liste!$C$3,$B$3389,$B$3643),Data!$BO:$BO,0)-2,53)&lt;&gt;"",INDEX(Tab_DaBa[],MATCH(CONCATENATE(Liste!$C$3,$B$3389,$B$3643),Data!$BO:$BO,0)-2,58)=0),INDEX(Tab_DaBa[],MATCH(CONCATENATE(Liste!$C$3,$B$3389,$B$3643),Data!$BO:$BO,0)-2,12),IF(INDEX(Tab_DaBa[],MATCH(CONCATENATE(Liste!$C$3,$B$3389,$B$3643),Data!$BO:$BO,0)-2,53)&lt;&gt;"",INDEX(Tab_DaBa[],MATCH(CONCATENATE(Liste!$C$3,$B$3389,$B$3643),Data!$BO:$BO,0)-2,57),"")),"")</f>
        <v>Lo03-33_10</v>
      </c>
      <c r="E3662" s="37"/>
      <c r="F3662" s="35" t="str">
        <f ca="1">IFERROR(IF(AND(INDEX(Tab_DaBa[],MATCH(CONCATENATE(Liste!$C$3,$B$3389,$B$3643),Data!$BO:$BO,0)-2,58)&lt;&gt;"",INDEX(Tab_DaBa[],MATCH(CONCATENATE(Liste!$C$3,$B$3389,$B$3643),Data!$BO:$BO,0)-2,63)=0),INDEX(Tab_DaBa[],MATCH(CONCATENATE(Liste!$C$3,$B$3389,$B$3643),Data!$BO:$BO,0)-2,12),IF(INDEX(Tab_DaBa[],MATCH(CONCATENATE(Liste!$C$3,$B$3389,$B$3643),Data!$BO:$BO,0)-2,58)&lt;&gt;"",INDEX(Tab_DaBa[],MATCH(CONCATENATE(Liste!$C$3,$B$3389,$B$3643),Data!$BO:$BO,0)-2,62),"")),"")</f>
        <v>Lo03-10_10</v>
      </c>
      <c r="G3662" s="39"/>
      <c r="H3662" s="35" t="str">
        <f ca="1">IFERROR(IF(INDEX(Tab_DaBa[],MATCH(CONCATENATE(Liste!$C$3,$B$3389,$B$3643),Data!$BO:$BO,0)-2,63)&lt;&gt;"",INDEX(Tab_DaBa[],MATCH(CONCATENATE(Liste!$C$3,$B$3389,$B$3643),Data!$BO:$BO,0)-2,12),""),"")</f>
        <v>aaaa-44_10</v>
      </c>
    </row>
    <row r="3663" spans="2:9" s="16" customFormat="1" ht="15.75">
      <c r="B3663" s="35" t="str">
        <f ca="1">IFERROR(IF(AND(INDEX(Tab_DaBa[],MATCH(CONCATENATE(Liste!$C$3,$B$3389,$B$3643),Data!$BO:$BO,0)-2,48)&lt;&gt;"",INDEX(Tab_DaBa[],MATCH(CONCATENATE(Liste!$C$3,$B$3389,$B$3643),Data!$BO:$BO,0)-2,53)=""),INDEX(Tab_DaBa[],MATCH(CONCATENATE(Liste!$C$3,$B$3389,$B$3643),Data!$BO:$BO,0)-2,13),IF(INDEX(Tab_DaBa[],MATCH(CONCATENATE(Liste!$C$3,$B$3389,$B$3643),Data!$BO:$BO,0)-2,48)&lt;&gt;"",INDEX(Tab_DaBa[],MATCH(CONCATENATE(Liste!$C$3,$B$3389,$B$3643),Data!$BO:$BO,0)-2,53),"")),"")</f>
        <v>Bez_Lo03_10</v>
      </c>
      <c r="C3663" s="38">
        <f ca="1">IF(D3661="","",4)</f>
        <v>4</v>
      </c>
      <c r="D3663" s="35" t="str">
        <f ca="1">IFERROR(IF(AND(INDEX(Tab_DaBa[],MATCH(CONCATENATE(Liste!$C$3,$B$3389,$B$3643),Data!$BO:$BO,0)-2,53)&lt;&gt;"",INDEX(Tab_DaBa[],MATCH(CONCATENATE(Liste!$C$3,$B$3389,$B$3643),Data!$BO:$BO,0)-2,58)=""),INDEX(Tab_DaBa[],MATCH(CONCATENATE(Liste!$C$3,$B$3389,$B$3643),Data!$BO:$BO,0)-2,13),IF(INDEX(Tab_DaBa[],MATCH(CONCATENATE(Liste!$C$3,$B$3389,$B$3643),Data!$BO:$BO,0)-2,53)&lt;&gt;"",INDEX(Tab_DaBa[],MATCH(CONCATENATE(Liste!$C$3,$B$3389,$B$3643),Data!$BO:$BO,0)-2,58),"")),"")</f>
        <v>Bez_Lo03_10</v>
      </c>
      <c r="E3663" s="38">
        <f ca="1">IF(F3661="","",4)</f>
        <v>4</v>
      </c>
      <c r="F3663" s="35" t="str">
        <f ca="1">IFERROR(IF(AND(INDEX(Tab_DaBa[],MATCH(CONCATENATE(Liste!$C$3,$B$3389,$B$3643),Data!$BO:$BO,0)-2,58)&lt;&gt;"",INDEX(Tab_DaBa[],MATCH(CONCATENATE(Liste!$C$3,$B$3389,$B$3643),Data!$BO:$BO,0)-2,63)=""),INDEX(Tab_DaBa[],MATCH(CONCATENATE(Liste!$C$3,$B$3389,$B$3643),Data!$BO:$BO,0)-2,13),IF(INDEX(Tab_DaBa[],MATCH(CONCATENATE(Liste!$C$3,$B$3389,$B$3643),Data!$BO:$BO,0)-2,58)&lt;&gt;"",INDEX(Tab_DaBa[],MATCH(CONCATENATE(Liste!$C$3,$B$3389,$B$3643),Data!$BO:$BO,0)-2,63),"")),"")</f>
        <v>Bez_Lo03_10</v>
      </c>
      <c r="G3663" s="38">
        <f ca="1">IF(H3661="","",4)</f>
        <v>4</v>
      </c>
      <c r="H3663" s="35" t="str">
        <f ca="1">IFERROR(IF(INDEX(Tab_DaBa[],MATCH(CONCATENATE(Liste!$C$3,$B$3389,$B$3643),Data!$BO:$BO,0)-2,63)&lt;&gt;"",INDEX(Tab_DaBa[],MATCH(CONCATENATE(Liste!$C$3,$B$3389,$B$3643),Data!$BO:$BO,0)-2,13),""),"")</f>
        <v>Bez_Aus4_10</v>
      </c>
    </row>
    <row r="3664" spans="2:9" s="16" customFormat="1" ht="15.75">
      <c r="B3664" s="35" t="str">
        <f ca="1">IFERROR(IF(AND(INDEX(Tab_DaBa[],MATCH(CONCATENATE(Liste!$C$3,$B$3389,$B$3643),Data!$BO:$BO,0)-2,48)&lt;&gt;"",INDEX(Tab_DaBa[],MATCH(CONCATENATE(Liste!$C$3,$B$3389,$B$3643),Data!$BO:$BO,0)-2,53)=""),"Performance Level: "&amp;INDEX(Tab_DaBa[],MATCH(CONCATENATE(Liste!$C$3,$B$3389,$B$3643),Data!$BO:$BO,0)-2,15),IF(INDEX(Tab_DaBa[],MATCH(CONCATENATE(Liste!$C$3,$B$3389,$B$3643),Data!$BO:$BO,0)-2,48)&lt;&gt;"","Performance Level: "&amp;INDEX(Tab_DaBa[],MATCH(CONCATENATE(Liste!$C$3,$B$3389,$B$3643),Data!$BO:$BO,0)-2,55),"")),"")</f>
        <v>Performance Level: PL_Lo03_10</v>
      </c>
      <c r="C3664" s="39"/>
      <c r="D3664" s="35" t="str">
        <f ca="1">IFERROR(IF(AND(INDEX(Tab_DaBa[],MATCH(CONCATENATE(Liste!$C$3,$B$3389,$B$3643),Data!$BO:$BO,0)-2,53)&lt;&gt;"",INDEX(Tab_DaBa[],MATCH(CONCATENATE(Liste!$C$3,$B$3389,$B$3643),Data!$BO:$BO,0)-2,58)=""),"Performance Level: "&amp;INDEX(Tab_DaBa[],MATCH(CONCATENATE(Liste!$C$3,$B$3389,$B$3643),Data!$BO:$BO,0)-2,15),IF(INDEX(Tab_DaBa[],MATCH(CONCATENATE(Liste!$C$3,$B$3389,$B$3643),Data!$BO:$BO,0)-2,53)&lt;&gt;"","Performance Level: "&amp;INDEX(Tab_DaBa[],MATCH(CONCATENATE(Liste!$C$3,$B$3389,$B$3643),Data!$BO:$BO,0)-2,60),"")),"")</f>
        <v>Performance Level: PL_Lo03_10</v>
      </c>
      <c r="E3664" s="37"/>
      <c r="F3664" s="35" t="str">
        <f ca="1">IFERROR(IF(AND(INDEX(Tab_DaBa[],MATCH(CONCATENATE(Liste!$C$3,$B$3389,$B$3643),Data!$BO:$BO,0)-2,58)&lt;&gt;"",INDEX(Tab_DaBa[],MATCH(CONCATENATE(Liste!$C$3,$B$3389,$B$3643),Data!$BO:$BO,0)-2,63)=""),"Performance Level: "&amp;INDEX(Tab_DaBa[],MATCH(CONCATENATE(Liste!$C$3,$B$3389,$B$3643),Data!$BO:$BO,0)-2,15),IF(INDEX(Tab_DaBa[],MATCH(CONCATENATE(Liste!$C$3,$B$3389,$B$3643),Data!$BO:$BO,0)-2,58)&lt;&gt;"","Performance Level: "&amp;INDEX(Tab_DaBa[],MATCH(CONCATENATE(Liste!$C$3,$B$3389,$B$3643),Data!$BO:$BO,0)-2,65),"")),"")</f>
        <v>Performance Level: PL_Lo03_10</v>
      </c>
      <c r="G3664" s="39"/>
      <c r="H3664" s="35" t="str">
        <f ca="1">IFERROR(IF(INDEX(Tab_DaBa[],MATCH(CONCATENATE(Liste!$C$3,$B$3389,$B$3643),Data!$BO:$BO,0)-2,63)&lt;&gt;"","Performance Level: "&amp;INDEX(Tab_DaBa[],MATCH(CONCATENATE(Liste!$C$3,$B$3389,$B$3643),Data!$BO:$BO,0)-2,15),""),"")</f>
        <v>Performance Level: PL_Aus4_10</v>
      </c>
    </row>
    <row r="3665" spans="2:9" s="16" customFormat="1" ht="15.75">
      <c r="B3665" s="35" t="str">
        <f ca="1">IFERROR(IF(AND(INDEX(Tab_DaBa[],MATCH(CONCATENATE(Liste!$C$3,$B$3389,$B$3643),Data!$BO:$BO,0)-2,48)&lt;&gt;"",INDEX(Tab_DaBa[],MATCH(CONCATENATE(Liste!$C$3,$B$3389,$B$3643),Data!$BO:$BO,0)-2,53)=""),"PFH [1/h] = "&amp;10^9*INDEX(Tab_DaBa[],MATCH(CONCATENATE(Liste!$C$3,$B$3389,$B$3643),Data!$BO:$BO,0)-2,16)&amp;"E-9",IF(INDEX(Tab_DaBa[],MATCH(CONCATENATE(Liste!$C$3,$B$3389,$B$3643),Data!$BO:$BO,0)-2,48)&lt;&gt;"","PFH [1/h] = "&amp;10^9*INDEX(Tab_DaBa[],MATCH(CONCATENATE(Liste!$C$3,$B$3389,$B$3643),Data!$BO:$BO,0)-2,56)&amp;"E-9","")),"")</f>
        <v>PFH [1/h] = 4,19E-9</v>
      </c>
      <c r="C3665" s="39"/>
      <c r="D3665" s="35" t="str">
        <f ca="1">IFERROR(IF(AND(INDEX(Tab_DaBa[],MATCH(CONCATENATE(Liste!$C$3,$B$3389,$B$3643),Data!$BO:$BO,0)-2,53)&lt;&gt;"",INDEX(Tab_DaBa[],MATCH(CONCATENATE(Liste!$C$3,$B$3389,$B$3643),Data!$BO:$BO,0)-2,58)=""),"PFH [1/h] = "&amp;10^9*INDEX(Tab_DaBa[],MATCH(CONCATENATE(Liste!$C$3,$B$3389,$B$3643),Data!$BO:$BO,0)-2,16)&amp;"E-9",IF(INDEX(Tab_DaBa[],MATCH(CONCATENATE(Liste!$C$3,$B$3389,$B$3643),Data!$BO:$BO,0)-2,53)&lt;&gt;"","PFH [1/h] = "&amp;10^9*INDEX(Tab_DaBa[],MATCH(CONCATENATE(Liste!$C$3,$B$3389,$B$3643),Data!$BO:$BO,0)-2,61)&amp;"E-9","")),"")</f>
        <v>PFH [1/h] = 4,19E-9</v>
      </c>
      <c r="E3665" s="37"/>
      <c r="F3665" s="35" t="str">
        <f ca="1">IFERROR(IF(AND(INDEX(Tab_DaBa[],MATCH(CONCATENATE(Liste!$C$3,$B$3389,$B$3643),Data!$BO:$BO,0)-2,58)&lt;&gt;"",INDEX(Tab_DaBa[],MATCH(CONCATENATE(Liste!$C$3,$B$3389,$B$3643),Data!$BO:$BO,0)-2,63)=""),"PFH [1/h] = "&amp;10^9*INDEX(Tab_DaBa[],MATCH(CONCATENATE(Liste!$C$3,$B$3389,$B$3643),Data!$BO:$BO,0)-2,16)&amp;"E-9",IF(INDEX(Tab_DaBa[],MATCH(CONCATENATE(Liste!$C$3,$B$3389,$B$3643),Data!$BO:$BO,0)-2,58)&lt;&gt;"","PFH [1/h] = "&amp;10^9*INDEX(Tab_DaBa[],MATCH(CONCATENATE(Liste!$C$3,$B$3389,$B$3643),Data!$BO:$BO,0)-2,66)&amp;"E-9","")),"")</f>
        <v>PFH [1/h] = 4,19E-9</v>
      </c>
      <c r="G3665" s="39"/>
      <c r="H3665" s="35" t="str">
        <f ca="1">IFERROR(IF(INDEX(Tab_DaBa[],MATCH(CONCATENATE(Liste!$C$3,$B$3389,$B$3643),Data!$BO:$BO,0)-2,63)&lt;&gt;"","PFH [1/h] = "&amp;10^9*INDEX(Tab_DaBa[],MATCH(CONCATENATE(Liste!$C$3,$B$3389,$B$3643),Data!$BO:$BO,0)-2,16)&amp;"E-9",""),"")</f>
        <v>PFH [1/h] = 24,7E-9</v>
      </c>
    </row>
    <row r="3666" spans="2:9" s="16" customFormat="1"/>
    <row r="3667" spans="2:9" s="16" customFormat="1">
      <c r="B3667" s="43" t="str">
        <f ca="1">IF(D3667="","","Erforderlich")</f>
        <v>Erforderlich</v>
      </c>
      <c r="D3667" s="44" t="str">
        <f ca="1">IFERROR("Performance Level: "&amp;INDEX(Tab_DaBa[],MATCH(CONCATENATE(Liste!$C$3,$B$3389,$B$3643),Data!$BO:$BO,0)-2,4),"")</f>
        <v>Performance Level: PLr_ges4_10</v>
      </c>
    </row>
    <row r="3668" spans="2:9" s="16" customFormat="1">
      <c r="B3668" s="45"/>
    </row>
    <row r="3669" spans="2:9" s="16" customFormat="1">
      <c r="B3669" s="46" t="str">
        <f ca="1">IF(D3669="","","Erreicht")</f>
        <v>Erreicht</v>
      </c>
      <c r="D3669" s="47" t="str">
        <f ca="1">IFERROR("Performance Level: "&amp;INDEX(Tab_DaBa[],MATCH(CONCATENATE(Liste!$C$3,$B$3389,$B$3643),Data!$BO:$BO,0)-2,5)&amp;"          PFH [1/h] = "&amp;10^9*INDEX(Tab_DaBa[],MATCH(CONCATENATE(Liste!$C$3,$B$3389,$B$3643),Data!$BO:$BO,0)-2,6)&amp;"E-9","")</f>
        <v>Performance Level: Pl_ges4_10          PFH [1/h] = 71,7E-9</v>
      </c>
    </row>
    <row r="3670" spans="2:9" s="16" customFormat="1"/>
    <row r="3671" spans="2:9" s="16" customFormat="1">
      <c r="B3671" s="55" t="str">
        <f ca="1">Liste!$D$17</f>
        <v>14. Test14</v>
      </c>
    </row>
    <row r="3672" spans="2:9" s="16" customFormat="1"/>
    <row r="3673" spans="2:9" s="16" customFormat="1">
      <c r="B3673" s="42" t="str">
        <f ca="1">IFERROR(IF(1&gt;COUNTIF(Data!$BP:$BP,CONCATENATE(Liste!$C$3,$B$3671)),"",INDEX(Tab_DaBa[],MATCH(CONCATENATE(Liste!$C$3,$B$3671),Data!$BP:$BP,0)-2,3)),"")</f>
        <v>14.1 Test14 (E+1L+A)</v>
      </c>
    </row>
    <row r="3674" spans="2:9" s="16" customFormat="1"/>
    <row r="3675" spans="2:9" s="16" customFormat="1" ht="15.75">
      <c r="B3675" s="35" t="str">
        <f ca="1">IFERROR(INDEX(Tab_DaBa[],MATCH(CONCATENATE(Liste!$C$3,$B$3671,$B$3673),Data!$BO:$BO,0)-2,9),"")</f>
        <v>Eingang</v>
      </c>
      <c r="C3675" s="54"/>
      <c r="D3675" s="35" t="str">
        <f ca="1">IFERROR(IF(INDEX(Tab_DaBa[],MATCH(CONCATENATE(Liste!$C$3,$B$3671,$B$3673),Data!$BO:$BO,0)-2,18)=0,INDEX(Tab_DaBa[],MATCH(CONCATENATE(Liste!$C$3,$B$3671,$B$3673),Data!$BO:$BO,0)-2,14),INDEX(Tab_DaBa[],MATCH(CONCATENATE(Liste!$C$3,$B$3671,$B$3673),Data!$BO:$BO,0)-2,19)),"")</f>
        <v>Logik 01</v>
      </c>
      <c r="E3675" s="33"/>
      <c r="F3675" s="35" t="str">
        <f ca="1">IFERROR(IF(AND(INDEX(Tab_DaBa[],MATCH(CONCATENATE(Liste!$C$3,$B$3671,$B$3673),Data!$BO:$BO,0)-2,18)&lt;&gt;"",INDEX(Tab_DaBa[],MATCH(CONCATENATE(Liste!$C$3,$B$3671,$B$3673),Data!$BO:$BO,0)-2,23)=0),INDEX(Tab_DaBa[],MATCH(CONCATENATE(Liste!$C$3,$B$3671,$B$3673),Data!$BO:$BO,0)-2,14),IF(INDEX(Tab_DaBa[],MATCH(CONCATENATE(Liste!$C$3,$B$3671,$B$3673),Data!$BO:$BO,0)-2,23)&lt;&gt;"",INDEX(Tab_DaBa[],MATCH(CONCATENATE(Liste!$C$3,$B$3671,$B$3673),Data!$BO:$BO,0)-2,24),"")),"")</f>
        <v>Ausgang</v>
      </c>
      <c r="G3675" s="39"/>
      <c r="H3675" s="35" t="str">
        <f ca="1">IFERROR(IF(AND(INDEX(Tab_DaBa[],MATCH(CONCATENATE(Liste!$C$3,$B$3671,$B$3673),Data!$BO:$BO,0)-2,23)&lt;&gt;"",INDEX(Tab_DaBa[],MATCH(CONCATENATE(Liste!$C$3,$B$3671,$B$3673),Data!$BO:$BO,0)-2,28)=0),INDEX(Tab_DaBa[],MATCH(CONCATENATE(Liste!$C$3,$B$3671,$B$3673),Data!$BO:$BO,0)-2,14),IF(INDEX(Tab_DaBa[],MATCH(CONCATENATE(Liste!$C$3,$B$3671,$B$3673),Data!$BO:$BO,0)-2,23)&lt;&gt;"",INDEX(Tab_DaBa[],MATCH(CONCATENATE(Liste!$C$3,$B$3671,$B$3673),Data!$BO:$BO,0)-2,29),"")),"")</f>
        <v/>
      </c>
      <c r="I3675" s="39"/>
    </row>
    <row r="3676" spans="2:9" s="16" customFormat="1" ht="15.75">
      <c r="B3676" s="35" t="str">
        <f ca="1">IFERROR(INDEX(Tab_DaBa[],MATCH(CONCATENATE(Liste!$C$3,$B$3671,$B$3673),Data!$BO:$BO,0)-2,7),"")</f>
        <v>eeee-33_1</v>
      </c>
      <c r="C3676" s="54"/>
      <c r="D3676" s="35" t="str">
        <f ca="1">IFERROR(IF(INDEX(Tab_DaBa[],MATCH(CONCATENATE(Liste!$C$3,$B$3671,$B$3673),Data!$BO:$BO,0)-2,18)="",INDEX(Tab_DaBa[],MATCH(CONCATENATE(Liste!$C$3,$B$3671,$B$3673),Data!$BO:$BO,0)-2,12),INDEX(Tab_DaBa[],MATCH(CONCATENATE(Liste!$C$3,$B$3671,$B$3673),Data!$BO:$BO,0)-2,17)),"")</f>
        <v>Log01-04_01</v>
      </c>
      <c r="E3676" s="36"/>
      <c r="F3676" s="35" t="str">
        <f ca="1">IFERROR(IF(AND(INDEX(Tab_DaBa[],MATCH(CONCATENATE(Liste!$C$3,$B$3671,$B$3673),Data!$BO:$BO,0)-2,18)&lt;&gt;"",INDEX(Tab_DaBa[],MATCH(CONCATENATE(Liste!$C$3,$B$3671,$B$3673),Data!$BO:$BO,0)-2,23)=0),INDEX(Tab_DaBa[],MATCH(CONCATENATE(Liste!$C$3,$B$3671,$B$3673),Data!$BO:$BO,0)-2,12),IF(INDEX(Tab_DaBa[],MATCH(CONCATENATE(Liste!$C$3,$B$3671,$B$3673),Data!$BO:$BO,0)-2,23)&lt;&gt;"",INDEX(Tab_DaBa[],MATCH(CONCATENATE(Liste!$C$3,$B$3671,$B$3673),Data!$BO:$BO,0)-2,22),"")),"")</f>
        <v>aaaa-44_1</v>
      </c>
      <c r="G3676" s="39"/>
      <c r="H3676" s="35" t="str">
        <f ca="1">IFERROR(IF(AND(INDEX(Tab_DaBa[],MATCH(CONCATENATE(Liste!$C$3,$B$3671,$B$3673),Data!$BO:$BO,0)-2,23)&lt;&gt;"",INDEX(Tab_DaBa[],MATCH(CONCATENATE(Liste!$C$3,$B$3671,$B$3673),Data!$BO:$BO,0)-2,28)=0),INDEX(Tab_DaBa[],MATCH(CONCATENATE(Liste!$C$3,$B$3671,$B$3673),Data!$BO:$BO,0)-2,12),IF(INDEX(Tab_DaBa[],MATCH(CONCATENATE(Liste!$C$3,$B$3671,$B$3673),Data!$BO:$BO,0)-2,23)&lt;&gt;"",INDEX(Tab_DaBa[],MATCH(CONCATENATE(Liste!$C$3,$B$3671,$B$3673),Data!$BO:$BO,0)-2,27),"")),"")</f>
        <v/>
      </c>
      <c r="I3676" s="39"/>
    </row>
    <row r="3677" spans="2:9" s="16" customFormat="1" ht="15.75">
      <c r="B3677" s="35" t="str">
        <f ca="1">IFERROR(INDEX(Tab_DaBa[],MATCH(CONCATENATE(Liste!$C$3,$B$3671,$B$3673),Data!$BO:$BO,0)-2,8),"")</f>
        <v>Bez_Ein4_1</v>
      </c>
      <c r="C3677" s="40">
        <f ca="1">IF(D3675="","",4)</f>
        <v>4</v>
      </c>
      <c r="D3677" s="35" t="str">
        <f ca="1">IFERROR(IF(INDEX(Tab_DaBa[],MATCH(CONCATENATE(Liste!$C$3,$B$3671,$B$3673),Data!$BO:$BO,0)-2,18)="",INDEX(Tab_DaBa[],MATCH(CONCATENATE(Liste!$C$3,$B$3671,$B$3673),Data!$BO:$BO,0)-2,13),INDEX(Tab_DaBa[],MATCH(CONCATENATE(Liste!$C$3,$B$3671,$B$3673),Data!$BO:$BO,0)-2,18)),"")</f>
        <v>Bez_Log01_04_01</v>
      </c>
      <c r="E3677" s="40">
        <f ca="1">IF(F3675="","",4)</f>
        <v>4</v>
      </c>
      <c r="F3677" s="35" t="str">
        <f ca="1">IFERROR(IF(AND(INDEX(Tab_DaBa[],MATCH(CONCATENATE(Liste!$C$3,$B$3671,$B$3673),Data!$BO:$BO,0)-2,18)&lt;&gt;"",INDEX(Tab_DaBa[],MATCH(CONCATENATE(Liste!$C$3,$B$3671,$B$3673),Data!$BO:$BO,0)-2,23)=""),INDEX(Tab_DaBa[],MATCH(CONCATENATE(Liste!$C$3,$B$3671,$B$3673),Data!$BO:$BO,0)-2,13),IF(INDEX(Tab_DaBa[],MATCH(CONCATENATE(Liste!$C$3,$B$3671,$B$3673),Data!$BO:$BO,0)-2,23)&lt;&gt;"",INDEX(Tab_DaBa[],MATCH(CONCATENATE(Liste!$C$3,$B$3671,$B$3673),Data!$BO:$BO,0)-2,23),"")),"")</f>
        <v>Bez_Aus4_1</v>
      </c>
      <c r="G3677" s="38" t="str">
        <f ca="1">IF(H3675="","",4)</f>
        <v/>
      </c>
      <c r="H3677" s="35" t="str">
        <f ca="1">IFERROR(IF(AND(INDEX(Tab_DaBa[],MATCH(CONCATENATE(Liste!$C$3,$B$3671,$B$3673),Data!$BO:$BO,0)-2,23)&lt;&gt;"",INDEX(Tab_DaBa[],MATCH(CONCATENATE(Liste!$C$3,$B$3671,$B$3673),Data!$BO:$BO,0)-2,28)=""),INDEX(Tab_DaBa[],MATCH(CONCATENATE(Liste!$C$3,$B$3671,$B$3673),Data!$BO:$BO,0)-2,13),IF(INDEX(Tab_DaBa[],MATCH(CONCATENATE(Liste!$C$3,$B$3671,$B$3673),Data!$BO:$BO,0)-2,23)&lt;&gt;"",INDEX(Tab_DaBa[],MATCH(CONCATENATE(Liste!$C$3,$B$3671,$B$3673),Data!$BO:$BO,0)-2,28),"")),"")</f>
        <v/>
      </c>
      <c r="I3677" s="38" t="str">
        <f ca="1">IF(B3683="","",6)</f>
        <v/>
      </c>
    </row>
    <row r="3678" spans="2:9" s="16" customFormat="1" ht="15.75">
      <c r="B3678" s="35" t="str">
        <f ca="1">IFERROR("Performance Level: "&amp;INDEX(Tab_DaBa[],MATCH(CONCATENATE(Liste!$C$3,$B$3671,$B$3673),Data!$BO:$BO,0)-2,10),"")</f>
        <v>Performance Level: PL_Ein4_1</v>
      </c>
      <c r="C3678" s="54"/>
      <c r="D3678" s="35" t="str">
        <f ca="1">IFERROR(IF(INDEX(Tab_DaBa[],MATCH(CONCATENATE(Liste!$C$3,$B$3671,$B$3673),Data!$BO:$BO,0)-2,18)="","Performance Level: "&amp;INDEX(Tab_DaBa[],MATCH(CONCATENATE(Liste!$C$3,$B$3671,$B$3673),Data!$BO:$BO,0)-2,15),"Performance Level: "&amp;INDEX(Tab_DaBa[],MATCH(CONCATENATE(Liste!$C$3,$B$3671,$B$3673),Data!$BO:$BO,0)-2,20)),"")</f>
        <v>Performance Level: PL_Log01_04_01</v>
      </c>
      <c r="E3678" s="36"/>
      <c r="F3678" s="35" t="str">
        <f ca="1">IFERROR(IF(AND(INDEX(Tab_DaBa[],MATCH(CONCATENATE(Liste!$C$3,$B$3671,$B$3673),Data!$BO:$BO,0)-2,18)&lt;&gt;"",INDEX(Tab_DaBa[],MATCH(CONCATENATE(Liste!$C$3,$B$3671,$B$3673),Data!$BO:$BO,0)-2,23)=""),"Performance Level: "&amp;INDEX(Tab_DaBa[],MATCH(CONCATENATE(Liste!$C$3,$B$3671,$B$3673),Data!$BO:$BO,0)-2,15),IF(INDEX(Tab_DaBa[],MATCH(CONCATENATE(Liste!$C$3,$B$3671,$B$3673),Data!$BO:$BO,0)-2,23)&lt;&gt;"","Performance Level: "&amp;INDEX(Tab_DaBa[],MATCH(CONCATENATE(Liste!$C$3,$B$3671,$B$3673),Data!$BO:$BO,0)-2,25),"")),"")</f>
        <v>Performance Level: PL_Aus4_1</v>
      </c>
      <c r="G3678" s="39"/>
      <c r="H3678" s="35" t="str">
        <f ca="1">IFERROR(IF(AND(INDEX(Tab_DaBa[],MATCH(CONCATENATE(Liste!$C$3,$B$3671,$B$3673),Data!$BO:$BO,0)-2,23)&lt;&gt;"",INDEX(Tab_DaBa[],MATCH(CONCATENATE(Liste!$C$3,$B$3671,$B$3673),Data!$BO:$BO,0)-2,28)=""),"Performance Level: "&amp;INDEX(Tab_DaBa[],MATCH(CONCATENATE(Liste!$C$3,$B$3671,$B$3673),Data!$BO:$BO,0)-2,15),IF(INDEX(Tab_DaBa[],MATCH(CONCATENATE(Liste!$C$3,$B$3671,$B$3673),Data!$BO:$BO,0)-2,23)&lt;&gt;"","Performance Level: "&amp;INDEX(Tab_DaBa[],MATCH(CONCATENATE(Liste!$C$3,$B$3671,$B$3673),Data!$BO:$BO,0)-2,30),"")),"")</f>
        <v/>
      </c>
      <c r="I3678" s="38"/>
    </row>
    <row r="3679" spans="2:9" s="16" customFormat="1" ht="15.75">
      <c r="B3679" s="53" t="str">
        <f ca="1">IFERROR("PFH [1/h] = "&amp;10^9*INDEX(Tab_DaBa[],MATCH(CONCATENATE(Liste!$C$3,$B$3671,$B$3673),Data!$BO:$BO,0)-2,11)&amp;"E-9","")</f>
        <v>PFH [1/h] = 42,9E-9</v>
      </c>
      <c r="C3679" s="54"/>
      <c r="D3679" s="35" t="str">
        <f ca="1">IFERROR(IF(INDEX(Tab_DaBa[],MATCH(CONCATENATE(Liste!$C$3,$B$3671,$B$3673),Data!$BO:$BO,0)-2,18)="","PFH [1/h] = "&amp;10^9*INDEX(Tab_DaBa[],MATCH(CONCATENATE(Liste!$C$3,$B$3671,$B$3673),Data!$BO:$BO,0)-2,16)&amp;"E-9","PFH [1/h] = "&amp;10^9*INDEX(Tab_DaBa[],MATCH(CONCATENATE(Liste!$C$3,$B$3671,$B$3673),Data!$BO:$BO,0)-2,21)&amp;"E-9"),"")</f>
        <v>PFH [1/h] = 4,19E-9</v>
      </c>
      <c r="E3679" s="36"/>
      <c r="F3679" s="35" t="str">
        <f ca="1">IFERROR(IF(AND(INDEX(Tab_DaBa[],MATCH(CONCATENATE(Liste!$C$3,$B$3671,$B$3673),Data!$BO:$BO,0)-2,18)&lt;&gt;"",INDEX(Tab_DaBa[],MATCH(CONCATENATE(Liste!$C$3,$B$3671,$B$3673),Data!$BO:$BO,0)-2,23)=""),"PFH [1/h] = "&amp;10^9*INDEX(Tab_DaBa[],MATCH(CONCATENATE(Liste!$C$3,$B$3671,$B$3673),Data!$BO:$BO,0)-2,16)&amp;"E-9",IF(INDEX(Tab_DaBa[],MATCH(CONCATENATE(Liste!$C$3,$B$3671,$B$3673),Data!$BO:$BO,0)-2,23)&lt;&gt;"","PFH [1/h] = "&amp;10^9*INDEX(Tab_DaBa[],MATCH(CONCATENATE(Liste!$C$3,$B$3671,$B$3673),Data!$BO:$BO,0)-2,26)&amp;"E-9","")),"")</f>
        <v>PFH [1/h] = 24,7E-9</v>
      </c>
      <c r="G3679" s="39"/>
      <c r="H3679" s="35" t="str">
        <f ca="1">IFERROR(IF(AND(INDEX(Tab_DaBa[],MATCH(CONCATENATE(Liste!$C$3,$B$3671,$B$3673),Data!$BO:$BO,0)-2,23)&lt;&gt;"",INDEX(Tab_DaBa[],MATCH(CONCATENATE(Liste!$C$3,$B$3671,$B$3673),Data!$BO:$BO,0)-2,28)=""),"PFH [1/h] = "&amp;10^9*INDEX(Tab_DaBa[],MATCH(CONCATENATE(Liste!$C$3,$B$3671,$B$3673),Data!$BO:$BO,0)-2,16)&amp;"E-9",IF(INDEX(Tab_DaBa[],MATCH(CONCATENATE(Liste!$C$3,$B$3671,$B$3673),Data!$BO:$BO,0)-2,23)&lt;&gt;"","PFH [1/h] = "&amp;10^9*INDEX(Tab_DaBa[],MATCH(CONCATENATE(Liste!$C$3,$B$3671,$B$3673),Data!$BO:$BO,0)-2,31)&amp;"E-9","")),"")</f>
        <v/>
      </c>
      <c r="I3679" s="39"/>
    </row>
    <row r="3680" spans="2:9" s="16" customFormat="1">
      <c r="B3680" s="33"/>
      <c r="C3680" s="34"/>
      <c r="D3680" s="33"/>
      <c r="E3680" s="33"/>
      <c r="F3680" s="33"/>
      <c r="G3680" s="33"/>
      <c r="H3680" s="33"/>
      <c r="I3680" s="33"/>
    </row>
    <row r="3681" spans="2:9" s="16" customFormat="1" ht="15.75">
      <c r="B3681" s="38" t="str">
        <f ca="1">IF(B3683="","",6)</f>
        <v/>
      </c>
      <c r="C3681" s="34"/>
      <c r="D3681" s="38" t="str">
        <f ca="1">IF(B3683="","",3)</f>
        <v/>
      </c>
      <c r="E3681" s="33"/>
      <c r="F3681" s="38" t="str">
        <f ca="1">IF(B3683="","",3)</f>
        <v/>
      </c>
      <c r="G3681" s="33"/>
      <c r="H3681" s="38" t="str">
        <f ca="1">IF(B3683="","",3)</f>
        <v/>
      </c>
      <c r="I3681" s="33"/>
    </row>
    <row r="3682" spans="2:9" s="16" customFormat="1" ht="15.75">
      <c r="B3682" s="39"/>
      <c r="C3682" s="33"/>
      <c r="D3682" s="33"/>
      <c r="E3682" s="33"/>
      <c r="F3682" s="33"/>
      <c r="G3682" s="33"/>
      <c r="H3682" s="33"/>
      <c r="I3682" s="33"/>
    </row>
    <row r="3683" spans="2:9" s="16" customFormat="1" ht="15.75">
      <c r="B3683" s="35" t="str">
        <f ca="1">IFERROR(IF(AND(INDEX(Tab_DaBa[],MATCH(CONCATENATE(Liste!$C$3,$B$3671,$B$3673),Data!$BO:$BO,0)-2,28)&lt;&gt;"",INDEX(Tab_DaBa[],MATCH(CONCATENATE(Liste!$C$3,$B$3671,$B$3673),Data!$BO:$BO,0)-2,33)=0),INDEX(Tab_DaBa[],MATCH(CONCATENATE(Liste!$C$3,$B$3671,$B$3673),Data!$BO:$BO,0)-2,14),IF(INDEX(Tab_DaBa[],MATCH(CONCATENATE(Liste!$C$3,$B$3671,$B$3673),Data!$BO:$BO,0)-2,28)&lt;&gt;"",INDEX(Tab_DaBa[],MATCH(CONCATENATE(Liste!$C$3,$B$3671,$B$3673),Data!$BO:$BO,0)-2,34),"")),"")</f>
        <v/>
      </c>
      <c r="C3683" s="39"/>
      <c r="D3683" s="35" t="str">
        <f ca="1">IFERROR(IF(AND(INDEX(Tab_DaBa[],MATCH(CONCATENATE(Liste!$C$3,$B$3671,$B$3673),Data!$BO:$BO,0)-2,33)&lt;&gt;"",INDEX(Tab_DaBa[],MATCH(CONCATENATE(Liste!$C$3,$B$3671,$B$3673),Data!$BO:$BO,0)-2,38)=0),INDEX(Tab_DaBa[],MATCH(CONCATENATE(Liste!$C$3,$B$3671,$B$3673),Data!$BO:$BO,0)-2,14),IF(INDEX(Tab_DaBa[],MATCH(CONCATENATE(Liste!$C$3,$B$3671,$B$3673),Data!$BO:$BO,0)-2,33)&lt;&gt;"",INDEX(Tab_DaBa[],MATCH(CONCATENATE(Liste!$C$3,$B$3671,$B$3673),Data!$BO:$BO,0)-2,39),"")),"")</f>
        <v/>
      </c>
      <c r="E3683" s="33"/>
      <c r="F3683" s="35" t="str">
        <f ca="1">IFERROR(IF(AND(INDEX(Tab_DaBa[],MATCH(CONCATENATE(Liste!$C$3,$B$3671,$B$3673),Data!$BO:$BO,0)-2,38)&lt;&gt;"",INDEX(Tab_DaBa[],MATCH(CONCATENATE(Liste!$C$3,$B$3671,$B$3673),Data!$BO:$BO,0)-2,43)=0),INDEX(Tab_DaBa[],MATCH(CONCATENATE(Liste!$C$3,$B$3671,$B$3673),Data!$BO:$BO,0)-2,14),IF(INDEX(Tab_DaBa[],MATCH(CONCATENATE(Liste!$C$3,$B$3671,$B$3673),Data!$BO:$BO,0)-2,38)&lt;&gt;"",INDEX(Tab_DaBa[],MATCH(CONCATENATE(Liste!$C$3,$B$3671,$B$3673),Data!$BO:$BO,0)-2,44),"")),"")</f>
        <v/>
      </c>
      <c r="G3683" s="39"/>
      <c r="H3683" s="35" t="str">
        <f ca="1">IFERROR(IF(AND(INDEX(Tab_DaBa[],MATCH(CONCATENATE(Liste!$C$3,$B$3671,$B$3673),Data!$BO:$BO,0)-2,43)&lt;&gt;"",INDEX(Tab_DaBa[],MATCH(CONCATENATE(Liste!$C$3,$B$3671,$B$3673),Data!$BO:$BO,0)-2,48)=0),INDEX(Tab_DaBa[],MATCH(CONCATENATE(Liste!$C$3,$B$3671,$B$3673),Data!$BO:$BO,0)-2,14),IF(INDEX(Tab_DaBa[],MATCH(CONCATENATE(Liste!$C$3,$B$3671,$B$3673),Data!$BO:$BO,0)-2,43)&lt;&gt;"",INDEX(Tab_DaBa[],MATCH(CONCATENATE(Liste!$C$3,$B$3671,$B$3673),Data!$BO:$BO,0)-2,49),"")),"")</f>
        <v/>
      </c>
      <c r="I3683" s="39"/>
    </row>
    <row r="3684" spans="2:9" s="16" customFormat="1" ht="15.75">
      <c r="B3684" s="35" t="str">
        <f ca="1">IFERROR(IF(AND(INDEX(Tab_DaBa[],MATCH(CONCATENATE(Liste!$C$3,$B$3671,$B$3673),Data!$BO:$BO,0)-2,28)&lt;&gt;"",INDEX(Tab_DaBa[],MATCH(CONCATENATE(Liste!$C$3,$B$3671,$B$3673),Data!$BO:$BO,0)-2,33)=0),INDEX(Tab_DaBa[],MATCH(CONCATENATE(Liste!$C$3,$B$3671,$B$3673),Data!$BO:$BO,0)-2,12),IF(INDEX(Tab_DaBa[],MATCH(CONCATENATE(Liste!$C$3,$B$3671,$B$3673),Data!$BO:$BO,0)-2,28)&lt;&gt;"",INDEX(Tab_DaBa[],MATCH(CONCATENATE(Liste!$C$3,$B$3671,$B$3673),Data!$BO:$BO,0)-2,32),"")),"")</f>
        <v/>
      </c>
      <c r="C3684" s="39"/>
      <c r="D3684" s="35" t="str">
        <f ca="1">IFERROR(IF(AND(INDEX(Tab_DaBa[],MATCH(CONCATENATE(Liste!$C$3,$B$3671,$B$3673),Data!$BO:$BO,0)-2,33)&lt;&gt;"",INDEX(Tab_DaBa[],MATCH(CONCATENATE(Liste!$C$3,$B$3671,$B$3673),Data!$BO:$BO,0)-2,38)=0),INDEX(Tab_DaBa[],MATCH(CONCATENATE(Liste!$C$3,$B$3671,$B$3673),Data!$BO:$BO,0)-2,12),IF(INDEX(Tab_DaBa[],MATCH(CONCATENATE(Liste!$C$3,$B$3671,$B$3673),Data!$BO:$BO,0)-2,33)&lt;&gt;"",INDEX(Tab_DaBa[],MATCH(CONCATENATE(Liste!$C$3,$B$3671,$B$3673),Data!$BO:$BO,0)-2,37),"")),"")</f>
        <v/>
      </c>
      <c r="E3684" s="37"/>
      <c r="F3684" s="35" t="str">
        <f ca="1">IFERROR(IF(AND(INDEX(Tab_DaBa[],MATCH(CONCATENATE(Liste!$C$3,$B$3671,$B$3673),Data!$BO:$BO,0)-2,38)&lt;&gt;"",INDEX(Tab_DaBa[],MATCH(CONCATENATE(Liste!$C$3,$B$3671,$B$3673),Data!$BO:$BO,0)-2,43)=0),INDEX(Tab_DaBa[],MATCH(CONCATENATE(Liste!$C$3,$B$3671,$B$3673),Data!$BO:$BO,0)-2,12),IF(INDEX(Tab_DaBa[],MATCH(CONCATENATE(Liste!$C$3,$B$3671,$B$3673),Data!$BO:$BO,0)-2,38)&lt;&gt;"",INDEX(Tab_DaBa[],MATCH(CONCATENATE(Liste!$C$3,$B$3671,$B$3673),Data!$BO:$BO,0)-2,42),"")),"")</f>
        <v/>
      </c>
      <c r="G3684" s="39"/>
      <c r="H3684" s="35" t="str">
        <f ca="1">IFERROR(IF(AND(INDEX(Tab_DaBa[],MATCH(CONCATENATE(Liste!$C$3,$B$3671,$B$3673),Data!$BO:$BO,0)-2,43)&lt;&gt;"",INDEX(Tab_DaBa[],MATCH(CONCATENATE(Liste!$C$3,$B$3671,$B$3673),Data!$BO:$BO,0)-2,48)=0),INDEX(Tab_DaBa[],MATCH(CONCATENATE(Liste!$C$3,$B$3671,$B$3673),Data!$BO:$BO,0)-2,12),IF(INDEX(Tab_DaBa[],MATCH(CONCATENATE(Liste!$C$3,$B$3671,$B$3673),Data!$BO:$BO,0)-2,43)&lt;&gt;"",INDEX(Tab_DaBa[],MATCH(CONCATENATE(Liste!$C$3,$B$3671,$B$3673),Data!$BO:$BO,0)-2,47),"")),"")</f>
        <v/>
      </c>
      <c r="I3684" s="39"/>
    </row>
    <row r="3685" spans="2:9" s="16" customFormat="1" ht="15.75">
      <c r="B3685" s="35" t="str">
        <f ca="1">IFERROR(IF(AND(INDEX(Tab_DaBa[],MATCH(CONCATENATE(Liste!$C$3,$B$3671,$B$3673),Data!$BO:$BO,0)-2,28)&lt;&gt;"",INDEX(Tab_DaBa[],MATCH(CONCATENATE(Liste!$C$3,$B$3671,$B$3673),Data!$BO:$BO,0)-2,33)=""),INDEX(Tab_DaBa[],MATCH(CONCATENATE(Liste!$C$3,$B$3671,$B$3673),Data!$BO:$BO,0)-2,13),IF(INDEX(Tab_DaBa[],MATCH(CONCATENATE(Liste!$C$3,$B$3671,$B$3673),Data!$BO:$BO,0)-2,28)&lt;&gt;"",INDEX(Tab_DaBa[],MATCH(CONCATENATE(Liste!$C$3,$B$3671,$B$3673),Data!$BO:$BO,0)-2,33),"")),"")</f>
        <v/>
      </c>
      <c r="C3685" s="38" t="str">
        <f ca="1">IF(D3683="","",4)</f>
        <v/>
      </c>
      <c r="D3685" s="35" t="str">
        <f ca="1">IFERROR(IF(AND(INDEX(Tab_DaBa[],MATCH(CONCATENATE(Liste!$C$3,$B$3671,$B$3673),Data!$BO:$BO,0)-2,33)&lt;&gt;"",INDEX(Tab_DaBa[],MATCH(CONCATENATE(Liste!$C$3,$B$3671,$B$3673),Data!$BO:$BO,0)-2,38)=""),INDEX(Tab_DaBa[],MATCH(CONCATENATE(Liste!$C$3,$B$3671,$B$3673),Data!$BO:$BO,0)-2,13),IF(INDEX(Tab_DaBa[],MATCH(CONCATENATE(Liste!$C$3,$B$3671,$B$3673),Data!$BO:$BO,0)-2,33)&lt;&gt;"",INDEX(Tab_DaBa[],MATCH(CONCATENATE(Liste!$C$3,$B$3671,$B$3673),Data!$BO:$BO,0)-2,38),"")),"")</f>
        <v/>
      </c>
      <c r="E3685" s="38" t="str">
        <f ca="1">IF(F3683="","",4)</f>
        <v/>
      </c>
      <c r="F3685" s="35" t="str">
        <f ca="1">IFERROR(IF(AND(INDEX(Tab_DaBa[],MATCH(CONCATENATE(Liste!$C$3,$B$3671,$B$3673),Data!$BO:$BO,0)-2,38)&lt;&gt;"",INDEX(Tab_DaBa[],MATCH(CONCATENATE(Liste!$C$3,$B$3671,$B$3673),Data!$BO:$BO,0)-2,43)=""),INDEX(Tab_DaBa[],MATCH(CONCATENATE(Liste!$C$3,$B$3671,$B$3673),Data!$BO:$BO,0)-2,13),IF(INDEX(Tab_DaBa[],MATCH(CONCATENATE(Liste!$C$3,$B$3671,$B$3673),Data!$BO:$BO,0)-2,38)&lt;&gt;"",INDEX(Tab_DaBa[],MATCH(CONCATENATE(Liste!$C$3,$B$3671,$B$3673),Data!$BO:$BO,0)-2,43),"")),"")</f>
        <v/>
      </c>
      <c r="G3685" s="38" t="str">
        <f ca="1">IF(H3683="","",4)</f>
        <v/>
      </c>
      <c r="H3685" s="35" t="str">
        <f ca="1">IFERROR(IF(AND(INDEX(Tab_DaBa[],MATCH(CONCATENATE(Liste!$C$3,$B$3671,$B$3673),Data!$BO:$BO,0)-2,43)&lt;&gt;"",INDEX(Tab_DaBa[],MATCH(CONCATENATE(Liste!$C$3,$B$3671,$B$3673),Data!$BO:$BO,0)-2,48)=""),INDEX(Tab_DaBa[],MATCH(CONCATENATE(Liste!$C$3,$B$3671,$B$3673),Data!$BO:$BO,0)-2,13),IF(INDEX(Tab_DaBa[],MATCH(CONCATENATE(Liste!$C$3,$B$3671,$B$3673),Data!$BO:$BO,0)-2,43)&lt;&gt;"",INDEX(Tab_DaBa[],MATCH(CONCATENATE(Liste!$C$3,$B$3671,$B$3673),Data!$BO:$BO,0)-2,48),"")),"")</f>
        <v/>
      </c>
      <c r="I3685" s="38" t="str">
        <f ca="1">IF(B3691="","",6)</f>
        <v/>
      </c>
    </row>
    <row r="3686" spans="2:9" s="16" customFormat="1" ht="15.75">
      <c r="B3686" s="35" t="str">
        <f ca="1">IFERROR(IF(AND(INDEX(Tab_DaBa[],MATCH(CONCATENATE(Liste!$C$3,$B$3671,$B$3673),Data!$BO:$BO,0)-2,28)&lt;&gt;"",INDEX(Tab_DaBa[],MATCH(CONCATENATE(Liste!$C$3,$B$3671,$B$3673),Data!$BO:$BO,0)-2,33)=""),"Performance Level: "&amp;INDEX(Tab_DaBa[],MATCH(CONCATENATE(Liste!$C$3,$B$3671,$B$3673),Data!$BO:$BO,0)-2,15),IF(INDEX(Tab_DaBa[],MATCH(CONCATENATE(Liste!$C$3,$B$3671,$B$3673),Data!$BO:$BO,0)-2,28)&lt;&gt;"","Performance Level: "&amp;INDEX(Tab_DaBa[],MATCH(CONCATENATE(Liste!$C$3,$B$3671,$B$3673),Data!$BO:$BO,0)-2,35),"")),"")</f>
        <v/>
      </c>
      <c r="C3686" s="39"/>
      <c r="D3686" s="35" t="str">
        <f ca="1">IFERROR(IF(AND(INDEX(Tab_DaBa[],MATCH(CONCATENATE(Liste!$C$3,$B$3671,$B$3673),Data!$BO:$BO,0)-2,33)&lt;&gt;"",INDEX(Tab_DaBa[],MATCH(CONCATENATE(Liste!$C$3,$B$3671,$B$3673),Data!$BO:$BO,0)-2,38)=""),"Performance Level: "&amp;INDEX(Tab_DaBa[],MATCH(CONCATENATE(Liste!$C$3,$B$3671,$B$3673),Data!$BO:$BO,0)-2,15),IF(INDEX(Tab_DaBa[],MATCH(CONCATENATE(Liste!$C$3,$B$3671,$B$3673),Data!$BO:$BO,0)-2,33)&lt;&gt;"","Performance Level: "&amp;INDEX(Tab_DaBa[],MATCH(CONCATENATE(Liste!$C$3,$B$3671,$B$3673),Data!$BO:$BO,0)-2,40),"")),"")</f>
        <v/>
      </c>
      <c r="E3686" s="37"/>
      <c r="F3686" s="35" t="str">
        <f ca="1">IFERROR(IF(AND(INDEX(Tab_DaBa[],MATCH(CONCATENATE(Liste!$C$3,$B$3671,$B$3673),Data!$BO:$BO,0)-2,38)&lt;&gt;"",INDEX(Tab_DaBa[],MATCH(CONCATENATE(Liste!$C$3,$B$3671,$B$3673),Data!$BO:$BO,0)-2,43)=""),"Performance Level: "&amp;INDEX(Tab_DaBa[],MATCH(CONCATENATE(Liste!$C$3,$B$3671,$B$3673),Data!$BO:$BO,0)-2,15),IF(INDEX(Tab_DaBa[],MATCH(CONCATENATE(Liste!$C$3,$B$3671,$B$3673),Data!$BO:$BO,0)-2,38)&lt;&gt;"","Performance Level: "&amp;INDEX(Tab_DaBa[],MATCH(CONCATENATE(Liste!$C$3,$B$3671,$B$3673),Data!$BO:$BO,0)-2,45),"")),"")</f>
        <v/>
      </c>
      <c r="G3686" s="39"/>
      <c r="H3686" s="35" t="str">
        <f ca="1">IFERROR(IF(AND(INDEX(Tab_DaBa[],MATCH(CONCATENATE(Liste!$C$3,$B$3671,$B$3673),Data!$BO:$BO,0)-2,43)&lt;&gt;"",INDEX(Tab_DaBa[],MATCH(CONCATENATE(Liste!$C$3,$B$3671,$B$3673),Data!$BO:$BO,0)-2,48)=""),"Performance Level: "&amp;INDEX(Tab_DaBa[],MATCH(CONCATENATE(Liste!$C$3,$B$3671,$B$3673),Data!$BO:$BO,0)-2,15),IF(INDEX(Tab_DaBa[],MATCH(CONCATENATE(Liste!$C$3,$B$3671,$B$3673),Data!$BO:$BO,0)-2,43)&lt;&gt;"","Performance Level: "&amp;INDEX(Tab_DaBa[],MATCH(CONCATENATE(Liste!$C$3,$B$3671,$B$3673),Data!$BO:$BO,0)-2,50),"")),"")</f>
        <v/>
      </c>
      <c r="I3686" s="39"/>
    </row>
    <row r="3687" spans="2:9" s="16" customFormat="1" ht="15.75">
      <c r="B3687" s="35" t="str">
        <f ca="1">IFERROR(IF(AND(INDEX(Tab_DaBa[],MATCH(CONCATENATE(Liste!$C$3,$B$3671,$B$3673),Data!$BO:$BO,0)-2,28)&lt;&gt;"",INDEX(Tab_DaBa[],MATCH(CONCATENATE(Liste!$C$3,$B$3671,$B$3673),Data!$BO:$BO,0)-2,33)=""),"PFH [1/h] = "&amp;10^9*INDEX(Tab_DaBa[],MATCH(CONCATENATE(Liste!$C$3,$B$3671,$B$3673),Data!$BO:$BO,0)-2,16)&amp;"E-9",IF(INDEX(Tab_DaBa[],MATCH(CONCATENATE(Liste!$C$3,$B$3671,$B$3673),Data!$BO:$BO,0)-2,28)&lt;&gt;"","PFH [1/h] = "&amp;10^9*INDEX(Tab_DaBa[],MATCH(CONCATENATE(Liste!$C$3,$B$3671,$B$3673),Data!$BO:$BO,0)-2,36)&amp;"E-9","")),"")</f>
        <v/>
      </c>
      <c r="C3687" s="39"/>
      <c r="D3687" s="35" t="str">
        <f ca="1">IFERROR(IF(AND(INDEX(Tab_DaBa[],MATCH(CONCATENATE(Liste!$C$3,$B$3671,$B$3673),Data!$BO:$BO,0)-2,33)&lt;&gt;"",INDEX(Tab_DaBa[],MATCH(CONCATENATE(Liste!$C$3,$B$3671,$B$3673),Data!$BO:$BO,0)-2,38)=""),"PFH [1/h] = "&amp;10^9*INDEX(Tab_DaBa[],MATCH(CONCATENATE(Liste!$C$3,$B$3671,$B$3673),Data!$BO:$BO,0)-2,16)&amp;"E-9",IF(INDEX(Tab_DaBa[],MATCH(CONCATENATE(Liste!$C$3,$B$3671,$B$3673),Data!$BO:$BO,0)-2,33)&lt;&gt;"","PFH [1/h] = "&amp;10^9*INDEX(Tab_DaBa[],MATCH(CONCATENATE(Liste!$C$3,$B$3671,$B$3673),Data!$BO:$BO,0)-2,41)&amp;"E-9","")),"")</f>
        <v/>
      </c>
      <c r="E3687" s="37"/>
      <c r="F3687" s="35" t="str">
        <f ca="1">IFERROR(IF(AND(INDEX(Tab_DaBa[],MATCH(CONCATENATE(Liste!$C$3,$B$3671,$B$3673),Data!$BO:$BO,0)-2,38)&lt;&gt;"",INDEX(Tab_DaBa[],MATCH(CONCATENATE(Liste!$C$3,$B$3671,$B$3673),Data!$BO:$BO,0)-2,43)=""),"PFH [1/h] = "&amp;10^9*INDEX(Tab_DaBa[],MATCH(CONCATENATE(Liste!$C$3,$B$3671,$B$3673),Data!$BO:$BO,0)-2,16)&amp;"E-9",IF(INDEX(Tab_DaBa[],MATCH(CONCATENATE(Liste!$C$3,$B$3671,$B$3673),Data!$BO:$BO,0)-2,38)&lt;&gt;"","PFH [1/h] = "&amp;10^9*INDEX(Tab_DaBa[],MATCH(CONCATENATE(Liste!$C$3,$B$3671,$B$3673),Data!$BO:$BO,0)-2,46)&amp;"E-9","")),"")</f>
        <v/>
      </c>
      <c r="G3687" s="39"/>
      <c r="H3687" s="35" t="str">
        <f ca="1">IFERROR(IF(AND(INDEX(Tab_DaBa[],MATCH(CONCATENATE(Liste!$C$3,$B$3671,$B$3673),Data!$BO:$BO,0)-2,43)&lt;&gt;"",INDEX(Tab_DaBa[],MATCH(CONCATENATE(Liste!$C$3,$B$3671,$B$3673),Data!$BO:$BO,0)-2,48)=""),"PFH [1/h] = "&amp;10^9*INDEX(Tab_DaBa[],MATCH(CONCATENATE(Liste!$C$3,$B$3671,$B$3673),Data!$BO:$BO,0)-2,16)&amp;"E-9",IF(INDEX(Tab_DaBa[],MATCH(CONCATENATE(Liste!$C$3,$B$3671,$B$3673),Data!$BO:$BO,0)-2,43)&lt;&gt;"","PFH [1/h] = "&amp;10^9*INDEX(Tab_DaBa[],MATCH(CONCATENATE(Liste!$C$3,$B$3671,$B$3673),Data!$BO:$BO,0)-2,51)&amp;"E-9","")),"")</f>
        <v/>
      </c>
      <c r="I3687" s="39"/>
    </row>
    <row r="3688" spans="2:9" s="16" customFormat="1">
      <c r="B3688" s="33"/>
      <c r="C3688" s="33"/>
      <c r="D3688" s="33"/>
      <c r="E3688" s="33"/>
      <c r="F3688" s="33"/>
      <c r="G3688" s="33"/>
      <c r="H3688" s="33"/>
      <c r="I3688" s="33"/>
    </row>
    <row r="3689" spans="2:9" s="16" customFormat="1" ht="15.75">
      <c r="B3689" s="38" t="str">
        <f ca="1">IF(B3691="","",6)</f>
        <v/>
      </c>
      <c r="C3689" s="33"/>
      <c r="D3689" s="38" t="str">
        <f ca="1">IF(B3691="","",3)</f>
        <v/>
      </c>
      <c r="E3689" s="33"/>
      <c r="F3689" s="38" t="str">
        <f ca="1">IF(B3691="","",3)</f>
        <v/>
      </c>
      <c r="G3689" s="33"/>
      <c r="H3689" s="38" t="str">
        <f ca="1">IF(B3691="","",3)</f>
        <v/>
      </c>
      <c r="I3689" s="33"/>
    </row>
    <row r="3690" spans="2:9" s="16" customFormat="1" ht="15.75">
      <c r="B3690" s="39"/>
      <c r="C3690" s="33"/>
      <c r="D3690" s="33"/>
      <c r="E3690" s="33"/>
      <c r="F3690" s="33"/>
      <c r="G3690" s="33"/>
      <c r="H3690" s="33"/>
      <c r="I3690" s="33"/>
    </row>
    <row r="3691" spans="2:9" s="16" customFormat="1" ht="15.75">
      <c r="B3691" s="35" t="str">
        <f ca="1">IFERROR(IF(AND(INDEX(Tab_DaBa[],MATCH(CONCATENATE(Liste!$C$3,$B$3671,$B$3673),Data!$BO:$BO,0)-2,48)&lt;&gt;"",INDEX(Tab_DaBa[],MATCH(CONCATENATE(Liste!$C$3,$B$3671,$B$3673),Data!$BO:$BO,0)-2,53)=0),INDEX(Tab_DaBa[],MATCH(CONCATENATE(Liste!$C$3,$B$3671,$B$3673),Data!$BO:$BO,0)-2,14),IF(INDEX(Tab_DaBa[],MATCH(CONCATENATE(Liste!$C$3,$B$3671,$B$3673),Data!$BO:$BO,0)-2,48)&lt;&gt;"",INDEX(Tab_DaBa[],MATCH(CONCATENATE(Liste!$C$3,$B$3671,$B$3673),Data!$BO:$BO,0)-2,54),"")),"")</f>
        <v/>
      </c>
      <c r="C3691" s="39"/>
      <c r="D3691" s="35" t="str">
        <f ca="1">IFERROR(IF(AND(INDEX(Tab_DaBa[],MATCH(CONCATENATE(Liste!$C$3,$B$3671,$B$3673),Data!$BO:$BO,0)-2,53)&lt;&gt;"",INDEX(Tab_DaBa[],MATCH(CONCATENATE(Liste!$C$3,$B$3671,$B$3673),Data!$BO:$BO,0)-2,58)=0),INDEX(Tab_DaBa[],MATCH(CONCATENATE(Liste!$C$3,$B$3671,$B$3673),Data!$BO:$BO,0)-2,14),IF(INDEX(Tab_DaBa[],MATCH(CONCATENATE(Liste!$C$3,$B$3671,$B$3673),Data!$BO:$BO,0)-2,53)&lt;&gt;"",INDEX(Tab_DaBa[],MATCH(CONCATENATE(Liste!$C$3,$B$3671,$B$3673),Data!$BO:$BO,0)-2,59),"")),"")</f>
        <v/>
      </c>
      <c r="E3691" s="33"/>
      <c r="F3691" s="35" t="str">
        <f ca="1">IFERROR(IF(AND(INDEX(Tab_DaBa[],MATCH(CONCATENATE(Liste!$C$3,$B$3671,$B$3673),Data!$BO:$BO,0)-2,58)&lt;&gt;"",INDEX(Tab_DaBa[],MATCH(CONCATENATE(Liste!$C$3,$B$3671,$B$3673),Data!$BO:$BO,0)-2,63)=0),INDEX(Tab_DaBa[],MATCH(CONCATENATE(Liste!$C$3,$B$3671,$B$3673),Data!$BO:$BO,0)-2,14),IF(INDEX(Tab_DaBa[],MATCH(CONCATENATE(Liste!$C$3,$B$3671,$B$3673),Data!$BO:$BO,0)-2,58)&lt;&gt;"",INDEX(Tab_DaBa[],MATCH(CONCATENATE(Liste!$C$3,$B$3671,$B$3673),Data!$BO:$BO,0)-2,64),"")),"")</f>
        <v/>
      </c>
      <c r="G3691" s="39"/>
      <c r="H3691" s="35" t="str">
        <f ca="1">IFERROR(IF(INDEX(Tab_DaBa[],MATCH(CONCATENATE(Liste!$C$3,$B$3671,$B$3673),Data!$BO:$BO,0)-2,63)&lt;&gt;"",INDEX(Tab_DaBa[],MATCH(CONCATENATE(Liste!$C$3,$B$3671,$B$3673),Data!$BO:$BO,0)-2,14),""),"")</f>
        <v/>
      </c>
    </row>
    <row r="3692" spans="2:9" s="16" customFormat="1" ht="15.75">
      <c r="B3692" s="35" t="str">
        <f ca="1">IFERROR(IF(AND(INDEX(Tab_DaBa[],MATCH(CONCATENATE(Liste!$C$3,$B$3671,$B$3673),Data!$BO:$BO,0)-2,48)&lt;&gt;"",INDEX(Tab_DaBa[],MATCH(CONCATENATE(Liste!$C$3,$B$3671,$B$3673),Data!$BO:$BO,0)-2,53)=0),INDEX(Tab_DaBa[],MATCH(CONCATENATE(Liste!$C$3,$B$3671,$B$3673),Data!$BO:$BO,0)-2,12),IF(INDEX(Tab_DaBa[],MATCH(CONCATENATE(Liste!$C$3,$B$3671,$B$3673),Data!$BO:$BO,0)-2,48)&lt;&gt;"",INDEX(Tab_DaBa[],MATCH(CONCATENATE(Liste!$C$3,$B$3671,$B$3673),Data!$BO:$BO,0)-2,52),"")),"")</f>
        <v/>
      </c>
      <c r="C3692" s="39"/>
      <c r="D3692" s="35" t="str">
        <f ca="1">IFERROR(IF(AND(INDEX(Tab_DaBa[],MATCH(CONCATENATE(Liste!$C$3,$B$3671,$B$3673),Data!$BO:$BO,0)-2,53)&lt;&gt;"",INDEX(Tab_DaBa[],MATCH(CONCATENATE(Liste!$C$3,$B$3671,$B$3673),Data!$BO:$BO,0)-2,58)=0),INDEX(Tab_DaBa[],MATCH(CONCATENATE(Liste!$C$3,$B$3671,$B$3673),Data!$BO:$BO,0)-2,12),IF(INDEX(Tab_DaBa[],MATCH(CONCATENATE(Liste!$C$3,$B$3671,$B$3673),Data!$BO:$BO,0)-2,53)&lt;&gt;"",INDEX(Tab_DaBa[],MATCH(CONCATENATE(Liste!$C$3,$B$3671,$B$3673),Data!$BO:$BO,0)-2,57),"")),"")</f>
        <v/>
      </c>
      <c r="E3692" s="37"/>
      <c r="F3692" s="35" t="str">
        <f ca="1">IFERROR(IF(AND(INDEX(Tab_DaBa[],MATCH(CONCATENATE(Liste!$C$3,$B$3671,$B$3673),Data!$BO:$BO,0)-2,58)&lt;&gt;"",INDEX(Tab_DaBa[],MATCH(CONCATENATE(Liste!$C$3,$B$3671,$B$3673),Data!$BO:$BO,0)-2,63)=0),INDEX(Tab_DaBa[],MATCH(CONCATENATE(Liste!$C$3,$B$3671,$B$3673),Data!$BO:$BO,0)-2,12),IF(INDEX(Tab_DaBa[],MATCH(CONCATENATE(Liste!$C$3,$B$3671,$B$3673),Data!$BO:$BO,0)-2,58)&lt;&gt;"",INDEX(Tab_DaBa[],MATCH(CONCATENATE(Liste!$C$3,$B$3671,$B$3673),Data!$BO:$BO,0)-2,62),"")),"")</f>
        <v/>
      </c>
      <c r="G3692" s="39"/>
      <c r="H3692" s="35" t="str">
        <f ca="1">IFERROR(IF(INDEX(Tab_DaBa[],MATCH(CONCATENATE(Liste!$C$3,$B$3671,$B$3673),Data!$BO:$BO,0)-2,63)&lt;&gt;"",INDEX(Tab_DaBa[],MATCH(CONCATENATE(Liste!$C$3,$B$3671,$B$3673),Data!$BO:$BO,0)-2,12),""),"")</f>
        <v/>
      </c>
    </row>
    <row r="3693" spans="2:9" s="16" customFormat="1" ht="15.75">
      <c r="B3693" s="35" t="str">
        <f ca="1">IFERROR(IF(AND(INDEX(Tab_DaBa[],MATCH(CONCATENATE(Liste!$C$3,$B$3671,$B$3673),Data!$BO:$BO,0)-2,48)&lt;&gt;"",INDEX(Tab_DaBa[],MATCH(CONCATENATE(Liste!$C$3,$B$3671,$B$3673),Data!$BO:$BO,0)-2,53)=""),INDEX(Tab_DaBa[],MATCH(CONCATENATE(Liste!$C$3,$B$3671,$B$3673),Data!$BO:$BO,0)-2,13),IF(INDEX(Tab_DaBa[],MATCH(CONCATENATE(Liste!$C$3,$B$3671,$B$3673),Data!$BO:$BO,0)-2,48)&lt;&gt;"",INDEX(Tab_DaBa[],MATCH(CONCATENATE(Liste!$C$3,$B$3671,$B$3673),Data!$BO:$BO,0)-2,53),"")),"")</f>
        <v/>
      </c>
      <c r="C3693" s="38" t="str">
        <f ca="1">IF(D3691="","",4)</f>
        <v/>
      </c>
      <c r="D3693" s="35" t="str">
        <f ca="1">IFERROR(IF(AND(INDEX(Tab_DaBa[],MATCH(CONCATENATE(Liste!$C$3,$B$3671,$B$3673),Data!$BO:$BO,0)-2,53)&lt;&gt;"",INDEX(Tab_DaBa[],MATCH(CONCATENATE(Liste!$C$3,$B$3671,$B$3673),Data!$BO:$BO,0)-2,58)=""),INDEX(Tab_DaBa[],MATCH(CONCATENATE(Liste!$C$3,$B$3671,$B$3673),Data!$BO:$BO,0)-2,13),IF(INDEX(Tab_DaBa[],MATCH(CONCATENATE(Liste!$C$3,$B$3671,$B$3673),Data!$BO:$BO,0)-2,53)&lt;&gt;"",INDEX(Tab_DaBa[],MATCH(CONCATENATE(Liste!$C$3,$B$3671,$B$3673),Data!$BO:$BO,0)-2,58),"")),"")</f>
        <v/>
      </c>
      <c r="E3693" s="38" t="str">
        <f ca="1">IF(F3691="","",4)</f>
        <v/>
      </c>
      <c r="F3693" s="35" t="str">
        <f ca="1">IFERROR(IF(AND(INDEX(Tab_DaBa[],MATCH(CONCATENATE(Liste!$C$3,$B$3671,$B$3673),Data!$BO:$BO,0)-2,58)&lt;&gt;"",INDEX(Tab_DaBa[],MATCH(CONCATENATE(Liste!$C$3,$B$3671,$B$3673),Data!$BO:$BO,0)-2,63)=""),INDEX(Tab_DaBa[],MATCH(CONCATENATE(Liste!$C$3,$B$3671,$B$3673),Data!$BO:$BO,0)-2,13),IF(INDEX(Tab_DaBa[],MATCH(CONCATENATE(Liste!$C$3,$B$3671,$B$3673),Data!$BO:$BO,0)-2,58)&lt;&gt;"",INDEX(Tab_DaBa[],MATCH(CONCATENATE(Liste!$C$3,$B$3671,$B$3673),Data!$BO:$BO,0)-2,63),"")),"")</f>
        <v/>
      </c>
      <c r="G3693" s="38" t="str">
        <f ca="1">IF(H3691="","",4)</f>
        <v/>
      </c>
      <c r="H3693" s="35" t="str">
        <f ca="1">IFERROR(IF(INDEX(Tab_DaBa[],MATCH(CONCATENATE(Liste!$C$3,$B$3671,$B$3673),Data!$BO:$BO,0)-2,63)&lt;&gt;"",INDEX(Tab_DaBa[],MATCH(CONCATENATE(Liste!$C$3,$B$3671,$B$3673),Data!$BO:$BO,0)-2,13),""),"")</f>
        <v/>
      </c>
    </row>
    <row r="3694" spans="2:9" s="16" customFormat="1" ht="15.75">
      <c r="B3694" s="35" t="str">
        <f ca="1">IFERROR(IF(AND(INDEX(Tab_DaBa[],MATCH(CONCATENATE(Liste!$C$3,$B$3671,$B$3673),Data!$BO:$BO,0)-2,48)&lt;&gt;"",INDEX(Tab_DaBa[],MATCH(CONCATENATE(Liste!$C$3,$B$3671,$B$3673),Data!$BO:$BO,0)-2,53)=""),"Performance Level: "&amp;INDEX(Tab_DaBa[],MATCH(CONCATENATE(Liste!$C$3,$B$3671,$B$3673),Data!$BO:$BO,0)-2,15),IF(INDEX(Tab_DaBa[],MATCH(CONCATENATE(Liste!$C$3,$B$3671,$B$3673),Data!$BO:$BO,0)-2,48)&lt;&gt;"","Performance Level: "&amp;INDEX(Tab_DaBa[],MATCH(CONCATENATE(Liste!$C$3,$B$3671,$B$3673),Data!$BO:$BO,0)-2,55),"")),"")</f>
        <v/>
      </c>
      <c r="C3694" s="39"/>
      <c r="D3694" s="35" t="str">
        <f ca="1">IFERROR(IF(AND(INDEX(Tab_DaBa[],MATCH(CONCATENATE(Liste!$C$3,$B$3671,$B$3673),Data!$BO:$BO,0)-2,53)&lt;&gt;"",INDEX(Tab_DaBa[],MATCH(CONCATENATE(Liste!$C$3,$B$3671,$B$3673),Data!$BO:$BO,0)-2,58)=""),"Performance Level: "&amp;INDEX(Tab_DaBa[],MATCH(CONCATENATE(Liste!$C$3,$B$3671,$B$3673),Data!$BO:$BO,0)-2,15),IF(INDEX(Tab_DaBa[],MATCH(CONCATENATE(Liste!$C$3,$B$3671,$B$3673),Data!$BO:$BO,0)-2,53)&lt;&gt;"","Performance Level: "&amp;INDEX(Tab_DaBa[],MATCH(CONCATENATE(Liste!$C$3,$B$3671,$B$3673),Data!$BO:$BO,0)-2,60),"")),"")</f>
        <v/>
      </c>
      <c r="E3694" s="37"/>
      <c r="F3694" s="35" t="str">
        <f ca="1">IFERROR(IF(AND(INDEX(Tab_DaBa[],MATCH(CONCATENATE(Liste!$C$3,$B$3671,$B$3673),Data!$BO:$BO,0)-2,58)&lt;&gt;"",INDEX(Tab_DaBa[],MATCH(CONCATENATE(Liste!$C$3,$B$3671,$B$3673),Data!$BO:$BO,0)-2,63)=""),"Performance Level: "&amp;INDEX(Tab_DaBa[],MATCH(CONCATENATE(Liste!$C$3,$B$3671,$B$3673),Data!$BO:$BO,0)-2,15),IF(INDEX(Tab_DaBa[],MATCH(CONCATENATE(Liste!$C$3,$B$3671,$B$3673),Data!$BO:$BO,0)-2,58)&lt;&gt;"","Performance Level: "&amp;INDEX(Tab_DaBa[],MATCH(CONCATENATE(Liste!$C$3,$B$3671,$B$3673),Data!$BO:$BO,0)-2,65),"")),"")</f>
        <v/>
      </c>
      <c r="G3694" s="39"/>
      <c r="H3694" s="35" t="str">
        <f ca="1">IFERROR(IF(INDEX(Tab_DaBa[],MATCH(CONCATENATE(Liste!$C$3,$B$3671,$B$3673),Data!$BO:$BO,0)-2,63)&lt;&gt;"","Performance Level: "&amp;INDEX(Tab_DaBa[],MATCH(CONCATENATE(Liste!$C$3,$B$3671,$B$3673),Data!$BO:$BO,0)-2,15),""),"")</f>
        <v/>
      </c>
    </row>
    <row r="3695" spans="2:9" s="16" customFormat="1" ht="15.75">
      <c r="B3695" s="35" t="str">
        <f ca="1">IFERROR(IF(AND(INDEX(Tab_DaBa[],MATCH(CONCATENATE(Liste!$C$3,$B$3671,$B$3673),Data!$BO:$BO,0)-2,48)&lt;&gt;"",INDEX(Tab_DaBa[],MATCH(CONCATENATE(Liste!$C$3,$B$3671,$B$3673),Data!$BO:$BO,0)-2,53)=""),"PFH [1/h] = "&amp;10^9*INDEX(Tab_DaBa[],MATCH(CONCATENATE(Liste!$C$3,$B$3671,$B$3673),Data!$BO:$BO,0)-2,16)&amp;"E-9",IF(INDEX(Tab_DaBa[],MATCH(CONCATENATE(Liste!$C$3,$B$3671,$B$3673),Data!$BO:$BO,0)-2,48)&lt;&gt;"","PFH [1/h] = "&amp;10^9*INDEX(Tab_DaBa[],MATCH(CONCATENATE(Liste!$C$3,$B$3671,$B$3673),Data!$BO:$BO,0)-2,56)&amp;"E-9","")),"")</f>
        <v/>
      </c>
      <c r="C3695" s="39"/>
      <c r="D3695" s="35" t="str">
        <f ca="1">IFERROR(IF(AND(INDEX(Tab_DaBa[],MATCH(CONCATENATE(Liste!$C$3,$B$3671,$B$3673),Data!$BO:$BO,0)-2,53)&lt;&gt;"",INDEX(Tab_DaBa[],MATCH(CONCATENATE(Liste!$C$3,$B$3671,$B$3673),Data!$BO:$BO,0)-2,58)=""),"PFH [1/h] = "&amp;10^9*INDEX(Tab_DaBa[],MATCH(CONCATENATE(Liste!$C$3,$B$3671,$B$3673),Data!$BO:$BO,0)-2,16)&amp;"E-9",IF(INDEX(Tab_DaBa[],MATCH(CONCATENATE(Liste!$C$3,$B$3671,$B$3673),Data!$BO:$BO,0)-2,53)&lt;&gt;"","PFH [1/h] = "&amp;10^9*INDEX(Tab_DaBa[],MATCH(CONCATENATE(Liste!$C$3,$B$3671,$B$3673),Data!$BO:$BO,0)-2,61)&amp;"E-9","")),"")</f>
        <v/>
      </c>
      <c r="E3695" s="37"/>
      <c r="F3695" s="35" t="str">
        <f ca="1">IFERROR(IF(AND(INDEX(Tab_DaBa[],MATCH(CONCATENATE(Liste!$C$3,$B$3671,$B$3673),Data!$BO:$BO,0)-2,58)&lt;&gt;"",INDEX(Tab_DaBa[],MATCH(CONCATENATE(Liste!$C$3,$B$3671,$B$3673),Data!$BO:$BO,0)-2,63)=""),"PFH [1/h] = "&amp;10^9*INDEX(Tab_DaBa[],MATCH(CONCATENATE(Liste!$C$3,$B$3671,$B$3673),Data!$BO:$BO,0)-2,16)&amp;"E-9",IF(INDEX(Tab_DaBa[],MATCH(CONCATENATE(Liste!$C$3,$B$3671,$B$3673),Data!$BO:$BO,0)-2,58)&lt;&gt;"","PFH [1/h] = "&amp;10^9*INDEX(Tab_DaBa[],MATCH(CONCATENATE(Liste!$C$3,$B$3671,$B$3673),Data!$BO:$BO,0)-2,66)&amp;"E-9","")),"")</f>
        <v/>
      </c>
      <c r="G3695" s="39"/>
      <c r="H3695" s="35" t="str">
        <f ca="1">IFERROR(IF(INDEX(Tab_DaBa[],MATCH(CONCATENATE(Liste!$C$3,$B$3671,$B$3673),Data!$BO:$BO,0)-2,63)&lt;&gt;"","PFH [1/h] = "&amp;10^9*INDEX(Tab_DaBa[],MATCH(CONCATENATE(Liste!$C$3,$B$3671,$B$3673),Data!$BO:$BO,0)-2,16)&amp;"E-9",""),"")</f>
        <v/>
      </c>
    </row>
    <row r="3696" spans="2:9" s="16" customFormat="1"/>
    <row r="3697" spans="2:9" s="16" customFormat="1">
      <c r="B3697" s="43" t="str">
        <f ca="1">IF(D3697="","","Erforderlich")</f>
        <v>Erforderlich</v>
      </c>
      <c r="D3697" s="44" t="str">
        <f ca="1">IFERROR("Performance Level: "&amp;INDEX(Tab_DaBa[],MATCH(CONCATENATE(Liste!$C$3,$B$3671,$B$3673),Data!$BO:$BO,0)-2,4),"")</f>
        <v>Performance Level: PLr_ges4_1</v>
      </c>
    </row>
    <row r="3698" spans="2:9" s="16" customFormat="1">
      <c r="B3698" s="45"/>
    </row>
    <row r="3699" spans="2:9" s="16" customFormat="1">
      <c r="B3699" s="46" t="str">
        <f ca="1">IF(D3699="","","Erreicht")</f>
        <v>Erreicht</v>
      </c>
      <c r="D3699" s="47" t="str">
        <f ca="1">IFERROR("Performance Level: "&amp;INDEX(Tab_DaBa[],MATCH(CONCATENATE(Liste!$C$3,$B$3671,$B$3673),Data!$BO:$BO,0)-2,5)&amp;"          PFH [1/h] = "&amp;10^9*INDEX(Tab_DaBa[],MATCH(CONCATENATE(Liste!$C$3,$B$3671,$B$3673),Data!$BO:$BO,0)-2,6)&amp;"E-9","")</f>
        <v>Performance Level: Pl_ges4_1          PFH [1/h] = 71,7E-9</v>
      </c>
    </row>
    <row r="3700" spans="2:9" s="16" customFormat="1"/>
    <row r="3701" spans="2:9" s="16" customFormat="1">
      <c r="B3701" s="42" t="str">
        <f ca="1">IFERROR(IF(2&gt;COUNTIF(Data!$BP:$BP,CONCATENATE(Liste!$C$3,$B$3671)),"",INDEX(Tab_DaBa[],MATCH(CONCATENATE(Liste!$C$3,$B$3671),Data!$BP:$BP,0)-1,3)),"")</f>
        <v>14.2 Test14 (E+2L+A)</v>
      </c>
    </row>
    <row r="3702" spans="2:9" s="16" customFormat="1"/>
    <row r="3703" spans="2:9" s="16" customFormat="1" ht="15.75">
      <c r="B3703" s="35" t="str">
        <f ca="1">IFERROR(INDEX(Tab_DaBa[],MATCH(CONCATENATE(Liste!$C$3,$B$3671,$B$3701),Data!$BO:$BO,0)-2,9),"")</f>
        <v>Eingang</v>
      </c>
      <c r="C3703" s="54"/>
      <c r="D3703" s="35" t="str">
        <f ca="1">IFERROR(IF(INDEX(Tab_DaBa[],MATCH(CONCATENATE(Liste!$C$3,$B$3671,$B$3701),Data!$BO:$BO,0)-2,18)=0,INDEX(Tab_DaBa[],MATCH(CONCATENATE(Liste!$C$3,$B$3671,$B$3701),Data!$BO:$BO,0)-2,14),INDEX(Tab_DaBa[],MATCH(CONCATENATE(Liste!$C$3,$B$3671,$B$3701),Data!$BO:$BO,0)-2,19)),"")</f>
        <v>Logik 01</v>
      </c>
      <c r="E3703" s="33"/>
      <c r="F3703" s="35" t="str">
        <f ca="1">IFERROR(IF(AND(INDEX(Tab_DaBa[],MATCH(CONCATENATE(Liste!$C$3,$B$3671,$B$3701),Data!$BO:$BO,0)-2,18)&lt;&gt;"",INDEX(Tab_DaBa[],MATCH(CONCATENATE(Liste!$C$3,$B$3671,$B$3701),Data!$BO:$BO,0)-2,23)=0),INDEX(Tab_DaBa[],MATCH(CONCATENATE(Liste!$C$3,$B$3671,$B$3701),Data!$BO:$BO,0)-2,14),IF(INDEX(Tab_DaBa[],MATCH(CONCATENATE(Liste!$C$3,$B$3671,$B$3701),Data!$BO:$BO,0)-2,23)&lt;&gt;"",INDEX(Tab_DaBa[],MATCH(CONCATENATE(Liste!$C$3,$B$3671,$B$3701),Data!$BO:$BO,0)-2,24),"")),"")</f>
        <v>Logik 02</v>
      </c>
      <c r="G3703" s="39"/>
      <c r="H3703" s="35" t="str">
        <f ca="1">IFERROR(IF(AND(INDEX(Tab_DaBa[],MATCH(CONCATENATE(Liste!$C$3,$B$3671,$B$3701),Data!$BO:$BO,0)-2,23)&lt;&gt;"",INDEX(Tab_DaBa[],MATCH(CONCATENATE(Liste!$C$3,$B$3671,$B$3701),Data!$BO:$BO,0)-2,28)=0),INDEX(Tab_DaBa[],MATCH(CONCATENATE(Liste!$C$3,$B$3671,$B$3701),Data!$BO:$BO,0)-2,14),IF(INDEX(Tab_DaBa[],MATCH(CONCATENATE(Liste!$C$3,$B$3671,$B$3701),Data!$BO:$BO,0)-2,23)&lt;&gt;"",INDEX(Tab_DaBa[],MATCH(CONCATENATE(Liste!$C$3,$B$3671,$B$3701),Data!$BO:$BO,0)-2,29),"")),"")</f>
        <v>Ausgang</v>
      </c>
      <c r="I3703" s="39"/>
    </row>
    <row r="3704" spans="2:9" s="16" customFormat="1" ht="15.75">
      <c r="B3704" s="35" t="str">
        <f ca="1">IFERROR(INDEX(Tab_DaBa[],MATCH(CONCATENATE(Liste!$C$3,$B$3671,$B$3701),Data!$BO:$BO,0)-2,7),"")</f>
        <v>eeee-33_2</v>
      </c>
      <c r="C3704" s="54"/>
      <c r="D3704" s="35" t="str">
        <f ca="1">IFERROR(IF(INDEX(Tab_DaBa[],MATCH(CONCATENATE(Liste!$C$3,$B$3671,$B$3701),Data!$BO:$BO,0)-2,18)="",INDEX(Tab_DaBa[],MATCH(CONCATENATE(Liste!$C$3,$B$3671,$B$3701),Data!$BO:$BO,0)-2,12),INDEX(Tab_DaBa[],MATCH(CONCATENATE(Liste!$C$3,$B$3671,$B$3701),Data!$BO:$BO,0)-2,17)),"")</f>
        <v>Log01-04_02</v>
      </c>
      <c r="E3704" s="36"/>
      <c r="F3704" s="35" t="str">
        <f ca="1">IFERROR(IF(AND(INDEX(Tab_DaBa[],MATCH(CONCATENATE(Liste!$C$3,$B$3671,$B$3701),Data!$BO:$BO,0)-2,18)&lt;&gt;"",INDEX(Tab_DaBa[],MATCH(CONCATENATE(Liste!$C$3,$B$3671,$B$3701),Data!$BO:$BO,0)-2,23)=0),INDEX(Tab_DaBa[],MATCH(CONCATENATE(Liste!$C$3,$B$3671,$B$3701),Data!$BO:$BO,0)-2,12),IF(INDEX(Tab_DaBa[],MATCH(CONCATENATE(Liste!$C$3,$B$3671,$B$3701),Data!$BO:$BO,0)-2,23)&lt;&gt;"",INDEX(Tab_DaBa[],MATCH(CONCATENATE(Liste!$C$3,$B$3671,$B$3701),Data!$BO:$BO,0)-2,22),"")),"")</f>
        <v>Lo04-04_02</v>
      </c>
      <c r="G3704" s="39"/>
      <c r="H3704" s="35" t="str">
        <f ca="1">IFERROR(IF(AND(INDEX(Tab_DaBa[],MATCH(CONCATENATE(Liste!$C$3,$B$3671,$B$3701),Data!$BO:$BO,0)-2,23)&lt;&gt;"",INDEX(Tab_DaBa[],MATCH(CONCATENATE(Liste!$C$3,$B$3671,$B$3701),Data!$BO:$BO,0)-2,28)=0),INDEX(Tab_DaBa[],MATCH(CONCATENATE(Liste!$C$3,$B$3671,$B$3701),Data!$BO:$BO,0)-2,12),IF(INDEX(Tab_DaBa[],MATCH(CONCATENATE(Liste!$C$3,$B$3671,$B$3701),Data!$BO:$BO,0)-2,23)&lt;&gt;"",INDEX(Tab_DaBa[],MATCH(CONCATENATE(Liste!$C$3,$B$3671,$B$3701),Data!$BO:$BO,0)-2,27),"")),"")</f>
        <v>aaaa-44_2</v>
      </c>
      <c r="I3704" s="39"/>
    </row>
    <row r="3705" spans="2:9" s="16" customFormat="1" ht="15.75">
      <c r="B3705" s="35" t="str">
        <f ca="1">IFERROR(INDEX(Tab_DaBa[],MATCH(CONCATENATE(Liste!$C$3,$B$3671,$B$3701),Data!$BO:$BO,0)-2,8),"")</f>
        <v>Bez_Ein4_2</v>
      </c>
      <c r="C3705" s="40">
        <f ca="1">IF(D3703="","",4)</f>
        <v>4</v>
      </c>
      <c r="D3705" s="35" t="str">
        <f ca="1">IFERROR(IF(INDEX(Tab_DaBa[],MATCH(CONCATENATE(Liste!$C$3,$B$3671,$B$3701),Data!$BO:$BO,0)-2,18)="",INDEX(Tab_DaBa[],MATCH(CONCATENATE(Liste!$C$3,$B$3671,$B$3701),Data!$BO:$BO,0)-2,13),INDEX(Tab_DaBa[],MATCH(CONCATENATE(Liste!$C$3,$B$3671,$B$3701),Data!$BO:$BO,0)-2,18)),"")</f>
        <v>Bez_Log01_04_02</v>
      </c>
      <c r="E3705" s="40">
        <f ca="1">IF(F3703="","",4)</f>
        <v>4</v>
      </c>
      <c r="F3705" s="35" t="str">
        <f ca="1">IFERROR(IF(AND(INDEX(Tab_DaBa[],MATCH(CONCATENATE(Liste!$C$3,$B$3671,$B$3701),Data!$BO:$BO,0)-2,18)&lt;&gt;"",INDEX(Tab_DaBa[],MATCH(CONCATENATE(Liste!$C$3,$B$3671,$B$3701),Data!$BO:$BO,0)-2,23)=""),INDEX(Tab_DaBa[],MATCH(CONCATENATE(Liste!$C$3,$B$3671,$B$3701),Data!$BO:$BO,0)-2,13),IF(INDEX(Tab_DaBa[],MATCH(CONCATENATE(Liste!$C$3,$B$3671,$B$3701),Data!$BO:$BO,0)-2,23)&lt;&gt;"",INDEX(Tab_DaBa[],MATCH(CONCATENATE(Liste!$C$3,$B$3671,$B$3701),Data!$BO:$BO,0)-2,23),"")),"")</f>
        <v>Bez_Lo04_02</v>
      </c>
      <c r="G3705" s="38">
        <f ca="1">IF(H3703="","",4)</f>
        <v>4</v>
      </c>
      <c r="H3705" s="35" t="str">
        <f ca="1">IFERROR(IF(AND(INDEX(Tab_DaBa[],MATCH(CONCATENATE(Liste!$C$3,$B$3671,$B$3701),Data!$BO:$BO,0)-2,23)&lt;&gt;"",INDEX(Tab_DaBa[],MATCH(CONCATENATE(Liste!$C$3,$B$3671,$B$3701),Data!$BO:$BO,0)-2,28)=""),INDEX(Tab_DaBa[],MATCH(CONCATENATE(Liste!$C$3,$B$3671,$B$3701),Data!$BO:$BO,0)-2,13),IF(INDEX(Tab_DaBa[],MATCH(CONCATENATE(Liste!$C$3,$B$3671,$B$3701),Data!$BO:$BO,0)-2,23)&lt;&gt;"",INDEX(Tab_DaBa[],MATCH(CONCATENATE(Liste!$C$3,$B$3671,$B$3701),Data!$BO:$BO,0)-2,28),"")),"")</f>
        <v>Bez_Aus4_2</v>
      </c>
      <c r="I3705" s="38" t="str">
        <f ca="1">IF(B3711="","",6)</f>
        <v/>
      </c>
    </row>
    <row r="3706" spans="2:9" s="16" customFormat="1" ht="15.75">
      <c r="B3706" s="35" t="str">
        <f ca="1">IFERROR("Performance Level: "&amp;INDEX(Tab_DaBa[],MATCH(CONCATENATE(Liste!$C$3,$B$3671,$B$3701),Data!$BO:$BO,0)-2,10),"")</f>
        <v>Performance Level: PL_Ein4_2</v>
      </c>
      <c r="C3706" s="54"/>
      <c r="D3706" s="35" t="str">
        <f ca="1">IFERROR(IF(INDEX(Tab_DaBa[],MATCH(CONCATENATE(Liste!$C$3,$B$3671,$B$3701),Data!$BO:$BO,0)-2,18)="","Performance Level: "&amp;INDEX(Tab_DaBa[],MATCH(CONCATENATE(Liste!$C$3,$B$3671,$B$3701),Data!$BO:$BO,0)-2,15),"Performance Level: "&amp;INDEX(Tab_DaBa[],MATCH(CONCATENATE(Liste!$C$3,$B$3671,$B$3701),Data!$BO:$BO,0)-2,20)),"")</f>
        <v>Performance Level: PL_Log01_04_02</v>
      </c>
      <c r="E3706" s="36"/>
      <c r="F3706" s="35" t="str">
        <f ca="1">IFERROR(IF(AND(INDEX(Tab_DaBa[],MATCH(CONCATENATE(Liste!$C$3,$B$3671,$B$3701),Data!$BO:$BO,0)-2,18)&lt;&gt;"",INDEX(Tab_DaBa[],MATCH(CONCATENATE(Liste!$C$3,$B$3671,$B$3701),Data!$BO:$BO,0)-2,23)=""),"Performance Level: "&amp;INDEX(Tab_DaBa[],MATCH(CONCATENATE(Liste!$C$3,$B$3671,$B$3701),Data!$BO:$BO,0)-2,15),IF(INDEX(Tab_DaBa[],MATCH(CONCATENATE(Liste!$C$3,$B$3671,$B$3701),Data!$BO:$BO,0)-2,23)&lt;&gt;"","Performance Level: "&amp;INDEX(Tab_DaBa[],MATCH(CONCATENATE(Liste!$C$3,$B$3671,$B$3701),Data!$BO:$BO,0)-2,25),"")),"")</f>
        <v>Performance Level: PL_Lo04_02</v>
      </c>
      <c r="G3706" s="39"/>
      <c r="H3706" s="35" t="str">
        <f ca="1">IFERROR(IF(AND(INDEX(Tab_DaBa[],MATCH(CONCATENATE(Liste!$C$3,$B$3671,$B$3701),Data!$BO:$BO,0)-2,23)&lt;&gt;"",INDEX(Tab_DaBa[],MATCH(CONCATENATE(Liste!$C$3,$B$3671,$B$3701),Data!$BO:$BO,0)-2,28)=""),"Performance Level: "&amp;INDEX(Tab_DaBa[],MATCH(CONCATENATE(Liste!$C$3,$B$3671,$B$3701),Data!$BO:$BO,0)-2,15),IF(INDEX(Tab_DaBa[],MATCH(CONCATENATE(Liste!$C$3,$B$3671,$B$3701),Data!$BO:$BO,0)-2,23)&lt;&gt;"","Performance Level: "&amp;INDEX(Tab_DaBa[],MATCH(CONCATENATE(Liste!$C$3,$B$3671,$B$3701),Data!$BO:$BO,0)-2,30),"")),"")</f>
        <v>Performance Level: PL_Aus4_2</v>
      </c>
      <c r="I3706" s="38"/>
    </row>
    <row r="3707" spans="2:9" s="16" customFormat="1" ht="15.75">
      <c r="B3707" s="53" t="str">
        <f ca="1">IFERROR("PFH [1/h] = "&amp;10^9*INDEX(Tab_DaBa[],MATCH(CONCATENATE(Liste!$C$3,$B$3671,$B$3701),Data!$BO:$BO,0)-2,11)&amp;"E-9","")</f>
        <v>PFH [1/h] = 42,9E-9</v>
      </c>
      <c r="C3707" s="54"/>
      <c r="D3707" s="35" t="str">
        <f ca="1">IFERROR(IF(INDEX(Tab_DaBa[],MATCH(CONCATENATE(Liste!$C$3,$B$3671,$B$3701),Data!$BO:$BO,0)-2,18)="","PFH [1/h] = "&amp;10^9*INDEX(Tab_DaBa[],MATCH(CONCATENATE(Liste!$C$3,$B$3671,$B$3701),Data!$BO:$BO,0)-2,16)&amp;"E-9","PFH [1/h] = "&amp;10^9*INDEX(Tab_DaBa[],MATCH(CONCATENATE(Liste!$C$3,$B$3671,$B$3701),Data!$BO:$BO,0)-2,21)&amp;"E-9"),"")</f>
        <v>PFH [1/h] = 4,19E-9</v>
      </c>
      <c r="E3707" s="36"/>
      <c r="F3707" s="35" t="str">
        <f ca="1">IFERROR(IF(AND(INDEX(Tab_DaBa[],MATCH(CONCATENATE(Liste!$C$3,$B$3671,$B$3701),Data!$BO:$BO,0)-2,18)&lt;&gt;"",INDEX(Tab_DaBa[],MATCH(CONCATENATE(Liste!$C$3,$B$3671,$B$3701),Data!$BO:$BO,0)-2,23)=""),"PFH [1/h] = "&amp;10^9*INDEX(Tab_DaBa[],MATCH(CONCATENATE(Liste!$C$3,$B$3671,$B$3701),Data!$BO:$BO,0)-2,16)&amp;"E-9",IF(INDEX(Tab_DaBa[],MATCH(CONCATENATE(Liste!$C$3,$B$3671,$B$3701),Data!$BO:$BO,0)-2,23)&lt;&gt;"","PFH [1/h] = "&amp;10^9*INDEX(Tab_DaBa[],MATCH(CONCATENATE(Liste!$C$3,$B$3671,$B$3701),Data!$BO:$BO,0)-2,26)&amp;"E-9","")),"")</f>
        <v>PFH [1/h] = 4,19E-9</v>
      </c>
      <c r="G3707" s="39"/>
      <c r="H3707" s="35" t="str">
        <f ca="1">IFERROR(IF(AND(INDEX(Tab_DaBa[],MATCH(CONCATENATE(Liste!$C$3,$B$3671,$B$3701),Data!$BO:$BO,0)-2,23)&lt;&gt;"",INDEX(Tab_DaBa[],MATCH(CONCATENATE(Liste!$C$3,$B$3671,$B$3701),Data!$BO:$BO,0)-2,28)=""),"PFH [1/h] = "&amp;10^9*INDEX(Tab_DaBa[],MATCH(CONCATENATE(Liste!$C$3,$B$3671,$B$3701),Data!$BO:$BO,0)-2,16)&amp;"E-9",IF(INDEX(Tab_DaBa[],MATCH(CONCATENATE(Liste!$C$3,$B$3671,$B$3701),Data!$BO:$BO,0)-2,23)&lt;&gt;"","PFH [1/h] = "&amp;10^9*INDEX(Tab_DaBa[],MATCH(CONCATENATE(Liste!$C$3,$B$3671,$B$3701),Data!$BO:$BO,0)-2,31)&amp;"E-9","")),"")</f>
        <v>PFH [1/h] = 24,7E-9</v>
      </c>
      <c r="I3707" s="39"/>
    </row>
    <row r="3708" spans="2:9" s="16" customFormat="1">
      <c r="B3708" s="33"/>
      <c r="C3708" s="34"/>
      <c r="D3708" s="33"/>
      <c r="E3708" s="33"/>
      <c r="F3708" s="33"/>
      <c r="G3708" s="33"/>
      <c r="H3708" s="33"/>
      <c r="I3708" s="33"/>
    </row>
    <row r="3709" spans="2:9" s="16" customFormat="1" ht="15.75">
      <c r="B3709" s="38" t="str">
        <f ca="1">IF(B3711="","",6)</f>
        <v/>
      </c>
      <c r="C3709" s="34"/>
      <c r="D3709" s="38" t="str">
        <f ca="1">IF(B3711="","",3)</f>
        <v/>
      </c>
      <c r="E3709" s="33"/>
      <c r="F3709" s="38" t="str">
        <f ca="1">IF(B3711="","",3)</f>
        <v/>
      </c>
      <c r="G3709" s="33"/>
      <c r="H3709" s="38" t="str">
        <f ca="1">IF(B3711="","",3)</f>
        <v/>
      </c>
      <c r="I3709" s="33"/>
    </row>
    <row r="3710" spans="2:9" s="16" customFormat="1" ht="15.75">
      <c r="B3710" s="39"/>
      <c r="C3710" s="33"/>
      <c r="D3710" s="33"/>
      <c r="E3710" s="33"/>
      <c r="F3710" s="33"/>
      <c r="G3710" s="33"/>
      <c r="H3710" s="33"/>
      <c r="I3710" s="33"/>
    </row>
    <row r="3711" spans="2:9" s="16" customFormat="1" ht="15.75">
      <c r="B3711" s="35" t="str">
        <f ca="1">IFERROR(IF(AND(INDEX(Tab_DaBa[],MATCH(CONCATENATE(Liste!$C$3,$B$3671,$B$3701),Data!$BO:$BO,0)-2,28)&lt;&gt;"",INDEX(Tab_DaBa[],MATCH(CONCATENATE(Liste!$C$3,$B$3671,$B$3701),Data!$BO:$BO,0)-2,33)=0),INDEX(Tab_DaBa[],MATCH(CONCATENATE(Liste!$C$3,$B$3671,$B$3701),Data!$BO:$BO,0)-2,14),IF(INDEX(Tab_DaBa[],MATCH(CONCATENATE(Liste!$C$3,$B$3671,$B$3701),Data!$BO:$BO,0)-2,28)&lt;&gt;"",INDEX(Tab_DaBa[],MATCH(CONCATENATE(Liste!$C$3,$B$3671,$B$3701),Data!$BO:$BO,0)-2,34),"")),"")</f>
        <v/>
      </c>
      <c r="C3711" s="39"/>
      <c r="D3711" s="35" t="str">
        <f ca="1">IFERROR(IF(AND(INDEX(Tab_DaBa[],MATCH(CONCATENATE(Liste!$C$3,$B$3671,$B$3701),Data!$BO:$BO,0)-2,33)&lt;&gt;"",INDEX(Tab_DaBa[],MATCH(CONCATENATE(Liste!$C$3,$B$3671,$B$3701),Data!$BO:$BO,0)-2,38)=0),INDEX(Tab_DaBa[],MATCH(CONCATENATE(Liste!$C$3,$B$3671,$B$3701),Data!$BO:$BO,0)-2,14),IF(INDEX(Tab_DaBa[],MATCH(CONCATENATE(Liste!$C$3,$B$3671,$B$3701),Data!$BO:$BO,0)-2,33)&lt;&gt;"",INDEX(Tab_DaBa[],MATCH(CONCATENATE(Liste!$C$3,$B$3671,$B$3701),Data!$BO:$BO,0)-2,39),"")),"")</f>
        <v/>
      </c>
      <c r="E3711" s="33"/>
      <c r="F3711" s="35" t="str">
        <f ca="1">IFERROR(IF(AND(INDEX(Tab_DaBa[],MATCH(CONCATENATE(Liste!$C$3,$B$3671,$B$3701),Data!$BO:$BO,0)-2,38)&lt;&gt;"",INDEX(Tab_DaBa[],MATCH(CONCATENATE(Liste!$C$3,$B$3671,$B$3701),Data!$BO:$BO,0)-2,43)=0),INDEX(Tab_DaBa[],MATCH(CONCATENATE(Liste!$C$3,$B$3671,$B$3701),Data!$BO:$BO,0)-2,14),IF(INDEX(Tab_DaBa[],MATCH(CONCATENATE(Liste!$C$3,$B$3671,$B$3701),Data!$BO:$BO,0)-2,38)&lt;&gt;"",INDEX(Tab_DaBa[],MATCH(CONCATENATE(Liste!$C$3,$B$3671,$B$3701),Data!$BO:$BO,0)-2,44),"")),"")</f>
        <v/>
      </c>
      <c r="G3711" s="39"/>
      <c r="H3711" s="35" t="str">
        <f ca="1">IFERROR(IF(AND(INDEX(Tab_DaBa[],MATCH(CONCATENATE(Liste!$C$3,$B$3671,$B$3701),Data!$BO:$BO,0)-2,43)&lt;&gt;"",INDEX(Tab_DaBa[],MATCH(CONCATENATE(Liste!$C$3,$B$3671,$B$3701),Data!$BO:$BO,0)-2,48)=0),INDEX(Tab_DaBa[],MATCH(CONCATENATE(Liste!$C$3,$B$3671,$B$3701),Data!$BO:$BO,0)-2,14),IF(INDEX(Tab_DaBa[],MATCH(CONCATENATE(Liste!$C$3,$B$3671,$B$3701),Data!$BO:$BO,0)-2,43)&lt;&gt;"",INDEX(Tab_DaBa[],MATCH(CONCATENATE(Liste!$C$3,$B$3671,$B$3701),Data!$BO:$BO,0)-2,49),"")),"")</f>
        <v/>
      </c>
      <c r="I3711" s="39"/>
    </row>
    <row r="3712" spans="2:9" s="16" customFormat="1" ht="15.75">
      <c r="B3712" s="35" t="str">
        <f ca="1">IFERROR(IF(AND(INDEX(Tab_DaBa[],MATCH(CONCATENATE(Liste!$C$3,$B$3671,$B$3701),Data!$BO:$BO,0)-2,28)&lt;&gt;"",INDEX(Tab_DaBa[],MATCH(CONCATENATE(Liste!$C$3,$B$3671,$B$3701),Data!$BO:$BO,0)-2,33)=0),INDEX(Tab_DaBa[],MATCH(CONCATENATE(Liste!$C$3,$B$3671,$B$3701),Data!$BO:$BO,0)-2,12),IF(INDEX(Tab_DaBa[],MATCH(CONCATENATE(Liste!$C$3,$B$3671,$B$3701),Data!$BO:$BO,0)-2,28)&lt;&gt;"",INDEX(Tab_DaBa[],MATCH(CONCATENATE(Liste!$C$3,$B$3671,$B$3701),Data!$BO:$BO,0)-2,32),"")),"")</f>
        <v/>
      </c>
      <c r="C3712" s="39"/>
      <c r="D3712" s="35" t="str">
        <f ca="1">IFERROR(IF(AND(INDEX(Tab_DaBa[],MATCH(CONCATENATE(Liste!$C$3,$B$3671,$B$3701),Data!$BO:$BO,0)-2,33)&lt;&gt;"",INDEX(Tab_DaBa[],MATCH(CONCATENATE(Liste!$C$3,$B$3671,$B$3701),Data!$BO:$BO,0)-2,38)=0),INDEX(Tab_DaBa[],MATCH(CONCATENATE(Liste!$C$3,$B$3671,$B$3701),Data!$BO:$BO,0)-2,12),IF(INDEX(Tab_DaBa[],MATCH(CONCATENATE(Liste!$C$3,$B$3671,$B$3701),Data!$BO:$BO,0)-2,33)&lt;&gt;"",INDEX(Tab_DaBa[],MATCH(CONCATENATE(Liste!$C$3,$B$3671,$B$3701),Data!$BO:$BO,0)-2,37),"")),"")</f>
        <v/>
      </c>
      <c r="E3712" s="37"/>
      <c r="F3712" s="35" t="str">
        <f ca="1">IFERROR(IF(AND(INDEX(Tab_DaBa[],MATCH(CONCATENATE(Liste!$C$3,$B$3671,$B$3701),Data!$BO:$BO,0)-2,38)&lt;&gt;"",INDEX(Tab_DaBa[],MATCH(CONCATENATE(Liste!$C$3,$B$3671,$B$3701),Data!$BO:$BO,0)-2,43)=0),INDEX(Tab_DaBa[],MATCH(CONCATENATE(Liste!$C$3,$B$3671,$B$3701),Data!$BO:$BO,0)-2,12),IF(INDEX(Tab_DaBa[],MATCH(CONCATENATE(Liste!$C$3,$B$3671,$B$3701),Data!$BO:$BO,0)-2,38)&lt;&gt;"",INDEX(Tab_DaBa[],MATCH(CONCATENATE(Liste!$C$3,$B$3671,$B$3701),Data!$BO:$BO,0)-2,42),"")),"")</f>
        <v/>
      </c>
      <c r="G3712" s="39"/>
      <c r="H3712" s="35" t="str">
        <f ca="1">IFERROR(IF(AND(INDEX(Tab_DaBa[],MATCH(CONCATENATE(Liste!$C$3,$B$3671,$B$3701),Data!$BO:$BO,0)-2,43)&lt;&gt;"",INDEX(Tab_DaBa[],MATCH(CONCATENATE(Liste!$C$3,$B$3671,$B$3701),Data!$BO:$BO,0)-2,48)=0),INDEX(Tab_DaBa[],MATCH(CONCATENATE(Liste!$C$3,$B$3671,$B$3701),Data!$BO:$BO,0)-2,12),IF(INDEX(Tab_DaBa[],MATCH(CONCATENATE(Liste!$C$3,$B$3671,$B$3701),Data!$BO:$BO,0)-2,43)&lt;&gt;"",INDEX(Tab_DaBa[],MATCH(CONCATENATE(Liste!$C$3,$B$3671,$B$3701),Data!$BO:$BO,0)-2,47),"")),"")</f>
        <v/>
      </c>
      <c r="I3712" s="39"/>
    </row>
    <row r="3713" spans="2:9" s="16" customFormat="1" ht="15.75">
      <c r="B3713" s="35" t="str">
        <f ca="1">IFERROR(IF(AND(INDEX(Tab_DaBa[],MATCH(CONCATENATE(Liste!$C$3,$B$3671,$B$3701),Data!$BO:$BO,0)-2,28)&lt;&gt;"",INDEX(Tab_DaBa[],MATCH(CONCATENATE(Liste!$C$3,$B$3671,$B$3701),Data!$BO:$BO,0)-2,33)=""),INDEX(Tab_DaBa[],MATCH(CONCATENATE(Liste!$C$3,$B$3671,$B$3701),Data!$BO:$BO,0)-2,13),IF(INDEX(Tab_DaBa[],MATCH(CONCATENATE(Liste!$C$3,$B$3671,$B$3701),Data!$BO:$BO,0)-2,28)&lt;&gt;"",INDEX(Tab_DaBa[],MATCH(CONCATENATE(Liste!$C$3,$B$3671,$B$3701),Data!$BO:$BO,0)-2,33),"")),"")</f>
        <v/>
      </c>
      <c r="C3713" s="38" t="str">
        <f ca="1">IF(D3711="","",4)</f>
        <v/>
      </c>
      <c r="D3713" s="35" t="str">
        <f ca="1">IFERROR(IF(AND(INDEX(Tab_DaBa[],MATCH(CONCATENATE(Liste!$C$3,$B$3671,$B$3701),Data!$BO:$BO,0)-2,33)&lt;&gt;"",INDEX(Tab_DaBa[],MATCH(CONCATENATE(Liste!$C$3,$B$3671,$B$3701),Data!$BO:$BO,0)-2,38)=""),INDEX(Tab_DaBa[],MATCH(CONCATENATE(Liste!$C$3,$B$3671,$B$3701),Data!$BO:$BO,0)-2,13),IF(INDEX(Tab_DaBa[],MATCH(CONCATENATE(Liste!$C$3,$B$3671,$B$3701),Data!$BO:$BO,0)-2,33)&lt;&gt;"",INDEX(Tab_DaBa[],MATCH(CONCATENATE(Liste!$C$3,$B$3671,$B$3701),Data!$BO:$BO,0)-2,38),"")),"")</f>
        <v/>
      </c>
      <c r="E3713" s="38" t="str">
        <f ca="1">IF(F3711="","",4)</f>
        <v/>
      </c>
      <c r="F3713" s="35" t="str">
        <f ca="1">IFERROR(IF(AND(INDEX(Tab_DaBa[],MATCH(CONCATENATE(Liste!$C$3,$B$3671,$B$3701),Data!$BO:$BO,0)-2,38)&lt;&gt;"",INDEX(Tab_DaBa[],MATCH(CONCATENATE(Liste!$C$3,$B$3671,$B$3701),Data!$BO:$BO,0)-2,43)=""),INDEX(Tab_DaBa[],MATCH(CONCATENATE(Liste!$C$3,$B$3671,$B$3701),Data!$BO:$BO,0)-2,13),IF(INDEX(Tab_DaBa[],MATCH(CONCATENATE(Liste!$C$3,$B$3671,$B$3701),Data!$BO:$BO,0)-2,38)&lt;&gt;"",INDEX(Tab_DaBa[],MATCH(CONCATENATE(Liste!$C$3,$B$3671,$B$3701),Data!$BO:$BO,0)-2,43),"")),"")</f>
        <v/>
      </c>
      <c r="G3713" s="38" t="str">
        <f ca="1">IF(H3711="","",4)</f>
        <v/>
      </c>
      <c r="H3713" s="35" t="str">
        <f ca="1">IFERROR(IF(AND(INDEX(Tab_DaBa[],MATCH(CONCATENATE(Liste!$C$3,$B$3671,$B$3701),Data!$BO:$BO,0)-2,43)&lt;&gt;"",INDEX(Tab_DaBa[],MATCH(CONCATENATE(Liste!$C$3,$B$3671,$B$3701),Data!$BO:$BO,0)-2,48)=""),INDEX(Tab_DaBa[],MATCH(CONCATENATE(Liste!$C$3,$B$3671,$B$3701),Data!$BO:$BO,0)-2,13),IF(INDEX(Tab_DaBa[],MATCH(CONCATENATE(Liste!$C$3,$B$3671,$B$3701),Data!$BO:$BO,0)-2,43)&lt;&gt;"",INDEX(Tab_DaBa[],MATCH(CONCATENATE(Liste!$C$3,$B$3671,$B$3701),Data!$BO:$BO,0)-2,48),"")),"")</f>
        <v/>
      </c>
      <c r="I3713" s="38" t="str">
        <f ca="1">IF(B3719="","",6)</f>
        <v/>
      </c>
    </row>
    <row r="3714" spans="2:9" s="16" customFormat="1" ht="15.75">
      <c r="B3714" s="35" t="str">
        <f ca="1">IFERROR(IF(AND(INDEX(Tab_DaBa[],MATCH(CONCATENATE(Liste!$C$3,$B$3671,$B$3701),Data!$BO:$BO,0)-2,28)&lt;&gt;"",INDEX(Tab_DaBa[],MATCH(CONCATENATE(Liste!$C$3,$B$3671,$B$3701),Data!$BO:$BO,0)-2,33)=""),"Performance Level: "&amp;INDEX(Tab_DaBa[],MATCH(CONCATENATE(Liste!$C$3,$B$3671,$B$3701),Data!$BO:$BO,0)-2,15),IF(INDEX(Tab_DaBa[],MATCH(CONCATENATE(Liste!$C$3,$B$3671,$B$3701),Data!$BO:$BO,0)-2,28)&lt;&gt;"","Performance Level: "&amp;INDEX(Tab_DaBa[],MATCH(CONCATENATE(Liste!$C$3,$B$3671,$B$3701),Data!$BO:$BO,0)-2,35),"")),"")</f>
        <v/>
      </c>
      <c r="C3714" s="39"/>
      <c r="D3714" s="35" t="str">
        <f ca="1">IFERROR(IF(AND(INDEX(Tab_DaBa[],MATCH(CONCATENATE(Liste!$C$3,$B$3671,$B$3701),Data!$BO:$BO,0)-2,33)&lt;&gt;"",INDEX(Tab_DaBa[],MATCH(CONCATENATE(Liste!$C$3,$B$3671,$B$3701),Data!$BO:$BO,0)-2,38)=""),"Performance Level: "&amp;INDEX(Tab_DaBa[],MATCH(CONCATENATE(Liste!$C$3,$B$3671,$B$3701),Data!$BO:$BO,0)-2,15),IF(INDEX(Tab_DaBa[],MATCH(CONCATENATE(Liste!$C$3,$B$3671,$B$3701),Data!$BO:$BO,0)-2,33)&lt;&gt;"","Performance Level: "&amp;INDEX(Tab_DaBa[],MATCH(CONCATENATE(Liste!$C$3,$B$3671,$B$3701),Data!$BO:$BO,0)-2,40),"")),"")</f>
        <v/>
      </c>
      <c r="E3714" s="37"/>
      <c r="F3714" s="35" t="str">
        <f ca="1">IFERROR(IF(AND(INDEX(Tab_DaBa[],MATCH(CONCATENATE(Liste!$C$3,$B$3671,$B$3701),Data!$BO:$BO,0)-2,38)&lt;&gt;"",INDEX(Tab_DaBa[],MATCH(CONCATENATE(Liste!$C$3,$B$3671,$B$3701),Data!$BO:$BO,0)-2,43)=""),"Performance Level: "&amp;INDEX(Tab_DaBa[],MATCH(CONCATENATE(Liste!$C$3,$B$3671,$B$3701),Data!$BO:$BO,0)-2,15),IF(INDEX(Tab_DaBa[],MATCH(CONCATENATE(Liste!$C$3,$B$3671,$B$3701),Data!$BO:$BO,0)-2,38)&lt;&gt;"","Performance Level: "&amp;INDEX(Tab_DaBa[],MATCH(CONCATENATE(Liste!$C$3,$B$3671,$B$3701),Data!$BO:$BO,0)-2,45),"")),"")</f>
        <v/>
      </c>
      <c r="G3714" s="39"/>
      <c r="H3714" s="35" t="str">
        <f ca="1">IFERROR(IF(AND(INDEX(Tab_DaBa[],MATCH(CONCATENATE(Liste!$C$3,$B$3671,$B$3701),Data!$BO:$BO,0)-2,43)&lt;&gt;"",INDEX(Tab_DaBa[],MATCH(CONCATENATE(Liste!$C$3,$B$3671,$B$3701),Data!$BO:$BO,0)-2,48)=""),"Performance Level: "&amp;INDEX(Tab_DaBa[],MATCH(CONCATENATE(Liste!$C$3,$B$3671,$B$3701),Data!$BO:$BO,0)-2,15),IF(INDEX(Tab_DaBa[],MATCH(CONCATENATE(Liste!$C$3,$B$3671,$B$3701),Data!$BO:$BO,0)-2,43)&lt;&gt;"","Performance Level: "&amp;INDEX(Tab_DaBa[],MATCH(CONCATENATE(Liste!$C$3,$B$3671,$B$3701),Data!$BO:$BO,0)-2,50),"")),"")</f>
        <v/>
      </c>
      <c r="I3714" s="39"/>
    </row>
    <row r="3715" spans="2:9" s="16" customFormat="1" ht="15.75">
      <c r="B3715" s="35" t="str">
        <f ca="1">IFERROR(IF(AND(INDEX(Tab_DaBa[],MATCH(CONCATENATE(Liste!$C$3,$B$3671,$B$3701),Data!$BO:$BO,0)-2,28)&lt;&gt;"",INDEX(Tab_DaBa[],MATCH(CONCATENATE(Liste!$C$3,$B$3671,$B$3701),Data!$BO:$BO,0)-2,33)=""),"PFH [1/h] = "&amp;10^9*INDEX(Tab_DaBa[],MATCH(CONCATENATE(Liste!$C$3,$B$3671,$B$3701),Data!$BO:$BO,0)-2,16)&amp;"E-9",IF(INDEX(Tab_DaBa[],MATCH(CONCATENATE(Liste!$C$3,$B$3671,$B$3701),Data!$BO:$BO,0)-2,28)&lt;&gt;"","PFH [1/h] = "&amp;10^9*INDEX(Tab_DaBa[],MATCH(CONCATENATE(Liste!$C$3,$B$3671,$B$3701),Data!$BO:$BO,0)-2,36)&amp;"E-9","")),"")</f>
        <v/>
      </c>
      <c r="C3715" s="39"/>
      <c r="D3715" s="35" t="str">
        <f ca="1">IFERROR(IF(AND(INDEX(Tab_DaBa[],MATCH(CONCATENATE(Liste!$C$3,$B$3671,$B$3701),Data!$BO:$BO,0)-2,33)&lt;&gt;"",INDEX(Tab_DaBa[],MATCH(CONCATENATE(Liste!$C$3,$B$3671,$B$3701),Data!$BO:$BO,0)-2,38)=""),"PFH [1/h] = "&amp;10^9*INDEX(Tab_DaBa[],MATCH(CONCATENATE(Liste!$C$3,$B$3671,$B$3701),Data!$BO:$BO,0)-2,16)&amp;"E-9",IF(INDEX(Tab_DaBa[],MATCH(CONCATENATE(Liste!$C$3,$B$3671,$B$3701),Data!$BO:$BO,0)-2,33)&lt;&gt;"","PFH [1/h] = "&amp;10^9*INDEX(Tab_DaBa[],MATCH(CONCATENATE(Liste!$C$3,$B$3671,$B$3701),Data!$BO:$BO,0)-2,41)&amp;"E-9","")),"")</f>
        <v/>
      </c>
      <c r="E3715" s="37"/>
      <c r="F3715" s="35" t="str">
        <f ca="1">IFERROR(IF(AND(INDEX(Tab_DaBa[],MATCH(CONCATENATE(Liste!$C$3,$B$3671,$B$3701),Data!$BO:$BO,0)-2,38)&lt;&gt;"",INDEX(Tab_DaBa[],MATCH(CONCATENATE(Liste!$C$3,$B$3671,$B$3701),Data!$BO:$BO,0)-2,43)=""),"PFH [1/h] = "&amp;10^9*INDEX(Tab_DaBa[],MATCH(CONCATENATE(Liste!$C$3,$B$3671,$B$3701),Data!$BO:$BO,0)-2,16)&amp;"E-9",IF(INDEX(Tab_DaBa[],MATCH(CONCATENATE(Liste!$C$3,$B$3671,$B$3701),Data!$BO:$BO,0)-2,38)&lt;&gt;"","PFH [1/h] = "&amp;10^9*INDEX(Tab_DaBa[],MATCH(CONCATENATE(Liste!$C$3,$B$3671,$B$3701),Data!$BO:$BO,0)-2,46)&amp;"E-9","")),"")</f>
        <v/>
      </c>
      <c r="G3715" s="39"/>
      <c r="H3715" s="35" t="str">
        <f ca="1">IFERROR(IF(AND(INDEX(Tab_DaBa[],MATCH(CONCATENATE(Liste!$C$3,$B$3671,$B$3701),Data!$BO:$BO,0)-2,43)&lt;&gt;"",INDEX(Tab_DaBa[],MATCH(CONCATENATE(Liste!$C$3,$B$3671,$B$3701),Data!$BO:$BO,0)-2,48)=""),"PFH [1/h] = "&amp;10^9*INDEX(Tab_DaBa[],MATCH(CONCATENATE(Liste!$C$3,$B$3671,$B$3701),Data!$BO:$BO,0)-2,16)&amp;"E-9",IF(INDEX(Tab_DaBa[],MATCH(CONCATENATE(Liste!$C$3,$B$3671,$B$3701),Data!$BO:$BO,0)-2,43)&lt;&gt;"","PFH [1/h] = "&amp;10^9*INDEX(Tab_DaBa[],MATCH(CONCATENATE(Liste!$C$3,$B$3671,$B$3701),Data!$BO:$BO,0)-2,51)&amp;"E-9","")),"")</f>
        <v/>
      </c>
      <c r="I3715" s="39"/>
    </row>
    <row r="3716" spans="2:9" s="16" customFormat="1">
      <c r="B3716" s="33"/>
      <c r="C3716" s="33"/>
      <c r="D3716" s="33"/>
      <c r="E3716" s="33"/>
      <c r="F3716" s="33"/>
      <c r="G3716" s="33"/>
      <c r="H3716" s="33"/>
      <c r="I3716" s="33"/>
    </row>
    <row r="3717" spans="2:9" s="16" customFormat="1" ht="15.75">
      <c r="B3717" s="38" t="str">
        <f ca="1">IF(B3719="","",6)</f>
        <v/>
      </c>
      <c r="C3717" s="33"/>
      <c r="D3717" s="38" t="str">
        <f ca="1">IF(B3719="","",3)</f>
        <v/>
      </c>
      <c r="E3717" s="33"/>
      <c r="F3717" s="38" t="str">
        <f ca="1">IF(B3719="","",3)</f>
        <v/>
      </c>
      <c r="G3717" s="33"/>
      <c r="H3717" s="38" t="str">
        <f ca="1">IF(B3719="","",3)</f>
        <v/>
      </c>
      <c r="I3717" s="33"/>
    </row>
    <row r="3718" spans="2:9" s="16" customFormat="1" ht="15.75">
      <c r="B3718" s="39"/>
      <c r="C3718" s="33"/>
      <c r="D3718" s="33"/>
      <c r="E3718" s="33"/>
      <c r="F3718" s="33"/>
      <c r="G3718" s="33"/>
      <c r="H3718" s="33"/>
      <c r="I3718" s="33"/>
    </row>
    <row r="3719" spans="2:9" s="16" customFormat="1" ht="15.75">
      <c r="B3719" s="35" t="str">
        <f ca="1">IFERROR(IF(AND(INDEX(Tab_DaBa[],MATCH(CONCATENATE(Liste!$C$3,$B$3671,$B$3701),Data!$BO:$BO,0)-2,48)&lt;&gt;"",INDEX(Tab_DaBa[],MATCH(CONCATENATE(Liste!$C$3,$B$3671,$B$3701),Data!$BO:$BO,0)-2,53)=0),INDEX(Tab_DaBa[],MATCH(CONCATENATE(Liste!$C$3,$B$3671,$B$3701),Data!$BO:$BO,0)-2,14),IF(INDEX(Tab_DaBa[],MATCH(CONCATENATE(Liste!$C$3,$B$3671,$B$3701),Data!$BO:$BO,0)-2,48)&lt;&gt;"",INDEX(Tab_DaBa[],MATCH(CONCATENATE(Liste!$C$3,$B$3671,$B$3701),Data!$BO:$BO,0)-2,54),"")),"")</f>
        <v/>
      </c>
      <c r="C3719" s="39"/>
      <c r="D3719" s="35" t="str">
        <f ca="1">IFERROR(IF(AND(INDEX(Tab_DaBa[],MATCH(CONCATENATE(Liste!$C$3,$B$3671,$B$3701),Data!$BO:$BO,0)-2,53)&lt;&gt;"",INDEX(Tab_DaBa[],MATCH(CONCATENATE(Liste!$C$3,$B$3671,$B$3701),Data!$BO:$BO,0)-2,58)=0),INDEX(Tab_DaBa[],MATCH(CONCATENATE(Liste!$C$3,$B$3671,$B$3701),Data!$BO:$BO,0)-2,14),IF(INDEX(Tab_DaBa[],MATCH(CONCATENATE(Liste!$C$3,$B$3671,$B$3701),Data!$BO:$BO,0)-2,53)&lt;&gt;"",INDEX(Tab_DaBa[],MATCH(CONCATENATE(Liste!$C$3,$B$3671,$B$3701),Data!$BO:$BO,0)-2,59),"")),"")</f>
        <v/>
      </c>
      <c r="E3719" s="33"/>
      <c r="F3719" s="35" t="str">
        <f ca="1">IFERROR(IF(AND(INDEX(Tab_DaBa[],MATCH(CONCATENATE(Liste!$C$3,$B$3671,$B$3701),Data!$BO:$BO,0)-2,58)&lt;&gt;"",INDEX(Tab_DaBa[],MATCH(CONCATENATE(Liste!$C$3,$B$3671,$B$3701),Data!$BO:$BO,0)-2,63)=0),INDEX(Tab_DaBa[],MATCH(CONCATENATE(Liste!$C$3,$B$3671,$B$3701),Data!$BO:$BO,0)-2,14),IF(INDEX(Tab_DaBa[],MATCH(CONCATENATE(Liste!$C$3,$B$3671,$B$3701),Data!$BO:$BO,0)-2,58)&lt;&gt;"",INDEX(Tab_DaBa[],MATCH(CONCATENATE(Liste!$C$3,$B$3671,$B$3701),Data!$BO:$BO,0)-2,64),"")),"")</f>
        <v/>
      </c>
      <c r="G3719" s="39"/>
      <c r="H3719" s="35" t="str">
        <f ca="1">IFERROR(IF(INDEX(Tab_DaBa[],MATCH(CONCATENATE(Liste!$C$3,$B$3671,$B$3701),Data!$BO:$BO,0)-2,63)&lt;&gt;"",INDEX(Tab_DaBa[],MATCH(CONCATENATE(Liste!$C$3,$B$3671,$B$3701),Data!$BO:$BO,0)-2,14),""),"")</f>
        <v/>
      </c>
    </row>
    <row r="3720" spans="2:9" s="16" customFormat="1" ht="15.75">
      <c r="B3720" s="35" t="str">
        <f ca="1">IFERROR(IF(AND(INDEX(Tab_DaBa[],MATCH(CONCATENATE(Liste!$C$3,$B$3671,$B$3701),Data!$BO:$BO,0)-2,48)&lt;&gt;"",INDEX(Tab_DaBa[],MATCH(CONCATENATE(Liste!$C$3,$B$3671,$B$3701),Data!$BO:$BO,0)-2,53)=0),INDEX(Tab_DaBa[],MATCH(CONCATENATE(Liste!$C$3,$B$3671,$B$3701),Data!$BO:$BO,0)-2,12),IF(INDEX(Tab_DaBa[],MATCH(CONCATENATE(Liste!$C$3,$B$3671,$B$3701),Data!$BO:$BO,0)-2,48)&lt;&gt;"",INDEX(Tab_DaBa[],MATCH(CONCATENATE(Liste!$C$3,$B$3671,$B$3701),Data!$BO:$BO,0)-2,52),"")),"")</f>
        <v/>
      </c>
      <c r="C3720" s="39"/>
      <c r="D3720" s="35" t="str">
        <f ca="1">IFERROR(IF(AND(INDEX(Tab_DaBa[],MATCH(CONCATENATE(Liste!$C$3,$B$3671,$B$3701),Data!$BO:$BO,0)-2,53)&lt;&gt;"",INDEX(Tab_DaBa[],MATCH(CONCATENATE(Liste!$C$3,$B$3671,$B$3701),Data!$BO:$BO,0)-2,58)=0),INDEX(Tab_DaBa[],MATCH(CONCATENATE(Liste!$C$3,$B$3671,$B$3701),Data!$BO:$BO,0)-2,12),IF(INDEX(Tab_DaBa[],MATCH(CONCATENATE(Liste!$C$3,$B$3671,$B$3701),Data!$BO:$BO,0)-2,53)&lt;&gt;"",INDEX(Tab_DaBa[],MATCH(CONCATENATE(Liste!$C$3,$B$3671,$B$3701),Data!$BO:$BO,0)-2,57),"")),"")</f>
        <v/>
      </c>
      <c r="E3720" s="37"/>
      <c r="F3720" s="35" t="str">
        <f ca="1">IFERROR(IF(AND(INDEX(Tab_DaBa[],MATCH(CONCATENATE(Liste!$C$3,$B$3671,$B$3701),Data!$BO:$BO,0)-2,58)&lt;&gt;"",INDEX(Tab_DaBa[],MATCH(CONCATENATE(Liste!$C$3,$B$3671,$B$3701),Data!$BO:$BO,0)-2,63)=0),INDEX(Tab_DaBa[],MATCH(CONCATENATE(Liste!$C$3,$B$3671,$B$3701),Data!$BO:$BO,0)-2,12),IF(INDEX(Tab_DaBa[],MATCH(CONCATENATE(Liste!$C$3,$B$3671,$B$3701),Data!$BO:$BO,0)-2,58)&lt;&gt;"",INDEX(Tab_DaBa[],MATCH(CONCATENATE(Liste!$C$3,$B$3671,$B$3701),Data!$BO:$BO,0)-2,62),"")),"")</f>
        <v/>
      </c>
      <c r="G3720" s="39"/>
      <c r="H3720" s="35" t="str">
        <f ca="1">IFERROR(IF(INDEX(Tab_DaBa[],MATCH(CONCATENATE(Liste!$C$3,$B$3671,$B$3701),Data!$BO:$BO,0)-2,63)&lt;&gt;"",INDEX(Tab_DaBa[],MATCH(CONCATENATE(Liste!$C$3,$B$3671,$B$3701),Data!$BO:$BO,0)-2,12),""),"")</f>
        <v/>
      </c>
    </row>
    <row r="3721" spans="2:9" s="16" customFormat="1" ht="15.75">
      <c r="B3721" s="35" t="str">
        <f ca="1">IFERROR(IF(AND(INDEX(Tab_DaBa[],MATCH(CONCATENATE(Liste!$C$3,$B$3671,$B$3701),Data!$BO:$BO,0)-2,48)&lt;&gt;"",INDEX(Tab_DaBa[],MATCH(CONCATENATE(Liste!$C$3,$B$3671,$B$3701),Data!$BO:$BO,0)-2,53)=""),INDEX(Tab_DaBa[],MATCH(CONCATENATE(Liste!$C$3,$B$3671,$B$3701),Data!$BO:$BO,0)-2,13),IF(INDEX(Tab_DaBa[],MATCH(CONCATENATE(Liste!$C$3,$B$3671,$B$3701),Data!$BO:$BO,0)-2,48)&lt;&gt;"",INDEX(Tab_DaBa[],MATCH(CONCATENATE(Liste!$C$3,$B$3671,$B$3701),Data!$BO:$BO,0)-2,53),"")),"")</f>
        <v/>
      </c>
      <c r="C3721" s="38" t="str">
        <f ca="1">IF(D3719="","",4)</f>
        <v/>
      </c>
      <c r="D3721" s="35" t="str">
        <f ca="1">IFERROR(IF(AND(INDEX(Tab_DaBa[],MATCH(CONCATENATE(Liste!$C$3,$B$3671,$B$3701),Data!$BO:$BO,0)-2,53)&lt;&gt;"",INDEX(Tab_DaBa[],MATCH(CONCATENATE(Liste!$C$3,$B$3671,$B$3701),Data!$BO:$BO,0)-2,58)=""),INDEX(Tab_DaBa[],MATCH(CONCATENATE(Liste!$C$3,$B$3671,$B$3701),Data!$BO:$BO,0)-2,13),IF(INDEX(Tab_DaBa[],MATCH(CONCATENATE(Liste!$C$3,$B$3671,$B$3701),Data!$BO:$BO,0)-2,53)&lt;&gt;"",INDEX(Tab_DaBa[],MATCH(CONCATENATE(Liste!$C$3,$B$3671,$B$3701),Data!$BO:$BO,0)-2,58),"")),"")</f>
        <v/>
      </c>
      <c r="E3721" s="38" t="str">
        <f ca="1">IF(F3719="","",4)</f>
        <v/>
      </c>
      <c r="F3721" s="35" t="str">
        <f ca="1">IFERROR(IF(AND(INDEX(Tab_DaBa[],MATCH(CONCATENATE(Liste!$C$3,$B$3671,$B$3701),Data!$BO:$BO,0)-2,58)&lt;&gt;"",INDEX(Tab_DaBa[],MATCH(CONCATENATE(Liste!$C$3,$B$3671,$B$3701),Data!$BO:$BO,0)-2,63)=""),INDEX(Tab_DaBa[],MATCH(CONCATENATE(Liste!$C$3,$B$3671,$B$3701),Data!$BO:$BO,0)-2,13),IF(INDEX(Tab_DaBa[],MATCH(CONCATENATE(Liste!$C$3,$B$3671,$B$3701),Data!$BO:$BO,0)-2,58)&lt;&gt;"",INDEX(Tab_DaBa[],MATCH(CONCATENATE(Liste!$C$3,$B$3671,$B$3701),Data!$BO:$BO,0)-2,63),"")),"")</f>
        <v/>
      </c>
      <c r="G3721" s="38" t="str">
        <f ca="1">IF(H3719="","",4)</f>
        <v/>
      </c>
      <c r="H3721" s="35" t="str">
        <f ca="1">IFERROR(IF(INDEX(Tab_DaBa[],MATCH(CONCATENATE(Liste!$C$3,$B$3671,$B$3701),Data!$BO:$BO,0)-2,63)&lt;&gt;"",INDEX(Tab_DaBa[],MATCH(CONCATENATE(Liste!$C$3,$B$3671,$B$3701),Data!$BO:$BO,0)-2,13),""),"")</f>
        <v/>
      </c>
    </row>
    <row r="3722" spans="2:9" s="16" customFormat="1" ht="15.75">
      <c r="B3722" s="35" t="str">
        <f ca="1">IFERROR(IF(AND(INDEX(Tab_DaBa[],MATCH(CONCATENATE(Liste!$C$3,$B$3671,$B$3701),Data!$BO:$BO,0)-2,48)&lt;&gt;"",INDEX(Tab_DaBa[],MATCH(CONCATENATE(Liste!$C$3,$B$3671,$B$3701),Data!$BO:$BO,0)-2,53)=""),"Performance Level: "&amp;INDEX(Tab_DaBa[],MATCH(CONCATENATE(Liste!$C$3,$B$3671,$B$3701),Data!$BO:$BO,0)-2,15),IF(INDEX(Tab_DaBa[],MATCH(CONCATENATE(Liste!$C$3,$B$3671,$B$3701),Data!$BO:$BO,0)-2,48)&lt;&gt;"","Performance Level: "&amp;INDEX(Tab_DaBa[],MATCH(CONCATENATE(Liste!$C$3,$B$3671,$B$3701),Data!$BO:$BO,0)-2,55),"")),"")</f>
        <v/>
      </c>
      <c r="C3722" s="39"/>
      <c r="D3722" s="35" t="str">
        <f ca="1">IFERROR(IF(AND(INDEX(Tab_DaBa[],MATCH(CONCATENATE(Liste!$C$3,$B$3671,$B$3701),Data!$BO:$BO,0)-2,53)&lt;&gt;"",INDEX(Tab_DaBa[],MATCH(CONCATENATE(Liste!$C$3,$B$3671,$B$3701),Data!$BO:$BO,0)-2,58)=""),"Performance Level: "&amp;INDEX(Tab_DaBa[],MATCH(CONCATENATE(Liste!$C$3,$B$3671,$B$3701),Data!$BO:$BO,0)-2,15),IF(INDEX(Tab_DaBa[],MATCH(CONCATENATE(Liste!$C$3,$B$3671,$B$3701),Data!$BO:$BO,0)-2,53)&lt;&gt;"","Performance Level: "&amp;INDEX(Tab_DaBa[],MATCH(CONCATENATE(Liste!$C$3,$B$3671,$B$3701),Data!$BO:$BO,0)-2,60),"")),"")</f>
        <v/>
      </c>
      <c r="E3722" s="37"/>
      <c r="F3722" s="35" t="str">
        <f ca="1">IFERROR(IF(AND(INDEX(Tab_DaBa[],MATCH(CONCATENATE(Liste!$C$3,$B$3671,$B$3701),Data!$BO:$BO,0)-2,58)&lt;&gt;"",INDEX(Tab_DaBa[],MATCH(CONCATENATE(Liste!$C$3,$B$3671,$B$3701),Data!$BO:$BO,0)-2,63)=""),"Performance Level: "&amp;INDEX(Tab_DaBa[],MATCH(CONCATENATE(Liste!$C$3,$B$3671,$B$3701),Data!$BO:$BO,0)-2,15),IF(INDEX(Tab_DaBa[],MATCH(CONCATENATE(Liste!$C$3,$B$3671,$B$3701),Data!$BO:$BO,0)-2,58)&lt;&gt;"","Performance Level: "&amp;INDEX(Tab_DaBa[],MATCH(CONCATENATE(Liste!$C$3,$B$3671,$B$3701),Data!$BO:$BO,0)-2,65),"")),"")</f>
        <v/>
      </c>
      <c r="G3722" s="39"/>
      <c r="H3722" s="35" t="str">
        <f ca="1">IFERROR(IF(INDEX(Tab_DaBa[],MATCH(CONCATENATE(Liste!$C$3,$B$3671,$B$3701),Data!$BO:$BO,0)-2,63)&lt;&gt;"","Performance Level: "&amp;INDEX(Tab_DaBa[],MATCH(CONCATENATE(Liste!$C$3,$B$3671,$B$3701),Data!$BO:$BO,0)-2,15),""),"")</f>
        <v/>
      </c>
    </row>
    <row r="3723" spans="2:9" s="16" customFormat="1" ht="15.75">
      <c r="B3723" s="35" t="str">
        <f ca="1">IFERROR(IF(AND(INDEX(Tab_DaBa[],MATCH(CONCATENATE(Liste!$C$3,$B$3671,$B$3701),Data!$BO:$BO,0)-2,48)&lt;&gt;"",INDEX(Tab_DaBa[],MATCH(CONCATENATE(Liste!$C$3,$B$3671,$B$3701),Data!$BO:$BO,0)-2,53)=""),"PFH [1/h] = "&amp;10^9*INDEX(Tab_DaBa[],MATCH(CONCATENATE(Liste!$C$3,$B$3671,$B$3701),Data!$BO:$BO,0)-2,16)&amp;"E-9",IF(INDEX(Tab_DaBa[],MATCH(CONCATENATE(Liste!$C$3,$B$3671,$B$3701),Data!$BO:$BO,0)-2,48)&lt;&gt;"","PFH [1/h] = "&amp;10^9*INDEX(Tab_DaBa[],MATCH(CONCATENATE(Liste!$C$3,$B$3671,$B$3701),Data!$BO:$BO,0)-2,56)&amp;"E-9","")),"")</f>
        <v/>
      </c>
      <c r="C3723" s="39"/>
      <c r="D3723" s="35" t="str">
        <f ca="1">IFERROR(IF(AND(INDEX(Tab_DaBa[],MATCH(CONCATENATE(Liste!$C$3,$B$3671,$B$3701),Data!$BO:$BO,0)-2,53)&lt;&gt;"",INDEX(Tab_DaBa[],MATCH(CONCATENATE(Liste!$C$3,$B$3671,$B$3701),Data!$BO:$BO,0)-2,58)=""),"PFH [1/h] = "&amp;10^9*INDEX(Tab_DaBa[],MATCH(CONCATENATE(Liste!$C$3,$B$3671,$B$3701),Data!$BO:$BO,0)-2,16)&amp;"E-9",IF(INDEX(Tab_DaBa[],MATCH(CONCATENATE(Liste!$C$3,$B$3671,$B$3701),Data!$BO:$BO,0)-2,53)&lt;&gt;"","PFH [1/h] = "&amp;10^9*INDEX(Tab_DaBa[],MATCH(CONCATENATE(Liste!$C$3,$B$3671,$B$3701),Data!$BO:$BO,0)-2,61)&amp;"E-9","")),"")</f>
        <v/>
      </c>
      <c r="E3723" s="37"/>
      <c r="F3723" s="35" t="str">
        <f ca="1">IFERROR(IF(AND(INDEX(Tab_DaBa[],MATCH(CONCATENATE(Liste!$C$3,$B$3671,$B$3701),Data!$BO:$BO,0)-2,58)&lt;&gt;"",INDEX(Tab_DaBa[],MATCH(CONCATENATE(Liste!$C$3,$B$3671,$B$3701),Data!$BO:$BO,0)-2,63)=""),"PFH [1/h] = "&amp;10^9*INDEX(Tab_DaBa[],MATCH(CONCATENATE(Liste!$C$3,$B$3671,$B$3701),Data!$BO:$BO,0)-2,16)&amp;"E-9",IF(INDEX(Tab_DaBa[],MATCH(CONCATENATE(Liste!$C$3,$B$3671,$B$3701),Data!$BO:$BO,0)-2,58)&lt;&gt;"","PFH [1/h] = "&amp;10^9*INDEX(Tab_DaBa[],MATCH(CONCATENATE(Liste!$C$3,$B$3671,$B$3701),Data!$BO:$BO,0)-2,66)&amp;"E-9","")),"")</f>
        <v/>
      </c>
      <c r="G3723" s="39"/>
      <c r="H3723" s="35" t="str">
        <f ca="1">IFERROR(IF(INDEX(Tab_DaBa[],MATCH(CONCATENATE(Liste!$C$3,$B$3671,$B$3701),Data!$BO:$BO,0)-2,63)&lt;&gt;"","PFH [1/h] = "&amp;10^9*INDEX(Tab_DaBa[],MATCH(CONCATENATE(Liste!$C$3,$B$3671,$B$3701),Data!$BO:$BO,0)-2,16)&amp;"E-9",""),"")</f>
        <v/>
      </c>
    </row>
    <row r="3724" spans="2:9" s="16" customFormat="1"/>
    <row r="3725" spans="2:9" s="16" customFormat="1">
      <c r="B3725" s="43" t="str">
        <f ca="1">IF(D3725="","","Erforderlich")</f>
        <v>Erforderlich</v>
      </c>
      <c r="D3725" s="44" t="str">
        <f ca="1">IFERROR("Performance Level: "&amp;INDEX(Tab_DaBa[],MATCH(CONCATENATE(Liste!$C$3,$B$3671,$B$3701),Data!$BO:$BO,0)-2,4),"")</f>
        <v>Performance Level: PLr_ges4_2</v>
      </c>
    </row>
    <row r="3726" spans="2:9" s="16" customFormat="1">
      <c r="B3726" s="45"/>
    </row>
    <row r="3727" spans="2:9" s="16" customFormat="1">
      <c r="B3727" s="46" t="str">
        <f ca="1">IF(D3727="","","Erreicht")</f>
        <v>Erreicht</v>
      </c>
      <c r="D3727" s="47" t="str">
        <f ca="1">IFERROR("Performance Level: "&amp;INDEX(Tab_DaBa[],MATCH(CONCATENATE(Liste!$C$3,$B$3671,$B$3701),Data!$BO:$BO,0)-2,5)&amp;"          PFH [1/h] = "&amp;10^9*INDEX(Tab_DaBa[],MATCH(CONCATENATE(Liste!$C$3,$B$3671,$B$3701),Data!$BO:$BO,0)-2,6)&amp;"E-9","")</f>
        <v>Performance Level: Pl_ges4_2          PFH [1/h] = 71,7E-9</v>
      </c>
    </row>
    <row r="3728" spans="2:9" s="16" customFormat="1"/>
    <row r="3729" spans="2:9" s="16" customFormat="1">
      <c r="B3729" s="42" t="str">
        <f ca="1">IFERROR(IF(3&gt;COUNTIF(Data!$BP:$BP,CONCATENATE(Liste!$C$3,$B$3671)),"",INDEX(Tab_DaBa[],MATCH(CONCATENATE(Liste!$C$3,$B$3671),Data!$BP:$BP,0),3)),"")</f>
        <v>14.3 Test14 (E+3L+A)</v>
      </c>
    </row>
    <row r="3730" spans="2:9" s="16" customFormat="1"/>
    <row r="3731" spans="2:9" s="16" customFormat="1" ht="15.75">
      <c r="B3731" s="35" t="str">
        <f ca="1">IFERROR(INDEX(Tab_DaBa[],MATCH(CONCATENATE(Liste!$C$3,$B$3671,$B$3729),Data!$BO:$BO,0)-2,9),"")</f>
        <v>Eingang</v>
      </c>
      <c r="C3731" s="54"/>
      <c r="D3731" s="35" t="str">
        <f ca="1">IFERROR(IF(INDEX(Tab_DaBa[],MATCH(CONCATENATE(Liste!$C$3,$B$3671,$B$3729),Data!$BO:$BO,0)-2,18)=0,INDEX(Tab_DaBa[],MATCH(CONCATENATE(Liste!$C$3,$B$3671,$B$3729),Data!$BO:$BO,0)-2,14),INDEX(Tab_DaBa[],MATCH(CONCATENATE(Liste!$C$3,$B$3671,$B$3729),Data!$BO:$BO,0)-2,19)),"")</f>
        <v>Logik 01</v>
      </c>
      <c r="E3731" s="33"/>
      <c r="F3731" s="35" t="str">
        <f ca="1">IFERROR(IF(AND(INDEX(Tab_DaBa[],MATCH(CONCATENATE(Liste!$C$3,$B$3671,$B$3729),Data!$BO:$BO,0)-2,18)&lt;&gt;"",INDEX(Tab_DaBa[],MATCH(CONCATENATE(Liste!$C$3,$B$3671,$B$3729),Data!$BO:$BO,0)-2,23)=0),INDEX(Tab_DaBa[],MATCH(CONCATENATE(Liste!$C$3,$B$3671,$B$3729),Data!$BO:$BO,0)-2,14),IF(INDEX(Tab_DaBa[],MATCH(CONCATENATE(Liste!$C$3,$B$3671,$B$3729),Data!$BO:$BO,0)-2,23)&lt;&gt;"",INDEX(Tab_DaBa[],MATCH(CONCATENATE(Liste!$C$3,$B$3671,$B$3729),Data!$BO:$BO,0)-2,24),"")),"")</f>
        <v>Logik 02</v>
      </c>
      <c r="G3731" s="39"/>
      <c r="H3731" s="35" t="str">
        <f ca="1">IFERROR(IF(AND(INDEX(Tab_DaBa[],MATCH(CONCATENATE(Liste!$C$3,$B$3671,$B$3729),Data!$BO:$BO,0)-2,23)&lt;&gt;"",INDEX(Tab_DaBa[],MATCH(CONCATENATE(Liste!$C$3,$B$3671,$B$3729),Data!$BO:$BO,0)-2,28)=0),INDEX(Tab_DaBa[],MATCH(CONCATENATE(Liste!$C$3,$B$3671,$B$3729),Data!$BO:$BO,0)-2,14),IF(INDEX(Tab_DaBa[],MATCH(CONCATENATE(Liste!$C$3,$B$3671,$B$3729),Data!$BO:$BO,0)-2,23)&lt;&gt;"",INDEX(Tab_DaBa[],MATCH(CONCATENATE(Liste!$C$3,$B$3671,$B$3729),Data!$BO:$BO,0)-2,29),"")),"")</f>
        <v>Logik 03</v>
      </c>
      <c r="I3731" s="39"/>
    </row>
    <row r="3732" spans="2:9" s="16" customFormat="1" ht="15.75">
      <c r="B3732" s="35" t="str">
        <f ca="1">IFERROR(INDEX(Tab_DaBa[],MATCH(CONCATENATE(Liste!$C$3,$B$3671,$B$3729),Data!$BO:$BO,0)-2,7),"")</f>
        <v>eeee-33_3</v>
      </c>
      <c r="C3732" s="54"/>
      <c r="D3732" s="35" t="str">
        <f ca="1">IFERROR(IF(INDEX(Tab_DaBa[],MATCH(CONCATENATE(Liste!$C$3,$B$3671,$B$3729),Data!$BO:$BO,0)-2,18)="",INDEX(Tab_DaBa[],MATCH(CONCATENATE(Liste!$C$3,$B$3671,$B$3729),Data!$BO:$BO,0)-2,12),INDEX(Tab_DaBa[],MATCH(CONCATENATE(Liste!$C$3,$B$3671,$B$3729),Data!$BO:$BO,0)-2,17)),"")</f>
        <v>Log01-04_03</v>
      </c>
      <c r="E3732" s="36"/>
      <c r="F3732" s="35" t="str">
        <f ca="1">IFERROR(IF(AND(INDEX(Tab_DaBa[],MATCH(CONCATENATE(Liste!$C$3,$B$3671,$B$3729),Data!$BO:$BO,0)-2,18)&lt;&gt;"",INDEX(Tab_DaBa[],MATCH(CONCATENATE(Liste!$C$3,$B$3671,$B$3729),Data!$BO:$BO,0)-2,23)=0),INDEX(Tab_DaBa[],MATCH(CONCATENATE(Liste!$C$3,$B$3671,$B$3729),Data!$BO:$BO,0)-2,12),IF(INDEX(Tab_DaBa[],MATCH(CONCATENATE(Liste!$C$3,$B$3671,$B$3729),Data!$BO:$BO,0)-2,23)&lt;&gt;"",INDEX(Tab_DaBa[],MATCH(CONCATENATE(Liste!$C$3,$B$3671,$B$3729),Data!$BO:$BO,0)-2,22),"")),"")</f>
        <v>Lo04-04_03</v>
      </c>
      <c r="G3732" s="39"/>
      <c r="H3732" s="35" t="str">
        <f ca="1">IFERROR(IF(AND(INDEX(Tab_DaBa[],MATCH(CONCATENATE(Liste!$C$3,$B$3671,$B$3729),Data!$BO:$BO,0)-2,23)&lt;&gt;"",INDEX(Tab_DaBa[],MATCH(CONCATENATE(Liste!$C$3,$B$3671,$B$3729),Data!$BO:$BO,0)-2,28)=0),INDEX(Tab_DaBa[],MATCH(CONCATENATE(Liste!$C$3,$B$3671,$B$3729),Data!$BO:$BO,0)-2,12),IF(INDEX(Tab_DaBa[],MATCH(CONCATENATE(Liste!$C$3,$B$3671,$B$3729),Data!$BO:$BO,0)-2,23)&lt;&gt;"",INDEX(Tab_DaBa[],MATCH(CONCATENATE(Liste!$C$3,$B$3671,$B$3729),Data!$BO:$BO,0)-2,27),"")),"")</f>
        <v>Lo04-44_03</v>
      </c>
      <c r="I3732" s="39"/>
    </row>
    <row r="3733" spans="2:9" s="16" customFormat="1" ht="15.75">
      <c r="B3733" s="35" t="str">
        <f ca="1">IFERROR(INDEX(Tab_DaBa[],MATCH(CONCATENATE(Liste!$C$3,$B$3671,$B$3729),Data!$BO:$BO,0)-2,8),"")</f>
        <v>Bez_Ein4_3</v>
      </c>
      <c r="C3733" s="40">
        <f ca="1">IF(D3731="","",4)</f>
        <v>4</v>
      </c>
      <c r="D3733" s="35" t="str">
        <f ca="1">IFERROR(IF(INDEX(Tab_DaBa[],MATCH(CONCATENATE(Liste!$C$3,$B$3671,$B$3729),Data!$BO:$BO,0)-2,18)="",INDEX(Tab_DaBa[],MATCH(CONCATENATE(Liste!$C$3,$B$3671,$B$3729),Data!$BO:$BO,0)-2,13),INDEX(Tab_DaBa[],MATCH(CONCATENATE(Liste!$C$3,$B$3671,$B$3729),Data!$BO:$BO,0)-2,18)),"")</f>
        <v>Bez_Log01_04_03</v>
      </c>
      <c r="E3733" s="40">
        <f ca="1">IF(F3731="","",4)</f>
        <v>4</v>
      </c>
      <c r="F3733" s="35" t="str">
        <f ca="1">IFERROR(IF(AND(INDEX(Tab_DaBa[],MATCH(CONCATENATE(Liste!$C$3,$B$3671,$B$3729),Data!$BO:$BO,0)-2,18)&lt;&gt;"",INDEX(Tab_DaBa[],MATCH(CONCATENATE(Liste!$C$3,$B$3671,$B$3729),Data!$BO:$BO,0)-2,23)=""),INDEX(Tab_DaBa[],MATCH(CONCATENATE(Liste!$C$3,$B$3671,$B$3729),Data!$BO:$BO,0)-2,13),IF(INDEX(Tab_DaBa[],MATCH(CONCATENATE(Liste!$C$3,$B$3671,$B$3729),Data!$BO:$BO,0)-2,23)&lt;&gt;"",INDEX(Tab_DaBa[],MATCH(CONCATENATE(Liste!$C$3,$B$3671,$B$3729),Data!$BO:$BO,0)-2,23),"")),"")</f>
        <v>Bez_Lo04_03</v>
      </c>
      <c r="G3733" s="38">
        <f ca="1">IF(H3731="","",4)</f>
        <v>4</v>
      </c>
      <c r="H3733" s="35" t="str">
        <f ca="1">IFERROR(IF(AND(INDEX(Tab_DaBa[],MATCH(CONCATENATE(Liste!$C$3,$B$3671,$B$3729),Data!$BO:$BO,0)-2,23)&lt;&gt;"",INDEX(Tab_DaBa[],MATCH(CONCATENATE(Liste!$C$3,$B$3671,$B$3729),Data!$BO:$BO,0)-2,28)=""),INDEX(Tab_DaBa[],MATCH(CONCATENATE(Liste!$C$3,$B$3671,$B$3729),Data!$BO:$BO,0)-2,13),IF(INDEX(Tab_DaBa[],MATCH(CONCATENATE(Liste!$C$3,$B$3671,$B$3729),Data!$BO:$BO,0)-2,23)&lt;&gt;"",INDEX(Tab_DaBa[],MATCH(CONCATENATE(Liste!$C$3,$B$3671,$B$3729),Data!$BO:$BO,0)-2,28),"")),"")</f>
        <v>Bez_Lo04_03</v>
      </c>
      <c r="I3733" s="38">
        <f ca="1">IF(B3739="","",6)</f>
        <v>6</v>
      </c>
    </row>
    <row r="3734" spans="2:9" s="16" customFormat="1" ht="15.75">
      <c r="B3734" s="35" t="str">
        <f ca="1">IFERROR("Performance Level: "&amp;INDEX(Tab_DaBa[],MATCH(CONCATENATE(Liste!$C$3,$B$3671,$B$3729),Data!$BO:$BO,0)-2,10),"")</f>
        <v>Performance Level: PL_Ein4_3</v>
      </c>
      <c r="C3734" s="54"/>
      <c r="D3734" s="35" t="str">
        <f ca="1">IFERROR(IF(INDEX(Tab_DaBa[],MATCH(CONCATENATE(Liste!$C$3,$B$3671,$B$3729),Data!$BO:$BO,0)-2,18)="","Performance Level: "&amp;INDEX(Tab_DaBa[],MATCH(CONCATENATE(Liste!$C$3,$B$3671,$B$3729),Data!$BO:$BO,0)-2,15),"Performance Level: "&amp;INDEX(Tab_DaBa[],MATCH(CONCATENATE(Liste!$C$3,$B$3671,$B$3729),Data!$BO:$BO,0)-2,20)),"")</f>
        <v>Performance Level: PL_Log01_04_03</v>
      </c>
      <c r="E3734" s="36"/>
      <c r="F3734" s="35" t="str">
        <f ca="1">IFERROR(IF(AND(INDEX(Tab_DaBa[],MATCH(CONCATENATE(Liste!$C$3,$B$3671,$B$3729),Data!$BO:$BO,0)-2,18)&lt;&gt;"",INDEX(Tab_DaBa[],MATCH(CONCATENATE(Liste!$C$3,$B$3671,$B$3729),Data!$BO:$BO,0)-2,23)=""),"Performance Level: "&amp;INDEX(Tab_DaBa[],MATCH(CONCATENATE(Liste!$C$3,$B$3671,$B$3729),Data!$BO:$BO,0)-2,15),IF(INDEX(Tab_DaBa[],MATCH(CONCATENATE(Liste!$C$3,$B$3671,$B$3729),Data!$BO:$BO,0)-2,23)&lt;&gt;"","Performance Level: "&amp;INDEX(Tab_DaBa[],MATCH(CONCATENATE(Liste!$C$3,$B$3671,$B$3729),Data!$BO:$BO,0)-2,25),"")),"")</f>
        <v>Performance Level: PL_Lo04_03</v>
      </c>
      <c r="G3734" s="39"/>
      <c r="H3734" s="35" t="str">
        <f ca="1">IFERROR(IF(AND(INDEX(Tab_DaBa[],MATCH(CONCATENATE(Liste!$C$3,$B$3671,$B$3729),Data!$BO:$BO,0)-2,23)&lt;&gt;"",INDEX(Tab_DaBa[],MATCH(CONCATENATE(Liste!$C$3,$B$3671,$B$3729),Data!$BO:$BO,0)-2,28)=""),"Performance Level: "&amp;INDEX(Tab_DaBa[],MATCH(CONCATENATE(Liste!$C$3,$B$3671,$B$3729),Data!$BO:$BO,0)-2,15),IF(INDEX(Tab_DaBa[],MATCH(CONCATENATE(Liste!$C$3,$B$3671,$B$3729),Data!$BO:$BO,0)-2,23)&lt;&gt;"","Performance Level: "&amp;INDEX(Tab_DaBa[],MATCH(CONCATENATE(Liste!$C$3,$B$3671,$B$3729),Data!$BO:$BO,0)-2,30),"")),"")</f>
        <v>Performance Level: PL_Lo04_03</v>
      </c>
      <c r="I3734" s="38"/>
    </row>
    <row r="3735" spans="2:9" s="16" customFormat="1" ht="15.75">
      <c r="B3735" s="53" t="str">
        <f ca="1">IFERROR("PFH [1/h] = "&amp;10^9*INDEX(Tab_DaBa[],MATCH(CONCATENATE(Liste!$C$3,$B$3671,$B$3729),Data!$BO:$BO,0)-2,11)&amp;"E-9","")</f>
        <v>PFH [1/h] = 42,9E-9</v>
      </c>
      <c r="C3735" s="54"/>
      <c r="D3735" s="35" t="str">
        <f ca="1">IFERROR(IF(INDEX(Tab_DaBa[],MATCH(CONCATENATE(Liste!$C$3,$B$3671,$B$3729),Data!$BO:$BO,0)-2,18)="","PFH [1/h] = "&amp;10^9*INDEX(Tab_DaBa[],MATCH(CONCATENATE(Liste!$C$3,$B$3671,$B$3729),Data!$BO:$BO,0)-2,16)&amp;"E-9","PFH [1/h] = "&amp;10^9*INDEX(Tab_DaBa[],MATCH(CONCATENATE(Liste!$C$3,$B$3671,$B$3729),Data!$BO:$BO,0)-2,21)&amp;"E-9"),"")</f>
        <v>PFH [1/h] = 4,19E-9</v>
      </c>
      <c r="E3735" s="36"/>
      <c r="F3735" s="35" t="str">
        <f ca="1">IFERROR(IF(AND(INDEX(Tab_DaBa[],MATCH(CONCATENATE(Liste!$C$3,$B$3671,$B$3729),Data!$BO:$BO,0)-2,18)&lt;&gt;"",INDEX(Tab_DaBa[],MATCH(CONCATENATE(Liste!$C$3,$B$3671,$B$3729),Data!$BO:$BO,0)-2,23)=""),"PFH [1/h] = "&amp;10^9*INDEX(Tab_DaBa[],MATCH(CONCATENATE(Liste!$C$3,$B$3671,$B$3729),Data!$BO:$BO,0)-2,16)&amp;"E-9",IF(INDEX(Tab_DaBa[],MATCH(CONCATENATE(Liste!$C$3,$B$3671,$B$3729),Data!$BO:$BO,0)-2,23)&lt;&gt;"","PFH [1/h] = "&amp;10^9*INDEX(Tab_DaBa[],MATCH(CONCATENATE(Liste!$C$3,$B$3671,$B$3729),Data!$BO:$BO,0)-2,26)&amp;"E-9","")),"")</f>
        <v>PFH [1/h] = 4,19E-9</v>
      </c>
      <c r="G3735" s="39"/>
      <c r="H3735" s="35" t="str">
        <f ca="1">IFERROR(IF(AND(INDEX(Tab_DaBa[],MATCH(CONCATENATE(Liste!$C$3,$B$3671,$B$3729),Data!$BO:$BO,0)-2,23)&lt;&gt;"",INDEX(Tab_DaBa[],MATCH(CONCATENATE(Liste!$C$3,$B$3671,$B$3729),Data!$BO:$BO,0)-2,28)=""),"PFH [1/h] = "&amp;10^9*INDEX(Tab_DaBa[],MATCH(CONCATENATE(Liste!$C$3,$B$3671,$B$3729),Data!$BO:$BO,0)-2,16)&amp;"E-9",IF(INDEX(Tab_DaBa[],MATCH(CONCATENATE(Liste!$C$3,$B$3671,$B$3729),Data!$BO:$BO,0)-2,23)&lt;&gt;"","PFH [1/h] = "&amp;10^9*INDEX(Tab_DaBa[],MATCH(CONCATENATE(Liste!$C$3,$B$3671,$B$3729),Data!$BO:$BO,0)-2,31)&amp;"E-9","")),"")</f>
        <v>PFH [1/h] = 4,19E-9</v>
      </c>
      <c r="I3735" s="39"/>
    </row>
    <row r="3736" spans="2:9" s="16" customFormat="1">
      <c r="B3736" s="33"/>
      <c r="C3736" s="34"/>
      <c r="D3736" s="33"/>
      <c r="E3736" s="33"/>
      <c r="F3736" s="33"/>
      <c r="G3736" s="33"/>
      <c r="H3736" s="33"/>
      <c r="I3736" s="33"/>
    </row>
    <row r="3737" spans="2:9" s="16" customFormat="1" ht="15.75">
      <c r="B3737" s="38">
        <f ca="1">IF(B3739="","",6)</f>
        <v>6</v>
      </c>
      <c r="C3737" s="34"/>
      <c r="D3737" s="38">
        <f ca="1">IF(B3739="","",3)</f>
        <v>3</v>
      </c>
      <c r="E3737" s="33"/>
      <c r="F3737" s="38">
        <f ca="1">IF(B3739="","",3)</f>
        <v>3</v>
      </c>
      <c r="G3737" s="33"/>
      <c r="H3737" s="38">
        <f ca="1">IF(B3739="","",3)</f>
        <v>3</v>
      </c>
      <c r="I3737" s="33"/>
    </row>
    <row r="3738" spans="2:9" s="16" customFormat="1" ht="15.75">
      <c r="B3738" s="39"/>
      <c r="C3738" s="33"/>
      <c r="D3738" s="33"/>
      <c r="E3738" s="33"/>
      <c r="F3738" s="33"/>
      <c r="G3738" s="33"/>
      <c r="H3738" s="33"/>
      <c r="I3738" s="33"/>
    </row>
    <row r="3739" spans="2:9" s="16" customFormat="1" ht="15.75">
      <c r="B3739" s="35" t="str">
        <f ca="1">IFERROR(IF(AND(INDEX(Tab_DaBa[],MATCH(CONCATENATE(Liste!$C$3,$B$3671,$B$3729),Data!$BO:$BO,0)-2,28)&lt;&gt;"",INDEX(Tab_DaBa[],MATCH(CONCATENATE(Liste!$C$3,$B$3671,$B$3729),Data!$BO:$BO,0)-2,33)=0),INDEX(Tab_DaBa[],MATCH(CONCATENATE(Liste!$C$3,$B$3671,$B$3729),Data!$BO:$BO,0)-2,14),IF(INDEX(Tab_DaBa[],MATCH(CONCATENATE(Liste!$C$3,$B$3671,$B$3729),Data!$BO:$BO,0)-2,28)&lt;&gt;"",INDEX(Tab_DaBa[],MATCH(CONCATENATE(Liste!$C$3,$B$3671,$B$3729),Data!$BO:$BO,0)-2,34),"")),"")</f>
        <v>Ausgang</v>
      </c>
      <c r="C3739" s="39"/>
      <c r="D3739" s="35" t="str">
        <f ca="1">IFERROR(IF(AND(INDEX(Tab_DaBa[],MATCH(CONCATENATE(Liste!$C$3,$B$3671,$B$3729),Data!$BO:$BO,0)-2,33)&lt;&gt;"",INDEX(Tab_DaBa[],MATCH(CONCATENATE(Liste!$C$3,$B$3671,$B$3729),Data!$BO:$BO,0)-2,38)=0),INDEX(Tab_DaBa[],MATCH(CONCATENATE(Liste!$C$3,$B$3671,$B$3729),Data!$BO:$BO,0)-2,14),IF(INDEX(Tab_DaBa[],MATCH(CONCATENATE(Liste!$C$3,$B$3671,$B$3729),Data!$BO:$BO,0)-2,33)&lt;&gt;"",INDEX(Tab_DaBa[],MATCH(CONCATENATE(Liste!$C$3,$B$3671,$B$3729),Data!$BO:$BO,0)-2,39),"")),"")</f>
        <v/>
      </c>
      <c r="E3739" s="33"/>
      <c r="F3739" s="35" t="str">
        <f ca="1">IFERROR(IF(AND(INDEX(Tab_DaBa[],MATCH(CONCATENATE(Liste!$C$3,$B$3671,$B$3729),Data!$BO:$BO,0)-2,38)&lt;&gt;"",INDEX(Tab_DaBa[],MATCH(CONCATENATE(Liste!$C$3,$B$3671,$B$3729),Data!$BO:$BO,0)-2,43)=0),INDEX(Tab_DaBa[],MATCH(CONCATENATE(Liste!$C$3,$B$3671,$B$3729),Data!$BO:$BO,0)-2,14),IF(INDEX(Tab_DaBa[],MATCH(CONCATENATE(Liste!$C$3,$B$3671,$B$3729),Data!$BO:$BO,0)-2,38)&lt;&gt;"",INDEX(Tab_DaBa[],MATCH(CONCATENATE(Liste!$C$3,$B$3671,$B$3729),Data!$BO:$BO,0)-2,44),"")),"")</f>
        <v/>
      </c>
      <c r="G3739" s="39"/>
      <c r="H3739" s="35" t="str">
        <f ca="1">IFERROR(IF(AND(INDEX(Tab_DaBa[],MATCH(CONCATENATE(Liste!$C$3,$B$3671,$B$3729),Data!$BO:$BO,0)-2,43)&lt;&gt;"",INDEX(Tab_DaBa[],MATCH(CONCATENATE(Liste!$C$3,$B$3671,$B$3729),Data!$BO:$BO,0)-2,48)=0),INDEX(Tab_DaBa[],MATCH(CONCATENATE(Liste!$C$3,$B$3671,$B$3729),Data!$BO:$BO,0)-2,14),IF(INDEX(Tab_DaBa[],MATCH(CONCATENATE(Liste!$C$3,$B$3671,$B$3729),Data!$BO:$BO,0)-2,43)&lt;&gt;"",INDEX(Tab_DaBa[],MATCH(CONCATENATE(Liste!$C$3,$B$3671,$B$3729),Data!$BO:$BO,0)-2,49),"")),"")</f>
        <v/>
      </c>
      <c r="I3739" s="39"/>
    </row>
    <row r="3740" spans="2:9" s="16" customFormat="1" ht="15.75">
      <c r="B3740" s="35" t="str">
        <f ca="1">IFERROR(IF(AND(INDEX(Tab_DaBa[],MATCH(CONCATENATE(Liste!$C$3,$B$3671,$B$3729),Data!$BO:$BO,0)-2,28)&lt;&gt;"",INDEX(Tab_DaBa[],MATCH(CONCATENATE(Liste!$C$3,$B$3671,$B$3729),Data!$BO:$BO,0)-2,33)=0),INDEX(Tab_DaBa[],MATCH(CONCATENATE(Liste!$C$3,$B$3671,$B$3729),Data!$BO:$BO,0)-2,12),IF(INDEX(Tab_DaBa[],MATCH(CONCATENATE(Liste!$C$3,$B$3671,$B$3729),Data!$BO:$BO,0)-2,28)&lt;&gt;"",INDEX(Tab_DaBa[],MATCH(CONCATENATE(Liste!$C$3,$B$3671,$B$3729),Data!$BO:$BO,0)-2,32),"")),"")</f>
        <v>aaaa-44_3</v>
      </c>
      <c r="C3740" s="39"/>
      <c r="D3740" s="35" t="str">
        <f ca="1">IFERROR(IF(AND(INDEX(Tab_DaBa[],MATCH(CONCATENATE(Liste!$C$3,$B$3671,$B$3729),Data!$BO:$BO,0)-2,33)&lt;&gt;"",INDEX(Tab_DaBa[],MATCH(CONCATENATE(Liste!$C$3,$B$3671,$B$3729),Data!$BO:$BO,0)-2,38)=0),INDEX(Tab_DaBa[],MATCH(CONCATENATE(Liste!$C$3,$B$3671,$B$3729),Data!$BO:$BO,0)-2,12),IF(INDEX(Tab_DaBa[],MATCH(CONCATENATE(Liste!$C$3,$B$3671,$B$3729),Data!$BO:$BO,0)-2,33)&lt;&gt;"",INDEX(Tab_DaBa[],MATCH(CONCATENATE(Liste!$C$3,$B$3671,$B$3729),Data!$BO:$BO,0)-2,37),"")),"")</f>
        <v/>
      </c>
      <c r="E3740" s="37"/>
      <c r="F3740" s="35" t="str">
        <f ca="1">IFERROR(IF(AND(INDEX(Tab_DaBa[],MATCH(CONCATENATE(Liste!$C$3,$B$3671,$B$3729),Data!$BO:$BO,0)-2,38)&lt;&gt;"",INDEX(Tab_DaBa[],MATCH(CONCATENATE(Liste!$C$3,$B$3671,$B$3729),Data!$BO:$BO,0)-2,43)=0),INDEX(Tab_DaBa[],MATCH(CONCATENATE(Liste!$C$3,$B$3671,$B$3729),Data!$BO:$BO,0)-2,12),IF(INDEX(Tab_DaBa[],MATCH(CONCATENATE(Liste!$C$3,$B$3671,$B$3729),Data!$BO:$BO,0)-2,38)&lt;&gt;"",INDEX(Tab_DaBa[],MATCH(CONCATENATE(Liste!$C$3,$B$3671,$B$3729),Data!$BO:$BO,0)-2,42),"")),"")</f>
        <v/>
      </c>
      <c r="G3740" s="39"/>
      <c r="H3740" s="35" t="str">
        <f ca="1">IFERROR(IF(AND(INDEX(Tab_DaBa[],MATCH(CONCATENATE(Liste!$C$3,$B$3671,$B$3729),Data!$BO:$BO,0)-2,43)&lt;&gt;"",INDEX(Tab_DaBa[],MATCH(CONCATENATE(Liste!$C$3,$B$3671,$B$3729),Data!$BO:$BO,0)-2,48)=0),INDEX(Tab_DaBa[],MATCH(CONCATENATE(Liste!$C$3,$B$3671,$B$3729),Data!$BO:$BO,0)-2,12),IF(INDEX(Tab_DaBa[],MATCH(CONCATENATE(Liste!$C$3,$B$3671,$B$3729),Data!$BO:$BO,0)-2,43)&lt;&gt;"",INDEX(Tab_DaBa[],MATCH(CONCATENATE(Liste!$C$3,$B$3671,$B$3729),Data!$BO:$BO,0)-2,47),"")),"")</f>
        <v/>
      </c>
      <c r="I3740" s="39"/>
    </row>
    <row r="3741" spans="2:9" s="16" customFormat="1" ht="15.75">
      <c r="B3741" s="35" t="str">
        <f ca="1">IFERROR(IF(AND(INDEX(Tab_DaBa[],MATCH(CONCATENATE(Liste!$C$3,$B$3671,$B$3729),Data!$BO:$BO,0)-2,28)&lt;&gt;"",INDEX(Tab_DaBa[],MATCH(CONCATENATE(Liste!$C$3,$B$3671,$B$3729),Data!$BO:$BO,0)-2,33)=""),INDEX(Tab_DaBa[],MATCH(CONCATENATE(Liste!$C$3,$B$3671,$B$3729),Data!$BO:$BO,0)-2,13),IF(INDEX(Tab_DaBa[],MATCH(CONCATENATE(Liste!$C$3,$B$3671,$B$3729),Data!$BO:$BO,0)-2,28)&lt;&gt;"",INDEX(Tab_DaBa[],MATCH(CONCATENATE(Liste!$C$3,$B$3671,$B$3729),Data!$BO:$BO,0)-2,33),"")),"")</f>
        <v>Bez_Aus4_3</v>
      </c>
      <c r="C3741" s="38" t="str">
        <f ca="1">IF(D3739="","",4)</f>
        <v/>
      </c>
      <c r="D3741" s="35" t="str">
        <f ca="1">IFERROR(IF(AND(INDEX(Tab_DaBa[],MATCH(CONCATENATE(Liste!$C$3,$B$3671,$B$3729),Data!$BO:$BO,0)-2,33)&lt;&gt;"",INDEX(Tab_DaBa[],MATCH(CONCATENATE(Liste!$C$3,$B$3671,$B$3729),Data!$BO:$BO,0)-2,38)=""),INDEX(Tab_DaBa[],MATCH(CONCATENATE(Liste!$C$3,$B$3671,$B$3729),Data!$BO:$BO,0)-2,13),IF(INDEX(Tab_DaBa[],MATCH(CONCATENATE(Liste!$C$3,$B$3671,$B$3729),Data!$BO:$BO,0)-2,33)&lt;&gt;"",INDEX(Tab_DaBa[],MATCH(CONCATENATE(Liste!$C$3,$B$3671,$B$3729),Data!$BO:$BO,0)-2,38),"")),"")</f>
        <v/>
      </c>
      <c r="E3741" s="38" t="str">
        <f ca="1">IF(F3739="","",4)</f>
        <v/>
      </c>
      <c r="F3741" s="35" t="str">
        <f ca="1">IFERROR(IF(AND(INDEX(Tab_DaBa[],MATCH(CONCATENATE(Liste!$C$3,$B$3671,$B$3729),Data!$BO:$BO,0)-2,38)&lt;&gt;"",INDEX(Tab_DaBa[],MATCH(CONCATENATE(Liste!$C$3,$B$3671,$B$3729),Data!$BO:$BO,0)-2,43)=""),INDEX(Tab_DaBa[],MATCH(CONCATENATE(Liste!$C$3,$B$3671,$B$3729),Data!$BO:$BO,0)-2,13),IF(INDEX(Tab_DaBa[],MATCH(CONCATENATE(Liste!$C$3,$B$3671,$B$3729),Data!$BO:$BO,0)-2,38)&lt;&gt;"",INDEX(Tab_DaBa[],MATCH(CONCATENATE(Liste!$C$3,$B$3671,$B$3729),Data!$BO:$BO,0)-2,43),"")),"")</f>
        <v/>
      </c>
      <c r="G3741" s="38" t="str">
        <f ca="1">IF(H3739="","",4)</f>
        <v/>
      </c>
      <c r="H3741" s="35" t="str">
        <f ca="1">IFERROR(IF(AND(INDEX(Tab_DaBa[],MATCH(CONCATENATE(Liste!$C$3,$B$3671,$B$3729),Data!$BO:$BO,0)-2,43)&lt;&gt;"",INDEX(Tab_DaBa[],MATCH(CONCATENATE(Liste!$C$3,$B$3671,$B$3729),Data!$BO:$BO,0)-2,48)=""),INDEX(Tab_DaBa[],MATCH(CONCATENATE(Liste!$C$3,$B$3671,$B$3729),Data!$BO:$BO,0)-2,13),IF(INDEX(Tab_DaBa[],MATCH(CONCATENATE(Liste!$C$3,$B$3671,$B$3729),Data!$BO:$BO,0)-2,43)&lt;&gt;"",INDEX(Tab_DaBa[],MATCH(CONCATENATE(Liste!$C$3,$B$3671,$B$3729),Data!$BO:$BO,0)-2,48),"")),"")</f>
        <v/>
      </c>
      <c r="I3741" s="38" t="str">
        <f ca="1">IF(B3747="","",6)</f>
        <v/>
      </c>
    </row>
    <row r="3742" spans="2:9" s="16" customFormat="1" ht="15.75">
      <c r="B3742" s="35" t="str">
        <f ca="1">IFERROR(IF(AND(INDEX(Tab_DaBa[],MATCH(CONCATENATE(Liste!$C$3,$B$3671,$B$3729),Data!$BO:$BO,0)-2,28)&lt;&gt;"",INDEX(Tab_DaBa[],MATCH(CONCATENATE(Liste!$C$3,$B$3671,$B$3729),Data!$BO:$BO,0)-2,33)=""),"Performance Level: "&amp;INDEX(Tab_DaBa[],MATCH(CONCATENATE(Liste!$C$3,$B$3671,$B$3729),Data!$BO:$BO,0)-2,15),IF(INDEX(Tab_DaBa[],MATCH(CONCATENATE(Liste!$C$3,$B$3671,$B$3729),Data!$BO:$BO,0)-2,28)&lt;&gt;"","Performance Level: "&amp;INDEX(Tab_DaBa[],MATCH(CONCATENATE(Liste!$C$3,$B$3671,$B$3729),Data!$BO:$BO,0)-2,35),"")),"")</f>
        <v>Performance Level: PL_Aus4_3</v>
      </c>
      <c r="C3742" s="39"/>
      <c r="D3742" s="35" t="str">
        <f ca="1">IFERROR(IF(AND(INDEX(Tab_DaBa[],MATCH(CONCATENATE(Liste!$C$3,$B$3671,$B$3729),Data!$BO:$BO,0)-2,33)&lt;&gt;"",INDEX(Tab_DaBa[],MATCH(CONCATENATE(Liste!$C$3,$B$3671,$B$3729),Data!$BO:$BO,0)-2,38)=""),"Performance Level: "&amp;INDEX(Tab_DaBa[],MATCH(CONCATENATE(Liste!$C$3,$B$3671,$B$3729),Data!$BO:$BO,0)-2,15),IF(INDEX(Tab_DaBa[],MATCH(CONCATENATE(Liste!$C$3,$B$3671,$B$3729),Data!$BO:$BO,0)-2,33)&lt;&gt;"","Performance Level: "&amp;INDEX(Tab_DaBa[],MATCH(CONCATENATE(Liste!$C$3,$B$3671,$B$3729),Data!$BO:$BO,0)-2,40),"")),"")</f>
        <v/>
      </c>
      <c r="E3742" s="37"/>
      <c r="F3742" s="35" t="str">
        <f ca="1">IFERROR(IF(AND(INDEX(Tab_DaBa[],MATCH(CONCATENATE(Liste!$C$3,$B$3671,$B$3729),Data!$BO:$BO,0)-2,38)&lt;&gt;"",INDEX(Tab_DaBa[],MATCH(CONCATENATE(Liste!$C$3,$B$3671,$B$3729),Data!$BO:$BO,0)-2,43)=""),"Performance Level: "&amp;INDEX(Tab_DaBa[],MATCH(CONCATENATE(Liste!$C$3,$B$3671,$B$3729),Data!$BO:$BO,0)-2,15),IF(INDEX(Tab_DaBa[],MATCH(CONCATENATE(Liste!$C$3,$B$3671,$B$3729),Data!$BO:$BO,0)-2,38)&lt;&gt;"","Performance Level: "&amp;INDEX(Tab_DaBa[],MATCH(CONCATENATE(Liste!$C$3,$B$3671,$B$3729),Data!$BO:$BO,0)-2,45),"")),"")</f>
        <v/>
      </c>
      <c r="G3742" s="39"/>
      <c r="H3742" s="35" t="str">
        <f ca="1">IFERROR(IF(AND(INDEX(Tab_DaBa[],MATCH(CONCATENATE(Liste!$C$3,$B$3671,$B$3729),Data!$BO:$BO,0)-2,43)&lt;&gt;"",INDEX(Tab_DaBa[],MATCH(CONCATENATE(Liste!$C$3,$B$3671,$B$3729),Data!$BO:$BO,0)-2,48)=""),"Performance Level: "&amp;INDEX(Tab_DaBa[],MATCH(CONCATENATE(Liste!$C$3,$B$3671,$B$3729),Data!$BO:$BO,0)-2,15),IF(INDEX(Tab_DaBa[],MATCH(CONCATENATE(Liste!$C$3,$B$3671,$B$3729),Data!$BO:$BO,0)-2,43)&lt;&gt;"","Performance Level: "&amp;INDEX(Tab_DaBa[],MATCH(CONCATENATE(Liste!$C$3,$B$3671,$B$3729),Data!$BO:$BO,0)-2,50),"")),"")</f>
        <v/>
      </c>
      <c r="I3742" s="39"/>
    </row>
    <row r="3743" spans="2:9" s="16" customFormat="1" ht="15.75">
      <c r="B3743" s="35" t="str">
        <f ca="1">IFERROR(IF(AND(INDEX(Tab_DaBa[],MATCH(CONCATENATE(Liste!$C$3,$B$3671,$B$3729),Data!$BO:$BO,0)-2,28)&lt;&gt;"",INDEX(Tab_DaBa[],MATCH(CONCATENATE(Liste!$C$3,$B$3671,$B$3729),Data!$BO:$BO,0)-2,33)=""),"PFH [1/h] = "&amp;10^9*INDEX(Tab_DaBa[],MATCH(CONCATENATE(Liste!$C$3,$B$3671,$B$3729),Data!$BO:$BO,0)-2,16)&amp;"E-9",IF(INDEX(Tab_DaBa[],MATCH(CONCATENATE(Liste!$C$3,$B$3671,$B$3729),Data!$BO:$BO,0)-2,28)&lt;&gt;"","PFH [1/h] = "&amp;10^9*INDEX(Tab_DaBa[],MATCH(CONCATENATE(Liste!$C$3,$B$3671,$B$3729),Data!$BO:$BO,0)-2,36)&amp;"E-9","")),"")</f>
        <v>PFH [1/h] = 24,7E-9</v>
      </c>
      <c r="C3743" s="39"/>
      <c r="D3743" s="35" t="str">
        <f ca="1">IFERROR(IF(AND(INDEX(Tab_DaBa[],MATCH(CONCATENATE(Liste!$C$3,$B$3671,$B$3729),Data!$BO:$BO,0)-2,33)&lt;&gt;"",INDEX(Tab_DaBa[],MATCH(CONCATENATE(Liste!$C$3,$B$3671,$B$3729),Data!$BO:$BO,0)-2,38)=""),"PFH [1/h] = "&amp;10^9*INDEX(Tab_DaBa[],MATCH(CONCATENATE(Liste!$C$3,$B$3671,$B$3729),Data!$BO:$BO,0)-2,16)&amp;"E-9",IF(INDEX(Tab_DaBa[],MATCH(CONCATENATE(Liste!$C$3,$B$3671,$B$3729),Data!$BO:$BO,0)-2,33)&lt;&gt;"","PFH [1/h] = "&amp;10^9*INDEX(Tab_DaBa[],MATCH(CONCATENATE(Liste!$C$3,$B$3671,$B$3729),Data!$BO:$BO,0)-2,41)&amp;"E-9","")),"")</f>
        <v/>
      </c>
      <c r="E3743" s="37"/>
      <c r="F3743" s="35" t="str">
        <f ca="1">IFERROR(IF(AND(INDEX(Tab_DaBa[],MATCH(CONCATENATE(Liste!$C$3,$B$3671,$B$3729),Data!$BO:$BO,0)-2,38)&lt;&gt;"",INDEX(Tab_DaBa[],MATCH(CONCATENATE(Liste!$C$3,$B$3671,$B$3729),Data!$BO:$BO,0)-2,43)=""),"PFH [1/h] = "&amp;10^9*INDEX(Tab_DaBa[],MATCH(CONCATENATE(Liste!$C$3,$B$3671,$B$3729),Data!$BO:$BO,0)-2,16)&amp;"E-9",IF(INDEX(Tab_DaBa[],MATCH(CONCATENATE(Liste!$C$3,$B$3671,$B$3729),Data!$BO:$BO,0)-2,38)&lt;&gt;"","PFH [1/h] = "&amp;10^9*INDEX(Tab_DaBa[],MATCH(CONCATENATE(Liste!$C$3,$B$3671,$B$3729),Data!$BO:$BO,0)-2,46)&amp;"E-9","")),"")</f>
        <v/>
      </c>
      <c r="G3743" s="39"/>
      <c r="H3743" s="35" t="str">
        <f ca="1">IFERROR(IF(AND(INDEX(Tab_DaBa[],MATCH(CONCATENATE(Liste!$C$3,$B$3671,$B$3729),Data!$BO:$BO,0)-2,43)&lt;&gt;"",INDEX(Tab_DaBa[],MATCH(CONCATENATE(Liste!$C$3,$B$3671,$B$3729),Data!$BO:$BO,0)-2,48)=""),"PFH [1/h] = "&amp;10^9*INDEX(Tab_DaBa[],MATCH(CONCATENATE(Liste!$C$3,$B$3671,$B$3729),Data!$BO:$BO,0)-2,16)&amp;"E-9",IF(INDEX(Tab_DaBa[],MATCH(CONCATENATE(Liste!$C$3,$B$3671,$B$3729),Data!$BO:$BO,0)-2,43)&lt;&gt;"","PFH [1/h] = "&amp;10^9*INDEX(Tab_DaBa[],MATCH(CONCATENATE(Liste!$C$3,$B$3671,$B$3729),Data!$BO:$BO,0)-2,51)&amp;"E-9","")),"")</f>
        <v/>
      </c>
      <c r="I3743" s="39"/>
    </row>
    <row r="3744" spans="2:9" s="16" customFormat="1">
      <c r="B3744" s="33"/>
      <c r="C3744" s="33"/>
      <c r="D3744" s="33"/>
      <c r="E3744" s="33"/>
      <c r="F3744" s="33"/>
      <c r="G3744" s="33"/>
      <c r="H3744" s="33"/>
      <c r="I3744" s="33"/>
    </row>
    <row r="3745" spans="2:9" s="16" customFormat="1" ht="15.75">
      <c r="B3745" s="38" t="str">
        <f ca="1">IF(B3747="","",6)</f>
        <v/>
      </c>
      <c r="C3745" s="33"/>
      <c r="D3745" s="38" t="str">
        <f ca="1">IF(B3747="","",3)</f>
        <v/>
      </c>
      <c r="E3745" s="33"/>
      <c r="F3745" s="38" t="str">
        <f ca="1">IF(B3747="","",3)</f>
        <v/>
      </c>
      <c r="G3745" s="33"/>
      <c r="H3745" s="38" t="str">
        <f ca="1">IF(B3747="","",3)</f>
        <v/>
      </c>
      <c r="I3745" s="33"/>
    </row>
    <row r="3746" spans="2:9" s="16" customFormat="1" ht="15.75">
      <c r="B3746" s="39"/>
      <c r="C3746" s="33"/>
      <c r="D3746" s="33"/>
      <c r="E3746" s="33"/>
      <c r="F3746" s="33"/>
      <c r="G3746" s="33"/>
      <c r="H3746" s="33"/>
      <c r="I3746" s="33"/>
    </row>
    <row r="3747" spans="2:9" s="16" customFormat="1" ht="15.75">
      <c r="B3747" s="35" t="str">
        <f ca="1">IFERROR(IF(AND(INDEX(Tab_DaBa[],MATCH(CONCATENATE(Liste!$C$3,$B$3671,$B$3729),Data!$BO:$BO,0)-2,48)&lt;&gt;"",INDEX(Tab_DaBa[],MATCH(CONCATENATE(Liste!$C$3,$B$3671,$B$3729),Data!$BO:$BO,0)-2,53)=0),INDEX(Tab_DaBa[],MATCH(CONCATENATE(Liste!$C$3,$B$3671,$B$3729),Data!$BO:$BO,0)-2,14),IF(INDEX(Tab_DaBa[],MATCH(CONCATENATE(Liste!$C$3,$B$3671,$B$3729),Data!$BO:$BO,0)-2,48)&lt;&gt;"",INDEX(Tab_DaBa[],MATCH(CONCATENATE(Liste!$C$3,$B$3671,$B$3729),Data!$BO:$BO,0)-2,54),"")),"")</f>
        <v/>
      </c>
      <c r="C3747" s="39"/>
      <c r="D3747" s="35" t="str">
        <f ca="1">IFERROR(IF(AND(INDEX(Tab_DaBa[],MATCH(CONCATENATE(Liste!$C$3,$B$3671,$B$3729),Data!$BO:$BO,0)-2,53)&lt;&gt;"",INDEX(Tab_DaBa[],MATCH(CONCATENATE(Liste!$C$3,$B$3671,$B$3729),Data!$BO:$BO,0)-2,58)=0),INDEX(Tab_DaBa[],MATCH(CONCATENATE(Liste!$C$3,$B$3671,$B$3729),Data!$BO:$BO,0)-2,14),IF(INDEX(Tab_DaBa[],MATCH(CONCATENATE(Liste!$C$3,$B$3671,$B$3729),Data!$BO:$BO,0)-2,53)&lt;&gt;"",INDEX(Tab_DaBa[],MATCH(CONCATENATE(Liste!$C$3,$B$3671,$B$3729),Data!$BO:$BO,0)-2,59),"")),"")</f>
        <v/>
      </c>
      <c r="E3747" s="33"/>
      <c r="F3747" s="35" t="str">
        <f ca="1">IFERROR(IF(AND(INDEX(Tab_DaBa[],MATCH(CONCATENATE(Liste!$C$3,$B$3671,$B$3729),Data!$BO:$BO,0)-2,58)&lt;&gt;"",INDEX(Tab_DaBa[],MATCH(CONCATENATE(Liste!$C$3,$B$3671,$B$3729),Data!$BO:$BO,0)-2,63)=0),INDEX(Tab_DaBa[],MATCH(CONCATENATE(Liste!$C$3,$B$3671,$B$3729),Data!$BO:$BO,0)-2,14),IF(INDEX(Tab_DaBa[],MATCH(CONCATENATE(Liste!$C$3,$B$3671,$B$3729),Data!$BO:$BO,0)-2,58)&lt;&gt;"",INDEX(Tab_DaBa[],MATCH(CONCATENATE(Liste!$C$3,$B$3671,$B$3729),Data!$BO:$BO,0)-2,64),"")),"")</f>
        <v/>
      </c>
      <c r="G3747" s="39"/>
      <c r="H3747" s="35" t="str">
        <f ca="1">IFERROR(IF(INDEX(Tab_DaBa[],MATCH(CONCATENATE(Liste!$C$3,$B$3671,$B$3729),Data!$BO:$BO,0)-2,63)&lt;&gt;"",INDEX(Tab_DaBa[],MATCH(CONCATENATE(Liste!$C$3,$B$3671,$B$3729),Data!$BO:$BO,0)-2,14),""),"")</f>
        <v/>
      </c>
    </row>
    <row r="3748" spans="2:9" s="16" customFormat="1" ht="15.75">
      <c r="B3748" s="35" t="str">
        <f ca="1">IFERROR(IF(AND(INDEX(Tab_DaBa[],MATCH(CONCATENATE(Liste!$C$3,$B$3671,$B$3729),Data!$BO:$BO,0)-2,48)&lt;&gt;"",INDEX(Tab_DaBa[],MATCH(CONCATENATE(Liste!$C$3,$B$3671,$B$3729),Data!$BO:$BO,0)-2,53)=0),INDEX(Tab_DaBa[],MATCH(CONCATENATE(Liste!$C$3,$B$3671,$B$3729),Data!$BO:$BO,0)-2,12),IF(INDEX(Tab_DaBa[],MATCH(CONCATENATE(Liste!$C$3,$B$3671,$B$3729),Data!$BO:$BO,0)-2,48)&lt;&gt;"",INDEX(Tab_DaBa[],MATCH(CONCATENATE(Liste!$C$3,$B$3671,$B$3729),Data!$BO:$BO,0)-2,52),"")),"")</f>
        <v/>
      </c>
      <c r="C3748" s="39"/>
      <c r="D3748" s="35" t="str">
        <f ca="1">IFERROR(IF(AND(INDEX(Tab_DaBa[],MATCH(CONCATENATE(Liste!$C$3,$B$3671,$B$3729),Data!$BO:$BO,0)-2,53)&lt;&gt;"",INDEX(Tab_DaBa[],MATCH(CONCATENATE(Liste!$C$3,$B$3671,$B$3729),Data!$BO:$BO,0)-2,58)=0),INDEX(Tab_DaBa[],MATCH(CONCATENATE(Liste!$C$3,$B$3671,$B$3729),Data!$BO:$BO,0)-2,12),IF(INDEX(Tab_DaBa[],MATCH(CONCATENATE(Liste!$C$3,$B$3671,$B$3729),Data!$BO:$BO,0)-2,53)&lt;&gt;"",INDEX(Tab_DaBa[],MATCH(CONCATENATE(Liste!$C$3,$B$3671,$B$3729),Data!$BO:$BO,0)-2,57),"")),"")</f>
        <v/>
      </c>
      <c r="E3748" s="37"/>
      <c r="F3748" s="35" t="str">
        <f ca="1">IFERROR(IF(AND(INDEX(Tab_DaBa[],MATCH(CONCATENATE(Liste!$C$3,$B$3671,$B$3729),Data!$BO:$BO,0)-2,58)&lt;&gt;"",INDEX(Tab_DaBa[],MATCH(CONCATENATE(Liste!$C$3,$B$3671,$B$3729),Data!$BO:$BO,0)-2,63)=0),INDEX(Tab_DaBa[],MATCH(CONCATENATE(Liste!$C$3,$B$3671,$B$3729),Data!$BO:$BO,0)-2,12),IF(INDEX(Tab_DaBa[],MATCH(CONCATENATE(Liste!$C$3,$B$3671,$B$3729),Data!$BO:$BO,0)-2,58)&lt;&gt;"",INDEX(Tab_DaBa[],MATCH(CONCATENATE(Liste!$C$3,$B$3671,$B$3729),Data!$BO:$BO,0)-2,62),"")),"")</f>
        <v/>
      </c>
      <c r="G3748" s="39"/>
      <c r="H3748" s="35" t="str">
        <f ca="1">IFERROR(IF(INDEX(Tab_DaBa[],MATCH(CONCATENATE(Liste!$C$3,$B$3671,$B$3729),Data!$BO:$BO,0)-2,63)&lt;&gt;"",INDEX(Tab_DaBa[],MATCH(CONCATENATE(Liste!$C$3,$B$3671,$B$3729),Data!$BO:$BO,0)-2,12),""),"")</f>
        <v/>
      </c>
    </row>
    <row r="3749" spans="2:9" s="16" customFormat="1" ht="15.75">
      <c r="B3749" s="35" t="str">
        <f ca="1">IFERROR(IF(AND(INDEX(Tab_DaBa[],MATCH(CONCATENATE(Liste!$C$3,$B$3671,$B$3729),Data!$BO:$BO,0)-2,48)&lt;&gt;"",INDEX(Tab_DaBa[],MATCH(CONCATENATE(Liste!$C$3,$B$3671,$B$3729),Data!$BO:$BO,0)-2,53)=""),INDEX(Tab_DaBa[],MATCH(CONCATENATE(Liste!$C$3,$B$3671,$B$3729),Data!$BO:$BO,0)-2,13),IF(INDEX(Tab_DaBa[],MATCH(CONCATENATE(Liste!$C$3,$B$3671,$B$3729),Data!$BO:$BO,0)-2,48)&lt;&gt;"",INDEX(Tab_DaBa[],MATCH(CONCATENATE(Liste!$C$3,$B$3671,$B$3729),Data!$BO:$BO,0)-2,53),"")),"")</f>
        <v/>
      </c>
      <c r="C3749" s="38" t="str">
        <f ca="1">IF(D3747="","",4)</f>
        <v/>
      </c>
      <c r="D3749" s="35" t="str">
        <f ca="1">IFERROR(IF(AND(INDEX(Tab_DaBa[],MATCH(CONCATENATE(Liste!$C$3,$B$3671,$B$3729),Data!$BO:$BO,0)-2,53)&lt;&gt;"",INDEX(Tab_DaBa[],MATCH(CONCATENATE(Liste!$C$3,$B$3671,$B$3729),Data!$BO:$BO,0)-2,58)=""),INDEX(Tab_DaBa[],MATCH(CONCATENATE(Liste!$C$3,$B$3671,$B$3729),Data!$BO:$BO,0)-2,13),IF(INDEX(Tab_DaBa[],MATCH(CONCATENATE(Liste!$C$3,$B$3671,$B$3729),Data!$BO:$BO,0)-2,53)&lt;&gt;"",INDEX(Tab_DaBa[],MATCH(CONCATENATE(Liste!$C$3,$B$3671,$B$3729),Data!$BO:$BO,0)-2,58),"")),"")</f>
        <v/>
      </c>
      <c r="E3749" s="38" t="str">
        <f ca="1">IF(F3747="","",4)</f>
        <v/>
      </c>
      <c r="F3749" s="35" t="str">
        <f ca="1">IFERROR(IF(AND(INDEX(Tab_DaBa[],MATCH(CONCATENATE(Liste!$C$3,$B$3671,$B$3729),Data!$BO:$BO,0)-2,58)&lt;&gt;"",INDEX(Tab_DaBa[],MATCH(CONCATENATE(Liste!$C$3,$B$3671,$B$3729),Data!$BO:$BO,0)-2,63)=""),INDEX(Tab_DaBa[],MATCH(CONCATENATE(Liste!$C$3,$B$3671,$B$3729),Data!$BO:$BO,0)-2,13),IF(INDEX(Tab_DaBa[],MATCH(CONCATENATE(Liste!$C$3,$B$3671,$B$3729),Data!$BO:$BO,0)-2,58)&lt;&gt;"",INDEX(Tab_DaBa[],MATCH(CONCATENATE(Liste!$C$3,$B$3671,$B$3729),Data!$BO:$BO,0)-2,63),"")),"")</f>
        <v/>
      </c>
      <c r="G3749" s="38" t="str">
        <f ca="1">IF(H3747="","",4)</f>
        <v/>
      </c>
      <c r="H3749" s="35" t="str">
        <f ca="1">IFERROR(IF(INDEX(Tab_DaBa[],MATCH(CONCATENATE(Liste!$C$3,$B$3671,$B$3729),Data!$BO:$BO,0)-2,63)&lt;&gt;"",INDEX(Tab_DaBa[],MATCH(CONCATENATE(Liste!$C$3,$B$3671,$B$3729),Data!$BO:$BO,0)-2,13),""),"")</f>
        <v/>
      </c>
    </row>
    <row r="3750" spans="2:9" s="16" customFormat="1" ht="15.75">
      <c r="B3750" s="35" t="str">
        <f ca="1">IFERROR(IF(AND(INDEX(Tab_DaBa[],MATCH(CONCATENATE(Liste!$C$3,$B$3671,$B$3729),Data!$BO:$BO,0)-2,48)&lt;&gt;"",INDEX(Tab_DaBa[],MATCH(CONCATENATE(Liste!$C$3,$B$3671,$B$3729),Data!$BO:$BO,0)-2,53)=""),"Performance Level: "&amp;INDEX(Tab_DaBa[],MATCH(CONCATENATE(Liste!$C$3,$B$3671,$B$3729),Data!$BO:$BO,0)-2,15),IF(INDEX(Tab_DaBa[],MATCH(CONCATENATE(Liste!$C$3,$B$3671,$B$3729),Data!$BO:$BO,0)-2,48)&lt;&gt;"","Performance Level: "&amp;INDEX(Tab_DaBa[],MATCH(CONCATENATE(Liste!$C$3,$B$3671,$B$3729),Data!$BO:$BO,0)-2,55),"")),"")</f>
        <v/>
      </c>
      <c r="C3750" s="39"/>
      <c r="D3750" s="35" t="str">
        <f ca="1">IFERROR(IF(AND(INDEX(Tab_DaBa[],MATCH(CONCATENATE(Liste!$C$3,$B$3671,$B$3729),Data!$BO:$BO,0)-2,53)&lt;&gt;"",INDEX(Tab_DaBa[],MATCH(CONCATENATE(Liste!$C$3,$B$3671,$B$3729),Data!$BO:$BO,0)-2,58)=""),"Performance Level: "&amp;INDEX(Tab_DaBa[],MATCH(CONCATENATE(Liste!$C$3,$B$3671,$B$3729),Data!$BO:$BO,0)-2,15),IF(INDEX(Tab_DaBa[],MATCH(CONCATENATE(Liste!$C$3,$B$3671,$B$3729),Data!$BO:$BO,0)-2,53)&lt;&gt;"","Performance Level: "&amp;INDEX(Tab_DaBa[],MATCH(CONCATENATE(Liste!$C$3,$B$3671,$B$3729),Data!$BO:$BO,0)-2,60),"")),"")</f>
        <v/>
      </c>
      <c r="E3750" s="37"/>
      <c r="F3750" s="35" t="str">
        <f ca="1">IFERROR(IF(AND(INDEX(Tab_DaBa[],MATCH(CONCATENATE(Liste!$C$3,$B$3671,$B$3729),Data!$BO:$BO,0)-2,58)&lt;&gt;"",INDEX(Tab_DaBa[],MATCH(CONCATENATE(Liste!$C$3,$B$3671,$B$3729),Data!$BO:$BO,0)-2,63)=""),"Performance Level: "&amp;INDEX(Tab_DaBa[],MATCH(CONCATENATE(Liste!$C$3,$B$3671,$B$3729),Data!$BO:$BO,0)-2,15),IF(INDEX(Tab_DaBa[],MATCH(CONCATENATE(Liste!$C$3,$B$3671,$B$3729),Data!$BO:$BO,0)-2,58)&lt;&gt;"","Performance Level: "&amp;INDEX(Tab_DaBa[],MATCH(CONCATENATE(Liste!$C$3,$B$3671,$B$3729),Data!$BO:$BO,0)-2,65),"")),"")</f>
        <v/>
      </c>
      <c r="G3750" s="39"/>
      <c r="H3750" s="35" t="str">
        <f ca="1">IFERROR(IF(INDEX(Tab_DaBa[],MATCH(CONCATENATE(Liste!$C$3,$B$3671,$B$3729),Data!$BO:$BO,0)-2,63)&lt;&gt;"","Performance Level: "&amp;INDEX(Tab_DaBa[],MATCH(CONCATENATE(Liste!$C$3,$B$3671,$B$3729),Data!$BO:$BO,0)-2,15),""),"")</f>
        <v/>
      </c>
    </row>
    <row r="3751" spans="2:9" s="16" customFormat="1" ht="15.75">
      <c r="B3751" s="35" t="str">
        <f ca="1">IFERROR(IF(AND(INDEX(Tab_DaBa[],MATCH(CONCATENATE(Liste!$C$3,$B$3671,$B$3729),Data!$BO:$BO,0)-2,48)&lt;&gt;"",INDEX(Tab_DaBa[],MATCH(CONCATENATE(Liste!$C$3,$B$3671,$B$3729),Data!$BO:$BO,0)-2,53)=""),"PFH [1/h] = "&amp;10^9*INDEX(Tab_DaBa[],MATCH(CONCATENATE(Liste!$C$3,$B$3671,$B$3729),Data!$BO:$BO,0)-2,16)&amp;"E-9",IF(INDEX(Tab_DaBa[],MATCH(CONCATENATE(Liste!$C$3,$B$3671,$B$3729),Data!$BO:$BO,0)-2,48)&lt;&gt;"","PFH [1/h] = "&amp;10^9*INDEX(Tab_DaBa[],MATCH(CONCATENATE(Liste!$C$3,$B$3671,$B$3729),Data!$BO:$BO,0)-2,56)&amp;"E-9","")),"")</f>
        <v/>
      </c>
      <c r="C3751" s="39"/>
      <c r="D3751" s="35" t="str">
        <f ca="1">IFERROR(IF(AND(INDEX(Tab_DaBa[],MATCH(CONCATENATE(Liste!$C$3,$B$3671,$B$3729),Data!$BO:$BO,0)-2,53)&lt;&gt;"",INDEX(Tab_DaBa[],MATCH(CONCATENATE(Liste!$C$3,$B$3671,$B$3729),Data!$BO:$BO,0)-2,58)=""),"PFH [1/h] = "&amp;10^9*INDEX(Tab_DaBa[],MATCH(CONCATENATE(Liste!$C$3,$B$3671,$B$3729),Data!$BO:$BO,0)-2,16)&amp;"E-9",IF(INDEX(Tab_DaBa[],MATCH(CONCATENATE(Liste!$C$3,$B$3671,$B$3729),Data!$BO:$BO,0)-2,53)&lt;&gt;"","PFH [1/h] = "&amp;10^9*INDEX(Tab_DaBa[],MATCH(CONCATENATE(Liste!$C$3,$B$3671,$B$3729),Data!$BO:$BO,0)-2,61)&amp;"E-9","")),"")</f>
        <v/>
      </c>
      <c r="E3751" s="37"/>
      <c r="F3751" s="35" t="str">
        <f ca="1">IFERROR(IF(AND(INDEX(Tab_DaBa[],MATCH(CONCATENATE(Liste!$C$3,$B$3671,$B$3729),Data!$BO:$BO,0)-2,58)&lt;&gt;"",INDEX(Tab_DaBa[],MATCH(CONCATENATE(Liste!$C$3,$B$3671,$B$3729),Data!$BO:$BO,0)-2,63)=""),"PFH [1/h] = "&amp;10^9*INDEX(Tab_DaBa[],MATCH(CONCATENATE(Liste!$C$3,$B$3671,$B$3729),Data!$BO:$BO,0)-2,16)&amp;"E-9",IF(INDEX(Tab_DaBa[],MATCH(CONCATENATE(Liste!$C$3,$B$3671,$B$3729),Data!$BO:$BO,0)-2,58)&lt;&gt;"","PFH [1/h] = "&amp;10^9*INDEX(Tab_DaBa[],MATCH(CONCATENATE(Liste!$C$3,$B$3671,$B$3729),Data!$BO:$BO,0)-2,66)&amp;"E-9","")),"")</f>
        <v/>
      </c>
      <c r="G3751" s="39"/>
      <c r="H3751" s="35" t="str">
        <f ca="1">IFERROR(IF(INDEX(Tab_DaBa[],MATCH(CONCATENATE(Liste!$C$3,$B$3671,$B$3729),Data!$BO:$BO,0)-2,63)&lt;&gt;"","PFH [1/h] = "&amp;10^9*INDEX(Tab_DaBa[],MATCH(CONCATENATE(Liste!$C$3,$B$3671,$B$3729),Data!$BO:$BO,0)-2,16)&amp;"E-9",""),"")</f>
        <v/>
      </c>
    </row>
    <row r="3752" spans="2:9" s="16" customFormat="1"/>
    <row r="3753" spans="2:9" s="16" customFormat="1">
      <c r="B3753" s="43" t="str">
        <f ca="1">IF(D3753="","","Erforderlich")</f>
        <v>Erforderlich</v>
      </c>
      <c r="D3753" s="44" t="str">
        <f ca="1">IFERROR("Performance Level: "&amp;INDEX(Tab_DaBa[],MATCH(CONCATENATE(Liste!$C$3,$B$3671,$B$3729),Data!$BO:$BO,0)-2,4),"")</f>
        <v>Performance Level: PLr_ges4_3</v>
      </c>
    </row>
    <row r="3754" spans="2:9" s="16" customFormat="1">
      <c r="B3754" s="45"/>
    </row>
    <row r="3755" spans="2:9" s="16" customFormat="1">
      <c r="B3755" s="46" t="str">
        <f ca="1">IF(D3755="","","Erreicht")</f>
        <v>Erreicht</v>
      </c>
      <c r="D3755" s="47" t="str">
        <f ca="1">IFERROR("Performance Level: "&amp;INDEX(Tab_DaBa[],MATCH(CONCATENATE(Liste!$C$3,$B$3671,$B$3729),Data!$BO:$BO,0)-2,5)&amp;"          PFH [1/h] = "&amp;10^9*INDEX(Tab_DaBa[],MATCH(CONCATENATE(Liste!$C$3,$B$3671,$B$3729),Data!$BO:$BO,0)-2,6)&amp;"E-9","")</f>
        <v>Performance Level: Pl_ges4_3          PFH [1/h] = 71,7E-9</v>
      </c>
    </row>
    <row r="3756" spans="2:9" s="16" customFormat="1"/>
    <row r="3757" spans="2:9" s="16" customFormat="1">
      <c r="B3757" s="42" t="str">
        <f ca="1">IFERROR(IF(4&gt;COUNTIF(Data!$BP:$BP,CONCATENATE(Liste!$C$3,$B$3671)),"",INDEX(Tab_DaBa[],MATCH(CONCATENATE(Liste!$C$3,$B$3671),Data!$BP:$BP,0)+1,3)),"")</f>
        <v>14.4 Test14 (E+4L+A)</v>
      </c>
    </row>
    <row r="3758" spans="2:9" s="16" customFormat="1"/>
    <row r="3759" spans="2:9" s="16" customFormat="1" ht="15.75">
      <c r="B3759" s="35" t="str">
        <f ca="1">IFERROR(INDEX(Tab_DaBa[],MATCH(CONCATENATE(Liste!$C$3,$B$3671,$B$3757),Data!$BO:$BO,0)-2,9),"")</f>
        <v>Eingang</v>
      </c>
      <c r="C3759" s="54"/>
      <c r="D3759" s="35" t="str">
        <f ca="1">IFERROR(IF(INDEX(Tab_DaBa[],MATCH(CONCATENATE(Liste!$C$3,$B$3671,$B$3757),Data!$BO:$BO,0)-2,18)=0,INDEX(Tab_DaBa[],MATCH(CONCATENATE(Liste!$C$3,$B$3671,$B$3757),Data!$BO:$BO,0)-2,14),INDEX(Tab_DaBa[],MATCH(CONCATENATE(Liste!$C$3,$B$3671,$B$3757),Data!$BO:$BO,0)-2,19)),"")</f>
        <v>Logik 01</v>
      </c>
      <c r="E3759" s="33"/>
      <c r="F3759" s="35" t="str">
        <f ca="1">IFERROR(IF(AND(INDEX(Tab_DaBa[],MATCH(CONCATENATE(Liste!$C$3,$B$3671,$B$3757),Data!$BO:$BO,0)-2,18)&lt;&gt;"",INDEX(Tab_DaBa[],MATCH(CONCATENATE(Liste!$C$3,$B$3671,$B$3757),Data!$BO:$BO,0)-2,23)=0),INDEX(Tab_DaBa[],MATCH(CONCATENATE(Liste!$C$3,$B$3671,$B$3757),Data!$BO:$BO,0)-2,14),IF(INDEX(Tab_DaBa[],MATCH(CONCATENATE(Liste!$C$3,$B$3671,$B$3757),Data!$BO:$BO,0)-2,23)&lt;&gt;"",INDEX(Tab_DaBa[],MATCH(CONCATENATE(Liste!$C$3,$B$3671,$B$3757),Data!$BO:$BO,0)-2,24),"")),"")</f>
        <v>Logik 02</v>
      </c>
      <c r="G3759" s="39"/>
      <c r="H3759" s="35" t="str">
        <f ca="1">IFERROR(IF(AND(INDEX(Tab_DaBa[],MATCH(CONCATENATE(Liste!$C$3,$B$3671,$B$3757),Data!$BO:$BO,0)-2,23)&lt;&gt;"",INDEX(Tab_DaBa[],MATCH(CONCATENATE(Liste!$C$3,$B$3671,$B$3757),Data!$BO:$BO,0)-2,28)=0),INDEX(Tab_DaBa[],MATCH(CONCATENATE(Liste!$C$3,$B$3671,$B$3757),Data!$BO:$BO,0)-2,14),IF(INDEX(Tab_DaBa[],MATCH(CONCATENATE(Liste!$C$3,$B$3671,$B$3757),Data!$BO:$BO,0)-2,23)&lt;&gt;"",INDEX(Tab_DaBa[],MATCH(CONCATENATE(Liste!$C$3,$B$3671,$B$3757),Data!$BO:$BO,0)-2,29),"")),"")</f>
        <v>Logik 03</v>
      </c>
      <c r="I3759" s="39"/>
    </row>
    <row r="3760" spans="2:9" s="16" customFormat="1" ht="15.75">
      <c r="B3760" s="35" t="str">
        <f ca="1">IFERROR(INDEX(Tab_DaBa[],MATCH(CONCATENATE(Liste!$C$3,$B$3671,$B$3757),Data!$BO:$BO,0)-2,7),"")</f>
        <v>eeee-33_4</v>
      </c>
      <c r="C3760" s="54"/>
      <c r="D3760" s="35" t="str">
        <f ca="1">IFERROR(IF(INDEX(Tab_DaBa[],MATCH(CONCATENATE(Liste!$C$3,$B$3671,$B$3757),Data!$BO:$BO,0)-2,18)="",INDEX(Tab_DaBa[],MATCH(CONCATENATE(Liste!$C$3,$B$3671,$B$3757),Data!$BO:$BO,0)-2,12),INDEX(Tab_DaBa[],MATCH(CONCATENATE(Liste!$C$3,$B$3671,$B$3757),Data!$BO:$BO,0)-2,17)),"")</f>
        <v>Log01-04_04</v>
      </c>
      <c r="E3760" s="36"/>
      <c r="F3760" s="35" t="str">
        <f ca="1">IFERROR(IF(AND(INDEX(Tab_DaBa[],MATCH(CONCATENATE(Liste!$C$3,$B$3671,$B$3757),Data!$BO:$BO,0)-2,18)&lt;&gt;"",INDEX(Tab_DaBa[],MATCH(CONCATENATE(Liste!$C$3,$B$3671,$B$3757),Data!$BO:$BO,0)-2,23)=0),INDEX(Tab_DaBa[],MATCH(CONCATENATE(Liste!$C$3,$B$3671,$B$3757),Data!$BO:$BO,0)-2,12),IF(INDEX(Tab_DaBa[],MATCH(CONCATENATE(Liste!$C$3,$B$3671,$B$3757),Data!$BO:$BO,0)-2,23)&lt;&gt;"",INDEX(Tab_DaBa[],MATCH(CONCATENATE(Liste!$C$3,$B$3671,$B$3757),Data!$BO:$BO,0)-2,22),"")),"")</f>
        <v>Lo04-04_04</v>
      </c>
      <c r="G3760" s="39"/>
      <c r="H3760" s="35" t="str">
        <f ca="1">IFERROR(IF(AND(INDEX(Tab_DaBa[],MATCH(CONCATENATE(Liste!$C$3,$B$3671,$B$3757),Data!$BO:$BO,0)-2,23)&lt;&gt;"",INDEX(Tab_DaBa[],MATCH(CONCATENATE(Liste!$C$3,$B$3671,$B$3757),Data!$BO:$BO,0)-2,28)=0),INDEX(Tab_DaBa[],MATCH(CONCATENATE(Liste!$C$3,$B$3671,$B$3757),Data!$BO:$BO,0)-2,12),IF(INDEX(Tab_DaBa[],MATCH(CONCATENATE(Liste!$C$3,$B$3671,$B$3757),Data!$BO:$BO,0)-2,23)&lt;&gt;"",INDEX(Tab_DaBa[],MATCH(CONCATENATE(Liste!$C$3,$B$3671,$B$3757),Data!$BO:$BO,0)-2,27),"")),"")</f>
        <v>Lo04-44_04</v>
      </c>
      <c r="I3760" s="39"/>
    </row>
    <row r="3761" spans="2:9" s="16" customFormat="1" ht="15.75">
      <c r="B3761" s="35" t="str">
        <f ca="1">IFERROR(INDEX(Tab_DaBa[],MATCH(CONCATENATE(Liste!$C$3,$B$3671,$B$3757),Data!$BO:$BO,0)-2,8),"")</f>
        <v>Bez_Ein4_4</v>
      </c>
      <c r="C3761" s="40">
        <f ca="1">IF(D3759="","",4)</f>
        <v>4</v>
      </c>
      <c r="D3761" s="35" t="str">
        <f ca="1">IFERROR(IF(INDEX(Tab_DaBa[],MATCH(CONCATENATE(Liste!$C$3,$B$3671,$B$3757),Data!$BO:$BO,0)-2,18)="",INDEX(Tab_DaBa[],MATCH(CONCATENATE(Liste!$C$3,$B$3671,$B$3757),Data!$BO:$BO,0)-2,13),INDEX(Tab_DaBa[],MATCH(CONCATENATE(Liste!$C$3,$B$3671,$B$3757),Data!$BO:$BO,0)-2,18)),"")</f>
        <v>Bez_Log01_04_04</v>
      </c>
      <c r="E3761" s="40">
        <f ca="1">IF(F3759="","",4)</f>
        <v>4</v>
      </c>
      <c r="F3761" s="35" t="str">
        <f ca="1">IFERROR(IF(AND(INDEX(Tab_DaBa[],MATCH(CONCATENATE(Liste!$C$3,$B$3671,$B$3757),Data!$BO:$BO,0)-2,18)&lt;&gt;"",INDEX(Tab_DaBa[],MATCH(CONCATENATE(Liste!$C$3,$B$3671,$B$3757),Data!$BO:$BO,0)-2,23)=""),INDEX(Tab_DaBa[],MATCH(CONCATENATE(Liste!$C$3,$B$3671,$B$3757),Data!$BO:$BO,0)-2,13),IF(INDEX(Tab_DaBa[],MATCH(CONCATENATE(Liste!$C$3,$B$3671,$B$3757),Data!$BO:$BO,0)-2,23)&lt;&gt;"",INDEX(Tab_DaBa[],MATCH(CONCATENATE(Liste!$C$3,$B$3671,$B$3757),Data!$BO:$BO,0)-2,23),"")),"")</f>
        <v>Bez_Lo04_04</v>
      </c>
      <c r="G3761" s="38">
        <f ca="1">IF(H3759="","",4)</f>
        <v>4</v>
      </c>
      <c r="H3761" s="35" t="str">
        <f ca="1">IFERROR(IF(AND(INDEX(Tab_DaBa[],MATCH(CONCATENATE(Liste!$C$3,$B$3671,$B$3757),Data!$BO:$BO,0)-2,23)&lt;&gt;"",INDEX(Tab_DaBa[],MATCH(CONCATENATE(Liste!$C$3,$B$3671,$B$3757),Data!$BO:$BO,0)-2,28)=""),INDEX(Tab_DaBa[],MATCH(CONCATENATE(Liste!$C$3,$B$3671,$B$3757),Data!$BO:$BO,0)-2,13),IF(INDEX(Tab_DaBa[],MATCH(CONCATENATE(Liste!$C$3,$B$3671,$B$3757),Data!$BO:$BO,0)-2,23)&lt;&gt;"",INDEX(Tab_DaBa[],MATCH(CONCATENATE(Liste!$C$3,$B$3671,$B$3757),Data!$BO:$BO,0)-2,28),"")),"")</f>
        <v>Bez_Lo04_04</v>
      </c>
      <c r="I3761" s="38">
        <f ca="1">IF(B3767="","",6)</f>
        <v>6</v>
      </c>
    </row>
    <row r="3762" spans="2:9" s="16" customFormat="1" ht="15.75">
      <c r="B3762" s="35" t="str">
        <f ca="1">IFERROR("Performance Level: "&amp;INDEX(Tab_DaBa[],MATCH(CONCATENATE(Liste!$C$3,$B$3671,$B$3757),Data!$BO:$BO,0)-2,10),"")</f>
        <v>Performance Level: PL_Ein4_4</v>
      </c>
      <c r="C3762" s="54"/>
      <c r="D3762" s="35" t="str">
        <f ca="1">IFERROR(IF(INDEX(Tab_DaBa[],MATCH(CONCATENATE(Liste!$C$3,$B$3671,$B$3757),Data!$BO:$BO,0)-2,18)="","Performance Level: "&amp;INDEX(Tab_DaBa[],MATCH(CONCATENATE(Liste!$C$3,$B$3671,$B$3757),Data!$BO:$BO,0)-2,15),"Performance Level: "&amp;INDEX(Tab_DaBa[],MATCH(CONCATENATE(Liste!$C$3,$B$3671,$B$3757),Data!$BO:$BO,0)-2,20)),"")</f>
        <v>Performance Level: PL_Log01_04_04</v>
      </c>
      <c r="E3762" s="36"/>
      <c r="F3762" s="35" t="str">
        <f ca="1">IFERROR(IF(AND(INDEX(Tab_DaBa[],MATCH(CONCATENATE(Liste!$C$3,$B$3671,$B$3757),Data!$BO:$BO,0)-2,18)&lt;&gt;"",INDEX(Tab_DaBa[],MATCH(CONCATENATE(Liste!$C$3,$B$3671,$B$3757),Data!$BO:$BO,0)-2,23)=""),"Performance Level: "&amp;INDEX(Tab_DaBa[],MATCH(CONCATENATE(Liste!$C$3,$B$3671,$B$3757),Data!$BO:$BO,0)-2,15),IF(INDEX(Tab_DaBa[],MATCH(CONCATENATE(Liste!$C$3,$B$3671,$B$3757),Data!$BO:$BO,0)-2,23)&lt;&gt;"","Performance Level: "&amp;INDEX(Tab_DaBa[],MATCH(CONCATENATE(Liste!$C$3,$B$3671,$B$3757),Data!$BO:$BO,0)-2,25),"")),"")</f>
        <v>Performance Level: PL_Lo04_04</v>
      </c>
      <c r="G3762" s="39"/>
      <c r="H3762" s="35" t="str">
        <f ca="1">IFERROR(IF(AND(INDEX(Tab_DaBa[],MATCH(CONCATENATE(Liste!$C$3,$B$3671,$B$3757),Data!$BO:$BO,0)-2,23)&lt;&gt;"",INDEX(Tab_DaBa[],MATCH(CONCATENATE(Liste!$C$3,$B$3671,$B$3757),Data!$BO:$BO,0)-2,28)=""),"Performance Level: "&amp;INDEX(Tab_DaBa[],MATCH(CONCATENATE(Liste!$C$3,$B$3671,$B$3757),Data!$BO:$BO,0)-2,15),IF(INDEX(Tab_DaBa[],MATCH(CONCATENATE(Liste!$C$3,$B$3671,$B$3757),Data!$BO:$BO,0)-2,23)&lt;&gt;"","Performance Level: "&amp;INDEX(Tab_DaBa[],MATCH(CONCATENATE(Liste!$C$3,$B$3671,$B$3757),Data!$BO:$BO,0)-2,30),"")),"")</f>
        <v>Performance Level: PL_Lo04_04</v>
      </c>
      <c r="I3762" s="38"/>
    </row>
    <row r="3763" spans="2:9" s="16" customFormat="1" ht="15.75">
      <c r="B3763" s="53" t="str">
        <f ca="1">IFERROR("PFH [1/h] = "&amp;10^9*INDEX(Tab_DaBa[],MATCH(CONCATENATE(Liste!$C$3,$B$3671,$B$3757),Data!$BO:$BO,0)-2,11)&amp;"E-9","")</f>
        <v>PFH [1/h] = 42,9E-9</v>
      </c>
      <c r="C3763" s="54"/>
      <c r="D3763" s="35" t="str">
        <f ca="1">IFERROR(IF(INDEX(Tab_DaBa[],MATCH(CONCATENATE(Liste!$C$3,$B$3671,$B$3757),Data!$BO:$BO,0)-2,18)="","PFH [1/h] = "&amp;10^9*INDEX(Tab_DaBa[],MATCH(CONCATENATE(Liste!$C$3,$B$3671,$B$3757),Data!$BO:$BO,0)-2,16)&amp;"E-9","PFH [1/h] = "&amp;10^9*INDEX(Tab_DaBa[],MATCH(CONCATENATE(Liste!$C$3,$B$3671,$B$3757),Data!$BO:$BO,0)-2,21)&amp;"E-9"),"")</f>
        <v>PFH [1/h] = 4,19E-9</v>
      </c>
      <c r="E3763" s="36"/>
      <c r="F3763" s="35" t="str">
        <f ca="1">IFERROR(IF(AND(INDEX(Tab_DaBa[],MATCH(CONCATENATE(Liste!$C$3,$B$3671,$B$3757),Data!$BO:$BO,0)-2,18)&lt;&gt;"",INDEX(Tab_DaBa[],MATCH(CONCATENATE(Liste!$C$3,$B$3671,$B$3757),Data!$BO:$BO,0)-2,23)=""),"PFH [1/h] = "&amp;10^9*INDEX(Tab_DaBa[],MATCH(CONCATENATE(Liste!$C$3,$B$3671,$B$3757),Data!$BO:$BO,0)-2,16)&amp;"E-9",IF(INDEX(Tab_DaBa[],MATCH(CONCATENATE(Liste!$C$3,$B$3671,$B$3757),Data!$BO:$BO,0)-2,23)&lt;&gt;"","PFH [1/h] = "&amp;10^9*INDEX(Tab_DaBa[],MATCH(CONCATENATE(Liste!$C$3,$B$3671,$B$3757),Data!$BO:$BO,0)-2,26)&amp;"E-9","")),"")</f>
        <v>PFH [1/h] = 4,19E-9</v>
      </c>
      <c r="G3763" s="39"/>
      <c r="H3763" s="35" t="str">
        <f ca="1">IFERROR(IF(AND(INDEX(Tab_DaBa[],MATCH(CONCATENATE(Liste!$C$3,$B$3671,$B$3757),Data!$BO:$BO,0)-2,23)&lt;&gt;"",INDEX(Tab_DaBa[],MATCH(CONCATENATE(Liste!$C$3,$B$3671,$B$3757),Data!$BO:$BO,0)-2,28)=""),"PFH [1/h] = "&amp;10^9*INDEX(Tab_DaBa[],MATCH(CONCATENATE(Liste!$C$3,$B$3671,$B$3757),Data!$BO:$BO,0)-2,16)&amp;"E-9",IF(INDEX(Tab_DaBa[],MATCH(CONCATENATE(Liste!$C$3,$B$3671,$B$3757),Data!$BO:$BO,0)-2,23)&lt;&gt;"","PFH [1/h] = "&amp;10^9*INDEX(Tab_DaBa[],MATCH(CONCATENATE(Liste!$C$3,$B$3671,$B$3757),Data!$BO:$BO,0)-2,31)&amp;"E-9","")),"")</f>
        <v>PFH [1/h] = 4,19E-9</v>
      </c>
      <c r="I3763" s="39"/>
    </row>
    <row r="3764" spans="2:9" s="16" customFormat="1">
      <c r="B3764" s="33"/>
      <c r="C3764" s="34"/>
      <c r="D3764" s="33"/>
      <c r="E3764" s="33"/>
      <c r="F3764" s="33"/>
      <c r="G3764" s="33"/>
      <c r="H3764" s="33"/>
      <c r="I3764" s="33"/>
    </row>
    <row r="3765" spans="2:9" s="16" customFormat="1" ht="15.75">
      <c r="B3765" s="38">
        <f ca="1">IF(B3767="","",6)</f>
        <v>6</v>
      </c>
      <c r="C3765" s="34"/>
      <c r="D3765" s="38">
        <f ca="1">IF(B3767="","",3)</f>
        <v>3</v>
      </c>
      <c r="E3765" s="33"/>
      <c r="F3765" s="38">
        <f ca="1">IF(B3767="","",3)</f>
        <v>3</v>
      </c>
      <c r="G3765" s="33"/>
      <c r="H3765" s="38">
        <f ca="1">IF(B3767="","",3)</f>
        <v>3</v>
      </c>
      <c r="I3765" s="33"/>
    </row>
    <row r="3766" spans="2:9" s="16" customFormat="1" ht="15.75">
      <c r="B3766" s="39"/>
      <c r="C3766" s="33"/>
      <c r="D3766" s="33"/>
      <c r="E3766" s="33"/>
      <c r="F3766" s="33"/>
      <c r="G3766" s="33"/>
      <c r="H3766" s="33"/>
      <c r="I3766" s="33"/>
    </row>
    <row r="3767" spans="2:9" s="16" customFormat="1" ht="15.75">
      <c r="B3767" s="35" t="str">
        <f ca="1">IFERROR(IF(AND(INDEX(Tab_DaBa[],MATCH(CONCATENATE(Liste!$C$3,$B$3671,$B$3757),Data!$BO:$BO,0)-2,28)&lt;&gt;"",INDEX(Tab_DaBa[],MATCH(CONCATENATE(Liste!$C$3,$B$3671,$B$3757),Data!$BO:$BO,0)-2,33)=0),INDEX(Tab_DaBa[],MATCH(CONCATENATE(Liste!$C$3,$B$3671,$B$3757),Data!$BO:$BO,0)-2,14),IF(INDEX(Tab_DaBa[],MATCH(CONCATENATE(Liste!$C$3,$B$3671,$B$3757),Data!$BO:$BO,0)-2,28)&lt;&gt;"",INDEX(Tab_DaBa[],MATCH(CONCATENATE(Liste!$C$3,$B$3671,$B$3757),Data!$BO:$BO,0)-2,34),"")),"")</f>
        <v>Logik 04</v>
      </c>
      <c r="C3767" s="39"/>
      <c r="D3767" s="35" t="str">
        <f ca="1">IFERROR(IF(AND(INDEX(Tab_DaBa[],MATCH(CONCATENATE(Liste!$C$3,$B$3671,$B$3757),Data!$BO:$BO,0)-2,33)&lt;&gt;"",INDEX(Tab_DaBa[],MATCH(CONCATENATE(Liste!$C$3,$B$3671,$B$3757),Data!$BO:$BO,0)-2,38)=0),INDEX(Tab_DaBa[],MATCH(CONCATENATE(Liste!$C$3,$B$3671,$B$3757),Data!$BO:$BO,0)-2,14),IF(INDEX(Tab_DaBa[],MATCH(CONCATENATE(Liste!$C$3,$B$3671,$B$3757),Data!$BO:$BO,0)-2,33)&lt;&gt;"",INDEX(Tab_DaBa[],MATCH(CONCATENATE(Liste!$C$3,$B$3671,$B$3757),Data!$BO:$BO,0)-2,39),"")),"")</f>
        <v>Ausgang</v>
      </c>
      <c r="E3767" s="33"/>
      <c r="F3767" s="35" t="str">
        <f ca="1">IFERROR(IF(AND(INDEX(Tab_DaBa[],MATCH(CONCATENATE(Liste!$C$3,$B$3671,$B$3757),Data!$BO:$BO,0)-2,38)&lt;&gt;"",INDEX(Tab_DaBa[],MATCH(CONCATENATE(Liste!$C$3,$B$3671,$B$3757),Data!$BO:$BO,0)-2,43)=0),INDEX(Tab_DaBa[],MATCH(CONCATENATE(Liste!$C$3,$B$3671,$B$3757),Data!$BO:$BO,0)-2,14),IF(INDEX(Tab_DaBa[],MATCH(CONCATENATE(Liste!$C$3,$B$3671,$B$3757),Data!$BO:$BO,0)-2,38)&lt;&gt;"",INDEX(Tab_DaBa[],MATCH(CONCATENATE(Liste!$C$3,$B$3671,$B$3757),Data!$BO:$BO,0)-2,44),"")),"")</f>
        <v/>
      </c>
      <c r="G3767" s="39"/>
      <c r="H3767" s="35" t="str">
        <f ca="1">IFERROR(IF(AND(INDEX(Tab_DaBa[],MATCH(CONCATENATE(Liste!$C$3,$B$3671,$B$3757),Data!$BO:$BO,0)-2,43)&lt;&gt;"",INDEX(Tab_DaBa[],MATCH(CONCATENATE(Liste!$C$3,$B$3671,$B$3757),Data!$BO:$BO,0)-2,48)=0),INDEX(Tab_DaBa[],MATCH(CONCATENATE(Liste!$C$3,$B$3671,$B$3757),Data!$BO:$BO,0)-2,14),IF(INDEX(Tab_DaBa[],MATCH(CONCATENATE(Liste!$C$3,$B$3671,$B$3757),Data!$BO:$BO,0)-2,43)&lt;&gt;"",INDEX(Tab_DaBa[],MATCH(CONCATENATE(Liste!$C$3,$B$3671,$B$3757),Data!$BO:$BO,0)-2,49),"")),"")</f>
        <v/>
      </c>
      <c r="I3767" s="39"/>
    </row>
    <row r="3768" spans="2:9" s="16" customFormat="1" ht="15.75">
      <c r="B3768" s="35" t="str">
        <f ca="1">IFERROR(IF(AND(INDEX(Tab_DaBa[],MATCH(CONCATENATE(Liste!$C$3,$B$3671,$B$3757),Data!$BO:$BO,0)-2,28)&lt;&gt;"",INDEX(Tab_DaBa[],MATCH(CONCATENATE(Liste!$C$3,$B$3671,$B$3757),Data!$BO:$BO,0)-2,33)=0),INDEX(Tab_DaBa[],MATCH(CONCATENATE(Liste!$C$3,$B$3671,$B$3757),Data!$BO:$BO,0)-2,12),IF(INDEX(Tab_DaBa[],MATCH(CONCATENATE(Liste!$C$3,$B$3671,$B$3757),Data!$BO:$BO,0)-2,28)&lt;&gt;"",INDEX(Tab_DaBa[],MATCH(CONCATENATE(Liste!$C$3,$B$3671,$B$3757),Data!$BO:$BO,0)-2,32),"")),"")</f>
        <v>Lo04-44_04</v>
      </c>
      <c r="C3768" s="39"/>
      <c r="D3768" s="35" t="str">
        <f ca="1">IFERROR(IF(AND(INDEX(Tab_DaBa[],MATCH(CONCATENATE(Liste!$C$3,$B$3671,$B$3757),Data!$BO:$BO,0)-2,33)&lt;&gt;"",INDEX(Tab_DaBa[],MATCH(CONCATENATE(Liste!$C$3,$B$3671,$B$3757),Data!$BO:$BO,0)-2,38)=0),INDEX(Tab_DaBa[],MATCH(CONCATENATE(Liste!$C$3,$B$3671,$B$3757),Data!$BO:$BO,0)-2,12),IF(INDEX(Tab_DaBa[],MATCH(CONCATENATE(Liste!$C$3,$B$3671,$B$3757),Data!$BO:$BO,0)-2,33)&lt;&gt;"",INDEX(Tab_DaBa[],MATCH(CONCATENATE(Liste!$C$3,$B$3671,$B$3757),Data!$BO:$BO,0)-2,37),"")),"")</f>
        <v>aaaa-44_4</v>
      </c>
      <c r="E3768" s="37"/>
      <c r="F3768" s="35" t="str">
        <f ca="1">IFERROR(IF(AND(INDEX(Tab_DaBa[],MATCH(CONCATENATE(Liste!$C$3,$B$3671,$B$3757),Data!$BO:$BO,0)-2,38)&lt;&gt;"",INDEX(Tab_DaBa[],MATCH(CONCATENATE(Liste!$C$3,$B$3671,$B$3757),Data!$BO:$BO,0)-2,43)=0),INDEX(Tab_DaBa[],MATCH(CONCATENATE(Liste!$C$3,$B$3671,$B$3757),Data!$BO:$BO,0)-2,12),IF(INDEX(Tab_DaBa[],MATCH(CONCATENATE(Liste!$C$3,$B$3671,$B$3757),Data!$BO:$BO,0)-2,38)&lt;&gt;"",INDEX(Tab_DaBa[],MATCH(CONCATENATE(Liste!$C$3,$B$3671,$B$3757),Data!$BO:$BO,0)-2,42),"")),"")</f>
        <v/>
      </c>
      <c r="G3768" s="39"/>
      <c r="H3768" s="35" t="str">
        <f ca="1">IFERROR(IF(AND(INDEX(Tab_DaBa[],MATCH(CONCATENATE(Liste!$C$3,$B$3671,$B$3757),Data!$BO:$BO,0)-2,43)&lt;&gt;"",INDEX(Tab_DaBa[],MATCH(CONCATENATE(Liste!$C$3,$B$3671,$B$3757),Data!$BO:$BO,0)-2,48)=0),INDEX(Tab_DaBa[],MATCH(CONCATENATE(Liste!$C$3,$B$3671,$B$3757),Data!$BO:$BO,0)-2,12),IF(INDEX(Tab_DaBa[],MATCH(CONCATENATE(Liste!$C$3,$B$3671,$B$3757),Data!$BO:$BO,0)-2,43)&lt;&gt;"",INDEX(Tab_DaBa[],MATCH(CONCATENATE(Liste!$C$3,$B$3671,$B$3757),Data!$BO:$BO,0)-2,47),"")),"")</f>
        <v/>
      </c>
      <c r="I3768" s="39"/>
    </row>
    <row r="3769" spans="2:9" s="16" customFormat="1" ht="15.75">
      <c r="B3769" s="35" t="str">
        <f ca="1">IFERROR(IF(AND(INDEX(Tab_DaBa[],MATCH(CONCATENATE(Liste!$C$3,$B$3671,$B$3757),Data!$BO:$BO,0)-2,28)&lt;&gt;"",INDEX(Tab_DaBa[],MATCH(CONCATENATE(Liste!$C$3,$B$3671,$B$3757),Data!$BO:$BO,0)-2,33)=""),INDEX(Tab_DaBa[],MATCH(CONCATENATE(Liste!$C$3,$B$3671,$B$3757),Data!$BO:$BO,0)-2,13),IF(INDEX(Tab_DaBa[],MATCH(CONCATENATE(Liste!$C$3,$B$3671,$B$3757),Data!$BO:$BO,0)-2,28)&lt;&gt;"",INDEX(Tab_DaBa[],MATCH(CONCATENATE(Liste!$C$3,$B$3671,$B$3757),Data!$BO:$BO,0)-2,33),"")),"")</f>
        <v>Bez_Lo04_04</v>
      </c>
      <c r="C3769" s="38">
        <f ca="1">IF(D3767="","",4)</f>
        <v>4</v>
      </c>
      <c r="D3769" s="35" t="str">
        <f ca="1">IFERROR(IF(AND(INDEX(Tab_DaBa[],MATCH(CONCATENATE(Liste!$C$3,$B$3671,$B$3757),Data!$BO:$BO,0)-2,33)&lt;&gt;"",INDEX(Tab_DaBa[],MATCH(CONCATENATE(Liste!$C$3,$B$3671,$B$3757),Data!$BO:$BO,0)-2,38)=""),INDEX(Tab_DaBa[],MATCH(CONCATENATE(Liste!$C$3,$B$3671,$B$3757),Data!$BO:$BO,0)-2,13),IF(INDEX(Tab_DaBa[],MATCH(CONCATENATE(Liste!$C$3,$B$3671,$B$3757),Data!$BO:$BO,0)-2,33)&lt;&gt;"",INDEX(Tab_DaBa[],MATCH(CONCATENATE(Liste!$C$3,$B$3671,$B$3757),Data!$BO:$BO,0)-2,38),"")),"")</f>
        <v>Bez_Aus4_4</v>
      </c>
      <c r="E3769" s="38" t="str">
        <f ca="1">IF(F3767="","",4)</f>
        <v/>
      </c>
      <c r="F3769" s="35" t="str">
        <f ca="1">IFERROR(IF(AND(INDEX(Tab_DaBa[],MATCH(CONCATENATE(Liste!$C$3,$B$3671,$B$3757),Data!$BO:$BO,0)-2,38)&lt;&gt;"",INDEX(Tab_DaBa[],MATCH(CONCATENATE(Liste!$C$3,$B$3671,$B$3757),Data!$BO:$BO,0)-2,43)=""),INDEX(Tab_DaBa[],MATCH(CONCATENATE(Liste!$C$3,$B$3671,$B$3757),Data!$BO:$BO,0)-2,13),IF(INDEX(Tab_DaBa[],MATCH(CONCATENATE(Liste!$C$3,$B$3671,$B$3757),Data!$BO:$BO,0)-2,38)&lt;&gt;"",INDEX(Tab_DaBa[],MATCH(CONCATENATE(Liste!$C$3,$B$3671,$B$3757),Data!$BO:$BO,0)-2,43),"")),"")</f>
        <v/>
      </c>
      <c r="G3769" s="38" t="str">
        <f ca="1">IF(H3767="","",4)</f>
        <v/>
      </c>
      <c r="H3769" s="35" t="str">
        <f ca="1">IFERROR(IF(AND(INDEX(Tab_DaBa[],MATCH(CONCATENATE(Liste!$C$3,$B$3671,$B$3757),Data!$BO:$BO,0)-2,43)&lt;&gt;"",INDEX(Tab_DaBa[],MATCH(CONCATENATE(Liste!$C$3,$B$3671,$B$3757),Data!$BO:$BO,0)-2,48)=""),INDEX(Tab_DaBa[],MATCH(CONCATENATE(Liste!$C$3,$B$3671,$B$3757),Data!$BO:$BO,0)-2,13),IF(INDEX(Tab_DaBa[],MATCH(CONCATENATE(Liste!$C$3,$B$3671,$B$3757),Data!$BO:$BO,0)-2,43)&lt;&gt;"",INDEX(Tab_DaBa[],MATCH(CONCATENATE(Liste!$C$3,$B$3671,$B$3757),Data!$BO:$BO,0)-2,48),"")),"")</f>
        <v/>
      </c>
      <c r="I3769" s="38" t="str">
        <f ca="1">IF(B3775="","",6)</f>
        <v/>
      </c>
    </row>
    <row r="3770" spans="2:9" s="16" customFormat="1" ht="15.75">
      <c r="B3770" s="35" t="str">
        <f ca="1">IFERROR(IF(AND(INDEX(Tab_DaBa[],MATCH(CONCATENATE(Liste!$C$3,$B$3671,$B$3757),Data!$BO:$BO,0)-2,28)&lt;&gt;"",INDEX(Tab_DaBa[],MATCH(CONCATENATE(Liste!$C$3,$B$3671,$B$3757),Data!$BO:$BO,0)-2,33)=""),"Performance Level: "&amp;INDEX(Tab_DaBa[],MATCH(CONCATENATE(Liste!$C$3,$B$3671,$B$3757),Data!$BO:$BO,0)-2,15),IF(INDEX(Tab_DaBa[],MATCH(CONCATENATE(Liste!$C$3,$B$3671,$B$3757),Data!$BO:$BO,0)-2,28)&lt;&gt;"","Performance Level: "&amp;INDEX(Tab_DaBa[],MATCH(CONCATENATE(Liste!$C$3,$B$3671,$B$3757),Data!$BO:$BO,0)-2,35),"")),"")</f>
        <v>Performance Level: PL_Lo04_04</v>
      </c>
      <c r="C3770" s="39"/>
      <c r="D3770" s="35" t="str">
        <f ca="1">IFERROR(IF(AND(INDEX(Tab_DaBa[],MATCH(CONCATENATE(Liste!$C$3,$B$3671,$B$3757),Data!$BO:$BO,0)-2,33)&lt;&gt;"",INDEX(Tab_DaBa[],MATCH(CONCATENATE(Liste!$C$3,$B$3671,$B$3757),Data!$BO:$BO,0)-2,38)=""),"Performance Level: "&amp;INDEX(Tab_DaBa[],MATCH(CONCATENATE(Liste!$C$3,$B$3671,$B$3757),Data!$BO:$BO,0)-2,15),IF(INDEX(Tab_DaBa[],MATCH(CONCATENATE(Liste!$C$3,$B$3671,$B$3757),Data!$BO:$BO,0)-2,33)&lt;&gt;"","Performance Level: "&amp;INDEX(Tab_DaBa[],MATCH(CONCATENATE(Liste!$C$3,$B$3671,$B$3757),Data!$BO:$BO,0)-2,40),"")),"")</f>
        <v>Performance Level: PL_Aus4_4</v>
      </c>
      <c r="E3770" s="37"/>
      <c r="F3770" s="35" t="str">
        <f ca="1">IFERROR(IF(AND(INDEX(Tab_DaBa[],MATCH(CONCATENATE(Liste!$C$3,$B$3671,$B$3757),Data!$BO:$BO,0)-2,38)&lt;&gt;"",INDEX(Tab_DaBa[],MATCH(CONCATENATE(Liste!$C$3,$B$3671,$B$3757),Data!$BO:$BO,0)-2,43)=""),"Performance Level: "&amp;INDEX(Tab_DaBa[],MATCH(CONCATENATE(Liste!$C$3,$B$3671,$B$3757),Data!$BO:$BO,0)-2,15),IF(INDEX(Tab_DaBa[],MATCH(CONCATENATE(Liste!$C$3,$B$3671,$B$3757),Data!$BO:$BO,0)-2,38)&lt;&gt;"","Performance Level: "&amp;INDEX(Tab_DaBa[],MATCH(CONCATENATE(Liste!$C$3,$B$3671,$B$3757),Data!$BO:$BO,0)-2,45),"")),"")</f>
        <v/>
      </c>
      <c r="G3770" s="39"/>
      <c r="H3770" s="35" t="str">
        <f ca="1">IFERROR(IF(AND(INDEX(Tab_DaBa[],MATCH(CONCATENATE(Liste!$C$3,$B$3671,$B$3757),Data!$BO:$BO,0)-2,43)&lt;&gt;"",INDEX(Tab_DaBa[],MATCH(CONCATENATE(Liste!$C$3,$B$3671,$B$3757),Data!$BO:$BO,0)-2,48)=""),"Performance Level: "&amp;INDEX(Tab_DaBa[],MATCH(CONCATENATE(Liste!$C$3,$B$3671,$B$3757),Data!$BO:$BO,0)-2,15),IF(INDEX(Tab_DaBa[],MATCH(CONCATENATE(Liste!$C$3,$B$3671,$B$3757),Data!$BO:$BO,0)-2,43)&lt;&gt;"","Performance Level: "&amp;INDEX(Tab_DaBa[],MATCH(CONCATENATE(Liste!$C$3,$B$3671,$B$3757),Data!$BO:$BO,0)-2,50),"")),"")</f>
        <v/>
      </c>
      <c r="I3770" s="39"/>
    </row>
    <row r="3771" spans="2:9" s="16" customFormat="1" ht="15.75">
      <c r="B3771" s="35" t="str">
        <f ca="1">IFERROR(IF(AND(INDEX(Tab_DaBa[],MATCH(CONCATENATE(Liste!$C$3,$B$3671,$B$3757),Data!$BO:$BO,0)-2,28)&lt;&gt;"",INDEX(Tab_DaBa[],MATCH(CONCATENATE(Liste!$C$3,$B$3671,$B$3757),Data!$BO:$BO,0)-2,33)=""),"PFH [1/h] = "&amp;10^9*INDEX(Tab_DaBa[],MATCH(CONCATENATE(Liste!$C$3,$B$3671,$B$3757),Data!$BO:$BO,0)-2,16)&amp;"E-9",IF(INDEX(Tab_DaBa[],MATCH(CONCATENATE(Liste!$C$3,$B$3671,$B$3757),Data!$BO:$BO,0)-2,28)&lt;&gt;"","PFH [1/h] = "&amp;10^9*INDEX(Tab_DaBa[],MATCH(CONCATENATE(Liste!$C$3,$B$3671,$B$3757),Data!$BO:$BO,0)-2,36)&amp;"E-9","")),"")</f>
        <v>PFH [1/h] = 4,19E-9</v>
      </c>
      <c r="C3771" s="39"/>
      <c r="D3771" s="35" t="str">
        <f ca="1">IFERROR(IF(AND(INDEX(Tab_DaBa[],MATCH(CONCATENATE(Liste!$C$3,$B$3671,$B$3757),Data!$BO:$BO,0)-2,33)&lt;&gt;"",INDEX(Tab_DaBa[],MATCH(CONCATENATE(Liste!$C$3,$B$3671,$B$3757),Data!$BO:$BO,0)-2,38)=""),"PFH [1/h] = "&amp;10^9*INDEX(Tab_DaBa[],MATCH(CONCATENATE(Liste!$C$3,$B$3671,$B$3757),Data!$BO:$BO,0)-2,16)&amp;"E-9",IF(INDEX(Tab_DaBa[],MATCH(CONCATENATE(Liste!$C$3,$B$3671,$B$3757),Data!$BO:$BO,0)-2,33)&lt;&gt;"","PFH [1/h] = "&amp;10^9*INDEX(Tab_DaBa[],MATCH(CONCATENATE(Liste!$C$3,$B$3671,$B$3757),Data!$BO:$BO,0)-2,41)&amp;"E-9","")),"")</f>
        <v>PFH [1/h] = 24,7E-9</v>
      </c>
      <c r="E3771" s="37"/>
      <c r="F3771" s="35" t="str">
        <f ca="1">IFERROR(IF(AND(INDEX(Tab_DaBa[],MATCH(CONCATENATE(Liste!$C$3,$B$3671,$B$3757),Data!$BO:$BO,0)-2,38)&lt;&gt;"",INDEX(Tab_DaBa[],MATCH(CONCATENATE(Liste!$C$3,$B$3671,$B$3757),Data!$BO:$BO,0)-2,43)=""),"PFH [1/h] = "&amp;10^9*INDEX(Tab_DaBa[],MATCH(CONCATENATE(Liste!$C$3,$B$3671,$B$3757),Data!$BO:$BO,0)-2,16)&amp;"E-9",IF(INDEX(Tab_DaBa[],MATCH(CONCATENATE(Liste!$C$3,$B$3671,$B$3757),Data!$BO:$BO,0)-2,38)&lt;&gt;"","PFH [1/h] = "&amp;10^9*INDEX(Tab_DaBa[],MATCH(CONCATENATE(Liste!$C$3,$B$3671,$B$3757),Data!$BO:$BO,0)-2,46)&amp;"E-9","")),"")</f>
        <v/>
      </c>
      <c r="G3771" s="39"/>
      <c r="H3771" s="35" t="str">
        <f ca="1">IFERROR(IF(AND(INDEX(Tab_DaBa[],MATCH(CONCATENATE(Liste!$C$3,$B$3671,$B$3757),Data!$BO:$BO,0)-2,43)&lt;&gt;"",INDEX(Tab_DaBa[],MATCH(CONCATENATE(Liste!$C$3,$B$3671,$B$3757),Data!$BO:$BO,0)-2,48)=""),"PFH [1/h] = "&amp;10^9*INDEX(Tab_DaBa[],MATCH(CONCATENATE(Liste!$C$3,$B$3671,$B$3757),Data!$BO:$BO,0)-2,16)&amp;"E-9",IF(INDEX(Tab_DaBa[],MATCH(CONCATENATE(Liste!$C$3,$B$3671,$B$3757),Data!$BO:$BO,0)-2,43)&lt;&gt;"","PFH [1/h] = "&amp;10^9*INDEX(Tab_DaBa[],MATCH(CONCATENATE(Liste!$C$3,$B$3671,$B$3757),Data!$BO:$BO,0)-2,51)&amp;"E-9","")),"")</f>
        <v/>
      </c>
      <c r="I3771" s="39"/>
    </row>
    <row r="3772" spans="2:9" s="16" customFormat="1">
      <c r="B3772" s="33"/>
      <c r="C3772" s="33"/>
      <c r="D3772" s="33"/>
      <c r="E3772" s="33"/>
      <c r="F3772" s="33"/>
      <c r="G3772" s="33"/>
      <c r="H3772" s="33"/>
      <c r="I3772" s="33"/>
    </row>
    <row r="3773" spans="2:9" s="16" customFormat="1" ht="15.75">
      <c r="B3773" s="38" t="str">
        <f ca="1">IF(B3775="","",6)</f>
        <v/>
      </c>
      <c r="C3773" s="33"/>
      <c r="D3773" s="38" t="str">
        <f ca="1">IF(B3775="","",3)</f>
        <v/>
      </c>
      <c r="E3773" s="33"/>
      <c r="F3773" s="38" t="str">
        <f ca="1">IF(B3775="","",3)</f>
        <v/>
      </c>
      <c r="G3773" s="33"/>
      <c r="H3773" s="38" t="str">
        <f ca="1">IF(B3775="","",3)</f>
        <v/>
      </c>
      <c r="I3773" s="33"/>
    </row>
    <row r="3774" spans="2:9" s="16" customFormat="1" ht="15.75">
      <c r="B3774" s="39"/>
      <c r="C3774" s="33"/>
      <c r="D3774" s="33"/>
      <c r="E3774" s="33"/>
      <c r="F3774" s="33"/>
      <c r="G3774" s="33"/>
      <c r="H3774" s="33"/>
      <c r="I3774" s="33"/>
    </row>
    <row r="3775" spans="2:9" s="16" customFormat="1" ht="15.75">
      <c r="B3775" s="35" t="str">
        <f ca="1">IFERROR(IF(AND(INDEX(Tab_DaBa[],MATCH(CONCATENATE(Liste!$C$3,$B$3671,$B$3757),Data!$BO:$BO,0)-2,48)&lt;&gt;"",INDEX(Tab_DaBa[],MATCH(CONCATENATE(Liste!$C$3,$B$3671,$B$3757),Data!$BO:$BO,0)-2,53)=0),INDEX(Tab_DaBa[],MATCH(CONCATENATE(Liste!$C$3,$B$3671,$B$3757),Data!$BO:$BO,0)-2,14),IF(INDEX(Tab_DaBa[],MATCH(CONCATENATE(Liste!$C$3,$B$3671,$B$3757),Data!$BO:$BO,0)-2,48)&lt;&gt;"",INDEX(Tab_DaBa[],MATCH(CONCATENATE(Liste!$C$3,$B$3671,$B$3757),Data!$BO:$BO,0)-2,54),"")),"")</f>
        <v/>
      </c>
      <c r="C3775" s="39"/>
      <c r="D3775" s="35" t="str">
        <f ca="1">IFERROR(IF(AND(INDEX(Tab_DaBa[],MATCH(CONCATENATE(Liste!$C$3,$B$3671,$B$3757),Data!$BO:$BO,0)-2,53)&lt;&gt;"",INDEX(Tab_DaBa[],MATCH(CONCATENATE(Liste!$C$3,$B$3671,$B$3757),Data!$BO:$BO,0)-2,58)=0),INDEX(Tab_DaBa[],MATCH(CONCATENATE(Liste!$C$3,$B$3671,$B$3757),Data!$BO:$BO,0)-2,14),IF(INDEX(Tab_DaBa[],MATCH(CONCATENATE(Liste!$C$3,$B$3671,$B$3757),Data!$BO:$BO,0)-2,53)&lt;&gt;"",INDEX(Tab_DaBa[],MATCH(CONCATENATE(Liste!$C$3,$B$3671,$B$3757),Data!$BO:$BO,0)-2,59),"")),"")</f>
        <v/>
      </c>
      <c r="E3775" s="33"/>
      <c r="F3775" s="35" t="str">
        <f ca="1">IFERROR(IF(AND(INDEX(Tab_DaBa[],MATCH(CONCATENATE(Liste!$C$3,$B$3671,$B$3757),Data!$BO:$BO,0)-2,58)&lt;&gt;"",INDEX(Tab_DaBa[],MATCH(CONCATENATE(Liste!$C$3,$B$3671,$B$3757),Data!$BO:$BO,0)-2,63)=0),INDEX(Tab_DaBa[],MATCH(CONCATENATE(Liste!$C$3,$B$3671,$B$3757),Data!$BO:$BO,0)-2,14),IF(INDEX(Tab_DaBa[],MATCH(CONCATENATE(Liste!$C$3,$B$3671,$B$3757),Data!$BO:$BO,0)-2,58)&lt;&gt;"",INDEX(Tab_DaBa[],MATCH(CONCATENATE(Liste!$C$3,$B$3671,$B$3757),Data!$BO:$BO,0)-2,64),"")),"")</f>
        <v/>
      </c>
      <c r="G3775" s="39"/>
      <c r="H3775" s="35" t="str">
        <f ca="1">IFERROR(IF(INDEX(Tab_DaBa[],MATCH(CONCATENATE(Liste!$C$3,$B$3671,$B$3757),Data!$BO:$BO,0)-2,63)&lt;&gt;"",INDEX(Tab_DaBa[],MATCH(CONCATENATE(Liste!$C$3,$B$3671,$B$3757),Data!$BO:$BO,0)-2,14),""),"")</f>
        <v/>
      </c>
    </row>
    <row r="3776" spans="2:9" s="16" customFormat="1" ht="15.75">
      <c r="B3776" s="35" t="str">
        <f ca="1">IFERROR(IF(AND(INDEX(Tab_DaBa[],MATCH(CONCATENATE(Liste!$C$3,$B$3671,$B$3757),Data!$BO:$BO,0)-2,48)&lt;&gt;"",INDEX(Tab_DaBa[],MATCH(CONCATENATE(Liste!$C$3,$B$3671,$B$3757),Data!$BO:$BO,0)-2,53)=0),INDEX(Tab_DaBa[],MATCH(CONCATENATE(Liste!$C$3,$B$3671,$B$3757),Data!$BO:$BO,0)-2,12),IF(INDEX(Tab_DaBa[],MATCH(CONCATENATE(Liste!$C$3,$B$3671,$B$3757),Data!$BO:$BO,0)-2,48)&lt;&gt;"",INDEX(Tab_DaBa[],MATCH(CONCATENATE(Liste!$C$3,$B$3671,$B$3757),Data!$BO:$BO,0)-2,52),"")),"")</f>
        <v/>
      </c>
      <c r="C3776" s="39"/>
      <c r="D3776" s="35" t="str">
        <f ca="1">IFERROR(IF(AND(INDEX(Tab_DaBa[],MATCH(CONCATENATE(Liste!$C$3,$B$3671,$B$3757),Data!$BO:$BO,0)-2,53)&lt;&gt;"",INDEX(Tab_DaBa[],MATCH(CONCATENATE(Liste!$C$3,$B$3671,$B$3757),Data!$BO:$BO,0)-2,58)=0),INDEX(Tab_DaBa[],MATCH(CONCATENATE(Liste!$C$3,$B$3671,$B$3757),Data!$BO:$BO,0)-2,12),IF(INDEX(Tab_DaBa[],MATCH(CONCATENATE(Liste!$C$3,$B$3671,$B$3757),Data!$BO:$BO,0)-2,53)&lt;&gt;"",INDEX(Tab_DaBa[],MATCH(CONCATENATE(Liste!$C$3,$B$3671,$B$3757),Data!$BO:$BO,0)-2,57),"")),"")</f>
        <v/>
      </c>
      <c r="E3776" s="37"/>
      <c r="F3776" s="35" t="str">
        <f ca="1">IFERROR(IF(AND(INDEX(Tab_DaBa[],MATCH(CONCATENATE(Liste!$C$3,$B$3671,$B$3757),Data!$BO:$BO,0)-2,58)&lt;&gt;"",INDEX(Tab_DaBa[],MATCH(CONCATENATE(Liste!$C$3,$B$3671,$B$3757),Data!$BO:$BO,0)-2,63)=0),INDEX(Tab_DaBa[],MATCH(CONCATENATE(Liste!$C$3,$B$3671,$B$3757),Data!$BO:$BO,0)-2,12),IF(INDEX(Tab_DaBa[],MATCH(CONCATENATE(Liste!$C$3,$B$3671,$B$3757),Data!$BO:$BO,0)-2,58)&lt;&gt;"",INDEX(Tab_DaBa[],MATCH(CONCATENATE(Liste!$C$3,$B$3671,$B$3757),Data!$BO:$BO,0)-2,62),"")),"")</f>
        <v/>
      </c>
      <c r="G3776" s="39"/>
      <c r="H3776" s="35" t="str">
        <f ca="1">IFERROR(IF(INDEX(Tab_DaBa[],MATCH(CONCATENATE(Liste!$C$3,$B$3671,$B$3757),Data!$BO:$BO,0)-2,63)&lt;&gt;"",INDEX(Tab_DaBa[],MATCH(CONCATENATE(Liste!$C$3,$B$3671,$B$3757),Data!$BO:$BO,0)-2,12),""),"")</f>
        <v/>
      </c>
    </row>
    <row r="3777" spans="2:9" s="16" customFormat="1" ht="15.75">
      <c r="B3777" s="35" t="str">
        <f ca="1">IFERROR(IF(AND(INDEX(Tab_DaBa[],MATCH(CONCATENATE(Liste!$C$3,$B$3671,$B$3757),Data!$BO:$BO,0)-2,48)&lt;&gt;"",INDEX(Tab_DaBa[],MATCH(CONCATENATE(Liste!$C$3,$B$3671,$B$3757),Data!$BO:$BO,0)-2,53)=""),INDEX(Tab_DaBa[],MATCH(CONCATENATE(Liste!$C$3,$B$3671,$B$3757),Data!$BO:$BO,0)-2,13),IF(INDEX(Tab_DaBa[],MATCH(CONCATENATE(Liste!$C$3,$B$3671,$B$3757),Data!$BO:$BO,0)-2,48)&lt;&gt;"",INDEX(Tab_DaBa[],MATCH(CONCATENATE(Liste!$C$3,$B$3671,$B$3757),Data!$BO:$BO,0)-2,53),"")),"")</f>
        <v/>
      </c>
      <c r="C3777" s="38" t="str">
        <f ca="1">IF(D3775="","",4)</f>
        <v/>
      </c>
      <c r="D3777" s="35" t="str">
        <f ca="1">IFERROR(IF(AND(INDEX(Tab_DaBa[],MATCH(CONCATENATE(Liste!$C$3,$B$3671,$B$3757),Data!$BO:$BO,0)-2,53)&lt;&gt;"",INDEX(Tab_DaBa[],MATCH(CONCATENATE(Liste!$C$3,$B$3671,$B$3757),Data!$BO:$BO,0)-2,58)=""),INDEX(Tab_DaBa[],MATCH(CONCATENATE(Liste!$C$3,$B$3671,$B$3757),Data!$BO:$BO,0)-2,13),IF(INDEX(Tab_DaBa[],MATCH(CONCATENATE(Liste!$C$3,$B$3671,$B$3757),Data!$BO:$BO,0)-2,53)&lt;&gt;"",INDEX(Tab_DaBa[],MATCH(CONCATENATE(Liste!$C$3,$B$3671,$B$3757),Data!$BO:$BO,0)-2,58),"")),"")</f>
        <v/>
      </c>
      <c r="E3777" s="38" t="str">
        <f ca="1">IF(F3775="","",4)</f>
        <v/>
      </c>
      <c r="F3777" s="35" t="str">
        <f ca="1">IFERROR(IF(AND(INDEX(Tab_DaBa[],MATCH(CONCATENATE(Liste!$C$3,$B$3671,$B$3757),Data!$BO:$BO,0)-2,58)&lt;&gt;"",INDEX(Tab_DaBa[],MATCH(CONCATENATE(Liste!$C$3,$B$3671,$B$3757),Data!$BO:$BO,0)-2,63)=""),INDEX(Tab_DaBa[],MATCH(CONCATENATE(Liste!$C$3,$B$3671,$B$3757),Data!$BO:$BO,0)-2,13),IF(INDEX(Tab_DaBa[],MATCH(CONCATENATE(Liste!$C$3,$B$3671,$B$3757),Data!$BO:$BO,0)-2,58)&lt;&gt;"",INDEX(Tab_DaBa[],MATCH(CONCATENATE(Liste!$C$3,$B$3671,$B$3757),Data!$BO:$BO,0)-2,63),"")),"")</f>
        <v/>
      </c>
      <c r="G3777" s="38" t="str">
        <f ca="1">IF(H3775="","",4)</f>
        <v/>
      </c>
      <c r="H3777" s="35" t="str">
        <f ca="1">IFERROR(IF(INDEX(Tab_DaBa[],MATCH(CONCATENATE(Liste!$C$3,$B$3671,$B$3757),Data!$BO:$BO,0)-2,63)&lt;&gt;"",INDEX(Tab_DaBa[],MATCH(CONCATENATE(Liste!$C$3,$B$3671,$B$3757),Data!$BO:$BO,0)-2,13),""),"")</f>
        <v/>
      </c>
    </row>
    <row r="3778" spans="2:9" s="16" customFormat="1" ht="15.75">
      <c r="B3778" s="35" t="str">
        <f ca="1">IFERROR(IF(AND(INDEX(Tab_DaBa[],MATCH(CONCATENATE(Liste!$C$3,$B$3671,$B$3757),Data!$BO:$BO,0)-2,48)&lt;&gt;"",INDEX(Tab_DaBa[],MATCH(CONCATENATE(Liste!$C$3,$B$3671,$B$3757),Data!$BO:$BO,0)-2,53)=""),"Performance Level: "&amp;INDEX(Tab_DaBa[],MATCH(CONCATENATE(Liste!$C$3,$B$3671,$B$3757),Data!$BO:$BO,0)-2,15),IF(INDEX(Tab_DaBa[],MATCH(CONCATENATE(Liste!$C$3,$B$3671,$B$3757),Data!$BO:$BO,0)-2,48)&lt;&gt;"","Performance Level: "&amp;INDEX(Tab_DaBa[],MATCH(CONCATENATE(Liste!$C$3,$B$3671,$B$3757),Data!$BO:$BO,0)-2,55),"")),"")</f>
        <v/>
      </c>
      <c r="C3778" s="39"/>
      <c r="D3778" s="35" t="str">
        <f ca="1">IFERROR(IF(AND(INDEX(Tab_DaBa[],MATCH(CONCATENATE(Liste!$C$3,$B$3671,$B$3757),Data!$BO:$BO,0)-2,53)&lt;&gt;"",INDEX(Tab_DaBa[],MATCH(CONCATENATE(Liste!$C$3,$B$3671,$B$3757),Data!$BO:$BO,0)-2,58)=""),"Performance Level: "&amp;INDEX(Tab_DaBa[],MATCH(CONCATENATE(Liste!$C$3,$B$3671,$B$3757),Data!$BO:$BO,0)-2,15),IF(INDEX(Tab_DaBa[],MATCH(CONCATENATE(Liste!$C$3,$B$3671,$B$3757),Data!$BO:$BO,0)-2,53)&lt;&gt;"","Performance Level: "&amp;INDEX(Tab_DaBa[],MATCH(CONCATENATE(Liste!$C$3,$B$3671,$B$3757),Data!$BO:$BO,0)-2,60),"")),"")</f>
        <v/>
      </c>
      <c r="E3778" s="37"/>
      <c r="F3778" s="35" t="str">
        <f ca="1">IFERROR(IF(AND(INDEX(Tab_DaBa[],MATCH(CONCATENATE(Liste!$C$3,$B$3671,$B$3757),Data!$BO:$BO,0)-2,58)&lt;&gt;"",INDEX(Tab_DaBa[],MATCH(CONCATENATE(Liste!$C$3,$B$3671,$B$3757),Data!$BO:$BO,0)-2,63)=""),"Performance Level: "&amp;INDEX(Tab_DaBa[],MATCH(CONCATENATE(Liste!$C$3,$B$3671,$B$3757),Data!$BO:$BO,0)-2,15),IF(INDEX(Tab_DaBa[],MATCH(CONCATENATE(Liste!$C$3,$B$3671,$B$3757),Data!$BO:$BO,0)-2,58)&lt;&gt;"","Performance Level: "&amp;INDEX(Tab_DaBa[],MATCH(CONCATENATE(Liste!$C$3,$B$3671,$B$3757),Data!$BO:$BO,0)-2,65),"")),"")</f>
        <v/>
      </c>
      <c r="G3778" s="39"/>
      <c r="H3778" s="35" t="str">
        <f ca="1">IFERROR(IF(INDEX(Tab_DaBa[],MATCH(CONCATENATE(Liste!$C$3,$B$3671,$B$3757),Data!$BO:$BO,0)-2,63)&lt;&gt;"","Performance Level: "&amp;INDEX(Tab_DaBa[],MATCH(CONCATENATE(Liste!$C$3,$B$3671,$B$3757),Data!$BO:$BO,0)-2,15),""),"")</f>
        <v/>
      </c>
    </row>
    <row r="3779" spans="2:9" s="16" customFormat="1" ht="15.75">
      <c r="B3779" s="35" t="str">
        <f ca="1">IFERROR(IF(AND(INDEX(Tab_DaBa[],MATCH(CONCATENATE(Liste!$C$3,$B$3671,$B$3757),Data!$BO:$BO,0)-2,48)&lt;&gt;"",INDEX(Tab_DaBa[],MATCH(CONCATENATE(Liste!$C$3,$B$3671,$B$3757),Data!$BO:$BO,0)-2,53)=""),"PFH [1/h] = "&amp;10^9*INDEX(Tab_DaBa[],MATCH(CONCATENATE(Liste!$C$3,$B$3671,$B$3757),Data!$BO:$BO,0)-2,16)&amp;"E-9",IF(INDEX(Tab_DaBa[],MATCH(CONCATENATE(Liste!$C$3,$B$3671,$B$3757),Data!$BO:$BO,0)-2,48)&lt;&gt;"","PFH [1/h] = "&amp;10^9*INDEX(Tab_DaBa[],MATCH(CONCATENATE(Liste!$C$3,$B$3671,$B$3757),Data!$BO:$BO,0)-2,56)&amp;"E-9","")),"")</f>
        <v/>
      </c>
      <c r="C3779" s="39"/>
      <c r="D3779" s="35" t="str">
        <f ca="1">IFERROR(IF(AND(INDEX(Tab_DaBa[],MATCH(CONCATENATE(Liste!$C$3,$B$3671,$B$3757),Data!$BO:$BO,0)-2,53)&lt;&gt;"",INDEX(Tab_DaBa[],MATCH(CONCATENATE(Liste!$C$3,$B$3671,$B$3757),Data!$BO:$BO,0)-2,58)=""),"PFH [1/h] = "&amp;10^9*INDEX(Tab_DaBa[],MATCH(CONCATENATE(Liste!$C$3,$B$3671,$B$3757),Data!$BO:$BO,0)-2,16)&amp;"E-9",IF(INDEX(Tab_DaBa[],MATCH(CONCATENATE(Liste!$C$3,$B$3671,$B$3757),Data!$BO:$BO,0)-2,53)&lt;&gt;"","PFH [1/h] = "&amp;10^9*INDEX(Tab_DaBa[],MATCH(CONCATENATE(Liste!$C$3,$B$3671,$B$3757),Data!$BO:$BO,0)-2,61)&amp;"E-9","")),"")</f>
        <v/>
      </c>
      <c r="E3779" s="37"/>
      <c r="F3779" s="35" t="str">
        <f ca="1">IFERROR(IF(AND(INDEX(Tab_DaBa[],MATCH(CONCATENATE(Liste!$C$3,$B$3671,$B$3757),Data!$BO:$BO,0)-2,58)&lt;&gt;"",INDEX(Tab_DaBa[],MATCH(CONCATENATE(Liste!$C$3,$B$3671,$B$3757),Data!$BO:$BO,0)-2,63)=""),"PFH [1/h] = "&amp;10^9*INDEX(Tab_DaBa[],MATCH(CONCATENATE(Liste!$C$3,$B$3671,$B$3757),Data!$BO:$BO,0)-2,16)&amp;"E-9",IF(INDEX(Tab_DaBa[],MATCH(CONCATENATE(Liste!$C$3,$B$3671,$B$3757),Data!$BO:$BO,0)-2,58)&lt;&gt;"","PFH [1/h] = "&amp;10^9*INDEX(Tab_DaBa[],MATCH(CONCATENATE(Liste!$C$3,$B$3671,$B$3757),Data!$BO:$BO,0)-2,66)&amp;"E-9","")),"")</f>
        <v/>
      </c>
      <c r="G3779" s="39"/>
      <c r="H3779" s="35" t="str">
        <f ca="1">IFERROR(IF(INDEX(Tab_DaBa[],MATCH(CONCATENATE(Liste!$C$3,$B$3671,$B$3757),Data!$BO:$BO,0)-2,63)&lt;&gt;"","PFH [1/h] = "&amp;10^9*INDEX(Tab_DaBa[],MATCH(CONCATENATE(Liste!$C$3,$B$3671,$B$3757),Data!$BO:$BO,0)-2,16)&amp;"E-9",""),"")</f>
        <v/>
      </c>
    </row>
    <row r="3780" spans="2:9" s="16" customFormat="1"/>
    <row r="3781" spans="2:9" s="16" customFormat="1">
      <c r="B3781" s="43" t="str">
        <f ca="1">IF(D3781="","","Erforderlich")</f>
        <v>Erforderlich</v>
      </c>
      <c r="D3781" s="44" t="str">
        <f ca="1">IFERROR("Performance Level: "&amp;INDEX(Tab_DaBa[],MATCH(CONCATENATE(Liste!$C$3,$B$3671,$B$3757),Data!$BO:$BO,0)-2,4),"")</f>
        <v>Performance Level: PLr_ges4_4</v>
      </c>
    </row>
    <row r="3782" spans="2:9" s="16" customFormat="1">
      <c r="B3782" s="45"/>
    </row>
    <row r="3783" spans="2:9" s="16" customFormat="1">
      <c r="B3783" s="46" t="str">
        <f ca="1">IF(D3783="","","Erreicht")</f>
        <v>Erreicht</v>
      </c>
      <c r="D3783" s="47" t="str">
        <f ca="1">IFERROR("Performance Level: "&amp;INDEX(Tab_DaBa[],MATCH(CONCATENATE(Liste!$C$3,$B$3671,$B$3757),Data!$BO:$BO,0)-2,5)&amp;"          PFH [1/h] = "&amp;10^9*INDEX(Tab_DaBa[],MATCH(CONCATENATE(Liste!$C$3,$B$3671,$B$3757),Data!$BO:$BO,0)-2,6)&amp;"E-9","")</f>
        <v>Performance Level: Pl_ges4_4          PFH [1/h] = 71,7E-9</v>
      </c>
    </row>
    <row r="3784" spans="2:9" s="16" customFormat="1"/>
    <row r="3785" spans="2:9" s="16" customFormat="1">
      <c r="B3785" s="42" t="str">
        <f ca="1">IFERROR(IF(5&gt;COUNTIF(Data!$BP:$BP,CONCATENATE(Liste!$C$3,$B$3671)),"",INDEX(Tab_DaBa[],MATCH(CONCATENATE(Liste!$C$3,$B$3671),Data!$BP:$BP,0)+2,3)),"")</f>
        <v>14.5 Test14 (E+5L+A)</v>
      </c>
    </row>
    <row r="3786" spans="2:9" s="16" customFormat="1"/>
    <row r="3787" spans="2:9" s="16" customFormat="1" ht="15.75">
      <c r="B3787" s="35" t="str">
        <f ca="1">IFERROR(INDEX(Tab_DaBa[],MATCH(CONCATENATE(Liste!$C$3,$B$3671,$B$3785),Data!$BO:$BO,0)-2,9),"")</f>
        <v>Eingang</v>
      </c>
      <c r="C3787" s="54"/>
      <c r="D3787" s="35" t="str">
        <f ca="1">IFERROR(IF(INDEX(Tab_DaBa[],MATCH(CONCATENATE(Liste!$C$3,$B$3671,$B$3785),Data!$BO:$BO,0)-2,18)=0,INDEX(Tab_DaBa[],MATCH(CONCATENATE(Liste!$C$3,$B$3671,$B$3785),Data!$BO:$BO,0)-2,14),INDEX(Tab_DaBa[],MATCH(CONCATENATE(Liste!$C$3,$B$3671,$B$3785),Data!$BO:$BO,0)-2,19)),"")</f>
        <v>Logik 01</v>
      </c>
      <c r="E3787" s="33"/>
      <c r="F3787" s="35" t="str">
        <f ca="1">IFERROR(IF(AND(INDEX(Tab_DaBa[],MATCH(CONCATENATE(Liste!$C$3,$B$3671,$B$3785),Data!$BO:$BO,0)-2,18)&lt;&gt;"",INDEX(Tab_DaBa[],MATCH(CONCATENATE(Liste!$C$3,$B$3671,$B$3785),Data!$BO:$BO,0)-2,23)=0),INDEX(Tab_DaBa[],MATCH(CONCATENATE(Liste!$C$3,$B$3671,$B$3785),Data!$BO:$BO,0)-2,14),IF(INDEX(Tab_DaBa[],MATCH(CONCATENATE(Liste!$C$3,$B$3671,$B$3785),Data!$BO:$BO,0)-2,23)&lt;&gt;"",INDEX(Tab_DaBa[],MATCH(CONCATENATE(Liste!$C$3,$B$3671,$B$3785),Data!$BO:$BO,0)-2,24),"")),"")</f>
        <v>Logik 02</v>
      </c>
      <c r="G3787" s="39"/>
      <c r="H3787" s="35" t="str">
        <f ca="1">IFERROR(IF(AND(INDEX(Tab_DaBa[],MATCH(CONCATENATE(Liste!$C$3,$B$3671,$B$3785),Data!$BO:$BO,0)-2,23)&lt;&gt;"",INDEX(Tab_DaBa[],MATCH(CONCATENATE(Liste!$C$3,$B$3671,$B$3785),Data!$BO:$BO,0)-2,28)=0),INDEX(Tab_DaBa[],MATCH(CONCATENATE(Liste!$C$3,$B$3671,$B$3785),Data!$BO:$BO,0)-2,14),IF(INDEX(Tab_DaBa[],MATCH(CONCATENATE(Liste!$C$3,$B$3671,$B$3785),Data!$BO:$BO,0)-2,23)&lt;&gt;"",INDEX(Tab_DaBa[],MATCH(CONCATENATE(Liste!$C$3,$B$3671,$B$3785),Data!$BO:$BO,0)-2,29),"")),"")</f>
        <v>Logik 03</v>
      </c>
      <c r="I3787" s="39"/>
    </row>
    <row r="3788" spans="2:9" s="16" customFormat="1" ht="15.75">
      <c r="B3788" s="35" t="str">
        <f ca="1">IFERROR(INDEX(Tab_DaBa[],MATCH(CONCATENATE(Liste!$C$3,$B$3671,$B$3785),Data!$BO:$BO,0)-2,7),"")</f>
        <v>eeee-33_5</v>
      </c>
      <c r="C3788" s="54"/>
      <c r="D3788" s="35" t="str">
        <f ca="1">IFERROR(IF(INDEX(Tab_DaBa[],MATCH(CONCATENATE(Liste!$C$3,$B$3671,$B$3785),Data!$BO:$BO,0)-2,18)="",INDEX(Tab_DaBa[],MATCH(CONCATENATE(Liste!$C$3,$B$3671,$B$3785),Data!$BO:$BO,0)-2,12),INDEX(Tab_DaBa[],MATCH(CONCATENATE(Liste!$C$3,$B$3671,$B$3785),Data!$BO:$BO,0)-2,17)),"")</f>
        <v>Log01-04_05</v>
      </c>
      <c r="E3788" s="36"/>
      <c r="F3788" s="35" t="str">
        <f ca="1">IFERROR(IF(AND(INDEX(Tab_DaBa[],MATCH(CONCATENATE(Liste!$C$3,$B$3671,$B$3785),Data!$BO:$BO,0)-2,18)&lt;&gt;"",INDEX(Tab_DaBa[],MATCH(CONCATENATE(Liste!$C$3,$B$3671,$B$3785),Data!$BO:$BO,0)-2,23)=0),INDEX(Tab_DaBa[],MATCH(CONCATENATE(Liste!$C$3,$B$3671,$B$3785),Data!$BO:$BO,0)-2,12),IF(INDEX(Tab_DaBa[],MATCH(CONCATENATE(Liste!$C$3,$B$3671,$B$3785),Data!$BO:$BO,0)-2,23)&lt;&gt;"",INDEX(Tab_DaBa[],MATCH(CONCATENATE(Liste!$C$3,$B$3671,$B$3785),Data!$BO:$BO,0)-2,22),"")),"")</f>
        <v>Lo04-04_05</v>
      </c>
      <c r="G3788" s="39"/>
      <c r="H3788" s="35" t="str">
        <f ca="1">IFERROR(IF(AND(INDEX(Tab_DaBa[],MATCH(CONCATENATE(Liste!$C$3,$B$3671,$B$3785),Data!$BO:$BO,0)-2,23)&lt;&gt;"",INDEX(Tab_DaBa[],MATCH(CONCATENATE(Liste!$C$3,$B$3671,$B$3785),Data!$BO:$BO,0)-2,28)=0),INDEX(Tab_DaBa[],MATCH(CONCATENATE(Liste!$C$3,$B$3671,$B$3785),Data!$BO:$BO,0)-2,12),IF(INDEX(Tab_DaBa[],MATCH(CONCATENATE(Liste!$C$3,$B$3671,$B$3785),Data!$BO:$BO,0)-2,23)&lt;&gt;"",INDEX(Tab_DaBa[],MATCH(CONCATENATE(Liste!$C$3,$B$3671,$B$3785),Data!$BO:$BO,0)-2,27),"")),"")</f>
        <v>Lo04-44_05</v>
      </c>
      <c r="I3788" s="39"/>
    </row>
    <row r="3789" spans="2:9" s="16" customFormat="1" ht="15.75">
      <c r="B3789" s="35" t="str">
        <f ca="1">IFERROR(INDEX(Tab_DaBa[],MATCH(CONCATENATE(Liste!$C$3,$B$3671,$B$3785),Data!$BO:$BO,0)-2,8),"")</f>
        <v>Bez_Ein4_5</v>
      </c>
      <c r="C3789" s="40">
        <f ca="1">IF(D3787="","",4)</f>
        <v>4</v>
      </c>
      <c r="D3789" s="35" t="str">
        <f ca="1">IFERROR(IF(INDEX(Tab_DaBa[],MATCH(CONCATENATE(Liste!$C$3,$B$3671,$B$3785),Data!$BO:$BO,0)-2,18)="",INDEX(Tab_DaBa[],MATCH(CONCATENATE(Liste!$C$3,$B$3671,$B$3785),Data!$BO:$BO,0)-2,13),INDEX(Tab_DaBa[],MATCH(CONCATENATE(Liste!$C$3,$B$3671,$B$3785),Data!$BO:$BO,0)-2,18)),"")</f>
        <v>Bez_Log01_04_05</v>
      </c>
      <c r="E3789" s="40">
        <f ca="1">IF(F3787="","",4)</f>
        <v>4</v>
      </c>
      <c r="F3789" s="35" t="str">
        <f ca="1">IFERROR(IF(AND(INDEX(Tab_DaBa[],MATCH(CONCATENATE(Liste!$C$3,$B$3671,$B$3785),Data!$BO:$BO,0)-2,18)&lt;&gt;"",INDEX(Tab_DaBa[],MATCH(CONCATENATE(Liste!$C$3,$B$3671,$B$3785),Data!$BO:$BO,0)-2,23)=""),INDEX(Tab_DaBa[],MATCH(CONCATENATE(Liste!$C$3,$B$3671,$B$3785),Data!$BO:$BO,0)-2,13),IF(INDEX(Tab_DaBa[],MATCH(CONCATENATE(Liste!$C$3,$B$3671,$B$3785),Data!$BO:$BO,0)-2,23)&lt;&gt;"",INDEX(Tab_DaBa[],MATCH(CONCATENATE(Liste!$C$3,$B$3671,$B$3785),Data!$BO:$BO,0)-2,23),"")),"")</f>
        <v>Bez_Lo04_05</v>
      </c>
      <c r="G3789" s="38">
        <f ca="1">IF(H3787="","",4)</f>
        <v>4</v>
      </c>
      <c r="H3789" s="35" t="str">
        <f ca="1">IFERROR(IF(AND(INDEX(Tab_DaBa[],MATCH(CONCATENATE(Liste!$C$3,$B$3671,$B$3785),Data!$BO:$BO,0)-2,23)&lt;&gt;"",INDEX(Tab_DaBa[],MATCH(CONCATENATE(Liste!$C$3,$B$3671,$B$3785),Data!$BO:$BO,0)-2,28)=""),INDEX(Tab_DaBa[],MATCH(CONCATENATE(Liste!$C$3,$B$3671,$B$3785),Data!$BO:$BO,0)-2,13),IF(INDEX(Tab_DaBa[],MATCH(CONCATENATE(Liste!$C$3,$B$3671,$B$3785),Data!$BO:$BO,0)-2,23)&lt;&gt;"",INDEX(Tab_DaBa[],MATCH(CONCATENATE(Liste!$C$3,$B$3671,$B$3785),Data!$BO:$BO,0)-2,28),"")),"")</f>
        <v>Bez_Lo04_05</v>
      </c>
      <c r="I3789" s="38">
        <f ca="1">IF(B3795="","",6)</f>
        <v>6</v>
      </c>
    </row>
    <row r="3790" spans="2:9" s="16" customFormat="1" ht="15.75">
      <c r="B3790" s="35" t="str">
        <f ca="1">IFERROR("Performance Level: "&amp;INDEX(Tab_DaBa[],MATCH(CONCATENATE(Liste!$C$3,$B$3671,$B$3785),Data!$BO:$BO,0)-2,10),"")</f>
        <v>Performance Level: PL_Ein4_5</v>
      </c>
      <c r="C3790" s="54"/>
      <c r="D3790" s="35" t="str">
        <f ca="1">IFERROR(IF(INDEX(Tab_DaBa[],MATCH(CONCATENATE(Liste!$C$3,$B$3671,$B$3785),Data!$BO:$BO,0)-2,18)="","Performance Level: "&amp;INDEX(Tab_DaBa[],MATCH(CONCATENATE(Liste!$C$3,$B$3671,$B$3785),Data!$BO:$BO,0)-2,15),"Performance Level: "&amp;INDEX(Tab_DaBa[],MATCH(CONCATENATE(Liste!$C$3,$B$3671,$B$3785),Data!$BO:$BO,0)-2,20)),"")</f>
        <v>Performance Level: PL_Log01_04_05</v>
      </c>
      <c r="E3790" s="36"/>
      <c r="F3790" s="35" t="str">
        <f ca="1">IFERROR(IF(AND(INDEX(Tab_DaBa[],MATCH(CONCATENATE(Liste!$C$3,$B$3671,$B$3785),Data!$BO:$BO,0)-2,18)&lt;&gt;"",INDEX(Tab_DaBa[],MATCH(CONCATENATE(Liste!$C$3,$B$3671,$B$3785),Data!$BO:$BO,0)-2,23)=""),"Performance Level: "&amp;INDEX(Tab_DaBa[],MATCH(CONCATENATE(Liste!$C$3,$B$3671,$B$3785),Data!$BO:$BO,0)-2,15),IF(INDEX(Tab_DaBa[],MATCH(CONCATENATE(Liste!$C$3,$B$3671,$B$3785),Data!$BO:$BO,0)-2,23)&lt;&gt;"","Performance Level: "&amp;INDEX(Tab_DaBa[],MATCH(CONCATENATE(Liste!$C$3,$B$3671,$B$3785),Data!$BO:$BO,0)-2,25),"")),"")</f>
        <v>Performance Level: PL_Lo04_05</v>
      </c>
      <c r="G3790" s="39"/>
      <c r="H3790" s="35" t="str">
        <f ca="1">IFERROR(IF(AND(INDEX(Tab_DaBa[],MATCH(CONCATENATE(Liste!$C$3,$B$3671,$B$3785),Data!$BO:$BO,0)-2,23)&lt;&gt;"",INDEX(Tab_DaBa[],MATCH(CONCATENATE(Liste!$C$3,$B$3671,$B$3785),Data!$BO:$BO,0)-2,28)=""),"Performance Level: "&amp;INDEX(Tab_DaBa[],MATCH(CONCATENATE(Liste!$C$3,$B$3671,$B$3785),Data!$BO:$BO,0)-2,15),IF(INDEX(Tab_DaBa[],MATCH(CONCATENATE(Liste!$C$3,$B$3671,$B$3785),Data!$BO:$BO,0)-2,23)&lt;&gt;"","Performance Level: "&amp;INDEX(Tab_DaBa[],MATCH(CONCATENATE(Liste!$C$3,$B$3671,$B$3785),Data!$BO:$BO,0)-2,30),"")),"")</f>
        <v>Performance Level: PL_Lo04_05</v>
      </c>
      <c r="I3790" s="38"/>
    </row>
    <row r="3791" spans="2:9" s="16" customFormat="1" ht="15.75">
      <c r="B3791" s="53" t="str">
        <f ca="1">IFERROR("PFH [1/h] = "&amp;10^9*INDEX(Tab_DaBa[],MATCH(CONCATENATE(Liste!$C$3,$B$3671,$B$3785),Data!$BO:$BO,0)-2,11)&amp;"E-9","")</f>
        <v>PFH [1/h] = 42,9E-9</v>
      </c>
      <c r="C3791" s="54"/>
      <c r="D3791" s="35" t="str">
        <f ca="1">IFERROR(IF(INDEX(Tab_DaBa[],MATCH(CONCATENATE(Liste!$C$3,$B$3671,$B$3785),Data!$BO:$BO,0)-2,18)="","PFH [1/h] = "&amp;10^9*INDEX(Tab_DaBa[],MATCH(CONCATENATE(Liste!$C$3,$B$3671,$B$3785),Data!$BO:$BO,0)-2,16)&amp;"E-9","PFH [1/h] = "&amp;10^9*INDEX(Tab_DaBa[],MATCH(CONCATENATE(Liste!$C$3,$B$3671,$B$3785),Data!$BO:$BO,0)-2,21)&amp;"E-9"),"")</f>
        <v>PFH [1/h] = 4,19E-9</v>
      </c>
      <c r="E3791" s="36"/>
      <c r="F3791" s="35" t="str">
        <f ca="1">IFERROR(IF(AND(INDEX(Tab_DaBa[],MATCH(CONCATENATE(Liste!$C$3,$B$3671,$B$3785),Data!$BO:$BO,0)-2,18)&lt;&gt;"",INDEX(Tab_DaBa[],MATCH(CONCATENATE(Liste!$C$3,$B$3671,$B$3785),Data!$BO:$BO,0)-2,23)=""),"PFH [1/h] = "&amp;10^9*INDEX(Tab_DaBa[],MATCH(CONCATENATE(Liste!$C$3,$B$3671,$B$3785),Data!$BO:$BO,0)-2,16)&amp;"E-9",IF(INDEX(Tab_DaBa[],MATCH(CONCATENATE(Liste!$C$3,$B$3671,$B$3785),Data!$BO:$BO,0)-2,23)&lt;&gt;"","PFH [1/h] = "&amp;10^9*INDEX(Tab_DaBa[],MATCH(CONCATENATE(Liste!$C$3,$B$3671,$B$3785),Data!$BO:$BO,0)-2,26)&amp;"E-9","")),"")</f>
        <v>PFH [1/h] = 4,19E-9</v>
      </c>
      <c r="G3791" s="39"/>
      <c r="H3791" s="35" t="str">
        <f ca="1">IFERROR(IF(AND(INDEX(Tab_DaBa[],MATCH(CONCATENATE(Liste!$C$3,$B$3671,$B$3785),Data!$BO:$BO,0)-2,23)&lt;&gt;"",INDEX(Tab_DaBa[],MATCH(CONCATENATE(Liste!$C$3,$B$3671,$B$3785),Data!$BO:$BO,0)-2,28)=""),"PFH [1/h] = "&amp;10^9*INDEX(Tab_DaBa[],MATCH(CONCATENATE(Liste!$C$3,$B$3671,$B$3785),Data!$BO:$BO,0)-2,16)&amp;"E-9",IF(INDEX(Tab_DaBa[],MATCH(CONCATENATE(Liste!$C$3,$B$3671,$B$3785),Data!$BO:$BO,0)-2,23)&lt;&gt;"","PFH [1/h] = "&amp;10^9*INDEX(Tab_DaBa[],MATCH(CONCATENATE(Liste!$C$3,$B$3671,$B$3785),Data!$BO:$BO,0)-2,31)&amp;"E-9","")),"")</f>
        <v>PFH [1/h] = 4,19E-9</v>
      </c>
      <c r="I3791" s="39"/>
    </row>
    <row r="3792" spans="2:9" s="16" customFormat="1">
      <c r="B3792" s="33"/>
      <c r="C3792" s="34"/>
      <c r="D3792" s="33"/>
      <c r="E3792" s="33"/>
      <c r="F3792" s="33"/>
      <c r="G3792" s="33"/>
      <c r="H3792" s="33"/>
      <c r="I3792" s="33"/>
    </row>
    <row r="3793" spans="2:9" s="16" customFormat="1" ht="15.75">
      <c r="B3793" s="38">
        <f ca="1">IF(B3795="","",6)</f>
        <v>6</v>
      </c>
      <c r="C3793" s="34"/>
      <c r="D3793" s="38">
        <f ca="1">IF(B3795="","",3)</f>
        <v>3</v>
      </c>
      <c r="E3793" s="33"/>
      <c r="F3793" s="38">
        <f ca="1">IF(B3795="","",3)</f>
        <v>3</v>
      </c>
      <c r="G3793" s="33"/>
      <c r="H3793" s="38">
        <f ca="1">IF(B3795="","",3)</f>
        <v>3</v>
      </c>
      <c r="I3793" s="33"/>
    </row>
    <row r="3794" spans="2:9" s="16" customFormat="1" ht="15.75">
      <c r="B3794" s="39"/>
      <c r="C3794" s="33"/>
      <c r="D3794" s="33"/>
      <c r="E3794" s="33"/>
      <c r="F3794" s="33"/>
      <c r="G3794" s="33"/>
      <c r="H3794" s="33"/>
      <c r="I3794" s="33"/>
    </row>
    <row r="3795" spans="2:9" s="16" customFormat="1" ht="15.75">
      <c r="B3795" s="35" t="str">
        <f ca="1">IFERROR(IF(AND(INDEX(Tab_DaBa[],MATCH(CONCATENATE(Liste!$C$3,$B$3671,$B$3785),Data!$BO:$BO,0)-2,28)&lt;&gt;"",INDEX(Tab_DaBa[],MATCH(CONCATENATE(Liste!$C$3,$B$3671,$B$3785),Data!$BO:$BO,0)-2,33)=0),INDEX(Tab_DaBa[],MATCH(CONCATENATE(Liste!$C$3,$B$3671,$B$3785),Data!$BO:$BO,0)-2,14),IF(INDEX(Tab_DaBa[],MATCH(CONCATENATE(Liste!$C$3,$B$3671,$B$3785),Data!$BO:$BO,0)-2,28)&lt;&gt;"",INDEX(Tab_DaBa[],MATCH(CONCATENATE(Liste!$C$3,$B$3671,$B$3785),Data!$BO:$BO,0)-2,34),"")),"")</f>
        <v>Logik 04</v>
      </c>
      <c r="C3795" s="39"/>
      <c r="D3795" s="35" t="str">
        <f ca="1">IFERROR(IF(AND(INDEX(Tab_DaBa[],MATCH(CONCATENATE(Liste!$C$3,$B$3671,$B$3785),Data!$BO:$BO,0)-2,33)&lt;&gt;"",INDEX(Tab_DaBa[],MATCH(CONCATENATE(Liste!$C$3,$B$3671,$B$3785),Data!$BO:$BO,0)-2,38)=0),INDEX(Tab_DaBa[],MATCH(CONCATENATE(Liste!$C$3,$B$3671,$B$3785),Data!$BO:$BO,0)-2,14),IF(INDEX(Tab_DaBa[],MATCH(CONCATENATE(Liste!$C$3,$B$3671,$B$3785),Data!$BO:$BO,0)-2,33)&lt;&gt;"",INDEX(Tab_DaBa[],MATCH(CONCATENATE(Liste!$C$3,$B$3671,$B$3785),Data!$BO:$BO,0)-2,39),"")),"")</f>
        <v>Logik 05</v>
      </c>
      <c r="E3795" s="33"/>
      <c r="F3795" s="35" t="str">
        <f ca="1">IFERROR(IF(AND(INDEX(Tab_DaBa[],MATCH(CONCATENATE(Liste!$C$3,$B$3671,$B$3785),Data!$BO:$BO,0)-2,38)&lt;&gt;"",INDEX(Tab_DaBa[],MATCH(CONCATENATE(Liste!$C$3,$B$3671,$B$3785),Data!$BO:$BO,0)-2,43)=0),INDEX(Tab_DaBa[],MATCH(CONCATENATE(Liste!$C$3,$B$3671,$B$3785),Data!$BO:$BO,0)-2,14),IF(INDEX(Tab_DaBa[],MATCH(CONCATENATE(Liste!$C$3,$B$3671,$B$3785),Data!$BO:$BO,0)-2,38)&lt;&gt;"",INDEX(Tab_DaBa[],MATCH(CONCATENATE(Liste!$C$3,$B$3671,$B$3785),Data!$BO:$BO,0)-2,44),"")),"")</f>
        <v>Ausgang</v>
      </c>
      <c r="G3795" s="39"/>
      <c r="H3795" s="35" t="str">
        <f ca="1">IFERROR(IF(AND(INDEX(Tab_DaBa[],MATCH(CONCATENATE(Liste!$C$3,$B$3671,$B$3785),Data!$BO:$BO,0)-2,43)&lt;&gt;"",INDEX(Tab_DaBa[],MATCH(CONCATENATE(Liste!$C$3,$B$3671,$B$3785),Data!$BO:$BO,0)-2,48)=0),INDEX(Tab_DaBa[],MATCH(CONCATENATE(Liste!$C$3,$B$3671,$B$3785),Data!$BO:$BO,0)-2,14),IF(INDEX(Tab_DaBa[],MATCH(CONCATENATE(Liste!$C$3,$B$3671,$B$3785),Data!$BO:$BO,0)-2,43)&lt;&gt;"",INDEX(Tab_DaBa[],MATCH(CONCATENATE(Liste!$C$3,$B$3671,$B$3785),Data!$BO:$BO,0)-2,49),"")),"")</f>
        <v/>
      </c>
      <c r="I3795" s="39"/>
    </row>
    <row r="3796" spans="2:9" s="16" customFormat="1" ht="15.75">
      <c r="B3796" s="35" t="str">
        <f ca="1">IFERROR(IF(AND(INDEX(Tab_DaBa[],MATCH(CONCATENATE(Liste!$C$3,$B$3671,$B$3785),Data!$BO:$BO,0)-2,28)&lt;&gt;"",INDEX(Tab_DaBa[],MATCH(CONCATENATE(Liste!$C$3,$B$3671,$B$3785),Data!$BO:$BO,0)-2,33)=0),INDEX(Tab_DaBa[],MATCH(CONCATENATE(Liste!$C$3,$B$3671,$B$3785),Data!$BO:$BO,0)-2,12),IF(INDEX(Tab_DaBa[],MATCH(CONCATENATE(Liste!$C$3,$B$3671,$B$3785),Data!$BO:$BO,0)-2,28)&lt;&gt;"",INDEX(Tab_DaBa[],MATCH(CONCATENATE(Liste!$C$3,$B$3671,$B$3785),Data!$BO:$BO,0)-2,32),"")),"")</f>
        <v>Lo04-44_05</v>
      </c>
      <c r="C3796" s="39"/>
      <c r="D3796" s="35" t="str">
        <f ca="1">IFERROR(IF(AND(INDEX(Tab_DaBa[],MATCH(CONCATENATE(Liste!$C$3,$B$3671,$B$3785),Data!$BO:$BO,0)-2,33)&lt;&gt;"",INDEX(Tab_DaBa[],MATCH(CONCATENATE(Liste!$C$3,$B$3671,$B$3785),Data!$BO:$BO,0)-2,38)=0),INDEX(Tab_DaBa[],MATCH(CONCATENATE(Liste!$C$3,$B$3671,$B$3785),Data!$BO:$BO,0)-2,12),IF(INDEX(Tab_DaBa[],MATCH(CONCATENATE(Liste!$C$3,$B$3671,$B$3785),Data!$BO:$BO,0)-2,33)&lt;&gt;"",INDEX(Tab_DaBa[],MATCH(CONCATENATE(Liste!$C$3,$B$3671,$B$3785),Data!$BO:$BO,0)-2,37),"")),"")</f>
        <v>Lo04-44_05</v>
      </c>
      <c r="E3796" s="37"/>
      <c r="F3796" s="35" t="str">
        <f ca="1">IFERROR(IF(AND(INDEX(Tab_DaBa[],MATCH(CONCATENATE(Liste!$C$3,$B$3671,$B$3785),Data!$BO:$BO,0)-2,38)&lt;&gt;"",INDEX(Tab_DaBa[],MATCH(CONCATENATE(Liste!$C$3,$B$3671,$B$3785),Data!$BO:$BO,0)-2,43)=0),INDEX(Tab_DaBa[],MATCH(CONCATENATE(Liste!$C$3,$B$3671,$B$3785),Data!$BO:$BO,0)-2,12),IF(INDEX(Tab_DaBa[],MATCH(CONCATENATE(Liste!$C$3,$B$3671,$B$3785),Data!$BO:$BO,0)-2,38)&lt;&gt;"",INDEX(Tab_DaBa[],MATCH(CONCATENATE(Liste!$C$3,$B$3671,$B$3785),Data!$BO:$BO,0)-2,42),"")),"")</f>
        <v>aaaa-44_5</v>
      </c>
      <c r="G3796" s="39"/>
      <c r="H3796" s="35" t="str">
        <f ca="1">IFERROR(IF(AND(INDEX(Tab_DaBa[],MATCH(CONCATENATE(Liste!$C$3,$B$3671,$B$3785),Data!$BO:$BO,0)-2,43)&lt;&gt;"",INDEX(Tab_DaBa[],MATCH(CONCATENATE(Liste!$C$3,$B$3671,$B$3785),Data!$BO:$BO,0)-2,48)=0),INDEX(Tab_DaBa[],MATCH(CONCATENATE(Liste!$C$3,$B$3671,$B$3785),Data!$BO:$BO,0)-2,12),IF(INDEX(Tab_DaBa[],MATCH(CONCATENATE(Liste!$C$3,$B$3671,$B$3785),Data!$BO:$BO,0)-2,43)&lt;&gt;"",INDEX(Tab_DaBa[],MATCH(CONCATENATE(Liste!$C$3,$B$3671,$B$3785),Data!$BO:$BO,0)-2,47),"")),"")</f>
        <v/>
      </c>
      <c r="I3796" s="39"/>
    </row>
    <row r="3797" spans="2:9" s="16" customFormat="1" ht="15.75">
      <c r="B3797" s="35" t="str">
        <f ca="1">IFERROR(IF(AND(INDEX(Tab_DaBa[],MATCH(CONCATENATE(Liste!$C$3,$B$3671,$B$3785),Data!$BO:$BO,0)-2,28)&lt;&gt;"",INDEX(Tab_DaBa[],MATCH(CONCATENATE(Liste!$C$3,$B$3671,$B$3785),Data!$BO:$BO,0)-2,33)=""),INDEX(Tab_DaBa[],MATCH(CONCATENATE(Liste!$C$3,$B$3671,$B$3785),Data!$BO:$BO,0)-2,13),IF(INDEX(Tab_DaBa[],MATCH(CONCATENATE(Liste!$C$3,$B$3671,$B$3785),Data!$BO:$BO,0)-2,28)&lt;&gt;"",INDEX(Tab_DaBa[],MATCH(CONCATENATE(Liste!$C$3,$B$3671,$B$3785),Data!$BO:$BO,0)-2,33),"")),"")</f>
        <v>Bez_Lo04_05</v>
      </c>
      <c r="C3797" s="38">
        <f ca="1">IF(D3795="","",4)</f>
        <v>4</v>
      </c>
      <c r="D3797" s="35" t="str">
        <f ca="1">IFERROR(IF(AND(INDEX(Tab_DaBa[],MATCH(CONCATENATE(Liste!$C$3,$B$3671,$B$3785),Data!$BO:$BO,0)-2,33)&lt;&gt;"",INDEX(Tab_DaBa[],MATCH(CONCATENATE(Liste!$C$3,$B$3671,$B$3785),Data!$BO:$BO,0)-2,38)=""),INDEX(Tab_DaBa[],MATCH(CONCATENATE(Liste!$C$3,$B$3671,$B$3785),Data!$BO:$BO,0)-2,13),IF(INDEX(Tab_DaBa[],MATCH(CONCATENATE(Liste!$C$3,$B$3671,$B$3785),Data!$BO:$BO,0)-2,33)&lt;&gt;"",INDEX(Tab_DaBa[],MATCH(CONCATENATE(Liste!$C$3,$B$3671,$B$3785),Data!$BO:$BO,0)-2,38),"")),"")</f>
        <v>Bez_Lo05_05</v>
      </c>
      <c r="E3797" s="38">
        <f ca="1">IF(F3795="","",4)</f>
        <v>4</v>
      </c>
      <c r="F3797" s="35" t="str">
        <f ca="1">IFERROR(IF(AND(INDEX(Tab_DaBa[],MATCH(CONCATENATE(Liste!$C$3,$B$3671,$B$3785),Data!$BO:$BO,0)-2,38)&lt;&gt;"",INDEX(Tab_DaBa[],MATCH(CONCATENATE(Liste!$C$3,$B$3671,$B$3785),Data!$BO:$BO,0)-2,43)=""),INDEX(Tab_DaBa[],MATCH(CONCATENATE(Liste!$C$3,$B$3671,$B$3785),Data!$BO:$BO,0)-2,13),IF(INDEX(Tab_DaBa[],MATCH(CONCATENATE(Liste!$C$3,$B$3671,$B$3785),Data!$BO:$BO,0)-2,38)&lt;&gt;"",INDEX(Tab_DaBa[],MATCH(CONCATENATE(Liste!$C$3,$B$3671,$B$3785),Data!$BO:$BO,0)-2,43),"")),"")</f>
        <v>Bez_Aus4_5</v>
      </c>
      <c r="G3797" s="38" t="str">
        <f ca="1">IF(H3795="","",4)</f>
        <v/>
      </c>
      <c r="H3797" s="35" t="str">
        <f ca="1">IFERROR(IF(AND(INDEX(Tab_DaBa[],MATCH(CONCATENATE(Liste!$C$3,$B$3671,$B$3785),Data!$BO:$BO,0)-2,43)&lt;&gt;"",INDEX(Tab_DaBa[],MATCH(CONCATENATE(Liste!$C$3,$B$3671,$B$3785),Data!$BO:$BO,0)-2,48)=""),INDEX(Tab_DaBa[],MATCH(CONCATENATE(Liste!$C$3,$B$3671,$B$3785),Data!$BO:$BO,0)-2,13),IF(INDEX(Tab_DaBa[],MATCH(CONCATENATE(Liste!$C$3,$B$3671,$B$3785),Data!$BO:$BO,0)-2,43)&lt;&gt;"",INDEX(Tab_DaBa[],MATCH(CONCATENATE(Liste!$C$3,$B$3671,$B$3785),Data!$BO:$BO,0)-2,48),"")),"")</f>
        <v/>
      </c>
      <c r="I3797" s="38" t="str">
        <f ca="1">IF(B3803="","",6)</f>
        <v/>
      </c>
    </row>
    <row r="3798" spans="2:9" s="16" customFormat="1" ht="15.75">
      <c r="B3798" s="35" t="str">
        <f ca="1">IFERROR(IF(AND(INDEX(Tab_DaBa[],MATCH(CONCATENATE(Liste!$C$3,$B$3671,$B$3785),Data!$BO:$BO,0)-2,28)&lt;&gt;"",INDEX(Tab_DaBa[],MATCH(CONCATENATE(Liste!$C$3,$B$3671,$B$3785),Data!$BO:$BO,0)-2,33)=""),"Performance Level: "&amp;INDEX(Tab_DaBa[],MATCH(CONCATENATE(Liste!$C$3,$B$3671,$B$3785),Data!$BO:$BO,0)-2,15),IF(INDEX(Tab_DaBa[],MATCH(CONCATENATE(Liste!$C$3,$B$3671,$B$3785),Data!$BO:$BO,0)-2,28)&lt;&gt;"","Performance Level: "&amp;INDEX(Tab_DaBa[],MATCH(CONCATENATE(Liste!$C$3,$B$3671,$B$3785),Data!$BO:$BO,0)-2,35),"")),"")</f>
        <v>Performance Level: PL_Lo04_05</v>
      </c>
      <c r="C3798" s="39"/>
      <c r="D3798" s="35" t="str">
        <f ca="1">IFERROR(IF(AND(INDEX(Tab_DaBa[],MATCH(CONCATENATE(Liste!$C$3,$B$3671,$B$3785),Data!$BO:$BO,0)-2,33)&lt;&gt;"",INDEX(Tab_DaBa[],MATCH(CONCATENATE(Liste!$C$3,$B$3671,$B$3785),Data!$BO:$BO,0)-2,38)=""),"Performance Level: "&amp;INDEX(Tab_DaBa[],MATCH(CONCATENATE(Liste!$C$3,$B$3671,$B$3785),Data!$BO:$BO,0)-2,15),IF(INDEX(Tab_DaBa[],MATCH(CONCATENATE(Liste!$C$3,$B$3671,$B$3785),Data!$BO:$BO,0)-2,33)&lt;&gt;"","Performance Level: "&amp;INDEX(Tab_DaBa[],MATCH(CONCATENATE(Liste!$C$3,$B$3671,$B$3785),Data!$BO:$BO,0)-2,40),"")),"")</f>
        <v>Performance Level: PL_Lo03_5</v>
      </c>
      <c r="E3798" s="37"/>
      <c r="F3798" s="35" t="str">
        <f ca="1">IFERROR(IF(AND(INDEX(Tab_DaBa[],MATCH(CONCATENATE(Liste!$C$3,$B$3671,$B$3785),Data!$BO:$BO,0)-2,38)&lt;&gt;"",INDEX(Tab_DaBa[],MATCH(CONCATENATE(Liste!$C$3,$B$3671,$B$3785),Data!$BO:$BO,0)-2,43)=""),"Performance Level: "&amp;INDEX(Tab_DaBa[],MATCH(CONCATENATE(Liste!$C$3,$B$3671,$B$3785),Data!$BO:$BO,0)-2,15),IF(INDEX(Tab_DaBa[],MATCH(CONCATENATE(Liste!$C$3,$B$3671,$B$3785),Data!$BO:$BO,0)-2,38)&lt;&gt;"","Performance Level: "&amp;INDEX(Tab_DaBa[],MATCH(CONCATENATE(Liste!$C$3,$B$3671,$B$3785),Data!$BO:$BO,0)-2,45),"")),"")</f>
        <v>Performance Level: PL_Aus4_5</v>
      </c>
      <c r="G3798" s="39"/>
      <c r="H3798" s="35" t="str">
        <f ca="1">IFERROR(IF(AND(INDEX(Tab_DaBa[],MATCH(CONCATENATE(Liste!$C$3,$B$3671,$B$3785),Data!$BO:$BO,0)-2,43)&lt;&gt;"",INDEX(Tab_DaBa[],MATCH(CONCATENATE(Liste!$C$3,$B$3671,$B$3785),Data!$BO:$BO,0)-2,48)=""),"Performance Level: "&amp;INDEX(Tab_DaBa[],MATCH(CONCATENATE(Liste!$C$3,$B$3671,$B$3785),Data!$BO:$BO,0)-2,15),IF(INDEX(Tab_DaBa[],MATCH(CONCATENATE(Liste!$C$3,$B$3671,$B$3785),Data!$BO:$BO,0)-2,43)&lt;&gt;"","Performance Level: "&amp;INDEX(Tab_DaBa[],MATCH(CONCATENATE(Liste!$C$3,$B$3671,$B$3785),Data!$BO:$BO,0)-2,50),"")),"")</f>
        <v/>
      </c>
      <c r="I3798" s="39"/>
    </row>
    <row r="3799" spans="2:9" s="16" customFormat="1" ht="15.75">
      <c r="B3799" s="35" t="str">
        <f ca="1">IFERROR(IF(AND(INDEX(Tab_DaBa[],MATCH(CONCATENATE(Liste!$C$3,$B$3671,$B$3785),Data!$BO:$BO,0)-2,28)&lt;&gt;"",INDEX(Tab_DaBa[],MATCH(CONCATENATE(Liste!$C$3,$B$3671,$B$3785),Data!$BO:$BO,0)-2,33)=""),"PFH [1/h] = "&amp;10^9*INDEX(Tab_DaBa[],MATCH(CONCATENATE(Liste!$C$3,$B$3671,$B$3785),Data!$BO:$BO,0)-2,16)&amp;"E-9",IF(INDEX(Tab_DaBa[],MATCH(CONCATENATE(Liste!$C$3,$B$3671,$B$3785),Data!$BO:$BO,0)-2,28)&lt;&gt;"","PFH [1/h] = "&amp;10^9*INDEX(Tab_DaBa[],MATCH(CONCATENATE(Liste!$C$3,$B$3671,$B$3785),Data!$BO:$BO,0)-2,36)&amp;"E-9","")),"")</f>
        <v>PFH [1/h] = 4,19E-9</v>
      </c>
      <c r="C3799" s="39"/>
      <c r="D3799" s="35" t="str">
        <f ca="1">IFERROR(IF(AND(INDEX(Tab_DaBa[],MATCH(CONCATENATE(Liste!$C$3,$B$3671,$B$3785),Data!$BO:$BO,0)-2,33)&lt;&gt;"",INDEX(Tab_DaBa[],MATCH(CONCATENATE(Liste!$C$3,$B$3671,$B$3785),Data!$BO:$BO,0)-2,38)=""),"PFH [1/h] = "&amp;10^9*INDEX(Tab_DaBa[],MATCH(CONCATENATE(Liste!$C$3,$B$3671,$B$3785),Data!$BO:$BO,0)-2,16)&amp;"E-9",IF(INDEX(Tab_DaBa[],MATCH(CONCATENATE(Liste!$C$3,$B$3671,$B$3785),Data!$BO:$BO,0)-2,33)&lt;&gt;"","PFH [1/h] = "&amp;10^9*INDEX(Tab_DaBa[],MATCH(CONCATENATE(Liste!$C$3,$B$3671,$B$3785),Data!$BO:$BO,0)-2,41)&amp;"E-9","")),"")</f>
        <v>PFH [1/h] = 4,19E-9</v>
      </c>
      <c r="E3799" s="37"/>
      <c r="F3799" s="35" t="str">
        <f ca="1">IFERROR(IF(AND(INDEX(Tab_DaBa[],MATCH(CONCATENATE(Liste!$C$3,$B$3671,$B$3785),Data!$BO:$BO,0)-2,38)&lt;&gt;"",INDEX(Tab_DaBa[],MATCH(CONCATENATE(Liste!$C$3,$B$3671,$B$3785),Data!$BO:$BO,0)-2,43)=""),"PFH [1/h] = "&amp;10^9*INDEX(Tab_DaBa[],MATCH(CONCATENATE(Liste!$C$3,$B$3671,$B$3785),Data!$BO:$BO,0)-2,16)&amp;"E-9",IF(INDEX(Tab_DaBa[],MATCH(CONCATENATE(Liste!$C$3,$B$3671,$B$3785),Data!$BO:$BO,0)-2,38)&lt;&gt;"","PFH [1/h] = "&amp;10^9*INDEX(Tab_DaBa[],MATCH(CONCATENATE(Liste!$C$3,$B$3671,$B$3785),Data!$BO:$BO,0)-2,46)&amp;"E-9","")),"")</f>
        <v>PFH [1/h] = 24,7E-9</v>
      </c>
      <c r="G3799" s="39"/>
      <c r="H3799" s="35" t="str">
        <f ca="1">IFERROR(IF(AND(INDEX(Tab_DaBa[],MATCH(CONCATENATE(Liste!$C$3,$B$3671,$B$3785),Data!$BO:$BO,0)-2,43)&lt;&gt;"",INDEX(Tab_DaBa[],MATCH(CONCATENATE(Liste!$C$3,$B$3671,$B$3785),Data!$BO:$BO,0)-2,48)=""),"PFH [1/h] = "&amp;10^9*INDEX(Tab_DaBa[],MATCH(CONCATENATE(Liste!$C$3,$B$3671,$B$3785),Data!$BO:$BO,0)-2,16)&amp;"E-9",IF(INDEX(Tab_DaBa[],MATCH(CONCATENATE(Liste!$C$3,$B$3671,$B$3785),Data!$BO:$BO,0)-2,43)&lt;&gt;"","PFH [1/h] = "&amp;10^9*INDEX(Tab_DaBa[],MATCH(CONCATENATE(Liste!$C$3,$B$3671,$B$3785),Data!$BO:$BO,0)-2,51)&amp;"E-9","")),"")</f>
        <v/>
      </c>
      <c r="I3799" s="39"/>
    </row>
    <row r="3800" spans="2:9" s="16" customFormat="1">
      <c r="B3800" s="33"/>
      <c r="C3800" s="33"/>
      <c r="D3800" s="33"/>
      <c r="E3800" s="33"/>
      <c r="F3800" s="33"/>
      <c r="G3800" s="33"/>
      <c r="H3800" s="33"/>
      <c r="I3800" s="33"/>
    </row>
    <row r="3801" spans="2:9" s="16" customFormat="1" ht="15.75">
      <c r="B3801" s="38" t="str">
        <f ca="1">IF(B3803="","",6)</f>
        <v/>
      </c>
      <c r="C3801" s="33"/>
      <c r="D3801" s="38" t="str">
        <f ca="1">IF(B3803="","",3)</f>
        <v/>
      </c>
      <c r="E3801" s="33"/>
      <c r="F3801" s="38" t="str">
        <f ca="1">IF(B3803="","",3)</f>
        <v/>
      </c>
      <c r="G3801" s="33"/>
      <c r="H3801" s="38" t="str">
        <f ca="1">IF(B3803="","",3)</f>
        <v/>
      </c>
      <c r="I3801" s="33"/>
    </row>
    <row r="3802" spans="2:9" s="16" customFormat="1" ht="15.75">
      <c r="B3802" s="39"/>
      <c r="C3802" s="33"/>
      <c r="D3802" s="33"/>
      <c r="E3802" s="33"/>
      <c r="F3802" s="33"/>
      <c r="G3802" s="33"/>
      <c r="H3802" s="33"/>
      <c r="I3802" s="33"/>
    </row>
    <row r="3803" spans="2:9" s="16" customFormat="1" ht="15.75">
      <c r="B3803" s="35" t="str">
        <f ca="1">IFERROR(IF(AND(INDEX(Tab_DaBa[],MATCH(CONCATENATE(Liste!$C$3,$B$3671,$B$3785),Data!$BO:$BO,0)-2,48)&lt;&gt;"",INDEX(Tab_DaBa[],MATCH(CONCATENATE(Liste!$C$3,$B$3671,$B$3785),Data!$BO:$BO,0)-2,53)=0),INDEX(Tab_DaBa[],MATCH(CONCATENATE(Liste!$C$3,$B$3671,$B$3785),Data!$BO:$BO,0)-2,14),IF(INDEX(Tab_DaBa[],MATCH(CONCATENATE(Liste!$C$3,$B$3671,$B$3785),Data!$BO:$BO,0)-2,48)&lt;&gt;"",INDEX(Tab_DaBa[],MATCH(CONCATENATE(Liste!$C$3,$B$3671,$B$3785),Data!$BO:$BO,0)-2,54),"")),"")</f>
        <v/>
      </c>
      <c r="C3803" s="39"/>
      <c r="D3803" s="35" t="str">
        <f ca="1">IFERROR(IF(AND(INDEX(Tab_DaBa[],MATCH(CONCATENATE(Liste!$C$3,$B$3671,$B$3785),Data!$BO:$BO,0)-2,53)&lt;&gt;"",INDEX(Tab_DaBa[],MATCH(CONCATENATE(Liste!$C$3,$B$3671,$B$3785),Data!$BO:$BO,0)-2,58)=0),INDEX(Tab_DaBa[],MATCH(CONCATENATE(Liste!$C$3,$B$3671,$B$3785),Data!$BO:$BO,0)-2,14),IF(INDEX(Tab_DaBa[],MATCH(CONCATENATE(Liste!$C$3,$B$3671,$B$3785),Data!$BO:$BO,0)-2,53)&lt;&gt;"",INDEX(Tab_DaBa[],MATCH(CONCATENATE(Liste!$C$3,$B$3671,$B$3785),Data!$BO:$BO,0)-2,59),"")),"")</f>
        <v/>
      </c>
      <c r="E3803" s="33"/>
      <c r="F3803" s="35" t="str">
        <f ca="1">IFERROR(IF(AND(INDEX(Tab_DaBa[],MATCH(CONCATENATE(Liste!$C$3,$B$3671,$B$3785),Data!$BO:$BO,0)-2,58)&lt;&gt;"",INDEX(Tab_DaBa[],MATCH(CONCATENATE(Liste!$C$3,$B$3671,$B$3785),Data!$BO:$BO,0)-2,63)=0),INDEX(Tab_DaBa[],MATCH(CONCATENATE(Liste!$C$3,$B$3671,$B$3785),Data!$BO:$BO,0)-2,14),IF(INDEX(Tab_DaBa[],MATCH(CONCATENATE(Liste!$C$3,$B$3671,$B$3785),Data!$BO:$BO,0)-2,58)&lt;&gt;"",INDEX(Tab_DaBa[],MATCH(CONCATENATE(Liste!$C$3,$B$3671,$B$3785),Data!$BO:$BO,0)-2,64),"")),"")</f>
        <v/>
      </c>
      <c r="G3803" s="39"/>
      <c r="H3803" s="35" t="str">
        <f ca="1">IFERROR(IF(INDEX(Tab_DaBa[],MATCH(CONCATENATE(Liste!$C$3,$B$3671,$B$3785),Data!$BO:$BO,0)-2,63)&lt;&gt;"",INDEX(Tab_DaBa[],MATCH(CONCATENATE(Liste!$C$3,$B$3671,$B$3785),Data!$BO:$BO,0)-2,14),""),"")</f>
        <v/>
      </c>
    </row>
    <row r="3804" spans="2:9" s="16" customFormat="1" ht="15.75">
      <c r="B3804" s="35" t="str">
        <f ca="1">IFERROR(IF(AND(INDEX(Tab_DaBa[],MATCH(CONCATENATE(Liste!$C$3,$B$3671,$B$3785),Data!$BO:$BO,0)-2,48)&lt;&gt;"",INDEX(Tab_DaBa[],MATCH(CONCATENATE(Liste!$C$3,$B$3671,$B$3785),Data!$BO:$BO,0)-2,53)=0),INDEX(Tab_DaBa[],MATCH(CONCATENATE(Liste!$C$3,$B$3671,$B$3785),Data!$BO:$BO,0)-2,12),IF(INDEX(Tab_DaBa[],MATCH(CONCATENATE(Liste!$C$3,$B$3671,$B$3785),Data!$BO:$BO,0)-2,48)&lt;&gt;"",INDEX(Tab_DaBa[],MATCH(CONCATENATE(Liste!$C$3,$B$3671,$B$3785),Data!$BO:$BO,0)-2,52),"")),"")</f>
        <v/>
      </c>
      <c r="C3804" s="39"/>
      <c r="D3804" s="35" t="str">
        <f ca="1">IFERROR(IF(AND(INDEX(Tab_DaBa[],MATCH(CONCATENATE(Liste!$C$3,$B$3671,$B$3785),Data!$BO:$BO,0)-2,53)&lt;&gt;"",INDEX(Tab_DaBa[],MATCH(CONCATENATE(Liste!$C$3,$B$3671,$B$3785),Data!$BO:$BO,0)-2,58)=0),INDEX(Tab_DaBa[],MATCH(CONCATENATE(Liste!$C$3,$B$3671,$B$3785),Data!$BO:$BO,0)-2,12),IF(INDEX(Tab_DaBa[],MATCH(CONCATENATE(Liste!$C$3,$B$3671,$B$3785),Data!$BO:$BO,0)-2,53)&lt;&gt;"",INDEX(Tab_DaBa[],MATCH(CONCATENATE(Liste!$C$3,$B$3671,$B$3785),Data!$BO:$BO,0)-2,57),"")),"")</f>
        <v/>
      </c>
      <c r="E3804" s="37"/>
      <c r="F3804" s="35" t="str">
        <f ca="1">IFERROR(IF(AND(INDEX(Tab_DaBa[],MATCH(CONCATENATE(Liste!$C$3,$B$3671,$B$3785),Data!$BO:$BO,0)-2,58)&lt;&gt;"",INDEX(Tab_DaBa[],MATCH(CONCATENATE(Liste!$C$3,$B$3671,$B$3785),Data!$BO:$BO,0)-2,63)=0),INDEX(Tab_DaBa[],MATCH(CONCATENATE(Liste!$C$3,$B$3671,$B$3785),Data!$BO:$BO,0)-2,12),IF(INDEX(Tab_DaBa[],MATCH(CONCATENATE(Liste!$C$3,$B$3671,$B$3785),Data!$BO:$BO,0)-2,58)&lt;&gt;"",INDEX(Tab_DaBa[],MATCH(CONCATENATE(Liste!$C$3,$B$3671,$B$3785),Data!$BO:$BO,0)-2,62),"")),"")</f>
        <v/>
      </c>
      <c r="G3804" s="39"/>
      <c r="H3804" s="35" t="str">
        <f ca="1">IFERROR(IF(INDEX(Tab_DaBa[],MATCH(CONCATENATE(Liste!$C$3,$B$3671,$B$3785),Data!$BO:$BO,0)-2,63)&lt;&gt;"",INDEX(Tab_DaBa[],MATCH(CONCATENATE(Liste!$C$3,$B$3671,$B$3785),Data!$BO:$BO,0)-2,12),""),"")</f>
        <v/>
      </c>
    </row>
    <row r="3805" spans="2:9" s="16" customFormat="1" ht="15.75">
      <c r="B3805" s="35" t="str">
        <f ca="1">IFERROR(IF(AND(INDEX(Tab_DaBa[],MATCH(CONCATENATE(Liste!$C$3,$B$3671,$B$3785),Data!$BO:$BO,0)-2,48)&lt;&gt;"",INDEX(Tab_DaBa[],MATCH(CONCATENATE(Liste!$C$3,$B$3671,$B$3785),Data!$BO:$BO,0)-2,53)=""),INDEX(Tab_DaBa[],MATCH(CONCATENATE(Liste!$C$3,$B$3671,$B$3785),Data!$BO:$BO,0)-2,13),IF(INDEX(Tab_DaBa[],MATCH(CONCATENATE(Liste!$C$3,$B$3671,$B$3785),Data!$BO:$BO,0)-2,48)&lt;&gt;"",INDEX(Tab_DaBa[],MATCH(CONCATENATE(Liste!$C$3,$B$3671,$B$3785),Data!$BO:$BO,0)-2,53),"")),"")</f>
        <v/>
      </c>
      <c r="C3805" s="38" t="str">
        <f ca="1">IF(D3803="","",4)</f>
        <v/>
      </c>
      <c r="D3805" s="35" t="str">
        <f ca="1">IFERROR(IF(AND(INDEX(Tab_DaBa[],MATCH(CONCATENATE(Liste!$C$3,$B$3671,$B$3785),Data!$BO:$BO,0)-2,53)&lt;&gt;"",INDEX(Tab_DaBa[],MATCH(CONCATENATE(Liste!$C$3,$B$3671,$B$3785),Data!$BO:$BO,0)-2,58)=""),INDEX(Tab_DaBa[],MATCH(CONCATENATE(Liste!$C$3,$B$3671,$B$3785),Data!$BO:$BO,0)-2,13),IF(INDEX(Tab_DaBa[],MATCH(CONCATENATE(Liste!$C$3,$B$3671,$B$3785),Data!$BO:$BO,0)-2,53)&lt;&gt;"",INDEX(Tab_DaBa[],MATCH(CONCATENATE(Liste!$C$3,$B$3671,$B$3785),Data!$BO:$BO,0)-2,58),"")),"")</f>
        <v/>
      </c>
      <c r="E3805" s="38" t="str">
        <f ca="1">IF(F3803="","",4)</f>
        <v/>
      </c>
      <c r="F3805" s="35" t="str">
        <f ca="1">IFERROR(IF(AND(INDEX(Tab_DaBa[],MATCH(CONCATENATE(Liste!$C$3,$B$3671,$B$3785),Data!$BO:$BO,0)-2,58)&lt;&gt;"",INDEX(Tab_DaBa[],MATCH(CONCATENATE(Liste!$C$3,$B$3671,$B$3785),Data!$BO:$BO,0)-2,63)=""),INDEX(Tab_DaBa[],MATCH(CONCATENATE(Liste!$C$3,$B$3671,$B$3785),Data!$BO:$BO,0)-2,13),IF(INDEX(Tab_DaBa[],MATCH(CONCATENATE(Liste!$C$3,$B$3671,$B$3785),Data!$BO:$BO,0)-2,58)&lt;&gt;"",INDEX(Tab_DaBa[],MATCH(CONCATENATE(Liste!$C$3,$B$3671,$B$3785),Data!$BO:$BO,0)-2,63),"")),"")</f>
        <v/>
      </c>
      <c r="G3805" s="38" t="str">
        <f ca="1">IF(H3803="","",4)</f>
        <v/>
      </c>
      <c r="H3805" s="35" t="str">
        <f ca="1">IFERROR(IF(INDEX(Tab_DaBa[],MATCH(CONCATENATE(Liste!$C$3,$B$3671,$B$3785),Data!$BO:$BO,0)-2,63)&lt;&gt;"",INDEX(Tab_DaBa[],MATCH(CONCATENATE(Liste!$C$3,$B$3671,$B$3785),Data!$BO:$BO,0)-2,13),""),"")</f>
        <v/>
      </c>
    </row>
    <row r="3806" spans="2:9" s="16" customFormat="1" ht="15.75">
      <c r="B3806" s="35" t="str">
        <f ca="1">IFERROR(IF(AND(INDEX(Tab_DaBa[],MATCH(CONCATENATE(Liste!$C$3,$B$3671,$B$3785),Data!$BO:$BO,0)-2,48)&lt;&gt;"",INDEX(Tab_DaBa[],MATCH(CONCATENATE(Liste!$C$3,$B$3671,$B$3785),Data!$BO:$BO,0)-2,53)=""),"Performance Level: "&amp;INDEX(Tab_DaBa[],MATCH(CONCATENATE(Liste!$C$3,$B$3671,$B$3785),Data!$BO:$BO,0)-2,15),IF(INDEX(Tab_DaBa[],MATCH(CONCATENATE(Liste!$C$3,$B$3671,$B$3785),Data!$BO:$BO,0)-2,48)&lt;&gt;"","Performance Level: "&amp;INDEX(Tab_DaBa[],MATCH(CONCATENATE(Liste!$C$3,$B$3671,$B$3785),Data!$BO:$BO,0)-2,55),"")),"")</f>
        <v/>
      </c>
      <c r="C3806" s="39"/>
      <c r="D3806" s="35" t="str">
        <f ca="1">IFERROR(IF(AND(INDEX(Tab_DaBa[],MATCH(CONCATENATE(Liste!$C$3,$B$3671,$B$3785),Data!$BO:$BO,0)-2,53)&lt;&gt;"",INDEX(Tab_DaBa[],MATCH(CONCATENATE(Liste!$C$3,$B$3671,$B$3785),Data!$BO:$BO,0)-2,58)=""),"Performance Level: "&amp;INDEX(Tab_DaBa[],MATCH(CONCATENATE(Liste!$C$3,$B$3671,$B$3785),Data!$BO:$BO,0)-2,15),IF(INDEX(Tab_DaBa[],MATCH(CONCATENATE(Liste!$C$3,$B$3671,$B$3785),Data!$BO:$BO,0)-2,53)&lt;&gt;"","Performance Level: "&amp;INDEX(Tab_DaBa[],MATCH(CONCATENATE(Liste!$C$3,$B$3671,$B$3785),Data!$BO:$BO,0)-2,60),"")),"")</f>
        <v/>
      </c>
      <c r="E3806" s="37"/>
      <c r="F3806" s="35" t="str">
        <f ca="1">IFERROR(IF(AND(INDEX(Tab_DaBa[],MATCH(CONCATENATE(Liste!$C$3,$B$3671,$B$3785),Data!$BO:$BO,0)-2,58)&lt;&gt;"",INDEX(Tab_DaBa[],MATCH(CONCATENATE(Liste!$C$3,$B$3671,$B$3785),Data!$BO:$BO,0)-2,63)=""),"Performance Level: "&amp;INDEX(Tab_DaBa[],MATCH(CONCATENATE(Liste!$C$3,$B$3671,$B$3785),Data!$BO:$BO,0)-2,15),IF(INDEX(Tab_DaBa[],MATCH(CONCATENATE(Liste!$C$3,$B$3671,$B$3785),Data!$BO:$BO,0)-2,58)&lt;&gt;"","Performance Level: "&amp;INDEX(Tab_DaBa[],MATCH(CONCATENATE(Liste!$C$3,$B$3671,$B$3785),Data!$BO:$BO,0)-2,65),"")),"")</f>
        <v/>
      </c>
      <c r="G3806" s="39"/>
      <c r="H3806" s="35" t="str">
        <f ca="1">IFERROR(IF(INDEX(Tab_DaBa[],MATCH(CONCATENATE(Liste!$C$3,$B$3671,$B$3785),Data!$BO:$BO,0)-2,63)&lt;&gt;"","Performance Level: "&amp;INDEX(Tab_DaBa[],MATCH(CONCATENATE(Liste!$C$3,$B$3671,$B$3785),Data!$BO:$BO,0)-2,15),""),"")</f>
        <v/>
      </c>
    </row>
    <row r="3807" spans="2:9" s="16" customFormat="1" ht="15.75">
      <c r="B3807" s="35" t="str">
        <f ca="1">IFERROR(IF(AND(INDEX(Tab_DaBa[],MATCH(CONCATENATE(Liste!$C$3,$B$3671,$B$3785),Data!$BO:$BO,0)-2,48)&lt;&gt;"",INDEX(Tab_DaBa[],MATCH(CONCATENATE(Liste!$C$3,$B$3671,$B$3785),Data!$BO:$BO,0)-2,53)=""),"PFH [1/h] = "&amp;10^9*INDEX(Tab_DaBa[],MATCH(CONCATENATE(Liste!$C$3,$B$3671,$B$3785),Data!$BO:$BO,0)-2,16)&amp;"E-9",IF(INDEX(Tab_DaBa[],MATCH(CONCATENATE(Liste!$C$3,$B$3671,$B$3785),Data!$BO:$BO,0)-2,48)&lt;&gt;"","PFH [1/h] = "&amp;10^9*INDEX(Tab_DaBa[],MATCH(CONCATENATE(Liste!$C$3,$B$3671,$B$3785),Data!$BO:$BO,0)-2,56)&amp;"E-9","")),"")</f>
        <v/>
      </c>
      <c r="C3807" s="39"/>
      <c r="D3807" s="35" t="str">
        <f ca="1">IFERROR(IF(AND(INDEX(Tab_DaBa[],MATCH(CONCATENATE(Liste!$C$3,$B$3671,$B$3785),Data!$BO:$BO,0)-2,53)&lt;&gt;"",INDEX(Tab_DaBa[],MATCH(CONCATENATE(Liste!$C$3,$B$3671,$B$3785),Data!$BO:$BO,0)-2,58)=""),"PFH [1/h] = "&amp;10^9*INDEX(Tab_DaBa[],MATCH(CONCATENATE(Liste!$C$3,$B$3671,$B$3785),Data!$BO:$BO,0)-2,16)&amp;"E-9",IF(INDEX(Tab_DaBa[],MATCH(CONCATENATE(Liste!$C$3,$B$3671,$B$3785),Data!$BO:$BO,0)-2,53)&lt;&gt;"","PFH [1/h] = "&amp;10^9*INDEX(Tab_DaBa[],MATCH(CONCATENATE(Liste!$C$3,$B$3671,$B$3785),Data!$BO:$BO,0)-2,61)&amp;"E-9","")),"")</f>
        <v/>
      </c>
      <c r="E3807" s="37"/>
      <c r="F3807" s="35" t="str">
        <f ca="1">IFERROR(IF(AND(INDEX(Tab_DaBa[],MATCH(CONCATENATE(Liste!$C$3,$B$3671,$B$3785),Data!$BO:$BO,0)-2,58)&lt;&gt;"",INDEX(Tab_DaBa[],MATCH(CONCATENATE(Liste!$C$3,$B$3671,$B$3785),Data!$BO:$BO,0)-2,63)=""),"PFH [1/h] = "&amp;10^9*INDEX(Tab_DaBa[],MATCH(CONCATENATE(Liste!$C$3,$B$3671,$B$3785),Data!$BO:$BO,0)-2,16)&amp;"E-9",IF(INDEX(Tab_DaBa[],MATCH(CONCATENATE(Liste!$C$3,$B$3671,$B$3785),Data!$BO:$BO,0)-2,58)&lt;&gt;"","PFH [1/h] = "&amp;10^9*INDEX(Tab_DaBa[],MATCH(CONCATENATE(Liste!$C$3,$B$3671,$B$3785),Data!$BO:$BO,0)-2,66)&amp;"E-9","")),"")</f>
        <v/>
      </c>
      <c r="G3807" s="39"/>
      <c r="H3807" s="35" t="str">
        <f ca="1">IFERROR(IF(INDEX(Tab_DaBa[],MATCH(CONCATENATE(Liste!$C$3,$B$3671,$B$3785),Data!$BO:$BO,0)-2,63)&lt;&gt;"","PFH [1/h] = "&amp;10^9*INDEX(Tab_DaBa[],MATCH(CONCATENATE(Liste!$C$3,$B$3671,$B$3785),Data!$BO:$BO,0)-2,16)&amp;"E-9",""),"")</f>
        <v/>
      </c>
    </row>
    <row r="3808" spans="2:9" s="16" customFormat="1"/>
    <row r="3809" spans="2:9" s="16" customFormat="1">
      <c r="B3809" s="43" t="str">
        <f ca="1">IF(D3809="","","Erforderlich")</f>
        <v>Erforderlich</v>
      </c>
      <c r="D3809" s="44" t="str">
        <f ca="1">IFERROR("Performance Level: "&amp;INDEX(Tab_DaBa[],MATCH(CONCATENATE(Liste!$C$3,$B$3671,$B$3785),Data!$BO:$BO,0)-2,4),"")</f>
        <v>Performance Level: PLr_ges4_5</v>
      </c>
    </row>
    <row r="3810" spans="2:9" s="16" customFormat="1">
      <c r="B3810" s="45"/>
    </row>
    <row r="3811" spans="2:9" s="16" customFormat="1">
      <c r="B3811" s="46" t="str">
        <f ca="1">IF(D3811="","","Erreicht")</f>
        <v>Erreicht</v>
      </c>
      <c r="D3811" s="47" t="str">
        <f ca="1">IFERROR("Performance Level: "&amp;INDEX(Tab_DaBa[],MATCH(CONCATENATE(Liste!$C$3,$B$3671,$B$3785),Data!$BO:$BO,0)-2,5)&amp;"          PFH [1/h] = "&amp;10^9*INDEX(Tab_DaBa[],MATCH(CONCATENATE(Liste!$C$3,$B$3671,$B$3785),Data!$BO:$BO,0)-2,6)&amp;"E-9","")</f>
        <v>Performance Level: Pl_ges4_5          PFH [1/h] = 71,7E-9</v>
      </c>
    </row>
    <row r="3812" spans="2:9" s="16" customFormat="1"/>
    <row r="3813" spans="2:9" s="16" customFormat="1">
      <c r="B3813" s="42" t="str">
        <f ca="1">IFERROR(IF(6&gt;COUNTIF(Data!$BP:$BP,CONCATENATE(Liste!$C$3,$B$3671)),"",INDEX(Tab_DaBa[],MATCH(CONCATENATE(Liste!$C$3,$B$3671),Data!$BP:$BP,0)+3,3)),"")</f>
        <v>14.6 Test14 (E+6L+A)</v>
      </c>
    </row>
    <row r="3814" spans="2:9" s="16" customFormat="1"/>
    <row r="3815" spans="2:9" s="16" customFormat="1" ht="15.75">
      <c r="B3815" s="35" t="str">
        <f ca="1">IFERROR(INDEX(Tab_DaBa[],MATCH(CONCATENATE(Liste!$C$3,$B$3671,$B$3813),Data!$BO:$BO,0)-2,9),"")</f>
        <v>Eingang</v>
      </c>
      <c r="C3815" s="54"/>
      <c r="D3815" s="35" t="str">
        <f ca="1">IFERROR(IF(INDEX(Tab_DaBa[],MATCH(CONCATENATE(Liste!$C$3,$B$3671,$B$3813),Data!$BO:$BO,0)-2,18)=0,INDEX(Tab_DaBa[],MATCH(CONCATENATE(Liste!$C$3,$B$3671,$B$3813),Data!$BO:$BO,0)-2,14),INDEX(Tab_DaBa[],MATCH(CONCATENATE(Liste!$C$3,$B$3671,$B$3813),Data!$BO:$BO,0)-2,19)),"")</f>
        <v>Logik 01</v>
      </c>
      <c r="E3815" s="33"/>
      <c r="F3815" s="35" t="str">
        <f ca="1">IFERROR(IF(AND(INDEX(Tab_DaBa[],MATCH(CONCATENATE(Liste!$C$3,$B$3671,$B$3813),Data!$BO:$BO,0)-2,18)&lt;&gt;"",INDEX(Tab_DaBa[],MATCH(CONCATENATE(Liste!$C$3,$B$3671,$B$3813),Data!$BO:$BO,0)-2,23)=0),INDEX(Tab_DaBa[],MATCH(CONCATENATE(Liste!$C$3,$B$3671,$B$3813),Data!$BO:$BO,0)-2,14),IF(INDEX(Tab_DaBa[],MATCH(CONCATENATE(Liste!$C$3,$B$3671,$B$3813),Data!$BO:$BO,0)-2,23)&lt;&gt;"",INDEX(Tab_DaBa[],MATCH(CONCATENATE(Liste!$C$3,$B$3671,$B$3813),Data!$BO:$BO,0)-2,24),"")),"")</f>
        <v>Logik 02</v>
      </c>
      <c r="G3815" s="39"/>
      <c r="H3815" s="35" t="str">
        <f ca="1">IFERROR(IF(AND(INDEX(Tab_DaBa[],MATCH(CONCATENATE(Liste!$C$3,$B$3671,$B$3813),Data!$BO:$BO,0)-2,23)&lt;&gt;"",INDEX(Tab_DaBa[],MATCH(CONCATENATE(Liste!$C$3,$B$3671,$B$3813),Data!$BO:$BO,0)-2,28)=0),INDEX(Tab_DaBa[],MATCH(CONCATENATE(Liste!$C$3,$B$3671,$B$3813),Data!$BO:$BO,0)-2,14),IF(INDEX(Tab_DaBa[],MATCH(CONCATENATE(Liste!$C$3,$B$3671,$B$3813),Data!$BO:$BO,0)-2,23)&lt;&gt;"",INDEX(Tab_DaBa[],MATCH(CONCATENATE(Liste!$C$3,$B$3671,$B$3813),Data!$BO:$BO,0)-2,29),"")),"")</f>
        <v>Logik 03</v>
      </c>
      <c r="I3815" s="39"/>
    </row>
    <row r="3816" spans="2:9" s="16" customFormat="1" ht="15.75">
      <c r="B3816" s="35" t="str">
        <f ca="1">IFERROR(INDEX(Tab_DaBa[],MATCH(CONCATENATE(Liste!$C$3,$B$3671,$B$3813),Data!$BO:$BO,0)-2,7),"")</f>
        <v>eeee-33_6</v>
      </c>
      <c r="C3816" s="54"/>
      <c r="D3816" s="35" t="str">
        <f ca="1">IFERROR(IF(INDEX(Tab_DaBa[],MATCH(CONCATENATE(Liste!$C$3,$B$3671,$B$3813),Data!$BO:$BO,0)-2,18)="",INDEX(Tab_DaBa[],MATCH(CONCATENATE(Liste!$C$3,$B$3671,$B$3813),Data!$BO:$BO,0)-2,12),INDEX(Tab_DaBa[],MATCH(CONCATENATE(Liste!$C$3,$B$3671,$B$3813),Data!$BO:$BO,0)-2,17)),"")</f>
        <v>Log01-04_06</v>
      </c>
      <c r="E3816" s="36"/>
      <c r="F3816" s="35" t="str">
        <f ca="1">IFERROR(IF(AND(INDEX(Tab_DaBa[],MATCH(CONCATENATE(Liste!$C$3,$B$3671,$B$3813),Data!$BO:$BO,0)-2,18)&lt;&gt;"",INDEX(Tab_DaBa[],MATCH(CONCATENATE(Liste!$C$3,$B$3671,$B$3813),Data!$BO:$BO,0)-2,23)=0),INDEX(Tab_DaBa[],MATCH(CONCATENATE(Liste!$C$3,$B$3671,$B$3813),Data!$BO:$BO,0)-2,12),IF(INDEX(Tab_DaBa[],MATCH(CONCATENATE(Liste!$C$3,$B$3671,$B$3813),Data!$BO:$BO,0)-2,23)&lt;&gt;"",INDEX(Tab_DaBa[],MATCH(CONCATENATE(Liste!$C$3,$B$3671,$B$3813),Data!$BO:$BO,0)-2,22),"")),"")</f>
        <v>Lo04-04_06</v>
      </c>
      <c r="G3816" s="39"/>
      <c r="H3816" s="35" t="str">
        <f ca="1">IFERROR(IF(AND(INDEX(Tab_DaBa[],MATCH(CONCATENATE(Liste!$C$3,$B$3671,$B$3813),Data!$BO:$BO,0)-2,23)&lt;&gt;"",INDEX(Tab_DaBa[],MATCH(CONCATENATE(Liste!$C$3,$B$3671,$B$3813),Data!$BO:$BO,0)-2,28)=0),INDEX(Tab_DaBa[],MATCH(CONCATENATE(Liste!$C$3,$B$3671,$B$3813),Data!$BO:$BO,0)-2,12),IF(INDEX(Tab_DaBa[],MATCH(CONCATENATE(Liste!$C$3,$B$3671,$B$3813),Data!$BO:$BO,0)-2,23)&lt;&gt;"",INDEX(Tab_DaBa[],MATCH(CONCATENATE(Liste!$C$3,$B$3671,$B$3813),Data!$BO:$BO,0)-2,27),"")),"")</f>
        <v>Lo04-44_06</v>
      </c>
      <c r="I3816" s="39"/>
    </row>
    <row r="3817" spans="2:9" s="16" customFormat="1" ht="15.75">
      <c r="B3817" s="35" t="str">
        <f ca="1">IFERROR(INDEX(Tab_DaBa[],MATCH(CONCATENATE(Liste!$C$3,$B$3671,$B$3813),Data!$BO:$BO,0)-2,8),"")</f>
        <v>Bez_Ein4_6</v>
      </c>
      <c r="C3817" s="40">
        <f ca="1">IF(D3815="","",4)</f>
        <v>4</v>
      </c>
      <c r="D3817" s="35" t="str">
        <f ca="1">IFERROR(IF(INDEX(Tab_DaBa[],MATCH(CONCATENATE(Liste!$C$3,$B$3671,$B$3813),Data!$BO:$BO,0)-2,18)="",INDEX(Tab_DaBa[],MATCH(CONCATENATE(Liste!$C$3,$B$3671,$B$3813),Data!$BO:$BO,0)-2,13),INDEX(Tab_DaBa[],MATCH(CONCATENATE(Liste!$C$3,$B$3671,$B$3813),Data!$BO:$BO,0)-2,18)),"")</f>
        <v>Bez_Log01_04_06</v>
      </c>
      <c r="E3817" s="40">
        <f ca="1">IF(F3815="","",4)</f>
        <v>4</v>
      </c>
      <c r="F3817" s="35" t="str">
        <f ca="1">IFERROR(IF(AND(INDEX(Tab_DaBa[],MATCH(CONCATENATE(Liste!$C$3,$B$3671,$B$3813),Data!$BO:$BO,0)-2,18)&lt;&gt;"",INDEX(Tab_DaBa[],MATCH(CONCATENATE(Liste!$C$3,$B$3671,$B$3813),Data!$BO:$BO,0)-2,23)=""),INDEX(Tab_DaBa[],MATCH(CONCATENATE(Liste!$C$3,$B$3671,$B$3813),Data!$BO:$BO,0)-2,13),IF(INDEX(Tab_DaBa[],MATCH(CONCATENATE(Liste!$C$3,$B$3671,$B$3813),Data!$BO:$BO,0)-2,23)&lt;&gt;"",INDEX(Tab_DaBa[],MATCH(CONCATENATE(Liste!$C$3,$B$3671,$B$3813),Data!$BO:$BO,0)-2,23),"")),"")</f>
        <v>Bez_Lo04_06</v>
      </c>
      <c r="G3817" s="38">
        <f ca="1">IF(H3815="","",4)</f>
        <v>4</v>
      </c>
      <c r="H3817" s="35" t="str">
        <f ca="1">IFERROR(IF(AND(INDEX(Tab_DaBa[],MATCH(CONCATENATE(Liste!$C$3,$B$3671,$B$3813),Data!$BO:$BO,0)-2,23)&lt;&gt;"",INDEX(Tab_DaBa[],MATCH(CONCATENATE(Liste!$C$3,$B$3671,$B$3813),Data!$BO:$BO,0)-2,28)=""),INDEX(Tab_DaBa[],MATCH(CONCATENATE(Liste!$C$3,$B$3671,$B$3813),Data!$BO:$BO,0)-2,13),IF(INDEX(Tab_DaBa[],MATCH(CONCATENATE(Liste!$C$3,$B$3671,$B$3813),Data!$BO:$BO,0)-2,23)&lt;&gt;"",INDEX(Tab_DaBa[],MATCH(CONCATENATE(Liste!$C$3,$B$3671,$B$3813),Data!$BO:$BO,0)-2,28),"")),"")</f>
        <v>Bez_Lo04_06</v>
      </c>
      <c r="I3817" s="38">
        <f ca="1">IF(B3823="","",6)</f>
        <v>6</v>
      </c>
    </row>
    <row r="3818" spans="2:9" s="16" customFormat="1" ht="15.75">
      <c r="B3818" s="35" t="str">
        <f ca="1">IFERROR("Performance Level: "&amp;INDEX(Tab_DaBa[],MATCH(CONCATENATE(Liste!$C$3,$B$3671,$B$3813),Data!$BO:$BO,0)-2,10),"")</f>
        <v>Performance Level: PL_Ein4_6</v>
      </c>
      <c r="C3818" s="54"/>
      <c r="D3818" s="35" t="str">
        <f ca="1">IFERROR(IF(INDEX(Tab_DaBa[],MATCH(CONCATENATE(Liste!$C$3,$B$3671,$B$3813),Data!$BO:$BO,0)-2,18)="","Performance Level: "&amp;INDEX(Tab_DaBa[],MATCH(CONCATENATE(Liste!$C$3,$B$3671,$B$3813),Data!$BO:$BO,0)-2,15),"Performance Level: "&amp;INDEX(Tab_DaBa[],MATCH(CONCATENATE(Liste!$C$3,$B$3671,$B$3813),Data!$BO:$BO,0)-2,20)),"")</f>
        <v>Performance Level: PL_Log01_04_06</v>
      </c>
      <c r="E3818" s="36"/>
      <c r="F3818" s="35" t="str">
        <f ca="1">IFERROR(IF(AND(INDEX(Tab_DaBa[],MATCH(CONCATENATE(Liste!$C$3,$B$3671,$B$3813),Data!$BO:$BO,0)-2,18)&lt;&gt;"",INDEX(Tab_DaBa[],MATCH(CONCATENATE(Liste!$C$3,$B$3671,$B$3813),Data!$BO:$BO,0)-2,23)=""),"Performance Level: "&amp;INDEX(Tab_DaBa[],MATCH(CONCATENATE(Liste!$C$3,$B$3671,$B$3813),Data!$BO:$BO,0)-2,15),IF(INDEX(Tab_DaBa[],MATCH(CONCATENATE(Liste!$C$3,$B$3671,$B$3813),Data!$BO:$BO,0)-2,23)&lt;&gt;"","Performance Level: "&amp;INDEX(Tab_DaBa[],MATCH(CONCATENATE(Liste!$C$3,$B$3671,$B$3813),Data!$BO:$BO,0)-2,25),"")),"")</f>
        <v>Performance Level: PL_Lo04_06</v>
      </c>
      <c r="G3818" s="39"/>
      <c r="H3818" s="35" t="str">
        <f ca="1">IFERROR(IF(AND(INDEX(Tab_DaBa[],MATCH(CONCATENATE(Liste!$C$3,$B$3671,$B$3813),Data!$BO:$BO,0)-2,23)&lt;&gt;"",INDEX(Tab_DaBa[],MATCH(CONCATENATE(Liste!$C$3,$B$3671,$B$3813),Data!$BO:$BO,0)-2,28)=""),"Performance Level: "&amp;INDEX(Tab_DaBa[],MATCH(CONCATENATE(Liste!$C$3,$B$3671,$B$3813),Data!$BO:$BO,0)-2,15),IF(INDEX(Tab_DaBa[],MATCH(CONCATENATE(Liste!$C$3,$B$3671,$B$3813),Data!$BO:$BO,0)-2,23)&lt;&gt;"","Performance Level: "&amp;INDEX(Tab_DaBa[],MATCH(CONCATENATE(Liste!$C$3,$B$3671,$B$3813),Data!$BO:$BO,0)-2,30),"")),"")</f>
        <v>Performance Level: PL_Lo04_06</v>
      </c>
      <c r="I3818" s="38"/>
    </row>
    <row r="3819" spans="2:9" s="16" customFormat="1" ht="15.75">
      <c r="B3819" s="53" t="str">
        <f ca="1">IFERROR("PFH [1/h] = "&amp;10^9*INDEX(Tab_DaBa[],MATCH(CONCATENATE(Liste!$C$3,$B$3671,$B$3813),Data!$BO:$BO,0)-2,11)&amp;"E-9","")</f>
        <v>PFH [1/h] = 42,9E-9</v>
      </c>
      <c r="C3819" s="54"/>
      <c r="D3819" s="35" t="str">
        <f ca="1">IFERROR(IF(INDEX(Tab_DaBa[],MATCH(CONCATENATE(Liste!$C$3,$B$3671,$B$3813),Data!$BO:$BO,0)-2,18)="","PFH [1/h] = "&amp;10^9*INDEX(Tab_DaBa[],MATCH(CONCATENATE(Liste!$C$3,$B$3671,$B$3813),Data!$BO:$BO,0)-2,16)&amp;"E-9","PFH [1/h] = "&amp;10^9*INDEX(Tab_DaBa[],MATCH(CONCATENATE(Liste!$C$3,$B$3671,$B$3813),Data!$BO:$BO,0)-2,21)&amp;"E-9"),"")</f>
        <v>PFH [1/h] = 4,19E-9</v>
      </c>
      <c r="E3819" s="36"/>
      <c r="F3819" s="35" t="str">
        <f ca="1">IFERROR(IF(AND(INDEX(Tab_DaBa[],MATCH(CONCATENATE(Liste!$C$3,$B$3671,$B$3813),Data!$BO:$BO,0)-2,18)&lt;&gt;"",INDEX(Tab_DaBa[],MATCH(CONCATENATE(Liste!$C$3,$B$3671,$B$3813),Data!$BO:$BO,0)-2,23)=""),"PFH [1/h] = "&amp;10^9*INDEX(Tab_DaBa[],MATCH(CONCATENATE(Liste!$C$3,$B$3671,$B$3813),Data!$BO:$BO,0)-2,16)&amp;"E-9",IF(INDEX(Tab_DaBa[],MATCH(CONCATENATE(Liste!$C$3,$B$3671,$B$3813),Data!$BO:$BO,0)-2,23)&lt;&gt;"","PFH [1/h] = "&amp;10^9*INDEX(Tab_DaBa[],MATCH(CONCATENATE(Liste!$C$3,$B$3671,$B$3813),Data!$BO:$BO,0)-2,26)&amp;"E-9","")),"")</f>
        <v>PFH [1/h] = 4,19E-9</v>
      </c>
      <c r="G3819" s="39"/>
      <c r="H3819" s="35" t="str">
        <f ca="1">IFERROR(IF(AND(INDEX(Tab_DaBa[],MATCH(CONCATENATE(Liste!$C$3,$B$3671,$B$3813),Data!$BO:$BO,0)-2,23)&lt;&gt;"",INDEX(Tab_DaBa[],MATCH(CONCATENATE(Liste!$C$3,$B$3671,$B$3813),Data!$BO:$BO,0)-2,28)=""),"PFH [1/h] = "&amp;10^9*INDEX(Tab_DaBa[],MATCH(CONCATENATE(Liste!$C$3,$B$3671,$B$3813),Data!$BO:$BO,0)-2,16)&amp;"E-9",IF(INDEX(Tab_DaBa[],MATCH(CONCATENATE(Liste!$C$3,$B$3671,$B$3813),Data!$BO:$BO,0)-2,23)&lt;&gt;"","PFH [1/h] = "&amp;10^9*INDEX(Tab_DaBa[],MATCH(CONCATENATE(Liste!$C$3,$B$3671,$B$3813),Data!$BO:$BO,0)-2,31)&amp;"E-9","")),"")</f>
        <v>PFH [1/h] = 4,19E-9</v>
      </c>
      <c r="I3819" s="39"/>
    </row>
    <row r="3820" spans="2:9" s="16" customFormat="1">
      <c r="B3820" s="33"/>
      <c r="C3820" s="34"/>
      <c r="D3820" s="33"/>
      <c r="E3820" s="33"/>
      <c r="F3820" s="33"/>
      <c r="G3820" s="33"/>
      <c r="H3820" s="33"/>
      <c r="I3820" s="33"/>
    </row>
    <row r="3821" spans="2:9" s="16" customFormat="1" ht="15.75">
      <c r="B3821" s="38">
        <f ca="1">IF(B3823="","",6)</f>
        <v>6</v>
      </c>
      <c r="C3821" s="34"/>
      <c r="D3821" s="38">
        <f ca="1">IF(B3823="","",3)</f>
        <v>3</v>
      </c>
      <c r="E3821" s="33"/>
      <c r="F3821" s="38">
        <f ca="1">IF(B3823="","",3)</f>
        <v>3</v>
      </c>
      <c r="G3821" s="33"/>
      <c r="H3821" s="38">
        <f ca="1">IF(B3823="","",3)</f>
        <v>3</v>
      </c>
      <c r="I3821" s="33"/>
    </row>
    <row r="3822" spans="2:9" s="16" customFormat="1" ht="15.75">
      <c r="B3822" s="39"/>
      <c r="C3822" s="33"/>
      <c r="D3822" s="33"/>
      <c r="E3822" s="33"/>
      <c r="F3822" s="33"/>
      <c r="G3822" s="33"/>
      <c r="H3822" s="33"/>
      <c r="I3822" s="33"/>
    </row>
    <row r="3823" spans="2:9" s="16" customFormat="1" ht="15.75">
      <c r="B3823" s="35" t="str">
        <f ca="1">IFERROR(IF(AND(INDEX(Tab_DaBa[],MATCH(CONCATENATE(Liste!$C$3,$B$3671,$B$3813),Data!$BO:$BO,0)-2,28)&lt;&gt;"",INDEX(Tab_DaBa[],MATCH(CONCATENATE(Liste!$C$3,$B$3671,$B$3813),Data!$BO:$BO,0)-2,33)=0),INDEX(Tab_DaBa[],MATCH(CONCATENATE(Liste!$C$3,$B$3671,$B$3813),Data!$BO:$BO,0)-2,14),IF(INDEX(Tab_DaBa[],MATCH(CONCATENATE(Liste!$C$3,$B$3671,$B$3813),Data!$BO:$BO,0)-2,28)&lt;&gt;"",INDEX(Tab_DaBa[],MATCH(CONCATENATE(Liste!$C$3,$B$3671,$B$3813),Data!$BO:$BO,0)-2,34),"")),"")</f>
        <v>Logik 04</v>
      </c>
      <c r="C3823" s="39"/>
      <c r="D3823" s="35" t="str">
        <f ca="1">IFERROR(IF(AND(INDEX(Tab_DaBa[],MATCH(CONCATENATE(Liste!$C$3,$B$3671,$B$3813),Data!$BO:$BO,0)-2,33)&lt;&gt;"",INDEX(Tab_DaBa[],MATCH(CONCATENATE(Liste!$C$3,$B$3671,$B$3813),Data!$BO:$BO,0)-2,38)=0),INDEX(Tab_DaBa[],MATCH(CONCATENATE(Liste!$C$3,$B$3671,$B$3813),Data!$BO:$BO,0)-2,14),IF(INDEX(Tab_DaBa[],MATCH(CONCATENATE(Liste!$C$3,$B$3671,$B$3813),Data!$BO:$BO,0)-2,33)&lt;&gt;"",INDEX(Tab_DaBa[],MATCH(CONCATENATE(Liste!$C$3,$B$3671,$B$3813),Data!$BO:$BO,0)-2,39),"")),"")</f>
        <v>Logik 05</v>
      </c>
      <c r="E3823" s="33"/>
      <c r="F3823" s="35" t="str">
        <f ca="1">IFERROR(IF(AND(INDEX(Tab_DaBa[],MATCH(CONCATENATE(Liste!$C$3,$B$3671,$B$3813),Data!$BO:$BO,0)-2,38)&lt;&gt;"",INDEX(Tab_DaBa[],MATCH(CONCATENATE(Liste!$C$3,$B$3671,$B$3813),Data!$BO:$BO,0)-2,43)=0),INDEX(Tab_DaBa[],MATCH(CONCATENATE(Liste!$C$3,$B$3671,$B$3813),Data!$BO:$BO,0)-2,14),IF(INDEX(Tab_DaBa[],MATCH(CONCATENATE(Liste!$C$3,$B$3671,$B$3813),Data!$BO:$BO,0)-2,38)&lt;&gt;"",INDEX(Tab_DaBa[],MATCH(CONCATENATE(Liste!$C$3,$B$3671,$B$3813),Data!$BO:$BO,0)-2,44),"")),"")</f>
        <v>Logik 06</v>
      </c>
      <c r="G3823" s="39"/>
      <c r="H3823" s="35" t="str">
        <f ca="1">IFERROR(IF(AND(INDEX(Tab_DaBa[],MATCH(CONCATENATE(Liste!$C$3,$B$3671,$B$3813),Data!$BO:$BO,0)-2,43)&lt;&gt;"",INDEX(Tab_DaBa[],MATCH(CONCATENATE(Liste!$C$3,$B$3671,$B$3813),Data!$BO:$BO,0)-2,48)=0),INDEX(Tab_DaBa[],MATCH(CONCATENATE(Liste!$C$3,$B$3671,$B$3813),Data!$BO:$BO,0)-2,14),IF(INDEX(Tab_DaBa[],MATCH(CONCATENATE(Liste!$C$3,$B$3671,$B$3813),Data!$BO:$BO,0)-2,43)&lt;&gt;"",INDEX(Tab_DaBa[],MATCH(CONCATENATE(Liste!$C$3,$B$3671,$B$3813),Data!$BO:$BO,0)-2,49),"")),"")</f>
        <v>Ausgang</v>
      </c>
      <c r="I3823" s="39"/>
    </row>
    <row r="3824" spans="2:9" s="16" customFormat="1" ht="15.75">
      <c r="B3824" s="35" t="str">
        <f ca="1">IFERROR(IF(AND(INDEX(Tab_DaBa[],MATCH(CONCATENATE(Liste!$C$3,$B$3671,$B$3813),Data!$BO:$BO,0)-2,28)&lt;&gt;"",INDEX(Tab_DaBa[],MATCH(CONCATENATE(Liste!$C$3,$B$3671,$B$3813),Data!$BO:$BO,0)-2,33)=0),INDEX(Tab_DaBa[],MATCH(CONCATENATE(Liste!$C$3,$B$3671,$B$3813),Data!$BO:$BO,0)-2,12),IF(INDEX(Tab_DaBa[],MATCH(CONCATENATE(Liste!$C$3,$B$3671,$B$3813),Data!$BO:$BO,0)-2,28)&lt;&gt;"",INDEX(Tab_DaBa[],MATCH(CONCATENATE(Liste!$C$3,$B$3671,$B$3813),Data!$BO:$BO,0)-2,32),"")),"")</f>
        <v>Lo04-44_06</v>
      </c>
      <c r="C3824" s="39"/>
      <c r="D3824" s="35" t="str">
        <f ca="1">IFERROR(IF(AND(INDEX(Tab_DaBa[],MATCH(CONCATENATE(Liste!$C$3,$B$3671,$B$3813),Data!$BO:$BO,0)-2,33)&lt;&gt;"",INDEX(Tab_DaBa[],MATCH(CONCATENATE(Liste!$C$3,$B$3671,$B$3813),Data!$BO:$BO,0)-2,38)=0),INDEX(Tab_DaBa[],MATCH(CONCATENATE(Liste!$C$3,$B$3671,$B$3813),Data!$BO:$BO,0)-2,12),IF(INDEX(Tab_DaBa[],MATCH(CONCATENATE(Liste!$C$3,$B$3671,$B$3813),Data!$BO:$BO,0)-2,33)&lt;&gt;"",INDEX(Tab_DaBa[],MATCH(CONCATENATE(Liste!$C$3,$B$3671,$B$3813),Data!$BO:$BO,0)-2,37),"")),"")</f>
        <v>Lo04-44_06</v>
      </c>
      <c r="E3824" s="37"/>
      <c r="F3824" s="35" t="str">
        <f ca="1">IFERROR(IF(AND(INDEX(Tab_DaBa[],MATCH(CONCATENATE(Liste!$C$3,$B$3671,$B$3813),Data!$BO:$BO,0)-2,38)&lt;&gt;"",INDEX(Tab_DaBa[],MATCH(CONCATENATE(Liste!$C$3,$B$3671,$B$3813),Data!$BO:$BO,0)-2,43)=0),INDEX(Tab_DaBa[],MATCH(CONCATENATE(Liste!$C$3,$B$3671,$B$3813),Data!$BO:$BO,0)-2,12),IF(INDEX(Tab_DaBa[],MATCH(CONCATENATE(Liste!$C$3,$B$3671,$B$3813),Data!$BO:$BO,0)-2,38)&lt;&gt;"",INDEX(Tab_DaBa[],MATCH(CONCATENATE(Liste!$C$3,$B$3671,$B$3813),Data!$BO:$BO,0)-2,42),"")),"")</f>
        <v>Lo03-33_06</v>
      </c>
      <c r="G3824" s="39"/>
      <c r="H3824" s="35" t="str">
        <f ca="1">IFERROR(IF(AND(INDEX(Tab_DaBa[],MATCH(CONCATENATE(Liste!$C$3,$B$3671,$B$3813),Data!$BO:$BO,0)-2,43)&lt;&gt;"",INDEX(Tab_DaBa[],MATCH(CONCATENATE(Liste!$C$3,$B$3671,$B$3813),Data!$BO:$BO,0)-2,48)=0),INDEX(Tab_DaBa[],MATCH(CONCATENATE(Liste!$C$3,$B$3671,$B$3813),Data!$BO:$BO,0)-2,12),IF(INDEX(Tab_DaBa[],MATCH(CONCATENATE(Liste!$C$3,$B$3671,$B$3813),Data!$BO:$BO,0)-2,43)&lt;&gt;"",INDEX(Tab_DaBa[],MATCH(CONCATENATE(Liste!$C$3,$B$3671,$B$3813),Data!$BO:$BO,0)-2,47),"")),"")</f>
        <v>aaaa-44_6</v>
      </c>
      <c r="I3824" s="39"/>
    </row>
    <row r="3825" spans="2:9" s="16" customFormat="1" ht="15.75">
      <c r="B3825" s="35" t="str">
        <f ca="1">IFERROR(IF(AND(INDEX(Tab_DaBa[],MATCH(CONCATENATE(Liste!$C$3,$B$3671,$B$3813),Data!$BO:$BO,0)-2,28)&lt;&gt;"",INDEX(Tab_DaBa[],MATCH(CONCATENATE(Liste!$C$3,$B$3671,$B$3813),Data!$BO:$BO,0)-2,33)=""),INDEX(Tab_DaBa[],MATCH(CONCATENATE(Liste!$C$3,$B$3671,$B$3813),Data!$BO:$BO,0)-2,13),IF(INDEX(Tab_DaBa[],MATCH(CONCATENATE(Liste!$C$3,$B$3671,$B$3813),Data!$BO:$BO,0)-2,28)&lt;&gt;"",INDEX(Tab_DaBa[],MATCH(CONCATENATE(Liste!$C$3,$B$3671,$B$3813),Data!$BO:$BO,0)-2,33),"")),"")</f>
        <v>Bez_Lo04_06</v>
      </c>
      <c r="C3825" s="38">
        <f ca="1">IF(D3823="","",4)</f>
        <v>4</v>
      </c>
      <c r="D3825" s="35" t="str">
        <f ca="1">IFERROR(IF(AND(INDEX(Tab_DaBa[],MATCH(CONCATENATE(Liste!$C$3,$B$3671,$B$3813),Data!$BO:$BO,0)-2,33)&lt;&gt;"",INDEX(Tab_DaBa[],MATCH(CONCATENATE(Liste!$C$3,$B$3671,$B$3813),Data!$BO:$BO,0)-2,38)=""),INDEX(Tab_DaBa[],MATCH(CONCATENATE(Liste!$C$3,$B$3671,$B$3813),Data!$BO:$BO,0)-2,13),IF(INDEX(Tab_DaBa[],MATCH(CONCATENATE(Liste!$C$3,$B$3671,$B$3813),Data!$BO:$BO,0)-2,33)&lt;&gt;"",INDEX(Tab_DaBa[],MATCH(CONCATENATE(Liste!$C$3,$B$3671,$B$3813),Data!$BO:$BO,0)-2,38),"")),"")</f>
        <v>Bez_Lo03_06</v>
      </c>
      <c r="E3825" s="38">
        <f ca="1">IF(F3823="","",4)</f>
        <v>4</v>
      </c>
      <c r="F3825" s="35" t="str">
        <f ca="1">IFERROR(IF(AND(INDEX(Tab_DaBa[],MATCH(CONCATENATE(Liste!$C$3,$B$3671,$B$3813),Data!$BO:$BO,0)-2,38)&lt;&gt;"",INDEX(Tab_DaBa[],MATCH(CONCATENATE(Liste!$C$3,$B$3671,$B$3813),Data!$BO:$BO,0)-2,43)=""),INDEX(Tab_DaBa[],MATCH(CONCATENATE(Liste!$C$3,$B$3671,$B$3813),Data!$BO:$BO,0)-2,13),IF(INDEX(Tab_DaBa[],MATCH(CONCATENATE(Liste!$C$3,$B$3671,$B$3813),Data!$BO:$BO,0)-2,38)&lt;&gt;"",INDEX(Tab_DaBa[],MATCH(CONCATENATE(Liste!$C$3,$B$3671,$B$3813),Data!$BO:$BO,0)-2,43),"")),"")</f>
        <v>Bez_Lo03_06</v>
      </c>
      <c r="G3825" s="38">
        <f ca="1">IF(H3823="","",4)</f>
        <v>4</v>
      </c>
      <c r="H3825" s="35" t="str">
        <f ca="1">IFERROR(IF(AND(INDEX(Tab_DaBa[],MATCH(CONCATENATE(Liste!$C$3,$B$3671,$B$3813),Data!$BO:$BO,0)-2,43)&lt;&gt;"",INDEX(Tab_DaBa[],MATCH(CONCATENATE(Liste!$C$3,$B$3671,$B$3813),Data!$BO:$BO,0)-2,48)=""),INDEX(Tab_DaBa[],MATCH(CONCATENATE(Liste!$C$3,$B$3671,$B$3813),Data!$BO:$BO,0)-2,13),IF(INDEX(Tab_DaBa[],MATCH(CONCATENATE(Liste!$C$3,$B$3671,$B$3813),Data!$BO:$BO,0)-2,43)&lt;&gt;"",INDEX(Tab_DaBa[],MATCH(CONCATENATE(Liste!$C$3,$B$3671,$B$3813),Data!$BO:$BO,0)-2,48),"")),"")</f>
        <v>Bez_Aus4_6</v>
      </c>
      <c r="I3825" s="38" t="str">
        <f ca="1">IF(B3831="","",6)</f>
        <v/>
      </c>
    </row>
    <row r="3826" spans="2:9" s="16" customFormat="1" ht="15.75">
      <c r="B3826" s="35" t="str">
        <f ca="1">IFERROR(IF(AND(INDEX(Tab_DaBa[],MATCH(CONCATENATE(Liste!$C$3,$B$3671,$B$3813),Data!$BO:$BO,0)-2,28)&lt;&gt;"",INDEX(Tab_DaBa[],MATCH(CONCATENATE(Liste!$C$3,$B$3671,$B$3813),Data!$BO:$BO,0)-2,33)=""),"Performance Level: "&amp;INDEX(Tab_DaBa[],MATCH(CONCATENATE(Liste!$C$3,$B$3671,$B$3813),Data!$BO:$BO,0)-2,15),IF(INDEX(Tab_DaBa[],MATCH(CONCATENATE(Liste!$C$3,$B$3671,$B$3813),Data!$BO:$BO,0)-2,28)&lt;&gt;"","Performance Level: "&amp;INDEX(Tab_DaBa[],MATCH(CONCATENATE(Liste!$C$3,$B$3671,$B$3813),Data!$BO:$BO,0)-2,35),"")),"")</f>
        <v>Performance Level: PL_Lo04_06</v>
      </c>
      <c r="C3826" s="39"/>
      <c r="D3826" s="35" t="str">
        <f ca="1">IFERROR(IF(AND(INDEX(Tab_DaBa[],MATCH(CONCATENATE(Liste!$C$3,$B$3671,$B$3813),Data!$BO:$BO,0)-2,33)&lt;&gt;"",INDEX(Tab_DaBa[],MATCH(CONCATENATE(Liste!$C$3,$B$3671,$B$3813),Data!$BO:$BO,0)-2,38)=""),"Performance Level: "&amp;INDEX(Tab_DaBa[],MATCH(CONCATENATE(Liste!$C$3,$B$3671,$B$3813),Data!$BO:$BO,0)-2,15),IF(INDEX(Tab_DaBa[],MATCH(CONCATENATE(Liste!$C$3,$B$3671,$B$3813),Data!$BO:$BO,0)-2,33)&lt;&gt;"","Performance Level: "&amp;INDEX(Tab_DaBa[],MATCH(CONCATENATE(Liste!$C$3,$B$3671,$B$3813),Data!$BO:$BO,0)-2,40),"")),"")</f>
        <v>Performance Level: PL_Lo03_6</v>
      </c>
      <c r="E3826" s="37"/>
      <c r="F3826" s="35" t="str">
        <f ca="1">IFERROR(IF(AND(INDEX(Tab_DaBa[],MATCH(CONCATENATE(Liste!$C$3,$B$3671,$B$3813),Data!$BO:$BO,0)-2,38)&lt;&gt;"",INDEX(Tab_DaBa[],MATCH(CONCATENATE(Liste!$C$3,$B$3671,$B$3813),Data!$BO:$BO,0)-2,43)=""),"Performance Level: "&amp;INDEX(Tab_DaBa[],MATCH(CONCATENATE(Liste!$C$3,$B$3671,$B$3813),Data!$BO:$BO,0)-2,15),IF(INDEX(Tab_DaBa[],MATCH(CONCATENATE(Liste!$C$3,$B$3671,$B$3813),Data!$BO:$BO,0)-2,38)&lt;&gt;"","Performance Level: "&amp;INDEX(Tab_DaBa[],MATCH(CONCATENATE(Liste!$C$3,$B$3671,$B$3813),Data!$BO:$BO,0)-2,45),"")),"")</f>
        <v>Performance Level: PL_Lo03_06</v>
      </c>
      <c r="G3826" s="39"/>
      <c r="H3826" s="35" t="str">
        <f ca="1">IFERROR(IF(AND(INDEX(Tab_DaBa[],MATCH(CONCATENATE(Liste!$C$3,$B$3671,$B$3813),Data!$BO:$BO,0)-2,43)&lt;&gt;"",INDEX(Tab_DaBa[],MATCH(CONCATENATE(Liste!$C$3,$B$3671,$B$3813),Data!$BO:$BO,0)-2,48)=""),"Performance Level: "&amp;INDEX(Tab_DaBa[],MATCH(CONCATENATE(Liste!$C$3,$B$3671,$B$3813),Data!$BO:$BO,0)-2,15),IF(INDEX(Tab_DaBa[],MATCH(CONCATENATE(Liste!$C$3,$B$3671,$B$3813),Data!$BO:$BO,0)-2,43)&lt;&gt;"","Performance Level: "&amp;INDEX(Tab_DaBa[],MATCH(CONCATENATE(Liste!$C$3,$B$3671,$B$3813),Data!$BO:$BO,0)-2,50),"")),"")</f>
        <v>Performance Level: PL_Aus4_6</v>
      </c>
      <c r="I3826" s="39"/>
    </row>
    <row r="3827" spans="2:9" s="16" customFormat="1" ht="15.75">
      <c r="B3827" s="35" t="str">
        <f ca="1">IFERROR(IF(AND(INDEX(Tab_DaBa[],MATCH(CONCATENATE(Liste!$C$3,$B$3671,$B$3813),Data!$BO:$BO,0)-2,28)&lt;&gt;"",INDEX(Tab_DaBa[],MATCH(CONCATENATE(Liste!$C$3,$B$3671,$B$3813),Data!$BO:$BO,0)-2,33)=""),"PFH [1/h] = "&amp;10^9*INDEX(Tab_DaBa[],MATCH(CONCATENATE(Liste!$C$3,$B$3671,$B$3813),Data!$BO:$BO,0)-2,16)&amp;"E-9",IF(INDEX(Tab_DaBa[],MATCH(CONCATENATE(Liste!$C$3,$B$3671,$B$3813),Data!$BO:$BO,0)-2,28)&lt;&gt;"","PFH [1/h] = "&amp;10^9*INDEX(Tab_DaBa[],MATCH(CONCATENATE(Liste!$C$3,$B$3671,$B$3813),Data!$BO:$BO,0)-2,36)&amp;"E-9","")),"")</f>
        <v>PFH [1/h] = 4,19E-9</v>
      </c>
      <c r="C3827" s="39"/>
      <c r="D3827" s="35" t="str">
        <f ca="1">IFERROR(IF(AND(INDEX(Tab_DaBa[],MATCH(CONCATENATE(Liste!$C$3,$B$3671,$B$3813),Data!$BO:$BO,0)-2,33)&lt;&gt;"",INDEX(Tab_DaBa[],MATCH(CONCATENATE(Liste!$C$3,$B$3671,$B$3813),Data!$BO:$BO,0)-2,38)=""),"PFH [1/h] = "&amp;10^9*INDEX(Tab_DaBa[],MATCH(CONCATENATE(Liste!$C$3,$B$3671,$B$3813),Data!$BO:$BO,0)-2,16)&amp;"E-9",IF(INDEX(Tab_DaBa[],MATCH(CONCATENATE(Liste!$C$3,$B$3671,$B$3813),Data!$BO:$BO,0)-2,33)&lt;&gt;"","PFH [1/h] = "&amp;10^9*INDEX(Tab_DaBa[],MATCH(CONCATENATE(Liste!$C$3,$B$3671,$B$3813),Data!$BO:$BO,0)-2,41)&amp;"E-9","")),"")</f>
        <v>PFH [1/h] = 4,19E-9</v>
      </c>
      <c r="E3827" s="37"/>
      <c r="F3827" s="35" t="str">
        <f ca="1">IFERROR(IF(AND(INDEX(Tab_DaBa[],MATCH(CONCATENATE(Liste!$C$3,$B$3671,$B$3813),Data!$BO:$BO,0)-2,38)&lt;&gt;"",INDEX(Tab_DaBa[],MATCH(CONCATENATE(Liste!$C$3,$B$3671,$B$3813),Data!$BO:$BO,0)-2,43)=""),"PFH [1/h] = "&amp;10^9*INDEX(Tab_DaBa[],MATCH(CONCATENATE(Liste!$C$3,$B$3671,$B$3813),Data!$BO:$BO,0)-2,16)&amp;"E-9",IF(INDEX(Tab_DaBa[],MATCH(CONCATENATE(Liste!$C$3,$B$3671,$B$3813),Data!$BO:$BO,0)-2,38)&lt;&gt;"","PFH [1/h] = "&amp;10^9*INDEX(Tab_DaBa[],MATCH(CONCATENATE(Liste!$C$3,$B$3671,$B$3813),Data!$BO:$BO,0)-2,46)&amp;"E-9","")),"")</f>
        <v>PFH [1/h] = 4,19E-9</v>
      </c>
      <c r="G3827" s="39"/>
      <c r="H3827" s="35" t="str">
        <f ca="1">IFERROR(IF(AND(INDEX(Tab_DaBa[],MATCH(CONCATENATE(Liste!$C$3,$B$3671,$B$3813),Data!$BO:$BO,0)-2,43)&lt;&gt;"",INDEX(Tab_DaBa[],MATCH(CONCATENATE(Liste!$C$3,$B$3671,$B$3813),Data!$BO:$BO,0)-2,48)=""),"PFH [1/h] = "&amp;10^9*INDEX(Tab_DaBa[],MATCH(CONCATENATE(Liste!$C$3,$B$3671,$B$3813),Data!$BO:$BO,0)-2,16)&amp;"E-9",IF(INDEX(Tab_DaBa[],MATCH(CONCATENATE(Liste!$C$3,$B$3671,$B$3813),Data!$BO:$BO,0)-2,43)&lt;&gt;"","PFH [1/h] = "&amp;10^9*INDEX(Tab_DaBa[],MATCH(CONCATENATE(Liste!$C$3,$B$3671,$B$3813),Data!$BO:$BO,0)-2,51)&amp;"E-9","")),"")</f>
        <v>PFH [1/h] = 24,7E-9</v>
      </c>
      <c r="I3827" s="39"/>
    </row>
    <row r="3828" spans="2:9" s="16" customFormat="1">
      <c r="B3828" s="33"/>
      <c r="C3828" s="33"/>
      <c r="D3828" s="33"/>
      <c r="E3828" s="33"/>
      <c r="F3828" s="33"/>
      <c r="G3828" s="33"/>
      <c r="H3828" s="33"/>
      <c r="I3828" s="33"/>
    </row>
    <row r="3829" spans="2:9" s="16" customFormat="1" ht="15.75">
      <c r="B3829" s="38" t="str">
        <f ca="1">IF(B3831="","",6)</f>
        <v/>
      </c>
      <c r="C3829" s="33"/>
      <c r="D3829" s="38" t="str">
        <f ca="1">IF(B3831="","",3)</f>
        <v/>
      </c>
      <c r="E3829" s="33"/>
      <c r="F3829" s="38" t="str">
        <f ca="1">IF(B3831="","",3)</f>
        <v/>
      </c>
      <c r="G3829" s="33"/>
      <c r="H3829" s="38" t="str">
        <f ca="1">IF(B3831="","",3)</f>
        <v/>
      </c>
      <c r="I3829" s="33"/>
    </row>
    <row r="3830" spans="2:9" s="16" customFormat="1" ht="15.75">
      <c r="B3830" s="39"/>
      <c r="C3830" s="33"/>
      <c r="D3830" s="33"/>
      <c r="E3830" s="33"/>
      <c r="F3830" s="33"/>
      <c r="G3830" s="33"/>
      <c r="H3830" s="33"/>
      <c r="I3830" s="33"/>
    </row>
    <row r="3831" spans="2:9" s="16" customFormat="1" ht="15.75">
      <c r="B3831" s="35" t="str">
        <f ca="1">IFERROR(IF(AND(INDEX(Tab_DaBa[],MATCH(CONCATENATE(Liste!$C$3,$B$3671,$B$3813),Data!$BO:$BO,0)-2,48)&lt;&gt;"",INDEX(Tab_DaBa[],MATCH(CONCATENATE(Liste!$C$3,$B$3671,$B$3813),Data!$BO:$BO,0)-2,53)=0),INDEX(Tab_DaBa[],MATCH(CONCATENATE(Liste!$C$3,$B$3671,$B$3813),Data!$BO:$BO,0)-2,14),IF(INDEX(Tab_DaBa[],MATCH(CONCATENATE(Liste!$C$3,$B$3671,$B$3813),Data!$BO:$BO,0)-2,48)&lt;&gt;"",INDEX(Tab_DaBa[],MATCH(CONCATENATE(Liste!$C$3,$B$3671,$B$3813),Data!$BO:$BO,0)-2,54),"")),"")</f>
        <v/>
      </c>
      <c r="C3831" s="39"/>
      <c r="D3831" s="35" t="str">
        <f ca="1">IFERROR(IF(AND(INDEX(Tab_DaBa[],MATCH(CONCATENATE(Liste!$C$3,$B$3671,$B$3813),Data!$BO:$BO,0)-2,53)&lt;&gt;"",INDEX(Tab_DaBa[],MATCH(CONCATENATE(Liste!$C$3,$B$3671,$B$3813),Data!$BO:$BO,0)-2,58)=0),INDEX(Tab_DaBa[],MATCH(CONCATENATE(Liste!$C$3,$B$3671,$B$3813),Data!$BO:$BO,0)-2,14),IF(INDEX(Tab_DaBa[],MATCH(CONCATENATE(Liste!$C$3,$B$3671,$B$3813),Data!$BO:$BO,0)-2,53)&lt;&gt;"",INDEX(Tab_DaBa[],MATCH(CONCATENATE(Liste!$C$3,$B$3671,$B$3813),Data!$BO:$BO,0)-2,59),"")),"")</f>
        <v/>
      </c>
      <c r="E3831" s="33"/>
      <c r="F3831" s="35" t="str">
        <f ca="1">IFERROR(IF(AND(INDEX(Tab_DaBa[],MATCH(CONCATENATE(Liste!$C$3,$B$3671,$B$3813),Data!$BO:$BO,0)-2,58)&lt;&gt;"",INDEX(Tab_DaBa[],MATCH(CONCATENATE(Liste!$C$3,$B$3671,$B$3813),Data!$BO:$BO,0)-2,63)=0),INDEX(Tab_DaBa[],MATCH(CONCATENATE(Liste!$C$3,$B$3671,$B$3813),Data!$BO:$BO,0)-2,14),IF(INDEX(Tab_DaBa[],MATCH(CONCATENATE(Liste!$C$3,$B$3671,$B$3813),Data!$BO:$BO,0)-2,58)&lt;&gt;"",INDEX(Tab_DaBa[],MATCH(CONCATENATE(Liste!$C$3,$B$3671,$B$3813),Data!$BO:$BO,0)-2,64),"")),"")</f>
        <v/>
      </c>
      <c r="G3831" s="39"/>
      <c r="H3831" s="35" t="str">
        <f ca="1">IFERROR(IF(INDEX(Tab_DaBa[],MATCH(CONCATENATE(Liste!$C$3,$B$3671,$B$3813),Data!$BO:$BO,0)-2,63)&lt;&gt;"",INDEX(Tab_DaBa[],MATCH(CONCATENATE(Liste!$C$3,$B$3671,$B$3813),Data!$BO:$BO,0)-2,14),""),"")</f>
        <v/>
      </c>
    </row>
    <row r="3832" spans="2:9" s="16" customFormat="1" ht="15.75">
      <c r="B3832" s="35" t="str">
        <f ca="1">IFERROR(IF(AND(INDEX(Tab_DaBa[],MATCH(CONCATENATE(Liste!$C$3,$B$3671,$B$3813),Data!$BO:$BO,0)-2,48)&lt;&gt;"",INDEX(Tab_DaBa[],MATCH(CONCATENATE(Liste!$C$3,$B$3671,$B$3813),Data!$BO:$BO,0)-2,53)=0),INDEX(Tab_DaBa[],MATCH(CONCATENATE(Liste!$C$3,$B$3671,$B$3813),Data!$BO:$BO,0)-2,12),IF(INDEX(Tab_DaBa[],MATCH(CONCATENATE(Liste!$C$3,$B$3671,$B$3813),Data!$BO:$BO,0)-2,48)&lt;&gt;"",INDEX(Tab_DaBa[],MATCH(CONCATENATE(Liste!$C$3,$B$3671,$B$3813),Data!$BO:$BO,0)-2,52),"")),"")</f>
        <v/>
      </c>
      <c r="C3832" s="39"/>
      <c r="D3832" s="35" t="str">
        <f ca="1">IFERROR(IF(AND(INDEX(Tab_DaBa[],MATCH(CONCATENATE(Liste!$C$3,$B$3671,$B$3813),Data!$BO:$BO,0)-2,53)&lt;&gt;"",INDEX(Tab_DaBa[],MATCH(CONCATENATE(Liste!$C$3,$B$3671,$B$3813),Data!$BO:$BO,0)-2,58)=0),INDEX(Tab_DaBa[],MATCH(CONCATENATE(Liste!$C$3,$B$3671,$B$3813),Data!$BO:$BO,0)-2,12),IF(INDEX(Tab_DaBa[],MATCH(CONCATENATE(Liste!$C$3,$B$3671,$B$3813),Data!$BO:$BO,0)-2,53)&lt;&gt;"",INDEX(Tab_DaBa[],MATCH(CONCATENATE(Liste!$C$3,$B$3671,$B$3813),Data!$BO:$BO,0)-2,57),"")),"")</f>
        <v/>
      </c>
      <c r="E3832" s="37"/>
      <c r="F3832" s="35" t="str">
        <f ca="1">IFERROR(IF(AND(INDEX(Tab_DaBa[],MATCH(CONCATENATE(Liste!$C$3,$B$3671,$B$3813),Data!$BO:$BO,0)-2,58)&lt;&gt;"",INDEX(Tab_DaBa[],MATCH(CONCATENATE(Liste!$C$3,$B$3671,$B$3813),Data!$BO:$BO,0)-2,63)=0),INDEX(Tab_DaBa[],MATCH(CONCATENATE(Liste!$C$3,$B$3671,$B$3813),Data!$BO:$BO,0)-2,12),IF(INDEX(Tab_DaBa[],MATCH(CONCATENATE(Liste!$C$3,$B$3671,$B$3813),Data!$BO:$BO,0)-2,58)&lt;&gt;"",INDEX(Tab_DaBa[],MATCH(CONCATENATE(Liste!$C$3,$B$3671,$B$3813),Data!$BO:$BO,0)-2,62),"")),"")</f>
        <v/>
      </c>
      <c r="G3832" s="39"/>
      <c r="H3832" s="35" t="str">
        <f ca="1">IFERROR(IF(INDEX(Tab_DaBa[],MATCH(CONCATENATE(Liste!$C$3,$B$3671,$B$3813),Data!$BO:$BO,0)-2,63)&lt;&gt;"",INDEX(Tab_DaBa[],MATCH(CONCATENATE(Liste!$C$3,$B$3671,$B$3813),Data!$BO:$BO,0)-2,12),""),"")</f>
        <v/>
      </c>
    </row>
    <row r="3833" spans="2:9" s="16" customFormat="1" ht="15.75">
      <c r="B3833" s="35" t="str">
        <f ca="1">IFERROR(IF(AND(INDEX(Tab_DaBa[],MATCH(CONCATENATE(Liste!$C$3,$B$3671,$B$3813),Data!$BO:$BO,0)-2,48)&lt;&gt;"",INDEX(Tab_DaBa[],MATCH(CONCATENATE(Liste!$C$3,$B$3671,$B$3813),Data!$BO:$BO,0)-2,53)=""),INDEX(Tab_DaBa[],MATCH(CONCATENATE(Liste!$C$3,$B$3671,$B$3813),Data!$BO:$BO,0)-2,13),IF(INDEX(Tab_DaBa[],MATCH(CONCATENATE(Liste!$C$3,$B$3671,$B$3813),Data!$BO:$BO,0)-2,48)&lt;&gt;"",INDEX(Tab_DaBa[],MATCH(CONCATENATE(Liste!$C$3,$B$3671,$B$3813),Data!$BO:$BO,0)-2,53),"")),"")</f>
        <v/>
      </c>
      <c r="C3833" s="38" t="str">
        <f ca="1">IF(D3831="","",4)</f>
        <v/>
      </c>
      <c r="D3833" s="35" t="str">
        <f ca="1">IFERROR(IF(AND(INDEX(Tab_DaBa[],MATCH(CONCATENATE(Liste!$C$3,$B$3671,$B$3813),Data!$BO:$BO,0)-2,53)&lt;&gt;"",INDEX(Tab_DaBa[],MATCH(CONCATENATE(Liste!$C$3,$B$3671,$B$3813),Data!$BO:$BO,0)-2,58)=""),INDEX(Tab_DaBa[],MATCH(CONCATENATE(Liste!$C$3,$B$3671,$B$3813),Data!$BO:$BO,0)-2,13),IF(INDEX(Tab_DaBa[],MATCH(CONCATENATE(Liste!$C$3,$B$3671,$B$3813),Data!$BO:$BO,0)-2,53)&lt;&gt;"",INDEX(Tab_DaBa[],MATCH(CONCATENATE(Liste!$C$3,$B$3671,$B$3813),Data!$BO:$BO,0)-2,58),"")),"")</f>
        <v/>
      </c>
      <c r="E3833" s="38" t="str">
        <f ca="1">IF(F3831="","",4)</f>
        <v/>
      </c>
      <c r="F3833" s="35" t="str">
        <f ca="1">IFERROR(IF(AND(INDEX(Tab_DaBa[],MATCH(CONCATENATE(Liste!$C$3,$B$3671,$B$3813),Data!$BO:$BO,0)-2,58)&lt;&gt;"",INDEX(Tab_DaBa[],MATCH(CONCATENATE(Liste!$C$3,$B$3671,$B$3813),Data!$BO:$BO,0)-2,63)=""),INDEX(Tab_DaBa[],MATCH(CONCATENATE(Liste!$C$3,$B$3671,$B$3813),Data!$BO:$BO,0)-2,13),IF(INDEX(Tab_DaBa[],MATCH(CONCATENATE(Liste!$C$3,$B$3671,$B$3813),Data!$BO:$BO,0)-2,58)&lt;&gt;"",INDEX(Tab_DaBa[],MATCH(CONCATENATE(Liste!$C$3,$B$3671,$B$3813),Data!$BO:$BO,0)-2,63),"")),"")</f>
        <v/>
      </c>
      <c r="G3833" s="38" t="str">
        <f ca="1">IF(H3831="","",4)</f>
        <v/>
      </c>
      <c r="H3833" s="35" t="str">
        <f ca="1">IFERROR(IF(INDEX(Tab_DaBa[],MATCH(CONCATENATE(Liste!$C$3,$B$3671,$B$3813),Data!$BO:$BO,0)-2,63)&lt;&gt;"",INDEX(Tab_DaBa[],MATCH(CONCATENATE(Liste!$C$3,$B$3671,$B$3813),Data!$BO:$BO,0)-2,13),""),"")</f>
        <v/>
      </c>
    </row>
    <row r="3834" spans="2:9" s="16" customFormat="1" ht="15.75">
      <c r="B3834" s="35" t="str">
        <f ca="1">IFERROR(IF(AND(INDEX(Tab_DaBa[],MATCH(CONCATENATE(Liste!$C$3,$B$3671,$B$3813),Data!$BO:$BO,0)-2,48)&lt;&gt;"",INDEX(Tab_DaBa[],MATCH(CONCATENATE(Liste!$C$3,$B$3671,$B$3813),Data!$BO:$BO,0)-2,53)=""),"Performance Level: "&amp;INDEX(Tab_DaBa[],MATCH(CONCATENATE(Liste!$C$3,$B$3671,$B$3813),Data!$BO:$BO,0)-2,15),IF(INDEX(Tab_DaBa[],MATCH(CONCATENATE(Liste!$C$3,$B$3671,$B$3813),Data!$BO:$BO,0)-2,48)&lt;&gt;"","Performance Level: "&amp;INDEX(Tab_DaBa[],MATCH(CONCATENATE(Liste!$C$3,$B$3671,$B$3813),Data!$BO:$BO,0)-2,55),"")),"")</f>
        <v/>
      </c>
      <c r="C3834" s="39"/>
      <c r="D3834" s="35" t="str">
        <f ca="1">IFERROR(IF(AND(INDEX(Tab_DaBa[],MATCH(CONCATENATE(Liste!$C$3,$B$3671,$B$3813),Data!$BO:$BO,0)-2,53)&lt;&gt;"",INDEX(Tab_DaBa[],MATCH(CONCATENATE(Liste!$C$3,$B$3671,$B$3813),Data!$BO:$BO,0)-2,58)=""),"Performance Level: "&amp;INDEX(Tab_DaBa[],MATCH(CONCATENATE(Liste!$C$3,$B$3671,$B$3813),Data!$BO:$BO,0)-2,15),IF(INDEX(Tab_DaBa[],MATCH(CONCATENATE(Liste!$C$3,$B$3671,$B$3813),Data!$BO:$BO,0)-2,53)&lt;&gt;"","Performance Level: "&amp;INDEX(Tab_DaBa[],MATCH(CONCATENATE(Liste!$C$3,$B$3671,$B$3813),Data!$BO:$BO,0)-2,60),"")),"")</f>
        <v/>
      </c>
      <c r="E3834" s="37"/>
      <c r="F3834" s="35" t="str">
        <f ca="1">IFERROR(IF(AND(INDEX(Tab_DaBa[],MATCH(CONCATENATE(Liste!$C$3,$B$3671,$B$3813),Data!$BO:$BO,0)-2,58)&lt;&gt;"",INDEX(Tab_DaBa[],MATCH(CONCATENATE(Liste!$C$3,$B$3671,$B$3813),Data!$BO:$BO,0)-2,63)=""),"Performance Level: "&amp;INDEX(Tab_DaBa[],MATCH(CONCATENATE(Liste!$C$3,$B$3671,$B$3813),Data!$BO:$BO,0)-2,15),IF(INDEX(Tab_DaBa[],MATCH(CONCATENATE(Liste!$C$3,$B$3671,$B$3813),Data!$BO:$BO,0)-2,58)&lt;&gt;"","Performance Level: "&amp;INDEX(Tab_DaBa[],MATCH(CONCATENATE(Liste!$C$3,$B$3671,$B$3813),Data!$BO:$BO,0)-2,65),"")),"")</f>
        <v/>
      </c>
      <c r="G3834" s="39"/>
      <c r="H3834" s="35" t="str">
        <f ca="1">IFERROR(IF(INDEX(Tab_DaBa[],MATCH(CONCATENATE(Liste!$C$3,$B$3671,$B$3813),Data!$BO:$BO,0)-2,63)&lt;&gt;"","Performance Level: "&amp;INDEX(Tab_DaBa[],MATCH(CONCATENATE(Liste!$C$3,$B$3671,$B$3813),Data!$BO:$BO,0)-2,15),""),"")</f>
        <v/>
      </c>
    </row>
    <row r="3835" spans="2:9" s="16" customFormat="1" ht="15.75">
      <c r="B3835" s="35" t="str">
        <f ca="1">IFERROR(IF(AND(INDEX(Tab_DaBa[],MATCH(CONCATENATE(Liste!$C$3,$B$3671,$B$3813),Data!$BO:$BO,0)-2,48)&lt;&gt;"",INDEX(Tab_DaBa[],MATCH(CONCATENATE(Liste!$C$3,$B$3671,$B$3813),Data!$BO:$BO,0)-2,53)=""),"PFH [1/h] = "&amp;10^9*INDEX(Tab_DaBa[],MATCH(CONCATENATE(Liste!$C$3,$B$3671,$B$3813),Data!$BO:$BO,0)-2,16)&amp;"E-9",IF(INDEX(Tab_DaBa[],MATCH(CONCATENATE(Liste!$C$3,$B$3671,$B$3813),Data!$BO:$BO,0)-2,48)&lt;&gt;"","PFH [1/h] = "&amp;10^9*INDEX(Tab_DaBa[],MATCH(CONCATENATE(Liste!$C$3,$B$3671,$B$3813),Data!$BO:$BO,0)-2,56)&amp;"E-9","")),"")</f>
        <v/>
      </c>
      <c r="C3835" s="39"/>
      <c r="D3835" s="35" t="str">
        <f ca="1">IFERROR(IF(AND(INDEX(Tab_DaBa[],MATCH(CONCATENATE(Liste!$C$3,$B$3671,$B$3813),Data!$BO:$BO,0)-2,53)&lt;&gt;"",INDEX(Tab_DaBa[],MATCH(CONCATENATE(Liste!$C$3,$B$3671,$B$3813),Data!$BO:$BO,0)-2,58)=""),"PFH [1/h] = "&amp;10^9*INDEX(Tab_DaBa[],MATCH(CONCATENATE(Liste!$C$3,$B$3671,$B$3813),Data!$BO:$BO,0)-2,16)&amp;"E-9",IF(INDEX(Tab_DaBa[],MATCH(CONCATENATE(Liste!$C$3,$B$3671,$B$3813),Data!$BO:$BO,0)-2,53)&lt;&gt;"","PFH [1/h] = "&amp;10^9*INDEX(Tab_DaBa[],MATCH(CONCATENATE(Liste!$C$3,$B$3671,$B$3813),Data!$BO:$BO,0)-2,61)&amp;"E-9","")),"")</f>
        <v/>
      </c>
      <c r="E3835" s="37"/>
      <c r="F3835" s="35" t="str">
        <f ca="1">IFERROR(IF(AND(INDEX(Tab_DaBa[],MATCH(CONCATENATE(Liste!$C$3,$B$3671,$B$3813),Data!$BO:$BO,0)-2,58)&lt;&gt;"",INDEX(Tab_DaBa[],MATCH(CONCATENATE(Liste!$C$3,$B$3671,$B$3813),Data!$BO:$BO,0)-2,63)=""),"PFH [1/h] = "&amp;10^9*INDEX(Tab_DaBa[],MATCH(CONCATENATE(Liste!$C$3,$B$3671,$B$3813),Data!$BO:$BO,0)-2,16)&amp;"E-9",IF(INDEX(Tab_DaBa[],MATCH(CONCATENATE(Liste!$C$3,$B$3671,$B$3813),Data!$BO:$BO,0)-2,58)&lt;&gt;"","PFH [1/h] = "&amp;10^9*INDEX(Tab_DaBa[],MATCH(CONCATENATE(Liste!$C$3,$B$3671,$B$3813),Data!$BO:$BO,0)-2,66)&amp;"E-9","")),"")</f>
        <v/>
      </c>
      <c r="G3835" s="39"/>
      <c r="H3835" s="35" t="str">
        <f ca="1">IFERROR(IF(INDEX(Tab_DaBa[],MATCH(CONCATENATE(Liste!$C$3,$B$3671,$B$3813),Data!$BO:$BO,0)-2,63)&lt;&gt;"","PFH [1/h] = "&amp;10^9*INDEX(Tab_DaBa[],MATCH(CONCATENATE(Liste!$C$3,$B$3671,$B$3813),Data!$BO:$BO,0)-2,16)&amp;"E-9",""),"")</f>
        <v/>
      </c>
    </row>
    <row r="3836" spans="2:9" s="16" customFormat="1"/>
    <row r="3837" spans="2:9" s="16" customFormat="1">
      <c r="B3837" s="43" t="str">
        <f ca="1">IF(D3837="","","Erforderlich")</f>
        <v>Erforderlich</v>
      </c>
      <c r="D3837" s="44" t="str">
        <f ca="1">IFERROR("Performance Level: "&amp;INDEX(Tab_DaBa[],MATCH(CONCATENATE(Liste!$C$3,$B$3671,$B$3813),Data!$BO:$BO,0)-2,4),"")</f>
        <v>Performance Level: PLr_ges4_6</v>
      </c>
    </row>
    <row r="3838" spans="2:9" s="16" customFormat="1">
      <c r="B3838" s="45"/>
    </row>
    <row r="3839" spans="2:9" s="16" customFormat="1">
      <c r="B3839" s="46" t="str">
        <f ca="1">IF(D3839="","","Erreicht")</f>
        <v>Erreicht</v>
      </c>
      <c r="D3839" s="47" t="str">
        <f ca="1">IFERROR("Performance Level: "&amp;INDEX(Tab_DaBa[],MATCH(CONCATENATE(Liste!$C$3,$B$3671,$B$3813),Data!$BO:$BO,0)-2,5)&amp;"          PFH [1/h] = "&amp;10^9*INDEX(Tab_DaBa[],MATCH(CONCATENATE(Liste!$C$3,$B$3671,$B$3813),Data!$BO:$BO,0)-2,6)&amp;"E-9","")</f>
        <v>Performance Level: Pl_ges4_6          PFH [1/h] = 71,7E-9</v>
      </c>
    </row>
    <row r="3840" spans="2:9" s="16" customFormat="1"/>
    <row r="3841" spans="2:9" s="16" customFormat="1">
      <c r="B3841" s="42" t="str">
        <f ca="1">IFERROR(IF(7&gt;COUNTIF(Data!$BP:$BP,CONCATENATE(Liste!$C$3,$B$3671)),"",INDEX(Tab_DaBa[],MATCH(CONCATENATE(Liste!$C$3,$B$3671),Data!$BP:$BP,0)+4,3)),"")</f>
        <v>14.7 Test14 (E+7L+A)</v>
      </c>
    </row>
    <row r="3842" spans="2:9" s="16" customFormat="1"/>
    <row r="3843" spans="2:9" s="16" customFormat="1" ht="15.75">
      <c r="B3843" s="35" t="str">
        <f ca="1">IFERROR(INDEX(Tab_DaBa[],MATCH(CONCATENATE(Liste!$C$3,$B$3671,$B$3841),Data!$BO:$BO,0)-2,9),"")</f>
        <v>Eingang</v>
      </c>
      <c r="C3843" s="54"/>
      <c r="D3843" s="35" t="str">
        <f ca="1">IFERROR(IF(INDEX(Tab_DaBa[],MATCH(CONCATENATE(Liste!$C$3,$B$3671,$B$3841),Data!$BO:$BO,0)-2,18)=0,INDEX(Tab_DaBa[],MATCH(CONCATENATE(Liste!$C$3,$B$3671,$B$3841),Data!$BO:$BO,0)-2,14),INDEX(Tab_DaBa[],MATCH(CONCATENATE(Liste!$C$3,$B$3671,$B$3841),Data!$BO:$BO,0)-2,19)),"")</f>
        <v>Logik 01</v>
      </c>
      <c r="E3843" s="33"/>
      <c r="F3843" s="35" t="str">
        <f ca="1">IFERROR(IF(AND(INDEX(Tab_DaBa[],MATCH(CONCATENATE(Liste!$C$3,$B$3671,$B$3841),Data!$BO:$BO,0)-2,18)&lt;&gt;"",INDEX(Tab_DaBa[],MATCH(CONCATENATE(Liste!$C$3,$B$3671,$B$3841),Data!$BO:$BO,0)-2,23)=0),INDEX(Tab_DaBa[],MATCH(CONCATENATE(Liste!$C$3,$B$3671,$B$3841),Data!$BO:$BO,0)-2,14),IF(INDEX(Tab_DaBa[],MATCH(CONCATENATE(Liste!$C$3,$B$3671,$B$3841),Data!$BO:$BO,0)-2,23)&lt;&gt;"",INDEX(Tab_DaBa[],MATCH(CONCATENATE(Liste!$C$3,$B$3671,$B$3841),Data!$BO:$BO,0)-2,24),"")),"")</f>
        <v>Logik 02</v>
      </c>
      <c r="G3843" s="39"/>
      <c r="H3843" s="35" t="str">
        <f ca="1">IFERROR(IF(AND(INDEX(Tab_DaBa[],MATCH(CONCATENATE(Liste!$C$3,$B$3671,$B$3841),Data!$BO:$BO,0)-2,23)&lt;&gt;"",INDEX(Tab_DaBa[],MATCH(CONCATENATE(Liste!$C$3,$B$3671,$B$3841),Data!$BO:$BO,0)-2,28)=0),INDEX(Tab_DaBa[],MATCH(CONCATENATE(Liste!$C$3,$B$3671,$B$3841),Data!$BO:$BO,0)-2,14),IF(INDEX(Tab_DaBa[],MATCH(CONCATENATE(Liste!$C$3,$B$3671,$B$3841),Data!$BO:$BO,0)-2,23)&lt;&gt;"",INDEX(Tab_DaBa[],MATCH(CONCATENATE(Liste!$C$3,$B$3671,$B$3841),Data!$BO:$BO,0)-2,29),"")),"")</f>
        <v>Logik 03</v>
      </c>
      <c r="I3843" s="39"/>
    </row>
    <row r="3844" spans="2:9" s="16" customFormat="1" ht="15.75">
      <c r="B3844" s="35" t="str">
        <f ca="1">IFERROR(INDEX(Tab_DaBa[],MATCH(CONCATENATE(Liste!$C$3,$B$3671,$B$3841),Data!$BO:$BO,0)-2,7),"")</f>
        <v>eeee-33_7</v>
      </c>
      <c r="C3844" s="54"/>
      <c r="D3844" s="35" t="str">
        <f ca="1">IFERROR(IF(INDEX(Tab_DaBa[],MATCH(CONCATENATE(Liste!$C$3,$B$3671,$B$3841),Data!$BO:$BO,0)-2,18)="",INDEX(Tab_DaBa[],MATCH(CONCATENATE(Liste!$C$3,$B$3671,$B$3841),Data!$BO:$BO,0)-2,12),INDEX(Tab_DaBa[],MATCH(CONCATENATE(Liste!$C$3,$B$3671,$B$3841),Data!$BO:$BO,0)-2,17)),"")</f>
        <v>Log01-04_07</v>
      </c>
      <c r="E3844" s="36"/>
      <c r="F3844" s="35" t="str">
        <f ca="1">IFERROR(IF(AND(INDEX(Tab_DaBa[],MATCH(CONCATENATE(Liste!$C$3,$B$3671,$B$3841),Data!$BO:$BO,0)-2,18)&lt;&gt;"",INDEX(Tab_DaBa[],MATCH(CONCATENATE(Liste!$C$3,$B$3671,$B$3841),Data!$BO:$BO,0)-2,23)=0),INDEX(Tab_DaBa[],MATCH(CONCATENATE(Liste!$C$3,$B$3671,$B$3841),Data!$BO:$BO,0)-2,12),IF(INDEX(Tab_DaBa[],MATCH(CONCATENATE(Liste!$C$3,$B$3671,$B$3841),Data!$BO:$BO,0)-2,23)&lt;&gt;"",INDEX(Tab_DaBa[],MATCH(CONCATENATE(Liste!$C$3,$B$3671,$B$3841),Data!$BO:$BO,0)-2,22),"")),"")</f>
        <v>Lo04-04_07</v>
      </c>
      <c r="G3844" s="39"/>
      <c r="H3844" s="35" t="str">
        <f ca="1">IFERROR(IF(AND(INDEX(Tab_DaBa[],MATCH(CONCATENATE(Liste!$C$3,$B$3671,$B$3841),Data!$BO:$BO,0)-2,23)&lt;&gt;"",INDEX(Tab_DaBa[],MATCH(CONCATENATE(Liste!$C$3,$B$3671,$B$3841),Data!$BO:$BO,0)-2,28)=0),INDEX(Tab_DaBa[],MATCH(CONCATENATE(Liste!$C$3,$B$3671,$B$3841),Data!$BO:$BO,0)-2,12),IF(INDEX(Tab_DaBa[],MATCH(CONCATENATE(Liste!$C$3,$B$3671,$B$3841),Data!$BO:$BO,0)-2,23)&lt;&gt;"",INDEX(Tab_DaBa[],MATCH(CONCATENATE(Liste!$C$3,$B$3671,$B$3841),Data!$BO:$BO,0)-2,27),"")),"")</f>
        <v>Lo04-44_07</v>
      </c>
      <c r="I3844" s="39"/>
    </row>
    <row r="3845" spans="2:9" s="16" customFormat="1" ht="15.75">
      <c r="B3845" s="35" t="str">
        <f ca="1">IFERROR(INDEX(Tab_DaBa[],MATCH(CONCATENATE(Liste!$C$3,$B$3671,$B$3841),Data!$BO:$BO,0)-2,8),"")</f>
        <v>Bez_Ein4_7</v>
      </c>
      <c r="C3845" s="40">
        <f ca="1">IF(D3843="","",4)</f>
        <v>4</v>
      </c>
      <c r="D3845" s="35" t="str">
        <f ca="1">IFERROR(IF(INDEX(Tab_DaBa[],MATCH(CONCATENATE(Liste!$C$3,$B$3671,$B$3841),Data!$BO:$BO,0)-2,18)="",INDEX(Tab_DaBa[],MATCH(CONCATENATE(Liste!$C$3,$B$3671,$B$3841),Data!$BO:$BO,0)-2,13),INDEX(Tab_DaBa[],MATCH(CONCATENATE(Liste!$C$3,$B$3671,$B$3841),Data!$BO:$BO,0)-2,18)),"")</f>
        <v>Bez_Log01_04_07</v>
      </c>
      <c r="E3845" s="40">
        <f ca="1">IF(F3843="","",4)</f>
        <v>4</v>
      </c>
      <c r="F3845" s="35" t="str">
        <f ca="1">IFERROR(IF(AND(INDEX(Tab_DaBa[],MATCH(CONCATENATE(Liste!$C$3,$B$3671,$B$3841),Data!$BO:$BO,0)-2,18)&lt;&gt;"",INDEX(Tab_DaBa[],MATCH(CONCATENATE(Liste!$C$3,$B$3671,$B$3841),Data!$BO:$BO,0)-2,23)=""),INDEX(Tab_DaBa[],MATCH(CONCATENATE(Liste!$C$3,$B$3671,$B$3841),Data!$BO:$BO,0)-2,13),IF(INDEX(Tab_DaBa[],MATCH(CONCATENATE(Liste!$C$3,$B$3671,$B$3841),Data!$BO:$BO,0)-2,23)&lt;&gt;"",INDEX(Tab_DaBa[],MATCH(CONCATENATE(Liste!$C$3,$B$3671,$B$3841),Data!$BO:$BO,0)-2,23),"")),"")</f>
        <v>Bez_Lo04_07</v>
      </c>
      <c r="G3845" s="38">
        <f ca="1">IF(H3843="","",4)</f>
        <v>4</v>
      </c>
      <c r="H3845" s="35" t="str">
        <f ca="1">IFERROR(IF(AND(INDEX(Tab_DaBa[],MATCH(CONCATENATE(Liste!$C$3,$B$3671,$B$3841),Data!$BO:$BO,0)-2,23)&lt;&gt;"",INDEX(Tab_DaBa[],MATCH(CONCATENATE(Liste!$C$3,$B$3671,$B$3841),Data!$BO:$BO,0)-2,28)=""),INDEX(Tab_DaBa[],MATCH(CONCATENATE(Liste!$C$3,$B$3671,$B$3841),Data!$BO:$BO,0)-2,13),IF(INDEX(Tab_DaBa[],MATCH(CONCATENATE(Liste!$C$3,$B$3671,$B$3841),Data!$BO:$BO,0)-2,23)&lt;&gt;"",INDEX(Tab_DaBa[],MATCH(CONCATENATE(Liste!$C$3,$B$3671,$B$3841),Data!$BO:$BO,0)-2,28),"")),"")</f>
        <v>Bez_Lo04_07</v>
      </c>
      <c r="I3845" s="38">
        <f ca="1">IF(B3851="","",6)</f>
        <v>6</v>
      </c>
    </row>
    <row r="3846" spans="2:9" s="16" customFormat="1" ht="15.75">
      <c r="B3846" s="35" t="str">
        <f ca="1">IFERROR("Performance Level: "&amp;INDEX(Tab_DaBa[],MATCH(CONCATENATE(Liste!$C$3,$B$3671,$B$3841),Data!$BO:$BO,0)-2,10),"")</f>
        <v>Performance Level: PL_Ein4_7</v>
      </c>
      <c r="C3846" s="54"/>
      <c r="D3846" s="35" t="str">
        <f ca="1">IFERROR(IF(INDEX(Tab_DaBa[],MATCH(CONCATENATE(Liste!$C$3,$B$3671,$B$3841),Data!$BO:$BO,0)-2,18)="","Performance Level: "&amp;INDEX(Tab_DaBa[],MATCH(CONCATENATE(Liste!$C$3,$B$3671,$B$3841),Data!$BO:$BO,0)-2,15),"Performance Level: "&amp;INDEX(Tab_DaBa[],MATCH(CONCATENATE(Liste!$C$3,$B$3671,$B$3841),Data!$BO:$BO,0)-2,20)),"")</f>
        <v>Performance Level: PL_Log01_04_07</v>
      </c>
      <c r="E3846" s="36"/>
      <c r="F3846" s="35" t="str">
        <f ca="1">IFERROR(IF(AND(INDEX(Tab_DaBa[],MATCH(CONCATENATE(Liste!$C$3,$B$3671,$B$3841),Data!$BO:$BO,0)-2,18)&lt;&gt;"",INDEX(Tab_DaBa[],MATCH(CONCATENATE(Liste!$C$3,$B$3671,$B$3841),Data!$BO:$BO,0)-2,23)=""),"Performance Level: "&amp;INDEX(Tab_DaBa[],MATCH(CONCATENATE(Liste!$C$3,$B$3671,$B$3841),Data!$BO:$BO,0)-2,15),IF(INDEX(Tab_DaBa[],MATCH(CONCATENATE(Liste!$C$3,$B$3671,$B$3841),Data!$BO:$BO,0)-2,23)&lt;&gt;"","Performance Level: "&amp;INDEX(Tab_DaBa[],MATCH(CONCATENATE(Liste!$C$3,$B$3671,$B$3841),Data!$BO:$BO,0)-2,25),"")),"")</f>
        <v>Performance Level: PL_Lo04_07</v>
      </c>
      <c r="G3846" s="39"/>
      <c r="H3846" s="35" t="str">
        <f ca="1">IFERROR(IF(AND(INDEX(Tab_DaBa[],MATCH(CONCATENATE(Liste!$C$3,$B$3671,$B$3841),Data!$BO:$BO,0)-2,23)&lt;&gt;"",INDEX(Tab_DaBa[],MATCH(CONCATENATE(Liste!$C$3,$B$3671,$B$3841),Data!$BO:$BO,0)-2,28)=""),"Performance Level: "&amp;INDEX(Tab_DaBa[],MATCH(CONCATENATE(Liste!$C$3,$B$3671,$B$3841),Data!$BO:$BO,0)-2,15),IF(INDEX(Tab_DaBa[],MATCH(CONCATENATE(Liste!$C$3,$B$3671,$B$3841),Data!$BO:$BO,0)-2,23)&lt;&gt;"","Performance Level: "&amp;INDEX(Tab_DaBa[],MATCH(CONCATENATE(Liste!$C$3,$B$3671,$B$3841),Data!$BO:$BO,0)-2,30),"")),"")</f>
        <v>Performance Level: PL_Lo04_07</v>
      </c>
      <c r="I3846" s="38"/>
    </row>
    <row r="3847" spans="2:9" s="16" customFormat="1" ht="15.75">
      <c r="B3847" s="53" t="str">
        <f ca="1">IFERROR("PFH [1/h] = "&amp;10^9*INDEX(Tab_DaBa[],MATCH(CONCATENATE(Liste!$C$3,$B$3671,$B$3841),Data!$BO:$BO,0)-2,11)&amp;"E-9","")</f>
        <v>PFH [1/h] = 42,9E-9</v>
      </c>
      <c r="C3847" s="54"/>
      <c r="D3847" s="35" t="str">
        <f ca="1">IFERROR(IF(INDEX(Tab_DaBa[],MATCH(CONCATENATE(Liste!$C$3,$B$3671,$B$3841),Data!$BO:$BO,0)-2,18)="","PFH [1/h] = "&amp;10^9*INDEX(Tab_DaBa[],MATCH(CONCATENATE(Liste!$C$3,$B$3671,$B$3841),Data!$BO:$BO,0)-2,16)&amp;"E-9","PFH [1/h] = "&amp;10^9*INDEX(Tab_DaBa[],MATCH(CONCATENATE(Liste!$C$3,$B$3671,$B$3841),Data!$BO:$BO,0)-2,21)&amp;"E-9"),"")</f>
        <v>PFH [1/h] = 4,19E-9</v>
      </c>
      <c r="E3847" s="36"/>
      <c r="F3847" s="35" t="str">
        <f ca="1">IFERROR(IF(AND(INDEX(Tab_DaBa[],MATCH(CONCATENATE(Liste!$C$3,$B$3671,$B$3841),Data!$BO:$BO,0)-2,18)&lt;&gt;"",INDEX(Tab_DaBa[],MATCH(CONCATENATE(Liste!$C$3,$B$3671,$B$3841),Data!$BO:$BO,0)-2,23)=""),"PFH [1/h] = "&amp;10^9*INDEX(Tab_DaBa[],MATCH(CONCATENATE(Liste!$C$3,$B$3671,$B$3841),Data!$BO:$BO,0)-2,16)&amp;"E-9",IF(INDEX(Tab_DaBa[],MATCH(CONCATENATE(Liste!$C$3,$B$3671,$B$3841),Data!$BO:$BO,0)-2,23)&lt;&gt;"","PFH [1/h] = "&amp;10^9*INDEX(Tab_DaBa[],MATCH(CONCATENATE(Liste!$C$3,$B$3671,$B$3841),Data!$BO:$BO,0)-2,26)&amp;"E-9","")),"")</f>
        <v>PFH [1/h] = 4,19E-9</v>
      </c>
      <c r="G3847" s="39"/>
      <c r="H3847" s="35" t="str">
        <f ca="1">IFERROR(IF(AND(INDEX(Tab_DaBa[],MATCH(CONCATENATE(Liste!$C$3,$B$3671,$B$3841),Data!$BO:$BO,0)-2,23)&lt;&gt;"",INDEX(Tab_DaBa[],MATCH(CONCATENATE(Liste!$C$3,$B$3671,$B$3841),Data!$BO:$BO,0)-2,28)=""),"PFH [1/h] = "&amp;10^9*INDEX(Tab_DaBa[],MATCH(CONCATENATE(Liste!$C$3,$B$3671,$B$3841),Data!$BO:$BO,0)-2,16)&amp;"E-9",IF(INDEX(Tab_DaBa[],MATCH(CONCATENATE(Liste!$C$3,$B$3671,$B$3841),Data!$BO:$BO,0)-2,23)&lt;&gt;"","PFH [1/h] = "&amp;10^9*INDEX(Tab_DaBa[],MATCH(CONCATENATE(Liste!$C$3,$B$3671,$B$3841),Data!$BO:$BO,0)-2,31)&amp;"E-9","")),"")</f>
        <v>PFH [1/h] = 4,19E-9</v>
      </c>
      <c r="I3847" s="39"/>
    </row>
    <row r="3848" spans="2:9" s="16" customFormat="1">
      <c r="B3848" s="33"/>
      <c r="C3848" s="34"/>
      <c r="D3848" s="33"/>
      <c r="E3848" s="33"/>
      <c r="F3848" s="33"/>
      <c r="G3848" s="33"/>
      <c r="H3848" s="33"/>
      <c r="I3848" s="33"/>
    </row>
    <row r="3849" spans="2:9" s="16" customFormat="1" ht="15.75">
      <c r="B3849" s="38">
        <f ca="1">IF(B3851="","",6)</f>
        <v>6</v>
      </c>
      <c r="C3849" s="34"/>
      <c r="D3849" s="38">
        <f ca="1">IF(B3851="","",3)</f>
        <v>3</v>
      </c>
      <c r="E3849" s="33"/>
      <c r="F3849" s="38">
        <f ca="1">IF(B3851="","",3)</f>
        <v>3</v>
      </c>
      <c r="G3849" s="33"/>
      <c r="H3849" s="38">
        <f ca="1">IF(B3851="","",3)</f>
        <v>3</v>
      </c>
      <c r="I3849" s="33"/>
    </row>
    <row r="3850" spans="2:9" s="16" customFormat="1" ht="15.75">
      <c r="B3850" s="39"/>
      <c r="C3850" s="33"/>
      <c r="D3850" s="33"/>
      <c r="E3850" s="33"/>
      <c r="F3850" s="33"/>
      <c r="G3850" s="33"/>
      <c r="H3850" s="33"/>
      <c r="I3850" s="33"/>
    </row>
    <row r="3851" spans="2:9" s="16" customFormat="1" ht="15.75">
      <c r="B3851" s="35" t="str">
        <f ca="1">IFERROR(IF(AND(INDEX(Tab_DaBa[],MATCH(CONCATENATE(Liste!$C$3,$B$3671,$B$3841),Data!$BO:$BO,0)-2,28)&lt;&gt;"",INDEX(Tab_DaBa[],MATCH(CONCATENATE(Liste!$C$3,$B$3671,$B$3841),Data!$BO:$BO,0)-2,33)=0),INDEX(Tab_DaBa[],MATCH(CONCATENATE(Liste!$C$3,$B$3671,$B$3841),Data!$BO:$BO,0)-2,14),IF(INDEX(Tab_DaBa[],MATCH(CONCATENATE(Liste!$C$3,$B$3671,$B$3841),Data!$BO:$BO,0)-2,28)&lt;&gt;"",INDEX(Tab_DaBa[],MATCH(CONCATENATE(Liste!$C$3,$B$3671,$B$3841),Data!$BO:$BO,0)-2,34),"")),"")</f>
        <v>Logik 04</v>
      </c>
      <c r="C3851" s="39"/>
      <c r="D3851" s="35" t="str">
        <f ca="1">IFERROR(IF(AND(INDEX(Tab_DaBa[],MATCH(CONCATENATE(Liste!$C$3,$B$3671,$B$3841),Data!$BO:$BO,0)-2,33)&lt;&gt;"",INDEX(Tab_DaBa[],MATCH(CONCATENATE(Liste!$C$3,$B$3671,$B$3841),Data!$BO:$BO,0)-2,38)=0),INDEX(Tab_DaBa[],MATCH(CONCATENATE(Liste!$C$3,$B$3671,$B$3841),Data!$BO:$BO,0)-2,14),IF(INDEX(Tab_DaBa[],MATCH(CONCATENATE(Liste!$C$3,$B$3671,$B$3841),Data!$BO:$BO,0)-2,33)&lt;&gt;"",INDEX(Tab_DaBa[],MATCH(CONCATENATE(Liste!$C$3,$B$3671,$B$3841),Data!$BO:$BO,0)-2,39),"")),"")</f>
        <v>Logik 05</v>
      </c>
      <c r="E3851" s="33"/>
      <c r="F3851" s="35" t="str">
        <f ca="1">IFERROR(IF(AND(INDEX(Tab_DaBa[],MATCH(CONCATENATE(Liste!$C$3,$B$3671,$B$3841),Data!$BO:$BO,0)-2,38)&lt;&gt;"",INDEX(Tab_DaBa[],MATCH(CONCATENATE(Liste!$C$3,$B$3671,$B$3841),Data!$BO:$BO,0)-2,43)=0),INDEX(Tab_DaBa[],MATCH(CONCATENATE(Liste!$C$3,$B$3671,$B$3841),Data!$BO:$BO,0)-2,14),IF(INDEX(Tab_DaBa[],MATCH(CONCATENATE(Liste!$C$3,$B$3671,$B$3841),Data!$BO:$BO,0)-2,38)&lt;&gt;"",INDEX(Tab_DaBa[],MATCH(CONCATENATE(Liste!$C$3,$B$3671,$B$3841),Data!$BO:$BO,0)-2,44),"")),"")</f>
        <v>Logik 06</v>
      </c>
      <c r="G3851" s="39"/>
      <c r="H3851" s="35" t="str">
        <f ca="1">IFERROR(IF(AND(INDEX(Tab_DaBa[],MATCH(CONCATENATE(Liste!$C$3,$B$3671,$B$3841),Data!$BO:$BO,0)-2,43)&lt;&gt;"",INDEX(Tab_DaBa[],MATCH(CONCATENATE(Liste!$C$3,$B$3671,$B$3841),Data!$BO:$BO,0)-2,48)=0),INDEX(Tab_DaBa[],MATCH(CONCATENATE(Liste!$C$3,$B$3671,$B$3841),Data!$BO:$BO,0)-2,14),IF(INDEX(Tab_DaBa[],MATCH(CONCATENATE(Liste!$C$3,$B$3671,$B$3841),Data!$BO:$BO,0)-2,43)&lt;&gt;"",INDEX(Tab_DaBa[],MATCH(CONCATENATE(Liste!$C$3,$B$3671,$B$3841),Data!$BO:$BO,0)-2,49),"")),"")</f>
        <v>Logik 07</v>
      </c>
      <c r="I3851" s="39"/>
    </row>
    <row r="3852" spans="2:9" s="16" customFormat="1" ht="15.75">
      <c r="B3852" s="35" t="str">
        <f ca="1">IFERROR(IF(AND(INDEX(Tab_DaBa[],MATCH(CONCATENATE(Liste!$C$3,$B$3671,$B$3841),Data!$BO:$BO,0)-2,28)&lt;&gt;"",INDEX(Tab_DaBa[],MATCH(CONCATENATE(Liste!$C$3,$B$3671,$B$3841),Data!$BO:$BO,0)-2,33)=0),INDEX(Tab_DaBa[],MATCH(CONCATENATE(Liste!$C$3,$B$3671,$B$3841),Data!$BO:$BO,0)-2,12),IF(INDEX(Tab_DaBa[],MATCH(CONCATENATE(Liste!$C$3,$B$3671,$B$3841),Data!$BO:$BO,0)-2,28)&lt;&gt;"",INDEX(Tab_DaBa[],MATCH(CONCATENATE(Liste!$C$3,$B$3671,$B$3841),Data!$BO:$BO,0)-2,32),"")),"")</f>
        <v>Lo04-44_07</v>
      </c>
      <c r="C3852" s="39"/>
      <c r="D3852" s="35" t="str">
        <f ca="1">IFERROR(IF(AND(INDEX(Tab_DaBa[],MATCH(CONCATENATE(Liste!$C$3,$B$3671,$B$3841),Data!$BO:$BO,0)-2,33)&lt;&gt;"",INDEX(Tab_DaBa[],MATCH(CONCATENATE(Liste!$C$3,$B$3671,$B$3841),Data!$BO:$BO,0)-2,38)=0),INDEX(Tab_DaBa[],MATCH(CONCATENATE(Liste!$C$3,$B$3671,$B$3841),Data!$BO:$BO,0)-2,12),IF(INDEX(Tab_DaBa[],MATCH(CONCATENATE(Liste!$C$3,$B$3671,$B$3841),Data!$BO:$BO,0)-2,33)&lt;&gt;"",INDEX(Tab_DaBa[],MATCH(CONCATENATE(Liste!$C$3,$B$3671,$B$3841),Data!$BO:$BO,0)-2,37),"")),"")</f>
        <v>Lo04-44_07</v>
      </c>
      <c r="E3852" s="37"/>
      <c r="F3852" s="35" t="str">
        <f ca="1">IFERROR(IF(AND(INDEX(Tab_DaBa[],MATCH(CONCATENATE(Liste!$C$3,$B$3671,$B$3841),Data!$BO:$BO,0)-2,38)&lt;&gt;"",INDEX(Tab_DaBa[],MATCH(CONCATENATE(Liste!$C$3,$B$3671,$B$3841),Data!$BO:$BO,0)-2,43)=0),INDEX(Tab_DaBa[],MATCH(CONCATENATE(Liste!$C$3,$B$3671,$B$3841),Data!$BO:$BO,0)-2,12),IF(INDEX(Tab_DaBa[],MATCH(CONCATENATE(Liste!$C$3,$B$3671,$B$3841),Data!$BO:$BO,0)-2,38)&lt;&gt;"",INDEX(Tab_DaBa[],MATCH(CONCATENATE(Liste!$C$3,$B$3671,$B$3841),Data!$BO:$BO,0)-2,42),"")),"")</f>
        <v>Lo03-33_07</v>
      </c>
      <c r="G3852" s="39"/>
      <c r="H3852" s="35" t="str">
        <f ca="1">IFERROR(IF(AND(INDEX(Tab_DaBa[],MATCH(CONCATENATE(Liste!$C$3,$B$3671,$B$3841),Data!$BO:$BO,0)-2,43)&lt;&gt;"",INDEX(Tab_DaBa[],MATCH(CONCATENATE(Liste!$C$3,$B$3671,$B$3841),Data!$BO:$BO,0)-2,48)=0),INDEX(Tab_DaBa[],MATCH(CONCATENATE(Liste!$C$3,$B$3671,$B$3841),Data!$BO:$BO,0)-2,12),IF(INDEX(Tab_DaBa[],MATCH(CONCATENATE(Liste!$C$3,$B$3671,$B$3841),Data!$BO:$BO,0)-2,43)&lt;&gt;"",INDEX(Tab_DaBa[],MATCH(CONCATENATE(Liste!$C$3,$B$3671,$B$3841),Data!$BO:$BO,0)-2,47),"")),"")</f>
        <v>Lo03-33_07</v>
      </c>
      <c r="I3852" s="39"/>
    </row>
    <row r="3853" spans="2:9" s="16" customFormat="1" ht="15.75">
      <c r="B3853" s="35" t="str">
        <f ca="1">IFERROR(IF(AND(INDEX(Tab_DaBa[],MATCH(CONCATENATE(Liste!$C$3,$B$3671,$B$3841),Data!$BO:$BO,0)-2,28)&lt;&gt;"",INDEX(Tab_DaBa[],MATCH(CONCATENATE(Liste!$C$3,$B$3671,$B$3841),Data!$BO:$BO,0)-2,33)=""),INDEX(Tab_DaBa[],MATCH(CONCATENATE(Liste!$C$3,$B$3671,$B$3841),Data!$BO:$BO,0)-2,13),IF(INDEX(Tab_DaBa[],MATCH(CONCATENATE(Liste!$C$3,$B$3671,$B$3841),Data!$BO:$BO,0)-2,28)&lt;&gt;"",INDEX(Tab_DaBa[],MATCH(CONCATENATE(Liste!$C$3,$B$3671,$B$3841),Data!$BO:$BO,0)-2,33),"")),"")</f>
        <v>Bez_Lo04_07</v>
      </c>
      <c r="C3853" s="38">
        <f ca="1">IF(D3851="","",4)</f>
        <v>4</v>
      </c>
      <c r="D3853" s="35" t="str">
        <f ca="1">IFERROR(IF(AND(INDEX(Tab_DaBa[],MATCH(CONCATENATE(Liste!$C$3,$B$3671,$B$3841),Data!$BO:$BO,0)-2,33)&lt;&gt;"",INDEX(Tab_DaBa[],MATCH(CONCATENATE(Liste!$C$3,$B$3671,$B$3841),Data!$BO:$BO,0)-2,38)=""),INDEX(Tab_DaBa[],MATCH(CONCATENATE(Liste!$C$3,$B$3671,$B$3841),Data!$BO:$BO,0)-2,13),IF(INDEX(Tab_DaBa[],MATCH(CONCATENATE(Liste!$C$3,$B$3671,$B$3841),Data!$BO:$BO,0)-2,33)&lt;&gt;"",INDEX(Tab_DaBa[],MATCH(CONCATENATE(Liste!$C$3,$B$3671,$B$3841),Data!$BO:$BO,0)-2,38),"")),"")</f>
        <v>Bez_Lo03_07</v>
      </c>
      <c r="E3853" s="38">
        <f ca="1">IF(F3851="","",4)</f>
        <v>4</v>
      </c>
      <c r="F3853" s="35" t="str">
        <f ca="1">IFERROR(IF(AND(INDEX(Tab_DaBa[],MATCH(CONCATENATE(Liste!$C$3,$B$3671,$B$3841),Data!$BO:$BO,0)-2,38)&lt;&gt;"",INDEX(Tab_DaBa[],MATCH(CONCATENATE(Liste!$C$3,$B$3671,$B$3841),Data!$BO:$BO,0)-2,43)=""),INDEX(Tab_DaBa[],MATCH(CONCATENATE(Liste!$C$3,$B$3671,$B$3841),Data!$BO:$BO,0)-2,13),IF(INDEX(Tab_DaBa[],MATCH(CONCATENATE(Liste!$C$3,$B$3671,$B$3841),Data!$BO:$BO,0)-2,38)&lt;&gt;"",INDEX(Tab_DaBa[],MATCH(CONCATENATE(Liste!$C$3,$B$3671,$B$3841),Data!$BO:$BO,0)-2,43),"")),"")</f>
        <v>Bez_Lo03_07</v>
      </c>
      <c r="G3853" s="38">
        <f ca="1">IF(H3851="","",4)</f>
        <v>4</v>
      </c>
      <c r="H3853" s="35" t="str">
        <f ca="1">IFERROR(IF(AND(INDEX(Tab_DaBa[],MATCH(CONCATENATE(Liste!$C$3,$B$3671,$B$3841),Data!$BO:$BO,0)-2,43)&lt;&gt;"",INDEX(Tab_DaBa[],MATCH(CONCATENATE(Liste!$C$3,$B$3671,$B$3841),Data!$BO:$BO,0)-2,48)=""),INDEX(Tab_DaBa[],MATCH(CONCATENATE(Liste!$C$3,$B$3671,$B$3841),Data!$BO:$BO,0)-2,13),IF(INDEX(Tab_DaBa[],MATCH(CONCATENATE(Liste!$C$3,$B$3671,$B$3841),Data!$BO:$BO,0)-2,43)&lt;&gt;"",INDEX(Tab_DaBa[],MATCH(CONCATENATE(Liste!$C$3,$B$3671,$B$3841),Data!$BO:$BO,0)-2,48),"")),"")</f>
        <v>Bez_Lo03_07</v>
      </c>
      <c r="I3853" s="38">
        <f ca="1">IF(B3859="","",6)</f>
        <v>6</v>
      </c>
    </row>
    <row r="3854" spans="2:9" s="16" customFormat="1" ht="15.75">
      <c r="B3854" s="35" t="str">
        <f ca="1">IFERROR(IF(AND(INDEX(Tab_DaBa[],MATCH(CONCATENATE(Liste!$C$3,$B$3671,$B$3841),Data!$BO:$BO,0)-2,28)&lt;&gt;"",INDEX(Tab_DaBa[],MATCH(CONCATENATE(Liste!$C$3,$B$3671,$B$3841),Data!$BO:$BO,0)-2,33)=""),"Performance Level: "&amp;INDEX(Tab_DaBa[],MATCH(CONCATENATE(Liste!$C$3,$B$3671,$B$3841),Data!$BO:$BO,0)-2,15),IF(INDEX(Tab_DaBa[],MATCH(CONCATENATE(Liste!$C$3,$B$3671,$B$3841),Data!$BO:$BO,0)-2,28)&lt;&gt;"","Performance Level: "&amp;INDEX(Tab_DaBa[],MATCH(CONCATENATE(Liste!$C$3,$B$3671,$B$3841),Data!$BO:$BO,0)-2,35),"")),"")</f>
        <v>Performance Level: PL_Lo04_07</v>
      </c>
      <c r="C3854" s="39"/>
      <c r="D3854" s="35" t="str">
        <f ca="1">IFERROR(IF(AND(INDEX(Tab_DaBa[],MATCH(CONCATENATE(Liste!$C$3,$B$3671,$B$3841),Data!$BO:$BO,0)-2,33)&lt;&gt;"",INDEX(Tab_DaBa[],MATCH(CONCATENATE(Liste!$C$3,$B$3671,$B$3841),Data!$BO:$BO,0)-2,38)=""),"Performance Level: "&amp;INDEX(Tab_DaBa[],MATCH(CONCATENATE(Liste!$C$3,$B$3671,$B$3841),Data!$BO:$BO,0)-2,15),IF(INDEX(Tab_DaBa[],MATCH(CONCATENATE(Liste!$C$3,$B$3671,$B$3841),Data!$BO:$BO,0)-2,33)&lt;&gt;"","Performance Level: "&amp;INDEX(Tab_DaBa[],MATCH(CONCATENATE(Liste!$C$3,$B$3671,$B$3841),Data!$BO:$BO,0)-2,40),"")),"")</f>
        <v>Performance Level: PL_Lo03_7</v>
      </c>
      <c r="E3854" s="37"/>
      <c r="F3854" s="35" t="str">
        <f ca="1">IFERROR(IF(AND(INDEX(Tab_DaBa[],MATCH(CONCATENATE(Liste!$C$3,$B$3671,$B$3841),Data!$BO:$BO,0)-2,38)&lt;&gt;"",INDEX(Tab_DaBa[],MATCH(CONCATENATE(Liste!$C$3,$B$3671,$B$3841),Data!$BO:$BO,0)-2,43)=""),"Performance Level: "&amp;INDEX(Tab_DaBa[],MATCH(CONCATENATE(Liste!$C$3,$B$3671,$B$3841),Data!$BO:$BO,0)-2,15),IF(INDEX(Tab_DaBa[],MATCH(CONCATENATE(Liste!$C$3,$B$3671,$B$3841),Data!$BO:$BO,0)-2,38)&lt;&gt;"","Performance Level: "&amp;INDEX(Tab_DaBa[],MATCH(CONCATENATE(Liste!$C$3,$B$3671,$B$3841),Data!$BO:$BO,0)-2,45),"")),"")</f>
        <v>Performance Level: PL_Lo03_07</v>
      </c>
      <c r="G3854" s="39"/>
      <c r="H3854" s="35" t="str">
        <f ca="1">IFERROR(IF(AND(INDEX(Tab_DaBa[],MATCH(CONCATENATE(Liste!$C$3,$B$3671,$B$3841),Data!$BO:$BO,0)-2,43)&lt;&gt;"",INDEX(Tab_DaBa[],MATCH(CONCATENATE(Liste!$C$3,$B$3671,$B$3841),Data!$BO:$BO,0)-2,48)=""),"Performance Level: "&amp;INDEX(Tab_DaBa[],MATCH(CONCATENATE(Liste!$C$3,$B$3671,$B$3841),Data!$BO:$BO,0)-2,15),IF(INDEX(Tab_DaBa[],MATCH(CONCATENATE(Liste!$C$3,$B$3671,$B$3841),Data!$BO:$BO,0)-2,43)&lt;&gt;"","Performance Level: "&amp;INDEX(Tab_DaBa[],MATCH(CONCATENATE(Liste!$C$3,$B$3671,$B$3841),Data!$BO:$BO,0)-2,50),"")),"")</f>
        <v>Performance Level: PL_Lo03_07</v>
      </c>
      <c r="I3854" s="39"/>
    </row>
    <row r="3855" spans="2:9" s="16" customFormat="1" ht="15.75">
      <c r="B3855" s="35" t="str">
        <f ca="1">IFERROR(IF(AND(INDEX(Tab_DaBa[],MATCH(CONCATENATE(Liste!$C$3,$B$3671,$B$3841),Data!$BO:$BO,0)-2,28)&lt;&gt;"",INDEX(Tab_DaBa[],MATCH(CONCATENATE(Liste!$C$3,$B$3671,$B$3841),Data!$BO:$BO,0)-2,33)=""),"PFH [1/h] = "&amp;10^9*INDEX(Tab_DaBa[],MATCH(CONCATENATE(Liste!$C$3,$B$3671,$B$3841),Data!$BO:$BO,0)-2,16)&amp;"E-9",IF(INDEX(Tab_DaBa[],MATCH(CONCATENATE(Liste!$C$3,$B$3671,$B$3841),Data!$BO:$BO,0)-2,28)&lt;&gt;"","PFH [1/h] = "&amp;10^9*INDEX(Tab_DaBa[],MATCH(CONCATENATE(Liste!$C$3,$B$3671,$B$3841),Data!$BO:$BO,0)-2,36)&amp;"E-9","")),"")</f>
        <v>PFH [1/h] = 4,19E-9</v>
      </c>
      <c r="C3855" s="39"/>
      <c r="D3855" s="35" t="str">
        <f ca="1">IFERROR(IF(AND(INDEX(Tab_DaBa[],MATCH(CONCATENATE(Liste!$C$3,$B$3671,$B$3841),Data!$BO:$BO,0)-2,33)&lt;&gt;"",INDEX(Tab_DaBa[],MATCH(CONCATENATE(Liste!$C$3,$B$3671,$B$3841),Data!$BO:$BO,0)-2,38)=""),"PFH [1/h] = "&amp;10^9*INDEX(Tab_DaBa[],MATCH(CONCATENATE(Liste!$C$3,$B$3671,$B$3841),Data!$BO:$BO,0)-2,16)&amp;"E-9",IF(INDEX(Tab_DaBa[],MATCH(CONCATENATE(Liste!$C$3,$B$3671,$B$3841),Data!$BO:$BO,0)-2,33)&lt;&gt;"","PFH [1/h] = "&amp;10^9*INDEX(Tab_DaBa[],MATCH(CONCATENATE(Liste!$C$3,$B$3671,$B$3841),Data!$BO:$BO,0)-2,41)&amp;"E-9","")),"")</f>
        <v>PFH [1/h] = 4,19E-9</v>
      </c>
      <c r="E3855" s="37"/>
      <c r="F3855" s="35" t="str">
        <f ca="1">IFERROR(IF(AND(INDEX(Tab_DaBa[],MATCH(CONCATENATE(Liste!$C$3,$B$3671,$B$3841),Data!$BO:$BO,0)-2,38)&lt;&gt;"",INDEX(Tab_DaBa[],MATCH(CONCATENATE(Liste!$C$3,$B$3671,$B$3841),Data!$BO:$BO,0)-2,43)=""),"PFH [1/h] = "&amp;10^9*INDEX(Tab_DaBa[],MATCH(CONCATENATE(Liste!$C$3,$B$3671,$B$3841),Data!$BO:$BO,0)-2,16)&amp;"E-9",IF(INDEX(Tab_DaBa[],MATCH(CONCATENATE(Liste!$C$3,$B$3671,$B$3841),Data!$BO:$BO,0)-2,38)&lt;&gt;"","PFH [1/h] = "&amp;10^9*INDEX(Tab_DaBa[],MATCH(CONCATENATE(Liste!$C$3,$B$3671,$B$3841),Data!$BO:$BO,0)-2,46)&amp;"E-9","")),"")</f>
        <v>PFH [1/h] = 4,19E-9</v>
      </c>
      <c r="G3855" s="39"/>
      <c r="H3855" s="35" t="str">
        <f ca="1">IFERROR(IF(AND(INDEX(Tab_DaBa[],MATCH(CONCATENATE(Liste!$C$3,$B$3671,$B$3841),Data!$BO:$BO,0)-2,43)&lt;&gt;"",INDEX(Tab_DaBa[],MATCH(CONCATENATE(Liste!$C$3,$B$3671,$B$3841),Data!$BO:$BO,0)-2,48)=""),"PFH [1/h] = "&amp;10^9*INDEX(Tab_DaBa[],MATCH(CONCATENATE(Liste!$C$3,$B$3671,$B$3841),Data!$BO:$BO,0)-2,16)&amp;"E-9",IF(INDEX(Tab_DaBa[],MATCH(CONCATENATE(Liste!$C$3,$B$3671,$B$3841),Data!$BO:$BO,0)-2,43)&lt;&gt;"","PFH [1/h] = "&amp;10^9*INDEX(Tab_DaBa[],MATCH(CONCATENATE(Liste!$C$3,$B$3671,$B$3841),Data!$BO:$BO,0)-2,51)&amp;"E-9","")),"")</f>
        <v>PFH [1/h] = 4,19E-9</v>
      </c>
      <c r="I3855" s="39"/>
    </row>
    <row r="3856" spans="2:9" s="16" customFormat="1">
      <c r="B3856" s="33"/>
      <c r="C3856" s="33"/>
      <c r="D3856" s="33"/>
      <c r="E3856" s="33"/>
      <c r="F3856" s="33"/>
      <c r="G3856" s="33"/>
      <c r="H3856" s="33"/>
      <c r="I3856" s="33"/>
    </row>
    <row r="3857" spans="2:9" s="16" customFormat="1" ht="15.75">
      <c r="B3857" s="38">
        <f ca="1">IF(B3859="","",6)</f>
        <v>6</v>
      </c>
      <c r="C3857" s="33"/>
      <c r="D3857" s="38">
        <f ca="1">IF(B3859="","",3)</f>
        <v>3</v>
      </c>
      <c r="E3857" s="33"/>
      <c r="F3857" s="38">
        <f ca="1">IF(B3859="","",3)</f>
        <v>3</v>
      </c>
      <c r="G3857" s="33"/>
      <c r="H3857" s="38">
        <f ca="1">IF(B3859="","",3)</f>
        <v>3</v>
      </c>
      <c r="I3857" s="33"/>
    </row>
    <row r="3858" spans="2:9" s="16" customFormat="1" ht="15.75">
      <c r="B3858" s="39"/>
      <c r="C3858" s="33"/>
      <c r="D3858" s="33"/>
      <c r="E3858" s="33"/>
      <c r="F3858" s="33"/>
      <c r="G3858" s="33"/>
      <c r="H3858" s="33"/>
      <c r="I3858" s="33"/>
    </row>
    <row r="3859" spans="2:9" s="16" customFormat="1" ht="15.75">
      <c r="B3859" s="35" t="str">
        <f ca="1">IFERROR(IF(AND(INDEX(Tab_DaBa[],MATCH(CONCATENATE(Liste!$C$3,$B$3671,$B$3841),Data!$BO:$BO,0)-2,48)&lt;&gt;"",INDEX(Tab_DaBa[],MATCH(CONCATENATE(Liste!$C$3,$B$3671,$B$3841),Data!$BO:$BO,0)-2,53)=0),INDEX(Tab_DaBa[],MATCH(CONCATENATE(Liste!$C$3,$B$3671,$B$3841),Data!$BO:$BO,0)-2,14),IF(INDEX(Tab_DaBa[],MATCH(CONCATENATE(Liste!$C$3,$B$3671,$B$3841),Data!$BO:$BO,0)-2,48)&lt;&gt;"",INDEX(Tab_DaBa[],MATCH(CONCATENATE(Liste!$C$3,$B$3671,$B$3841),Data!$BO:$BO,0)-2,54),"")),"")</f>
        <v>Ausgang</v>
      </c>
      <c r="C3859" s="39"/>
      <c r="D3859" s="35" t="str">
        <f ca="1">IFERROR(IF(AND(INDEX(Tab_DaBa[],MATCH(CONCATENATE(Liste!$C$3,$B$3671,$B$3841),Data!$BO:$BO,0)-2,53)&lt;&gt;"",INDEX(Tab_DaBa[],MATCH(CONCATENATE(Liste!$C$3,$B$3671,$B$3841),Data!$BO:$BO,0)-2,58)=0),INDEX(Tab_DaBa[],MATCH(CONCATENATE(Liste!$C$3,$B$3671,$B$3841),Data!$BO:$BO,0)-2,14),IF(INDEX(Tab_DaBa[],MATCH(CONCATENATE(Liste!$C$3,$B$3671,$B$3841),Data!$BO:$BO,0)-2,53)&lt;&gt;"",INDEX(Tab_DaBa[],MATCH(CONCATENATE(Liste!$C$3,$B$3671,$B$3841),Data!$BO:$BO,0)-2,59),"")),"")</f>
        <v/>
      </c>
      <c r="E3859" s="33"/>
      <c r="F3859" s="35" t="str">
        <f ca="1">IFERROR(IF(AND(INDEX(Tab_DaBa[],MATCH(CONCATENATE(Liste!$C$3,$B$3671,$B$3841),Data!$BO:$BO,0)-2,58)&lt;&gt;"",INDEX(Tab_DaBa[],MATCH(CONCATENATE(Liste!$C$3,$B$3671,$B$3841),Data!$BO:$BO,0)-2,63)=0),INDEX(Tab_DaBa[],MATCH(CONCATENATE(Liste!$C$3,$B$3671,$B$3841),Data!$BO:$BO,0)-2,14),IF(INDEX(Tab_DaBa[],MATCH(CONCATENATE(Liste!$C$3,$B$3671,$B$3841),Data!$BO:$BO,0)-2,58)&lt;&gt;"",INDEX(Tab_DaBa[],MATCH(CONCATENATE(Liste!$C$3,$B$3671,$B$3841),Data!$BO:$BO,0)-2,64),"")),"")</f>
        <v/>
      </c>
      <c r="G3859" s="39"/>
      <c r="H3859" s="35" t="str">
        <f ca="1">IFERROR(IF(INDEX(Tab_DaBa[],MATCH(CONCATENATE(Liste!$C$3,$B$3671,$B$3841),Data!$BO:$BO,0)-2,63)&lt;&gt;"",INDEX(Tab_DaBa[],MATCH(CONCATENATE(Liste!$C$3,$B$3671,$B$3841),Data!$BO:$BO,0)-2,14),""),"")</f>
        <v/>
      </c>
    </row>
    <row r="3860" spans="2:9" s="16" customFormat="1" ht="15.75">
      <c r="B3860" s="35" t="str">
        <f ca="1">IFERROR(IF(AND(INDEX(Tab_DaBa[],MATCH(CONCATENATE(Liste!$C$3,$B$3671,$B$3841),Data!$BO:$BO,0)-2,48)&lt;&gt;"",INDEX(Tab_DaBa[],MATCH(CONCATENATE(Liste!$C$3,$B$3671,$B$3841),Data!$BO:$BO,0)-2,53)=0),INDEX(Tab_DaBa[],MATCH(CONCATENATE(Liste!$C$3,$B$3671,$B$3841),Data!$BO:$BO,0)-2,12),IF(INDEX(Tab_DaBa[],MATCH(CONCATENATE(Liste!$C$3,$B$3671,$B$3841),Data!$BO:$BO,0)-2,48)&lt;&gt;"",INDEX(Tab_DaBa[],MATCH(CONCATENATE(Liste!$C$3,$B$3671,$B$3841),Data!$BO:$BO,0)-2,52),"")),"")</f>
        <v>aaaa-44_7</v>
      </c>
      <c r="C3860" s="39"/>
      <c r="D3860" s="35" t="str">
        <f ca="1">IFERROR(IF(AND(INDEX(Tab_DaBa[],MATCH(CONCATENATE(Liste!$C$3,$B$3671,$B$3841),Data!$BO:$BO,0)-2,53)&lt;&gt;"",INDEX(Tab_DaBa[],MATCH(CONCATENATE(Liste!$C$3,$B$3671,$B$3841),Data!$BO:$BO,0)-2,58)=0),INDEX(Tab_DaBa[],MATCH(CONCATENATE(Liste!$C$3,$B$3671,$B$3841),Data!$BO:$BO,0)-2,12),IF(INDEX(Tab_DaBa[],MATCH(CONCATENATE(Liste!$C$3,$B$3671,$B$3841),Data!$BO:$BO,0)-2,53)&lt;&gt;"",INDEX(Tab_DaBa[],MATCH(CONCATENATE(Liste!$C$3,$B$3671,$B$3841),Data!$BO:$BO,0)-2,57),"")),"")</f>
        <v/>
      </c>
      <c r="E3860" s="37"/>
      <c r="F3860" s="35" t="str">
        <f ca="1">IFERROR(IF(AND(INDEX(Tab_DaBa[],MATCH(CONCATENATE(Liste!$C$3,$B$3671,$B$3841),Data!$BO:$BO,0)-2,58)&lt;&gt;"",INDEX(Tab_DaBa[],MATCH(CONCATENATE(Liste!$C$3,$B$3671,$B$3841),Data!$BO:$BO,0)-2,63)=0),INDEX(Tab_DaBa[],MATCH(CONCATENATE(Liste!$C$3,$B$3671,$B$3841),Data!$BO:$BO,0)-2,12),IF(INDEX(Tab_DaBa[],MATCH(CONCATENATE(Liste!$C$3,$B$3671,$B$3841),Data!$BO:$BO,0)-2,58)&lt;&gt;"",INDEX(Tab_DaBa[],MATCH(CONCATENATE(Liste!$C$3,$B$3671,$B$3841),Data!$BO:$BO,0)-2,62),"")),"")</f>
        <v/>
      </c>
      <c r="G3860" s="39"/>
      <c r="H3860" s="35" t="str">
        <f ca="1">IFERROR(IF(INDEX(Tab_DaBa[],MATCH(CONCATENATE(Liste!$C$3,$B$3671,$B$3841),Data!$BO:$BO,0)-2,63)&lt;&gt;"",INDEX(Tab_DaBa[],MATCH(CONCATENATE(Liste!$C$3,$B$3671,$B$3841),Data!$BO:$BO,0)-2,12),""),"")</f>
        <v/>
      </c>
    </row>
    <row r="3861" spans="2:9" s="16" customFormat="1" ht="15.75">
      <c r="B3861" s="35" t="str">
        <f ca="1">IFERROR(IF(AND(INDEX(Tab_DaBa[],MATCH(CONCATENATE(Liste!$C$3,$B$3671,$B$3841),Data!$BO:$BO,0)-2,48)&lt;&gt;"",INDEX(Tab_DaBa[],MATCH(CONCATENATE(Liste!$C$3,$B$3671,$B$3841),Data!$BO:$BO,0)-2,53)=""),INDEX(Tab_DaBa[],MATCH(CONCATENATE(Liste!$C$3,$B$3671,$B$3841),Data!$BO:$BO,0)-2,13),IF(INDEX(Tab_DaBa[],MATCH(CONCATENATE(Liste!$C$3,$B$3671,$B$3841),Data!$BO:$BO,0)-2,48)&lt;&gt;"",INDEX(Tab_DaBa[],MATCH(CONCATENATE(Liste!$C$3,$B$3671,$B$3841),Data!$BO:$BO,0)-2,53),"")),"")</f>
        <v>Bez_Aus4_7</v>
      </c>
      <c r="C3861" s="38" t="str">
        <f ca="1">IF(D3859="","",4)</f>
        <v/>
      </c>
      <c r="D3861" s="35" t="str">
        <f ca="1">IFERROR(IF(AND(INDEX(Tab_DaBa[],MATCH(CONCATENATE(Liste!$C$3,$B$3671,$B$3841),Data!$BO:$BO,0)-2,53)&lt;&gt;"",INDEX(Tab_DaBa[],MATCH(CONCATENATE(Liste!$C$3,$B$3671,$B$3841),Data!$BO:$BO,0)-2,58)=""),INDEX(Tab_DaBa[],MATCH(CONCATENATE(Liste!$C$3,$B$3671,$B$3841),Data!$BO:$BO,0)-2,13),IF(INDEX(Tab_DaBa[],MATCH(CONCATENATE(Liste!$C$3,$B$3671,$B$3841),Data!$BO:$BO,0)-2,53)&lt;&gt;"",INDEX(Tab_DaBa[],MATCH(CONCATENATE(Liste!$C$3,$B$3671,$B$3841),Data!$BO:$BO,0)-2,58),"")),"")</f>
        <v/>
      </c>
      <c r="E3861" s="38" t="str">
        <f ca="1">IF(F3859="","",4)</f>
        <v/>
      </c>
      <c r="F3861" s="35" t="str">
        <f ca="1">IFERROR(IF(AND(INDEX(Tab_DaBa[],MATCH(CONCATENATE(Liste!$C$3,$B$3671,$B$3841),Data!$BO:$BO,0)-2,58)&lt;&gt;"",INDEX(Tab_DaBa[],MATCH(CONCATENATE(Liste!$C$3,$B$3671,$B$3841),Data!$BO:$BO,0)-2,63)=""),INDEX(Tab_DaBa[],MATCH(CONCATENATE(Liste!$C$3,$B$3671,$B$3841),Data!$BO:$BO,0)-2,13),IF(INDEX(Tab_DaBa[],MATCH(CONCATENATE(Liste!$C$3,$B$3671,$B$3841),Data!$BO:$BO,0)-2,58)&lt;&gt;"",INDEX(Tab_DaBa[],MATCH(CONCATENATE(Liste!$C$3,$B$3671,$B$3841),Data!$BO:$BO,0)-2,63),"")),"")</f>
        <v/>
      </c>
      <c r="G3861" s="38" t="str">
        <f ca="1">IF(H3859="","",4)</f>
        <v/>
      </c>
      <c r="H3861" s="35" t="str">
        <f ca="1">IFERROR(IF(INDEX(Tab_DaBa[],MATCH(CONCATENATE(Liste!$C$3,$B$3671,$B$3841),Data!$BO:$BO,0)-2,63)&lt;&gt;"",INDEX(Tab_DaBa[],MATCH(CONCATENATE(Liste!$C$3,$B$3671,$B$3841),Data!$BO:$BO,0)-2,13),""),"")</f>
        <v/>
      </c>
    </row>
    <row r="3862" spans="2:9" s="16" customFormat="1" ht="15.75">
      <c r="B3862" s="35" t="str">
        <f ca="1">IFERROR(IF(AND(INDEX(Tab_DaBa[],MATCH(CONCATENATE(Liste!$C$3,$B$3671,$B$3841),Data!$BO:$BO,0)-2,48)&lt;&gt;"",INDEX(Tab_DaBa[],MATCH(CONCATENATE(Liste!$C$3,$B$3671,$B$3841),Data!$BO:$BO,0)-2,53)=""),"Performance Level: "&amp;INDEX(Tab_DaBa[],MATCH(CONCATENATE(Liste!$C$3,$B$3671,$B$3841),Data!$BO:$BO,0)-2,15),IF(INDEX(Tab_DaBa[],MATCH(CONCATENATE(Liste!$C$3,$B$3671,$B$3841),Data!$BO:$BO,0)-2,48)&lt;&gt;"","Performance Level: "&amp;INDEX(Tab_DaBa[],MATCH(CONCATENATE(Liste!$C$3,$B$3671,$B$3841),Data!$BO:$BO,0)-2,55),"")),"")</f>
        <v>Performance Level: PL_Aus4_7</v>
      </c>
      <c r="C3862" s="39"/>
      <c r="D3862" s="35" t="str">
        <f ca="1">IFERROR(IF(AND(INDEX(Tab_DaBa[],MATCH(CONCATENATE(Liste!$C$3,$B$3671,$B$3841),Data!$BO:$BO,0)-2,53)&lt;&gt;"",INDEX(Tab_DaBa[],MATCH(CONCATENATE(Liste!$C$3,$B$3671,$B$3841),Data!$BO:$BO,0)-2,58)=""),"Performance Level: "&amp;INDEX(Tab_DaBa[],MATCH(CONCATENATE(Liste!$C$3,$B$3671,$B$3841),Data!$BO:$BO,0)-2,15),IF(INDEX(Tab_DaBa[],MATCH(CONCATENATE(Liste!$C$3,$B$3671,$B$3841),Data!$BO:$BO,0)-2,53)&lt;&gt;"","Performance Level: "&amp;INDEX(Tab_DaBa[],MATCH(CONCATENATE(Liste!$C$3,$B$3671,$B$3841),Data!$BO:$BO,0)-2,60),"")),"")</f>
        <v/>
      </c>
      <c r="E3862" s="37"/>
      <c r="F3862" s="35" t="str">
        <f ca="1">IFERROR(IF(AND(INDEX(Tab_DaBa[],MATCH(CONCATENATE(Liste!$C$3,$B$3671,$B$3841),Data!$BO:$BO,0)-2,58)&lt;&gt;"",INDEX(Tab_DaBa[],MATCH(CONCATENATE(Liste!$C$3,$B$3671,$B$3841),Data!$BO:$BO,0)-2,63)=""),"Performance Level: "&amp;INDEX(Tab_DaBa[],MATCH(CONCATENATE(Liste!$C$3,$B$3671,$B$3841),Data!$BO:$BO,0)-2,15),IF(INDEX(Tab_DaBa[],MATCH(CONCATENATE(Liste!$C$3,$B$3671,$B$3841),Data!$BO:$BO,0)-2,58)&lt;&gt;"","Performance Level: "&amp;INDEX(Tab_DaBa[],MATCH(CONCATENATE(Liste!$C$3,$B$3671,$B$3841),Data!$BO:$BO,0)-2,65),"")),"")</f>
        <v/>
      </c>
      <c r="G3862" s="39"/>
      <c r="H3862" s="35" t="str">
        <f ca="1">IFERROR(IF(INDEX(Tab_DaBa[],MATCH(CONCATENATE(Liste!$C$3,$B$3671,$B$3841),Data!$BO:$BO,0)-2,63)&lt;&gt;"","Performance Level: "&amp;INDEX(Tab_DaBa[],MATCH(CONCATENATE(Liste!$C$3,$B$3671,$B$3841),Data!$BO:$BO,0)-2,15),""),"")</f>
        <v/>
      </c>
    </row>
    <row r="3863" spans="2:9" s="16" customFormat="1" ht="15.75">
      <c r="B3863" s="35" t="str">
        <f ca="1">IFERROR(IF(AND(INDEX(Tab_DaBa[],MATCH(CONCATENATE(Liste!$C$3,$B$3671,$B$3841),Data!$BO:$BO,0)-2,48)&lt;&gt;"",INDEX(Tab_DaBa[],MATCH(CONCATENATE(Liste!$C$3,$B$3671,$B$3841),Data!$BO:$BO,0)-2,53)=""),"PFH [1/h] = "&amp;10^9*INDEX(Tab_DaBa[],MATCH(CONCATENATE(Liste!$C$3,$B$3671,$B$3841),Data!$BO:$BO,0)-2,16)&amp;"E-9",IF(INDEX(Tab_DaBa[],MATCH(CONCATENATE(Liste!$C$3,$B$3671,$B$3841),Data!$BO:$BO,0)-2,48)&lt;&gt;"","PFH [1/h] = "&amp;10^9*INDEX(Tab_DaBa[],MATCH(CONCATENATE(Liste!$C$3,$B$3671,$B$3841),Data!$BO:$BO,0)-2,56)&amp;"E-9","")),"")</f>
        <v>PFH [1/h] = 24,7E-9</v>
      </c>
      <c r="C3863" s="39"/>
      <c r="D3863" s="35" t="str">
        <f ca="1">IFERROR(IF(AND(INDEX(Tab_DaBa[],MATCH(CONCATENATE(Liste!$C$3,$B$3671,$B$3841),Data!$BO:$BO,0)-2,53)&lt;&gt;"",INDEX(Tab_DaBa[],MATCH(CONCATENATE(Liste!$C$3,$B$3671,$B$3841),Data!$BO:$BO,0)-2,58)=""),"PFH [1/h] = "&amp;10^9*INDEX(Tab_DaBa[],MATCH(CONCATENATE(Liste!$C$3,$B$3671,$B$3841),Data!$BO:$BO,0)-2,16)&amp;"E-9",IF(INDEX(Tab_DaBa[],MATCH(CONCATENATE(Liste!$C$3,$B$3671,$B$3841),Data!$BO:$BO,0)-2,53)&lt;&gt;"","PFH [1/h] = "&amp;10^9*INDEX(Tab_DaBa[],MATCH(CONCATENATE(Liste!$C$3,$B$3671,$B$3841),Data!$BO:$BO,0)-2,61)&amp;"E-9","")),"")</f>
        <v/>
      </c>
      <c r="E3863" s="37"/>
      <c r="F3863" s="35" t="str">
        <f ca="1">IFERROR(IF(AND(INDEX(Tab_DaBa[],MATCH(CONCATENATE(Liste!$C$3,$B$3671,$B$3841),Data!$BO:$BO,0)-2,58)&lt;&gt;"",INDEX(Tab_DaBa[],MATCH(CONCATENATE(Liste!$C$3,$B$3671,$B$3841),Data!$BO:$BO,0)-2,63)=""),"PFH [1/h] = "&amp;10^9*INDEX(Tab_DaBa[],MATCH(CONCATENATE(Liste!$C$3,$B$3671,$B$3841),Data!$BO:$BO,0)-2,16)&amp;"E-9",IF(INDEX(Tab_DaBa[],MATCH(CONCATENATE(Liste!$C$3,$B$3671,$B$3841),Data!$BO:$BO,0)-2,58)&lt;&gt;"","PFH [1/h] = "&amp;10^9*INDEX(Tab_DaBa[],MATCH(CONCATENATE(Liste!$C$3,$B$3671,$B$3841),Data!$BO:$BO,0)-2,66)&amp;"E-9","")),"")</f>
        <v/>
      </c>
      <c r="G3863" s="39"/>
      <c r="H3863" s="35" t="str">
        <f ca="1">IFERROR(IF(INDEX(Tab_DaBa[],MATCH(CONCATENATE(Liste!$C$3,$B$3671,$B$3841),Data!$BO:$BO,0)-2,63)&lt;&gt;"","PFH [1/h] = "&amp;10^9*INDEX(Tab_DaBa[],MATCH(CONCATENATE(Liste!$C$3,$B$3671,$B$3841),Data!$BO:$BO,0)-2,16)&amp;"E-9",""),"")</f>
        <v/>
      </c>
    </row>
    <row r="3864" spans="2:9" s="16" customFormat="1"/>
    <row r="3865" spans="2:9" s="16" customFormat="1">
      <c r="B3865" s="43" t="str">
        <f ca="1">IF(D3865="","","Erforderlich")</f>
        <v>Erforderlich</v>
      </c>
      <c r="D3865" s="44" t="str">
        <f ca="1">IFERROR("Performance Level: "&amp;INDEX(Tab_DaBa[],MATCH(CONCATENATE(Liste!$C$3,$B$3671,$B$3841),Data!$BO:$BO,0)-2,4),"")</f>
        <v>Performance Level: PLr_ges4_7</v>
      </c>
    </row>
    <row r="3866" spans="2:9" s="16" customFormat="1">
      <c r="B3866" s="45"/>
    </row>
    <row r="3867" spans="2:9" s="16" customFormat="1">
      <c r="B3867" s="46" t="str">
        <f ca="1">IF(D3867="","","Erreicht")</f>
        <v>Erreicht</v>
      </c>
      <c r="D3867" s="47" t="str">
        <f ca="1">IFERROR("Performance Level: "&amp;INDEX(Tab_DaBa[],MATCH(CONCATENATE(Liste!$C$3,$B$3671,$B$3841),Data!$BO:$BO,0)-2,5)&amp;"          PFH [1/h] = "&amp;10^9*INDEX(Tab_DaBa[],MATCH(CONCATENATE(Liste!$C$3,$B$3671,$B$3841),Data!$BO:$BO,0)-2,6)&amp;"E-9","")</f>
        <v>Performance Level: Pl_ges4_7          PFH [1/h] = 71,7E-9</v>
      </c>
    </row>
    <row r="3868" spans="2:9" s="16" customFormat="1"/>
    <row r="3869" spans="2:9" s="16" customFormat="1">
      <c r="B3869" s="42" t="str">
        <f ca="1">IFERROR(IF(8&gt;COUNTIF(Data!$BP:$BP,CONCATENATE(Liste!$C$3,$B$3671)),"",INDEX(Tab_DaBa[],MATCH(CONCATENATE(Liste!$C$3,$B$3671),Data!$BP:$BP,0)+5,3)),"")</f>
        <v>14.8 Test14 (E+8L+A)</v>
      </c>
    </row>
    <row r="3870" spans="2:9" s="16" customFormat="1"/>
    <row r="3871" spans="2:9" s="16" customFormat="1" ht="15.75">
      <c r="B3871" s="35" t="str">
        <f ca="1">IFERROR(INDEX(Tab_DaBa[],MATCH(CONCATENATE(Liste!$C$3,$B$3671,$B$3869),Data!$BO:$BO,0)-2,9),"")</f>
        <v>Eingang</v>
      </c>
      <c r="C3871" s="54"/>
      <c r="D3871" s="35" t="str">
        <f ca="1">IFERROR(IF(INDEX(Tab_DaBa[],MATCH(CONCATENATE(Liste!$C$3,$B$3671,$B$3869),Data!$BO:$BO,0)-2,18)=0,INDEX(Tab_DaBa[],MATCH(CONCATENATE(Liste!$C$3,$B$3671,$B$3869),Data!$BO:$BO,0)-2,14),INDEX(Tab_DaBa[],MATCH(CONCATENATE(Liste!$C$3,$B$3671,$B$3869),Data!$BO:$BO,0)-2,19)),"")</f>
        <v>Logik 01</v>
      </c>
      <c r="E3871" s="33"/>
      <c r="F3871" s="35" t="str">
        <f ca="1">IFERROR(IF(AND(INDEX(Tab_DaBa[],MATCH(CONCATENATE(Liste!$C$3,$B$3671,$B$3869),Data!$BO:$BO,0)-2,18)&lt;&gt;"",INDEX(Tab_DaBa[],MATCH(CONCATENATE(Liste!$C$3,$B$3671,$B$3869),Data!$BO:$BO,0)-2,23)=0),INDEX(Tab_DaBa[],MATCH(CONCATENATE(Liste!$C$3,$B$3671,$B$3869),Data!$BO:$BO,0)-2,14),IF(INDEX(Tab_DaBa[],MATCH(CONCATENATE(Liste!$C$3,$B$3671,$B$3869),Data!$BO:$BO,0)-2,23)&lt;&gt;"",INDEX(Tab_DaBa[],MATCH(CONCATENATE(Liste!$C$3,$B$3671,$B$3869),Data!$BO:$BO,0)-2,24),"")),"")</f>
        <v>Logik 02</v>
      </c>
      <c r="G3871" s="39"/>
      <c r="H3871" s="35" t="str">
        <f ca="1">IFERROR(IF(AND(INDEX(Tab_DaBa[],MATCH(CONCATENATE(Liste!$C$3,$B$3671,$B$3869),Data!$BO:$BO,0)-2,23)&lt;&gt;"",INDEX(Tab_DaBa[],MATCH(CONCATENATE(Liste!$C$3,$B$3671,$B$3869),Data!$BO:$BO,0)-2,28)=0),INDEX(Tab_DaBa[],MATCH(CONCATENATE(Liste!$C$3,$B$3671,$B$3869),Data!$BO:$BO,0)-2,14),IF(INDEX(Tab_DaBa[],MATCH(CONCATENATE(Liste!$C$3,$B$3671,$B$3869),Data!$BO:$BO,0)-2,23)&lt;&gt;"",INDEX(Tab_DaBa[],MATCH(CONCATENATE(Liste!$C$3,$B$3671,$B$3869),Data!$BO:$BO,0)-2,29),"")),"")</f>
        <v>Logik 03</v>
      </c>
      <c r="I3871" s="39"/>
    </row>
    <row r="3872" spans="2:9" s="16" customFormat="1" ht="15.75">
      <c r="B3872" s="35" t="str">
        <f ca="1">IFERROR(INDEX(Tab_DaBa[],MATCH(CONCATENATE(Liste!$C$3,$B$3671,$B$3869),Data!$BO:$BO,0)-2,7),"")</f>
        <v>eeee-33_8</v>
      </c>
      <c r="C3872" s="54"/>
      <c r="D3872" s="35" t="str">
        <f ca="1">IFERROR(IF(INDEX(Tab_DaBa[],MATCH(CONCATENATE(Liste!$C$3,$B$3671,$B$3869),Data!$BO:$BO,0)-2,18)="",INDEX(Tab_DaBa[],MATCH(CONCATENATE(Liste!$C$3,$B$3671,$B$3869),Data!$BO:$BO,0)-2,12),INDEX(Tab_DaBa[],MATCH(CONCATENATE(Liste!$C$3,$B$3671,$B$3869),Data!$BO:$BO,0)-2,17)),"")</f>
        <v>Log01-04_08</v>
      </c>
      <c r="E3872" s="36"/>
      <c r="F3872" s="35" t="str">
        <f ca="1">IFERROR(IF(AND(INDEX(Tab_DaBa[],MATCH(CONCATENATE(Liste!$C$3,$B$3671,$B$3869),Data!$BO:$BO,0)-2,18)&lt;&gt;"",INDEX(Tab_DaBa[],MATCH(CONCATENATE(Liste!$C$3,$B$3671,$B$3869),Data!$BO:$BO,0)-2,23)=0),INDEX(Tab_DaBa[],MATCH(CONCATENATE(Liste!$C$3,$B$3671,$B$3869),Data!$BO:$BO,0)-2,12),IF(INDEX(Tab_DaBa[],MATCH(CONCATENATE(Liste!$C$3,$B$3671,$B$3869),Data!$BO:$BO,0)-2,23)&lt;&gt;"",INDEX(Tab_DaBa[],MATCH(CONCATENATE(Liste!$C$3,$B$3671,$B$3869),Data!$BO:$BO,0)-2,22),"")),"")</f>
        <v>Lo04-04_08</v>
      </c>
      <c r="G3872" s="39"/>
      <c r="H3872" s="35" t="str">
        <f ca="1">IFERROR(IF(AND(INDEX(Tab_DaBa[],MATCH(CONCATENATE(Liste!$C$3,$B$3671,$B$3869),Data!$BO:$BO,0)-2,23)&lt;&gt;"",INDEX(Tab_DaBa[],MATCH(CONCATENATE(Liste!$C$3,$B$3671,$B$3869),Data!$BO:$BO,0)-2,28)=0),INDEX(Tab_DaBa[],MATCH(CONCATENATE(Liste!$C$3,$B$3671,$B$3869),Data!$BO:$BO,0)-2,12),IF(INDEX(Tab_DaBa[],MATCH(CONCATENATE(Liste!$C$3,$B$3671,$B$3869),Data!$BO:$BO,0)-2,23)&lt;&gt;"",INDEX(Tab_DaBa[],MATCH(CONCATENATE(Liste!$C$3,$B$3671,$B$3869),Data!$BO:$BO,0)-2,27),"")),"")</f>
        <v>Lo04-44_08</v>
      </c>
      <c r="I3872" s="39"/>
    </row>
    <row r="3873" spans="2:9" s="16" customFormat="1" ht="15.75">
      <c r="B3873" s="35" t="str">
        <f ca="1">IFERROR(INDEX(Tab_DaBa[],MATCH(CONCATENATE(Liste!$C$3,$B$3671,$B$3869),Data!$BO:$BO,0)-2,8),"")</f>
        <v>Bez_Ein4_8</v>
      </c>
      <c r="C3873" s="40">
        <f ca="1">IF(D3871="","",4)</f>
        <v>4</v>
      </c>
      <c r="D3873" s="35" t="str">
        <f ca="1">IFERROR(IF(INDEX(Tab_DaBa[],MATCH(CONCATENATE(Liste!$C$3,$B$3671,$B$3869),Data!$BO:$BO,0)-2,18)="",INDEX(Tab_DaBa[],MATCH(CONCATENATE(Liste!$C$3,$B$3671,$B$3869),Data!$BO:$BO,0)-2,13),INDEX(Tab_DaBa[],MATCH(CONCATENATE(Liste!$C$3,$B$3671,$B$3869),Data!$BO:$BO,0)-2,18)),"")</f>
        <v>Bez_Log01_04_08</v>
      </c>
      <c r="E3873" s="40">
        <f ca="1">IF(F3871="","",4)</f>
        <v>4</v>
      </c>
      <c r="F3873" s="35" t="str">
        <f ca="1">IFERROR(IF(AND(INDEX(Tab_DaBa[],MATCH(CONCATENATE(Liste!$C$3,$B$3671,$B$3869),Data!$BO:$BO,0)-2,18)&lt;&gt;"",INDEX(Tab_DaBa[],MATCH(CONCATENATE(Liste!$C$3,$B$3671,$B$3869),Data!$BO:$BO,0)-2,23)=""),INDEX(Tab_DaBa[],MATCH(CONCATENATE(Liste!$C$3,$B$3671,$B$3869),Data!$BO:$BO,0)-2,13),IF(INDEX(Tab_DaBa[],MATCH(CONCATENATE(Liste!$C$3,$B$3671,$B$3869),Data!$BO:$BO,0)-2,23)&lt;&gt;"",INDEX(Tab_DaBa[],MATCH(CONCATENATE(Liste!$C$3,$B$3671,$B$3869),Data!$BO:$BO,0)-2,23),"")),"")</f>
        <v>Bez_Lo04_08</v>
      </c>
      <c r="G3873" s="38">
        <f ca="1">IF(H3871="","",4)</f>
        <v>4</v>
      </c>
      <c r="H3873" s="35" t="str">
        <f ca="1">IFERROR(IF(AND(INDEX(Tab_DaBa[],MATCH(CONCATENATE(Liste!$C$3,$B$3671,$B$3869),Data!$BO:$BO,0)-2,23)&lt;&gt;"",INDEX(Tab_DaBa[],MATCH(CONCATENATE(Liste!$C$3,$B$3671,$B$3869),Data!$BO:$BO,0)-2,28)=""),INDEX(Tab_DaBa[],MATCH(CONCATENATE(Liste!$C$3,$B$3671,$B$3869),Data!$BO:$BO,0)-2,13),IF(INDEX(Tab_DaBa[],MATCH(CONCATENATE(Liste!$C$3,$B$3671,$B$3869),Data!$BO:$BO,0)-2,23)&lt;&gt;"",INDEX(Tab_DaBa[],MATCH(CONCATENATE(Liste!$C$3,$B$3671,$B$3869),Data!$BO:$BO,0)-2,28),"")),"")</f>
        <v>Bez_Lo04_08</v>
      </c>
      <c r="I3873" s="38">
        <f ca="1">IF(B3879="","",6)</f>
        <v>6</v>
      </c>
    </row>
    <row r="3874" spans="2:9" s="16" customFormat="1" ht="15.75">
      <c r="B3874" s="35" t="str">
        <f ca="1">IFERROR("Performance Level: "&amp;INDEX(Tab_DaBa[],MATCH(CONCATENATE(Liste!$C$3,$B$3671,$B$3869),Data!$BO:$BO,0)-2,10),"")</f>
        <v>Performance Level: PL_Ein4_8</v>
      </c>
      <c r="C3874" s="54"/>
      <c r="D3874" s="35" t="str">
        <f ca="1">IFERROR(IF(INDEX(Tab_DaBa[],MATCH(CONCATENATE(Liste!$C$3,$B$3671,$B$3869),Data!$BO:$BO,0)-2,18)="","Performance Level: "&amp;INDEX(Tab_DaBa[],MATCH(CONCATENATE(Liste!$C$3,$B$3671,$B$3869),Data!$BO:$BO,0)-2,15),"Performance Level: "&amp;INDEX(Tab_DaBa[],MATCH(CONCATENATE(Liste!$C$3,$B$3671,$B$3869),Data!$BO:$BO,0)-2,20)),"")</f>
        <v>Performance Level: PL_Log01_04_08</v>
      </c>
      <c r="E3874" s="36"/>
      <c r="F3874" s="35" t="str">
        <f ca="1">IFERROR(IF(AND(INDEX(Tab_DaBa[],MATCH(CONCATENATE(Liste!$C$3,$B$3671,$B$3869),Data!$BO:$BO,0)-2,18)&lt;&gt;"",INDEX(Tab_DaBa[],MATCH(CONCATENATE(Liste!$C$3,$B$3671,$B$3869),Data!$BO:$BO,0)-2,23)=""),"Performance Level: "&amp;INDEX(Tab_DaBa[],MATCH(CONCATENATE(Liste!$C$3,$B$3671,$B$3869),Data!$BO:$BO,0)-2,15),IF(INDEX(Tab_DaBa[],MATCH(CONCATENATE(Liste!$C$3,$B$3671,$B$3869),Data!$BO:$BO,0)-2,23)&lt;&gt;"","Performance Level: "&amp;INDEX(Tab_DaBa[],MATCH(CONCATENATE(Liste!$C$3,$B$3671,$B$3869),Data!$BO:$BO,0)-2,25),"")),"")</f>
        <v>Performance Level: PL_Lo04_08</v>
      </c>
      <c r="G3874" s="39"/>
      <c r="H3874" s="35" t="str">
        <f ca="1">IFERROR(IF(AND(INDEX(Tab_DaBa[],MATCH(CONCATENATE(Liste!$C$3,$B$3671,$B$3869),Data!$BO:$BO,0)-2,23)&lt;&gt;"",INDEX(Tab_DaBa[],MATCH(CONCATENATE(Liste!$C$3,$B$3671,$B$3869),Data!$BO:$BO,0)-2,28)=""),"Performance Level: "&amp;INDEX(Tab_DaBa[],MATCH(CONCATENATE(Liste!$C$3,$B$3671,$B$3869),Data!$BO:$BO,0)-2,15),IF(INDEX(Tab_DaBa[],MATCH(CONCATENATE(Liste!$C$3,$B$3671,$B$3869),Data!$BO:$BO,0)-2,23)&lt;&gt;"","Performance Level: "&amp;INDEX(Tab_DaBa[],MATCH(CONCATENATE(Liste!$C$3,$B$3671,$B$3869),Data!$BO:$BO,0)-2,30),"")),"")</f>
        <v>Performance Level: PL_Lo04_08</v>
      </c>
      <c r="I3874" s="38"/>
    </row>
    <row r="3875" spans="2:9" s="16" customFormat="1" ht="15.75">
      <c r="B3875" s="53" t="str">
        <f ca="1">IFERROR("PFH [1/h] = "&amp;10^9*INDEX(Tab_DaBa[],MATCH(CONCATENATE(Liste!$C$3,$B$3671,$B$3869),Data!$BO:$BO,0)-2,11)&amp;"E-9","")</f>
        <v>PFH [1/h] = 42,9E-9</v>
      </c>
      <c r="C3875" s="54"/>
      <c r="D3875" s="35" t="str">
        <f ca="1">IFERROR(IF(INDEX(Tab_DaBa[],MATCH(CONCATENATE(Liste!$C$3,$B$3671,$B$3869),Data!$BO:$BO,0)-2,18)="","PFH [1/h] = "&amp;10^9*INDEX(Tab_DaBa[],MATCH(CONCATENATE(Liste!$C$3,$B$3671,$B$3869),Data!$BO:$BO,0)-2,16)&amp;"E-9","PFH [1/h] = "&amp;10^9*INDEX(Tab_DaBa[],MATCH(CONCATENATE(Liste!$C$3,$B$3671,$B$3869),Data!$BO:$BO,0)-2,21)&amp;"E-9"),"")</f>
        <v>PFH [1/h] = 4,19E-9</v>
      </c>
      <c r="E3875" s="36"/>
      <c r="F3875" s="35" t="str">
        <f ca="1">IFERROR(IF(AND(INDEX(Tab_DaBa[],MATCH(CONCATENATE(Liste!$C$3,$B$3671,$B$3869),Data!$BO:$BO,0)-2,18)&lt;&gt;"",INDEX(Tab_DaBa[],MATCH(CONCATENATE(Liste!$C$3,$B$3671,$B$3869),Data!$BO:$BO,0)-2,23)=""),"PFH [1/h] = "&amp;10^9*INDEX(Tab_DaBa[],MATCH(CONCATENATE(Liste!$C$3,$B$3671,$B$3869),Data!$BO:$BO,0)-2,16)&amp;"E-9",IF(INDEX(Tab_DaBa[],MATCH(CONCATENATE(Liste!$C$3,$B$3671,$B$3869),Data!$BO:$BO,0)-2,23)&lt;&gt;"","PFH [1/h] = "&amp;10^9*INDEX(Tab_DaBa[],MATCH(CONCATENATE(Liste!$C$3,$B$3671,$B$3869),Data!$BO:$BO,0)-2,26)&amp;"E-9","")),"")</f>
        <v>PFH [1/h] = 4,19E-9</v>
      </c>
      <c r="G3875" s="39"/>
      <c r="H3875" s="35" t="str">
        <f ca="1">IFERROR(IF(AND(INDEX(Tab_DaBa[],MATCH(CONCATENATE(Liste!$C$3,$B$3671,$B$3869),Data!$BO:$BO,0)-2,23)&lt;&gt;"",INDEX(Tab_DaBa[],MATCH(CONCATENATE(Liste!$C$3,$B$3671,$B$3869),Data!$BO:$BO,0)-2,28)=""),"PFH [1/h] = "&amp;10^9*INDEX(Tab_DaBa[],MATCH(CONCATENATE(Liste!$C$3,$B$3671,$B$3869),Data!$BO:$BO,0)-2,16)&amp;"E-9",IF(INDEX(Tab_DaBa[],MATCH(CONCATENATE(Liste!$C$3,$B$3671,$B$3869),Data!$BO:$BO,0)-2,23)&lt;&gt;"","PFH [1/h] = "&amp;10^9*INDEX(Tab_DaBa[],MATCH(CONCATENATE(Liste!$C$3,$B$3671,$B$3869),Data!$BO:$BO,0)-2,31)&amp;"E-9","")),"")</f>
        <v>PFH [1/h] = 4,19E-9</v>
      </c>
      <c r="I3875" s="39"/>
    </row>
    <row r="3876" spans="2:9" s="16" customFormat="1">
      <c r="B3876" s="33"/>
      <c r="C3876" s="34"/>
      <c r="D3876" s="33"/>
      <c r="E3876" s="33"/>
      <c r="F3876" s="33"/>
      <c r="G3876" s="33"/>
      <c r="H3876" s="33"/>
      <c r="I3876" s="33"/>
    </row>
    <row r="3877" spans="2:9" s="16" customFormat="1" ht="15.75">
      <c r="B3877" s="38">
        <f ca="1">IF(B3879="","",6)</f>
        <v>6</v>
      </c>
      <c r="C3877" s="34"/>
      <c r="D3877" s="38">
        <f ca="1">IF(B3879="","",3)</f>
        <v>3</v>
      </c>
      <c r="E3877" s="33"/>
      <c r="F3877" s="38">
        <f ca="1">IF(B3879="","",3)</f>
        <v>3</v>
      </c>
      <c r="G3877" s="33"/>
      <c r="H3877" s="38">
        <f ca="1">IF(B3879="","",3)</f>
        <v>3</v>
      </c>
      <c r="I3877" s="33"/>
    </row>
    <row r="3878" spans="2:9" s="16" customFormat="1" ht="15.75">
      <c r="B3878" s="39"/>
      <c r="C3878" s="33"/>
      <c r="D3878" s="33"/>
      <c r="E3878" s="33"/>
      <c r="F3878" s="33"/>
      <c r="G3878" s="33"/>
      <c r="H3878" s="33"/>
      <c r="I3878" s="33"/>
    </row>
    <row r="3879" spans="2:9" s="16" customFormat="1" ht="15.75">
      <c r="B3879" s="35" t="str">
        <f ca="1">IFERROR(IF(AND(INDEX(Tab_DaBa[],MATCH(CONCATENATE(Liste!$C$3,$B$3671,$B$3869),Data!$BO:$BO,0)-2,28)&lt;&gt;"",INDEX(Tab_DaBa[],MATCH(CONCATENATE(Liste!$C$3,$B$3671,$B$3869),Data!$BO:$BO,0)-2,33)=0),INDEX(Tab_DaBa[],MATCH(CONCATENATE(Liste!$C$3,$B$3671,$B$3869),Data!$BO:$BO,0)-2,14),IF(INDEX(Tab_DaBa[],MATCH(CONCATENATE(Liste!$C$3,$B$3671,$B$3869),Data!$BO:$BO,0)-2,28)&lt;&gt;"",INDEX(Tab_DaBa[],MATCH(CONCATENATE(Liste!$C$3,$B$3671,$B$3869),Data!$BO:$BO,0)-2,34),"")),"")</f>
        <v>Logik 04</v>
      </c>
      <c r="C3879" s="39"/>
      <c r="D3879" s="35" t="str">
        <f ca="1">IFERROR(IF(AND(INDEX(Tab_DaBa[],MATCH(CONCATENATE(Liste!$C$3,$B$3671,$B$3869),Data!$BO:$BO,0)-2,33)&lt;&gt;"",INDEX(Tab_DaBa[],MATCH(CONCATENATE(Liste!$C$3,$B$3671,$B$3869),Data!$BO:$BO,0)-2,38)=0),INDEX(Tab_DaBa[],MATCH(CONCATENATE(Liste!$C$3,$B$3671,$B$3869),Data!$BO:$BO,0)-2,14),IF(INDEX(Tab_DaBa[],MATCH(CONCATENATE(Liste!$C$3,$B$3671,$B$3869),Data!$BO:$BO,0)-2,33)&lt;&gt;"",INDEX(Tab_DaBa[],MATCH(CONCATENATE(Liste!$C$3,$B$3671,$B$3869),Data!$BO:$BO,0)-2,39),"")),"")</f>
        <v>Logik 06</v>
      </c>
      <c r="E3879" s="33"/>
      <c r="F3879" s="35" t="str">
        <f ca="1">IFERROR(IF(AND(INDEX(Tab_DaBa[],MATCH(CONCATENATE(Liste!$C$3,$B$3671,$B$3869),Data!$BO:$BO,0)-2,38)&lt;&gt;"",INDEX(Tab_DaBa[],MATCH(CONCATENATE(Liste!$C$3,$B$3671,$B$3869),Data!$BO:$BO,0)-2,43)=0),INDEX(Tab_DaBa[],MATCH(CONCATENATE(Liste!$C$3,$B$3671,$B$3869),Data!$BO:$BO,0)-2,14),IF(INDEX(Tab_DaBa[],MATCH(CONCATENATE(Liste!$C$3,$B$3671,$B$3869),Data!$BO:$BO,0)-2,38)&lt;&gt;"",INDEX(Tab_DaBa[],MATCH(CONCATENATE(Liste!$C$3,$B$3671,$B$3869),Data!$BO:$BO,0)-2,44),"")),"")</f>
        <v>Logik 06</v>
      </c>
      <c r="G3879" s="39"/>
      <c r="H3879" s="35" t="str">
        <f ca="1">IFERROR(IF(AND(INDEX(Tab_DaBa[],MATCH(CONCATENATE(Liste!$C$3,$B$3671,$B$3869),Data!$BO:$BO,0)-2,43)&lt;&gt;"",INDEX(Tab_DaBa[],MATCH(CONCATENATE(Liste!$C$3,$B$3671,$B$3869),Data!$BO:$BO,0)-2,48)=0),INDEX(Tab_DaBa[],MATCH(CONCATENATE(Liste!$C$3,$B$3671,$B$3869),Data!$BO:$BO,0)-2,14),IF(INDEX(Tab_DaBa[],MATCH(CONCATENATE(Liste!$C$3,$B$3671,$B$3869),Data!$BO:$BO,0)-2,43)&lt;&gt;"",INDEX(Tab_DaBa[],MATCH(CONCATENATE(Liste!$C$3,$B$3671,$B$3869),Data!$BO:$BO,0)-2,49),"")),"")</f>
        <v>Logik 07</v>
      </c>
      <c r="I3879" s="39"/>
    </row>
    <row r="3880" spans="2:9" s="16" customFormat="1" ht="15.75">
      <c r="B3880" s="35" t="str">
        <f ca="1">IFERROR(IF(AND(INDEX(Tab_DaBa[],MATCH(CONCATENATE(Liste!$C$3,$B$3671,$B$3869),Data!$BO:$BO,0)-2,28)&lt;&gt;"",INDEX(Tab_DaBa[],MATCH(CONCATENATE(Liste!$C$3,$B$3671,$B$3869),Data!$BO:$BO,0)-2,33)=0),INDEX(Tab_DaBa[],MATCH(CONCATENATE(Liste!$C$3,$B$3671,$B$3869),Data!$BO:$BO,0)-2,12),IF(INDEX(Tab_DaBa[],MATCH(CONCATENATE(Liste!$C$3,$B$3671,$B$3869),Data!$BO:$BO,0)-2,28)&lt;&gt;"",INDEX(Tab_DaBa[],MATCH(CONCATENATE(Liste!$C$3,$B$3671,$B$3869),Data!$BO:$BO,0)-2,32),"")),"")</f>
        <v>Lo04-44_08</v>
      </c>
      <c r="C3880" s="39"/>
      <c r="D3880" s="35" t="str">
        <f ca="1">IFERROR(IF(AND(INDEX(Tab_DaBa[],MATCH(CONCATENATE(Liste!$C$3,$B$3671,$B$3869),Data!$BO:$BO,0)-2,33)&lt;&gt;"",INDEX(Tab_DaBa[],MATCH(CONCATENATE(Liste!$C$3,$B$3671,$B$3869),Data!$BO:$BO,0)-2,38)=0),INDEX(Tab_DaBa[],MATCH(CONCATENATE(Liste!$C$3,$B$3671,$B$3869),Data!$BO:$BO,0)-2,12),IF(INDEX(Tab_DaBa[],MATCH(CONCATENATE(Liste!$C$3,$B$3671,$B$3869),Data!$BO:$BO,0)-2,33)&lt;&gt;"",INDEX(Tab_DaBa[],MATCH(CONCATENATE(Liste!$C$3,$B$3671,$B$3869),Data!$BO:$BO,0)-2,37),"")),"")</f>
        <v>Lo04-44_08</v>
      </c>
      <c r="E3880" s="37"/>
      <c r="F3880" s="35" t="str">
        <f ca="1">IFERROR(IF(AND(INDEX(Tab_DaBa[],MATCH(CONCATENATE(Liste!$C$3,$B$3671,$B$3869),Data!$BO:$BO,0)-2,38)&lt;&gt;"",INDEX(Tab_DaBa[],MATCH(CONCATENATE(Liste!$C$3,$B$3671,$B$3869),Data!$BO:$BO,0)-2,43)=0),INDEX(Tab_DaBa[],MATCH(CONCATENATE(Liste!$C$3,$B$3671,$B$3869),Data!$BO:$BO,0)-2,12),IF(INDEX(Tab_DaBa[],MATCH(CONCATENATE(Liste!$C$3,$B$3671,$B$3869),Data!$BO:$BO,0)-2,38)&lt;&gt;"",INDEX(Tab_DaBa[],MATCH(CONCATENATE(Liste!$C$3,$B$3671,$B$3869),Data!$BO:$BO,0)-2,42),"")),"")</f>
        <v>Lo03-33_08</v>
      </c>
      <c r="G3880" s="39"/>
      <c r="H3880" s="35" t="str">
        <f ca="1">IFERROR(IF(AND(INDEX(Tab_DaBa[],MATCH(CONCATENATE(Liste!$C$3,$B$3671,$B$3869),Data!$BO:$BO,0)-2,43)&lt;&gt;"",INDEX(Tab_DaBa[],MATCH(CONCATENATE(Liste!$C$3,$B$3671,$B$3869),Data!$BO:$BO,0)-2,48)=0),INDEX(Tab_DaBa[],MATCH(CONCATENATE(Liste!$C$3,$B$3671,$B$3869),Data!$BO:$BO,0)-2,12),IF(INDEX(Tab_DaBa[],MATCH(CONCATENATE(Liste!$C$3,$B$3671,$B$3869),Data!$BO:$BO,0)-2,43)&lt;&gt;"",INDEX(Tab_DaBa[],MATCH(CONCATENATE(Liste!$C$3,$B$3671,$B$3869),Data!$BO:$BO,0)-2,47),"")),"")</f>
        <v>Lo03-33_08</v>
      </c>
      <c r="I3880" s="39"/>
    </row>
    <row r="3881" spans="2:9" s="16" customFormat="1" ht="15.75">
      <c r="B3881" s="35" t="str">
        <f ca="1">IFERROR(IF(AND(INDEX(Tab_DaBa[],MATCH(CONCATENATE(Liste!$C$3,$B$3671,$B$3869),Data!$BO:$BO,0)-2,28)&lt;&gt;"",INDEX(Tab_DaBa[],MATCH(CONCATENATE(Liste!$C$3,$B$3671,$B$3869),Data!$BO:$BO,0)-2,33)=""),INDEX(Tab_DaBa[],MATCH(CONCATENATE(Liste!$C$3,$B$3671,$B$3869),Data!$BO:$BO,0)-2,13),IF(INDEX(Tab_DaBa[],MATCH(CONCATENATE(Liste!$C$3,$B$3671,$B$3869),Data!$BO:$BO,0)-2,28)&lt;&gt;"",INDEX(Tab_DaBa[],MATCH(CONCATENATE(Liste!$C$3,$B$3671,$B$3869),Data!$BO:$BO,0)-2,33),"")),"")</f>
        <v>Bez_Lo04_08</v>
      </c>
      <c r="C3881" s="38">
        <f ca="1">IF(D3879="","",4)</f>
        <v>4</v>
      </c>
      <c r="D3881" s="35" t="str">
        <f ca="1">IFERROR(IF(AND(INDEX(Tab_DaBa[],MATCH(CONCATENATE(Liste!$C$3,$B$3671,$B$3869),Data!$BO:$BO,0)-2,33)&lt;&gt;"",INDEX(Tab_DaBa[],MATCH(CONCATENATE(Liste!$C$3,$B$3671,$B$3869),Data!$BO:$BO,0)-2,38)=""),INDEX(Tab_DaBa[],MATCH(CONCATENATE(Liste!$C$3,$B$3671,$B$3869),Data!$BO:$BO,0)-2,13),IF(INDEX(Tab_DaBa[],MATCH(CONCATENATE(Liste!$C$3,$B$3671,$B$3869),Data!$BO:$BO,0)-2,33)&lt;&gt;"",INDEX(Tab_DaBa[],MATCH(CONCATENATE(Liste!$C$3,$B$3671,$B$3869),Data!$BO:$BO,0)-2,38),"")),"")</f>
        <v>Bez_Lo03_08</v>
      </c>
      <c r="E3881" s="38">
        <f ca="1">IF(F3879="","",4)</f>
        <v>4</v>
      </c>
      <c r="F3881" s="35" t="str">
        <f ca="1">IFERROR(IF(AND(INDEX(Tab_DaBa[],MATCH(CONCATENATE(Liste!$C$3,$B$3671,$B$3869),Data!$BO:$BO,0)-2,38)&lt;&gt;"",INDEX(Tab_DaBa[],MATCH(CONCATENATE(Liste!$C$3,$B$3671,$B$3869),Data!$BO:$BO,0)-2,43)=""),INDEX(Tab_DaBa[],MATCH(CONCATENATE(Liste!$C$3,$B$3671,$B$3869),Data!$BO:$BO,0)-2,13),IF(INDEX(Tab_DaBa[],MATCH(CONCATENATE(Liste!$C$3,$B$3671,$B$3869),Data!$BO:$BO,0)-2,38)&lt;&gt;"",INDEX(Tab_DaBa[],MATCH(CONCATENATE(Liste!$C$3,$B$3671,$B$3869),Data!$BO:$BO,0)-2,43),"")),"")</f>
        <v>Bez_Lo03_08</v>
      </c>
      <c r="G3881" s="38">
        <f ca="1">IF(H3879="","",4)</f>
        <v>4</v>
      </c>
      <c r="H3881" s="35" t="str">
        <f ca="1">IFERROR(IF(AND(INDEX(Tab_DaBa[],MATCH(CONCATENATE(Liste!$C$3,$B$3671,$B$3869),Data!$BO:$BO,0)-2,43)&lt;&gt;"",INDEX(Tab_DaBa[],MATCH(CONCATENATE(Liste!$C$3,$B$3671,$B$3869),Data!$BO:$BO,0)-2,48)=""),INDEX(Tab_DaBa[],MATCH(CONCATENATE(Liste!$C$3,$B$3671,$B$3869),Data!$BO:$BO,0)-2,13),IF(INDEX(Tab_DaBa[],MATCH(CONCATENATE(Liste!$C$3,$B$3671,$B$3869),Data!$BO:$BO,0)-2,43)&lt;&gt;"",INDEX(Tab_DaBa[],MATCH(CONCATENATE(Liste!$C$3,$B$3671,$B$3869),Data!$BO:$BO,0)-2,48),"")),"")</f>
        <v>Bez_Lo03_08</v>
      </c>
      <c r="I3881" s="38">
        <f ca="1">IF(B3887="","",6)</f>
        <v>6</v>
      </c>
    </row>
    <row r="3882" spans="2:9" s="16" customFormat="1" ht="15.75">
      <c r="B3882" s="35" t="str">
        <f ca="1">IFERROR(IF(AND(INDEX(Tab_DaBa[],MATCH(CONCATENATE(Liste!$C$3,$B$3671,$B$3869),Data!$BO:$BO,0)-2,28)&lt;&gt;"",INDEX(Tab_DaBa[],MATCH(CONCATENATE(Liste!$C$3,$B$3671,$B$3869),Data!$BO:$BO,0)-2,33)=""),"Performance Level: "&amp;INDEX(Tab_DaBa[],MATCH(CONCATENATE(Liste!$C$3,$B$3671,$B$3869),Data!$BO:$BO,0)-2,15),IF(INDEX(Tab_DaBa[],MATCH(CONCATENATE(Liste!$C$3,$B$3671,$B$3869),Data!$BO:$BO,0)-2,28)&lt;&gt;"","Performance Level: "&amp;INDEX(Tab_DaBa[],MATCH(CONCATENATE(Liste!$C$3,$B$3671,$B$3869),Data!$BO:$BO,0)-2,35),"")),"")</f>
        <v>Performance Level: PL_Lo04_08</v>
      </c>
      <c r="C3882" s="39"/>
      <c r="D3882" s="35" t="str">
        <f ca="1">IFERROR(IF(AND(INDEX(Tab_DaBa[],MATCH(CONCATENATE(Liste!$C$3,$B$3671,$B$3869),Data!$BO:$BO,0)-2,33)&lt;&gt;"",INDEX(Tab_DaBa[],MATCH(CONCATENATE(Liste!$C$3,$B$3671,$B$3869),Data!$BO:$BO,0)-2,38)=""),"Performance Level: "&amp;INDEX(Tab_DaBa[],MATCH(CONCATENATE(Liste!$C$3,$B$3671,$B$3869),Data!$BO:$BO,0)-2,15),IF(INDEX(Tab_DaBa[],MATCH(CONCATENATE(Liste!$C$3,$B$3671,$B$3869),Data!$BO:$BO,0)-2,33)&lt;&gt;"","Performance Level: "&amp;INDEX(Tab_DaBa[],MATCH(CONCATENATE(Liste!$C$3,$B$3671,$B$3869),Data!$BO:$BO,0)-2,40),"")),"")</f>
        <v>Performance Level: PL_Lo03_8</v>
      </c>
      <c r="E3882" s="37"/>
      <c r="F3882" s="35" t="str">
        <f ca="1">IFERROR(IF(AND(INDEX(Tab_DaBa[],MATCH(CONCATENATE(Liste!$C$3,$B$3671,$B$3869),Data!$BO:$BO,0)-2,38)&lt;&gt;"",INDEX(Tab_DaBa[],MATCH(CONCATENATE(Liste!$C$3,$B$3671,$B$3869),Data!$BO:$BO,0)-2,43)=""),"Performance Level: "&amp;INDEX(Tab_DaBa[],MATCH(CONCATENATE(Liste!$C$3,$B$3671,$B$3869),Data!$BO:$BO,0)-2,15),IF(INDEX(Tab_DaBa[],MATCH(CONCATENATE(Liste!$C$3,$B$3671,$B$3869),Data!$BO:$BO,0)-2,38)&lt;&gt;"","Performance Level: "&amp;INDEX(Tab_DaBa[],MATCH(CONCATENATE(Liste!$C$3,$B$3671,$B$3869),Data!$BO:$BO,0)-2,45),"")),"")</f>
        <v>Performance Level: PL_Lo03_08</v>
      </c>
      <c r="G3882" s="39"/>
      <c r="H3882" s="35" t="str">
        <f ca="1">IFERROR(IF(AND(INDEX(Tab_DaBa[],MATCH(CONCATENATE(Liste!$C$3,$B$3671,$B$3869),Data!$BO:$BO,0)-2,43)&lt;&gt;"",INDEX(Tab_DaBa[],MATCH(CONCATENATE(Liste!$C$3,$B$3671,$B$3869),Data!$BO:$BO,0)-2,48)=""),"Performance Level: "&amp;INDEX(Tab_DaBa[],MATCH(CONCATENATE(Liste!$C$3,$B$3671,$B$3869),Data!$BO:$BO,0)-2,15),IF(INDEX(Tab_DaBa[],MATCH(CONCATENATE(Liste!$C$3,$B$3671,$B$3869),Data!$BO:$BO,0)-2,43)&lt;&gt;"","Performance Level: "&amp;INDEX(Tab_DaBa[],MATCH(CONCATENATE(Liste!$C$3,$B$3671,$B$3869),Data!$BO:$BO,0)-2,50),"")),"")</f>
        <v>Performance Level: PL_Lo03_08</v>
      </c>
      <c r="I3882" s="39"/>
    </row>
    <row r="3883" spans="2:9" s="16" customFormat="1" ht="15.75">
      <c r="B3883" s="35" t="str">
        <f ca="1">IFERROR(IF(AND(INDEX(Tab_DaBa[],MATCH(CONCATENATE(Liste!$C$3,$B$3671,$B$3869),Data!$BO:$BO,0)-2,28)&lt;&gt;"",INDEX(Tab_DaBa[],MATCH(CONCATENATE(Liste!$C$3,$B$3671,$B$3869),Data!$BO:$BO,0)-2,33)=""),"PFH [1/h] = "&amp;10^9*INDEX(Tab_DaBa[],MATCH(CONCATENATE(Liste!$C$3,$B$3671,$B$3869),Data!$BO:$BO,0)-2,16)&amp;"E-9",IF(INDEX(Tab_DaBa[],MATCH(CONCATENATE(Liste!$C$3,$B$3671,$B$3869),Data!$BO:$BO,0)-2,28)&lt;&gt;"","PFH [1/h] = "&amp;10^9*INDEX(Tab_DaBa[],MATCH(CONCATENATE(Liste!$C$3,$B$3671,$B$3869),Data!$BO:$BO,0)-2,36)&amp;"E-9","")),"")</f>
        <v>PFH [1/h] = 4,19E-9</v>
      </c>
      <c r="C3883" s="39"/>
      <c r="D3883" s="35" t="str">
        <f ca="1">IFERROR(IF(AND(INDEX(Tab_DaBa[],MATCH(CONCATENATE(Liste!$C$3,$B$3671,$B$3869),Data!$BO:$BO,0)-2,33)&lt;&gt;"",INDEX(Tab_DaBa[],MATCH(CONCATENATE(Liste!$C$3,$B$3671,$B$3869),Data!$BO:$BO,0)-2,38)=""),"PFH [1/h] = "&amp;10^9*INDEX(Tab_DaBa[],MATCH(CONCATENATE(Liste!$C$3,$B$3671,$B$3869),Data!$BO:$BO,0)-2,16)&amp;"E-9",IF(INDEX(Tab_DaBa[],MATCH(CONCATENATE(Liste!$C$3,$B$3671,$B$3869),Data!$BO:$BO,0)-2,33)&lt;&gt;"","PFH [1/h] = "&amp;10^9*INDEX(Tab_DaBa[],MATCH(CONCATENATE(Liste!$C$3,$B$3671,$B$3869),Data!$BO:$BO,0)-2,41)&amp;"E-9","")),"")</f>
        <v>PFH [1/h] = 4,19E-9</v>
      </c>
      <c r="E3883" s="37"/>
      <c r="F3883" s="35" t="str">
        <f ca="1">IFERROR(IF(AND(INDEX(Tab_DaBa[],MATCH(CONCATENATE(Liste!$C$3,$B$3671,$B$3869),Data!$BO:$BO,0)-2,38)&lt;&gt;"",INDEX(Tab_DaBa[],MATCH(CONCATENATE(Liste!$C$3,$B$3671,$B$3869),Data!$BO:$BO,0)-2,43)=""),"PFH [1/h] = "&amp;10^9*INDEX(Tab_DaBa[],MATCH(CONCATENATE(Liste!$C$3,$B$3671,$B$3869),Data!$BO:$BO,0)-2,16)&amp;"E-9",IF(INDEX(Tab_DaBa[],MATCH(CONCATENATE(Liste!$C$3,$B$3671,$B$3869),Data!$BO:$BO,0)-2,38)&lt;&gt;"","PFH [1/h] = "&amp;10^9*INDEX(Tab_DaBa[],MATCH(CONCATENATE(Liste!$C$3,$B$3671,$B$3869),Data!$BO:$BO,0)-2,46)&amp;"E-9","")),"")</f>
        <v>PFH [1/h] = 4,19E-9</v>
      </c>
      <c r="G3883" s="39"/>
      <c r="H3883" s="35" t="str">
        <f ca="1">IFERROR(IF(AND(INDEX(Tab_DaBa[],MATCH(CONCATENATE(Liste!$C$3,$B$3671,$B$3869),Data!$BO:$BO,0)-2,43)&lt;&gt;"",INDEX(Tab_DaBa[],MATCH(CONCATENATE(Liste!$C$3,$B$3671,$B$3869),Data!$BO:$BO,0)-2,48)=""),"PFH [1/h] = "&amp;10^9*INDEX(Tab_DaBa[],MATCH(CONCATENATE(Liste!$C$3,$B$3671,$B$3869),Data!$BO:$BO,0)-2,16)&amp;"E-9",IF(INDEX(Tab_DaBa[],MATCH(CONCATENATE(Liste!$C$3,$B$3671,$B$3869),Data!$BO:$BO,0)-2,43)&lt;&gt;"","PFH [1/h] = "&amp;10^9*INDEX(Tab_DaBa[],MATCH(CONCATENATE(Liste!$C$3,$B$3671,$B$3869),Data!$BO:$BO,0)-2,51)&amp;"E-9","")),"")</f>
        <v>PFH [1/h] = 4,19E-9</v>
      </c>
      <c r="I3883" s="39"/>
    </row>
    <row r="3884" spans="2:9" s="16" customFormat="1">
      <c r="B3884" s="33"/>
      <c r="C3884" s="33"/>
      <c r="D3884" s="33"/>
      <c r="E3884" s="33"/>
      <c r="F3884" s="33"/>
      <c r="G3884" s="33"/>
      <c r="H3884" s="33"/>
      <c r="I3884" s="33"/>
    </row>
    <row r="3885" spans="2:9" s="16" customFormat="1" ht="15.75">
      <c r="B3885" s="38">
        <f ca="1">IF(B3887="","",6)</f>
        <v>6</v>
      </c>
      <c r="C3885" s="33"/>
      <c r="D3885" s="38">
        <f ca="1">IF(B3887="","",3)</f>
        <v>3</v>
      </c>
      <c r="E3885" s="33"/>
      <c r="F3885" s="38">
        <f ca="1">IF(B3887="","",3)</f>
        <v>3</v>
      </c>
      <c r="G3885" s="33"/>
      <c r="H3885" s="38">
        <f ca="1">IF(B3887="","",3)</f>
        <v>3</v>
      </c>
      <c r="I3885" s="33"/>
    </row>
    <row r="3886" spans="2:9" s="16" customFormat="1" ht="15.75">
      <c r="B3886" s="39"/>
      <c r="C3886" s="33"/>
      <c r="D3886" s="33"/>
      <c r="E3886" s="33"/>
      <c r="F3886" s="33"/>
      <c r="G3886" s="33"/>
      <c r="H3886" s="33"/>
      <c r="I3886" s="33"/>
    </row>
    <row r="3887" spans="2:9" s="16" customFormat="1" ht="15.75">
      <c r="B3887" s="35" t="str">
        <f ca="1">IFERROR(IF(AND(INDEX(Tab_DaBa[],MATCH(CONCATENATE(Liste!$C$3,$B$3671,$B$3869),Data!$BO:$BO,0)-2,48)&lt;&gt;"",INDEX(Tab_DaBa[],MATCH(CONCATENATE(Liste!$C$3,$B$3671,$B$3869),Data!$BO:$BO,0)-2,53)=0),INDEX(Tab_DaBa[],MATCH(CONCATENATE(Liste!$C$3,$B$3671,$B$3869),Data!$BO:$BO,0)-2,14),IF(INDEX(Tab_DaBa[],MATCH(CONCATENATE(Liste!$C$3,$B$3671,$B$3869),Data!$BO:$BO,0)-2,48)&lt;&gt;"",INDEX(Tab_DaBa[],MATCH(CONCATENATE(Liste!$C$3,$B$3671,$B$3869),Data!$BO:$BO,0)-2,54),"")),"")</f>
        <v>Logik 08</v>
      </c>
      <c r="C3887" s="39"/>
      <c r="D3887" s="35" t="str">
        <f ca="1">IFERROR(IF(AND(INDEX(Tab_DaBa[],MATCH(CONCATENATE(Liste!$C$3,$B$3671,$B$3869),Data!$BO:$BO,0)-2,53)&lt;&gt;"",INDEX(Tab_DaBa[],MATCH(CONCATENATE(Liste!$C$3,$B$3671,$B$3869),Data!$BO:$BO,0)-2,58)=0),INDEX(Tab_DaBa[],MATCH(CONCATENATE(Liste!$C$3,$B$3671,$B$3869),Data!$BO:$BO,0)-2,14),IF(INDEX(Tab_DaBa[],MATCH(CONCATENATE(Liste!$C$3,$B$3671,$B$3869),Data!$BO:$BO,0)-2,53)&lt;&gt;"",INDEX(Tab_DaBa[],MATCH(CONCATENATE(Liste!$C$3,$B$3671,$B$3869),Data!$BO:$BO,0)-2,59),"")),"")</f>
        <v>Ausgang</v>
      </c>
      <c r="E3887" s="33"/>
      <c r="F3887" s="35" t="str">
        <f ca="1">IFERROR(IF(AND(INDEX(Tab_DaBa[],MATCH(CONCATENATE(Liste!$C$3,$B$3671,$B$3869),Data!$BO:$BO,0)-2,58)&lt;&gt;"",INDEX(Tab_DaBa[],MATCH(CONCATENATE(Liste!$C$3,$B$3671,$B$3869),Data!$BO:$BO,0)-2,63)=0),INDEX(Tab_DaBa[],MATCH(CONCATENATE(Liste!$C$3,$B$3671,$B$3869),Data!$BO:$BO,0)-2,14),IF(INDEX(Tab_DaBa[],MATCH(CONCATENATE(Liste!$C$3,$B$3671,$B$3869),Data!$BO:$BO,0)-2,58)&lt;&gt;"",INDEX(Tab_DaBa[],MATCH(CONCATENATE(Liste!$C$3,$B$3671,$B$3869),Data!$BO:$BO,0)-2,64),"")),"")</f>
        <v/>
      </c>
      <c r="G3887" s="39"/>
      <c r="H3887" s="35" t="str">
        <f ca="1">IFERROR(IF(INDEX(Tab_DaBa[],MATCH(CONCATENATE(Liste!$C$3,$B$3671,$B$3869),Data!$BO:$BO,0)-2,63)&lt;&gt;"",INDEX(Tab_DaBa[],MATCH(CONCATENATE(Liste!$C$3,$B$3671,$B$3869),Data!$BO:$BO,0)-2,14),""),"")</f>
        <v/>
      </c>
    </row>
    <row r="3888" spans="2:9" s="16" customFormat="1" ht="15.75">
      <c r="B3888" s="35" t="str">
        <f ca="1">IFERROR(IF(AND(INDEX(Tab_DaBa[],MATCH(CONCATENATE(Liste!$C$3,$B$3671,$B$3869),Data!$BO:$BO,0)-2,48)&lt;&gt;"",INDEX(Tab_DaBa[],MATCH(CONCATENATE(Liste!$C$3,$B$3671,$B$3869),Data!$BO:$BO,0)-2,53)=0),INDEX(Tab_DaBa[],MATCH(CONCATENATE(Liste!$C$3,$B$3671,$B$3869),Data!$BO:$BO,0)-2,12),IF(INDEX(Tab_DaBa[],MATCH(CONCATENATE(Liste!$C$3,$B$3671,$B$3869),Data!$BO:$BO,0)-2,48)&lt;&gt;"",INDEX(Tab_DaBa[],MATCH(CONCATENATE(Liste!$C$3,$B$3671,$B$3869),Data!$BO:$BO,0)-2,52),"")),"")</f>
        <v>Lo03-88_08</v>
      </c>
      <c r="C3888" s="39"/>
      <c r="D3888" s="35" t="str">
        <f ca="1">IFERROR(IF(AND(INDEX(Tab_DaBa[],MATCH(CONCATENATE(Liste!$C$3,$B$3671,$B$3869),Data!$BO:$BO,0)-2,53)&lt;&gt;"",INDEX(Tab_DaBa[],MATCH(CONCATENATE(Liste!$C$3,$B$3671,$B$3869),Data!$BO:$BO,0)-2,58)=0),INDEX(Tab_DaBa[],MATCH(CONCATENATE(Liste!$C$3,$B$3671,$B$3869),Data!$BO:$BO,0)-2,12),IF(INDEX(Tab_DaBa[],MATCH(CONCATENATE(Liste!$C$3,$B$3671,$B$3869),Data!$BO:$BO,0)-2,53)&lt;&gt;"",INDEX(Tab_DaBa[],MATCH(CONCATENATE(Liste!$C$3,$B$3671,$B$3869),Data!$BO:$BO,0)-2,57),"")),"")</f>
        <v>aaaa-44_8</v>
      </c>
      <c r="E3888" s="37"/>
      <c r="F3888" s="35" t="str">
        <f ca="1">IFERROR(IF(AND(INDEX(Tab_DaBa[],MATCH(CONCATENATE(Liste!$C$3,$B$3671,$B$3869),Data!$BO:$BO,0)-2,58)&lt;&gt;"",INDEX(Tab_DaBa[],MATCH(CONCATENATE(Liste!$C$3,$B$3671,$B$3869),Data!$BO:$BO,0)-2,63)=0),INDEX(Tab_DaBa[],MATCH(CONCATENATE(Liste!$C$3,$B$3671,$B$3869),Data!$BO:$BO,0)-2,12),IF(INDEX(Tab_DaBa[],MATCH(CONCATENATE(Liste!$C$3,$B$3671,$B$3869),Data!$BO:$BO,0)-2,58)&lt;&gt;"",INDEX(Tab_DaBa[],MATCH(CONCATENATE(Liste!$C$3,$B$3671,$B$3869),Data!$BO:$BO,0)-2,62),"")),"")</f>
        <v/>
      </c>
      <c r="G3888" s="39"/>
      <c r="H3888" s="35" t="str">
        <f ca="1">IFERROR(IF(INDEX(Tab_DaBa[],MATCH(CONCATENATE(Liste!$C$3,$B$3671,$B$3869),Data!$BO:$BO,0)-2,63)&lt;&gt;"",INDEX(Tab_DaBa[],MATCH(CONCATENATE(Liste!$C$3,$B$3671,$B$3869),Data!$BO:$BO,0)-2,12),""),"")</f>
        <v/>
      </c>
    </row>
    <row r="3889" spans="2:9" s="16" customFormat="1" ht="15.75">
      <c r="B3889" s="35" t="str">
        <f ca="1">IFERROR(IF(AND(INDEX(Tab_DaBa[],MATCH(CONCATENATE(Liste!$C$3,$B$3671,$B$3869),Data!$BO:$BO,0)-2,48)&lt;&gt;"",INDEX(Tab_DaBa[],MATCH(CONCATENATE(Liste!$C$3,$B$3671,$B$3869),Data!$BO:$BO,0)-2,53)=""),INDEX(Tab_DaBa[],MATCH(CONCATENATE(Liste!$C$3,$B$3671,$B$3869),Data!$BO:$BO,0)-2,13),IF(INDEX(Tab_DaBa[],MATCH(CONCATENATE(Liste!$C$3,$B$3671,$B$3869),Data!$BO:$BO,0)-2,48)&lt;&gt;"",INDEX(Tab_DaBa[],MATCH(CONCATENATE(Liste!$C$3,$B$3671,$B$3869),Data!$BO:$BO,0)-2,53),"")),"")</f>
        <v>Bez_Lo03_08</v>
      </c>
      <c r="C3889" s="38">
        <f ca="1">IF(D3887="","",4)</f>
        <v>4</v>
      </c>
      <c r="D3889" s="35" t="str">
        <f ca="1">IFERROR(IF(AND(INDEX(Tab_DaBa[],MATCH(CONCATENATE(Liste!$C$3,$B$3671,$B$3869),Data!$BO:$BO,0)-2,53)&lt;&gt;"",INDEX(Tab_DaBa[],MATCH(CONCATENATE(Liste!$C$3,$B$3671,$B$3869),Data!$BO:$BO,0)-2,58)=""),INDEX(Tab_DaBa[],MATCH(CONCATENATE(Liste!$C$3,$B$3671,$B$3869),Data!$BO:$BO,0)-2,13),IF(INDEX(Tab_DaBa[],MATCH(CONCATENATE(Liste!$C$3,$B$3671,$B$3869),Data!$BO:$BO,0)-2,53)&lt;&gt;"",INDEX(Tab_DaBa[],MATCH(CONCATENATE(Liste!$C$3,$B$3671,$B$3869),Data!$BO:$BO,0)-2,58),"")),"")</f>
        <v>Bez_Aus4_8</v>
      </c>
      <c r="E3889" s="38" t="str">
        <f ca="1">IF(F3887="","",4)</f>
        <v/>
      </c>
      <c r="F3889" s="35" t="str">
        <f ca="1">IFERROR(IF(AND(INDEX(Tab_DaBa[],MATCH(CONCATENATE(Liste!$C$3,$B$3671,$B$3869),Data!$BO:$BO,0)-2,58)&lt;&gt;"",INDEX(Tab_DaBa[],MATCH(CONCATENATE(Liste!$C$3,$B$3671,$B$3869),Data!$BO:$BO,0)-2,63)=""),INDEX(Tab_DaBa[],MATCH(CONCATENATE(Liste!$C$3,$B$3671,$B$3869),Data!$BO:$BO,0)-2,13),IF(INDEX(Tab_DaBa[],MATCH(CONCATENATE(Liste!$C$3,$B$3671,$B$3869),Data!$BO:$BO,0)-2,58)&lt;&gt;"",INDEX(Tab_DaBa[],MATCH(CONCATENATE(Liste!$C$3,$B$3671,$B$3869),Data!$BO:$BO,0)-2,63),"")),"")</f>
        <v/>
      </c>
      <c r="G3889" s="38" t="str">
        <f ca="1">IF(H3887="","",4)</f>
        <v/>
      </c>
      <c r="H3889" s="35" t="str">
        <f ca="1">IFERROR(IF(INDEX(Tab_DaBa[],MATCH(CONCATENATE(Liste!$C$3,$B$3671,$B$3869),Data!$BO:$BO,0)-2,63)&lt;&gt;"",INDEX(Tab_DaBa[],MATCH(CONCATENATE(Liste!$C$3,$B$3671,$B$3869),Data!$BO:$BO,0)-2,13),""),"")</f>
        <v/>
      </c>
    </row>
    <row r="3890" spans="2:9" s="16" customFormat="1" ht="15.75">
      <c r="B3890" s="35" t="str">
        <f ca="1">IFERROR(IF(AND(INDEX(Tab_DaBa[],MATCH(CONCATENATE(Liste!$C$3,$B$3671,$B$3869),Data!$BO:$BO,0)-2,48)&lt;&gt;"",INDEX(Tab_DaBa[],MATCH(CONCATENATE(Liste!$C$3,$B$3671,$B$3869),Data!$BO:$BO,0)-2,53)=""),"Performance Level: "&amp;INDEX(Tab_DaBa[],MATCH(CONCATENATE(Liste!$C$3,$B$3671,$B$3869),Data!$BO:$BO,0)-2,15),IF(INDEX(Tab_DaBa[],MATCH(CONCATENATE(Liste!$C$3,$B$3671,$B$3869),Data!$BO:$BO,0)-2,48)&lt;&gt;"","Performance Level: "&amp;INDEX(Tab_DaBa[],MATCH(CONCATENATE(Liste!$C$3,$B$3671,$B$3869),Data!$BO:$BO,0)-2,55),"")),"")</f>
        <v>Performance Level: PL_Lo03_08</v>
      </c>
      <c r="C3890" s="39"/>
      <c r="D3890" s="35" t="str">
        <f ca="1">IFERROR(IF(AND(INDEX(Tab_DaBa[],MATCH(CONCATENATE(Liste!$C$3,$B$3671,$B$3869),Data!$BO:$BO,0)-2,53)&lt;&gt;"",INDEX(Tab_DaBa[],MATCH(CONCATENATE(Liste!$C$3,$B$3671,$B$3869),Data!$BO:$BO,0)-2,58)=""),"Performance Level: "&amp;INDEX(Tab_DaBa[],MATCH(CONCATENATE(Liste!$C$3,$B$3671,$B$3869),Data!$BO:$BO,0)-2,15),IF(INDEX(Tab_DaBa[],MATCH(CONCATENATE(Liste!$C$3,$B$3671,$B$3869),Data!$BO:$BO,0)-2,53)&lt;&gt;"","Performance Level: "&amp;INDEX(Tab_DaBa[],MATCH(CONCATENATE(Liste!$C$3,$B$3671,$B$3869),Data!$BO:$BO,0)-2,60),"")),"")</f>
        <v>Performance Level: PL_Aus4_8</v>
      </c>
      <c r="E3890" s="37"/>
      <c r="F3890" s="35" t="str">
        <f ca="1">IFERROR(IF(AND(INDEX(Tab_DaBa[],MATCH(CONCATENATE(Liste!$C$3,$B$3671,$B$3869),Data!$BO:$BO,0)-2,58)&lt;&gt;"",INDEX(Tab_DaBa[],MATCH(CONCATENATE(Liste!$C$3,$B$3671,$B$3869),Data!$BO:$BO,0)-2,63)=""),"Performance Level: "&amp;INDEX(Tab_DaBa[],MATCH(CONCATENATE(Liste!$C$3,$B$3671,$B$3869),Data!$BO:$BO,0)-2,15),IF(INDEX(Tab_DaBa[],MATCH(CONCATENATE(Liste!$C$3,$B$3671,$B$3869),Data!$BO:$BO,0)-2,58)&lt;&gt;"","Performance Level: "&amp;INDEX(Tab_DaBa[],MATCH(CONCATENATE(Liste!$C$3,$B$3671,$B$3869),Data!$BO:$BO,0)-2,65),"")),"")</f>
        <v/>
      </c>
      <c r="G3890" s="39"/>
      <c r="H3890" s="35" t="str">
        <f ca="1">IFERROR(IF(INDEX(Tab_DaBa[],MATCH(CONCATENATE(Liste!$C$3,$B$3671,$B$3869),Data!$BO:$BO,0)-2,63)&lt;&gt;"","Performance Level: "&amp;INDEX(Tab_DaBa[],MATCH(CONCATENATE(Liste!$C$3,$B$3671,$B$3869),Data!$BO:$BO,0)-2,15),""),"")</f>
        <v/>
      </c>
    </row>
    <row r="3891" spans="2:9" s="16" customFormat="1" ht="15.75">
      <c r="B3891" s="35" t="str">
        <f ca="1">IFERROR(IF(AND(INDEX(Tab_DaBa[],MATCH(CONCATENATE(Liste!$C$3,$B$3671,$B$3869),Data!$BO:$BO,0)-2,48)&lt;&gt;"",INDEX(Tab_DaBa[],MATCH(CONCATENATE(Liste!$C$3,$B$3671,$B$3869),Data!$BO:$BO,0)-2,53)=""),"PFH [1/h] = "&amp;10^9*INDEX(Tab_DaBa[],MATCH(CONCATENATE(Liste!$C$3,$B$3671,$B$3869),Data!$BO:$BO,0)-2,16)&amp;"E-9",IF(INDEX(Tab_DaBa[],MATCH(CONCATENATE(Liste!$C$3,$B$3671,$B$3869),Data!$BO:$BO,0)-2,48)&lt;&gt;"","PFH [1/h] = "&amp;10^9*INDEX(Tab_DaBa[],MATCH(CONCATENATE(Liste!$C$3,$B$3671,$B$3869),Data!$BO:$BO,0)-2,56)&amp;"E-9","")),"")</f>
        <v>PFH [1/h] = 4,19E-9</v>
      </c>
      <c r="C3891" s="39"/>
      <c r="D3891" s="35" t="str">
        <f ca="1">IFERROR(IF(AND(INDEX(Tab_DaBa[],MATCH(CONCATENATE(Liste!$C$3,$B$3671,$B$3869),Data!$BO:$BO,0)-2,53)&lt;&gt;"",INDEX(Tab_DaBa[],MATCH(CONCATENATE(Liste!$C$3,$B$3671,$B$3869),Data!$BO:$BO,0)-2,58)=""),"PFH [1/h] = "&amp;10^9*INDEX(Tab_DaBa[],MATCH(CONCATENATE(Liste!$C$3,$B$3671,$B$3869),Data!$BO:$BO,0)-2,16)&amp;"E-9",IF(INDEX(Tab_DaBa[],MATCH(CONCATENATE(Liste!$C$3,$B$3671,$B$3869),Data!$BO:$BO,0)-2,53)&lt;&gt;"","PFH [1/h] = "&amp;10^9*INDEX(Tab_DaBa[],MATCH(CONCATENATE(Liste!$C$3,$B$3671,$B$3869),Data!$BO:$BO,0)-2,61)&amp;"E-9","")),"")</f>
        <v>PFH [1/h] = 24,7E-9</v>
      </c>
      <c r="E3891" s="37"/>
      <c r="F3891" s="35" t="str">
        <f ca="1">IFERROR(IF(AND(INDEX(Tab_DaBa[],MATCH(CONCATENATE(Liste!$C$3,$B$3671,$B$3869),Data!$BO:$BO,0)-2,58)&lt;&gt;"",INDEX(Tab_DaBa[],MATCH(CONCATENATE(Liste!$C$3,$B$3671,$B$3869),Data!$BO:$BO,0)-2,63)=""),"PFH [1/h] = "&amp;10^9*INDEX(Tab_DaBa[],MATCH(CONCATENATE(Liste!$C$3,$B$3671,$B$3869),Data!$BO:$BO,0)-2,16)&amp;"E-9",IF(INDEX(Tab_DaBa[],MATCH(CONCATENATE(Liste!$C$3,$B$3671,$B$3869),Data!$BO:$BO,0)-2,58)&lt;&gt;"","PFH [1/h] = "&amp;10^9*INDEX(Tab_DaBa[],MATCH(CONCATENATE(Liste!$C$3,$B$3671,$B$3869),Data!$BO:$BO,0)-2,66)&amp;"E-9","")),"")</f>
        <v/>
      </c>
      <c r="G3891" s="39"/>
      <c r="H3891" s="35" t="str">
        <f ca="1">IFERROR(IF(INDEX(Tab_DaBa[],MATCH(CONCATENATE(Liste!$C$3,$B$3671,$B$3869),Data!$BO:$BO,0)-2,63)&lt;&gt;"","PFH [1/h] = "&amp;10^9*INDEX(Tab_DaBa[],MATCH(CONCATENATE(Liste!$C$3,$B$3671,$B$3869),Data!$BO:$BO,0)-2,16)&amp;"E-9",""),"")</f>
        <v/>
      </c>
    </row>
    <row r="3892" spans="2:9" s="16" customFormat="1"/>
    <row r="3893" spans="2:9" s="16" customFormat="1">
      <c r="B3893" s="43" t="str">
        <f ca="1">IF(D3893="","","Erforderlich")</f>
        <v>Erforderlich</v>
      </c>
      <c r="D3893" s="44" t="str">
        <f ca="1">IFERROR("Performance Level: "&amp;INDEX(Tab_DaBa[],MATCH(CONCATENATE(Liste!$C$3,$B$3671,$B$3869),Data!$BO:$BO,0)-2,4),"")</f>
        <v>Performance Level: PLr_ges4_8</v>
      </c>
    </row>
    <row r="3894" spans="2:9" s="16" customFormat="1">
      <c r="B3894" s="45"/>
    </row>
    <row r="3895" spans="2:9" s="16" customFormat="1">
      <c r="B3895" s="46" t="str">
        <f ca="1">IF(D3895="","","Erreicht")</f>
        <v>Erreicht</v>
      </c>
      <c r="D3895" s="47" t="str">
        <f ca="1">IFERROR("Performance Level: "&amp;INDEX(Tab_DaBa[],MATCH(CONCATENATE(Liste!$C$3,$B$3671,$B$3869),Data!$BO:$BO,0)-2,5)&amp;"          PFH [1/h] = "&amp;10^9*INDEX(Tab_DaBa[],MATCH(CONCATENATE(Liste!$C$3,$B$3671,$B$3869),Data!$BO:$BO,0)-2,6)&amp;"E-9","")</f>
        <v>Performance Level: Pl_ges4_8          PFH [1/h] = 71,7E-9</v>
      </c>
    </row>
    <row r="3896" spans="2:9" s="16" customFormat="1">
      <c r="B3896" s="50"/>
      <c r="C3896" s="49"/>
      <c r="D3896" s="49"/>
    </row>
    <row r="3897" spans="2:9" s="16" customFormat="1">
      <c r="B3897" s="42" t="str">
        <f ca="1">IFERROR(IF(9&gt;COUNTIF(Data!$BP:$BP,CONCATENATE(Liste!$C$3,$B$3671)),"",INDEX(Tab_DaBa[],MATCH(CONCATENATE(Liste!$C$3,$B$3671),Data!$BP:$BP,0)+6,3)),"")</f>
        <v>14.9 Test14 (E+9L+A)</v>
      </c>
    </row>
    <row r="3898" spans="2:9" s="16" customFormat="1"/>
    <row r="3899" spans="2:9" s="16" customFormat="1" ht="15.75">
      <c r="B3899" s="35" t="str">
        <f ca="1">IFERROR(INDEX(Tab_DaBa[],MATCH(CONCATENATE(Liste!$C$3,$B$3671,$B$3897),Data!$BO:$BO,0)-2,9),"")</f>
        <v>Eingang</v>
      </c>
      <c r="C3899" s="54"/>
      <c r="D3899" s="35" t="str">
        <f ca="1">IFERROR(IF(INDEX(Tab_DaBa[],MATCH(CONCATENATE(Liste!$C$3,$B$3671,$B$3897),Data!$BO:$BO,0)-2,18)=0,INDEX(Tab_DaBa[],MATCH(CONCATENATE(Liste!$C$3,$B$3671,$B$3897),Data!$BO:$BO,0)-2,14),INDEX(Tab_DaBa[],MATCH(CONCATENATE(Liste!$C$3,$B$3671,$B$3897),Data!$BO:$BO,0)-2,19)),"")</f>
        <v>Logik 01</v>
      </c>
      <c r="E3899" s="33"/>
      <c r="F3899" s="35" t="str">
        <f ca="1">IFERROR(IF(AND(INDEX(Tab_DaBa[],MATCH(CONCATENATE(Liste!$C$3,$B$3671,$B$3897),Data!$BO:$BO,0)-2,18)&lt;&gt;"",INDEX(Tab_DaBa[],MATCH(CONCATENATE(Liste!$C$3,$B$3671,$B$3897),Data!$BO:$BO,0)-2,23)=0),INDEX(Tab_DaBa[],MATCH(CONCATENATE(Liste!$C$3,$B$3671,$B$3897),Data!$BO:$BO,0)-2,14),IF(INDEX(Tab_DaBa[],MATCH(CONCATENATE(Liste!$C$3,$B$3671,$B$3897),Data!$BO:$BO,0)-2,23)&lt;&gt;"",INDEX(Tab_DaBa[],MATCH(CONCATENATE(Liste!$C$3,$B$3671,$B$3897),Data!$BO:$BO,0)-2,24),"")),"")</f>
        <v>Logik 02</v>
      </c>
      <c r="G3899" s="39"/>
      <c r="H3899" s="35" t="str">
        <f ca="1">IFERROR(IF(AND(INDEX(Tab_DaBa[],MATCH(CONCATENATE(Liste!$C$3,$B$3671,$B$3897),Data!$BO:$BO,0)-2,23)&lt;&gt;"",INDEX(Tab_DaBa[],MATCH(CONCATENATE(Liste!$C$3,$B$3671,$B$3897),Data!$BO:$BO,0)-2,28)=0),INDEX(Tab_DaBa[],MATCH(CONCATENATE(Liste!$C$3,$B$3671,$B$3897),Data!$BO:$BO,0)-2,14),IF(INDEX(Tab_DaBa[],MATCH(CONCATENATE(Liste!$C$3,$B$3671,$B$3897),Data!$BO:$BO,0)-2,23)&lt;&gt;"",INDEX(Tab_DaBa[],MATCH(CONCATENATE(Liste!$C$3,$B$3671,$B$3897),Data!$BO:$BO,0)-2,29),"")),"")</f>
        <v>Logik 03</v>
      </c>
      <c r="I3899" s="39"/>
    </row>
    <row r="3900" spans="2:9" s="16" customFormat="1" ht="15.75">
      <c r="B3900" s="35" t="str">
        <f ca="1">IFERROR(INDEX(Tab_DaBa[],MATCH(CONCATENATE(Liste!$C$3,$B$3671,$B$3897),Data!$BO:$BO,0)-2,7),"")</f>
        <v>eeee-33_9</v>
      </c>
      <c r="C3900" s="54"/>
      <c r="D3900" s="35" t="str">
        <f ca="1">IFERROR(IF(INDEX(Tab_DaBa[],MATCH(CONCATENATE(Liste!$C$3,$B$3671,$B$3897),Data!$BO:$BO,0)-2,18)="",INDEX(Tab_DaBa[],MATCH(CONCATENATE(Liste!$C$3,$B$3671,$B$3897),Data!$BO:$BO,0)-2,12),INDEX(Tab_DaBa[],MATCH(CONCATENATE(Liste!$C$3,$B$3671,$B$3897),Data!$BO:$BO,0)-2,17)),"")</f>
        <v>Log01-04_09</v>
      </c>
      <c r="E3900" s="36"/>
      <c r="F3900" s="35" t="str">
        <f ca="1">IFERROR(IF(AND(INDEX(Tab_DaBa[],MATCH(CONCATENATE(Liste!$C$3,$B$3671,$B$3897),Data!$BO:$BO,0)-2,18)&lt;&gt;"",INDEX(Tab_DaBa[],MATCH(CONCATENATE(Liste!$C$3,$B$3671,$B$3897),Data!$BO:$BO,0)-2,23)=0),INDEX(Tab_DaBa[],MATCH(CONCATENATE(Liste!$C$3,$B$3671,$B$3897),Data!$BO:$BO,0)-2,12),IF(INDEX(Tab_DaBa[],MATCH(CONCATENATE(Liste!$C$3,$B$3671,$B$3897),Data!$BO:$BO,0)-2,23)&lt;&gt;"",INDEX(Tab_DaBa[],MATCH(CONCATENATE(Liste!$C$3,$B$3671,$B$3897),Data!$BO:$BO,0)-2,22),"")),"")</f>
        <v>Lo04-04_09</v>
      </c>
      <c r="G3900" s="39"/>
      <c r="H3900" s="35" t="str">
        <f ca="1">IFERROR(IF(AND(INDEX(Tab_DaBa[],MATCH(CONCATENATE(Liste!$C$3,$B$3671,$B$3897),Data!$BO:$BO,0)-2,23)&lt;&gt;"",INDEX(Tab_DaBa[],MATCH(CONCATENATE(Liste!$C$3,$B$3671,$B$3897),Data!$BO:$BO,0)-2,28)=0),INDEX(Tab_DaBa[],MATCH(CONCATENATE(Liste!$C$3,$B$3671,$B$3897),Data!$BO:$BO,0)-2,12),IF(INDEX(Tab_DaBa[],MATCH(CONCATENATE(Liste!$C$3,$B$3671,$B$3897),Data!$BO:$BO,0)-2,23)&lt;&gt;"",INDEX(Tab_DaBa[],MATCH(CONCATENATE(Liste!$C$3,$B$3671,$B$3897),Data!$BO:$BO,0)-2,27),"")),"")</f>
        <v>Lo04-44_09</v>
      </c>
      <c r="I3900" s="39"/>
    </row>
    <row r="3901" spans="2:9" s="16" customFormat="1" ht="15.75">
      <c r="B3901" s="35" t="str">
        <f ca="1">IFERROR(INDEX(Tab_DaBa[],MATCH(CONCATENATE(Liste!$C$3,$B$3671,$B$3897),Data!$BO:$BO,0)-2,8),"")</f>
        <v>Bez_Ein4_9</v>
      </c>
      <c r="C3901" s="40">
        <f ca="1">IF(D3899="","",4)</f>
        <v>4</v>
      </c>
      <c r="D3901" s="35" t="str">
        <f ca="1">IFERROR(IF(INDEX(Tab_DaBa[],MATCH(CONCATENATE(Liste!$C$3,$B$3671,$B$3897),Data!$BO:$BO,0)-2,18)="",INDEX(Tab_DaBa[],MATCH(CONCATENATE(Liste!$C$3,$B$3671,$B$3897),Data!$BO:$BO,0)-2,13),INDEX(Tab_DaBa[],MATCH(CONCATENATE(Liste!$C$3,$B$3671,$B$3897),Data!$BO:$BO,0)-2,18)),"")</f>
        <v>Bez_Log01_04_09</v>
      </c>
      <c r="E3901" s="40">
        <f ca="1">IF(F3899="","",4)</f>
        <v>4</v>
      </c>
      <c r="F3901" s="35" t="str">
        <f ca="1">IFERROR(IF(AND(INDEX(Tab_DaBa[],MATCH(CONCATENATE(Liste!$C$3,$B$3671,$B$3897),Data!$BO:$BO,0)-2,18)&lt;&gt;"",INDEX(Tab_DaBa[],MATCH(CONCATENATE(Liste!$C$3,$B$3671,$B$3897),Data!$BO:$BO,0)-2,23)=""),INDEX(Tab_DaBa[],MATCH(CONCATENATE(Liste!$C$3,$B$3671,$B$3897),Data!$BO:$BO,0)-2,13),IF(INDEX(Tab_DaBa[],MATCH(CONCATENATE(Liste!$C$3,$B$3671,$B$3897),Data!$BO:$BO,0)-2,23)&lt;&gt;"",INDEX(Tab_DaBa[],MATCH(CONCATENATE(Liste!$C$3,$B$3671,$B$3897),Data!$BO:$BO,0)-2,23),"")),"")</f>
        <v>Bez_Lo04_09</v>
      </c>
      <c r="G3901" s="38">
        <f ca="1">IF(H3899="","",4)</f>
        <v>4</v>
      </c>
      <c r="H3901" s="35" t="str">
        <f ca="1">IFERROR(IF(AND(INDEX(Tab_DaBa[],MATCH(CONCATENATE(Liste!$C$3,$B$3671,$B$3897),Data!$BO:$BO,0)-2,23)&lt;&gt;"",INDEX(Tab_DaBa[],MATCH(CONCATENATE(Liste!$C$3,$B$3671,$B$3897),Data!$BO:$BO,0)-2,28)=""),INDEX(Tab_DaBa[],MATCH(CONCATENATE(Liste!$C$3,$B$3671,$B$3897),Data!$BO:$BO,0)-2,13),IF(INDEX(Tab_DaBa[],MATCH(CONCATENATE(Liste!$C$3,$B$3671,$B$3897),Data!$BO:$BO,0)-2,23)&lt;&gt;"",INDEX(Tab_DaBa[],MATCH(CONCATENATE(Liste!$C$3,$B$3671,$B$3897),Data!$BO:$BO,0)-2,28),"")),"")</f>
        <v>Bez_Lo04_09</v>
      </c>
      <c r="I3901" s="38">
        <f ca="1">IF(B3907="","",6)</f>
        <v>6</v>
      </c>
    </row>
    <row r="3902" spans="2:9" s="16" customFormat="1" ht="15.75">
      <c r="B3902" s="35" t="str">
        <f ca="1">IFERROR("Performance Level: "&amp;INDEX(Tab_DaBa[],MATCH(CONCATENATE(Liste!$C$3,$B$3671,$B$3897),Data!$BO:$BO,0)-2,10),"")</f>
        <v>Performance Level: PL_Ein4_9</v>
      </c>
      <c r="C3902" s="54"/>
      <c r="D3902" s="35" t="str">
        <f ca="1">IFERROR(IF(INDEX(Tab_DaBa[],MATCH(CONCATENATE(Liste!$C$3,$B$3671,$B$3897),Data!$BO:$BO,0)-2,18)="","Performance Level: "&amp;INDEX(Tab_DaBa[],MATCH(CONCATENATE(Liste!$C$3,$B$3671,$B$3897),Data!$BO:$BO,0)-2,15),"Performance Level: "&amp;INDEX(Tab_DaBa[],MATCH(CONCATENATE(Liste!$C$3,$B$3671,$B$3897),Data!$BO:$BO,0)-2,20)),"")</f>
        <v>Performance Level: PL_Log01_04_09</v>
      </c>
      <c r="E3902" s="36"/>
      <c r="F3902" s="35" t="str">
        <f ca="1">IFERROR(IF(AND(INDEX(Tab_DaBa[],MATCH(CONCATENATE(Liste!$C$3,$B$3671,$B$3897),Data!$BO:$BO,0)-2,18)&lt;&gt;"",INDEX(Tab_DaBa[],MATCH(CONCATENATE(Liste!$C$3,$B$3671,$B$3897),Data!$BO:$BO,0)-2,23)=""),"Performance Level: "&amp;INDEX(Tab_DaBa[],MATCH(CONCATENATE(Liste!$C$3,$B$3671,$B$3897),Data!$BO:$BO,0)-2,15),IF(INDEX(Tab_DaBa[],MATCH(CONCATENATE(Liste!$C$3,$B$3671,$B$3897),Data!$BO:$BO,0)-2,23)&lt;&gt;"","Performance Level: "&amp;INDEX(Tab_DaBa[],MATCH(CONCATENATE(Liste!$C$3,$B$3671,$B$3897),Data!$BO:$BO,0)-2,25),"")),"")</f>
        <v>Performance Level: PL_Lo04_09</v>
      </c>
      <c r="G3902" s="39"/>
      <c r="H3902" s="35" t="str">
        <f ca="1">IFERROR(IF(AND(INDEX(Tab_DaBa[],MATCH(CONCATENATE(Liste!$C$3,$B$3671,$B$3897),Data!$BO:$BO,0)-2,23)&lt;&gt;"",INDEX(Tab_DaBa[],MATCH(CONCATENATE(Liste!$C$3,$B$3671,$B$3897),Data!$BO:$BO,0)-2,28)=""),"Performance Level: "&amp;INDEX(Tab_DaBa[],MATCH(CONCATENATE(Liste!$C$3,$B$3671,$B$3897),Data!$BO:$BO,0)-2,15),IF(INDEX(Tab_DaBa[],MATCH(CONCATENATE(Liste!$C$3,$B$3671,$B$3897),Data!$BO:$BO,0)-2,23)&lt;&gt;"","Performance Level: "&amp;INDEX(Tab_DaBa[],MATCH(CONCATENATE(Liste!$C$3,$B$3671,$B$3897),Data!$BO:$BO,0)-2,30),"")),"")</f>
        <v>Performance Level: PL_Lo04_09</v>
      </c>
      <c r="I3902" s="38"/>
    </row>
    <row r="3903" spans="2:9" s="16" customFormat="1" ht="15.75">
      <c r="B3903" s="53" t="str">
        <f ca="1">IFERROR("PFH [1/h] = "&amp;10^9*INDEX(Tab_DaBa[],MATCH(CONCATENATE(Liste!$C$3,$B$3671,$B$3897),Data!$BO:$BO,0)-2,11)&amp;"E-9","")</f>
        <v>PFH [1/h] = 42,9E-9</v>
      </c>
      <c r="C3903" s="54"/>
      <c r="D3903" s="35" t="str">
        <f ca="1">IFERROR(IF(INDEX(Tab_DaBa[],MATCH(CONCATENATE(Liste!$C$3,$B$3671,$B$3897),Data!$BO:$BO,0)-2,18)="","PFH [1/h] = "&amp;10^9*INDEX(Tab_DaBa[],MATCH(CONCATENATE(Liste!$C$3,$B$3671,$B$3897),Data!$BO:$BO,0)-2,16)&amp;"E-9","PFH [1/h] = "&amp;10^9*INDEX(Tab_DaBa[],MATCH(CONCATENATE(Liste!$C$3,$B$3671,$B$3897),Data!$BO:$BO,0)-2,21)&amp;"E-9"),"")</f>
        <v>PFH [1/h] = 4,19E-9</v>
      </c>
      <c r="E3903" s="36"/>
      <c r="F3903" s="35" t="str">
        <f ca="1">IFERROR(IF(AND(INDEX(Tab_DaBa[],MATCH(CONCATENATE(Liste!$C$3,$B$3671,$B$3897),Data!$BO:$BO,0)-2,18)&lt;&gt;"",INDEX(Tab_DaBa[],MATCH(CONCATENATE(Liste!$C$3,$B$3671,$B$3897),Data!$BO:$BO,0)-2,23)=""),"PFH [1/h] = "&amp;10^9*INDEX(Tab_DaBa[],MATCH(CONCATENATE(Liste!$C$3,$B$3671,$B$3897),Data!$BO:$BO,0)-2,16)&amp;"E-9",IF(INDEX(Tab_DaBa[],MATCH(CONCATENATE(Liste!$C$3,$B$3671,$B$3897),Data!$BO:$BO,0)-2,23)&lt;&gt;"","PFH [1/h] = "&amp;10^9*INDEX(Tab_DaBa[],MATCH(CONCATENATE(Liste!$C$3,$B$3671,$B$3897),Data!$BO:$BO,0)-2,26)&amp;"E-9","")),"")</f>
        <v>PFH [1/h] = 4,19E-9</v>
      </c>
      <c r="G3903" s="39"/>
      <c r="H3903" s="35" t="str">
        <f ca="1">IFERROR(IF(AND(INDEX(Tab_DaBa[],MATCH(CONCATENATE(Liste!$C$3,$B$3671,$B$3897),Data!$BO:$BO,0)-2,23)&lt;&gt;"",INDEX(Tab_DaBa[],MATCH(CONCATENATE(Liste!$C$3,$B$3671,$B$3897),Data!$BO:$BO,0)-2,28)=""),"PFH [1/h] = "&amp;10^9*INDEX(Tab_DaBa[],MATCH(CONCATENATE(Liste!$C$3,$B$3671,$B$3897),Data!$BO:$BO,0)-2,16)&amp;"E-9",IF(INDEX(Tab_DaBa[],MATCH(CONCATENATE(Liste!$C$3,$B$3671,$B$3897),Data!$BO:$BO,0)-2,23)&lt;&gt;"","PFH [1/h] = "&amp;10^9*INDEX(Tab_DaBa[],MATCH(CONCATENATE(Liste!$C$3,$B$3671,$B$3897),Data!$BO:$BO,0)-2,31)&amp;"E-9","")),"")</f>
        <v>PFH [1/h] = 4,19E-9</v>
      </c>
      <c r="I3903" s="39"/>
    </row>
    <row r="3904" spans="2:9" s="16" customFormat="1">
      <c r="B3904" s="33"/>
      <c r="C3904" s="34"/>
      <c r="D3904" s="33"/>
      <c r="E3904" s="33"/>
      <c r="F3904" s="33"/>
      <c r="G3904" s="33"/>
      <c r="H3904" s="33"/>
      <c r="I3904" s="33"/>
    </row>
    <row r="3905" spans="2:9" s="16" customFormat="1" ht="15.75">
      <c r="B3905" s="38">
        <f ca="1">IF(B3907="","",6)</f>
        <v>6</v>
      </c>
      <c r="C3905" s="34"/>
      <c r="D3905" s="38">
        <f ca="1">IF(B3907="","",3)</f>
        <v>3</v>
      </c>
      <c r="E3905" s="33"/>
      <c r="F3905" s="38">
        <f ca="1">IF(B3907="","",3)</f>
        <v>3</v>
      </c>
      <c r="G3905" s="33"/>
      <c r="H3905" s="38">
        <f ca="1">IF(B3907="","",3)</f>
        <v>3</v>
      </c>
      <c r="I3905" s="33"/>
    </row>
    <row r="3906" spans="2:9" s="16" customFormat="1" ht="15.75">
      <c r="B3906" s="39"/>
      <c r="C3906" s="33"/>
      <c r="D3906" s="33"/>
      <c r="E3906" s="33"/>
      <c r="F3906" s="33"/>
      <c r="G3906" s="33"/>
      <c r="H3906" s="33"/>
      <c r="I3906" s="33"/>
    </row>
    <row r="3907" spans="2:9" s="16" customFormat="1" ht="15.75">
      <c r="B3907" s="35" t="str">
        <f ca="1">IFERROR(IF(AND(INDEX(Tab_DaBa[],MATCH(CONCATENATE(Liste!$C$3,$B$3671,$B$3897),Data!$BO:$BO,0)-2,28)&lt;&gt;"",INDEX(Tab_DaBa[],MATCH(CONCATENATE(Liste!$C$3,$B$3671,$B$3897),Data!$BO:$BO,0)-2,33)=0),INDEX(Tab_DaBa[],MATCH(CONCATENATE(Liste!$C$3,$B$3671,$B$3897),Data!$BO:$BO,0)-2,14),IF(INDEX(Tab_DaBa[],MATCH(CONCATENATE(Liste!$C$3,$B$3671,$B$3897),Data!$BO:$BO,0)-2,28)&lt;&gt;"",INDEX(Tab_DaBa[],MATCH(CONCATENATE(Liste!$C$3,$B$3671,$B$3897),Data!$BO:$BO,0)-2,34),"")),"")</f>
        <v>Logik 04</v>
      </c>
      <c r="C3907" s="39"/>
      <c r="D3907" s="35" t="str">
        <f ca="1">IFERROR(IF(AND(INDEX(Tab_DaBa[],MATCH(CONCATENATE(Liste!$C$3,$B$3671,$B$3897),Data!$BO:$BO,0)-2,33)&lt;&gt;"",INDEX(Tab_DaBa[],MATCH(CONCATENATE(Liste!$C$3,$B$3671,$B$3897),Data!$BO:$BO,0)-2,38)=0),INDEX(Tab_DaBa[],MATCH(CONCATENATE(Liste!$C$3,$B$3671,$B$3897),Data!$BO:$BO,0)-2,14),IF(INDEX(Tab_DaBa[],MATCH(CONCATENATE(Liste!$C$3,$B$3671,$B$3897),Data!$BO:$BO,0)-2,33)&lt;&gt;"",INDEX(Tab_DaBa[],MATCH(CONCATENATE(Liste!$C$3,$B$3671,$B$3897),Data!$BO:$BO,0)-2,39),"")),"")</f>
        <v>Logik 07</v>
      </c>
      <c r="E3907" s="33"/>
      <c r="F3907" s="35" t="str">
        <f ca="1">IFERROR(IF(AND(INDEX(Tab_DaBa[],MATCH(CONCATENATE(Liste!$C$3,$B$3671,$B$3897),Data!$BO:$BO,0)-2,38)&lt;&gt;"",INDEX(Tab_DaBa[],MATCH(CONCATENATE(Liste!$C$3,$B$3671,$B$3897),Data!$BO:$BO,0)-2,43)=0),INDEX(Tab_DaBa[],MATCH(CONCATENATE(Liste!$C$3,$B$3671,$B$3897),Data!$BO:$BO,0)-2,14),IF(INDEX(Tab_DaBa[],MATCH(CONCATENATE(Liste!$C$3,$B$3671,$B$3897),Data!$BO:$BO,0)-2,38)&lt;&gt;"",INDEX(Tab_DaBa[],MATCH(CONCATENATE(Liste!$C$3,$B$3671,$B$3897),Data!$BO:$BO,0)-2,44),"")),"")</f>
        <v>Logik 06</v>
      </c>
      <c r="G3907" s="39"/>
      <c r="H3907" s="35" t="str">
        <f ca="1">IFERROR(IF(AND(INDEX(Tab_DaBa[],MATCH(CONCATENATE(Liste!$C$3,$B$3671,$B$3897),Data!$BO:$BO,0)-2,43)&lt;&gt;"",INDEX(Tab_DaBa[],MATCH(CONCATENATE(Liste!$C$3,$B$3671,$B$3897),Data!$BO:$BO,0)-2,48)=0),INDEX(Tab_DaBa[],MATCH(CONCATENATE(Liste!$C$3,$B$3671,$B$3897),Data!$BO:$BO,0)-2,14),IF(INDEX(Tab_DaBa[],MATCH(CONCATENATE(Liste!$C$3,$B$3671,$B$3897),Data!$BO:$BO,0)-2,43)&lt;&gt;"",INDEX(Tab_DaBa[],MATCH(CONCATENATE(Liste!$C$3,$B$3671,$B$3897),Data!$BO:$BO,0)-2,49),"")),"")</f>
        <v>Logik 07</v>
      </c>
      <c r="I3907" s="39"/>
    </row>
    <row r="3908" spans="2:9" s="16" customFormat="1" ht="15.75">
      <c r="B3908" s="35" t="str">
        <f ca="1">IFERROR(IF(AND(INDEX(Tab_DaBa[],MATCH(CONCATENATE(Liste!$C$3,$B$3671,$B$3897),Data!$BO:$BO,0)-2,28)&lt;&gt;"",INDEX(Tab_DaBa[],MATCH(CONCATENATE(Liste!$C$3,$B$3671,$B$3897),Data!$BO:$BO,0)-2,33)=0),INDEX(Tab_DaBa[],MATCH(CONCATENATE(Liste!$C$3,$B$3671,$B$3897),Data!$BO:$BO,0)-2,12),IF(INDEX(Tab_DaBa[],MATCH(CONCATENATE(Liste!$C$3,$B$3671,$B$3897),Data!$BO:$BO,0)-2,28)&lt;&gt;"",INDEX(Tab_DaBa[],MATCH(CONCATENATE(Liste!$C$3,$B$3671,$B$3897),Data!$BO:$BO,0)-2,32),"")),"")</f>
        <v>Lo04-44_09</v>
      </c>
      <c r="C3908" s="39"/>
      <c r="D3908" s="35" t="str">
        <f ca="1">IFERROR(IF(AND(INDEX(Tab_DaBa[],MATCH(CONCATENATE(Liste!$C$3,$B$3671,$B$3897),Data!$BO:$BO,0)-2,33)&lt;&gt;"",INDEX(Tab_DaBa[],MATCH(CONCATENATE(Liste!$C$3,$B$3671,$B$3897),Data!$BO:$BO,0)-2,38)=0),INDEX(Tab_DaBa[],MATCH(CONCATENATE(Liste!$C$3,$B$3671,$B$3897),Data!$BO:$BO,0)-2,12),IF(INDEX(Tab_DaBa[],MATCH(CONCATENATE(Liste!$C$3,$B$3671,$B$3897),Data!$BO:$BO,0)-2,33)&lt;&gt;"",INDEX(Tab_DaBa[],MATCH(CONCATENATE(Liste!$C$3,$B$3671,$B$3897),Data!$BO:$BO,0)-2,37),"")),"")</f>
        <v>Lo04-44_09</v>
      </c>
      <c r="E3908" s="37"/>
      <c r="F3908" s="35" t="str">
        <f ca="1">IFERROR(IF(AND(INDEX(Tab_DaBa[],MATCH(CONCATENATE(Liste!$C$3,$B$3671,$B$3897),Data!$BO:$BO,0)-2,38)&lt;&gt;"",INDEX(Tab_DaBa[],MATCH(CONCATENATE(Liste!$C$3,$B$3671,$B$3897),Data!$BO:$BO,0)-2,43)=0),INDEX(Tab_DaBa[],MATCH(CONCATENATE(Liste!$C$3,$B$3671,$B$3897),Data!$BO:$BO,0)-2,12),IF(INDEX(Tab_DaBa[],MATCH(CONCATENATE(Liste!$C$3,$B$3671,$B$3897),Data!$BO:$BO,0)-2,38)&lt;&gt;"",INDEX(Tab_DaBa[],MATCH(CONCATENATE(Liste!$C$3,$B$3671,$B$3897),Data!$BO:$BO,0)-2,42),"")),"")</f>
        <v>Lo03-33_09</v>
      </c>
      <c r="G3908" s="39"/>
      <c r="H3908" s="35" t="str">
        <f ca="1">IFERROR(IF(AND(INDEX(Tab_DaBa[],MATCH(CONCATENATE(Liste!$C$3,$B$3671,$B$3897),Data!$BO:$BO,0)-2,43)&lt;&gt;"",INDEX(Tab_DaBa[],MATCH(CONCATENATE(Liste!$C$3,$B$3671,$B$3897),Data!$BO:$BO,0)-2,48)=0),INDEX(Tab_DaBa[],MATCH(CONCATENATE(Liste!$C$3,$B$3671,$B$3897),Data!$BO:$BO,0)-2,12),IF(INDEX(Tab_DaBa[],MATCH(CONCATENATE(Liste!$C$3,$B$3671,$B$3897),Data!$BO:$BO,0)-2,43)&lt;&gt;"",INDEX(Tab_DaBa[],MATCH(CONCATENATE(Liste!$C$3,$B$3671,$B$3897),Data!$BO:$BO,0)-2,47),"")),"")</f>
        <v>Lo03-33_09</v>
      </c>
      <c r="I3908" s="39"/>
    </row>
    <row r="3909" spans="2:9" s="16" customFormat="1" ht="15.75">
      <c r="B3909" s="35" t="str">
        <f ca="1">IFERROR(IF(AND(INDEX(Tab_DaBa[],MATCH(CONCATENATE(Liste!$C$3,$B$3671,$B$3897),Data!$BO:$BO,0)-2,28)&lt;&gt;"",INDEX(Tab_DaBa[],MATCH(CONCATENATE(Liste!$C$3,$B$3671,$B$3897),Data!$BO:$BO,0)-2,33)=""),INDEX(Tab_DaBa[],MATCH(CONCATENATE(Liste!$C$3,$B$3671,$B$3897),Data!$BO:$BO,0)-2,13),IF(INDEX(Tab_DaBa[],MATCH(CONCATENATE(Liste!$C$3,$B$3671,$B$3897),Data!$BO:$BO,0)-2,28)&lt;&gt;"",INDEX(Tab_DaBa[],MATCH(CONCATENATE(Liste!$C$3,$B$3671,$B$3897),Data!$BO:$BO,0)-2,33),"")),"")</f>
        <v>Bez_Lo04_09</v>
      </c>
      <c r="C3909" s="38">
        <f ca="1">IF(D3907="","",4)</f>
        <v>4</v>
      </c>
      <c r="D3909" s="35" t="str">
        <f ca="1">IFERROR(IF(AND(INDEX(Tab_DaBa[],MATCH(CONCATENATE(Liste!$C$3,$B$3671,$B$3897),Data!$BO:$BO,0)-2,33)&lt;&gt;"",INDEX(Tab_DaBa[],MATCH(CONCATENATE(Liste!$C$3,$B$3671,$B$3897),Data!$BO:$BO,0)-2,38)=""),INDEX(Tab_DaBa[],MATCH(CONCATENATE(Liste!$C$3,$B$3671,$B$3897),Data!$BO:$BO,0)-2,13),IF(INDEX(Tab_DaBa[],MATCH(CONCATENATE(Liste!$C$3,$B$3671,$B$3897),Data!$BO:$BO,0)-2,33)&lt;&gt;"",INDEX(Tab_DaBa[],MATCH(CONCATENATE(Liste!$C$3,$B$3671,$B$3897),Data!$BO:$BO,0)-2,38),"")),"")</f>
        <v>Bez_Lo03_09</v>
      </c>
      <c r="E3909" s="38">
        <f ca="1">IF(F3907="","",4)</f>
        <v>4</v>
      </c>
      <c r="F3909" s="35" t="str">
        <f ca="1">IFERROR(IF(AND(INDEX(Tab_DaBa[],MATCH(CONCATENATE(Liste!$C$3,$B$3671,$B$3897),Data!$BO:$BO,0)-2,38)&lt;&gt;"",INDEX(Tab_DaBa[],MATCH(CONCATENATE(Liste!$C$3,$B$3671,$B$3897),Data!$BO:$BO,0)-2,43)=""),INDEX(Tab_DaBa[],MATCH(CONCATENATE(Liste!$C$3,$B$3671,$B$3897),Data!$BO:$BO,0)-2,13),IF(INDEX(Tab_DaBa[],MATCH(CONCATENATE(Liste!$C$3,$B$3671,$B$3897),Data!$BO:$BO,0)-2,38)&lt;&gt;"",INDEX(Tab_DaBa[],MATCH(CONCATENATE(Liste!$C$3,$B$3671,$B$3897),Data!$BO:$BO,0)-2,43),"")),"")</f>
        <v>Bez_Lo03_09</v>
      </c>
      <c r="G3909" s="38">
        <f ca="1">IF(H3907="","",4)</f>
        <v>4</v>
      </c>
      <c r="H3909" s="35" t="str">
        <f ca="1">IFERROR(IF(AND(INDEX(Tab_DaBa[],MATCH(CONCATENATE(Liste!$C$3,$B$3671,$B$3897),Data!$BO:$BO,0)-2,43)&lt;&gt;"",INDEX(Tab_DaBa[],MATCH(CONCATENATE(Liste!$C$3,$B$3671,$B$3897),Data!$BO:$BO,0)-2,48)=""),INDEX(Tab_DaBa[],MATCH(CONCATENATE(Liste!$C$3,$B$3671,$B$3897),Data!$BO:$BO,0)-2,13),IF(INDEX(Tab_DaBa[],MATCH(CONCATENATE(Liste!$C$3,$B$3671,$B$3897),Data!$BO:$BO,0)-2,43)&lt;&gt;"",INDEX(Tab_DaBa[],MATCH(CONCATENATE(Liste!$C$3,$B$3671,$B$3897),Data!$BO:$BO,0)-2,48),"")),"")</f>
        <v>Bez_Lo03_09</v>
      </c>
      <c r="I3909" s="38">
        <f ca="1">IF(B3915="","",6)</f>
        <v>6</v>
      </c>
    </row>
    <row r="3910" spans="2:9" s="16" customFormat="1" ht="15.75">
      <c r="B3910" s="35" t="str">
        <f ca="1">IFERROR(IF(AND(INDEX(Tab_DaBa[],MATCH(CONCATENATE(Liste!$C$3,$B$3671,$B$3897),Data!$BO:$BO,0)-2,28)&lt;&gt;"",INDEX(Tab_DaBa[],MATCH(CONCATENATE(Liste!$C$3,$B$3671,$B$3897),Data!$BO:$BO,0)-2,33)=""),"Performance Level: "&amp;INDEX(Tab_DaBa[],MATCH(CONCATENATE(Liste!$C$3,$B$3671,$B$3897),Data!$BO:$BO,0)-2,15),IF(INDEX(Tab_DaBa[],MATCH(CONCATENATE(Liste!$C$3,$B$3671,$B$3897),Data!$BO:$BO,0)-2,28)&lt;&gt;"","Performance Level: "&amp;INDEX(Tab_DaBa[],MATCH(CONCATENATE(Liste!$C$3,$B$3671,$B$3897),Data!$BO:$BO,0)-2,35),"")),"")</f>
        <v>Performance Level: PL_Lo04_09</v>
      </c>
      <c r="C3910" s="39"/>
      <c r="D3910" s="35" t="str">
        <f ca="1">IFERROR(IF(AND(INDEX(Tab_DaBa[],MATCH(CONCATENATE(Liste!$C$3,$B$3671,$B$3897),Data!$BO:$BO,0)-2,33)&lt;&gt;"",INDEX(Tab_DaBa[],MATCH(CONCATENATE(Liste!$C$3,$B$3671,$B$3897),Data!$BO:$BO,0)-2,38)=""),"Performance Level: "&amp;INDEX(Tab_DaBa[],MATCH(CONCATENATE(Liste!$C$3,$B$3671,$B$3897),Data!$BO:$BO,0)-2,15),IF(INDEX(Tab_DaBa[],MATCH(CONCATENATE(Liste!$C$3,$B$3671,$B$3897),Data!$BO:$BO,0)-2,33)&lt;&gt;"","Performance Level: "&amp;INDEX(Tab_DaBa[],MATCH(CONCATENATE(Liste!$C$3,$B$3671,$B$3897),Data!$BO:$BO,0)-2,40),"")),"")</f>
        <v>Performance Level: PL_Lo03_9</v>
      </c>
      <c r="E3910" s="37"/>
      <c r="F3910" s="35" t="str">
        <f ca="1">IFERROR(IF(AND(INDEX(Tab_DaBa[],MATCH(CONCATENATE(Liste!$C$3,$B$3671,$B$3897),Data!$BO:$BO,0)-2,38)&lt;&gt;"",INDEX(Tab_DaBa[],MATCH(CONCATENATE(Liste!$C$3,$B$3671,$B$3897),Data!$BO:$BO,0)-2,43)=""),"Performance Level: "&amp;INDEX(Tab_DaBa[],MATCH(CONCATENATE(Liste!$C$3,$B$3671,$B$3897),Data!$BO:$BO,0)-2,15),IF(INDEX(Tab_DaBa[],MATCH(CONCATENATE(Liste!$C$3,$B$3671,$B$3897),Data!$BO:$BO,0)-2,38)&lt;&gt;"","Performance Level: "&amp;INDEX(Tab_DaBa[],MATCH(CONCATENATE(Liste!$C$3,$B$3671,$B$3897),Data!$BO:$BO,0)-2,45),"")),"")</f>
        <v>Performance Level: PL_Lo03_09</v>
      </c>
      <c r="G3910" s="39"/>
      <c r="H3910" s="35" t="str">
        <f ca="1">IFERROR(IF(AND(INDEX(Tab_DaBa[],MATCH(CONCATENATE(Liste!$C$3,$B$3671,$B$3897),Data!$BO:$BO,0)-2,43)&lt;&gt;"",INDEX(Tab_DaBa[],MATCH(CONCATENATE(Liste!$C$3,$B$3671,$B$3897),Data!$BO:$BO,0)-2,48)=""),"Performance Level: "&amp;INDEX(Tab_DaBa[],MATCH(CONCATENATE(Liste!$C$3,$B$3671,$B$3897),Data!$BO:$BO,0)-2,15),IF(INDEX(Tab_DaBa[],MATCH(CONCATENATE(Liste!$C$3,$B$3671,$B$3897),Data!$BO:$BO,0)-2,43)&lt;&gt;"","Performance Level: "&amp;INDEX(Tab_DaBa[],MATCH(CONCATENATE(Liste!$C$3,$B$3671,$B$3897),Data!$BO:$BO,0)-2,50),"")),"")</f>
        <v>Performance Level: PL_Lo03_09</v>
      </c>
      <c r="I3910" s="39"/>
    </row>
    <row r="3911" spans="2:9" s="16" customFormat="1" ht="15.75">
      <c r="B3911" s="35" t="str">
        <f ca="1">IFERROR(IF(AND(INDEX(Tab_DaBa[],MATCH(CONCATENATE(Liste!$C$3,$B$3671,$B$3897),Data!$BO:$BO,0)-2,28)&lt;&gt;"",INDEX(Tab_DaBa[],MATCH(CONCATENATE(Liste!$C$3,$B$3671,$B$3897),Data!$BO:$BO,0)-2,33)=""),"PFH [1/h] = "&amp;10^9*INDEX(Tab_DaBa[],MATCH(CONCATENATE(Liste!$C$3,$B$3671,$B$3897),Data!$BO:$BO,0)-2,16)&amp;"E-9",IF(INDEX(Tab_DaBa[],MATCH(CONCATENATE(Liste!$C$3,$B$3671,$B$3897),Data!$BO:$BO,0)-2,28)&lt;&gt;"","PFH [1/h] = "&amp;10^9*INDEX(Tab_DaBa[],MATCH(CONCATENATE(Liste!$C$3,$B$3671,$B$3897),Data!$BO:$BO,0)-2,36)&amp;"E-9","")),"")</f>
        <v>PFH [1/h] = 4,19E-9</v>
      </c>
      <c r="C3911" s="39"/>
      <c r="D3911" s="35" t="str">
        <f ca="1">IFERROR(IF(AND(INDEX(Tab_DaBa[],MATCH(CONCATENATE(Liste!$C$3,$B$3671,$B$3897),Data!$BO:$BO,0)-2,33)&lt;&gt;"",INDEX(Tab_DaBa[],MATCH(CONCATENATE(Liste!$C$3,$B$3671,$B$3897),Data!$BO:$BO,0)-2,38)=""),"PFH [1/h] = "&amp;10^9*INDEX(Tab_DaBa[],MATCH(CONCATENATE(Liste!$C$3,$B$3671,$B$3897),Data!$BO:$BO,0)-2,16)&amp;"E-9",IF(INDEX(Tab_DaBa[],MATCH(CONCATENATE(Liste!$C$3,$B$3671,$B$3897),Data!$BO:$BO,0)-2,33)&lt;&gt;"","PFH [1/h] = "&amp;10^9*INDEX(Tab_DaBa[],MATCH(CONCATENATE(Liste!$C$3,$B$3671,$B$3897),Data!$BO:$BO,0)-2,41)&amp;"E-9","")),"")</f>
        <v>PFH [1/h] = 4,19E-9</v>
      </c>
      <c r="E3911" s="37"/>
      <c r="F3911" s="35" t="str">
        <f ca="1">IFERROR(IF(AND(INDEX(Tab_DaBa[],MATCH(CONCATENATE(Liste!$C$3,$B$3671,$B$3897),Data!$BO:$BO,0)-2,38)&lt;&gt;"",INDEX(Tab_DaBa[],MATCH(CONCATENATE(Liste!$C$3,$B$3671,$B$3897),Data!$BO:$BO,0)-2,43)=""),"PFH [1/h] = "&amp;10^9*INDEX(Tab_DaBa[],MATCH(CONCATENATE(Liste!$C$3,$B$3671,$B$3897),Data!$BO:$BO,0)-2,16)&amp;"E-9",IF(INDEX(Tab_DaBa[],MATCH(CONCATENATE(Liste!$C$3,$B$3671,$B$3897),Data!$BO:$BO,0)-2,38)&lt;&gt;"","PFH [1/h] = "&amp;10^9*INDEX(Tab_DaBa[],MATCH(CONCATENATE(Liste!$C$3,$B$3671,$B$3897),Data!$BO:$BO,0)-2,46)&amp;"E-9","")),"")</f>
        <v>PFH [1/h] = 4,19E-9</v>
      </c>
      <c r="G3911" s="39"/>
      <c r="H3911" s="35" t="str">
        <f ca="1">IFERROR(IF(AND(INDEX(Tab_DaBa[],MATCH(CONCATENATE(Liste!$C$3,$B$3671,$B$3897),Data!$BO:$BO,0)-2,43)&lt;&gt;"",INDEX(Tab_DaBa[],MATCH(CONCATENATE(Liste!$C$3,$B$3671,$B$3897),Data!$BO:$BO,0)-2,48)=""),"PFH [1/h] = "&amp;10^9*INDEX(Tab_DaBa[],MATCH(CONCATENATE(Liste!$C$3,$B$3671,$B$3897),Data!$BO:$BO,0)-2,16)&amp;"E-9",IF(INDEX(Tab_DaBa[],MATCH(CONCATENATE(Liste!$C$3,$B$3671,$B$3897),Data!$BO:$BO,0)-2,43)&lt;&gt;"","PFH [1/h] = "&amp;10^9*INDEX(Tab_DaBa[],MATCH(CONCATENATE(Liste!$C$3,$B$3671,$B$3897),Data!$BO:$BO,0)-2,51)&amp;"E-9","")),"")</f>
        <v>PFH [1/h] = 4,19E-9</v>
      </c>
      <c r="I3911" s="39"/>
    </row>
    <row r="3912" spans="2:9" s="16" customFormat="1">
      <c r="B3912" s="33"/>
      <c r="C3912" s="33"/>
      <c r="D3912" s="33"/>
      <c r="E3912" s="33"/>
      <c r="F3912" s="33"/>
      <c r="G3912" s="33"/>
      <c r="H3912" s="33"/>
      <c r="I3912" s="33"/>
    </row>
    <row r="3913" spans="2:9" s="16" customFormat="1" ht="15.75">
      <c r="B3913" s="38">
        <f ca="1">IF(B3915="","",6)</f>
        <v>6</v>
      </c>
      <c r="C3913" s="33"/>
      <c r="D3913" s="38">
        <f ca="1">IF(B3915="","",3)</f>
        <v>3</v>
      </c>
      <c r="E3913" s="33"/>
      <c r="F3913" s="38">
        <f ca="1">IF(B3915="","",3)</f>
        <v>3</v>
      </c>
      <c r="G3913" s="33"/>
      <c r="H3913" s="38">
        <f ca="1">IF(B3915="","",3)</f>
        <v>3</v>
      </c>
      <c r="I3913" s="33"/>
    </row>
    <row r="3914" spans="2:9" s="16" customFormat="1" ht="15.75">
      <c r="B3914" s="39"/>
      <c r="C3914" s="33"/>
      <c r="D3914" s="33"/>
      <c r="E3914" s="33"/>
      <c r="F3914" s="33"/>
      <c r="G3914" s="33"/>
      <c r="H3914" s="33"/>
      <c r="I3914" s="33"/>
    </row>
    <row r="3915" spans="2:9" s="16" customFormat="1" ht="15.75">
      <c r="B3915" s="35" t="str">
        <f ca="1">IFERROR(IF(AND(INDEX(Tab_DaBa[],MATCH(CONCATENATE(Liste!$C$3,$B$3671,$B$3897),Data!$BO:$BO,0)-2,48)&lt;&gt;"",INDEX(Tab_DaBa[],MATCH(CONCATENATE(Liste!$C$3,$B$3671,$B$3897),Data!$BO:$BO,0)-2,53)=0),INDEX(Tab_DaBa[],MATCH(CONCATENATE(Liste!$C$3,$B$3671,$B$3897),Data!$BO:$BO,0)-2,14),IF(INDEX(Tab_DaBa[],MATCH(CONCATENATE(Liste!$C$3,$B$3671,$B$3897),Data!$BO:$BO,0)-2,48)&lt;&gt;"",INDEX(Tab_DaBa[],MATCH(CONCATENATE(Liste!$C$3,$B$3671,$B$3897),Data!$BO:$BO,0)-2,54),"")),"")</f>
        <v>Logik 08</v>
      </c>
      <c r="C3915" s="39"/>
      <c r="D3915" s="35" t="str">
        <f ca="1">IFERROR(IF(AND(INDEX(Tab_DaBa[],MATCH(CONCATENATE(Liste!$C$3,$B$3671,$B$3897),Data!$BO:$BO,0)-2,53)&lt;&gt;"",INDEX(Tab_DaBa[],MATCH(CONCATENATE(Liste!$C$3,$B$3671,$B$3897),Data!$BO:$BO,0)-2,58)=0),INDEX(Tab_DaBa[],MATCH(CONCATENATE(Liste!$C$3,$B$3671,$B$3897),Data!$BO:$BO,0)-2,14),IF(INDEX(Tab_DaBa[],MATCH(CONCATENATE(Liste!$C$3,$B$3671,$B$3897),Data!$BO:$BO,0)-2,53)&lt;&gt;"",INDEX(Tab_DaBa[],MATCH(CONCATENATE(Liste!$C$3,$B$3671,$B$3897),Data!$BO:$BO,0)-2,59),"")),"")</f>
        <v>Logik 09</v>
      </c>
      <c r="E3915" s="33"/>
      <c r="F3915" s="35" t="str">
        <f ca="1">IFERROR(IF(AND(INDEX(Tab_DaBa[],MATCH(CONCATENATE(Liste!$C$3,$B$3671,$B$3897),Data!$BO:$BO,0)-2,58)&lt;&gt;"",INDEX(Tab_DaBa[],MATCH(CONCATENATE(Liste!$C$3,$B$3671,$B$3897),Data!$BO:$BO,0)-2,63)=0),INDEX(Tab_DaBa[],MATCH(CONCATENATE(Liste!$C$3,$B$3671,$B$3897),Data!$BO:$BO,0)-2,14),IF(INDEX(Tab_DaBa[],MATCH(CONCATENATE(Liste!$C$3,$B$3671,$B$3897),Data!$BO:$BO,0)-2,58)&lt;&gt;"",INDEX(Tab_DaBa[],MATCH(CONCATENATE(Liste!$C$3,$B$3671,$B$3897),Data!$BO:$BO,0)-2,64),"")),"")</f>
        <v>Ausgang</v>
      </c>
      <c r="G3915" s="39"/>
      <c r="H3915" s="35" t="str">
        <f ca="1">IFERROR(IF(INDEX(Tab_DaBa[],MATCH(CONCATENATE(Liste!$C$3,$B$3671,$B$3897),Data!$BO:$BO,0)-2,63)&lt;&gt;"",INDEX(Tab_DaBa[],MATCH(CONCATENATE(Liste!$C$3,$B$3671,$B$3897),Data!$BO:$BO,0)-2,14),""),"")</f>
        <v/>
      </c>
    </row>
    <row r="3916" spans="2:9" s="16" customFormat="1" ht="15.75">
      <c r="B3916" s="35" t="str">
        <f ca="1">IFERROR(IF(AND(INDEX(Tab_DaBa[],MATCH(CONCATENATE(Liste!$C$3,$B$3671,$B$3897),Data!$BO:$BO,0)-2,48)&lt;&gt;"",INDEX(Tab_DaBa[],MATCH(CONCATENATE(Liste!$C$3,$B$3671,$B$3897),Data!$BO:$BO,0)-2,53)=0),INDEX(Tab_DaBa[],MATCH(CONCATENATE(Liste!$C$3,$B$3671,$B$3897),Data!$BO:$BO,0)-2,12),IF(INDEX(Tab_DaBa[],MATCH(CONCATENATE(Liste!$C$3,$B$3671,$B$3897),Data!$BO:$BO,0)-2,48)&lt;&gt;"",INDEX(Tab_DaBa[],MATCH(CONCATENATE(Liste!$C$3,$B$3671,$B$3897),Data!$BO:$BO,0)-2,52),"")),"")</f>
        <v>Lo03-88_09</v>
      </c>
      <c r="C3916" s="39"/>
      <c r="D3916" s="35" t="str">
        <f ca="1">IFERROR(IF(AND(INDEX(Tab_DaBa[],MATCH(CONCATENATE(Liste!$C$3,$B$3671,$B$3897),Data!$BO:$BO,0)-2,53)&lt;&gt;"",INDEX(Tab_DaBa[],MATCH(CONCATENATE(Liste!$C$3,$B$3671,$B$3897),Data!$BO:$BO,0)-2,58)=0),INDEX(Tab_DaBa[],MATCH(CONCATENATE(Liste!$C$3,$B$3671,$B$3897),Data!$BO:$BO,0)-2,12),IF(INDEX(Tab_DaBa[],MATCH(CONCATENATE(Liste!$C$3,$B$3671,$B$3897),Data!$BO:$BO,0)-2,53)&lt;&gt;"",INDEX(Tab_DaBa[],MATCH(CONCATENATE(Liste!$C$3,$B$3671,$B$3897),Data!$BO:$BO,0)-2,57),"")),"")</f>
        <v>Lo03-33_09</v>
      </c>
      <c r="E3916" s="37"/>
      <c r="F3916" s="35" t="str">
        <f ca="1">IFERROR(IF(AND(INDEX(Tab_DaBa[],MATCH(CONCATENATE(Liste!$C$3,$B$3671,$B$3897),Data!$BO:$BO,0)-2,58)&lt;&gt;"",INDEX(Tab_DaBa[],MATCH(CONCATENATE(Liste!$C$3,$B$3671,$B$3897),Data!$BO:$BO,0)-2,63)=0),INDEX(Tab_DaBa[],MATCH(CONCATENATE(Liste!$C$3,$B$3671,$B$3897),Data!$BO:$BO,0)-2,12),IF(INDEX(Tab_DaBa[],MATCH(CONCATENATE(Liste!$C$3,$B$3671,$B$3897),Data!$BO:$BO,0)-2,58)&lt;&gt;"",INDEX(Tab_DaBa[],MATCH(CONCATENATE(Liste!$C$3,$B$3671,$B$3897),Data!$BO:$BO,0)-2,62),"")),"")</f>
        <v>aaaa-44_9</v>
      </c>
      <c r="G3916" s="39"/>
      <c r="H3916" s="35" t="str">
        <f ca="1">IFERROR(IF(INDEX(Tab_DaBa[],MATCH(CONCATENATE(Liste!$C$3,$B$3671,$B$3897),Data!$BO:$BO,0)-2,63)&lt;&gt;"",INDEX(Tab_DaBa[],MATCH(CONCATENATE(Liste!$C$3,$B$3671,$B$3897),Data!$BO:$BO,0)-2,12),""),"")</f>
        <v/>
      </c>
    </row>
    <row r="3917" spans="2:9" s="16" customFormat="1" ht="15.75">
      <c r="B3917" s="35" t="str">
        <f ca="1">IFERROR(IF(AND(INDEX(Tab_DaBa[],MATCH(CONCATENATE(Liste!$C$3,$B$3671,$B$3897),Data!$BO:$BO,0)-2,48)&lt;&gt;"",INDEX(Tab_DaBa[],MATCH(CONCATENATE(Liste!$C$3,$B$3671,$B$3897),Data!$BO:$BO,0)-2,53)=""),INDEX(Tab_DaBa[],MATCH(CONCATENATE(Liste!$C$3,$B$3671,$B$3897),Data!$BO:$BO,0)-2,13),IF(INDEX(Tab_DaBa[],MATCH(CONCATENATE(Liste!$C$3,$B$3671,$B$3897),Data!$BO:$BO,0)-2,48)&lt;&gt;"",INDEX(Tab_DaBa[],MATCH(CONCATENATE(Liste!$C$3,$B$3671,$B$3897),Data!$BO:$BO,0)-2,53),"")),"")</f>
        <v>Bez_Lo03_09</v>
      </c>
      <c r="C3917" s="38">
        <f ca="1">IF(D3915="","",4)</f>
        <v>4</v>
      </c>
      <c r="D3917" s="35" t="str">
        <f ca="1">IFERROR(IF(AND(INDEX(Tab_DaBa[],MATCH(CONCATENATE(Liste!$C$3,$B$3671,$B$3897),Data!$BO:$BO,0)-2,53)&lt;&gt;"",INDEX(Tab_DaBa[],MATCH(CONCATENATE(Liste!$C$3,$B$3671,$B$3897),Data!$BO:$BO,0)-2,58)=""),INDEX(Tab_DaBa[],MATCH(CONCATENATE(Liste!$C$3,$B$3671,$B$3897),Data!$BO:$BO,0)-2,13),IF(INDEX(Tab_DaBa[],MATCH(CONCATENATE(Liste!$C$3,$B$3671,$B$3897),Data!$BO:$BO,0)-2,53)&lt;&gt;"",INDEX(Tab_DaBa[],MATCH(CONCATENATE(Liste!$C$3,$B$3671,$B$3897),Data!$BO:$BO,0)-2,58),"")),"")</f>
        <v>Bez_Lo03_09</v>
      </c>
      <c r="E3917" s="38">
        <f ca="1">IF(F3915="","",4)</f>
        <v>4</v>
      </c>
      <c r="F3917" s="35" t="str">
        <f ca="1">IFERROR(IF(AND(INDEX(Tab_DaBa[],MATCH(CONCATENATE(Liste!$C$3,$B$3671,$B$3897),Data!$BO:$BO,0)-2,58)&lt;&gt;"",INDEX(Tab_DaBa[],MATCH(CONCATENATE(Liste!$C$3,$B$3671,$B$3897),Data!$BO:$BO,0)-2,63)=""),INDEX(Tab_DaBa[],MATCH(CONCATENATE(Liste!$C$3,$B$3671,$B$3897),Data!$BO:$BO,0)-2,13),IF(INDEX(Tab_DaBa[],MATCH(CONCATENATE(Liste!$C$3,$B$3671,$B$3897),Data!$BO:$BO,0)-2,58)&lt;&gt;"",INDEX(Tab_DaBa[],MATCH(CONCATENATE(Liste!$C$3,$B$3671,$B$3897),Data!$BO:$BO,0)-2,63),"")),"")</f>
        <v>Bez_Aus4_9</v>
      </c>
      <c r="G3917" s="38" t="str">
        <f ca="1">IF(H3915="","",4)</f>
        <v/>
      </c>
      <c r="H3917" s="35" t="str">
        <f ca="1">IFERROR(IF(INDEX(Tab_DaBa[],MATCH(CONCATENATE(Liste!$C$3,$B$3671,$B$3897),Data!$BO:$BO,0)-2,63)&lt;&gt;"",INDEX(Tab_DaBa[],MATCH(CONCATENATE(Liste!$C$3,$B$3671,$B$3897),Data!$BO:$BO,0)-2,13),""),"")</f>
        <v/>
      </c>
    </row>
    <row r="3918" spans="2:9" s="16" customFormat="1" ht="15.75">
      <c r="B3918" s="35" t="str">
        <f ca="1">IFERROR(IF(AND(INDEX(Tab_DaBa[],MATCH(CONCATENATE(Liste!$C$3,$B$3671,$B$3897),Data!$BO:$BO,0)-2,48)&lt;&gt;"",INDEX(Tab_DaBa[],MATCH(CONCATENATE(Liste!$C$3,$B$3671,$B$3897),Data!$BO:$BO,0)-2,53)=""),"Performance Level: "&amp;INDEX(Tab_DaBa[],MATCH(CONCATENATE(Liste!$C$3,$B$3671,$B$3897),Data!$BO:$BO,0)-2,15),IF(INDEX(Tab_DaBa[],MATCH(CONCATENATE(Liste!$C$3,$B$3671,$B$3897),Data!$BO:$BO,0)-2,48)&lt;&gt;"","Performance Level: "&amp;INDEX(Tab_DaBa[],MATCH(CONCATENATE(Liste!$C$3,$B$3671,$B$3897),Data!$BO:$BO,0)-2,55),"")),"")</f>
        <v>Performance Level: PL_Lo03_09</v>
      </c>
      <c r="C3918" s="39"/>
      <c r="D3918" s="35" t="str">
        <f ca="1">IFERROR(IF(AND(INDEX(Tab_DaBa[],MATCH(CONCATENATE(Liste!$C$3,$B$3671,$B$3897),Data!$BO:$BO,0)-2,53)&lt;&gt;"",INDEX(Tab_DaBa[],MATCH(CONCATENATE(Liste!$C$3,$B$3671,$B$3897),Data!$BO:$BO,0)-2,58)=""),"Performance Level: "&amp;INDEX(Tab_DaBa[],MATCH(CONCATENATE(Liste!$C$3,$B$3671,$B$3897),Data!$BO:$BO,0)-2,15),IF(INDEX(Tab_DaBa[],MATCH(CONCATENATE(Liste!$C$3,$B$3671,$B$3897),Data!$BO:$BO,0)-2,53)&lt;&gt;"","Performance Level: "&amp;INDEX(Tab_DaBa[],MATCH(CONCATENATE(Liste!$C$3,$B$3671,$B$3897),Data!$BO:$BO,0)-2,60),"")),"")</f>
        <v>Performance Level: PL_Lo03_09</v>
      </c>
      <c r="E3918" s="37"/>
      <c r="F3918" s="35" t="str">
        <f ca="1">IFERROR(IF(AND(INDEX(Tab_DaBa[],MATCH(CONCATENATE(Liste!$C$3,$B$3671,$B$3897),Data!$BO:$BO,0)-2,58)&lt;&gt;"",INDEX(Tab_DaBa[],MATCH(CONCATENATE(Liste!$C$3,$B$3671,$B$3897),Data!$BO:$BO,0)-2,63)=""),"Performance Level: "&amp;INDEX(Tab_DaBa[],MATCH(CONCATENATE(Liste!$C$3,$B$3671,$B$3897),Data!$BO:$BO,0)-2,15),IF(INDEX(Tab_DaBa[],MATCH(CONCATENATE(Liste!$C$3,$B$3671,$B$3897),Data!$BO:$BO,0)-2,58)&lt;&gt;"","Performance Level: "&amp;INDEX(Tab_DaBa[],MATCH(CONCATENATE(Liste!$C$3,$B$3671,$B$3897),Data!$BO:$BO,0)-2,65),"")),"")</f>
        <v>Performance Level: PL_Aus4_9</v>
      </c>
      <c r="G3918" s="39"/>
      <c r="H3918" s="35" t="str">
        <f ca="1">IFERROR(IF(INDEX(Tab_DaBa[],MATCH(CONCATENATE(Liste!$C$3,$B$3671,$B$3897),Data!$BO:$BO,0)-2,63)&lt;&gt;"","Performance Level: "&amp;INDEX(Tab_DaBa[],MATCH(CONCATENATE(Liste!$C$3,$B$3671,$B$3897),Data!$BO:$BO,0)-2,15),""),"")</f>
        <v/>
      </c>
    </row>
    <row r="3919" spans="2:9" s="16" customFormat="1" ht="15.75">
      <c r="B3919" s="35" t="str">
        <f ca="1">IFERROR(IF(AND(INDEX(Tab_DaBa[],MATCH(CONCATENATE(Liste!$C$3,$B$3671,$B$3897),Data!$BO:$BO,0)-2,48)&lt;&gt;"",INDEX(Tab_DaBa[],MATCH(CONCATENATE(Liste!$C$3,$B$3671,$B$3897),Data!$BO:$BO,0)-2,53)=""),"PFH [1/h] = "&amp;10^9*INDEX(Tab_DaBa[],MATCH(CONCATENATE(Liste!$C$3,$B$3671,$B$3897),Data!$BO:$BO,0)-2,16)&amp;"E-9",IF(INDEX(Tab_DaBa[],MATCH(CONCATENATE(Liste!$C$3,$B$3671,$B$3897),Data!$BO:$BO,0)-2,48)&lt;&gt;"","PFH [1/h] = "&amp;10^9*INDEX(Tab_DaBa[],MATCH(CONCATENATE(Liste!$C$3,$B$3671,$B$3897),Data!$BO:$BO,0)-2,56)&amp;"E-9","")),"")</f>
        <v>PFH [1/h] = 4,19E-9</v>
      </c>
      <c r="C3919" s="39"/>
      <c r="D3919" s="35" t="str">
        <f ca="1">IFERROR(IF(AND(INDEX(Tab_DaBa[],MATCH(CONCATENATE(Liste!$C$3,$B$3671,$B$3897),Data!$BO:$BO,0)-2,53)&lt;&gt;"",INDEX(Tab_DaBa[],MATCH(CONCATENATE(Liste!$C$3,$B$3671,$B$3897),Data!$BO:$BO,0)-2,58)=""),"PFH [1/h] = "&amp;10^9*INDEX(Tab_DaBa[],MATCH(CONCATENATE(Liste!$C$3,$B$3671,$B$3897),Data!$BO:$BO,0)-2,16)&amp;"E-9",IF(INDEX(Tab_DaBa[],MATCH(CONCATENATE(Liste!$C$3,$B$3671,$B$3897),Data!$BO:$BO,0)-2,53)&lt;&gt;"","PFH [1/h] = "&amp;10^9*INDEX(Tab_DaBa[],MATCH(CONCATENATE(Liste!$C$3,$B$3671,$B$3897),Data!$BO:$BO,0)-2,61)&amp;"E-9","")),"")</f>
        <v>PFH [1/h] = 4,19E-9</v>
      </c>
      <c r="E3919" s="37"/>
      <c r="F3919" s="35" t="str">
        <f ca="1">IFERROR(IF(AND(INDEX(Tab_DaBa[],MATCH(CONCATENATE(Liste!$C$3,$B$3671,$B$3897),Data!$BO:$BO,0)-2,58)&lt;&gt;"",INDEX(Tab_DaBa[],MATCH(CONCATENATE(Liste!$C$3,$B$3671,$B$3897),Data!$BO:$BO,0)-2,63)=""),"PFH [1/h] = "&amp;10^9*INDEX(Tab_DaBa[],MATCH(CONCATENATE(Liste!$C$3,$B$3671,$B$3897),Data!$BO:$BO,0)-2,16)&amp;"E-9",IF(INDEX(Tab_DaBa[],MATCH(CONCATENATE(Liste!$C$3,$B$3671,$B$3897),Data!$BO:$BO,0)-2,58)&lt;&gt;"","PFH [1/h] = "&amp;10^9*INDEX(Tab_DaBa[],MATCH(CONCATENATE(Liste!$C$3,$B$3671,$B$3897),Data!$BO:$BO,0)-2,66)&amp;"E-9","")),"")</f>
        <v>PFH [1/h] = 24,7E-9</v>
      </c>
      <c r="G3919" s="39"/>
      <c r="H3919" s="35" t="str">
        <f ca="1">IFERROR(IF(INDEX(Tab_DaBa[],MATCH(CONCATENATE(Liste!$C$3,$B$3671,$B$3897),Data!$BO:$BO,0)-2,63)&lt;&gt;"","PFH [1/h] = "&amp;10^9*INDEX(Tab_DaBa[],MATCH(CONCATENATE(Liste!$C$3,$B$3671,$B$3897),Data!$BO:$BO,0)-2,16)&amp;"E-9",""),"")</f>
        <v/>
      </c>
    </row>
    <row r="3920" spans="2:9" s="16" customFormat="1"/>
    <row r="3921" spans="2:9" s="16" customFormat="1">
      <c r="B3921" s="43" t="str">
        <f ca="1">IF(D3921="","","Erforderlich")</f>
        <v>Erforderlich</v>
      </c>
      <c r="D3921" s="44" t="str">
        <f ca="1">IFERROR("Performance Level: "&amp;INDEX(Tab_DaBa[],MATCH(CONCATENATE(Liste!$C$3,$B$3671,$B$3897),Data!$BO:$BO,0)-2,4),"")</f>
        <v>Performance Level: PLr_ges4_9</v>
      </c>
    </row>
    <row r="3922" spans="2:9" s="16" customFormat="1">
      <c r="B3922" s="45"/>
    </row>
    <row r="3923" spans="2:9" s="16" customFormat="1">
      <c r="B3923" s="46" t="str">
        <f ca="1">IF(D3923="","","Erreicht")</f>
        <v>Erreicht</v>
      </c>
      <c r="D3923" s="47" t="str">
        <f ca="1">IFERROR("Performance Level: "&amp;INDEX(Tab_DaBa[],MATCH(CONCATENATE(Liste!$C$3,$B$3671,$B$3897),Data!$BO:$BO,0)-2,5)&amp;"          PFH [1/h] = "&amp;10^9*INDEX(Tab_DaBa[],MATCH(CONCATENATE(Liste!$C$3,$B$3671,$B$3897),Data!$BO:$BO,0)-2,6)&amp;"E-9","")</f>
        <v>Performance Level: Pl_ges4_9          PFH [1/h] = 71,7E-9</v>
      </c>
    </row>
    <row r="3924" spans="2:9" s="16" customFormat="1">
      <c r="B3924" s="50"/>
      <c r="C3924" s="49"/>
      <c r="D3924" s="49"/>
    </row>
    <row r="3925" spans="2:9" s="16" customFormat="1">
      <c r="B3925" s="42" t="str">
        <f ca="1">IFERROR(IF(10&gt;COUNTIF(Data!$BP:$BP,CONCATENATE(Liste!$C$3,$B$3671)),"",INDEX(Tab_DaBa[],MATCH(CONCATENATE(Liste!$C$3,$B$3671),Data!$BP:$BP,0)+7,3)),"")</f>
        <v>14.10 Test14 (E+10L+A)</v>
      </c>
    </row>
    <row r="3926" spans="2:9" s="16" customFormat="1"/>
    <row r="3927" spans="2:9" s="16" customFormat="1" ht="15.75">
      <c r="B3927" s="35" t="str">
        <f ca="1">IFERROR(INDEX(Tab_DaBa[],MATCH(CONCATENATE(Liste!$C$3,$B$3671,$B$3925),Data!$BO:$BO,0)-2,9),"")</f>
        <v>Eingang</v>
      </c>
      <c r="C3927" s="54"/>
      <c r="D3927" s="35" t="str">
        <f ca="1">IFERROR(IF(INDEX(Tab_DaBa[],MATCH(CONCATENATE(Liste!$C$3,$B$3671,$B$3925),Data!$BO:$BO,0)-2,18)=0,INDEX(Tab_DaBa[],MATCH(CONCATENATE(Liste!$C$3,$B$3671,$B$3925),Data!$BO:$BO,0)-2,14),INDEX(Tab_DaBa[],MATCH(CONCATENATE(Liste!$C$3,$B$3671,$B$3925),Data!$BO:$BO,0)-2,19)),"")</f>
        <v>Logik 01</v>
      </c>
      <c r="E3927" s="33"/>
      <c r="F3927" s="35" t="str">
        <f ca="1">IFERROR(IF(AND(INDEX(Tab_DaBa[],MATCH(CONCATENATE(Liste!$C$3,$B$3671,$B$3925),Data!$BO:$BO,0)-2,18)&lt;&gt;"",INDEX(Tab_DaBa[],MATCH(CONCATENATE(Liste!$C$3,$B$3671,$B$3925),Data!$BO:$BO,0)-2,23)=0),INDEX(Tab_DaBa[],MATCH(CONCATENATE(Liste!$C$3,$B$3671,$B$3925),Data!$BO:$BO,0)-2,14),IF(INDEX(Tab_DaBa[],MATCH(CONCATENATE(Liste!$C$3,$B$3671,$B$3925),Data!$BO:$BO,0)-2,23)&lt;&gt;"",INDEX(Tab_DaBa[],MATCH(CONCATENATE(Liste!$C$3,$B$3671,$B$3925),Data!$BO:$BO,0)-2,24),"")),"")</f>
        <v>Logik 02</v>
      </c>
      <c r="G3927" s="39"/>
      <c r="H3927" s="35" t="str">
        <f ca="1">IFERROR(IF(AND(INDEX(Tab_DaBa[],MATCH(CONCATENATE(Liste!$C$3,$B$3671,$B$3925),Data!$BO:$BO,0)-2,23)&lt;&gt;"",INDEX(Tab_DaBa[],MATCH(CONCATENATE(Liste!$C$3,$B$3671,$B$3925),Data!$BO:$BO,0)-2,28)=0),INDEX(Tab_DaBa[],MATCH(CONCATENATE(Liste!$C$3,$B$3671,$B$3925),Data!$BO:$BO,0)-2,14),IF(INDEX(Tab_DaBa[],MATCH(CONCATENATE(Liste!$C$3,$B$3671,$B$3925),Data!$BO:$BO,0)-2,23)&lt;&gt;"",INDEX(Tab_DaBa[],MATCH(CONCATENATE(Liste!$C$3,$B$3671,$B$3925),Data!$BO:$BO,0)-2,29),"")),"")</f>
        <v>Logik 03</v>
      </c>
      <c r="I3927" s="39"/>
    </row>
    <row r="3928" spans="2:9" s="16" customFormat="1" ht="15.75">
      <c r="B3928" s="35" t="str">
        <f ca="1">IFERROR(INDEX(Tab_DaBa[],MATCH(CONCATENATE(Liste!$C$3,$B$3671,$B$3925),Data!$BO:$BO,0)-2,7),"")</f>
        <v>eeee-33_10</v>
      </c>
      <c r="C3928" s="54"/>
      <c r="D3928" s="35" t="str">
        <f ca="1">IFERROR(IF(INDEX(Tab_DaBa[],MATCH(CONCATENATE(Liste!$C$3,$B$3671,$B$3925),Data!$BO:$BO,0)-2,18)="",INDEX(Tab_DaBa[],MATCH(CONCATENATE(Liste!$C$3,$B$3671,$B$3925),Data!$BO:$BO,0)-2,12),INDEX(Tab_DaBa[],MATCH(CONCATENATE(Liste!$C$3,$B$3671,$B$3925),Data!$BO:$BO,0)-2,17)),"")</f>
        <v>Log01-04_10</v>
      </c>
      <c r="E3928" s="36"/>
      <c r="F3928" s="35" t="str">
        <f ca="1">IFERROR(IF(AND(INDEX(Tab_DaBa[],MATCH(CONCATENATE(Liste!$C$3,$B$3671,$B$3925),Data!$BO:$BO,0)-2,18)&lt;&gt;"",INDEX(Tab_DaBa[],MATCH(CONCATENATE(Liste!$C$3,$B$3671,$B$3925),Data!$BO:$BO,0)-2,23)=0),INDEX(Tab_DaBa[],MATCH(CONCATENATE(Liste!$C$3,$B$3671,$B$3925),Data!$BO:$BO,0)-2,12),IF(INDEX(Tab_DaBa[],MATCH(CONCATENATE(Liste!$C$3,$B$3671,$B$3925),Data!$BO:$BO,0)-2,23)&lt;&gt;"",INDEX(Tab_DaBa[],MATCH(CONCATENATE(Liste!$C$3,$B$3671,$B$3925),Data!$BO:$BO,0)-2,22),"")),"")</f>
        <v>Lo04-04_10</v>
      </c>
      <c r="G3928" s="39"/>
      <c r="H3928" s="35" t="str">
        <f ca="1">IFERROR(IF(AND(INDEX(Tab_DaBa[],MATCH(CONCATENATE(Liste!$C$3,$B$3671,$B$3925),Data!$BO:$BO,0)-2,23)&lt;&gt;"",INDEX(Tab_DaBa[],MATCH(CONCATENATE(Liste!$C$3,$B$3671,$B$3925),Data!$BO:$BO,0)-2,28)=0),INDEX(Tab_DaBa[],MATCH(CONCATENATE(Liste!$C$3,$B$3671,$B$3925),Data!$BO:$BO,0)-2,12),IF(INDEX(Tab_DaBa[],MATCH(CONCATENATE(Liste!$C$3,$B$3671,$B$3925),Data!$BO:$BO,0)-2,23)&lt;&gt;"",INDEX(Tab_DaBa[],MATCH(CONCATENATE(Liste!$C$3,$B$3671,$B$3925),Data!$BO:$BO,0)-2,27),"")),"")</f>
        <v>Lo04-44_10</v>
      </c>
      <c r="I3928" s="39"/>
    </row>
    <row r="3929" spans="2:9" s="16" customFormat="1" ht="15.75">
      <c r="B3929" s="35" t="str">
        <f ca="1">IFERROR(INDEX(Tab_DaBa[],MATCH(CONCATENATE(Liste!$C$3,$B$3671,$B$3925),Data!$BO:$BO,0)-2,8),"")</f>
        <v>Bez_Ein4_10</v>
      </c>
      <c r="C3929" s="40">
        <f ca="1">IF(D3927="","",4)</f>
        <v>4</v>
      </c>
      <c r="D3929" s="35" t="str">
        <f ca="1">IFERROR(IF(INDEX(Tab_DaBa[],MATCH(CONCATENATE(Liste!$C$3,$B$3671,$B$3925),Data!$BO:$BO,0)-2,18)="",INDEX(Tab_DaBa[],MATCH(CONCATENATE(Liste!$C$3,$B$3671,$B$3925),Data!$BO:$BO,0)-2,13),INDEX(Tab_DaBa[],MATCH(CONCATENATE(Liste!$C$3,$B$3671,$B$3925),Data!$BO:$BO,0)-2,18)),"")</f>
        <v>Bez_Log01_04_10</v>
      </c>
      <c r="E3929" s="40">
        <f ca="1">IF(F3927="","",4)</f>
        <v>4</v>
      </c>
      <c r="F3929" s="35" t="str">
        <f ca="1">IFERROR(IF(AND(INDEX(Tab_DaBa[],MATCH(CONCATENATE(Liste!$C$3,$B$3671,$B$3925),Data!$BO:$BO,0)-2,18)&lt;&gt;"",INDEX(Tab_DaBa[],MATCH(CONCATENATE(Liste!$C$3,$B$3671,$B$3925),Data!$BO:$BO,0)-2,23)=""),INDEX(Tab_DaBa[],MATCH(CONCATENATE(Liste!$C$3,$B$3671,$B$3925),Data!$BO:$BO,0)-2,13),IF(INDEX(Tab_DaBa[],MATCH(CONCATENATE(Liste!$C$3,$B$3671,$B$3925),Data!$BO:$BO,0)-2,23)&lt;&gt;"",INDEX(Tab_DaBa[],MATCH(CONCATENATE(Liste!$C$3,$B$3671,$B$3925),Data!$BO:$BO,0)-2,23),"")),"")</f>
        <v>Bez_Lo04_10</v>
      </c>
      <c r="G3929" s="38">
        <f ca="1">IF(H3927="","",4)</f>
        <v>4</v>
      </c>
      <c r="H3929" s="35" t="str">
        <f ca="1">IFERROR(IF(AND(INDEX(Tab_DaBa[],MATCH(CONCATENATE(Liste!$C$3,$B$3671,$B$3925),Data!$BO:$BO,0)-2,23)&lt;&gt;"",INDEX(Tab_DaBa[],MATCH(CONCATENATE(Liste!$C$3,$B$3671,$B$3925),Data!$BO:$BO,0)-2,28)=""),INDEX(Tab_DaBa[],MATCH(CONCATENATE(Liste!$C$3,$B$3671,$B$3925),Data!$BO:$BO,0)-2,13),IF(INDEX(Tab_DaBa[],MATCH(CONCATENATE(Liste!$C$3,$B$3671,$B$3925),Data!$BO:$BO,0)-2,23)&lt;&gt;"",INDEX(Tab_DaBa[],MATCH(CONCATENATE(Liste!$C$3,$B$3671,$B$3925),Data!$BO:$BO,0)-2,28),"")),"")</f>
        <v>Bez_Lo04_10</v>
      </c>
      <c r="I3929" s="38">
        <f ca="1">IF(B3935="","",6)</f>
        <v>6</v>
      </c>
    </row>
    <row r="3930" spans="2:9" s="16" customFormat="1" ht="15.75">
      <c r="B3930" s="35" t="str">
        <f ca="1">IFERROR("Performance Level: "&amp;INDEX(Tab_DaBa[],MATCH(CONCATENATE(Liste!$C$3,$B$3671,$B$3925),Data!$BO:$BO,0)-2,10),"")</f>
        <v>Performance Level: PL_Ein4_10</v>
      </c>
      <c r="C3930" s="54"/>
      <c r="D3930" s="35" t="str">
        <f ca="1">IFERROR(IF(INDEX(Tab_DaBa[],MATCH(CONCATENATE(Liste!$C$3,$B$3671,$B$3925),Data!$BO:$BO,0)-2,18)="","Performance Level: "&amp;INDEX(Tab_DaBa[],MATCH(CONCATENATE(Liste!$C$3,$B$3671,$B$3925),Data!$BO:$BO,0)-2,15),"Performance Level: "&amp;INDEX(Tab_DaBa[],MATCH(CONCATENATE(Liste!$C$3,$B$3671,$B$3925),Data!$BO:$BO,0)-2,20)),"")</f>
        <v>Performance Level: PL_Log01_04_10</v>
      </c>
      <c r="E3930" s="36"/>
      <c r="F3930" s="35" t="str">
        <f ca="1">IFERROR(IF(AND(INDEX(Tab_DaBa[],MATCH(CONCATENATE(Liste!$C$3,$B$3671,$B$3925),Data!$BO:$BO,0)-2,18)&lt;&gt;"",INDEX(Tab_DaBa[],MATCH(CONCATENATE(Liste!$C$3,$B$3671,$B$3925),Data!$BO:$BO,0)-2,23)=""),"Performance Level: "&amp;INDEX(Tab_DaBa[],MATCH(CONCATENATE(Liste!$C$3,$B$3671,$B$3925),Data!$BO:$BO,0)-2,15),IF(INDEX(Tab_DaBa[],MATCH(CONCATENATE(Liste!$C$3,$B$3671,$B$3925),Data!$BO:$BO,0)-2,23)&lt;&gt;"","Performance Level: "&amp;INDEX(Tab_DaBa[],MATCH(CONCATENATE(Liste!$C$3,$B$3671,$B$3925),Data!$BO:$BO,0)-2,25),"")),"")</f>
        <v>Performance Level: PL_Lo04_10</v>
      </c>
      <c r="G3930" s="39"/>
      <c r="H3930" s="35" t="str">
        <f ca="1">IFERROR(IF(AND(INDEX(Tab_DaBa[],MATCH(CONCATENATE(Liste!$C$3,$B$3671,$B$3925),Data!$BO:$BO,0)-2,23)&lt;&gt;"",INDEX(Tab_DaBa[],MATCH(CONCATENATE(Liste!$C$3,$B$3671,$B$3925),Data!$BO:$BO,0)-2,28)=""),"Performance Level: "&amp;INDEX(Tab_DaBa[],MATCH(CONCATENATE(Liste!$C$3,$B$3671,$B$3925),Data!$BO:$BO,0)-2,15),IF(INDEX(Tab_DaBa[],MATCH(CONCATENATE(Liste!$C$3,$B$3671,$B$3925),Data!$BO:$BO,0)-2,23)&lt;&gt;"","Performance Level: "&amp;INDEX(Tab_DaBa[],MATCH(CONCATENATE(Liste!$C$3,$B$3671,$B$3925),Data!$BO:$BO,0)-2,30),"")),"")</f>
        <v>Performance Level: PL_Lo04_10</v>
      </c>
      <c r="I3930" s="38"/>
    </row>
    <row r="3931" spans="2:9" s="16" customFormat="1" ht="15.75">
      <c r="B3931" s="53" t="str">
        <f ca="1">IFERROR("PFH [1/h] = "&amp;10^9*INDEX(Tab_DaBa[],MATCH(CONCATENATE(Liste!$C$3,$B$3671,$B$3925),Data!$BO:$BO,0)-2,11)&amp;"E-9","")</f>
        <v>PFH [1/h] = 42,9E-9</v>
      </c>
      <c r="C3931" s="54"/>
      <c r="D3931" s="35" t="str">
        <f ca="1">IFERROR(IF(INDEX(Tab_DaBa[],MATCH(CONCATENATE(Liste!$C$3,$B$3671,$B$3925),Data!$BO:$BO,0)-2,18)="","PFH [1/h] = "&amp;10^9*INDEX(Tab_DaBa[],MATCH(CONCATENATE(Liste!$C$3,$B$3671,$B$3925),Data!$BO:$BO,0)-2,16)&amp;"E-9","PFH [1/h] = "&amp;10^9*INDEX(Tab_DaBa[],MATCH(CONCATENATE(Liste!$C$3,$B$3671,$B$3925),Data!$BO:$BO,0)-2,21)&amp;"E-9"),"")</f>
        <v>PFH [1/h] = 4,19E-9</v>
      </c>
      <c r="E3931" s="36"/>
      <c r="F3931" s="35" t="str">
        <f ca="1">IFERROR(IF(AND(INDEX(Tab_DaBa[],MATCH(CONCATENATE(Liste!$C$3,$B$3671,$B$3925),Data!$BO:$BO,0)-2,18)&lt;&gt;"",INDEX(Tab_DaBa[],MATCH(CONCATENATE(Liste!$C$3,$B$3671,$B$3925),Data!$BO:$BO,0)-2,23)=""),"PFH [1/h] = "&amp;10^9*INDEX(Tab_DaBa[],MATCH(CONCATENATE(Liste!$C$3,$B$3671,$B$3925),Data!$BO:$BO,0)-2,16)&amp;"E-9",IF(INDEX(Tab_DaBa[],MATCH(CONCATENATE(Liste!$C$3,$B$3671,$B$3925),Data!$BO:$BO,0)-2,23)&lt;&gt;"","PFH [1/h] = "&amp;10^9*INDEX(Tab_DaBa[],MATCH(CONCATENATE(Liste!$C$3,$B$3671,$B$3925),Data!$BO:$BO,0)-2,26)&amp;"E-9","")),"")</f>
        <v>PFH [1/h] = 4,19E-9</v>
      </c>
      <c r="G3931" s="39"/>
      <c r="H3931" s="35" t="str">
        <f ca="1">IFERROR(IF(AND(INDEX(Tab_DaBa[],MATCH(CONCATENATE(Liste!$C$3,$B$3671,$B$3925),Data!$BO:$BO,0)-2,23)&lt;&gt;"",INDEX(Tab_DaBa[],MATCH(CONCATENATE(Liste!$C$3,$B$3671,$B$3925),Data!$BO:$BO,0)-2,28)=""),"PFH [1/h] = "&amp;10^9*INDEX(Tab_DaBa[],MATCH(CONCATENATE(Liste!$C$3,$B$3671,$B$3925),Data!$BO:$BO,0)-2,16)&amp;"E-9",IF(INDEX(Tab_DaBa[],MATCH(CONCATENATE(Liste!$C$3,$B$3671,$B$3925),Data!$BO:$BO,0)-2,23)&lt;&gt;"","PFH [1/h] = "&amp;10^9*INDEX(Tab_DaBa[],MATCH(CONCATENATE(Liste!$C$3,$B$3671,$B$3925),Data!$BO:$BO,0)-2,31)&amp;"E-9","")),"")</f>
        <v>PFH [1/h] = 4,19E-9</v>
      </c>
      <c r="I3931" s="39"/>
    </row>
    <row r="3932" spans="2:9" s="16" customFormat="1">
      <c r="B3932" s="33"/>
      <c r="C3932" s="34"/>
      <c r="D3932" s="33"/>
      <c r="E3932" s="33"/>
      <c r="F3932" s="33"/>
      <c r="G3932" s="33"/>
      <c r="H3932" s="33"/>
      <c r="I3932" s="33"/>
    </row>
    <row r="3933" spans="2:9" s="16" customFormat="1" ht="15.75">
      <c r="B3933" s="38">
        <f ca="1">IF(B3935="","",6)</f>
        <v>6</v>
      </c>
      <c r="C3933" s="34"/>
      <c r="D3933" s="38">
        <f ca="1">IF(B3935="","",3)</f>
        <v>3</v>
      </c>
      <c r="E3933" s="33"/>
      <c r="F3933" s="38">
        <f ca="1">IF(B3935="","",3)</f>
        <v>3</v>
      </c>
      <c r="G3933" s="33"/>
      <c r="H3933" s="38">
        <f ca="1">IF(B3935="","",3)</f>
        <v>3</v>
      </c>
      <c r="I3933" s="33"/>
    </row>
    <row r="3934" spans="2:9" s="16" customFormat="1" ht="15.75">
      <c r="B3934" s="39"/>
      <c r="C3934" s="33"/>
      <c r="D3934" s="33"/>
      <c r="E3934" s="33"/>
      <c r="F3934" s="33"/>
      <c r="G3934" s="33"/>
      <c r="H3934" s="33"/>
      <c r="I3934" s="33"/>
    </row>
    <row r="3935" spans="2:9" s="16" customFormat="1" ht="15.75">
      <c r="B3935" s="35" t="str">
        <f ca="1">IFERROR(IF(AND(INDEX(Tab_DaBa[],MATCH(CONCATENATE(Liste!$C$3,$B$3671,$B$3925),Data!$BO:$BO,0)-2,28)&lt;&gt;"",INDEX(Tab_DaBa[],MATCH(CONCATENATE(Liste!$C$3,$B$3671,$B$3925),Data!$BO:$BO,0)-2,33)=0),INDEX(Tab_DaBa[],MATCH(CONCATENATE(Liste!$C$3,$B$3671,$B$3925),Data!$BO:$BO,0)-2,14),IF(INDEX(Tab_DaBa[],MATCH(CONCATENATE(Liste!$C$3,$B$3671,$B$3925),Data!$BO:$BO,0)-2,28)&lt;&gt;"",INDEX(Tab_DaBa[],MATCH(CONCATENATE(Liste!$C$3,$B$3671,$B$3925),Data!$BO:$BO,0)-2,34),"")),"")</f>
        <v>Logik 04</v>
      </c>
      <c r="C3935" s="39"/>
      <c r="D3935" s="35" t="str">
        <f ca="1">IFERROR(IF(AND(INDEX(Tab_DaBa[],MATCH(CONCATENATE(Liste!$C$3,$B$3671,$B$3925),Data!$BO:$BO,0)-2,33)&lt;&gt;"",INDEX(Tab_DaBa[],MATCH(CONCATENATE(Liste!$C$3,$B$3671,$B$3925),Data!$BO:$BO,0)-2,38)=0),INDEX(Tab_DaBa[],MATCH(CONCATENATE(Liste!$C$3,$B$3671,$B$3925),Data!$BO:$BO,0)-2,14),IF(INDEX(Tab_DaBa[],MATCH(CONCATENATE(Liste!$C$3,$B$3671,$B$3925),Data!$BO:$BO,0)-2,33)&lt;&gt;"",INDEX(Tab_DaBa[],MATCH(CONCATENATE(Liste!$C$3,$B$3671,$B$3925),Data!$BO:$BO,0)-2,39),"")),"")</f>
        <v>Logik 08</v>
      </c>
      <c r="E3935" s="33"/>
      <c r="F3935" s="35" t="str">
        <f ca="1">IFERROR(IF(AND(INDEX(Tab_DaBa[],MATCH(CONCATENATE(Liste!$C$3,$B$3671,$B$3925),Data!$BO:$BO,0)-2,38)&lt;&gt;"",INDEX(Tab_DaBa[],MATCH(CONCATENATE(Liste!$C$3,$B$3671,$B$3925),Data!$BO:$BO,0)-2,43)=0),INDEX(Tab_DaBa[],MATCH(CONCATENATE(Liste!$C$3,$B$3671,$B$3925),Data!$BO:$BO,0)-2,14),IF(INDEX(Tab_DaBa[],MATCH(CONCATENATE(Liste!$C$3,$B$3671,$B$3925),Data!$BO:$BO,0)-2,38)&lt;&gt;"",INDEX(Tab_DaBa[],MATCH(CONCATENATE(Liste!$C$3,$B$3671,$B$3925),Data!$BO:$BO,0)-2,44),"")),"")</f>
        <v>Logik 06</v>
      </c>
      <c r="G3935" s="39"/>
      <c r="H3935" s="35" t="str">
        <f ca="1">IFERROR(IF(AND(INDEX(Tab_DaBa[],MATCH(CONCATENATE(Liste!$C$3,$B$3671,$B$3925),Data!$BO:$BO,0)-2,43)&lt;&gt;"",INDEX(Tab_DaBa[],MATCH(CONCATENATE(Liste!$C$3,$B$3671,$B$3925),Data!$BO:$BO,0)-2,48)=0),INDEX(Tab_DaBa[],MATCH(CONCATENATE(Liste!$C$3,$B$3671,$B$3925),Data!$BO:$BO,0)-2,14),IF(INDEX(Tab_DaBa[],MATCH(CONCATENATE(Liste!$C$3,$B$3671,$B$3925),Data!$BO:$BO,0)-2,43)&lt;&gt;"",INDEX(Tab_DaBa[],MATCH(CONCATENATE(Liste!$C$3,$B$3671,$B$3925),Data!$BO:$BO,0)-2,49),"")),"")</f>
        <v>Logik 07</v>
      </c>
      <c r="I3935" s="39"/>
    </row>
    <row r="3936" spans="2:9" s="16" customFormat="1" ht="15.75">
      <c r="B3936" s="35" t="str">
        <f ca="1">IFERROR(IF(AND(INDEX(Tab_DaBa[],MATCH(CONCATENATE(Liste!$C$3,$B$3671,$B$3925),Data!$BO:$BO,0)-2,28)&lt;&gt;"",INDEX(Tab_DaBa[],MATCH(CONCATENATE(Liste!$C$3,$B$3671,$B$3925),Data!$BO:$BO,0)-2,33)=0),INDEX(Tab_DaBa[],MATCH(CONCATENATE(Liste!$C$3,$B$3671,$B$3925),Data!$BO:$BO,0)-2,12),IF(INDEX(Tab_DaBa[],MATCH(CONCATENATE(Liste!$C$3,$B$3671,$B$3925),Data!$BO:$BO,0)-2,28)&lt;&gt;"",INDEX(Tab_DaBa[],MATCH(CONCATENATE(Liste!$C$3,$B$3671,$B$3925),Data!$BO:$BO,0)-2,32),"")),"")</f>
        <v>Lo04-44_10</v>
      </c>
      <c r="C3936" s="39"/>
      <c r="D3936" s="35" t="str">
        <f ca="1">IFERROR(IF(AND(INDEX(Tab_DaBa[],MATCH(CONCATENATE(Liste!$C$3,$B$3671,$B$3925),Data!$BO:$BO,0)-2,33)&lt;&gt;"",INDEX(Tab_DaBa[],MATCH(CONCATENATE(Liste!$C$3,$B$3671,$B$3925),Data!$BO:$BO,0)-2,38)=0),INDEX(Tab_DaBa[],MATCH(CONCATENATE(Liste!$C$3,$B$3671,$B$3925),Data!$BO:$BO,0)-2,12),IF(INDEX(Tab_DaBa[],MATCH(CONCATENATE(Liste!$C$3,$B$3671,$B$3925),Data!$BO:$BO,0)-2,33)&lt;&gt;"",INDEX(Tab_DaBa[],MATCH(CONCATENATE(Liste!$C$3,$B$3671,$B$3925),Data!$BO:$BO,0)-2,37),"")),"")</f>
        <v>Lo04-44_10</v>
      </c>
      <c r="E3936" s="37"/>
      <c r="F3936" s="35" t="str">
        <f ca="1">IFERROR(IF(AND(INDEX(Tab_DaBa[],MATCH(CONCATENATE(Liste!$C$3,$B$3671,$B$3925),Data!$BO:$BO,0)-2,38)&lt;&gt;"",INDEX(Tab_DaBa[],MATCH(CONCATENATE(Liste!$C$3,$B$3671,$B$3925),Data!$BO:$BO,0)-2,43)=0),INDEX(Tab_DaBa[],MATCH(CONCATENATE(Liste!$C$3,$B$3671,$B$3925),Data!$BO:$BO,0)-2,12),IF(INDEX(Tab_DaBa[],MATCH(CONCATENATE(Liste!$C$3,$B$3671,$B$3925),Data!$BO:$BO,0)-2,38)&lt;&gt;"",INDEX(Tab_DaBa[],MATCH(CONCATENATE(Liste!$C$3,$B$3671,$B$3925),Data!$BO:$BO,0)-2,42),"")),"")</f>
        <v>Lo03-33_10</v>
      </c>
      <c r="G3936" s="39"/>
      <c r="H3936" s="35" t="str">
        <f ca="1">IFERROR(IF(AND(INDEX(Tab_DaBa[],MATCH(CONCATENATE(Liste!$C$3,$B$3671,$B$3925),Data!$BO:$BO,0)-2,43)&lt;&gt;"",INDEX(Tab_DaBa[],MATCH(CONCATENATE(Liste!$C$3,$B$3671,$B$3925),Data!$BO:$BO,0)-2,48)=0),INDEX(Tab_DaBa[],MATCH(CONCATENATE(Liste!$C$3,$B$3671,$B$3925),Data!$BO:$BO,0)-2,12),IF(INDEX(Tab_DaBa[],MATCH(CONCATENATE(Liste!$C$3,$B$3671,$B$3925),Data!$BO:$BO,0)-2,43)&lt;&gt;"",INDEX(Tab_DaBa[],MATCH(CONCATENATE(Liste!$C$3,$B$3671,$B$3925),Data!$BO:$BO,0)-2,47),"")),"")</f>
        <v>Lo03-33_10</v>
      </c>
      <c r="I3936" s="39"/>
    </row>
    <row r="3937" spans="2:9" s="16" customFormat="1" ht="15.75">
      <c r="B3937" s="35" t="str">
        <f ca="1">IFERROR(IF(AND(INDEX(Tab_DaBa[],MATCH(CONCATENATE(Liste!$C$3,$B$3671,$B$3925),Data!$BO:$BO,0)-2,28)&lt;&gt;"",INDEX(Tab_DaBa[],MATCH(CONCATENATE(Liste!$C$3,$B$3671,$B$3925),Data!$BO:$BO,0)-2,33)=""),INDEX(Tab_DaBa[],MATCH(CONCATENATE(Liste!$C$3,$B$3671,$B$3925),Data!$BO:$BO,0)-2,13),IF(INDEX(Tab_DaBa[],MATCH(CONCATENATE(Liste!$C$3,$B$3671,$B$3925),Data!$BO:$BO,0)-2,28)&lt;&gt;"",INDEX(Tab_DaBa[],MATCH(CONCATENATE(Liste!$C$3,$B$3671,$B$3925),Data!$BO:$BO,0)-2,33),"")),"")</f>
        <v>Bez_Lo04_10</v>
      </c>
      <c r="C3937" s="38">
        <f ca="1">IF(D3935="","",4)</f>
        <v>4</v>
      </c>
      <c r="D3937" s="35" t="str">
        <f ca="1">IFERROR(IF(AND(INDEX(Tab_DaBa[],MATCH(CONCATENATE(Liste!$C$3,$B$3671,$B$3925),Data!$BO:$BO,0)-2,33)&lt;&gt;"",INDEX(Tab_DaBa[],MATCH(CONCATENATE(Liste!$C$3,$B$3671,$B$3925),Data!$BO:$BO,0)-2,38)=""),INDEX(Tab_DaBa[],MATCH(CONCATENATE(Liste!$C$3,$B$3671,$B$3925),Data!$BO:$BO,0)-2,13),IF(INDEX(Tab_DaBa[],MATCH(CONCATENATE(Liste!$C$3,$B$3671,$B$3925),Data!$BO:$BO,0)-2,33)&lt;&gt;"",INDEX(Tab_DaBa[],MATCH(CONCATENATE(Liste!$C$3,$B$3671,$B$3925),Data!$BO:$BO,0)-2,38),"")),"")</f>
        <v>Bez_Lo03_10</v>
      </c>
      <c r="E3937" s="38">
        <f ca="1">IF(F3935="","",4)</f>
        <v>4</v>
      </c>
      <c r="F3937" s="35" t="str">
        <f ca="1">IFERROR(IF(AND(INDEX(Tab_DaBa[],MATCH(CONCATENATE(Liste!$C$3,$B$3671,$B$3925),Data!$BO:$BO,0)-2,38)&lt;&gt;"",INDEX(Tab_DaBa[],MATCH(CONCATENATE(Liste!$C$3,$B$3671,$B$3925),Data!$BO:$BO,0)-2,43)=""),INDEX(Tab_DaBa[],MATCH(CONCATENATE(Liste!$C$3,$B$3671,$B$3925),Data!$BO:$BO,0)-2,13),IF(INDEX(Tab_DaBa[],MATCH(CONCATENATE(Liste!$C$3,$B$3671,$B$3925),Data!$BO:$BO,0)-2,38)&lt;&gt;"",INDEX(Tab_DaBa[],MATCH(CONCATENATE(Liste!$C$3,$B$3671,$B$3925),Data!$BO:$BO,0)-2,43),"")),"")</f>
        <v>Bez_Lo03_10</v>
      </c>
      <c r="G3937" s="38">
        <f ca="1">IF(H3935="","",4)</f>
        <v>4</v>
      </c>
      <c r="H3937" s="35" t="str">
        <f ca="1">IFERROR(IF(AND(INDEX(Tab_DaBa[],MATCH(CONCATENATE(Liste!$C$3,$B$3671,$B$3925),Data!$BO:$BO,0)-2,43)&lt;&gt;"",INDEX(Tab_DaBa[],MATCH(CONCATENATE(Liste!$C$3,$B$3671,$B$3925),Data!$BO:$BO,0)-2,48)=""),INDEX(Tab_DaBa[],MATCH(CONCATENATE(Liste!$C$3,$B$3671,$B$3925),Data!$BO:$BO,0)-2,13),IF(INDEX(Tab_DaBa[],MATCH(CONCATENATE(Liste!$C$3,$B$3671,$B$3925),Data!$BO:$BO,0)-2,43)&lt;&gt;"",INDEX(Tab_DaBa[],MATCH(CONCATENATE(Liste!$C$3,$B$3671,$B$3925),Data!$BO:$BO,0)-2,48),"")),"")</f>
        <v>Bez_Lo03_10</v>
      </c>
      <c r="I3937" s="38">
        <f ca="1">IF(B3943="","",6)</f>
        <v>6</v>
      </c>
    </row>
    <row r="3938" spans="2:9" s="16" customFormat="1" ht="15.75">
      <c r="B3938" s="35" t="str">
        <f ca="1">IFERROR(IF(AND(INDEX(Tab_DaBa[],MATCH(CONCATENATE(Liste!$C$3,$B$3671,$B$3925),Data!$BO:$BO,0)-2,28)&lt;&gt;"",INDEX(Tab_DaBa[],MATCH(CONCATENATE(Liste!$C$3,$B$3671,$B$3925),Data!$BO:$BO,0)-2,33)=""),"Performance Level: "&amp;INDEX(Tab_DaBa[],MATCH(CONCATENATE(Liste!$C$3,$B$3671,$B$3925),Data!$BO:$BO,0)-2,15),IF(INDEX(Tab_DaBa[],MATCH(CONCATENATE(Liste!$C$3,$B$3671,$B$3925),Data!$BO:$BO,0)-2,28)&lt;&gt;"","Performance Level: "&amp;INDEX(Tab_DaBa[],MATCH(CONCATENATE(Liste!$C$3,$B$3671,$B$3925),Data!$BO:$BO,0)-2,35),"")),"")</f>
        <v>Performance Level: PL_Lo04_10</v>
      </c>
      <c r="C3938" s="39"/>
      <c r="D3938" s="35" t="str">
        <f ca="1">IFERROR(IF(AND(INDEX(Tab_DaBa[],MATCH(CONCATENATE(Liste!$C$3,$B$3671,$B$3925),Data!$BO:$BO,0)-2,33)&lt;&gt;"",INDEX(Tab_DaBa[],MATCH(CONCATENATE(Liste!$C$3,$B$3671,$B$3925),Data!$BO:$BO,0)-2,38)=""),"Performance Level: "&amp;INDEX(Tab_DaBa[],MATCH(CONCATENATE(Liste!$C$3,$B$3671,$B$3925),Data!$BO:$BO,0)-2,15),IF(INDEX(Tab_DaBa[],MATCH(CONCATENATE(Liste!$C$3,$B$3671,$B$3925),Data!$BO:$BO,0)-2,33)&lt;&gt;"","Performance Level: "&amp;INDEX(Tab_DaBa[],MATCH(CONCATENATE(Liste!$C$3,$B$3671,$B$3925),Data!$BO:$BO,0)-2,40),"")),"")</f>
        <v>Performance Level: PL_Lo03_10</v>
      </c>
      <c r="E3938" s="37"/>
      <c r="F3938" s="35" t="str">
        <f ca="1">IFERROR(IF(AND(INDEX(Tab_DaBa[],MATCH(CONCATENATE(Liste!$C$3,$B$3671,$B$3925),Data!$BO:$BO,0)-2,38)&lt;&gt;"",INDEX(Tab_DaBa[],MATCH(CONCATENATE(Liste!$C$3,$B$3671,$B$3925),Data!$BO:$BO,0)-2,43)=""),"Performance Level: "&amp;INDEX(Tab_DaBa[],MATCH(CONCATENATE(Liste!$C$3,$B$3671,$B$3925),Data!$BO:$BO,0)-2,15),IF(INDEX(Tab_DaBa[],MATCH(CONCATENATE(Liste!$C$3,$B$3671,$B$3925),Data!$BO:$BO,0)-2,38)&lt;&gt;"","Performance Level: "&amp;INDEX(Tab_DaBa[],MATCH(CONCATENATE(Liste!$C$3,$B$3671,$B$3925),Data!$BO:$BO,0)-2,45),"")),"")</f>
        <v>Performance Level: PL_Lo03_10</v>
      </c>
      <c r="G3938" s="39"/>
      <c r="H3938" s="35" t="str">
        <f ca="1">IFERROR(IF(AND(INDEX(Tab_DaBa[],MATCH(CONCATENATE(Liste!$C$3,$B$3671,$B$3925),Data!$BO:$BO,0)-2,43)&lt;&gt;"",INDEX(Tab_DaBa[],MATCH(CONCATENATE(Liste!$C$3,$B$3671,$B$3925),Data!$BO:$BO,0)-2,48)=""),"Performance Level: "&amp;INDEX(Tab_DaBa[],MATCH(CONCATENATE(Liste!$C$3,$B$3671,$B$3925),Data!$BO:$BO,0)-2,15),IF(INDEX(Tab_DaBa[],MATCH(CONCATENATE(Liste!$C$3,$B$3671,$B$3925),Data!$BO:$BO,0)-2,43)&lt;&gt;"","Performance Level: "&amp;INDEX(Tab_DaBa[],MATCH(CONCATENATE(Liste!$C$3,$B$3671,$B$3925),Data!$BO:$BO,0)-2,50),"")),"")</f>
        <v>Performance Level: PL_Lo03_10</v>
      </c>
      <c r="I3938" s="39"/>
    </row>
    <row r="3939" spans="2:9" s="16" customFormat="1" ht="15.75">
      <c r="B3939" s="35" t="str">
        <f ca="1">IFERROR(IF(AND(INDEX(Tab_DaBa[],MATCH(CONCATENATE(Liste!$C$3,$B$3671,$B$3925),Data!$BO:$BO,0)-2,28)&lt;&gt;"",INDEX(Tab_DaBa[],MATCH(CONCATENATE(Liste!$C$3,$B$3671,$B$3925),Data!$BO:$BO,0)-2,33)=""),"PFH [1/h] = "&amp;10^9*INDEX(Tab_DaBa[],MATCH(CONCATENATE(Liste!$C$3,$B$3671,$B$3925),Data!$BO:$BO,0)-2,16)&amp;"E-9",IF(INDEX(Tab_DaBa[],MATCH(CONCATENATE(Liste!$C$3,$B$3671,$B$3925),Data!$BO:$BO,0)-2,28)&lt;&gt;"","PFH [1/h] = "&amp;10^9*INDEX(Tab_DaBa[],MATCH(CONCATENATE(Liste!$C$3,$B$3671,$B$3925),Data!$BO:$BO,0)-2,36)&amp;"E-9","")),"")</f>
        <v>PFH [1/h] = 4,19E-9</v>
      </c>
      <c r="C3939" s="39"/>
      <c r="D3939" s="35" t="str">
        <f ca="1">IFERROR(IF(AND(INDEX(Tab_DaBa[],MATCH(CONCATENATE(Liste!$C$3,$B$3671,$B$3925),Data!$BO:$BO,0)-2,33)&lt;&gt;"",INDEX(Tab_DaBa[],MATCH(CONCATENATE(Liste!$C$3,$B$3671,$B$3925),Data!$BO:$BO,0)-2,38)=""),"PFH [1/h] = "&amp;10^9*INDEX(Tab_DaBa[],MATCH(CONCATENATE(Liste!$C$3,$B$3671,$B$3925),Data!$BO:$BO,0)-2,16)&amp;"E-9",IF(INDEX(Tab_DaBa[],MATCH(CONCATENATE(Liste!$C$3,$B$3671,$B$3925),Data!$BO:$BO,0)-2,33)&lt;&gt;"","PFH [1/h] = "&amp;10^9*INDEX(Tab_DaBa[],MATCH(CONCATENATE(Liste!$C$3,$B$3671,$B$3925),Data!$BO:$BO,0)-2,41)&amp;"E-9","")),"")</f>
        <v>PFH [1/h] = 4,19E-9</v>
      </c>
      <c r="E3939" s="37"/>
      <c r="F3939" s="35" t="str">
        <f ca="1">IFERROR(IF(AND(INDEX(Tab_DaBa[],MATCH(CONCATENATE(Liste!$C$3,$B$3671,$B$3925),Data!$BO:$BO,0)-2,38)&lt;&gt;"",INDEX(Tab_DaBa[],MATCH(CONCATENATE(Liste!$C$3,$B$3671,$B$3925),Data!$BO:$BO,0)-2,43)=""),"PFH [1/h] = "&amp;10^9*INDEX(Tab_DaBa[],MATCH(CONCATENATE(Liste!$C$3,$B$3671,$B$3925),Data!$BO:$BO,0)-2,16)&amp;"E-9",IF(INDEX(Tab_DaBa[],MATCH(CONCATENATE(Liste!$C$3,$B$3671,$B$3925),Data!$BO:$BO,0)-2,38)&lt;&gt;"","PFH [1/h] = "&amp;10^9*INDEX(Tab_DaBa[],MATCH(CONCATENATE(Liste!$C$3,$B$3671,$B$3925),Data!$BO:$BO,0)-2,46)&amp;"E-9","")),"")</f>
        <v>PFH [1/h] = 4,19E-9</v>
      </c>
      <c r="G3939" s="39"/>
      <c r="H3939" s="35" t="str">
        <f ca="1">IFERROR(IF(AND(INDEX(Tab_DaBa[],MATCH(CONCATENATE(Liste!$C$3,$B$3671,$B$3925),Data!$BO:$BO,0)-2,43)&lt;&gt;"",INDEX(Tab_DaBa[],MATCH(CONCATENATE(Liste!$C$3,$B$3671,$B$3925),Data!$BO:$BO,0)-2,48)=""),"PFH [1/h] = "&amp;10^9*INDEX(Tab_DaBa[],MATCH(CONCATENATE(Liste!$C$3,$B$3671,$B$3925),Data!$BO:$BO,0)-2,16)&amp;"E-9",IF(INDEX(Tab_DaBa[],MATCH(CONCATENATE(Liste!$C$3,$B$3671,$B$3925),Data!$BO:$BO,0)-2,43)&lt;&gt;"","PFH [1/h] = "&amp;10^9*INDEX(Tab_DaBa[],MATCH(CONCATENATE(Liste!$C$3,$B$3671,$B$3925),Data!$BO:$BO,0)-2,51)&amp;"E-9","")),"")</f>
        <v>PFH [1/h] = 4,19E-9</v>
      </c>
      <c r="I3939" s="39"/>
    </row>
    <row r="3940" spans="2:9" s="16" customFormat="1">
      <c r="B3940" s="33"/>
      <c r="C3940" s="33"/>
      <c r="D3940" s="33"/>
      <c r="E3940" s="33"/>
      <c r="F3940" s="33"/>
      <c r="G3940" s="33"/>
      <c r="H3940" s="33"/>
      <c r="I3940" s="33"/>
    </row>
    <row r="3941" spans="2:9" s="16" customFormat="1" ht="15.75">
      <c r="B3941" s="38">
        <f ca="1">IF(B3943="","",6)</f>
        <v>6</v>
      </c>
      <c r="C3941" s="33"/>
      <c r="D3941" s="38">
        <f ca="1">IF(B3943="","",3)</f>
        <v>3</v>
      </c>
      <c r="E3941" s="33"/>
      <c r="F3941" s="38">
        <f ca="1">IF(B3943="","",3)</f>
        <v>3</v>
      </c>
      <c r="G3941" s="33"/>
      <c r="H3941" s="38">
        <f ca="1">IF(B3943="","",3)</f>
        <v>3</v>
      </c>
      <c r="I3941" s="33"/>
    </row>
    <row r="3942" spans="2:9" s="16" customFormat="1" ht="15.75">
      <c r="B3942" s="39"/>
      <c r="C3942" s="33"/>
      <c r="D3942" s="33"/>
      <c r="E3942" s="33"/>
      <c r="F3942" s="33"/>
      <c r="G3942" s="33"/>
      <c r="H3942" s="33"/>
      <c r="I3942" s="33"/>
    </row>
    <row r="3943" spans="2:9" s="16" customFormat="1" ht="15.75">
      <c r="B3943" s="35" t="str">
        <f ca="1">IFERROR(IF(AND(INDEX(Tab_DaBa[],MATCH(CONCATENATE(Liste!$C$3,$B$3671,$B$3925),Data!$BO:$BO,0)-2,48)&lt;&gt;"",INDEX(Tab_DaBa[],MATCH(CONCATENATE(Liste!$C$3,$B$3671,$B$3925),Data!$BO:$BO,0)-2,53)=0),INDEX(Tab_DaBa[],MATCH(CONCATENATE(Liste!$C$3,$B$3671,$B$3925),Data!$BO:$BO,0)-2,14),IF(INDEX(Tab_DaBa[],MATCH(CONCATENATE(Liste!$C$3,$B$3671,$B$3925),Data!$BO:$BO,0)-2,48)&lt;&gt;"",INDEX(Tab_DaBa[],MATCH(CONCATENATE(Liste!$C$3,$B$3671,$B$3925),Data!$BO:$BO,0)-2,54),"")),"")</f>
        <v>Logik 08</v>
      </c>
      <c r="C3943" s="39"/>
      <c r="D3943" s="35" t="str">
        <f ca="1">IFERROR(IF(AND(INDEX(Tab_DaBa[],MATCH(CONCATENATE(Liste!$C$3,$B$3671,$B$3925),Data!$BO:$BO,0)-2,53)&lt;&gt;"",INDEX(Tab_DaBa[],MATCH(CONCATENATE(Liste!$C$3,$B$3671,$B$3925),Data!$BO:$BO,0)-2,58)=0),INDEX(Tab_DaBa[],MATCH(CONCATENATE(Liste!$C$3,$B$3671,$B$3925),Data!$BO:$BO,0)-2,14),IF(INDEX(Tab_DaBa[],MATCH(CONCATENATE(Liste!$C$3,$B$3671,$B$3925),Data!$BO:$BO,0)-2,53)&lt;&gt;"",INDEX(Tab_DaBa[],MATCH(CONCATENATE(Liste!$C$3,$B$3671,$B$3925),Data!$BO:$BO,0)-2,59),"")),"")</f>
        <v>Logik 09</v>
      </c>
      <c r="E3943" s="33"/>
      <c r="F3943" s="35" t="str">
        <f ca="1">IFERROR(IF(AND(INDEX(Tab_DaBa[],MATCH(CONCATENATE(Liste!$C$3,$B$3671,$B$3925),Data!$BO:$BO,0)-2,58)&lt;&gt;"",INDEX(Tab_DaBa[],MATCH(CONCATENATE(Liste!$C$3,$B$3671,$B$3925),Data!$BO:$BO,0)-2,63)=0),INDEX(Tab_DaBa[],MATCH(CONCATENATE(Liste!$C$3,$B$3671,$B$3925),Data!$BO:$BO,0)-2,14),IF(INDEX(Tab_DaBa[],MATCH(CONCATENATE(Liste!$C$3,$B$3671,$B$3925),Data!$BO:$BO,0)-2,58)&lt;&gt;"",INDEX(Tab_DaBa[],MATCH(CONCATENATE(Liste!$C$3,$B$3671,$B$3925),Data!$BO:$BO,0)-2,64),"")),"")</f>
        <v>Logik 10</v>
      </c>
      <c r="G3943" s="39"/>
      <c r="H3943" s="35" t="str">
        <f ca="1">IFERROR(IF(INDEX(Tab_DaBa[],MATCH(CONCATENATE(Liste!$C$3,$B$3671,$B$3925),Data!$BO:$BO,0)-2,63)&lt;&gt;"",INDEX(Tab_DaBa[],MATCH(CONCATENATE(Liste!$C$3,$B$3671,$B$3925),Data!$BO:$BO,0)-2,14),""),"")</f>
        <v>Ausgang</v>
      </c>
    </row>
    <row r="3944" spans="2:9" s="16" customFormat="1" ht="15.75">
      <c r="B3944" s="35" t="str">
        <f ca="1">IFERROR(IF(AND(INDEX(Tab_DaBa[],MATCH(CONCATENATE(Liste!$C$3,$B$3671,$B$3925),Data!$BO:$BO,0)-2,48)&lt;&gt;"",INDEX(Tab_DaBa[],MATCH(CONCATENATE(Liste!$C$3,$B$3671,$B$3925),Data!$BO:$BO,0)-2,53)=0),INDEX(Tab_DaBa[],MATCH(CONCATENATE(Liste!$C$3,$B$3671,$B$3925),Data!$BO:$BO,0)-2,12),IF(INDEX(Tab_DaBa[],MATCH(CONCATENATE(Liste!$C$3,$B$3671,$B$3925),Data!$BO:$BO,0)-2,48)&lt;&gt;"",INDEX(Tab_DaBa[],MATCH(CONCATENATE(Liste!$C$3,$B$3671,$B$3925),Data!$BO:$BO,0)-2,52),"")),"")</f>
        <v>Lo03-88_10</v>
      </c>
      <c r="C3944" s="39"/>
      <c r="D3944" s="35" t="str">
        <f ca="1">IFERROR(IF(AND(INDEX(Tab_DaBa[],MATCH(CONCATENATE(Liste!$C$3,$B$3671,$B$3925),Data!$BO:$BO,0)-2,53)&lt;&gt;"",INDEX(Tab_DaBa[],MATCH(CONCATENATE(Liste!$C$3,$B$3671,$B$3925),Data!$BO:$BO,0)-2,58)=0),INDEX(Tab_DaBa[],MATCH(CONCATENATE(Liste!$C$3,$B$3671,$B$3925),Data!$BO:$BO,0)-2,12),IF(INDEX(Tab_DaBa[],MATCH(CONCATENATE(Liste!$C$3,$B$3671,$B$3925),Data!$BO:$BO,0)-2,53)&lt;&gt;"",INDEX(Tab_DaBa[],MATCH(CONCATENATE(Liste!$C$3,$B$3671,$B$3925),Data!$BO:$BO,0)-2,57),"")),"")</f>
        <v>Lo03-33_10</v>
      </c>
      <c r="E3944" s="37"/>
      <c r="F3944" s="35" t="str">
        <f ca="1">IFERROR(IF(AND(INDEX(Tab_DaBa[],MATCH(CONCATENATE(Liste!$C$3,$B$3671,$B$3925),Data!$BO:$BO,0)-2,58)&lt;&gt;"",INDEX(Tab_DaBa[],MATCH(CONCATENATE(Liste!$C$3,$B$3671,$B$3925),Data!$BO:$BO,0)-2,63)=0),INDEX(Tab_DaBa[],MATCH(CONCATENATE(Liste!$C$3,$B$3671,$B$3925),Data!$BO:$BO,0)-2,12),IF(INDEX(Tab_DaBa[],MATCH(CONCATENATE(Liste!$C$3,$B$3671,$B$3925),Data!$BO:$BO,0)-2,58)&lt;&gt;"",INDEX(Tab_DaBa[],MATCH(CONCATENATE(Liste!$C$3,$B$3671,$B$3925),Data!$BO:$BO,0)-2,62),"")),"")</f>
        <v>Lo03-10_10</v>
      </c>
      <c r="G3944" s="39"/>
      <c r="H3944" s="35" t="str">
        <f ca="1">IFERROR(IF(INDEX(Tab_DaBa[],MATCH(CONCATENATE(Liste!$C$3,$B$3671,$B$3925),Data!$BO:$BO,0)-2,63)&lt;&gt;"",INDEX(Tab_DaBa[],MATCH(CONCATENATE(Liste!$C$3,$B$3671,$B$3925),Data!$BO:$BO,0)-2,12),""),"")</f>
        <v>aaaa-44_10</v>
      </c>
    </row>
    <row r="3945" spans="2:9" s="16" customFormat="1" ht="15.75">
      <c r="B3945" s="35" t="str">
        <f ca="1">IFERROR(IF(AND(INDEX(Tab_DaBa[],MATCH(CONCATENATE(Liste!$C$3,$B$3671,$B$3925),Data!$BO:$BO,0)-2,48)&lt;&gt;"",INDEX(Tab_DaBa[],MATCH(CONCATENATE(Liste!$C$3,$B$3671,$B$3925),Data!$BO:$BO,0)-2,53)=""),INDEX(Tab_DaBa[],MATCH(CONCATENATE(Liste!$C$3,$B$3671,$B$3925),Data!$BO:$BO,0)-2,13),IF(INDEX(Tab_DaBa[],MATCH(CONCATENATE(Liste!$C$3,$B$3671,$B$3925),Data!$BO:$BO,0)-2,48)&lt;&gt;"",INDEX(Tab_DaBa[],MATCH(CONCATENATE(Liste!$C$3,$B$3671,$B$3925),Data!$BO:$BO,0)-2,53),"")),"")</f>
        <v>Bez_Lo03_10</v>
      </c>
      <c r="C3945" s="38">
        <f ca="1">IF(D3943="","",4)</f>
        <v>4</v>
      </c>
      <c r="D3945" s="35" t="str">
        <f ca="1">IFERROR(IF(AND(INDEX(Tab_DaBa[],MATCH(CONCATENATE(Liste!$C$3,$B$3671,$B$3925),Data!$BO:$BO,0)-2,53)&lt;&gt;"",INDEX(Tab_DaBa[],MATCH(CONCATENATE(Liste!$C$3,$B$3671,$B$3925),Data!$BO:$BO,0)-2,58)=""),INDEX(Tab_DaBa[],MATCH(CONCATENATE(Liste!$C$3,$B$3671,$B$3925),Data!$BO:$BO,0)-2,13),IF(INDEX(Tab_DaBa[],MATCH(CONCATENATE(Liste!$C$3,$B$3671,$B$3925),Data!$BO:$BO,0)-2,53)&lt;&gt;"",INDEX(Tab_DaBa[],MATCH(CONCATENATE(Liste!$C$3,$B$3671,$B$3925),Data!$BO:$BO,0)-2,58),"")),"")</f>
        <v>Bez_Lo03_10</v>
      </c>
      <c r="E3945" s="38">
        <f ca="1">IF(F3943="","",4)</f>
        <v>4</v>
      </c>
      <c r="F3945" s="35" t="str">
        <f ca="1">IFERROR(IF(AND(INDEX(Tab_DaBa[],MATCH(CONCATENATE(Liste!$C$3,$B$3671,$B$3925),Data!$BO:$BO,0)-2,58)&lt;&gt;"",INDEX(Tab_DaBa[],MATCH(CONCATENATE(Liste!$C$3,$B$3671,$B$3925),Data!$BO:$BO,0)-2,63)=""),INDEX(Tab_DaBa[],MATCH(CONCATENATE(Liste!$C$3,$B$3671,$B$3925),Data!$BO:$BO,0)-2,13),IF(INDEX(Tab_DaBa[],MATCH(CONCATENATE(Liste!$C$3,$B$3671,$B$3925),Data!$BO:$BO,0)-2,58)&lt;&gt;"",INDEX(Tab_DaBa[],MATCH(CONCATENATE(Liste!$C$3,$B$3671,$B$3925),Data!$BO:$BO,0)-2,63),"")),"")</f>
        <v>Bez_Lo03_10</v>
      </c>
      <c r="G3945" s="38">
        <f ca="1">IF(H3943="","",4)</f>
        <v>4</v>
      </c>
      <c r="H3945" s="35" t="str">
        <f ca="1">IFERROR(IF(INDEX(Tab_DaBa[],MATCH(CONCATENATE(Liste!$C$3,$B$3671,$B$3925),Data!$BO:$BO,0)-2,63)&lt;&gt;"",INDEX(Tab_DaBa[],MATCH(CONCATENATE(Liste!$C$3,$B$3671,$B$3925),Data!$BO:$BO,0)-2,13),""),"")</f>
        <v>Bez_Aus4_10</v>
      </c>
    </row>
    <row r="3946" spans="2:9" s="16" customFormat="1" ht="15.75">
      <c r="B3946" s="35" t="str">
        <f ca="1">IFERROR(IF(AND(INDEX(Tab_DaBa[],MATCH(CONCATENATE(Liste!$C$3,$B$3671,$B$3925),Data!$BO:$BO,0)-2,48)&lt;&gt;"",INDEX(Tab_DaBa[],MATCH(CONCATENATE(Liste!$C$3,$B$3671,$B$3925),Data!$BO:$BO,0)-2,53)=""),"Performance Level: "&amp;INDEX(Tab_DaBa[],MATCH(CONCATENATE(Liste!$C$3,$B$3671,$B$3925),Data!$BO:$BO,0)-2,15),IF(INDEX(Tab_DaBa[],MATCH(CONCATENATE(Liste!$C$3,$B$3671,$B$3925),Data!$BO:$BO,0)-2,48)&lt;&gt;"","Performance Level: "&amp;INDEX(Tab_DaBa[],MATCH(CONCATENATE(Liste!$C$3,$B$3671,$B$3925),Data!$BO:$BO,0)-2,55),"")),"")</f>
        <v>Performance Level: PL_Lo03_10</v>
      </c>
      <c r="C3946" s="39"/>
      <c r="D3946" s="35" t="str">
        <f ca="1">IFERROR(IF(AND(INDEX(Tab_DaBa[],MATCH(CONCATENATE(Liste!$C$3,$B$3671,$B$3925),Data!$BO:$BO,0)-2,53)&lt;&gt;"",INDEX(Tab_DaBa[],MATCH(CONCATENATE(Liste!$C$3,$B$3671,$B$3925),Data!$BO:$BO,0)-2,58)=""),"Performance Level: "&amp;INDEX(Tab_DaBa[],MATCH(CONCATENATE(Liste!$C$3,$B$3671,$B$3925),Data!$BO:$BO,0)-2,15),IF(INDEX(Tab_DaBa[],MATCH(CONCATENATE(Liste!$C$3,$B$3671,$B$3925),Data!$BO:$BO,0)-2,53)&lt;&gt;"","Performance Level: "&amp;INDEX(Tab_DaBa[],MATCH(CONCATENATE(Liste!$C$3,$B$3671,$B$3925),Data!$BO:$BO,0)-2,60),"")),"")</f>
        <v>Performance Level: PL_Lo03_10</v>
      </c>
      <c r="E3946" s="37"/>
      <c r="F3946" s="35" t="str">
        <f ca="1">IFERROR(IF(AND(INDEX(Tab_DaBa[],MATCH(CONCATENATE(Liste!$C$3,$B$3671,$B$3925),Data!$BO:$BO,0)-2,58)&lt;&gt;"",INDEX(Tab_DaBa[],MATCH(CONCATENATE(Liste!$C$3,$B$3671,$B$3925),Data!$BO:$BO,0)-2,63)=""),"Performance Level: "&amp;INDEX(Tab_DaBa[],MATCH(CONCATENATE(Liste!$C$3,$B$3671,$B$3925),Data!$BO:$BO,0)-2,15),IF(INDEX(Tab_DaBa[],MATCH(CONCATENATE(Liste!$C$3,$B$3671,$B$3925),Data!$BO:$BO,0)-2,58)&lt;&gt;"","Performance Level: "&amp;INDEX(Tab_DaBa[],MATCH(CONCATENATE(Liste!$C$3,$B$3671,$B$3925),Data!$BO:$BO,0)-2,65),"")),"")</f>
        <v>Performance Level: PL_Lo03_10</v>
      </c>
      <c r="G3946" s="39"/>
      <c r="H3946" s="35" t="str">
        <f ca="1">IFERROR(IF(INDEX(Tab_DaBa[],MATCH(CONCATENATE(Liste!$C$3,$B$3671,$B$3925),Data!$BO:$BO,0)-2,63)&lt;&gt;"","Performance Level: "&amp;INDEX(Tab_DaBa[],MATCH(CONCATENATE(Liste!$C$3,$B$3671,$B$3925),Data!$BO:$BO,0)-2,15),""),"")</f>
        <v>Performance Level: PL_Aus4_10</v>
      </c>
    </row>
    <row r="3947" spans="2:9" s="16" customFormat="1" ht="15.75">
      <c r="B3947" s="35" t="str">
        <f ca="1">IFERROR(IF(AND(INDEX(Tab_DaBa[],MATCH(CONCATENATE(Liste!$C$3,$B$3671,$B$3925),Data!$BO:$BO,0)-2,48)&lt;&gt;"",INDEX(Tab_DaBa[],MATCH(CONCATENATE(Liste!$C$3,$B$3671,$B$3925),Data!$BO:$BO,0)-2,53)=""),"PFH [1/h] = "&amp;10^9*INDEX(Tab_DaBa[],MATCH(CONCATENATE(Liste!$C$3,$B$3671,$B$3925),Data!$BO:$BO,0)-2,16)&amp;"E-9",IF(INDEX(Tab_DaBa[],MATCH(CONCATENATE(Liste!$C$3,$B$3671,$B$3925),Data!$BO:$BO,0)-2,48)&lt;&gt;"","PFH [1/h] = "&amp;10^9*INDEX(Tab_DaBa[],MATCH(CONCATENATE(Liste!$C$3,$B$3671,$B$3925),Data!$BO:$BO,0)-2,56)&amp;"E-9","")),"")</f>
        <v>PFH [1/h] = 4,19E-9</v>
      </c>
      <c r="C3947" s="39"/>
      <c r="D3947" s="35" t="str">
        <f ca="1">IFERROR(IF(AND(INDEX(Tab_DaBa[],MATCH(CONCATENATE(Liste!$C$3,$B$3671,$B$3925),Data!$BO:$BO,0)-2,53)&lt;&gt;"",INDEX(Tab_DaBa[],MATCH(CONCATENATE(Liste!$C$3,$B$3671,$B$3925),Data!$BO:$BO,0)-2,58)=""),"PFH [1/h] = "&amp;10^9*INDEX(Tab_DaBa[],MATCH(CONCATENATE(Liste!$C$3,$B$3671,$B$3925),Data!$BO:$BO,0)-2,16)&amp;"E-9",IF(INDEX(Tab_DaBa[],MATCH(CONCATENATE(Liste!$C$3,$B$3671,$B$3925),Data!$BO:$BO,0)-2,53)&lt;&gt;"","PFH [1/h] = "&amp;10^9*INDEX(Tab_DaBa[],MATCH(CONCATENATE(Liste!$C$3,$B$3671,$B$3925),Data!$BO:$BO,0)-2,61)&amp;"E-9","")),"")</f>
        <v>PFH [1/h] = 4,19E-9</v>
      </c>
      <c r="E3947" s="37"/>
      <c r="F3947" s="35" t="str">
        <f ca="1">IFERROR(IF(AND(INDEX(Tab_DaBa[],MATCH(CONCATENATE(Liste!$C$3,$B$3671,$B$3925),Data!$BO:$BO,0)-2,58)&lt;&gt;"",INDEX(Tab_DaBa[],MATCH(CONCATENATE(Liste!$C$3,$B$3671,$B$3925),Data!$BO:$BO,0)-2,63)=""),"PFH [1/h] = "&amp;10^9*INDEX(Tab_DaBa[],MATCH(CONCATENATE(Liste!$C$3,$B$3671,$B$3925),Data!$BO:$BO,0)-2,16)&amp;"E-9",IF(INDEX(Tab_DaBa[],MATCH(CONCATENATE(Liste!$C$3,$B$3671,$B$3925),Data!$BO:$BO,0)-2,58)&lt;&gt;"","PFH [1/h] = "&amp;10^9*INDEX(Tab_DaBa[],MATCH(CONCATENATE(Liste!$C$3,$B$3671,$B$3925),Data!$BO:$BO,0)-2,66)&amp;"E-9","")),"")</f>
        <v>PFH [1/h] = 4,19E-9</v>
      </c>
      <c r="G3947" s="39"/>
      <c r="H3947" s="35" t="str">
        <f ca="1">IFERROR(IF(INDEX(Tab_DaBa[],MATCH(CONCATENATE(Liste!$C$3,$B$3671,$B$3925),Data!$BO:$BO,0)-2,63)&lt;&gt;"","PFH [1/h] = "&amp;10^9*INDEX(Tab_DaBa[],MATCH(CONCATENATE(Liste!$C$3,$B$3671,$B$3925),Data!$BO:$BO,0)-2,16)&amp;"E-9",""),"")</f>
        <v>PFH [1/h] = 24,7E-9</v>
      </c>
    </row>
    <row r="3948" spans="2:9" s="16" customFormat="1"/>
    <row r="3949" spans="2:9" s="16" customFormat="1">
      <c r="B3949" s="43" t="str">
        <f ca="1">IF(D3949="","","Erforderlich")</f>
        <v>Erforderlich</v>
      </c>
      <c r="D3949" s="44" t="str">
        <f ca="1">IFERROR("Performance Level: "&amp;INDEX(Tab_DaBa[],MATCH(CONCATENATE(Liste!$C$3,$B$3671,$B$3925),Data!$BO:$BO,0)-2,4),"")</f>
        <v>Performance Level: PLr_ges4_10</v>
      </c>
    </row>
    <row r="3950" spans="2:9" s="16" customFormat="1">
      <c r="B3950" s="45"/>
    </row>
    <row r="3951" spans="2:9" s="16" customFormat="1">
      <c r="B3951" s="46" t="str">
        <f ca="1">IF(D3951="","","Erreicht")</f>
        <v>Erreicht</v>
      </c>
      <c r="D3951" s="47" t="str">
        <f ca="1">IFERROR("Performance Level: "&amp;INDEX(Tab_DaBa[],MATCH(CONCATENATE(Liste!$C$3,$B$3671,$B$3925),Data!$BO:$BO,0)-2,5)&amp;"          PFH [1/h] = "&amp;10^9*INDEX(Tab_DaBa[],MATCH(CONCATENATE(Liste!$C$3,$B$3671,$B$3925),Data!$BO:$BO,0)-2,6)&amp;"E-9","")</f>
        <v>Performance Level: Pl_ges4_10          PFH [1/h] = 71,7E-9</v>
      </c>
    </row>
  </sheetData>
  <conditionalFormatting sqref="C23:I23 I22">
    <cfRule type="expression" dxfId="10497" priority="7514">
      <formula>$B$25&lt;&gt;""</formula>
    </cfRule>
  </conditionalFormatting>
  <conditionalFormatting sqref="D475:D479">
    <cfRule type="expression" dxfId="10496" priority="7354">
      <formula>D475&lt;&gt;""</formula>
    </cfRule>
  </conditionalFormatting>
  <conditionalFormatting sqref="D475">
    <cfRule type="expression" dxfId="10495" priority="7353">
      <formula>D475&lt;&gt;""</formula>
    </cfRule>
  </conditionalFormatting>
  <conditionalFormatting sqref="D479">
    <cfRule type="expression" dxfId="10494" priority="7352">
      <formula>D475&lt;&gt;""</formula>
    </cfRule>
  </conditionalFormatting>
  <conditionalFormatting sqref="I464:I465 C465:H465 B465:B466">
    <cfRule type="expression" dxfId="10493" priority="7342">
      <formula>$B$467&lt;&gt;""</formula>
    </cfRule>
  </conditionalFormatting>
  <conditionalFormatting sqref="D467:D471">
    <cfRule type="expression" dxfId="10492" priority="7376">
      <formula>D467&lt;&gt;""</formula>
    </cfRule>
  </conditionalFormatting>
  <conditionalFormatting sqref="D467">
    <cfRule type="expression" dxfId="10491" priority="7375">
      <formula>D467&lt;&gt;""</formula>
    </cfRule>
  </conditionalFormatting>
  <conditionalFormatting sqref="D471">
    <cfRule type="expression" dxfId="10490" priority="7374">
      <formula>D467&lt;&gt;""</formula>
    </cfRule>
  </conditionalFormatting>
  <conditionalFormatting sqref="C467:C471">
    <cfRule type="expression" dxfId="10489" priority="7383">
      <formula>D467&lt;&gt;""</formula>
    </cfRule>
  </conditionalFormatting>
  <conditionalFormatting sqref="E467:E471">
    <cfRule type="expression" dxfId="10488" priority="7382">
      <formula>F467&lt;&gt;""</formula>
    </cfRule>
  </conditionalFormatting>
  <conditionalFormatting sqref="G467:G471">
    <cfRule type="expression" dxfId="10487" priority="7381">
      <formula>H467&lt;&gt;""</formula>
    </cfRule>
  </conditionalFormatting>
  <conditionalFormatting sqref="I467:I471">
    <cfRule type="expression" dxfId="10486" priority="7380">
      <formula>B475&lt;&gt;""</formula>
    </cfRule>
  </conditionalFormatting>
  <conditionalFormatting sqref="B467:B471">
    <cfRule type="expression" dxfId="10485" priority="7379">
      <formula>B467&lt;&gt;""</formula>
    </cfRule>
  </conditionalFormatting>
  <conditionalFormatting sqref="B467">
    <cfRule type="expression" dxfId="10484" priority="7378">
      <formula>B467&lt;&gt;""</formula>
    </cfRule>
  </conditionalFormatting>
  <conditionalFormatting sqref="B471">
    <cfRule type="expression" dxfId="10483" priority="7377">
      <formula>B467&lt;&gt;""</formula>
    </cfRule>
  </conditionalFormatting>
  <conditionalFormatting sqref="F467:F471">
    <cfRule type="expression" dxfId="10482" priority="7373">
      <formula>F467&lt;&gt;""</formula>
    </cfRule>
  </conditionalFormatting>
  <conditionalFormatting sqref="F467">
    <cfRule type="expression" dxfId="10481" priority="7372">
      <formula>F467&lt;&gt;""</formula>
    </cfRule>
  </conditionalFormatting>
  <conditionalFormatting sqref="F471">
    <cfRule type="expression" dxfId="10480" priority="7371">
      <formula>F467&lt;&gt;""</formula>
    </cfRule>
  </conditionalFormatting>
  <conditionalFormatting sqref="H467:H471">
    <cfRule type="expression" dxfId="10479" priority="7370">
      <formula>H467&lt;&gt;""</formula>
    </cfRule>
  </conditionalFormatting>
  <conditionalFormatting sqref="H467">
    <cfRule type="expression" dxfId="10478" priority="7369">
      <formula>H467&lt;&gt;""</formula>
    </cfRule>
  </conditionalFormatting>
  <conditionalFormatting sqref="H471">
    <cfRule type="expression" dxfId="10477" priority="7368">
      <formula>H467&lt;&gt;""</formula>
    </cfRule>
  </conditionalFormatting>
  <conditionalFormatting sqref="F459:F463">
    <cfRule type="expression" dxfId="10476" priority="7367">
      <formula>F459&lt;&gt;""</formula>
    </cfRule>
  </conditionalFormatting>
  <conditionalFormatting sqref="F459">
    <cfRule type="expression" dxfId="10475" priority="7366">
      <formula>F459&lt;&gt;""</formula>
    </cfRule>
  </conditionalFormatting>
  <conditionalFormatting sqref="F463">
    <cfRule type="expression" dxfId="10474" priority="7365">
      <formula>F459&lt;&gt;""</formula>
    </cfRule>
  </conditionalFormatting>
  <conditionalFormatting sqref="E459:E463">
    <cfRule type="expression" dxfId="10473" priority="7364">
      <formula>F459&lt;&gt;""</formula>
    </cfRule>
  </conditionalFormatting>
  <conditionalFormatting sqref="G459:G463">
    <cfRule type="expression" dxfId="10472" priority="7363">
      <formula>H459&lt;&gt;""</formula>
    </cfRule>
  </conditionalFormatting>
  <conditionalFormatting sqref="I459:I463">
    <cfRule type="expression" dxfId="10471" priority="7362">
      <formula>B467&lt;&gt;""</formula>
    </cfRule>
  </conditionalFormatting>
  <conditionalFormatting sqref="H459:H463">
    <cfRule type="expression" dxfId="10470" priority="7361">
      <formula>H459&lt;&gt;""</formula>
    </cfRule>
  </conditionalFormatting>
  <conditionalFormatting sqref="H459">
    <cfRule type="expression" dxfId="10469" priority="7360">
      <formula>H459&lt;&gt;""</formula>
    </cfRule>
  </conditionalFormatting>
  <conditionalFormatting sqref="H463">
    <cfRule type="expression" dxfId="10468" priority="7359">
      <formula>H459&lt;&gt;""</formula>
    </cfRule>
  </conditionalFormatting>
  <conditionalFormatting sqref="I472:I473 C473:H473 B473:B474">
    <cfRule type="expression" dxfId="10467" priority="7358">
      <formula>$B$475&lt;&gt;""</formula>
    </cfRule>
  </conditionalFormatting>
  <conditionalFormatting sqref="B475:B479">
    <cfRule type="expression" dxfId="10466" priority="7357">
      <formula>B475&lt;&gt;""</formula>
    </cfRule>
  </conditionalFormatting>
  <conditionalFormatting sqref="B475">
    <cfRule type="expression" dxfId="10465" priority="7356">
      <formula>B475&lt;&gt;""</formula>
    </cfRule>
  </conditionalFormatting>
  <conditionalFormatting sqref="B479">
    <cfRule type="expression" dxfId="10464" priority="7355">
      <formula>B475&lt;&gt;""</formula>
    </cfRule>
  </conditionalFormatting>
  <conditionalFormatting sqref="F475:F479">
    <cfRule type="expression" dxfId="10463" priority="7351">
      <formula>F475&lt;&gt;""</formula>
    </cfRule>
  </conditionalFormatting>
  <conditionalFormatting sqref="F475">
    <cfRule type="expression" dxfId="10462" priority="7350">
      <formula>F475&lt;&gt;""</formula>
    </cfRule>
  </conditionalFormatting>
  <conditionalFormatting sqref="F479">
    <cfRule type="expression" dxfId="10461" priority="7349">
      <formula>F475&lt;&gt;""</formula>
    </cfRule>
  </conditionalFormatting>
  <conditionalFormatting sqref="C475:C479">
    <cfRule type="expression" dxfId="10460" priority="7348">
      <formula>D475&lt;&gt;""</formula>
    </cfRule>
  </conditionalFormatting>
  <conditionalFormatting sqref="E475:E479">
    <cfRule type="expression" dxfId="10459" priority="7347">
      <formula>F475&lt;&gt;""</formula>
    </cfRule>
  </conditionalFormatting>
  <conditionalFormatting sqref="G475:G479">
    <cfRule type="expression" dxfId="10458" priority="7346">
      <formula>H475&lt;&gt;""</formula>
    </cfRule>
  </conditionalFormatting>
  <conditionalFormatting sqref="H475:H479">
    <cfRule type="expression" dxfId="10457" priority="7345">
      <formula>H475&lt;&gt;""</formula>
    </cfRule>
  </conditionalFormatting>
  <conditionalFormatting sqref="H475">
    <cfRule type="expression" dxfId="10456" priority="7344">
      <formula>H475&lt;&gt;""</formula>
    </cfRule>
  </conditionalFormatting>
  <conditionalFormatting sqref="H479">
    <cfRule type="expression" dxfId="10455" priority="7343">
      <formula>H475&lt;&gt;""</formula>
    </cfRule>
  </conditionalFormatting>
  <conditionalFormatting sqref="D447:D451">
    <cfRule type="expression" dxfId="10454" priority="7310">
      <formula>D447&lt;&gt;""</formula>
    </cfRule>
  </conditionalFormatting>
  <conditionalFormatting sqref="D447">
    <cfRule type="expression" dxfId="10453" priority="7309">
      <formula>D447&lt;&gt;""</formula>
    </cfRule>
  </conditionalFormatting>
  <conditionalFormatting sqref="D451">
    <cfRule type="expression" dxfId="10452" priority="7308">
      <formula>D447&lt;&gt;""</formula>
    </cfRule>
  </conditionalFormatting>
  <conditionalFormatting sqref="I436:I437 C437:H437 B437:B438">
    <cfRule type="expression" dxfId="10451" priority="7298">
      <formula>$B$439&lt;&gt;""</formula>
    </cfRule>
  </conditionalFormatting>
  <conditionalFormatting sqref="D439:D443">
    <cfRule type="expression" dxfId="10450" priority="7332">
      <formula>D439&lt;&gt;""</formula>
    </cfRule>
  </conditionalFormatting>
  <conditionalFormatting sqref="D439">
    <cfRule type="expression" dxfId="10449" priority="7331">
      <formula>D439&lt;&gt;""</formula>
    </cfRule>
  </conditionalFormatting>
  <conditionalFormatting sqref="D443">
    <cfRule type="expression" dxfId="10448" priority="7330">
      <formula>D439&lt;&gt;""</formula>
    </cfRule>
  </conditionalFormatting>
  <conditionalFormatting sqref="C439:C443">
    <cfRule type="expression" dxfId="10447" priority="7339">
      <formula>D439&lt;&gt;""</formula>
    </cfRule>
  </conditionalFormatting>
  <conditionalFormatting sqref="E439:E443">
    <cfRule type="expression" dxfId="10446" priority="7338">
      <formula>F439&lt;&gt;""</formula>
    </cfRule>
  </conditionalFormatting>
  <conditionalFormatting sqref="G439:G443">
    <cfRule type="expression" dxfId="10445" priority="7337">
      <formula>H439&lt;&gt;""</formula>
    </cfRule>
  </conditionalFormatting>
  <conditionalFormatting sqref="I439:I443">
    <cfRule type="expression" dxfId="10444" priority="7336">
      <formula>B447&lt;&gt;""</formula>
    </cfRule>
  </conditionalFormatting>
  <conditionalFormatting sqref="B439:B443">
    <cfRule type="expression" dxfId="10443" priority="7335">
      <formula>B439&lt;&gt;""</formula>
    </cfRule>
  </conditionalFormatting>
  <conditionalFormatting sqref="B439">
    <cfRule type="expression" dxfId="10442" priority="7334">
      <formula>B439&lt;&gt;""</formula>
    </cfRule>
  </conditionalFormatting>
  <conditionalFormatting sqref="B443">
    <cfRule type="expression" dxfId="10441" priority="7333">
      <formula>B439&lt;&gt;""</formula>
    </cfRule>
  </conditionalFormatting>
  <conditionalFormatting sqref="F439:F443">
    <cfRule type="expression" dxfId="10440" priority="7329">
      <formula>F439&lt;&gt;""</formula>
    </cfRule>
  </conditionalFormatting>
  <conditionalFormatting sqref="F439">
    <cfRule type="expression" dxfId="10439" priority="7328">
      <formula>F439&lt;&gt;""</formula>
    </cfRule>
  </conditionalFormatting>
  <conditionalFormatting sqref="F443">
    <cfRule type="expression" dxfId="10438" priority="7327">
      <formula>F439&lt;&gt;""</formula>
    </cfRule>
  </conditionalFormatting>
  <conditionalFormatting sqref="H439:H443">
    <cfRule type="expression" dxfId="10437" priority="7326">
      <formula>H439&lt;&gt;""</formula>
    </cfRule>
  </conditionalFormatting>
  <conditionalFormatting sqref="H439">
    <cfRule type="expression" dxfId="10436" priority="7325">
      <formula>H439&lt;&gt;""</formula>
    </cfRule>
  </conditionalFormatting>
  <conditionalFormatting sqref="H443">
    <cfRule type="expression" dxfId="10435" priority="7324">
      <formula>H439&lt;&gt;""</formula>
    </cfRule>
  </conditionalFormatting>
  <conditionalFormatting sqref="F431:F435">
    <cfRule type="expression" dxfId="10434" priority="7323">
      <formula>F431&lt;&gt;""</formula>
    </cfRule>
  </conditionalFormatting>
  <conditionalFormatting sqref="F431">
    <cfRule type="expression" dxfId="10433" priority="7322">
      <formula>F431&lt;&gt;""</formula>
    </cfRule>
  </conditionalFormatting>
  <conditionalFormatting sqref="F435">
    <cfRule type="expression" dxfId="10432" priority="7321">
      <formula>F431&lt;&gt;""</formula>
    </cfRule>
  </conditionalFormatting>
  <conditionalFormatting sqref="E431:E435">
    <cfRule type="expression" dxfId="10431" priority="7320">
      <formula>F431&lt;&gt;""</formula>
    </cfRule>
  </conditionalFormatting>
  <conditionalFormatting sqref="G431:G435">
    <cfRule type="expression" dxfId="10430" priority="7319">
      <formula>H431&lt;&gt;""</formula>
    </cfRule>
  </conditionalFormatting>
  <conditionalFormatting sqref="I431:I435">
    <cfRule type="expression" dxfId="10429" priority="7318">
      <formula>B439&lt;&gt;""</formula>
    </cfRule>
  </conditionalFormatting>
  <conditionalFormatting sqref="H431:H435">
    <cfRule type="expression" dxfId="10428" priority="7317">
      <formula>H431&lt;&gt;""</formula>
    </cfRule>
  </conditionalFormatting>
  <conditionalFormatting sqref="H431">
    <cfRule type="expression" dxfId="10427" priority="7316">
      <formula>H431&lt;&gt;""</formula>
    </cfRule>
  </conditionalFormatting>
  <conditionalFormatting sqref="H435">
    <cfRule type="expression" dxfId="10426" priority="7315">
      <formula>H431&lt;&gt;""</formula>
    </cfRule>
  </conditionalFormatting>
  <conditionalFormatting sqref="I444:I445 C445:H445 B445:B446">
    <cfRule type="expression" dxfId="10425" priority="7314">
      <formula>$B$447&lt;&gt;""</formula>
    </cfRule>
  </conditionalFormatting>
  <conditionalFormatting sqref="B447:B451">
    <cfRule type="expression" dxfId="10424" priority="7313">
      <formula>B447&lt;&gt;""</formula>
    </cfRule>
  </conditionalFormatting>
  <conditionalFormatting sqref="B447">
    <cfRule type="expression" dxfId="10423" priority="7312">
      <formula>B447&lt;&gt;""</formula>
    </cfRule>
  </conditionalFormatting>
  <conditionalFormatting sqref="B451">
    <cfRule type="expression" dxfId="10422" priority="7311">
      <formula>B447&lt;&gt;""</formula>
    </cfRule>
  </conditionalFormatting>
  <conditionalFormatting sqref="F447:F451">
    <cfRule type="expression" dxfId="10421" priority="7307">
      <formula>F447&lt;&gt;""</formula>
    </cfRule>
  </conditionalFormatting>
  <conditionalFormatting sqref="F447">
    <cfRule type="expression" dxfId="10420" priority="7306">
      <formula>F447&lt;&gt;""</formula>
    </cfRule>
  </conditionalFormatting>
  <conditionalFormatting sqref="F451">
    <cfRule type="expression" dxfId="10419" priority="7305">
      <formula>F447&lt;&gt;""</formula>
    </cfRule>
  </conditionalFormatting>
  <conditionalFormatting sqref="C447:C451">
    <cfRule type="expression" dxfId="10418" priority="7304">
      <formula>D447&lt;&gt;""</formula>
    </cfRule>
  </conditionalFormatting>
  <conditionalFormatting sqref="E447:E451">
    <cfRule type="expression" dxfId="10417" priority="7303">
      <formula>F447&lt;&gt;""</formula>
    </cfRule>
  </conditionalFormatting>
  <conditionalFormatting sqref="G447:G451">
    <cfRule type="expression" dxfId="10416" priority="7302">
      <formula>H447&lt;&gt;""</formula>
    </cfRule>
  </conditionalFormatting>
  <conditionalFormatting sqref="H447:H451">
    <cfRule type="expression" dxfId="10415" priority="7301">
      <formula>H447&lt;&gt;""</formula>
    </cfRule>
  </conditionalFormatting>
  <conditionalFormatting sqref="H447">
    <cfRule type="expression" dxfId="10414" priority="7300">
      <formula>H447&lt;&gt;""</formula>
    </cfRule>
  </conditionalFormatting>
  <conditionalFormatting sqref="H451">
    <cfRule type="expression" dxfId="10413" priority="7299">
      <formula>H447&lt;&gt;""</formula>
    </cfRule>
  </conditionalFormatting>
  <conditionalFormatting sqref="D419:D423">
    <cfRule type="expression" dxfId="10412" priority="7267">
      <formula>D419&lt;&gt;""</formula>
    </cfRule>
  </conditionalFormatting>
  <conditionalFormatting sqref="D419">
    <cfRule type="expression" dxfId="10411" priority="7266">
      <formula>D419&lt;&gt;""</formula>
    </cfRule>
  </conditionalFormatting>
  <conditionalFormatting sqref="D423">
    <cfRule type="expression" dxfId="10410" priority="7265">
      <formula>D419&lt;&gt;""</formula>
    </cfRule>
  </conditionalFormatting>
  <conditionalFormatting sqref="I408:I409 C409:H409 B409:B410">
    <cfRule type="expression" dxfId="10409" priority="7255">
      <formula>$B$411&lt;&gt;""</formula>
    </cfRule>
  </conditionalFormatting>
  <conditionalFormatting sqref="D411:D415">
    <cfRule type="expression" dxfId="10408" priority="7289">
      <formula>D411&lt;&gt;""</formula>
    </cfRule>
  </conditionalFormatting>
  <conditionalFormatting sqref="D411">
    <cfRule type="expression" dxfId="10407" priority="7288">
      <formula>D411&lt;&gt;""</formula>
    </cfRule>
  </conditionalFormatting>
  <conditionalFormatting sqref="D415">
    <cfRule type="expression" dxfId="10406" priority="7287">
      <formula>D411&lt;&gt;""</formula>
    </cfRule>
  </conditionalFormatting>
  <conditionalFormatting sqref="C411:C415">
    <cfRule type="expression" dxfId="10405" priority="7296">
      <formula>D411&lt;&gt;""</formula>
    </cfRule>
  </conditionalFormatting>
  <conditionalFormatting sqref="E411:E415">
    <cfRule type="expression" dxfId="10404" priority="7295">
      <formula>F411&lt;&gt;""</formula>
    </cfRule>
  </conditionalFormatting>
  <conditionalFormatting sqref="G411:G415">
    <cfRule type="expression" dxfId="10403" priority="7294">
      <formula>H411&lt;&gt;""</formula>
    </cfRule>
  </conditionalFormatting>
  <conditionalFormatting sqref="I411:I415">
    <cfRule type="expression" dxfId="10402" priority="7293">
      <formula>B419&lt;&gt;""</formula>
    </cfRule>
  </conditionalFormatting>
  <conditionalFormatting sqref="B411:B415">
    <cfRule type="expression" dxfId="10401" priority="7292">
      <formula>B411&lt;&gt;""</formula>
    </cfRule>
  </conditionalFormatting>
  <conditionalFormatting sqref="B411">
    <cfRule type="expression" dxfId="10400" priority="7291">
      <formula>B411&lt;&gt;""</formula>
    </cfRule>
  </conditionalFormatting>
  <conditionalFormatting sqref="B415">
    <cfRule type="expression" dxfId="10399" priority="7290">
      <formula>B411&lt;&gt;""</formula>
    </cfRule>
  </conditionalFormatting>
  <conditionalFormatting sqref="F411:F415">
    <cfRule type="expression" dxfId="10398" priority="7286">
      <formula>F411&lt;&gt;""</formula>
    </cfRule>
  </conditionalFormatting>
  <conditionalFormatting sqref="F411">
    <cfRule type="expression" dxfId="10397" priority="7285">
      <formula>F411&lt;&gt;""</formula>
    </cfRule>
  </conditionalFormatting>
  <conditionalFormatting sqref="F415">
    <cfRule type="expression" dxfId="10396" priority="7284">
      <formula>F411&lt;&gt;""</formula>
    </cfRule>
  </conditionalFormatting>
  <conditionalFormatting sqref="H411:H415">
    <cfRule type="expression" dxfId="10395" priority="7283">
      <formula>H411&lt;&gt;""</formula>
    </cfRule>
  </conditionalFormatting>
  <conditionalFormatting sqref="H411">
    <cfRule type="expression" dxfId="10394" priority="7282">
      <formula>H411&lt;&gt;""</formula>
    </cfRule>
  </conditionalFormatting>
  <conditionalFormatting sqref="H415">
    <cfRule type="expression" dxfId="10393" priority="7281">
      <formula>H411&lt;&gt;""</formula>
    </cfRule>
  </conditionalFormatting>
  <conditionalFormatting sqref="F403:F407">
    <cfRule type="expression" dxfId="10392" priority="7280">
      <formula>F403&lt;&gt;""</formula>
    </cfRule>
  </conditionalFormatting>
  <conditionalFormatting sqref="F403">
    <cfRule type="expression" dxfId="10391" priority="7279">
      <formula>F403&lt;&gt;""</formula>
    </cfRule>
  </conditionalFormatting>
  <conditionalFormatting sqref="F407">
    <cfRule type="expression" dxfId="10390" priority="7278">
      <formula>F403&lt;&gt;""</formula>
    </cfRule>
  </conditionalFormatting>
  <conditionalFormatting sqref="E403:E407">
    <cfRule type="expression" dxfId="10389" priority="7277">
      <formula>F403&lt;&gt;""</formula>
    </cfRule>
  </conditionalFormatting>
  <conditionalFormatting sqref="G403:G407">
    <cfRule type="expression" dxfId="10388" priority="7276">
      <formula>H403&lt;&gt;""</formula>
    </cfRule>
  </conditionalFormatting>
  <conditionalFormatting sqref="I403:I407">
    <cfRule type="expression" dxfId="10387" priority="7275">
      <formula>B411&lt;&gt;""</formula>
    </cfRule>
  </conditionalFormatting>
  <conditionalFormatting sqref="H403:H407">
    <cfRule type="expression" dxfId="10386" priority="7274">
      <formula>H403&lt;&gt;""</formula>
    </cfRule>
  </conditionalFormatting>
  <conditionalFormatting sqref="H403">
    <cfRule type="expression" dxfId="10385" priority="7273">
      <formula>H403&lt;&gt;""</formula>
    </cfRule>
  </conditionalFormatting>
  <conditionalFormatting sqref="H407">
    <cfRule type="expression" dxfId="10384" priority="7272">
      <formula>H403&lt;&gt;""</formula>
    </cfRule>
  </conditionalFormatting>
  <conditionalFormatting sqref="I416:I417 C417:H417 B417:B418">
    <cfRule type="expression" dxfId="10383" priority="7271">
      <formula>$B$419&lt;&gt;""</formula>
    </cfRule>
  </conditionalFormatting>
  <conditionalFormatting sqref="B419:B423">
    <cfRule type="expression" dxfId="10382" priority="7270">
      <formula>B419&lt;&gt;""</formula>
    </cfRule>
  </conditionalFormatting>
  <conditionalFormatting sqref="B419">
    <cfRule type="expression" dxfId="10381" priority="7269">
      <formula>B419&lt;&gt;""</formula>
    </cfRule>
  </conditionalFormatting>
  <conditionalFormatting sqref="B423">
    <cfRule type="expression" dxfId="10380" priority="7268">
      <formula>B419&lt;&gt;""</formula>
    </cfRule>
  </conditionalFormatting>
  <conditionalFormatting sqref="F419:F423">
    <cfRule type="expression" dxfId="10379" priority="7264">
      <formula>F419&lt;&gt;""</formula>
    </cfRule>
  </conditionalFormatting>
  <conditionalFormatting sqref="F419">
    <cfRule type="expression" dxfId="10378" priority="7263">
      <formula>F419&lt;&gt;""</formula>
    </cfRule>
  </conditionalFormatting>
  <conditionalFormatting sqref="F423">
    <cfRule type="expression" dxfId="10377" priority="7262">
      <formula>F419&lt;&gt;""</formula>
    </cfRule>
  </conditionalFormatting>
  <conditionalFormatting sqref="C419:C423">
    <cfRule type="expression" dxfId="10376" priority="7261">
      <formula>D419&lt;&gt;""</formula>
    </cfRule>
  </conditionalFormatting>
  <conditionalFormatting sqref="E419:E423">
    <cfRule type="expression" dxfId="10375" priority="7260">
      <formula>F419&lt;&gt;""</formula>
    </cfRule>
  </conditionalFormatting>
  <conditionalFormatting sqref="G419:G423">
    <cfRule type="expression" dxfId="10374" priority="7259">
      <formula>H419&lt;&gt;""</formula>
    </cfRule>
  </conditionalFormatting>
  <conditionalFormatting sqref="H419:H423">
    <cfRule type="expression" dxfId="10373" priority="7258">
      <formula>H419&lt;&gt;""</formula>
    </cfRule>
  </conditionalFormatting>
  <conditionalFormatting sqref="H419">
    <cfRule type="expression" dxfId="10372" priority="7257">
      <formula>H419&lt;&gt;""</formula>
    </cfRule>
  </conditionalFormatting>
  <conditionalFormatting sqref="H423">
    <cfRule type="expression" dxfId="10371" priority="7256">
      <formula>H419&lt;&gt;""</formula>
    </cfRule>
  </conditionalFormatting>
  <conditionalFormatting sqref="D391:D395">
    <cfRule type="expression" dxfId="10370" priority="7224">
      <formula>D391&lt;&gt;""</formula>
    </cfRule>
  </conditionalFormatting>
  <conditionalFormatting sqref="D391">
    <cfRule type="expression" dxfId="10369" priority="7223">
      <formula>D391&lt;&gt;""</formula>
    </cfRule>
  </conditionalFormatting>
  <conditionalFormatting sqref="D395">
    <cfRule type="expression" dxfId="10368" priority="7222">
      <formula>D391&lt;&gt;""</formula>
    </cfRule>
  </conditionalFormatting>
  <conditionalFormatting sqref="I380:I381 C381:H381 B381:B382">
    <cfRule type="expression" dxfId="10367" priority="7212">
      <formula>$B$383&lt;&gt;""</formula>
    </cfRule>
  </conditionalFormatting>
  <conditionalFormatting sqref="D383:D387">
    <cfRule type="expression" dxfId="10366" priority="7246">
      <formula>D383&lt;&gt;""</formula>
    </cfRule>
  </conditionalFormatting>
  <conditionalFormatting sqref="D383">
    <cfRule type="expression" dxfId="10365" priority="7245">
      <formula>D383&lt;&gt;""</formula>
    </cfRule>
  </conditionalFormatting>
  <conditionalFormatting sqref="D387">
    <cfRule type="expression" dxfId="10364" priority="7244">
      <formula>D383&lt;&gt;""</formula>
    </cfRule>
  </conditionalFormatting>
  <conditionalFormatting sqref="C383:C387">
    <cfRule type="expression" dxfId="10363" priority="7253">
      <formula>D383&lt;&gt;""</formula>
    </cfRule>
  </conditionalFormatting>
  <conditionalFormatting sqref="E383:E387">
    <cfRule type="expression" dxfId="10362" priority="7252">
      <formula>F383&lt;&gt;""</formula>
    </cfRule>
  </conditionalFormatting>
  <conditionalFormatting sqref="G383:G387">
    <cfRule type="expression" dxfId="10361" priority="7251">
      <formula>H383&lt;&gt;""</formula>
    </cfRule>
  </conditionalFormatting>
  <conditionalFormatting sqref="I383:I387">
    <cfRule type="expression" dxfId="10360" priority="7250">
      <formula>B391&lt;&gt;""</formula>
    </cfRule>
  </conditionalFormatting>
  <conditionalFormatting sqref="B383:B387">
    <cfRule type="expression" dxfId="10359" priority="7249">
      <formula>B383&lt;&gt;""</formula>
    </cfRule>
  </conditionalFormatting>
  <conditionalFormatting sqref="B383">
    <cfRule type="expression" dxfId="10358" priority="7248">
      <formula>B383&lt;&gt;""</formula>
    </cfRule>
  </conditionalFormatting>
  <conditionalFormatting sqref="B387">
    <cfRule type="expression" dxfId="10357" priority="7247">
      <formula>B383&lt;&gt;""</formula>
    </cfRule>
  </conditionalFormatting>
  <conditionalFormatting sqref="F383:F387">
    <cfRule type="expression" dxfId="10356" priority="7243">
      <formula>F383&lt;&gt;""</formula>
    </cfRule>
  </conditionalFormatting>
  <conditionalFormatting sqref="F383">
    <cfRule type="expression" dxfId="10355" priority="7242">
      <formula>F383&lt;&gt;""</formula>
    </cfRule>
  </conditionalFormatting>
  <conditionalFormatting sqref="F387">
    <cfRule type="expression" dxfId="10354" priority="7241">
      <formula>F383&lt;&gt;""</formula>
    </cfRule>
  </conditionalFormatting>
  <conditionalFormatting sqref="H383:H387">
    <cfRule type="expression" dxfId="10353" priority="7240">
      <formula>H383&lt;&gt;""</formula>
    </cfRule>
  </conditionalFormatting>
  <conditionalFormatting sqref="H383">
    <cfRule type="expression" dxfId="10352" priority="7239">
      <formula>H383&lt;&gt;""</formula>
    </cfRule>
  </conditionalFormatting>
  <conditionalFormatting sqref="H387">
    <cfRule type="expression" dxfId="10351" priority="7238">
      <formula>H383&lt;&gt;""</formula>
    </cfRule>
  </conditionalFormatting>
  <conditionalFormatting sqref="F375:F379">
    <cfRule type="expression" dxfId="10350" priority="7237">
      <formula>F375&lt;&gt;""</formula>
    </cfRule>
  </conditionalFormatting>
  <conditionalFormatting sqref="F375">
    <cfRule type="expression" dxfId="10349" priority="7236">
      <formula>F375&lt;&gt;""</formula>
    </cfRule>
  </conditionalFormatting>
  <conditionalFormatting sqref="F379">
    <cfRule type="expression" dxfId="10348" priority="7235">
      <formula>F375&lt;&gt;""</formula>
    </cfRule>
  </conditionalFormatting>
  <conditionalFormatting sqref="E375:E379">
    <cfRule type="expression" dxfId="10347" priority="7234">
      <formula>F375&lt;&gt;""</formula>
    </cfRule>
  </conditionalFormatting>
  <conditionalFormatting sqref="G375:G379">
    <cfRule type="expression" dxfId="10346" priority="7233">
      <formula>H375&lt;&gt;""</formula>
    </cfRule>
  </conditionalFormatting>
  <conditionalFormatting sqref="I375:I379">
    <cfRule type="expression" dxfId="10345" priority="7232">
      <formula>B383&lt;&gt;""</formula>
    </cfRule>
  </conditionalFormatting>
  <conditionalFormatting sqref="H375:H379">
    <cfRule type="expression" dxfId="10344" priority="7231">
      <formula>H375&lt;&gt;""</formula>
    </cfRule>
  </conditionalFormatting>
  <conditionalFormatting sqref="H375">
    <cfRule type="expression" dxfId="10343" priority="7230">
      <formula>H375&lt;&gt;""</formula>
    </cfRule>
  </conditionalFormatting>
  <conditionalFormatting sqref="H379">
    <cfRule type="expression" dxfId="10342" priority="7229">
      <formula>H375&lt;&gt;""</formula>
    </cfRule>
  </conditionalFormatting>
  <conditionalFormatting sqref="I388:I389 C389:H389 B389:B390">
    <cfRule type="expression" dxfId="10341" priority="7228">
      <formula>$B$391&lt;&gt;""</formula>
    </cfRule>
  </conditionalFormatting>
  <conditionalFormatting sqref="B391:B395">
    <cfRule type="expression" dxfId="10340" priority="7227">
      <formula>B391&lt;&gt;""</formula>
    </cfRule>
  </conditionalFormatting>
  <conditionalFormatting sqref="B391">
    <cfRule type="expression" dxfId="10339" priority="7226">
      <formula>B391&lt;&gt;""</formula>
    </cfRule>
  </conditionalFormatting>
  <conditionalFormatting sqref="B395">
    <cfRule type="expression" dxfId="10338" priority="7225">
      <formula>B391&lt;&gt;""</formula>
    </cfRule>
  </conditionalFormatting>
  <conditionalFormatting sqref="F391:F395">
    <cfRule type="expression" dxfId="10337" priority="7221">
      <formula>F391&lt;&gt;""</formula>
    </cfRule>
  </conditionalFormatting>
  <conditionalFormatting sqref="F391">
    <cfRule type="expression" dxfId="10336" priority="7220">
      <formula>F391&lt;&gt;""</formula>
    </cfRule>
  </conditionalFormatting>
  <conditionalFormatting sqref="F395">
    <cfRule type="expression" dxfId="10335" priority="7219">
      <formula>F391&lt;&gt;""</formula>
    </cfRule>
  </conditionalFormatting>
  <conditionalFormatting sqref="C391:C395">
    <cfRule type="expression" dxfId="10334" priority="7218">
      <formula>D391&lt;&gt;""</formula>
    </cfRule>
  </conditionalFormatting>
  <conditionalFormatting sqref="E391:E395">
    <cfRule type="expression" dxfId="10333" priority="7217">
      <formula>F391&lt;&gt;""</formula>
    </cfRule>
  </conditionalFormatting>
  <conditionalFormatting sqref="G391:G395">
    <cfRule type="expression" dxfId="10332" priority="7216">
      <formula>H391&lt;&gt;""</formula>
    </cfRule>
  </conditionalFormatting>
  <conditionalFormatting sqref="H391:H395">
    <cfRule type="expression" dxfId="10331" priority="7215">
      <formula>H391&lt;&gt;""</formula>
    </cfRule>
  </conditionalFormatting>
  <conditionalFormatting sqref="H391">
    <cfRule type="expression" dxfId="10330" priority="7214">
      <formula>H391&lt;&gt;""</formula>
    </cfRule>
  </conditionalFormatting>
  <conditionalFormatting sqref="H395">
    <cfRule type="expression" dxfId="10329" priority="7213">
      <formula>H391&lt;&gt;""</formula>
    </cfRule>
  </conditionalFormatting>
  <conditionalFormatting sqref="D363:D367">
    <cfRule type="expression" dxfId="10328" priority="7181">
      <formula>D363&lt;&gt;""</formula>
    </cfRule>
  </conditionalFormatting>
  <conditionalFormatting sqref="D363">
    <cfRule type="expression" dxfId="10327" priority="7180">
      <formula>D363&lt;&gt;""</formula>
    </cfRule>
  </conditionalFormatting>
  <conditionalFormatting sqref="D367">
    <cfRule type="expression" dxfId="10326" priority="7179">
      <formula>D363&lt;&gt;""</formula>
    </cfRule>
  </conditionalFormatting>
  <conditionalFormatting sqref="I352:I353 C353:H353 B353:B354">
    <cfRule type="expression" dxfId="10325" priority="7169">
      <formula>$B$355&lt;&gt;""</formula>
    </cfRule>
  </conditionalFormatting>
  <conditionalFormatting sqref="D355:D359">
    <cfRule type="expression" dxfId="10324" priority="7203">
      <formula>D355&lt;&gt;""</formula>
    </cfRule>
  </conditionalFormatting>
  <conditionalFormatting sqref="D355">
    <cfRule type="expression" dxfId="10323" priority="7202">
      <formula>D355&lt;&gt;""</formula>
    </cfRule>
  </conditionalFormatting>
  <conditionalFormatting sqref="D359">
    <cfRule type="expression" dxfId="10322" priority="7201">
      <formula>D355&lt;&gt;""</formula>
    </cfRule>
  </conditionalFormatting>
  <conditionalFormatting sqref="C355:C359">
    <cfRule type="expression" dxfId="10321" priority="7210">
      <formula>D355&lt;&gt;""</formula>
    </cfRule>
  </conditionalFormatting>
  <conditionalFormatting sqref="E355:E359">
    <cfRule type="expression" dxfId="10320" priority="7209">
      <formula>F355&lt;&gt;""</formula>
    </cfRule>
  </conditionalFormatting>
  <conditionalFormatting sqref="G355:G359">
    <cfRule type="expression" dxfId="10319" priority="7208">
      <formula>H355&lt;&gt;""</formula>
    </cfRule>
  </conditionalFormatting>
  <conditionalFormatting sqref="I355:I359">
    <cfRule type="expression" dxfId="10318" priority="7207">
      <formula>B363&lt;&gt;""</formula>
    </cfRule>
  </conditionalFormatting>
  <conditionalFormatting sqref="B355:B359">
    <cfRule type="expression" dxfId="10317" priority="7206">
      <formula>B355&lt;&gt;""</formula>
    </cfRule>
  </conditionalFormatting>
  <conditionalFormatting sqref="B355">
    <cfRule type="expression" dxfId="10316" priority="7205">
      <formula>B355&lt;&gt;""</formula>
    </cfRule>
  </conditionalFormatting>
  <conditionalFormatting sqref="B359">
    <cfRule type="expression" dxfId="10315" priority="7204">
      <formula>B355&lt;&gt;""</formula>
    </cfRule>
  </conditionalFormatting>
  <conditionalFormatting sqref="F355:F359">
    <cfRule type="expression" dxfId="10314" priority="7200">
      <formula>F355&lt;&gt;""</formula>
    </cfRule>
  </conditionalFormatting>
  <conditionalFormatting sqref="F355">
    <cfRule type="expression" dxfId="10313" priority="7199">
      <formula>F355&lt;&gt;""</formula>
    </cfRule>
  </conditionalFormatting>
  <conditionalFormatting sqref="F359">
    <cfRule type="expression" dxfId="10312" priority="7198">
      <formula>F355&lt;&gt;""</formula>
    </cfRule>
  </conditionalFormatting>
  <conditionalFormatting sqref="H355:H359">
    <cfRule type="expression" dxfId="10311" priority="7197">
      <formula>H355&lt;&gt;""</formula>
    </cfRule>
  </conditionalFormatting>
  <conditionalFormatting sqref="H355">
    <cfRule type="expression" dxfId="10310" priority="7196">
      <formula>H355&lt;&gt;""</formula>
    </cfRule>
  </conditionalFormatting>
  <conditionalFormatting sqref="H359">
    <cfRule type="expression" dxfId="10309" priority="7195">
      <formula>H355&lt;&gt;""</formula>
    </cfRule>
  </conditionalFormatting>
  <conditionalFormatting sqref="F347:F351">
    <cfRule type="expression" dxfId="10308" priority="7194">
      <formula>F347&lt;&gt;""</formula>
    </cfRule>
  </conditionalFormatting>
  <conditionalFormatting sqref="F347">
    <cfRule type="expression" dxfId="10307" priority="7193">
      <formula>F347&lt;&gt;""</formula>
    </cfRule>
  </conditionalFormatting>
  <conditionalFormatting sqref="F351">
    <cfRule type="expression" dxfId="10306" priority="7192">
      <formula>F347&lt;&gt;""</formula>
    </cfRule>
  </conditionalFormatting>
  <conditionalFormatting sqref="E347:E351">
    <cfRule type="expression" dxfId="10305" priority="7191">
      <formula>F347&lt;&gt;""</formula>
    </cfRule>
  </conditionalFormatting>
  <conditionalFormatting sqref="G347:G351">
    <cfRule type="expression" dxfId="10304" priority="7190">
      <formula>H347&lt;&gt;""</formula>
    </cfRule>
  </conditionalFormatting>
  <conditionalFormatting sqref="I347:I351">
    <cfRule type="expression" dxfId="10303" priority="7189">
      <formula>B355&lt;&gt;""</formula>
    </cfRule>
  </conditionalFormatting>
  <conditionalFormatting sqref="H347:H351">
    <cfRule type="expression" dxfId="10302" priority="7188">
      <formula>H347&lt;&gt;""</formula>
    </cfRule>
  </conditionalFormatting>
  <conditionalFormatting sqref="H347">
    <cfRule type="expression" dxfId="10301" priority="7187">
      <formula>H347&lt;&gt;""</formula>
    </cfRule>
  </conditionalFormatting>
  <conditionalFormatting sqref="H351">
    <cfRule type="expression" dxfId="10300" priority="7186">
      <formula>H347&lt;&gt;""</formula>
    </cfRule>
  </conditionalFormatting>
  <conditionalFormatting sqref="I360:I361 C361:H361 B361:B362">
    <cfRule type="expression" dxfId="10299" priority="7185">
      <formula>$B$363&lt;&gt;""</formula>
    </cfRule>
  </conditionalFormatting>
  <conditionalFormatting sqref="B363:B367">
    <cfRule type="expression" dxfId="10298" priority="7184">
      <formula>B363&lt;&gt;""</formula>
    </cfRule>
  </conditionalFormatting>
  <conditionalFormatting sqref="B363">
    <cfRule type="expression" dxfId="10297" priority="7183">
      <formula>B363&lt;&gt;""</formula>
    </cfRule>
  </conditionalFormatting>
  <conditionalFormatting sqref="B367">
    <cfRule type="expression" dxfId="10296" priority="7182">
      <formula>B363&lt;&gt;""</formula>
    </cfRule>
  </conditionalFormatting>
  <conditionalFormatting sqref="F363:F367">
    <cfRule type="expression" dxfId="10295" priority="7178">
      <formula>F363&lt;&gt;""</formula>
    </cfRule>
  </conditionalFormatting>
  <conditionalFormatting sqref="F363">
    <cfRule type="expression" dxfId="10294" priority="7177">
      <formula>F363&lt;&gt;""</formula>
    </cfRule>
  </conditionalFormatting>
  <conditionalFormatting sqref="F367">
    <cfRule type="expression" dxfId="10293" priority="7176">
      <formula>F363&lt;&gt;""</formula>
    </cfRule>
  </conditionalFormatting>
  <conditionalFormatting sqref="C363:C367">
    <cfRule type="expression" dxfId="10292" priority="7175">
      <formula>D363&lt;&gt;""</formula>
    </cfRule>
  </conditionalFormatting>
  <conditionalFormatting sqref="E363:E367">
    <cfRule type="expression" dxfId="10291" priority="7174">
      <formula>F363&lt;&gt;""</formula>
    </cfRule>
  </conditionalFormatting>
  <conditionalFormatting sqref="G363:G367">
    <cfRule type="expression" dxfId="10290" priority="7173">
      <formula>H363&lt;&gt;""</formula>
    </cfRule>
  </conditionalFormatting>
  <conditionalFormatting sqref="H363:H367">
    <cfRule type="expression" dxfId="10289" priority="7172">
      <formula>H363&lt;&gt;""</formula>
    </cfRule>
  </conditionalFormatting>
  <conditionalFormatting sqref="H363">
    <cfRule type="expression" dxfId="10288" priority="7171">
      <formula>H363&lt;&gt;""</formula>
    </cfRule>
  </conditionalFormatting>
  <conditionalFormatting sqref="H367">
    <cfRule type="expression" dxfId="10287" priority="7170">
      <formula>H363&lt;&gt;""</formula>
    </cfRule>
  </conditionalFormatting>
  <conditionalFormatting sqref="D335:D339">
    <cfRule type="expression" dxfId="10286" priority="7138">
      <formula>D335&lt;&gt;""</formula>
    </cfRule>
  </conditionalFormatting>
  <conditionalFormatting sqref="D335">
    <cfRule type="expression" dxfId="10285" priority="7137">
      <formula>D335&lt;&gt;""</formula>
    </cfRule>
  </conditionalFormatting>
  <conditionalFormatting sqref="D339">
    <cfRule type="expression" dxfId="10284" priority="7136">
      <formula>D335&lt;&gt;""</formula>
    </cfRule>
  </conditionalFormatting>
  <conditionalFormatting sqref="I324:I325 C325:H325 B325:B326">
    <cfRule type="expression" dxfId="10283" priority="7126">
      <formula>$B$327&lt;&gt;""</formula>
    </cfRule>
  </conditionalFormatting>
  <conditionalFormatting sqref="D327:D331">
    <cfRule type="expression" dxfId="10282" priority="7160">
      <formula>D327&lt;&gt;""</formula>
    </cfRule>
  </conditionalFormatting>
  <conditionalFormatting sqref="D327">
    <cfRule type="expression" dxfId="10281" priority="7159">
      <formula>D327&lt;&gt;""</formula>
    </cfRule>
  </conditionalFormatting>
  <conditionalFormatting sqref="D331">
    <cfRule type="expression" dxfId="10280" priority="7158">
      <formula>D327&lt;&gt;""</formula>
    </cfRule>
  </conditionalFormatting>
  <conditionalFormatting sqref="C327:C331">
    <cfRule type="expression" dxfId="10279" priority="7167">
      <formula>D327&lt;&gt;""</formula>
    </cfRule>
  </conditionalFormatting>
  <conditionalFormatting sqref="E327:E331">
    <cfRule type="expression" dxfId="10278" priority="7166">
      <formula>F327&lt;&gt;""</formula>
    </cfRule>
  </conditionalFormatting>
  <conditionalFormatting sqref="G327:G331">
    <cfRule type="expression" dxfId="10277" priority="7165">
      <formula>H327&lt;&gt;""</formula>
    </cfRule>
  </conditionalFormatting>
  <conditionalFormatting sqref="I327:I331">
    <cfRule type="expression" dxfId="10276" priority="7164">
      <formula>B335&lt;&gt;""</formula>
    </cfRule>
  </conditionalFormatting>
  <conditionalFormatting sqref="B327:B331">
    <cfRule type="expression" dxfId="10275" priority="7163">
      <formula>B327&lt;&gt;""</formula>
    </cfRule>
  </conditionalFormatting>
  <conditionalFormatting sqref="B327">
    <cfRule type="expression" dxfId="10274" priority="7162">
      <formula>B327&lt;&gt;""</formula>
    </cfRule>
  </conditionalFormatting>
  <conditionalFormatting sqref="B331">
    <cfRule type="expression" dxfId="10273" priority="7161">
      <formula>B327&lt;&gt;""</formula>
    </cfRule>
  </conditionalFormatting>
  <conditionalFormatting sqref="F327:F331">
    <cfRule type="expression" dxfId="10272" priority="7157">
      <formula>F327&lt;&gt;""</formula>
    </cfRule>
  </conditionalFormatting>
  <conditionalFormatting sqref="F327">
    <cfRule type="expression" dxfId="10271" priority="7156">
      <formula>F327&lt;&gt;""</formula>
    </cfRule>
  </conditionalFormatting>
  <conditionalFormatting sqref="F331">
    <cfRule type="expression" dxfId="10270" priority="7155">
      <formula>F327&lt;&gt;""</formula>
    </cfRule>
  </conditionalFormatting>
  <conditionalFormatting sqref="H327:H331">
    <cfRule type="expression" dxfId="10269" priority="7154">
      <formula>H327&lt;&gt;""</formula>
    </cfRule>
  </conditionalFormatting>
  <conditionalFormatting sqref="H327">
    <cfRule type="expression" dxfId="10268" priority="7153">
      <formula>H327&lt;&gt;""</formula>
    </cfRule>
  </conditionalFormatting>
  <conditionalFormatting sqref="H331">
    <cfRule type="expression" dxfId="10267" priority="7152">
      <formula>H327&lt;&gt;""</formula>
    </cfRule>
  </conditionalFormatting>
  <conditionalFormatting sqref="F319:F323">
    <cfRule type="expression" dxfId="10266" priority="7151">
      <formula>F319&lt;&gt;""</formula>
    </cfRule>
  </conditionalFormatting>
  <conditionalFormatting sqref="F319">
    <cfRule type="expression" dxfId="10265" priority="7150">
      <formula>F319&lt;&gt;""</formula>
    </cfRule>
  </conditionalFormatting>
  <conditionalFormatting sqref="F323">
    <cfRule type="expression" dxfId="10264" priority="7149">
      <formula>F319&lt;&gt;""</formula>
    </cfRule>
  </conditionalFormatting>
  <conditionalFormatting sqref="E319:E323">
    <cfRule type="expression" dxfId="10263" priority="7148">
      <formula>F319&lt;&gt;""</formula>
    </cfRule>
  </conditionalFormatting>
  <conditionalFormatting sqref="G319:G323">
    <cfRule type="expression" dxfId="10262" priority="7147">
      <formula>H319&lt;&gt;""</formula>
    </cfRule>
  </conditionalFormatting>
  <conditionalFormatting sqref="I319:I323">
    <cfRule type="expression" dxfId="10261" priority="7146">
      <formula>B327&lt;&gt;""</formula>
    </cfRule>
  </conditionalFormatting>
  <conditionalFormatting sqref="H319:H323">
    <cfRule type="expression" dxfId="10260" priority="7145">
      <formula>H319&lt;&gt;""</formula>
    </cfRule>
  </conditionalFormatting>
  <conditionalFormatting sqref="H319">
    <cfRule type="expression" dxfId="10259" priority="7144">
      <formula>H319&lt;&gt;""</formula>
    </cfRule>
  </conditionalFormatting>
  <conditionalFormatting sqref="H323">
    <cfRule type="expression" dxfId="10258" priority="7143">
      <formula>H319&lt;&gt;""</formula>
    </cfRule>
  </conditionalFormatting>
  <conditionalFormatting sqref="I332:I333 C333:H333 B333:B334">
    <cfRule type="expression" dxfId="10257" priority="7142">
      <formula>$B$335&lt;&gt;""</formula>
    </cfRule>
  </conditionalFormatting>
  <conditionalFormatting sqref="B335:B339">
    <cfRule type="expression" dxfId="10256" priority="7141">
      <formula>B335&lt;&gt;""</formula>
    </cfRule>
  </conditionalFormatting>
  <conditionalFormatting sqref="B335">
    <cfRule type="expression" dxfId="10255" priority="7140">
      <formula>B335&lt;&gt;""</formula>
    </cfRule>
  </conditionalFormatting>
  <conditionalFormatting sqref="B339">
    <cfRule type="expression" dxfId="10254" priority="7139">
      <formula>B335&lt;&gt;""</formula>
    </cfRule>
  </conditionalFormatting>
  <conditionalFormatting sqref="F335:F339">
    <cfRule type="expression" dxfId="10253" priority="7135">
      <formula>F335&lt;&gt;""</formula>
    </cfRule>
  </conditionalFormatting>
  <conditionalFormatting sqref="F335">
    <cfRule type="expression" dxfId="10252" priority="7134">
      <formula>F335&lt;&gt;""</formula>
    </cfRule>
  </conditionalFormatting>
  <conditionalFormatting sqref="F339">
    <cfRule type="expression" dxfId="10251" priority="7133">
      <formula>F335&lt;&gt;""</formula>
    </cfRule>
  </conditionalFormatting>
  <conditionalFormatting sqref="C335:C339">
    <cfRule type="expression" dxfId="10250" priority="7132">
      <formula>D335&lt;&gt;""</formula>
    </cfRule>
  </conditionalFormatting>
  <conditionalFormatting sqref="E335:E339">
    <cfRule type="expression" dxfId="10249" priority="7131">
      <formula>F335&lt;&gt;""</formula>
    </cfRule>
  </conditionalFormatting>
  <conditionalFormatting sqref="G335:G339">
    <cfRule type="expression" dxfId="10248" priority="7130">
      <formula>H335&lt;&gt;""</formula>
    </cfRule>
  </conditionalFormatting>
  <conditionalFormatting sqref="H335:H339">
    <cfRule type="expression" dxfId="10247" priority="7129">
      <formula>H335&lt;&gt;""</formula>
    </cfRule>
  </conditionalFormatting>
  <conditionalFormatting sqref="H335">
    <cfRule type="expression" dxfId="10246" priority="7128">
      <formula>H335&lt;&gt;""</formula>
    </cfRule>
  </conditionalFormatting>
  <conditionalFormatting sqref="H339">
    <cfRule type="expression" dxfId="10245" priority="7127">
      <formula>H335&lt;&gt;""</formula>
    </cfRule>
  </conditionalFormatting>
  <conditionalFormatting sqref="D307:D311">
    <cfRule type="expression" dxfId="10244" priority="7095">
      <formula>D307&lt;&gt;""</formula>
    </cfRule>
  </conditionalFormatting>
  <conditionalFormatting sqref="D307">
    <cfRule type="expression" dxfId="10243" priority="7094">
      <formula>D307&lt;&gt;""</formula>
    </cfRule>
  </conditionalFormatting>
  <conditionalFormatting sqref="D311">
    <cfRule type="expression" dxfId="10242" priority="7093">
      <formula>D307&lt;&gt;""</formula>
    </cfRule>
  </conditionalFormatting>
  <conditionalFormatting sqref="I296:I297 C297:H297 B297:B298">
    <cfRule type="expression" dxfId="10241" priority="7083">
      <formula>$B$299&lt;&gt;""</formula>
    </cfRule>
  </conditionalFormatting>
  <conditionalFormatting sqref="D299:D303">
    <cfRule type="expression" dxfId="10240" priority="7117">
      <formula>D299&lt;&gt;""</formula>
    </cfRule>
  </conditionalFormatting>
  <conditionalFormatting sqref="D299">
    <cfRule type="expression" dxfId="10239" priority="7116">
      <formula>D299&lt;&gt;""</formula>
    </cfRule>
  </conditionalFormatting>
  <conditionalFormatting sqref="D303">
    <cfRule type="expression" dxfId="10238" priority="7115">
      <formula>D299&lt;&gt;""</formula>
    </cfRule>
  </conditionalFormatting>
  <conditionalFormatting sqref="C299:C303">
    <cfRule type="expression" dxfId="10237" priority="7124">
      <formula>D299&lt;&gt;""</formula>
    </cfRule>
  </conditionalFormatting>
  <conditionalFormatting sqref="E299:E303">
    <cfRule type="expression" dxfId="10236" priority="7123">
      <formula>F299&lt;&gt;""</formula>
    </cfRule>
  </conditionalFormatting>
  <conditionalFormatting sqref="G299:G303">
    <cfRule type="expression" dxfId="10235" priority="7122">
      <formula>H299&lt;&gt;""</formula>
    </cfRule>
  </conditionalFormatting>
  <conditionalFormatting sqref="I299:I303">
    <cfRule type="expression" dxfId="10234" priority="7121">
      <formula>B307&lt;&gt;""</formula>
    </cfRule>
  </conditionalFormatting>
  <conditionalFormatting sqref="B299:B303">
    <cfRule type="expression" dxfId="10233" priority="7120">
      <formula>B299&lt;&gt;""</formula>
    </cfRule>
  </conditionalFormatting>
  <conditionalFormatting sqref="B299">
    <cfRule type="expression" dxfId="10232" priority="7119">
      <formula>B299&lt;&gt;""</formula>
    </cfRule>
  </conditionalFormatting>
  <conditionalFormatting sqref="B303">
    <cfRule type="expression" dxfId="10231" priority="7118">
      <formula>B299&lt;&gt;""</formula>
    </cfRule>
  </conditionalFormatting>
  <conditionalFormatting sqref="F299:F303">
    <cfRule type="expression" dxfId="10230" priority="7114">
      <formula>F299&lt;&gt;""</formula>
    </cfRule>
  </conditionalFormatting>
  <conditionalFormatting sqref="F299">
    <cfRule type="expression" dxfId="10229" priority="7113">
      <formula>F299&lt;&gt;""</formula>
    </cfRule>
  </conditionalFormatting>
  <conditionalFormatting sqref="F303">
    <cfRule type="expression" dxfId="10228" priority="7112">
      <formula>F299&lt;&gt;""</formula>
    </cfRule>
  </conditionalFormatting>
  <conditionalFormatting sqref="H299:H303">
    <cfRule type="expression" dxfId="10227" priority="7111">
      <formula>H299&lt;&gt;""</formula>
    </cfRule>
  </conditionalFormatting>
  <conditionalFormatting sqref="H299">
    <cfRule type="expression" dxfId="10226" priority="7110">
      <formula>H299&lt;&gt;""</formula>
    </cfRule>
  </conditionalFormatting>
  <conditionalFormatting sqref="H303">
    <cfRule type="expression" dxfId="10225" priority="7109">
      <formula>H299&lt;&gt;""</formula>
    </cfRule>
  </conditionalFormatting>
  <conditionalFormatting sqref="F291:F295">
    <cfRule type="expression" dxfId="10224" priority="7108">
      <formula>F291&lt;&gt;""</formula>
    </cfRule>
  </conditionalFormatting>
  <conditionalFormatting sqref="F291">
    <cfRule type="expression" dxfId="10223" priority="7107">
      <formula>F291&lt;&gt;""</formula>
    </cfRule>
  </conditionalFormatting>
  <conditionalFormatting sqref="F295">
    <cfRule type="expression" dxfId="10222" priority="7106">
      <formula>F291&lt;&gt;""</formula>
    </cfRule>
  </conditionalFormatting>
  <conditionalFormatting sqref="E291:E295">
    <cfRule type="expression" dxfId="10221" priority="7105">
      <formula>F291&lt;&gt;""</formula>
    </cfRule>
  </conditionalFormatting>
  <conditionalFormatting sqref="G291:G295">
    <cfRule type="expression" dxfId="10220" priority="7104">
      <formula>H291&lt;&gt;""</formula>
    </cfRule>
  </conditionalFormatting>
  <conditionalFormatting sqref="I291:I295">
    <cfRule type="expression" dxfId="10219" priority="7103">
      <formula>B299&lt;&gt;""</formula>
    </cfRule>
  </conditionalFormatting>
  <conditionalFormatting sqref="H291:H295">
    <cfRule type="expression" dxfId="10218" priority="7102">
      <formula>H291&lt;&gt;""</formula>
    </cfRule>
  </conditionalFormatting>
  <conditionalFormatting sqref="H291">
    <cfRule type="expression" dxfId="10217" priority="7101">
      <formula>H291&lt;&gt;""</formula>
    </cfRule>
  </conditionalFormatting>
  <conditionalFormatting sqref="H295">
    <cfRule type="expression" dxfId="10216" priority="7100">
      <formula>H291&lt;&gt;""</formula>
    </cfRule>
  </conditionalFormatting>
  <conditionalFormatting sqref="I304:I305 C305:H305 B305:B306">
    <cfRule type="expression" dxfId="10215" priority="7099">
      <formula>$B$307&lt;&gt;""</formula>
    </cfRule>
  </conditionalFormatting>
  <conditionalFormatting sqref="B307:B311">
    <cfRule type="expression" dxfId="10214" priority="7098">
      <formula>B307&lt;&gt;""</formula>
    </cfRule>
  </conditionalFormatting>
  <conditionalFormatting sqref="B307">
    <cfRule type="expression" dxfId="10213" priority="7097">
      <formula>B307&lt;&gt;""</formula>
    </cfRule>
  </conditionalFormatting>
  <conditionalFormatting sqref="B311">
    <cfRule type="expression" dxfId="10212" priority="7096">
      <formula>B307&lt;&gt;""</formula>
    </cfRule>
  </conditionalFormatting>
  <conditionalFormatting sqref="F307:F311">
    <cfRule type="expression" dxfId="10211" priority="7092">
      <formula>F307&lt;&gt;""</formula>
    </cfRule>
  </conditionalFormatting>
  <conditionalFormatting sqref="F307">
    <cfRule type="expression" dxfId="10210" priority="7091">
      <formula>F307&lt;&gt;""</formula>
    </cfRule>
  </conditionalFormatting>
  <conditionalFormatting sqref="F311">
    <cfRule type="expression" dxfId="10209" priority="7090">
      <formula>F307&lt;&gt;""</formula>
    </cfRule>
  </conditionalFormatting>
  <conditionalFormatting sqref="C307:C311">
    <cfRule type="expression" dxfId="10208" priority="7089">
      <formula>D307&lt;&gt;""</formula>
    </cfRule>
  </conditionalFormatting>
  <conditionalFormatting sqref="E307:E311">
    <cfRule type="expression" dxfId="10207" priority="7088">
      <formula>F307&lt;&gt;""</formula>
    </cfRule>
  </conditionalFormatting>
  <conditionalFormatting sqref="G307:G311">
    <cfRule type="expression" dxfId="10206" priority="7087">
      <formula>H307&lt;&gt;""</formula>
    </cfRule>
  </conditionalFormatting>
  <conditionalFormatting sqref="H307:H311">
    <cfRule type="expression" dxfId="10205" priority="7086">
      <formula>H307&lt;&gt;""</formula>
    </cfRule>
  </conditionalFormatting>
  <conditionalFormatting sqref="H307">
    <cfRule type="expression" dxfId="10204" priority="7085">
      <formula>H307&lt;&gt;""</formula>
    </cfRule>
  </conditionalFormatting>
  <conditionalFormatting sqref="H311">
    <cfRule type="expression" dxfId="10203" priority="7084">
      <formula>H307&lt;&gt;""</formula>
    </cfRule>
  </conditionalFormatting>
  <conditionalFormatting sqref="D109:D113">
    <cfRule type="expression" dxfId="10202" priority="7052">
      <formula>D109&lt;&gt;""</formula>
    </cfRule>
  </conditionalFormatting>
  <conditionalFormatting sqref="D109">
    <cfRule type="expression" dxfId="10201" priority="7051">
      <formula>D109&lt;&gt;""</formula>
    </cfRule>
  </conditionalFormatting>
  <conditionalFormatting sqref="D113">
    <cfRule type="expression" dxfId="10200" priority="7050">
      <formula>D109&lt;&gt;""</formula>
    </cfRule>
  </conditionalFormatting>
  <conditionalFormatting sqref="D101:D105">
    <cfRule type="expression" dxfId="10199" priority="7074">
      <formula>D101&lt;&gt;""</formula>
    </cfRule>
  </conditionalFormatting>
  <conditionalFormatting sqref="D101">
    <cfRule type="expression" dxfId="10198" priority="7073">
      <formula>D101&lt;&gt;""</formula>
    </cfRule>
  </conditionalFormatting>
  <conditionalFormatting sqref="D105">
    <cfRule type="expression" dxfId="10197" priority="7072">
      <formula>D101&lt;&gt;""</formula>
    </cfRule>
  </conditionalFormatting>
  <conditionalFormatting sqref="C101:C105">
    <cfRule type="expression" dxfId="10196" priority="7081">
      <formula>D101&lt;&gt;""</formula>
    </cfRule>
  </conditionalFormatting>
  <conditionalFormatting sqref="E101:E105">
    <cfRule type="expression" dxfId="10195" priority="7080">
      <formula>F101&lt;&gt;""</formula>
    </cfRule>
  </conditionalFormatting>
  <conditionalFormatting sqref="G101:G105">
    <cfRule type="expression" dxfId="10194" priority="7079">
      <formula>H101&lt;&gt;""</formula>
    </cfRule>
  </conditionalFormatting>
  <conditionalFormatting sqref="I101:I105">
    <cfRule type="expression" dxfId="10193" priority="7078">
      <formula>B109&lt;&gt;""</formula>
    </cfRule>
  </conditionalFormatting>
  <conditionalFormatting sqref="B101:B105">
    <cfRule type="expression" dxfId="10192" priority="7077">
      <formula>B101&lt;&gt;""</formula>
    </cfRule>
  </conditionalFormatting>
  <conditionalFormatting sqref="B101">
    <cfRule type="expression" dxfId="10191" priority="7076">
      <formula>B101&lt;&gt;""</formula>
    </cfRule>
  </conditionalFormatting>
  <conditionalFormatting sqref="B105">
    <cfRule type="expression" dxfId="10190" priority="7075">
      <formula>B101&lt;&gt;""</formula>
    </cfRule>
  </conditionalFormatting>
  <conditionalFormatting sqref="F101:F105">
    <cfRule type="expression" dxfId="10189" priority="7071">
      <formula>F101&lt;&gt;""</formula>
    </cfRule>
  </conditionalFormatting>
  <conditionalFormatting sqref="F101">
    <cfRule type="expression" dxfId="10188" priority="7070">
      <formula>F101&lt;&gt;""</formula>
    </cfRule>
  </conditionalFormatting>
  <conditionalFormatting sqref="F105">
    <cfRule type="expression" dxfId="10187" priority="7069">
      <formula>F101&lt;&gt;""</formula>
    </cfRule>
  </conditionalFormatting>
  <conditionalFormatting sqref="H101:H105">
    <cfRule type="expression" dxfId="10186" priority="7068">
      <formula>H101&lt;&gt;""</formula>
    </cfRule>
  </conditionalFormatting>
  <conditionalFormatting sqref="H101">
    <cfRule type="expression" dxfId="10185" priority="7067">
      <formula>H101&lt;&gt;""</formula>
    </cfRule>
  </conditionalFormatting>
  <conditionalFormatting sqref="H105">
    <cfRule type="expression" dxfId="10184" priority="7066">
      <formula>H101&lt;&gt;""</formula>
    </cfRule>
  </conditionalFormatting>
  <conditionalFormatting sqref="F93:F97">
    <cfRule type="expression" dxfId="10183" priority="7065">
      <formula>F93&lt;&gt;""</formula>
    </cfRule>
  </conditionalFormatting>
  <conditionalFormatting sqref="F93">
    <cfRule type="expression" dxfId="10182" priority="7064">
      <formula>F93&lt;&gt;""</formula>
    </cfRule>
  </conditionalFormatting>
  <conditionalFormatting sqref="F97">
    <cfRule type="expression" dxfId="10181" priority="7063">
      <formula>F93&lt;&gt;""</formula>
    </cfRule>
  </conditionalFormatting>
  <conditionalFormatting sqref="E93:E97">
    <cfRule type="expression" dxfId="10180" priority="7062">
      <formula>F93&lt;&gt;""</formula>
    </cfRule>
  </conditionalFormatting>
  <conditionalFormatting sqref="G93:G97">
    <cfRule type="expression" dxfId="10179" priority="7061">
      <formula>H93&lt;&gt;""</formula>
    </cfRule>
  </conditionalFormatting>
  <conditionalFormatting sqref="I93:I97">
    <cfRule type="expression" dxfId="10178" priority="7060">
      <formula>B101&lt;&gt;""</formula>
    </cfRule>
  </conditionalFormatting>
  <conditionalFormatting sqref="H93:H97">
    <cfRule type="expression" dxfId="10177" priority="7059">
      <formula>H93&lt;&gt;""</formula>
    </cfRule>
  </conditionalFormatting>
  <conditionalFormatting sqref="H93">
    <cfRule type="expression" dxfId="10176" priority="7058">
      <formula>H93&lt;&gt;""</formula>
    </cfRule>
  </conditionalFormatting>
  <conditionalFormatting sqref="H97">
    <cfRule type="expression" dxfId="10175" priority="7057">
      <formula>H93&lt;&gt;""</formula>
    </cfRule>
  </conditionalFormatting>
  <conditionalFormatting sqref="B79:B80 C79:I79 I78 C51:I51 I50 I22">
    <cfRule type="expression" dxfId="10174" priority="7056">
      <formula>$B$81&lt;&gt;""</formula>
    </cfRule>
  </conditionalFormatting>
  <conditionalFormatting sqref="B109:B113">
    <cfRule type="expression" dxfId="10173" priority="7055">
      <formula>B109&lt;&gt;""</formula>
    </cfRule>
  </conditionalFormatting>
  <conditionalFormatting sqref="B109">
    <cfRule type="expression" dxfId="10172" priority="7054">
      <formula>B109&lt;&gt;""</formula>
    </cfRule>
  </conditionalFormatting>
  <conditionalFormatting sqref="B113">
    <cfRule type="expression" dxfId="10171" priority="7053">
      <formula>B109&lt;&gt;""</formula>
    </cfRule>
  </conditionalFormatting>
  <conditionalFormatting sqref="F109:F113">
    <cfRule type="expression" dxfId="10170" priority="7049">
      <formula>F109&lt;&gt;""</formula>
    </cfRule>
  </conditionalFormatting>
  <conditionalFormatting sqref="F109">
    <cfRule type="expression" dxfId="10169" priority="7048">
      <formula>F109&lt;&gt;""</formula>
    </cfRule>
  </conditionalFormatting>
  <conditionalFormatting sqref="F113">
    <cfRule type="expression" dxfId="10168" priority="7047">
      <formula>F109&lt;&gt;""</formula>
    </cfRule>
  </conditionalFormatting>
  <conditionalFormatting sqref="C109:C113">
    <cfRule type="expression" dxfId="10167" priority="7046">
      <formula>D109&lt;&gt;""</formula>
    </cfRule>
  </conditionalFormatting>
  <conditionalFormatting sqref="E109:E113">
    <cfRule type="expression" dxfId="10166" priority="7045">
      <formula>F109&lt;&gt;""</formula>
    </cfRule>
  </conditionalFormatting>
  <conditionalFormatting sqref="G109:G113">
    <cfRule type="expression" dxfId="10165" priority="7044">
      <formula>H109&lt;&gt;""</formula>
    </cfRule>
  </conditionalFormatting>
  <conditionalFormatting sqref="H109:H113">
    <cfRule type="expression" dxfId="10164" priority="7043">
      <formula>H109&lt;&gt;""</formula>
    </cfRule>
  </conditionalFormatting>
  <conditionalFormatting sqref="H109">
    <cfRule type="expression" dxfId="10163" priority="7042">
      <formula>H109&lt;&gt;""</formula>
    </cfRule>
  </conditionalFormatting>
  <conditionalFormatting sqref="H113">
    <cfRule type="expression" dxfId="10162" priority="7041">
      <formula>H109&lt;&gt;""</formula>
    </cfRule>
  </conditionalFormatting>
  <conditionalFormatting sqref="D81:D85">
    <cfRule type="expression" dxfId="10161" priority="7009">
      <formula>D81&lt;&gt;""</formula>
    </cfRule>
  </conditionalFormatting>
  <conditionalFormatting sqref="D81">
    <cfRule type="expression" dxfId="10160" priority="7008">
      <formula>D81&lt;&gt;""</formula>
    </cfRule>
  </conditionalFormatting>
  <conditionalFormatting sqref="D85">
    <cfRule type="expression" dxfId="10159" priority="7007">
      <formula>D81&lt;&gt;""</formula>
    </cfRule>
  </conditionalFormatting>
  <conditionalFormatting sqref="D73:D77">
    <cfRule type="expression" dxfId="10158" priority="7031">
      <formula>D73&lt;&gt;""</formula>
    </cfRule>
  </conditionalFormatting>
  <conditionalFormatting sqref="D73">
    <cfRule type="expression" dxfId="10157" priority="7030">
      <formula>D73&lt;&gt;""</formula>
    </cfRule>
  </conditionalFormatting>
  <conditionalFormatting sqref="D77">
    <cfRule type="expression" dxfId="10156" priority="7029">
      <formula>D73&lt;&gt;""</formula>
    </cfRule>
  </conditionalFormatting>
  <conditionalFormatting sqref="C73:C77">
    <cfRule type="expression" dxfId="10155" priority="7038">
      <formula>D73&lt;&gt;""</formula>
    </cfRule>
  </conditionalFormatting>
  <conditionalFormatting sqref="E73:E77">
    <cfRule type="expression" dxfId="10154" priority="7037">
      <formula>F73&lt;&gt;""</formula>
    </cfRule>
  </conditionalFormatting>
  <conditionalFormatting sqref="G73:G77">
    <cfRule type="expression" dxfId="10153" priority="7036">
      <formula>H73&lt;&gt;""</formula>
    </cfRule>
  </conditionalFormatting>
  <conditionalFormatting sqref="I73:I77">
    <cfRule type="expression" dxfId="10152" priority="7035">
      <formula>B81&lt;&gt;""</formula>
    </cfRule>
  </conditionalFormatting>
  <conditionalFormatting sqref="B73:B77">
    <cfRule type="expression" dxfId="10151" priority="7034">
      <formula>B73&lt;&gt;""</formula>
    </cfRule>
  </conditionalFormatting>
  <conditionalFormatting sqref="B73">
    <cfRule type="expression" dxfId="10150" priority="7033">
      <formula>B73&lt;&gt;""</formula>
    </cfRule>
  </conditionalFormatting>
  <conditionalFormatting sqref="B77">
    <cfRule type="expression" dxfId="10149" priority="7032">
      <formula>B73&lt;&gt;""</formula>
    </cfRule>
  </conditionalFormatting>
  <conditionalFormatting sqref="F73:F77">
    <cfRule type="expression" dxfId="10148" priority="7028">
      <formula>F73&lt;&gt;""</formula>
    </cfRule>
  </conditionalFormatting>
  <conditionalFormatting sqref="F73">
    <cfRule type="expression" dxfId="10147" priority="7027">
      <formula>F73&lt;&gt;""</formula>
    </cfRule>
  </conditionalFormatting>
  <conditionalFormatting sqref="F77">
    <cfRule type="expression" dxfId="10146" priority="7026">
      <formula>F73&lt;&gt;""</formula>
    </cfRule>
  </conditionalFormatting>
  <conditionalFormatting sqref="H73:H77">
    <cfRule type="expression" dxfId="10145" priority="7025">
      <formula>H73&lt;&gt;""</formula>
    </cfRule>
  </conditionalFormatting>
  <conditionalFormatting sqref="H73">
    <cfRule type="expression" dxfId="10144" priority="7024">
      <formula>H73&lt;&gt;""</formula>
    </cfRule>
  </conditionalFormatting>
  <conditionalFormatting sqref="H77">
    <cfRule type="expression" dxfId="10143" priority="7023">
      <formula>H73&lt;&gt;""</formula>
    </cfRule>
  </conditionalFormatting>
  <conditionalFormatting sqref="F65:F69">
    <cfRule type="expression" dxfId="10142" priority="7022">
      <formula>F65&lt;&gt;""</formula>
    </cfRule>
  </conditionalFormatting>
  <conditionalFormatting sqref="F65">
    <cfRule type="expression" dxfId="10141" priority="7021">
      <formula>F65&lt;&gt;""</formula>
    </cfRule>
  </conditionalFormatting>
  <conditionalFormatting sqref="F69">
    <cfRule type="expression" dxfId="10140" priority="7020">
      <formula>F65&lt;&gt;""</formula>
    </cfRule>
  </conditionalFormatting>
  <conditionalFormatting sqref="E65:E69">
    <cfRule type="expression" dxfId="10139" priority="7019">
      <formula>F65&lt;&gt;""</formula>
    </cfRule>
  </conditionalFormatting>
  <conditionalFormatting sqref="G65:G69">
    <cfRule type="expression" dxfId="10138" priority="7018">
      <formula>H65&lt;&gt;""</formula>
    </cfRule>
  </conditionalFormatting>
  <conditionalFormatting sqref="I65:I69">
    <cfRule type="expression" dxfId="10137" priority="7017">
      <formula>B73&lt;&gt;""</formula>
    </cfRule>
  </conditionalFormatting>
  <conditionalFormatting sqref="H65:H69">
    <cfRule type="expression" dxfId="10136" priority="7016">
      <formula>H65&lt;&gt;""</formula>
    </cfRule>
  </conditionalFormatting>
  <conditionalFormatting sqref="H65">
    <cfRule type="expression" dxfId="10135" priority="7015">
      <formula>H65&lt;&gt;""</formula>
    </cfRule>
  </conditionalFormatting>
  <conditionalFormatting sqref="H69">
    <cfRule type="expression" dxfId="10134" priority="7014">
      <formula>H65&lt;&gt;""</formula>
    </cfRule>
  </conditionalFormatting>
  <conditionalFormatting sqref="I78:I79">
    <cfRule type="expression" dxfId="10133" priority="7013">
      <formula>$B$109&lt;&gt;""</formula>
    </cfRule>
  </conditionalFormatting>
  <conditionalFormatting sqref="B81:B85">
    <cfRule type="expression" dxfId="10132" priority="7012">
      <formula>B81&lt;&gt;""</formula>
    </cfRule>
  </conditionalFormatting>
  <conditionalFormatting sqref="B81">
    <cfRule type="expression" dxfId="10131" priority="7011">
      <formula>B81&lt;&gt;""</formula>
    </cfRule>
  </conditionalFormatting>
  <conditionalFormatting sqref="B85">
    <cfRule type="expression" dxfId="10130" priority="7010">
      <formula>B81&lt;&gt;""</formula>
    </cfRule>
  </conditionalFormatting>
  <conditionalFormatting sqref="F81:F85">
    <cfRule type="expression" dxfId="10129" priority="7006">
      <formula>F81&lt;&gt;""</formula>
    </cfRule>
  </conditionalFormatting>
  <conditionalFormatting sqref="F81">
    <cfRule type="expression" dxfId="10128" priority="7005">
      <formula>F81&lt;&gt;""</formula>
    </cfRule>
  </conditionalFormatting>
  <conditionalFormatting sqref="F85">
    <cfRule type="expression" dxfId="10127" priority="7004">
      <formula>F81&lt;&gt;""</formula>
    </cfRule>
  </conditionalFormatting>
  <conditionalFormatting sqref="C81:C85">
    <cfRule type="expression" dxfId="10126" priority="7003">
      <formula>D81&lt;&gt;""</formula>
    </cfRule>
  </conditionalFormatting>
  <conditionalFormatting sqref="E81:E85">
    <cfRule type="expression" dxfId="10125" priority="7002">
      <formula>F81&lt;&gt;""</formula>
    </cfRule>
  </conditionalFormatting>
  <conditionalFormatting sqref="G81:G85">
    <cfRule type="expression" dxfId="10124" priority="7001">
      <formula>H81&lt;&gt;""</formula>
    </cfRule>
  </conditionalFormatting>
  <conditionalFormatting sqref="H81:H85">
    <cfRule type="expression" dxfId="10123" priority="7000">
      <formula>H81&lt;&gt;""</formula>
    </cfRule>
  </conditionalFormatting>
  <conditionalFormatting sqref="H81">
    <cfRule type="expression" dxfId="10122" priority="6999">
      <formula>H81&lt;&gt;""</formula>
    </cfRule>
  </conditionalFormatting>
  <conditionalFormatting sqref="H85">
    <cfRule type="expression" dxfId="10121" priority="6998">
      <formula>H81&lt;&gt;""</formula>
    </cfRule>
  </conditionalFormatting>
  <conditionalFormatting sqref="B99:B100 C99:I99 I98">
    <cfRule type="expression" dxfId="10120" priority="6995">
      <formula>$B$101&lt;&gt;""</formula>
    </cfRule>
  </conditionalFormatting>
  <conditionalFormatting sqref="B43:B44 C43:I43 I42">
    <cfRule type="expression" dxfId="10119" priority="6993">
      <formula>$B$45&lt;&gt;""</formula>
    </cfRule>
  </conditionalFormatting>
  <conditionalFormatting sqref="B51:B52 C51:I51 I50">
    <cfRule type="expression" dxfId="10118" priority="6994">
      <formula>$B$53&lt;&gt;""</formula>
    </cfRule>
  </conditionalFormatting>
  <conditionalFormatting sqref="D53:D57">
    <cfRule type="expression" dxfId="10117" priority="6963">
      <formula>D53&lt;&gt;""</formula>
    </cfRule>
  </conditionalFormatting>
  <conditionalFormatting sqref="D53">
    <cfRule type="expression" dxfId="10116" priority="6962">
      <formula>D53&lt;&gt;""</formula>
    </cfRule>
  </conditionalFormatting>
  <conditionalFormatting sqref="D57">
    <cfRule type="expression" dxfId="10115" priority="6961">
      <formula>D53&lt;&gt;""</formula>
    </cfRule>
  </conditionalFormatting>
  <conditionalFormatting sqref="D45:D49">
    <cfRule type="expression" dxfId="10114" priority="6985">
      <formula>D45&lt;&gt;""</formula>
    </cfRule>
  </conditionalFormatting>
  <conditionalFormatting sqref="D45">
    <cfRule type="expression" dxfId="10113" priority="6984">
      <formula>D45&lt;&gt;""</formula>
    </cfRule>
  </conditionalFormatting>
  <conditionalFormatting sqref="D49">
    <cfRule type="expression" dxfId="10112" priority="6983">
      <formula>D45&lt;&gt;""</formula>
    </cfRule>
  </conditionalFormatting>
  <conditionalFormatting sqref="C45:C49">
    <cfRule type="expression" dxfId="10111" priority="6992">
      <formula>D45&lt;&gt;""</formula>
    </cfRule>
  </conditionalFormatting>
  <conditionalFormatting sqref="E45:E49">
    <cfRule type="expression" dxfId="10110" priority="6991">
      <formula>F45&lt;&gt;""</formula>
    </cfRule>
  </conditionalFormatting>
  <conditionalFormatting sqref="G45:G49">
    <cfRule type="expression" dxfId="10109" priority="6990">
      <formula>H45&lt;&gt;""</formula>
    </cfRule>
  </conditionalFormatting>
  <conditionalFormatting sqref="I45:I49">
    <cfRule type="expression" dxfId="10108" priority="6989">
      <formula>B53&lt;&gt;""</formula>
    </cfRule>
  </conditionalFormatting>
  <conditionalFormatting sqref="B45:B49">
    <cfRule type="expression" dxfId="10107" priority="6988">
      <formula>B45&lt;&gt;""</formula>
    </cfRule>
  </conditionalFormatting>
  <conditionalFormatting sqref="B45">
    <cfRule type="expression" dxfId="10106" priority="6987">
      <formula>B45&lt;&gt;""</formula>
    </cfRule>
  </conditionalFormatting>
  <conditionalFormatting sqref="B49">
    <cfRule type="expression" dxfId="10105" priority="6986">
      <formula>B45&lt;&gt;""</formula>
    </cfRule>
  </conditionalFormatting>
  <conditionalFormatting sqref="F45:F49">
    <cfRule type="expression" dxfId="10104" priority="6982">
      <formula>F45&lt;&gt;""</formula>
    </cfRule>
  </conditionalFormatting>
  <conditionalFormatting sqref="F45">
    <cfRule type="expression" dxfId="10103" priority="6981">
      <formula>F45&lt;&gt;""</formula>
    </cfRule>
  </conditionalFormatting>
  <conditionalFormatting sqref="F49">
    <cfRule type="expression" dxfId="10102" priority="6980">
      <formula>F45&lt;&gt;""</formula>
    </cfRule>
  </conditionalFormatting>
  <conditionalFormatting sqref="H45:H49">
    <cfRule type="expression" dxfId="10101" priority="6979">
      <formula>H45&lt;&gt;""</formula>
    </cfRule>
  </conditionalFormatting>
  <conditionalFormatting sqref="H45">
    <cfRule type="expression" dxfId="10100" priority="6978">
      <formula>H45&lt;&gt;""</formula>
    </cfRule>
  </conditionalFormatting>
  <conditionalFormatting sqref="H49">
    <cfRule type="expression" dxfId="10099" priority="6977">
      <formula>H45&lt;&gt;""</formula>
    </cfRule>
  </conditionalFormatting>
  <conditionalFormatting sqref="F37:F41">
    <cfRule type="expression" dxfId="10098" priority="6976">
      <formula>F37&lt;&gt;""</formula>
    </cfRule>
  </conditionalFormatting>
  <conditionalFormatting sqref="F37">
    <cfRule type="expression" dxfId="10097" priority="6975">
      <formula>F37&lt;&gt;""</formula>
    </cfRule>
  </conditionalFormatting>
  <conditionalFormatting sqref="F41">
    <cfRule type="expression" dxfId="10096" priority="6974">
      <formula>F37&lt;&gt;""</formula>
    </cfRule>
  </conditionalFormatting>
  <conditionalFormatting sqref="E37:E41">
    <cfRule type="expression" dxfId="10095" priority="6973">
      <formula>F37&lt;&gt;""</formula>
    </cfRule>
  </conditionalFormatting>
  <conditionalFormatting sqref="G37:G41">
    <cfRule type="expression" dxfId="10094" priority="6972">
      <formula>H37&lt;&gt;""</formula>
    </cfRule>
  </conditionalFormatting>
  <conditionalFormatting sqref="I37:I41">
    <cfRule type="expression" dxfId="10093" priority="6971">
      <formula>B45&lt;&gt;""</formula>
    </cfRule>
  </conditionalFormatting>
  <conditionalFormatting sqref="H37:H41">
    <cfRule type="expression" dxfId="10092" priority="6970">
      <formula>H37&lt;&gt;""</formula>
    </cfRule>
  </conditionalFormatting>
  <conditionalFormatting sqref="H37">
    <cfRule type="expression" dxfId="10091" priority="6969">
      <formula>H37&lt;&gt;""</formula>
    </cfRule>
  </conditionalFormatting>
  <conditionalFormatting sqref="H41">
    <cfRule type="expression" dxfId="10090" priority="6968">
      <formula>H37&lt;&gt;""</formula>
    </cfRule>
  </conditionalFormatting>
  <conditionalFormatting sqref="I50:I51">
    <cfRule type="expression" dxfId="10089" priority="6967">
      <formula>$B$109&lt;&gt;""</formula>
    </cfRule>
  </conditionalFormatting>
  <conditionalFormatting sqref="B53:B57">
    <cfRule type="expression" dxfId="10088" priority="6966">
      <formula>B53&lt;&gt;""</formula>
    </cfRule>
  </conditionalFormatting>
  <conditionalFormatting sqref="B53">
    <cfRule type="expression" dxfId="10087" priority="6965">
      <formula>B53&lt;&gt;""</formula>
    </cfRule>
  </conditionalFormatting>
  <conditionalFormatting sqref="B57">
    <cfRule type="expression" dxfId="10086" priority="6964">
      <formula>B53&lt;&gt;""</formula>
    </cfRule>
  </conditionalFormatting>
  <conditionalFormatting sqref="F53:F57">
    <cfRule type="expression" dxfId="10085" priority="6960">
      <formula>F53&lt;&gt;""</formula>
    </cfRule>
  </conditionalFormatting>
  <conditionalFormatting sqref="F53">
    <cfRule type="expression" dxfId="10084" priority="6959">
      <formula>F53&lt;&gt;""</formula>
    </cfRule>
  </conditionalFormatting>
  <conditionalFormatting sqref="F57">
    <cfRule type="expression" dxfId="10083" priority="6958">
      <formula>F53&lt;&gt;""</formula>
    </cfRule>
  </conditionalFormatting>
  <conditionalFormatting sqref="C53:C57">
    <cfRule type="expression" dxfId="10082" priority="6957">
      <formula>D53&lt;&gt;""</formula>
    </cfRule>
  </conditionalFormatting>
  <conditionalFormatting sqref="E53:E57">
    <cfRule type="expression" dxfId="10081" priority="6956">
      <formula>F53&lt;&gt;""</formula>
    </cfRule>
  </conditionalFormatting>
  <conditionalFormatting sqref="G53:G57">
    <cfRule type="expression" dxfId="10080" priority="6955">
      <formula>H53&lt;&gt;""</formula>
    </cfRule>
  </conditionalFormatting>
  <conditionalFormatting sqref="H53:H57">
    <cfRule type="expression" dxfId="10079" priority="6954">
      <formula>H53&lt;&gt;""</formula>
    </cfRule>
  </conditionalFormatting>
  <conditionalFormatting sqref="H53">
    <cfRule type="expression" dxfId="10078" priority="6953">
      <formula>H53&lt;&gt;""</formula>
    </cfRule>
  </conditionalFormatting>
  <conditionalFormatting sqref="H57">
    <cfRule type="expression" dxfId="10077" priority="6952">
      <formula>H53&lt;&gt;""</formula>
    </cfRule>
  </conditionalFormatting>
  <conditionalFormatting sqref="B37:B41">
    <cfRule type="expression" dxfId="10076" priority="6580">
      <formula>B37&lt;&gt;""</formula>
    </cfRule>
  </conditionalFormatting>
  <conditionalFormatting sqref="C23:I23">
    <cfRule type="expression" dxfId="10075" priority="6950">
      <formula>$B$81&lt;&gt;""</formula>
    </cfRule>
  </conditionalFormatting>
  <conditionalFormatting sqref="B15:B16 C15:I15 I14">
    <cfRule type="expression" dxfId="10074" priority="6947">
      <formula>$B$17&lt;&gt;""</formula>
    </cfRule>
  </conditionalFormatting>
  <conditionalFormatting sqref="B23:B24">
    <cfRule type="expression" dxfId="10073" priority="6948">
      <formula>$B$25&lt;&gt;""</formula>
    </cfRule>
  </conditionalFormatting>
  <conditionalFormatting sqref="D25:D29">
    <cfRule type="expression" dxfId="10072" priority="6917">
      <formula>D25&lt;&gt;""</formula>
    </cfRule>
  </conditionalFormatting>
  <conditionalFormatting sqref="D25">
    <cfRule type="expression" dxfId="10071" priority="6916">
      <formula>D25&lt;&gt;""</formula>
    </cfRule>
  </conditionalFormatting>
  <conditionalFormatting sqref="D29">
    <cfRule type="expression" dxfId="10070" priority="6915">
      <formula>D25&lt;&gt;""</formula>
    </cfRule>
  </conditionalFormatting>
  <conditionalFormatting sqref="D17:D21">
    <cfRule type="expression" dxfId="10069" priority="6939">
      <formula>D17&lt;&gt;""</formula>
    </cfRule>
  </conditionalFormatting>
  <conditionalFormatting sqref="D17">
    <cfRule type="expression" dxfId="10068" priority="6938">
      <formula>D17&lt;&gt;""</formula>
    </cfRule>
  </conditionalFormatting>
  <conditionalFormatting sqref="D21">
    <cfRule type="expression" dxfId="10067" priority="6937">
      <formula>D17&lt;&gt;""</formula>
    </cfRule>
  </conditionalFormatting>
  <conditionalFormatting sqref="C17:C21">
    <cfRule type="expression" dxfId="10066" priority="6946">
      <formula>D17&lt;&gt;""</formula>
    </cfRule>
  </conditionalFormatting>
  <conditionalFormatting sqref="E17:E21">
    <cfRule type="expression" dxfId="10065" priority="6945">
      <formula>F17&lt;&gt;""</formula>
    </cfRule>
  </conditionalFormatting>
  <conditionalFormatting sqref="G17:G21">
    <cfRule type="expression" dxfId="10064" priority="6944">
      <formula>H17&lt;&gt;""</formula>
    </cfRule>
  </conditionalFormatting>
  <conditionalFormatting sqref="I17:I21">
    <cfRule type="expression" dxfId="10063" priority="6943">
      <formula>B25&lt;&gt;""</formula>
    </cfRule>
  </conditionalFormatting>
  <conditionalFormatting sqref="B17:B21">
    <cfRule type="expression" dxfId="10062" priority="6942">
      <formula>B17&lt;&gt;""</formula>
    </cfRule>
  </conditionalFormatting>
  <conditionalFormatting sqref="B17">
    <cfRule type="expression" dxfId="10061" priority="6941">
      <formula>B17&lt;&gt;""</formula>
    </cfRule>
  </conditionalFormatting>
  <conditionalFormatting sqref="B21">
    <cfRule type="expression" dxfId="10060" priority="6940">
      <formula>B17&lt;&gt;""</formula>
    </cfRule>
  </conditionalFormatting>
  <conditionalFormatting sqref="F17:F21">
    <cfRule type="expression" dxfId="10059" priority="6936">
      <formula>F17&lt;&gt;""</formula>
    </cfRule>
  </conditionalFormatting>
  <conditionalFormatting sqref="F17">
    <cfRule type="expression" dxfId="10058" priority="6935">
      <formula>F17&lt;&gt;""</formula>
    </cfRule>
  </conditionalFormatting>
  <conditionalFormatting sqref="F21">
    <cfRule type="expression" dxfId="10057" priority="6934">
      <formula>F17&lt;&gt;""</formula>
    </cfRule>
  </conditionalFormatting>
  <conditionalFormatting sqref="H17:H21">
    <cfRule type="expression" dxfId="10056" priority="6933">
      <formula>H17&lt;&gt;""</formula>
    </cfRule>
  </conditionalFormatting>
  <conditionalFormatting sqref="H17">
    <cfRule type="expression" dxfId="10055" priority="6932">
      <formula>H17&lt;&gt;""</formula>
    </cfRule>
  </conditionalFormatting>
  <conditionalFormatting sqref="H21">
    <cfRule type="expression" dxfId="10054" priority="6931">
      <formula>H17&lt;&gt;""</formula>
    </cfRule>
  </conditionalFormatting>
  <conditionalFormatting sqref="F9:F13">
    <cfRule type="expression" dxfId="10053" priority="6930">
      <formula>F9&lt;&gt;""</formula>
    </cfRule>
  </conditionalFormatting>
  <conditionalFormatting sqref="F9">
    <cfRule type="expression" dxfId="10052" priority="6929">
      <formula>F9&lt;&gt;""</formula>
    </cfRule>
  </conditionalFormatting>
  <conditionalFormatting sqref="F13">
    <cfRule type="expression" dxfId="10051" priority="6928">
      <formula>F9&lt;&gt;""</formula>
    </cfRule>
  </conditionalFormatting>
  <conditionalFormatting sqref="E9:E13">
    <cfRule type="expression" dxfId="10050" priority="6927">
      <formula>F9&lt;&gt;""</formula>
    </cfRule>
  </conditionalFormatting>
  <conditionalFormatting sqref="G9:G13">
    <cfRule type="expression" dxfId="10049" priority="6926">
      <formula>H9&lt;&gt;""</formula>
    </cfRule>
  </conditionalFormatting>
  <conditionalFormatting sqref="I9:I13">
    <cfRule type="expression" dxfId="10048" priority="6925">
      <formula>B17&lt;&gt;""</formula>
    </cfRule>
  </conditionalFormatting>
  <conditionalFormatting sqref="H9:H13">
    <cfRule type="expression" dxfId="10047" priority="6924">
      <formula>H9&lt;&gt;""</formula>
    </cfRule>
  </conditionalFormatting>
  <conditionalFormatting sqref="H9">
    <cfRule type="expression" dxfId="10046" priority="6923">
      <formula>H9&lt;&gt;""</formula>
    </cfRule>
  </conditionalFormatting>
  <conditionalFormatting sqref="H13">
    <cfRule type="expression" dxfId="10045" priority="6922">
      <formula>H9&lt;&gt;""</formula>
    </cfRule>
  </conditionalFormatting>
  <conditionalFormatting sqref="I22:I23">
    <cfRule type="expression" dxfId="10044" priority="6921">
      <formula>$B$109&lt;&gt;""</formula>
    </cfRule>
  </conditionalFormatting>
  <conditionalFormatting sqref="B25:B29">
    <cfRule type="expression" dxfId="10043" priority="6920">
      <formula>B25&lt;&gt;""</formula>
    </cfRule>
  </conditionalFormatting>
  <conditionalFormatting sqref="B25">
    <cfRule type="expression" dxfId="10042" priority="6919">
      <formula>B25&lt;&gt;""</formula>
    </cfRule>
  </conditionalFormatting>
  <conditionalFormatting sqref="B29">
    <cfRule type="expression" dxfId="10041" priority="6918">
      <formula>B25&lt;&gt;""</formula>
    </cfRule>
  </conditionalFormatting>
  <conditionalFormatting sqref="F25:F29">
    <cfRule type="expression" dxfId="10040" priority="6914">
      <formula>F25&lt;&gt;""</formula>
    </cfRule>
  </conditionalFormatting>
  <conditionalFormatting sqref="F25">
    <cfRule type="expression" dxfId="10039" priority="6913">
      <formula>F25&lt;&gt;""</formula>
    </cfRule>
  </conditionalFormatting>
  <conditionalFormatting sqref="F29">
    <cfRule type="expression" dxfId="10038" priority="6912">
      <formula>F25&lt;&gt;""</formula>
    </cfRule>
  </conditionalFormatting>
  <conditionalFormatting sqref="C25:C29">
    <cfRule type="expression" dxfId="10037" priority="6911">
      <formula>D25&lt;&gt;""</formula>
    </cfRule>
  </conditionalFormatting>
  <conditionalFormatting sqref="E25:E29">
    <cfRule type="expression" dxfId="10036" priority="6910">
      <formula>F25&lt;&gt;""</formula>
    </cfRule>
  </conditionalFormatting>
  <conditionalFormatting sqref="G25:G29">
    <cfRule type="expression" dxfId="10035" priority="6909">
      <formula>H25&lt;&gt;""</formula>
    </cfRule>
  </conditionalFormatting>
  <conditionalFormatting sqref="H25:H29">
    <cfRule type="expression" dxfId="10034" priority="6908">
      <formula>H25&lt;&gt;""</formula>
    </cfRule>
  </conditionalFormatting>
  <conditionalFormatting sqref="H25">
    <cfRule type="expression" dxfId="10033" priority="6907">
      <formula>H25&lt;&gt;""</formula>
    </cfRule>
  </conditionalFormatting>
  <conditionalFormatting sqref="H29">
    <cfRule type="expression" dxfId="10032" priority="6906">
      <formula>H25&lt;&gt;""</formula>
    </cfRule>
  </conditionalFormatting>
  <conditionalFormatting sqref="D137:D141">
    <cfRule type="expression" dxfId="10031" priority="6876">
      <formula>D137&lt;&gt;""</formula>
    </cfRule>
  </conditionalFormatting>
  <conditionalFormatting sqref="D137">
    <cfRule type="expression" dxfId="10030" priority="6875">
      <formula>D137&lt;&gt;""</formula>
    </cfRule>
  </conditionalFormatting>
  <conditionalFormatting sqref="D141">
    <cfRule type="expression" dxfId="10029" priority="6874">
      <formula>D137&lt;&gt;""</formula>
    </cfRule>
  </conditionalFormatting>
  <conditionalFormatting sqref="D129:D133">
    <cfRule type="expression" dxfId="10028" priority="6897">
      <formula>D129&lt;&gt;""</formula>
    </cfRule>
  </conditionalFormatting>
  <conditionalFormatting sqref="D129">
    <cfRule type="expression" dxfId="10027" priority="6896">
      <formula>D129&lt;&gt;""</formula>
    </cfRule>
  </conditionalFormatting>
  <conditionalFormatting sqref="D133">
    <cfRule type="expression" dxfId="10026" priority="6895">
      <formula>D129&lt;&gt;""</formula>
    </cfRule>
  </conditionalFormatting>
  <conditionalFormatting sqref="C129:C133">
    <cfRule type="expression" dxfId="10025" priority="6904">
      <formula>D129&lt;&gt;""</formula>
    </cfRule>
  </conditionalFormatting>
  <conditionalFormatting sqref="E129:E133">
    <cfRule type="expression" dxfId="10024" priority="6903">
      <formula>F129&lt;&gt;""</formula>
    </cfRule>
  </conditionalFormatting>
  <conditionalFormatting sqref="G129:G133">
    <cfRule type="expression" dxfId="10023" priority="6902">
      <formula>H129&lt;&gt;""</formula>
    </cfRule>
  </conditionalFormatting>
  <conditionalFormatting sqref="I129:I133">
    <cfRule type="expression" dxfId="10022" priority="6901">
      <formula>B137&lt;&gt;""</formula>
    </cfRule>
  </conditionalFormatting>
  <conditionalFormatting sqref="B129:B133">
    <cfRule type="expression" dxfId="10021" priority="6900">
      <formula>B129&lt;&gt;""</formula>
    </cfRule>
  </conditionalFormatting>
  <conditionalFormatting sqref="B129">
    <cfRule type="expression" dxfId="10020" priority="6899">
      <formula>B129&lt;&gt;""</formula>
    </cfRule>
  </conditionalFormatting>
  <conditionalFormatting sqref="B133">
    <cfRule type="expression" dxfId="10019" priority="6898">
      <formula>B129&lt;&gt;""</formula>
    </cfRule>
  </conditionalFormatting>
  <conditionalFormatting sqref="F129:F133">
    <cfRule type="expression" dxfId="10018" priority="6894">
      <formula>F129&lt;&gt;""</formula>
    </cfRule>
  </conditionalFormatting>
  <conditionalFormatting sqref="F129">
    <cfRule type="expression" dxfId="10017" priority="6893">
      <formula>F129&lt;&gt;""</formula>
    </cfRule>
  </conditionalFormatting>
  <conditionalFormatting sqref="F133">
    <cfRule type="expression" dxfId="10016" priority="6892">
      <formula>F129&lt;&gt;""</formula>
    </cfRule>
  </conditionalFormatting>
  <conditionalFormatting sqref="H129:H133">
    <cfRule type="expression" dxfId="10015" priority="6891">
      <formula>H129&lt;&gt;""</formula>
    </cfRule>
  </conditionalFormatting>
  <conditionalFormatting sqref="H129">
    <cfRule type="expression" dxfId="10014" priority="6890">
      <formula>H129&lt;&gt;""</formula>
    </cfRule>
  </conditionalFormatting>
  <conditionalFormatting sqref="H133">
    <cfRule type="expression" dxfId="10013" priority="6889">
      <formula>H129&lt;&gt;""</formula>
    </cfRule>
  </conditionalFormatting>
  <conditionalFormatting sqref="F121:F125">
    <cfRule type="expression" dxfId="10012" priority="6888">
      <formula>F121&lt;&gt;""</formula>
    </cfRule>
  </conditionalFormatting>
  <conditionalFormatting sqref="F121">
    <cfRule type="expression" dxfId="10011" priority="6887">
      <formula>F121&lt;&gt;""</formula>
    </cfRule>
  </conditionalFormatting>
  <conditionalFormatting sqref="F125">
    <cfRule type="expression" dxfId="10010" priority="6886">
      <formula>F121&lt;&gt;""</formula>
    </cfRule>
  </conditionalFormatting>
  <conditionalFormatting sqref="E121:E125">
    <cfRule type="expression" dxfId="10009" priority="6885">
      <formula>F121&lt;&gt;""</formula>
    </cfRule>
  </conditionalFormatting>
  <conditionalFormatting sqref="G121:G125">
    <cfRule type="expression" dxfId="10008" priority="6884">
      <formula>H121&lt;&gt;""</formula>
    </cfRule>
  </conditionalFormatting>
  <conditionalFormatting sqref="I121:I125">
    <cfRule type="expression" dxfId="10007" priority="6883">
      <formula>B129&lt;&gt;""</formula>
    </cfRule>
  </conditionalFormatting>
  <conditionalFormatting sqref="H121:H125">
    <cfRule type="expression" dxfId="10006" priority="6882">
      <formula>H121&lt;&gt;""</formula>
    </cfRule>
  </conditionalFormatting>
  <conditionalFormatting sqref="H121">
    <cfRule type="expression" dxfId="10005" priority="6881">
      <formula>H121&lt;&gt;""</formula>
    </cfRule>
  </conditionalFormatting>
  <conditionalFormatting sqref="H125">
    <cfRule type="expression" dxfId="10004" priority="6880">
      <formula>H121&lt;&gt;""</formula>
    </cfRule>
  </conditionalFormatting>
  <conditionalFormatting sqref="B137:B141">
    <cfRule type="expression" dxfId="10003" priority="6879">
      <formula>B137&lt;&gt;""</formula>
    </cfRule>
  </conditionalFormatting>
  <conditionalFormatting sqref="B137">
    <cfRule type="expression" dxfId="10002" priority="6878">
      <formula>B137&lt;&gt;""</formula>
    </cfRule>
  </conditionalFormatting>
  <conditionalFormatting sqref="B141">
    <cfRule type="expression" dxfId="10001" priority="6877">
      <formula>B137&lt;&gt;""</formula>
    </cfRule>
  </conditionalFormatting>
  <conditionalFormatting sqref="F137:F141">
    <cfRule type="expression" dxfId="10000" priority="6873">
      <formula>F137&lt;&gt;""</formula>
    </cfRule>
  </conditionalFormatting>
  <conditionalFormatting sqref="F137">
    <cfRule type="expression" dxfId="9999" priority="6872">
      <formula>F137&lt;&gt;""</formula>
    </cfRule>
  </conditionalFormatting>
  <conditionalFormatting sqref="F141">
    <cfRule type="expression" dxfId="9998" priority="6871">
      <formula>F137&lt;&gt;""</formula>
    </cfRule>
  </conditionalFormatting>
  <conditionalFormatting sqref="C137:C141">
    <cfRule type="expression" dxfId="9997" priority="6870">
      <formula>D137&lt;&gt;""</formula>
    </cfRule>
  </conditionalFormatting>
  <conditionalFormatting sqref="E137:E141">
    <cfRule type="expression" dxfId="9996" priority="6869">
      <formula>F137&lt;&gt;""</formula>
    </cfRule>
  </conditionalFormatting>
  <conditionalFormatting sqref="G137:G141">
    <cfRule type="expression" dxfId="9995" priority="6868">
      <formula>H137&lt;&gt;""</formula>
    </cfRule>
  </conditionalFormatting>
  <conditionalFormatting sqref="H137:H141">
    <cfRule type="expression" dxfId="9994" priority="6867">
      <formula>H137&lt;&gt;""</formula>
    </cfRule>
  </conditionalFormatting>
  <conditionalFormatting sqref="H137">
    <cfRule type="expression" dxfId="9993" priority="6866">
      <formula>H137&lt;&gt;""</formula>
    </cfRule>
  </conditionalFormatting>
  <conditionalFormatting sqref="H141">
    <cfRule type="expression" dxfId="9992" priority="6865">
      <formula>H137&lt;&gt;""</formula>
    </cfRule>
  </conditionalFormatting>
  <conditionalFormatting sqref="B127:B128 C127:I127 I126">
    <cfRule type="expression" dxfId="9991" priority="6863">
      <formula>$B$129&lt;&gt;""</formula>
    </cfRule>
  </conditionalFormatting>
  <conditionalFormatting sqref="B135:B136 C135:I135 I134">
    <cfRule type="expression" dxfId="9990" priority="6862">
      <formula>$B$137&lt;&gt;""</formula>
    </cfRule>
  </conditionalFormatting>
  <conditionalFormatting sqref="D165:D169">
    <cfRule type="expression" dxfId="9989" priority="6833">
      <formula>D165&lt;&gt;""</formula>
    </cfRule>
  </conditionalFormatting>
  <conditionalFormatting sqref="D165">
    <cfRule type="expression" dxfId="9988" priority="6832">
      <formula>D165&lt;&gt;""</formula>
    </cfRule>
  </conditionalFormatting>
  <conditionalFormatting sqref="D169">
    <cfRule type="expression" dxfId="9987" priority="6831">
      <formula>D165&lt;&gt;""</formula>
    </cfRule>
  </conditionalFormatting>
  <conditionalFormatting sqref="D157:D161">
    <cfRule type="expression" dxfId="9986" priority="6854">
      <formula>D157&lt;&gt;""</formula>
    </cfRule>
  </conditionalFormatting>
  <conditionalFormatting sqref="D157">
    <cfRule type="expression" dxfId="9985" priority="6853">
      <formula>D157&lt;&gt;""</formula>
    </cfRule>
  </conditionalFormatting>
  <conditionalFormatting sqref="D161">
    <cfRule type="expression" dxfId="9984" priority="6852">
      <formula>D157&lt;&gt;""</formula>
    </cfRule>
  </conditionalFormatting>
  <conditionalFormatting sqref="C157:C161">
    <cfRule type="expression" dxfId="9983" priority="6861">
      <formula>D157&lt;&gt;""</formula>
    </cfRule>
  </conditionalFormatting>
  <conditionalFormatting sqref="E157:E161">
    <cfRule type="expression" dxfId="9982" priority="6860">
      <formula>F157&lt;&gt;""</formula>
    </cfRule>
  </conditionalFormatting>
  <conditionalFormatting sqref="G157:G161">
    <cfRule type="expression" dxfId="9981" priority="6859">
      <formula>H157&lt;&gt;""</formula>
    </cfRule>
  </conditionalFormatting>
  <conditionalFormatting sqref="I157:I161">
    <cfRule type="expression" dxfId="9980" priority="6858">
      <formula>B165&lt;&gt;""</formula>
    </cfRule>
  </conditionalFormatting>
  <conditionalFormatting sqref="B157:B161">
    <cfRule type="expression" dxfId="9979" priority="6857">
      <formula>B157&lt;&gt;""</formula>
    </cfRule>
  </conditionalFormatting>
  <conditionalFormatting sqref="B157">
    <cfRule type="expression" dxfId="9978" priority="6856">
      <formula>B157&lt;&gt;""</formula>
    </cfRule>
  </conditionalFormatting>
  <conditionalFormatting sqref="B161">
    <cfRule type="expression" dxfId="9977" priority="6855">
      <formula>B157&lt;&gt;""</formula>
    </cfRule>
  </conditionalFormatting>
  <conditionalFormatting sqref="F157:F161">
    <cfRule type="expression" dxfId="9976" priority="6851">
      <formula>F157&lt;&gt;""</formula>
    </cfRule>
  </conditionalFormatting>
  <conditionalFormatting sqref="F157">
    <cfRule type="expression" dxfId="9975" priority="6850">
      <formula>F157&lt;&gt;""</formula>
    </cfRule>
  </conditionalFormatting>
  <conditionalFormatting sqref="F161">
    <cfRule type="expression" dxfId="9974" priority="6849">
      <formula>F157&lt;&gt;""</formula>
    </cfRule>
  </conditionalFormatting>
  <conditionalFormatting sqref="H157:H161">
    <cfRule type="expression" dxfId="9973" priority="6848">
      <formula>H157&lt;&gt;""</formula>
    </cfRule>
  </conditionalFormatting>
  <conditionalFormatting sqref="H157">
    <cfRule type="expression" dxfId="9972" priority="6847">
      <formula>H157&lt;&gt;""</formula>
    </cfRule>
  </conditionalFormatting>
  <conditionalFormatting sqref="H161">
    <cfRule type="expression" dxfId="9971" priority="6846">
      <formula>H157&lt;&gt;""</formula>
    </cfRule>
  </conditionalFormatting>
  <conditionalFormatting sqref="F149:F153">
    <cfRule type="expression" dxfId="9970" priority="6845">
      <formula>F149&lt;&gt;""</formula>
    </cfRule>
  </conditionalFormatting>
  <conditionalFormatting sqref="F149">
    <cfRule type="expression" dxfId="9969" priority="6844">
      <formula>F149&lt;&gt;""</formula>
    </cfRule>
  </conditionalFormatting>
  <conditionalFormatting sqref="F153">
    <cfRule type="expression" dxfId="9968" priority="6843">
      <formula>F149&lt;&gt;""</formula>
    </cfRule>
  </conditionalFormatting>
  <conditionalFormatting sqref="E149:E153">
    <cfRule type="expression" dxfId="9967" priority="6842">
      <formula>F149&lt;&gt;""</formula>
    </cfRule>
  </conditionalFormatting>
  <conditionalFormatting sqref="G149:G153">
    <cfRule type="expression" dxfId="9966" priority="6841">
      <formula>H149&lt;&gt;""</formula>
    </cfRule>
  </conditionalFormatting>
  <conditionalFormatting sqref="I149:I153">
    <cfRule type="expression" dxfId="9965" priority="6840">
      <formula>B157&lt;&gt;""</formula>
    </cfRule>
  </conditionalFormatting>
  <conditionalFormatting sqref="H149:H153">
    <cfRule type="expression" dxfId="9964" priority="6839">
      <formula>H149&lt;&gt;""</formula>
    </cfRule>
  </conditionalFormatting>
  <conditionalFormatting sqref="H149">
    <cfRule type="expression" dxfId="9963" priority="6838">
      <formula>H149&lt;&gt;""</formula>
    </cfRule>
  </conditionalFormatting>
  <conditionalFormatting sqref="H153">
    <cfRule type="expression" dxfId="9962" priority="6837">
      <formula>H149&lt;&gt;""</formula>
    </cfRule>
  </conditionalFormatting>
  <conditionalFormatting sqref="B165:B169">
    <cfRule type="expression" dxfId="9961" priority="6836">
      <formula>B165&lt;&gt;""</formula>
    </cfRule>
  </conditionalFormatting>
  <conditionalFormatting sqref="B165">
    <cfRule type="expression" dxfId="9960" priority="6835">
      <formula>B165&lt;&gt;""</formula>
    </cfRule>
  </conditionalFormatting>
  <conditionalFormatting sqref="B169">
    <cfRule type="expression" dxfId="9959" priority="6834">
      <formula>B165&lt;&gt;""</formula>
    </cfRule>
  </conditionalFormatting>
  <conditionalFormatting sqref="F165:F169">
    <cfRule type="expression" dxfId="9958" priority="6830">
      <formula>F165&lt;&gt;""</formula>
    </cfRule>
  </conditionalFormatting>
  <conditionalFormatting sqref="F165">
    <cfRule type="expression" dxfId="9957" priority="6829">
      <formula>F165&lt;&gt;""</formula>
    </cfRule>
  </conditionalFormatting>
  <conditionalFormatting sqref="F169">
    <cfRule type="expression" dxfId="9956" priority="6828">
      <formula>F165&lt;&gt;""</formula>
    </cfRule>
  </conditionalFormatting>
  <conditionalFormatting sqref="C165:C169">
    <cfRule type="expression" dxfId="9955" priority="6827">
      <formula>D165&lt;&gt;""</formula>
    </cfRule>
  </conditionalFormatting>
  <conditionalFormatting sqref="E165:E169">
    <cfRule type="expression" dxfId="9954" priority="6826">
      <formula>F165&lt;&gt;""</formula>
    </cfRule>
  </conditionalFormatting>
  <conditionalFormatting sqref="G165:G169">
    <cfRule type="expression" dxfId="9953" priority="6825">
      <formula>H165&lt;&gt;""</formula>
    </cfRule>
  </conditionalFormatting>
  <conditionalFormatting sqref="H165:H169">
    <cfRule type="expression" dxfId="9952" priority="6824">
      <formula>H165&lt;&gt;""</formula>
    </cfRule>
  </conditionalFormatting>
  <conditionalFormatting sqref="H165">
    <cfRule type="expression" dxfId="9951" priority="6823">
      <formula>H165&lt;&gt;""</formula>
    </cfRule>
  </conditionalFormatting>
  <conditionalFormatting sqref="H169">
    <cfRule type="expression" dxfId="9950" priority="6822">
      <formula>H165&lt;&gt;""</formula>
    </cfRule>
  </conditionalFormatting>
  <conditionalFormatting sqref="B155:B156 C155:I155 I154">
    <cfRule type="expression" dxfId="9949" priority="6820">
      <formula>$B$157&lt;&gt;""</formula>
    </cfRule>
  </conditionalFormatting>
  <conditionalFormatting sqref="B163:B164 C163:I163 I162">
    <cfRule type="expression" dxfId="9948" priority="6819">
      <formula>$B$165&lt;&gt;""</formula>
    </cfRule>
  </conditionalFormatting>
  <conditionalFormatting sqref="D193:D197">
    <cfRule type="expression" dxfId="9947" priority="6790">
      <formula>D193&lt;&gt;""</formula>
    </cfRule>
  </conditionalFormatting>
  <conditionalFormatting sqref="D193">
    <cfRule type="expression" dxfId="9946" priority="6789">
      <formula>D193&lt;&gt;""</formula>
    </cfRule>
  </conditionalFormatting>
  <conditionalFormatting sqref="D197">
    <cfRule type="expression" dxfId="9945" priority="6788">
      <formula>D193&lt;&gt;""</formula>
    </cfRule>
  </conditionalFormatting>
  <conditionalFormatting sqref="D185:D189">
    <cfRule type="expression" dxfId="9944" priority="6811">
      <formula>D185&lt;&gt;""</formula>
    </cfRule>
  </conditionalFormatting>
  <conditionalFormatting sqref="D185">
    <cfRule type="expression" dxfId="9943" priority="6810">
      <formula>D185&lt;&gt;""</formula>
    </cfRule>
  </conditionalFormatting>
  <conditionalFormatting sqref="D189">
    <cfRule type="expression" dxfId="9942" priority="6809">
      <formula>D185&lt;&gt;""</formula>
    </cfRule>
  </conditionalFormatting>
  <conditionalFormatting sqref="C185:C189">
    <cfRule type="expression" dxfId="9941" priority="6818">
      <formula>D185&lt;&gt;""</formula>
    </cfRule>
  </conditionalFormatting>
  <conditionalFormatting sqref="E185:E189">
    <cfRule type="expression" dxfId="9940" priority="6817">
      <formula>F185&lt;&gt;""</formula>
    </cfRule>
  </conditionalFormatting>
  <conditionalFormatting sqref="G185:G189">
    <cfRule type="expression" dxfId="9939" priority="6816">
      <formula>H185&lt;&gt;""</formula>
    </cfRule>
  </conditionalFormatting>
  <conditionalFormatting sqref="I185:I189">
    <cfRule type="expression" dxfId="9938" priority="6815">
      <formula>B193&lt;&gt;""</formula>
    </cfRule>
  </conditionalFormatting>
  <conditionalFormatting sqref="B185:B189">
    <cfRule type="expression" dxfId="9937" priority="6814">
      <formula>B185&lt;&gt;""</formula>
    </cfRule>
  </conditionalFormatting>
  <conditionalFormatting sqref="B185">
    <cfRule type="expression" dxfId="9936" priority="6813">
      <formula>B185&lt;&gt;""</formula>
    </cfRule>
  </conditionalFormatting>
  <conditionalFormatting sqref="B189">
    <cfRule type="expression" dxfId="9935" priority="6812">
      <formula>B185&lt;&gt;""</formula>
    </cfRule>
  </conditionalFormatting>
  <conditionalFormatting sqref="F185:F189">
    <cfRule type="expression" dxfId="9934" priority="6808">
      <formula>F185&lt;&gt;""</formula>
    </cfRule>
  </conditionalFormatting>
  <conditionalFormatting sqref="F185">
    <cfRule type="expression" dxfId="9933" priority="6807">
      <formula>F185&lt;&gt;""</formula>
    </cfRule>
  </conditionalFormatting>
  <conditionalFormatting sqref="F189">
    <cfRule type="expression" dxfId="9932" priority="6806">
      <formula>F185&lt;&gt;""</formula>
    </cfRule>
  </conditionalFormatting>
  <conditionalFormatting sqref="H185:H189">
    <cfRule type="expression" dxfId="9931" priority="6805">
      <formula>H185&lt;&gt;""</formula>
    </cfRule>
  </conditionalFormatting>
  <conditionalFormatting sqref="H185">
    <cfRule type="expression" dxfId="9930" priority="6804">
      <formula>H185&lt;&gt;""</formula>
    </cfRule>
  </conditionalFormatting>
  <conditionalFormatting sqref="H189">
    <cfRule type="expression" dxfId="9929" priority="6803">
      <formula>H185&lt;&gt;""</formula>
    </cfRule>
  </conditionalFormatting>
  <conditionalFormatting sqref="F177:F181">
    <cfRule type="expression" dxfId="9928" priority="6802">
      <formula>F177&lt;&gt;""</formula>
    </cfRule>
  </conditionalFormatting>
  <conditionalFormatting sqref="F177">
    <cfRule type="expression" dxfId="9927" priority="6801">
      <formula>F177&lt;&gt;""</formula>
    </cfRule>
  </conditionalFormatting>
  <conditionalFormatting sqref="F181">
    <cfRule type="expression" dxfId="9926" priority="6800">
      <formula>F177&lt;&gt;""</formula>
    </cfRule>
  </conditionalFormatting>
  <conditionalFormatting sqref="E177:E181">
    <cfRule type="expression" dxfId="9925" priority="6799">
      <formula>F177&lt;&gt;""</formula>
    </cfRule>
  </conditionalFormatting>
  <conditionalFormatting sqref="G177:G181">
    <cfRule type="expression" dxfId="9924" priority="6798">
      <formula>H177&lt;&gt;""</formula>
    </cfRule>
  </conditionalFormatting>
  <conditionalFormatting sqref="I177:I181">
    <cfRule type="expression" dxfId="9923" priority="6797">
      <formula>B185&lt;&gt;""</formula>
    </cfRule>
  </conditionalFormatting>
  <conditionalFormatting sqref="H177:H181">
    <cfRule type="expression" dxfId="9922" priority="6796">
      <formula>H177&lt;&gt;""</formula>
    </cfRule>
  </conditionalFormatting>
  <conditionalFormatting sqref="H177">
    <cfRule type="expression" dxfId="9921" priority="6795">
      <formula>H177&lt;&gt;""</formula>
    </cfRule>
  </conditionalFormatting>
  <conditionalFormatting sqref="H181">
    <cfRule type="expression" dxfId="9920" priority="6794">
      <formula>H177&lt;&gt;""</formula>
    </cfRule>
  </conditionalFormatting>
  <conditionalFormatting sqref="B193:B197">
    <cfRule type="expression" dxfId="9919" priority="6793">
      <formula>B193&lt;&gt;""</formula>
    </cfRule>
  </conditionalFormatting>
  <conditionalFormatting sqref="B193">
    <cfRule type="expression" dxfId="9918" priority="6792">
      <formula>B193&lt;&gt;""</formula>
    </cfRule>
  </conditionalFormatting>
  <conditionalFormatting sqref="B197">
    <cfRule type="expression" dxfId="9917" priority="6791">
      <formula>B193&lt;&gt;""</formula>
    </cfRule>
  </conditionalFormatting>
  <conditionalFormatting sqref="F193:F197">
    <cfRule type="expression" dxfId="9916" priority="6787">
      <formula>F193&lt;&gt;""</formula>
    </cfRule>
  </conditionalFormatting>
  <conditionalFormatting sqref="F193">
    <cfRule type="expression" dxfId="9915" priority="6786">
      <formula>F193&lt;&gt;""</formula>
    </cfRule>
  </conditionalFormatting>
  <conditionalFormatting sqref="F197">
    <cfRule type="expression" dxfId="9914" priority="6785">
      <formula>F193&lt;&gt;""</formula>
    </cfRule>
  </conditionalFormatting>
  <conditionalFormatting sqref="C193:C197">
    <cfRule type="expression" dxfId="9913" priority="6784">
      <formula>D193&lt;&gt;""</formula>
    </cfRule>
  </conditionalFormatting>
  <conditionalFormatting sqref="E193:E197">
    <cfRule type="expression" dxfId="9912" priority="6783">
      <formula>F193&lt;&gt;""</formula>
    </cfRule>
  </conditionalFormatting>
  <conditionalFormatting sqref="G193:G197">
    <cfRule type="expression" dxfId="9911" priority="6782">
      <formula>H193&lt;&gt;""</formula>
    </cfRule>
  </conditionalFormatting>
  <conditionalFormatting sqref="H193:H197">
    <cfRule type="expression" dxfId="9910" priority="6781">
      <formula>H193&lt;&gt;""</formula>
    </cfRule>
  </conditionalFormatting>
  <conditionalFormatting sqref="H193">
    <cfRule type="expression" dxfId="9909" priority="6780">
      <formula>H193&lt;&gt;""</formula>
    </cfRule>
  </conditionalFormatting>
  <conditionalFormatting sqref="H197">
    <cfRule type="expression" dxfId="9908" priority="6779">
      <formula>H193&lt;&gt;""</formula>
    </cfRule>
  </conditionalFormatting>
  <conditionalFormatting sqref="B183:B184 C183:I183 I182">
    <cfRule type="expression" dxfId="9907" priority="6777">
      <formula>$B$185&lt;&gt;""</formula>
    </cfRule>
  </conditionalFormatting>
  <conditionalFormatting sqref="B191:B192 C191:I191 I190">
    <cfRule type="expression" dxfId="9906" priority="6776">
      <formula>$B$193&lt;&gt;""</formula>
    </cfRule>
  </conditionalFormatting>
  <conditionalFormatting sqref="D221:D225">
    <cfRule type="expression" dxfId="9905" priority="6747">
      <formula>D221&lt;&gt;""</formula>
    </cfRule>
  </conditionalFormatting>
  <conditionalFormatting sqref="D221">
    <cfRule type="expression" dxfId="9904" priority="6746">
      <formula>D221&lt;&gt;""</formula>
    </cfRule>
  </conditionalFormatting>
  <conditionalFormatting sqref="D225">
    <cfRule type="expression" dxfId="9903" priority="6745">
      <formula>D221&lt;&gt;""</formula>
    </cfRule>
  </conditionalFormatting>
  <conditionalFormatting sqref="D213:D217">
    <cfRule type="expression" dxfId="9902" priority="6768">
      <formula>D213&lt;&gt;""</formula>
    </cfRule>
  </conditionalFormatting>
  <conditionalFormatting sqref="D213">
    <cfRule type="expression" dxfId="9901" priority="6767">
      <formula>D213&lt;&gt;""</formula>
    </cfRule>
  </conditionalFormatting>
  <conditionalFormatting sqref="D217">
    <cfRule type="expression" dxfId="9900" priority="6766">
      <formula>D213&lt;&gt;""</formula>
    </cfRule>
  </conditionalFormatting>
  <conditionalFormatting sqref="C213:C217">
    <cfRule type="expression" dxfId="9899" priority="6775">
      <formula>D213&lt;&gt;""</formula>
    </cfRule>
  </conditionalFormatting>
  <conditionalFormatting sqref="E213:E217">
    <cfRule type="expression" dxfId="9898" priority="6774">
      <formula>F213&lt;&gt;""</formula>
    </cfRule>
  </conditionalFormatting>
  <conditionalFormatting sqref="G213:G217">
    <cfRule type="expression" dxfId="9897" priority="6773">
      <formula>H213&lt;&gt;""</formula>
    </cfRule>
  </conditionalFormatting>
  <conditionalFormatting sqref="I213:I217">
    <cfRule type="expression" dxfId="9896" priority="6772">
      <formula>B221&lt;&gt;""</formula>
    </cfRule>
  </conditionalFormatting>
  <conditionalFormatting sqref="B213:B217">
    <cfRule type="expression" dxfId="9895" priority="6771">
      <formula>B213&lt;&gt;""</formula>
    </cfRule>
  </conditionalFormatting>
  <conditionalFormatting sqref="B213">
    <cfRule type="expression" dxfId="9894" priority="6770">
      <formula>B213&lt;&gt;""</formula>
    </cfRule>
  </conditionalFormatting>
  <conditionalFormatting sqref="B217">
    <cfRule type="expression" dxfId="9893" priority="6769">
      <formula>B213&lt;&gt;""</formula>
    </cfRule>
  </conditionalFormatting>
  <conditionalFormatting sqref="F213:F217">
    <cfRule type="expression" dxfId="9892" priority="6765">
      <formula>F213&lt;&gt;""</formula>
    </cfRule>
  </conditionalFormatting>
  <conditionalFormatting sqref="F213">
    <cfRule type="expression" dxfId="9891" priority="6764">
      <formula>F213&lt;&gt;""</formula>
    </cfRule>
  </conditionalFormatting>
  <conditionalFormatting sqref="F217">
    <cfRule type="expression" dxfId="9890" priority="6763">
      <formula>F213&lt;&gt;""</formula>
    </cfRule>
  </conditionalFormatting>
  <conditionalFormatting sqref="H213:H217">
    <cfRule type="expression" dxfId="9889" priority="6762">
      <formula>H213&lt;&gt;""</formula>
    </cfRule>
  </conditionalFormatting>
  <conditionalFormatting sqref="H213">
    <cfRule type="expression" dxfId="9888" priority="6761">
      <formula>H213&lt;&gt;""</formula>
    </cfRule>
  </conditionalFormatting>
  <conditionalFormatting sqref="H217">
    <cfRule type="expression" dxfId="9887" priority="6760">
      <formula>H213&lt;&gt;""</formula>
    </cfRule>
  </conditionalFormatting>
  <conditionalFormatting sqref="F205:F209">
    <cfRule type="expression" dxfId="9886" priority="6759">
      <formula>F205&lt;&gt;""</formula>
    </cfRule>
  </conditionalFormatting>
  <conditionalFormatting sqref="F205">
    <cfRule type="expression" dxfId="9885" priority="6758">
      <formula>F205&lt;&gt;""</formula>
    </cfRule>
  </conditionalFormatting>
  <conditionalFormatting sqref="F209">
    <cfRule type="expression" dxfId="9884" priority="6757">
      <formula>F205&lt;&gt;""</formula>
    </cfRule>
  </conditionalFormatting>
  <conditionalFormatting sqref="E205:E209">
    <cfRule type="expression" dxfId="9883" priority="6756">
      <formula>F205&lt;&gt;""</formula>
    </cfRule>
  </conditionalFormatting>
  <conditionalFormatting sqref="G205:G209">
    <cfRule type="expression" dxfId="9882" priority="6755">
      <formula>H205&lt;&gt;""</formula>
    </cfRule>
  </conditionalFormatting>
  <conditionalFormatting sqref="I205:I209">
    <cfRule type="expression" dxfId="9881" priority="6754">
      <formula>B213&lt;&gt;""</formula>
    </cfRule>
  </conditionalFormatting>
  <conditionalFormatting sqref="H205:H209">
    <cfRule type="expression" dxfId="9880" priority="6753">
      <formula>H205&lt;&gt;""</formula>
    </cfRule>
  </conditionalFormatting>
  <conditionalFormatting sqref="H205">
    <cfRule type="expression" dxfId="9879" priority="6752">
      <formula>H205&lt;&gt;""</formula>
    </cfRule>
  </conditionalFormatting>
  <conditionalFormatting sqref="H209">
    <cfRule type="expression" dxfId="9878" priority="6751">
      <formula>H205&lt;&gt;""</formula>
    </cfRule>
  </conditionalFormatting>
  <conditionalFormatting sqref="B221:B225">
    <cfRule type="expression" dxfId="9877" priority="6750">
      <formula>B221&lt;&gt;""</formula>
    </cfRule>
  </conditionalFormatting>
  <conditionalFormatting sqref="B221">
    <cfRule type="expression" dxfId="9876" priority="6749">
      <formula>B221&lt;&gt;""</formula>
    </cfRule>
  </conditionalFormatting>
  <conditionalFormatting sqref="B225">
    <cfRule type="expression" dxfId="9875" priority="6748">
      <formula>B221&lt;&gt;""</formula>
    </cfRule>
  </conditionalFormatting>
  <conditionalFormatting sqref="F221:F225">
    <cfRule type="expression" dxfId="9874" priority="6744">
      <formula>F221&lt;&gt;""</formula>
    </cfRule>
  </conditionalFormatting>
  <conditionalFormatting sqref="F221">
    <cfRule type="expression" dxfId="9873" priority="6743">
      <formula>F221&lt;&gt;""</formula>
    </cfRule>
  </conditionalFormatting>
  <conditionalFormatting sqref="F225">
    <cfRule type="expression" dxfId="9872" priority="6742">
      <formula>F221&lt;&gt;""</formula>
    </cfRule>
  </conditionalFormatting>
  <conditionalFormatting sqref="C221:C225">
    <cfRule type="expression" dxfId="9871" priority="6741">
      <formula>D221&lt;&gt;""</formula>
    </cfRule>
  </conditionalFormatting>
  <conditionalFormatting sqref="E221:E225">
    <cfRule type="expression" dxfId="9870" priority="6740">
      <formula>F221&lt;&gt;""</formula>
    </cfRule>
  </conditionalFormatting>
  <conditionalFormatting sqref="G221:G225">
    <cfRule type="expression" dxfId="9869" priority="6739">
      <formula>H221&lt;&gt;""</formula>
    </cfRule>
  </conditionalFormatting>
  <conditionalFormatting sqref="H221:H225">
    <cfRule type="expression" dxfId="9868" priority="6738">
      <formula>H221&lt;&gt;""</formula>
    </cfRule>
  </conditionalFormatting>
  <conditionalFormatting sqref="H221">
    <cfRule type="expression" dxfId="9867" priority="6737">
      <formula>H221&lt;&gt;""</formula>
    </cfRule>
  </conditionalFormatting>
  <conditionalFormatting sqref="H225">
    <cfRule type="expression" dxfId="9866" priority="6736">
      <formula>H221&lt;&gt;""</formula>
    </cfRule>
  </conditionalFormatting>
  <conditionalFormatting sqref="D249:D253">
    <cfRule type="expression" dxfId="9865" priority="6704">
      <formula>D249&lt;&gt;""</formula>
    </cfRule>
  </conditionalFormatting>
  <conditionalFormatting sqref="D249">
    <cfRule type="expression" dxfId="9864" priority="6703">
      <formula>D249&lt;&gt;""</formula>
    </cfRule>
  </conditionalFormatting>
  <conditionalFormatting sqref="D253">
    <cfRule type="expression" dxfId="9863" priority="6702">
      <formula>D249&lt;&gt;""</formula>
    </cfRule>
  </conditionalFormatting>
  <conditionalFormatting sqref="D241:D245">
    <cfRule type="expression" dxfId="9862" priority="6725">
      <formula>D241&lt;&gt;""</formula>
    </cfRule>
  </conditionalFormatting>
  <conditionalFormatting sqref="D241">
    <cfRule type="expression" dxfId="9861" priority="6724">
      <formula>D241&lt;&gt;""</formula>
    </cfRule>
  </conditionalFormatting>
  <conditionalFormatting sqref="D245">
    <cfRule type="expression" dxfId="9860" priority="6723">
      <formula>D241&lt;&gt;""</formula>
    </cfRule>
  </conditionalFormatting>
  <conditionalFormatting sqref="C241:C245">
    <cfRule type="expression" dxfId="9859" priority="6732">
      <formula>D241&lt;&gt;""</formula>
    </cfRule>
  </conditionalFormatting>
  <conditionalFormatting sqref="E241:E245">
    <cfRule type="expression" dxfId="9858" priority="6731">
      <formula>F241&lt;&gt;""</formula>
    </cfRule>
  </conditionalFormatting>
  <conditionalFormatting sqref="G241:G245">
    <cfRule type="expression" dxfId="9857" priority="6730">
      <formula>H241&lt;&gt;""</formula>
    </cfRule>
  </conditionalFormatting>
  <conditionalFormatting sqref="I241:I245">
    <cfRule type="expression" dxfId="9856" priority="6729">
      <formula>B249&lt;&gt;""</formula>
    </cfRule>
  </conditionalFormatting>
  <conditionalFormatting sqref="B241:B245">
    <cfRule type="expression" dxfId="9855" priority="6728">
      <formula>B241&lt;&gt;""</formula>
    </cfRule>
  </conditionalFormatting>
  <conditionalFormatting sqref="B241">
    <cfRule type="expression" dxfId="9854" priority="6727">
      <formula>B241&lt;&gt;""</formula>
    </cfRule>
  </conditionalFormatting>
  <conditionalFormatting sqref="B245">
    <cfRule type="expression" dxfId="9853" priority="6726">
      <formula>B241&lt;&gt;""</formula>
    </cfRule>
  </conditionalFormatting>
  <conditionalFormatting sqref="F241:F245">
    <cfRule type="expression" dxfId="9852" priority="6722">
      <formula>F241&lt;&gt;""</formula>
    </cfRule>
  </conditionalFormatting>
  <conditionalFormatting sqref="F241">
    <cfRule type="expression" dxfId="9851" priority="6721">
      <formula>F241&lt;&gt;""</formula>
    </cfRule>
  </conditionalFormatting>
  <conditionalFormatting sqref="F245">
    <cfRule type="expression" dxfId="9850" priority="6720">
      <formula>F241&lt;&gt;""</formula>
    </cfRule>
  </conditionalFormatting>
  <conditionalFormatting sqref="H241:H245">
    <cfRule type="expression" dxfId="9849" priority="6719">
      <formula>H241&lt;&gt;""</formula>
    </cfRule>
  </conditionalFormatting>
  <conditionalFormatting sqref="H241">
    <cfRule type="expression" dxfId="9848" priority="6718">
      <formula>H241&lt;&gt;""</formula>
    </cfRule>
  </conditionalFormatting>
  <conditionalFormatting sqref="H245">
    <cfRule type="expression" dxfId="9847" priority="6717">
      <formula>H241&lt;&gt;""</formula>
    </cfRule>
  </conditionalFormatting>
  <conditionalFormatting sqref="F233:F237">
    <cfRule type="expression" dxfId="9846" priority="6716">
      <formula>F233&lt;&gt;""</formula>
    </cfRule>
  </conditionalFormatting>
  <conditionalFormatting sqref="F233">
    <cfRule type="expression" dxfId="9845" priority="6715">
      <formula>F233&lt;&gt;""</formula>
    </cfRule>
  </conditionalFormatting>
  <conditionalFormatting sqref="F237">
    <cfRule type="expression" dxfId="9844" priority="6714">
      <formula>F233&lt;&gt;""</formula>
    </cfRule>
  </conditionalFormatting>
  <conditionalFormatting sqref="E233:E237">
    <cfRule type="expression" dxfId="9843" priority="6713">
      <formula>F233&lt;&gt;""</formula>
    </cfRule>
  </conditionalFormatting>
  <conditionalFormatting sqref="G233:G237">
    <cfRule type="expression" dxfId="9842" priority="6712">
      <formula>H233&lt;&gt;""</formula>
    </cfRule>
  </conditionalFormatting>
  <conditionalFormatting sqref="I233:I237">
    <cfRule type="expression" dxfId="9841" priority="6711">
      <formula>B241&lt;&gt;""</formula>
    </cfRule>
  </conditionalFormatting>
  <conditionalFormatting sqref="H233:H237">
    <cfRule type="expression" dxfId="9840" priority="6710">
      <formula>H233&lt;&gt;""</formula>
    </cfRule>
  </conditionalFormatting>
  <conditionalFormatting sqref="H233">
    <cfRule type="expression" dxfId="9839" priority="6709">
      <formula>H233&lt;&gt;""</formula>
    </cfRule>
  </conditionalFormatting>
  <conditionalFormatting sqref="H237">
    <cfRule type="expression" dxfId="9838" priority="6708">
      <formula>H233&lt;&gt;""</formula>
    </cfRule>
  </conditionalFormatting>
  <conditionalFormatting sqref="B249:B253">
    <cfRule type="expression" dxfId="9837" priority="6707">
      <formula>B249&lt;&gt;""</formula>
    </cfRule>
  </conditionalFormatting>
  <conditionalFormatting sqref="B249">
    <cfRule type="expression" dxfId="9836" priority="6706">
      <formula>B249&lt;&gt;""</formula>
    </cfRule>
  </conditionalFormatting>
  <conditionalFormatting sqref="B253">
    <cfRule type="expression" dxfId="9835" priority="6705">
      <formula>B249&lt;&gt;""</formula>
    </cfRule>
  </conditionalFormatting>
  <conditionalFormatting sqref="F249:F253">
    <cfRule type="expression" dxfId="9834" priority="6701">
      <formula>F249&lt;&gt;""</formula>
    </cfRule>
  </conditionalFormatting>
  <conditionalFormatting sqref="F249">
    <cfRule type="expression" dxfId="9833" priority="6700">
      <formula>F249&lt;&gt;""</formula>
    </cfRule>
  </conditionalFormatting>
  <conditionalFormatting sqref="F253">
    <cfRule type="expression" dxfId="9832" priority="6699">
      <formula>F249&lt;&gt;""</formula>
    </cfRule>
  </conditionalFormatting>
  <conditionalFormatting sqref="C249:C253">
    <cfRule type="expression" dxfId="9831" priority="6698">
      <formula>D249&lt;&gt;""</formula>
    </cfRule>
  </conditionalFormatting>
  <conditionalFormatting sqref="E249:E253">
    <cfRule type="expression" dxfId="9830" priority="6697">
      <formula>F249&lt;&gt;""</formula>
    </cfRule>
  </conditionalFormatting>
  <conditionalFormatting sqref="G249:G253">
    <cfRule type="expression" dxfId="9829" priority="6696">
      <formula>H249&lt;&gt;""</formula>
    </cfRule>
  </conditionalFormatting>
  <conditionalFormatting sqref="H249:H253">
    <cfRule type="expression" dxfId="9828" priority="6695">
      <formula>H249&lt;&gt;""</formula>
    </cfRule>
  </conditionalFormatting>
  <conditionalFormatting sqref="H249">
    <cfRule type="expression" dxfId="9827" priority="6694">
      <formula>H249&lt;&gt;""</formula>
    </cfRule>
  </conditionalFormatting>
  <conditionalFormatting sqref="H253">
    <cfRule type="expression" dxfId="9826" priority="6693">
      <formula>H249&lt;&gt;""</formula>
    </cfRule>
  </conditionalFormatting>
  <conditionalFormatting sqref="B233:B237">
    <cfRule type="expression" dxfId="9825" priority="6633">
      <formula>B233&lt;&gt;""</formula>
    </cfRule>
  </conditionalFormatting>
  <conditionalFormatting sqref="B239:B240 C239:I239 I238">
    <cfRule type="expression" dxfId="9824" priority="6691">
      <formula>$B$241&lt;&gt;""</formula>
    </cfRule>
  </conditionalFormatting>
  <conditionalFormatting sqref="B247:B248 C247:I247 I246">
    <cfRule type="expression" dxfId="9823" priority="6690">
      <formula>$B$249&lt;&gt;""</formula>
    </cfRule>
  </conditionalFormatting>
  <conditionalFormatting sqref="D277:D281">
    <cfRule type="expression" dxfId="9822" priority="6661">
      <formula>D277&lt;&gt;""</formula>
    </cfRule>
  </conditionalFormatting>
  <conditionalFormatting sqref="D277">
    <cfRule type="expression" dxfId="9821" priority="6660">
      <formula>D277&lt;&gt;""</formula>
    </cfRule>
  </conditionalFormatting>
  <conditionalFormatting sqref="D281">
    <cfRule type="expression" dxfId="9820" priority="6659">
      <formula>D277&lt;&gt;""</formula>
    </cfRule>
  </conditionalFormatting>
  <conditionalFormatting sqref="D269:D273">
    <cfRule type="expression" dxfId="9819" priority="6682">
      <formula>D269&lt;&gt;""</formula>
    </cfRule>
  </conditionalFormatting>
  <conditionalFormatting sqref="D269">
    <cfRule type="expression" dxfId="9818" priority="6681">
      <formula>D269&lt;&gt;""</formula>
    </cfRule>
  </conditionalFormatting>
  <conditionalFormatting sqref="D273">
    <cfRule type="expression" dxfId="9817" priority="6680">
      <formula>D269&lt;&gt;""</formula>
    </cfRule>
  </conditionalFormatting>
  <conditionalFormatting sqref="C269:C273">
    <cfRule type="expression" dxfId="9816" priority="6689">
      <formula>D269&lt;&gt;""</formula>
    </cfRule>
  </conditionalFormatting>
  <conditionalFormatting sqref="E269:E273">
    <cfRule type="expression" dxfId="9815" priority="6688">
      <formula>F269&lt;&gt;""</formula>
    </cfRule>
  </conditionalFormatting>
  <conditionalFormatting sqref="G269:G273">
    <cfRule type="expression" dxfId="9814" priority="6687">
      <formula>H269&lt;&gt;""</formula>
    </cfRule>
  </conditionalFormatting>
  <conditionalFormatting sqref="I269:I273">
    <cfRule type="expression" dxfId="9813" priority="6686">
      <formula>B277&lt;&gt;""</formula>
    </cfRule>
  </conditionalFormatting>
  <conditionalFormatting sqref="B269:B273">
    <cfRule type="expression" dxfId="9812" priority="6685">
      <formula>B269&lt;&gt;""</formula>
    </cfRule>
  </conditionalFormatting>
  <conditionalFormatting sqref="B269">
    <cfRule type="expression" dxfId="9811" priority="6684">
      <formula>B269&lt;&gt;""</formula>
    </cfRule>
  </conditionalFormatting>
  <conditionalFormatting sqref="B273">
    <cfRule type="expression" dxfId="9810" priority="6683">
      <formula>B269&lt;&gt;""</formula>
    </cfRule>
  </conditionalFormatting>
  <conditionalFormatting sqref="F269:F273">
    <cfRule type="expression" dxfId="9809" priority="6679">
      <formula>F269&lt;&gt;""</formula>
    </cfRule>
  </conditionalFormatting>
  <conditionalFormatting sqref="F269">
    <cfRule type="expression" dxfId="9808" priority="6678">
      <formula>F269&lt;&gt;""</formula>
    </cfRule>
  </conditionalFormatting>
  <conditionalFormatting sqref="F273">
    <cfRule type="expression" dxfId="9807" priority="6677">
      <formula>F269&lt;&gt;""</formula>
    </cfRule>
  </conditionalFormatting>
  <conditionalFormatting sqref="H269:H273">
    <cfRule type="expression" dxfId="9806" priority="6676">
      <formula>H269&lt;&gt;""</formula>
    </cfRule>
  </conditionalFormatting>
  <conditionalFormatting sqref="H269">
    <cfRule type="expression" dxfId="9805" priority="6675">
      <formula>H269&lt;&gt;""</formula>
    </cfRule>
  </conditionalFormatting>
  <conditionalFormatting sqref="H273">
    <cfRule type="expression" dxfId="9804" priority="6674">
      <formula>H269&lt;&gt;""</formula>
    </cfRule>
  </conditionalFormatting>
  <conditionalFormatting sqref="F261:F265">
    <cfRule type="expression" dxfId="9803" priority="6673">
      <formula>F261&lt;&gt;""</formula>
    </cfRule>
  </conditionalFormatting>
  <conditionalFormatting sqref="F261">
    <cfRule type="expression" dxfId="9802" priority="6672">
      <formula>F261&lt;&gt;""</formula>
    </cfRule>
  </conditionalFormatting>
  <conditionalFormatting sqref="F265">
    <cfRule type="expression" dxfId="9801" priority="6671">
      <formula>F261&lt;&gt;""</formula>
    </cfRule>
  </conditionalFormatting>
  <conditionalFormatting sqref="E261:E265">
    <cfRule type="expression" dxfId="9800" priority="6670">
      <formula>F261&lt;&gt;""</formula>
    </cfRule>
  </conditionalFormatting>
  <conditionalFormatting sqref="G261:G265">
    <cfRule type="expression" dxfId="9799" priority="6669">
      <formula>H261&lt;&gt;""</formula>
    </cfRule>
  </conditionalFormatting>
  <conditionalFormatting sqref="I261:I265">
    <cfRule type="expression" dxfId="9798" priority="6668">
      <formula>B269&lt;&gt;""</formula>
    </cfRule>
  </conditionalFormatting>
  <conditionalFormatting sqref="H261:H265">
    <cfRule type="expression" dxfId="9797" priority="6667">
      <formula>H261&lt;&gt;""</formula>
    </cfRule>
  </conditionalFormatting>
  <conditionalFormatting sqref="H261">
    <cfRule type="expression" dxfId="9796" priority="6666">
      <formula>H261&lt;&gt;""</formula>
    </cfRule>
  </conditionalFormatting>
  <conditionalFormatting sqref="H265">
    <cfRule type="expression" dxfId="9795" priority="6665">
      <formula>H261&lt;&gt;""</formula>
    </cfRule>
  </conditionalFormatting>
  <conditionalFormatting sqref="B277:B281">
    <cfRule type="expression" dxfId="9794" priority="6664">
      <formula>B277&lt;&gt;""</formula>
    </cfRule>
  </conditionalFormatting>
  <conditionalFormatting sqref="B277">
    <cfRule type="expression" dxfId="9793" priority="6663">
      <formula>B277&lt;&gt;""</formula>
    </cfRule>
  </conditionalFormatting>
  <conditionalFormatting sqref="B281">
    <cfRule type="expression" dxfId="9792" priority="6662">
      <formula>B277&lt;&gt;""</formula>
    </cfRule>
  </conditionalFormatting>
  <conditionalFormatting sqref="F277:F281">
    <cfRule type="expression" dxfId="9791" priority="6658">
      <formula>F277&lt;&gt;""</formula>
    </cfRule>
  </conditionalFormatting>
  <conditionalFormatting sqref="F277">
    <cfRule type="expression" dxfId="9790" priority="6657">
      <formula>F277&lt;&gt;""</formula>
    </cfRule>
  </conditionalFormatting>
  <conditionalFormatting sqref="F281">
    <cfRule type="expression" dxfId="9789" priority="6656">
      <formula>F277&lt;&gt;""</formula>
    </cfRule>
  </conditionalFormatting>
  <conditionalFormatting sqref="C277:C281">
    <cfRule type="expression" dxfId="9788" priority="6655">
      <formula>D277&lt;&gt;""</formula>
    </cfRule>
  </conditionalFormatting>
  <conditionalFormatting sqref="E277:E281">
    <cfRule type="expression" dxfId="9787" priority="6654">
      <formula>F277&lt;&gt;""</formula>
    </cfRule>
  </conditionalFormatting>
  <conditionalFormatting sqref="G277:G281">
    <cfRule type="expression" dxfId="9786" priority="6653">
      <formula>H277&lt;&gt;""</formula>
    </cfRule>
  </conditionalFormatting>
  <conditionalFormatting sqref="H277:H281">
    <cfRule type="expression" dxfId="9785" priority="6652">
      <formula>H277&lt;&gt;""</formula>
    </cfRule>
  </conditionalFormatting>
  <conditionalFormatting sqref="H277">
    <cfRule type="expression" dxfId="9784" priority="6651">
      <formula>H277&lt;&gt;""</formula>
    </cfRule>
  </conditionalFormatting>
  <conditionalFormatting sqref="H281">
    <cfRule type="expression" dxfId="9783" priority="6650">
      <formula>H277&lt;&gt;""</formula>
    </cfRule>
  </conditionalFormatting>
  <conditionalFormatting sqref="B261:B265">
    <cfRule type="expression" dxfId="9782" priority="6626">
      <formula>B261&lt;&gt;""</formula>
    </cfRule>
  </conditionalFormatting>
  <conditionalFormatting sqref="B267:B268 C267:I267 I266">
    <cfRule type="expression" dxfId="9781" priority="6648">
      <formula>$B$269&lt;&gt;""</formula>
    </cfRule>
  </conditionalFormatting>
  <conditionalFormatting sqref="B275:B276 C275:I275 I274">
    <cfRule type="expression" dxfId="9780" priority="6647">
      <formula>$B$277&lt;&gt;""</formula>
    </cfRule>
  </conditionalFormatting>
  <conditionalFormatting sqref="B71:B72 C71:I71 I70">
    <cfRule type="expression" dxfId="9779" priority="6642">
      <formula>$B$73&lt;&gt;""</formula>
    </cfRule>
  </conditionalFormatting>
  <conditionalFormatting sqref="B107:B108 C107:I107 I106">
    <cfRule type="expression" dxfId="9778" priority="6641">
      <formula>$B$109&lt;&gt;""</formula>
    </cfRule>
  </conditionalFormatting>
  <conditionalFormatting sqref="B205:B209">
    <cfRule type="expression" dxfId="9777" priority="6640">
      <formula>B205&lt;&gt;""</formula>
    </cfRule>
  </conditionalFormatting>
  <conditionalFormatting sqref="B205">
    <cfRule type="expression" dxfId="9776" priority="6639">
      <formula>B205&lt;&gt;""</formula>
    </cfRule>
  </conditionalFormatting>
  <conditionalFormatting sqref="B209">
    <cfRule type="expression" dxfId="9775" priority="6638">
      <formula>B205&lt;&gt;""</formula>
    </cfRule>
  </conditionalFormatting>
  <conditionalFormatting sqref="C205:C209">
    <cfRule type="expression" dxfId="9774" priority="6637">
      <formula>D205&lt;&gt;""</formula>
    </cfRule>
  </conditionalFormatting>
  <conditionalFormatting sqref="D205:D209">
    <cfRule type="expression" dxfId="9773" priority="6636">
      <formula>D205&lt;&gt;""</formula>
    </cfRule>
  </conditionalFormatting>
  <conditionalFormatting sqref="D205">
    <cfRule type="expression" dxfId="9772" priority="6635">
      <formula>D205&lt;&gt;""</formula>
    </cfRule>
  </conditionalFormatting>
  <conditionalFormatting sqref="D209">
    <cfRule type="expression" dxfId="9771" priority="6634">
      <formula>D205&lt;&gt;""</formula>
    </cfRule>
  </conditionalFormatting>
  <conditionalFormatting sqref="B233">
    <cfRule type="expression" dxfId="9770" priority="6632">
      <formula>B233&lt;&gt;""</formula>
    </cfRule>
  </conditionalFormatting>
  <conditionalFormatting sqref="B237">
    <cfRule type="expression" dxfId="9769" priority="6631">
      <formula>B233&lt;&gt;""</formula>
    </cfRule>
  </conditionalFormatting>
  <conditionalFormatting sqref="C233:C237">
    <cfRule type="expression" dxfId="9768" priority="6630">
      <formula>D233&lt;&gt;""</formula>
    </cfRule>
  </conditionalFormatting>
  <conditionalFormatting sqref="D233:D237">
    <cfRule type="expression" dxfId="9767" priority="6629">
      <formula>D233&lt;&gt;""</formula>
    </cfRule>
  </conditionalFormatting>
  <conditionalFormatting sqref="D233">
    <cfRule type="expression" dxfId="9766" priority="6628">
      <formula>D233&lt;&gt;""</formula>
    </cfRule>
  </conditionalFormatting>
  <conditionalFormatting sqref="D237">
    <cfRule type="expression" dxfId="9765" priority="6627">
      <formula>D233&lt;&gt;""</formula>
    </cfRule>
  </conditionalFormatting>
  <conditionalFormatting sqref="B261">
    <cfRule type="expression" dxfId="9764" priority="6624">
      <formula>B261&lt;&gt;""</formula>
    </cfRule>
  </conditionalFormatting>
  <conditionalFormatting sqref="B265">
    <cfRule type="expression" dxfId="9763" priority="6623">
      <formula>B261&lt;&gt;""</formula>
    </cfRule>
  </conditionalFormatting>
  <conditionalFormatting sqref="C261:C265">
    <cfRule type="expression" dxfId="9762" priority="6622">
      <formula>D261&lt;&gt;""</formula>
    </cfRule>
  </conditionalFormatting>
  <conditionalFormatting sqref="D261:D265">
    <cfRule type="expression" dxfId="9761" priority="6621">
      <formula>D261&lt;&gt;""</formula>
    </cfRule>
  </conditionalFormatting>
  <conditionalFormatting sqref="D261">
    <cfRule type="expression" dxfId="9760" priority="6620">
      <formula>D261&lt;&gt;""</formula>
    </cfRule>
  </conditionalFormatting>
  <conditionalFormatting sqref="D265">
    <cfRule type="expression" dxfId="9759" priority="6619">
      <formula>D261&lt;&gt;""</formula>
    </cfRule>
  </conditionalFormatting>
  <conditionalFormatting sqref="B219:B220 C219:I219 I218">
    <cfRule type="expression" dxfId="9758" priority="6618">
      <formula>$B$221&lt;&gt;""</formula>
    </cfRule>
  </conditionalFormatting>
  <conditionalFormatting sqref="B211:B212 C211:I211 I210">
    <cfRule type="expression" dxfId="9757" priority="6617">
      <formula>$B$213&lt;&gt;""</formula>
    </cfRule>
  </conditionalFormatting>
  <conditionalFormatting sqref="B177:B181">
    <cfRule type="expression" dxfId="9756" priority="6616">
      <formula>B177&lt;&gt;""</formula>
    </cfRule>
  </conditionalFormatting>
  <conditionalFormatting sqref="B177">
    <cfRule type="expression" dxfId="9755" priority="6615">
      <formula>B177</formula>
    </cfRule>
  </conditionalFormatting>
  <conditionalFormatting sqref="B181">
    <cfRule type="expression" dxfId="9754" priority="6614">
      <formula>B177&lt;&gt;""</formula>
    </cfRule>
  </conditionalFormatting>
  <conditionalFormatting sqref="C177:C181">
    <cfRule type="expression" dxfId="9753" priority="6613">
      <formula>D177&lt;&gt;""</formula>
    </cfRule>
  </conditionalFormatting>
  <conditionalFormatting sqref="D177:D181">
    <cfRule type="expression" dxfId="9752" priority="6612">
      <formula>D177&lt;&gt;""</formula>
    </cfRule>
  </conditionalFormatting>
  <conditionalFormatting sqref="D177">
    <cfRule type="expression" dxfId="9751" priority="6611">
      <formula>D177&lt;&gt;""</formula>
    </cfRule>
  </conditionalFormatting>
  <conditionalFormatting sqref="D181">
    <cfRule type="expression" dxfId="9750" priority="6609">
      <formula>D177&lt;&gt;""</formula>
    </cfRule>
  </conditionalFormatting>
  <conditionalFormatting sqref="B149:B153">
    <cfRule type="expression" dxfId="9749" priority="6608">
      <formula>B149&lt;&gt;""</formula>
    </cfRule>
  </conditionalFormatting>
  <conditionalFormatting sqref="B149">
    <cfRule type="expression" dxfId="9748" priority="6607">
      <formula>B149&lt;&gt;""</formula>
    </cfRule>
  </conditionalFormatting>
  <conditionalFormatting sqref="B153">
    <cfRule type="expression" dxfId="9747" priority="6606">
      <formula>B149&lt;&gt;""</formula>
    </cfRule>
  </conditionalFormatting>
  <conditionalFormatting sqref="C149:C153">
    <cfRule type="expression" dxfId="9746" priority="6605">
      <formula>D149&lt;&gt;""</formula>
    </cfRule>
  </conditionalFormatting>
  <conditionalFormatting sqref="D149:D153">
    <cfRule type="expression" dxfId="9745" priority="6604">
      <formula>D149&lt;&gt;""</formula>
    </cfRule>
  </conditionalFormatting>
  <conditionalFormatting sqref="D149">
    <cfRule type="expression" dxfId="9744" priority="6603">
      <formula>D149&lt;&gt;""</formula>
    </cfRule>
  </conditionalFormatting>
  <conditionalFormatting sqref="D153">
    <cfRule type="expression" dxfId="9743" priority="6602">
      <formula>D149&lt;&gt;""</formula>
    </cfRule>
  </conditionalFormatting>
  <conditionalFormatting sqref="B121:B125">
    <cfRule type="expression" dxfId="9742" priority="6601">
      <formula>B121&lt;&gt;""</formula>
    </cfRule>
  </conditionalFormatting>
  <conditionalFormatting sqref="B121">
    <cfRule type="expression" dxfId="9741" priority="6600">
      <formula>B121&lt;&gt;""</formula>
    </cfRule>
  </conditionalFormatting>
  <conditionalFormatting sqref="B125">
    <cfRule type="expression" dxfId="9740" priority="6599">
      <formula>B121&lt;&gt;""</formula>
    </cfRule>
  </conditionalFormatting>
  <conditionalFormatting sqref="C121:C125">
    <cfRule type="expression" dxfId="9739" priority="6598">
      <formula>D121&lt;&gt;""</formula>
    </cfRule>
  </conditionalFormatting>
  <conditionalFormatting sqref="D121:D125">
    <cfRule type="expression" dxfId="9738" priority="6597">
      <formula>D121&lt;&gt;""</formula>
    </cfRule>
  </conditionalFormatting>
  <conditionalFormatting sqref="D121">
    <cfRule type="expression" dxfId="9737" priority="6596">
      <formula>D121&lt;&gt;""</formula>
    </cfRule>
  </conditionalFormatting>
  <conditionalFormatting sqref="D125">
    <cfRule type="expression" dxfId="9736" priority="6595">
      <formula>D121&lt;&gt;""</formula>
    </cfRule>
  </conditionalFormatting>
  <conditionalFormatting sqref="B93:B97">
    <cfRule type="expression" dxfId="9735" priority="6594">
      <formula>B93&lt;&gt;""</formula>
    </cfRule>
  </conditionalFormatting>
  <conditionalFormatting sqref="B93">
    <cfRule type="expression" dxfId="9734" priority="6593">
      <formula>B93&lt;&gt;""</formula>
    </cfRule>
  </conditionalFormatting>
  <conditionalFormatting sqref="B97">
    <cfRule type="expression" dxfId="9733" priority="6592">
      <formula>B93&lt;&gt;""</formula>
    </cfRule>
  </conditionalFormatting>
  <conditionalFormatting sqref="C93:C97">
    <cfRule type="expression" dxfId="9732" priority="6591">
      <formula>D93&lt;&gt;""</formula>
    </cfRule>
  </conditionalFormatting>
  <conditionalFormatting sqref="D93:D97">
    <cfRule type="expression" dxfId="9731" priority="6590">
      <formula>D93&lt;&gt;""</formula>
    </cfRule>
  </conditionalFormatting>
  <conditionalFormatting sqref="D93">
    <cfRule type="expression" dxfId="9730" priority="6589">
      <formula>D93&lt;&gt;""</formula>
    </cfRule>
  </conditionalFormatting>
  <conditionalFormatting sqref="D97">
    <cfRule type="expression" dxfId="9729" priority="6588">
      <formula>D93&lt;&gt;""</formula>
    </cfRule>
  </conditionalFormatting>
  <conditionalFormatting sqref="B9:B13">
    <cfRule type="expression" dxfId="9728" priority="6587">
      <formula>B9&lt;&gt;""</formula>
    </cfRule>
  </conditionalFormatting>
  <conditionalFormatting sqref="B9">
    <cfRule type="expression" dxfId="9727" priority="6586">
      <formula>B9&lt;&gt;""</formula>
    </cfRule>
  </conditionalFormatting>
  <conditionalFormatting sqref="B13">
    <cfRule type="expression" dxfId="9726" priority="6585">
      <formula>B9&lt;&gt;""</formula>
    </cfRule>
  </conditionalFormatting>
  <conditionalFormatting sqref="C9:C13">
    <cfRule type="expression" dxfId="9725" priority="6584">
      <formula>D9&lt;&gt;""</formula>
    </cfRule>
  </conditionalFormatting>
  <conditionalFormatting sqref="D9:D13">
    <cfRule type="expression" dxfId="9724" priority="6583">
      <formula>D9&lt;&gt;""</formula>
    </cfRule>
  </conditionalFormatting>
  <conditionalFormatting sqref="D9">
    <cfRule type="expression" dxfId="9723" priority="6582">
      <formula>D9&lt;&gt;""</formula>
    </cfRule>
  </conditionalFormatting>
  <conditionalFormatting sqref="D13">
    <cfRule type="expression" dxfId="9722" priority="6581">
      <formula>D9&lt;&gt;""</formula>
    </cfRule>
  </conditionalFormatting>
  <conditionalFormatting sqref="B37">
    <cfRule type="expression" dxfId="9721" priority="6579">
      <formula>B37&lt;&gt;""</formula>
    </cfRule>
  </conditionalFormatting>
  <conditionalFormatting sqref="B41">
    <cfRule type="expression" dxfId="9720" priority="6578">
      <formula>B37&lt;&gt;""</formula>
    </cfRule>
  </conditionalFormatting>
  <conditionalFormatting sqref="C37:C41">
    <cfRule type="expression" dxfId="9719" priority="6577">
      <formula>D37&lt;&gt;""</formula>
    </cfRule>
  </conditionalFormatting>
  <conditionalFormatting sqref="D37:D41">
    <cfRule type="expression" dxfId="9718" priority="6576">
      <formula>D37&lt;&gt;""</formula>
    </cfRule>
  </conditionalFormatting>
  <conditionalFormatting sqref="D37">
    <cfRule type="expression" dxfId="9717" priority="6575">
      <formula>D37&lt;&gt;""</formula>
    </cfRule>
  </conditionalFormatting>
  <conditionalFormatting sqref="D41">
    <cfRule type="expression" dxfId="9716" priority="6574">
      <formula>D37&lt;&gt;""</formula>
    </cfRule>
  </conditionalFormatting>
  <conditionalFormatting sqref="B65:B69">
    <cfRule type="expression" dxfId="9715" priority="6573">
      <formula>B65&lt;&gt;""</formula>
    </cfRule>
  </conditionalFormatting>
  <conditionalFormatting sqref="B65">
    <cfRule type="expression" dxfId="9714" priority="6572">
      <formula>B65&lt;&gt;""</formula>
    </cfRule>
  </conditionalFormatting>
  <conditionalFormatting sqref="B69">
    <cfRule type="expression" dxfId="9713" priority="6571">
      <formula>B65&lt;&gt;""</formula>
    </cfRule>
  </conditionalFormatting>
  <conditionalFormatting sqref="C65:C69">
    <cfRule type="expression" dxfId="9712" priority="6570">
      <formula>D65&lt;&gt;""</formula>
    </cfRule>
  </conditionalFormatting>
  <conditionalFormatting sqref="D65:D69">
    <cfRule type="expression" dxfId="9711" priority="6569">
      <formula>D65&lt;&gt;""</formula>
    </cfRule>
  </conditionalFormatting>
  <conditionalFormatting sqref="D65">
    <cfRule type="expression" dxfId="9710" priority="6568">
      <formula>D65&lt;&gt;""</formula>
    </cfRule>
  </conditionalFormatting>
  <conditionalFormatting sqref="D69">
    <cfRule type="expression" dxfId="9709" priority="6567">
      <formula>D65&lt;&gt;""</formula>
    </cfRule>
  </conditionalFormatting>
  <conditionalFormatting sqref="B291:B295">
    <cfRule type="expression" dxfId="9708" priority="6566">
      <formula>B291&lt;&gt;""</formula>
    </cfRule>
  </conditionalFormatting>
  <conditionalFormatting sqref="B291">
    <cfRule type="expression" dxfId="9707" priority="6565">
      <formula>B291&lt;&gt;""</formula>
    </cfRule>
  </conditionalFormatting>
  <conditionalFormatting sqref="B295">
    <cfRule type="expression" dxfId="9706" priority="6564">
      <formula>B291&lt;&gt;""</formula>
    </cfRule>
  </conditionalFormatting>
  <conditionalFormatting sqref="C291:C295">
    <cfRule type="expression" dxfId="9705" priority="6563">
      <formula>D291&lt;&gt;""</formula>
    </cfRule>
  </conditionalFormatting>
  <conditionalFormatting sqref="D291:D295">
    <cfRule type="expression" dxfId="9704" priority="6562">
      <formula>D291&lt;&gt;""</formula>
    </cfRule>
  </conditionalFormatting>
  <conditionalFormatting sqref="D291">
    <cfRule type="expression" dxfId="9703" priority="6561">
      <formula>D291&lt;&gt;""</formula>
    </cfRule>
  </conditionalFormatting>
  <conditionalFormatting sqref="D295">
    <cfRule type="expression" dxfId="9702" priority="6560">
      <formula>D291&lt;&gt;""</formula>
    </cfRule>
  </conditionalFormatting>
  <conditionalFormatting sqref="B319:B323">
    <cfRule type="expression" dxfId="9701" priority="6559">
      <formula>B319&lt;&gt;""</formula>
    </cfRule>
  </conditionalFormatting>
  <conditionalFormatting sqref="B319">
    <cfRule type="expression" dxfId="9700" priority="6558">
      <formula>B319&lt;&gt;""</formula>
    </cfRule>
  </conditionalFormatting>
  <conditionalFormatting sqref="B323">
    <cfRule type="expression" dxfId="9699" priority="6557">
      <formula>B319&lt;&gt;""</formula>
    </cfRule>
  </conditionalFormatting>
  <conditionalFormatting sqref="C319:C323">
    <cfRule type="expression" dxfId="9698" priority="6556">
      <formula>D319&lt;&gt;""</formula>
    </cfRule>
  </conditionalFormatting>
  <conditionalFormatting sqref="D319:D323">
    <cfRule type="expression" dxfId="9697" priority="6555">
      <formula>D319&lt;&gt;""</formula>
    </cfRule>
  </conditionalFormatting>
  <conditionalFormatting sqref="D319">
    <cfRule type="expression" dxfId="9696" priority="6554">
      <formula>D319&lt;&gt;""</formula>
    </cfRule>
  </conditionalFormatting>
  <conditionalFormatting sqref="D323">
    <cfRule type="expression" dxfId="9695" priority="6553">
      <formula>D319&lt;&gt;""</formula>
    </cfRule>
  </conditionalFormatting>
  <conditionalFormatting sqref="B347:B351">
    <cfRule type="expression" dxfId="9694" priority="6552">
      <formula>B347&lt;&gt;""</formula>
    </cfRule>
  </conditionalFormatting>
  <conditionalFormatting sqref="B347">
    <cfRule type="expression" dxfId="9693" priority="6551">
      <formula>B347&lt;&gt;""</formula>
    </cfRule>
  </conditionalFormatting>
  <conditionalFormatting sqref="B351">
    <cfRule type="expression" dxfId="9692" priority="6550">
      <formula>B347&lt;&gt;""</formula>
    </cfRule>
  </conditionalFormatting>
  <conditionalFormatting sqref="C347:C351">
    <cfRule type="expression" dxfId="9691" priority="6549">
      <formula>D347&lt;&gt;""</formula>
    </cfRule>
  </conditionalFormatting>
  <conditionalFormatting sqref="D347:D351">
    <cfRule type="expression" dxfId="9690" priority="6548">
      <formula>D347&lt;&gt;""</formula>
    </cfRule>
  </conditionalFormatting>
  <conditionalFormatting sqref="D347">
    <cfRule type="expression" dxfId="9689" priority="6547">
      <formula>D347&lt;&gt;""</formula>
    </cfRule>
  </conditionalFormatting>
  <conditionalFormatting sqref="D351">
    <cfRule type="expression" dxfId="9688" priority="6546">
      <formula>D347&lt;&gt;""</formula>
    </cfRule>
  </conditionalFormatting>
  <conditionalFormatting sqref="B375:B379">
    <cfRule type="expression" dxfId="9687" priority="6545">
      <formula>B375&lt;&gt;""</formula>
    </cfRule>
  </conditionalFormatting>
  <conditionalFormatting sqref="B375">
    <cfRule type="expression" dxfId="9686" priority="6544">
      <formula>B375&lt;&gt;""</formula>
    </cfRule>
  </conditionalFormatting>
  <conditionalFormatting sqref="B379">
    <cfRule type="expression" dxfId="9685" priority="6543">
      <formula>B375&lt;&gt;""</formula>
    </cfRule>
  </conditionalFormatting>
  <conditionalFormatting sqref="C375:C379">
    <cfRule type="expression" dxfId="9684" priority="6542">
      <formula>D375&lt;&gt;""</formula>
    </cfRule>
  </conditionalFormatting>
  <conditionalFormatting sqref="D375:D379">
    <cfRule type="expression" dxfId="9683" priority="6541">
      <formula>D375&lt;&gt;""</formula>
    </cfRule>
  </conditionalFormatting>
  <conditionalFormatting sqref="D375">
    <cfRule type="expression" dxfId="9682" priority="6540">
      <formula>D375&lt;&gt;""</formula>
    </cfRule>
  </conditionalFormatting>
  <conditionalFormatting sqref="D379">
    <cfRule type="expression" dxfId="9681" priority="6539">
      <formula>D375&lt;&gt;""</formula>
    </cfRule>
  </conditionalFormatting>
  <conditionalFormatting sqref="B403:B407">
    <cfRule type="expression" dxfId="9680" priority="6538">
      <formula>B403&lt;&gt;""</formula>
    </cfRule>
  </conditionalFormatting>
  <conditionalFormatting sqref="B403">
    <cfRule type="expression" dxfId="9679" priority="6537">
      <formula>B403&lt;&gt;""</formula>
    </cfRule>
  </conditionalFormatting>
  <conditionalFormatting sqref="B407">
    <cfRule type="expression" dxfId="9678" priority="6536">
      <formula>B403&lt;&gt;""</formula>
    </cfRule>
  </conditionalFormatting>
  <conditionalFormatting sqref="C403:C407">
    <cfRule type="expression" dxfId="9677" priority="6535">
      <formula>D403&lt;&gt;""</formula>
    </cfRule>
  </conditionalFormatting>
  <conditionalFormatting sqref="D403:D407">
    <cfRule type="expression" dxfId="9676" priority="6534">
      <formula>D403&lt;&gt;""</formula>
    </cfRule>
  </conditionalFormatting>
  <conditionalFormatting sqref="D403">
    <cfRule type="expression" dxfId="9675" priority="6533">
      <formula>D403&lt;&gt;""</formula>
    </cfRule>
  </conditionalFormatting>
  <conditionalFormatting sqref="D407">
    <cfRule type="expression" dxfId="9674" priority="6532">
      <formula>D403&lt;&gt;""</formula>
    </cfRule>
  </conditionalFormatting>
  <conditionalFormatting sqref="B431:B435">
    <cfRule type="expression" dxfId="9673" priority="6531">
      <formula>B431&lt;&gt;""</formula>
    </cfRule>
  </conditionalFormatting>
  <conditionalFormatting sqref="B431">
    <cfRule type="expression" dxfId="9672" priority="6530">
      <formula>B431&lt;&gt;""</formula>
    </cfRule>
  </conditionalFormatting>
  <conditionalFormatting sqref="B435">
    <cfRule type="expression" dxfId="9671" priority="6529">
      <formula>B431&lt;&gt;""</formula>
    </cfRule>
  </conditionalFormatting>
  <conditionalFormatting sqref="C431:C435">
    <cfRule type="expression" dxfId="9670" priority="6528">
      <formula>D431&lt;&gt;""</formula>
    </cfRule>
  </conditionalFormatting>
  <conditionalFormatting sqref="D431:D435">
    <cfRule type="expression" dxfId="9669" priority="6527">
      <formula>D431&lt;&gt;""</formula>
    </cfRule>
  </conditionalFormatting>
  <conditionalFormatting sqref="D431">
    <cfRule type="expression" dxfId="9668" priority="6526">
      <formula>D431&lt;&gt;""</formula>
    </cfRule>
  </conditionalFormatting>
  <conditionalFormatting sqref="D435">
    <cfRule type="expression" dxfId="9667" priority="6525">
      <formula>D431&lt;&gt;""</formula>
    </cfRule>
  </conditionalFormatting>
  <conditionalFormatting sqref="B459:B463">
    <cfRule type="expression" dxfId="9666" priority="6524">
      <formula>B459&lt;&gt;""</formula>
    </cfRule>
  </conditionalFormatting>
  <conditionalFormatting sqref="B459">
    <cfRule type="expression" dxfId="9665" priority="6523">
      <formula>B459&lt;&gt;""</formula>
    </cfRule>
  </conditionalFormatting>
  <conditionalFormatting sqref="B463">
    <cfRule type="expression" dxfId="9664" priority="6522">
      <formula>B459&lt;&gt;""</formula>
    </cfRule>
  </conditionalFormatting>
  <conditionalFormatting sqref="C459:C463">
    <cfRule type="expression" dxfId="9663" priority="6521">
      <formula>D459&lt;&gt;""</formula>
    </cfRule>
  </conditionalFormatting>
  <conditionalFormatting sqref="D459:D463">
    <cfRule type="expression" dxfId="9662" priority="6520">
      <formula>D459&lt;&gt;""</formula>
    </cfRule>
  </conditionalFormatting>
  <conditionalFormatting sqref="D459">
    <cfRule type="expression" dxfId="9661" priority="6519">
      <formula>D459&lt;&gt;""</formula>
    </cfRule>
  </conditionalFormatting>
  <conditionalFormatting sqref="D463">
    <cfRule type="expression" dxfId="9660" priority="6518">
      <formula>D459&lt;&gt;""</formula>
    </cfRule>
  </conditionalFormatting>
  <conditionalFormatting sqref="D503:D507">
    <cfRule type="expression" dxfId="9659" priority="6489">
      <formula>D503&lt;&gt;""</formula>
    </cfRule>
  </conditionalFormatting>
  <conditionalFormatting sqref="D503">
    <cfRule type="expression" dxfId="9658" priority="6488">
      <formula>D503&lt;&gt;""</formula>
    </cfRule>
  </conditionalFormatting>
  <conditionalFormatting sqref="D507">
    <cfRule type="expression" dxfId="9657" priority="6487">
      <formula>D503&lt;&gt;""</formula>
    </cfRule>
  </conditionalFormatting>
  <conditionalFormatting sqref="D495:D499">
    <cfRule type="expression" dxfId="9656" priority="6510">
      <formula>D495&lt;&gt;""</formula>
    </cfRule>
  </conditionalFormatting>
  <conditionalFormatting sqref="D495">
    <cfRule type="expression" dxfId="9655" priority="6509">
      <formula>D495&lt;&gt;""</formula>
    </cfRule>
  </conditionalFormatting>
  <conditionalFormatting sqref="D499">
    <cfRule type="expression" dxfId="9654" priority="6508">
      <formula>D495&lt;&gt;""</formula>
    </cfRule>
  </conditionalFormatting>
  <conditionalFormatting sqref="C495:C499">
    <cfRule type="expression" dxfId="9653" priority="6517">
      <formula>D495&lt;&gt;""</formula>
    </cfRule>
  </conditionalFormatting>
  <conditionalFormatting sqref="E495:E499">
    <cfRule type="expression" dxfId="9652" priority="6516">
      <formula>F495&lt;&gt;""</formula>
    </cfRule>
  </conditionalFormatting>
  <conditionalFormatting sqref="G495:G499">
    <cfRule type="expression" dxfId="9651" priority="6515">
      <formula>H495&lt;&gt;""</formula>
    </cfRule>
  </conditionalFormatting>
  <conditionalFormatting sqref="I495:I499">
    <cfRule type="expression" dxfId="9650" priority="6514">
      <formula>B503&lt;&gt;""</formula>
    </cfRule>
  </conditionalFormatting>
  <conditionalFormatting sqref="B495:B499">
    <cfRule type="expression" dxfId="9649" priority="6513">
      <formula>B495&lt;&gt;""</formula>
    </cfRule>
  </conditionalFormatting>
  <conditionalFormatting sqref="B495">
    <cfRule type="expression" dxfId="9648" priority="6512">
      <formula>B495&lt;&gt;""</formula>
    </cfRule>
  </conditionalFormatting>
  <conditionalFormatting sqref="B499">
    <cfRule type="expression" dxfId="9647" priority="6511">
      <formula>B495&lt;&gt;""</formula>
    </cfRule>
  </conditionalFormatting>
  <conditionalFormatting sqref="F495:F499">
    <cfRule type="expression" dxfId="9646" priority="6507">
      <formula>F495&lt;&gt;""</formula>
    </cfRule>
  </conditionalFormatting>
  <conditionalFormatting sqref="F495">
    <cfRule type="expression" dxfId="9645" priority="6506">
      <formula>F495&lt;&gt;""</formula>
    </cfRule>
  </conditionalFormatting>
  <conditionalFormatting sqref="F499">
    <cfRule type="expression" dxfId="9644" priority="6505">
      <formula>F495&lt;&gt;""</formula>
    </cfRule>
  </conditionalFormatting>
  <conditionalFormatting sqref="H495:H499">
    <cfRule type="expression" dxfId="9643" priority="6504">
      <formula>H495&lt;&gt;""</formula>
    </cfRule>
  </conditionalFormatting>
  <conditionalFormatting sqref="H495">
    <cfRule type="expression" dxfId="9642" priority="6503">
      <formula>H495&lt;&gt;""</formula>
    </cfRule>
  </conditionalFormatting>
  <conditionalFormatting sqref="H499">
    <cfRule type="expression" dxfId="9641" priority="6502">
      <formula>H495&lt;&gt;""</formula>
    </cfRule>
  </conditionalFormatting>
  <conditionalFormatting sqref="F487:F491">
    <cfRule type="expression" dxfId="9640" priority="6501">
      <formula>F487&lt;&gt;""</formula>
    </cfRule>
  </conditionalFormatting>
  <conditionalFormatting sqref="F487">
    <cfRule type="expression" dxfId="9639" priority="6500">
      <formula>F487&lt;&gt;""</formula>
    </cfRule>
  </conditionalFormatting>
  <conditionalFormatting sqref="F491">
    <cfRule type="expression" dxfId="9638" priority="6499">
      <formula>F487&lt;&gt;""</formula>
    </cfRule>
  </conditionalFormatting>
  <conditionalFormatting sqref="E487:E491">
    <cfRule type="expression" dxfId="9637" priority="6498">
      <formula>F487&lt;&gt;""</formula>
    </cfRule>
  </conditionalFormatting>
  <conditionalFormatting sqref="G487:G491">
    <cfRule type="expression" dxfId="9636" priority="6497">
      <formula>H487&lt;&gt;""</formula>
    </cfRule>
  </conditionalFormatting>
  <conditionalFormatting sqref="I487:I491">
    <cfRule type="expression" dxfId="9635" priority="6496">
      <formula>B495&lt;&gt;""</formula>
    </cfRule>
  </conditionalFormatting>
  <conditionalFormatting sqref="H487:H491">
    <cfRule type="expression" dxfId="9634" priority="6495">
      <formula>H487&lt;&gt;""</formula>
    </cfRule>
  </conditionalFormatting>
  <conditionalFormatting sqref="H487">
    <cfRule type="expression" dxfId="9633" priority="6494">
      <formula>H487&lt;&gt;""</formula>
    </cfRule>
  </conditionalFormatting>
  <conditionalFormatting sqref="H491">
    <cfRule type="expression" dxfId="9632" priority="6493">
      <formula>H487&lt;&gt;""</formula>
    </cfRule>
  </conditionalFormatting>
  <conditionalFormatting sqref="B503:B507">
    <cfRule type="expression" dxfId="9631" priority="6492">
      <formula>B503&lt;&gt;""</formula>
    </cfRule>
  </conditionalFormatting>
  <conditionalFormatting sqref="B503">
    <cfRule type="expression" dxfId="9630" priority="6491">
      <formula>B503&lt;&gt;""</formula>
    </cfRule>
  </conditionalFormatting>
  <conditionalFormatting sqref="B507">
    <cfRule type="expression" dxfId="9629" priority="6490">
      <formula>B503&lt;&gt;""</formula>
    </cfRule>
  </conditionalFormatting>
  <conditionalFormatting sqref="F503:F507">
    <cfRule type="expression" dxfId="9628" priority="6486">
      <formula>F503&lt;&gt;""</formula>
    </cfRule>
  </conditionalFormatting>
  <conditionalFormatting sqref="F503">
    <cfRule type="expression" dxfId="9627" priority="6485">
      <formula>F503&lt;&gt;""</formula>
    </cfRule>
  </conditionalFormatting>
  <conditionalFormatting sqref="F507">
    <cfRule type="expression" dxfId="9626" priority="6484">
      <formula>F503&lt;&gt;""</formula>
    </cfRule>
  </conditionalFormatting>
  <conditionalFormatting sqref="C503:C507">
    <cfRule type="expression" dxfId="9625" priority="6483">
      <formula>D503&lt;&gt;""</formula>
    </cfRule>
  </conditionalFormatting>
  <conditionalFormatting sqref="E503:E507">
    <cfRule type="expression" dxfId="9624" priority="6482">
      <formula>F503&lt;&gt;""</formula>
    </cfRule>
  </conditionalFormatting>
  <conditionalFormatting sqref="G503:G507">
    <cfRule type="expression" dxfId="9623" priority="6481">
      <formula>H503&lt;&gt;""</formula>
    </cfRule>
  </conditionalFormatting>
  <conditionalFormatting sqref="H503:H507">
    <cfRule type="expression" dxfId="9622" priority="6480">
      <formula>H503&lt;&gt;""</formula>
    </cfRule>
  </conditionalFormatting>
  <conditionalFormatting sqref="H503">
    <cfRule type="expression" dxfId="9621" priority="6479">
      <formula>H503&lt;&gt;""</formula>
    </cfRule>
  </conditionalFormatting>
  <conditionalFormatting sqref="H507">
    <cfRule type="expression" dxfId="9620" priority="6478">
      <formula>H503&lt;&gt;""</formula>
    </cfRule>
  </conditionalFormatting>
  <conditionalFormatting sqref="D531:D535">
    <cfRule type="expression" dxfId="9619" priority="6449">
      <formula>D531&lt;&gt;""</formula>
    </cfRule>
  </conditionalFormatting>
  <conditionalFormatting sqref="D531">
    <cfRule type="expression" dxfId="9618" priority="6448">
      <formula>D531&lt;&gt;""</formula>
    </cfRule>
  </conditionalFormatting>
  <conditionalFormatting sqref="D535">
    <cfRule type="expression" dxfId="9617" priority="6447">
      <formula>D531&lt;&gt;""</formula>
    </cfRule>
  </conditionalFormatting>
  <conditionalFormatting sqref="D523:D527">
    <cfRule type="expression" dxfId="9616" priority="6470">
      <formula>D523&lt;&gt;""</formula>
    </cfRule>
  </conditionalFormatting>
  <conditionalFormatting sqref="D523">
    <cfRule type="expression" dxfId="9615" priority="6469">
      <formula>D523&lt;&gt;""</formula>
    </cfRule>
  </conditionalFormatting>
  <conditionalFormatting sqref="D527">
    <cfRule type="expression" dxfId="9614" priority="6468">
      <formula>D523&lt;&gt;""</formula>
    </cfRule>
  </conditionalFormatting>
  <conditionalFormatting sqref="C523:C527">
    <cfRule type="expression" dxfId="9613" priority="6477">
      <formula>D523&lt;&gt;""</formula>
    </cfRule>
  </conditionalFormatting>
  <conditionalFormatting sqref="E523:E527">
    <cfRule type="expression" dxfId="9612" priority="6476">
      <formula>F523&lt;&gt;""</formula>
    </cfRule>
  </conditionalFormatting>
  <conditionalFormatting sqref="G523:G527">
    <cfRule type="expression" dxfId="9611" priority="6475">
      <formula>H523&lt;&gt;""</formula>
    </cfRule>
  </conditionalFormatting>
  <conditionalFormatting sqref="I523:I527">
    <cfRule type="expression" dxfId="9610" priority="6474">
      <formula>B531&lt;&gt;""</formula>
    </cfRule>
  </conditionalFormatting>
  <conditionalFormatting sqref="B523:B527">
    <cfRule type="expression" dxfId="9609" priority="6473">
      <formula>B523&lt;&gt;""</formula>
    </cfRule>
  </conditionalFormatting>
  <conditionalFormatting sqref="B523">
    <cfRule type="expression" dxfId="9608" priority="6472">
      <formula>B523&lt;&gt;""</formula>
    </cfRule>
  </conditionalFormatting>
  <conditionalFormatting sqref="B527">
    <cfRule type="expression" dxfId="9607" priority="6471">
      <formula>B523&lt;&gt;""</formula>
    </cfRule>
  </conditionalFormatting>
  <conditionalFormatting sqref="F523:F527">
    <cfRule type="expression" dxfId="9606" priority="6467">
      <formula>F523&lt;&gt;""</formula>
    </cfRule>
  </conditionalFormatting>
  <conditionalFormatting sqref="F523">
    <cfRule type="expression" dxfId="9605" priority="6466">
      <formula>F523&lt;&gt;""</formula>
    </cfRule>
  </conditionalFormatting>
  <conditionalFormatting sqref="F527">
    <cfRule type="expression" dxfId="9604" priority="6465">
      <formula>F523&lt;&gt;""</formula>
    </cfRule>
  </conditionalFormatting>
  <conditionalFormatting sqref="H523:H527">
    <cfRule type="expression" dxfId="9603" priority="6464">
      <formula>H523&lt;&gt;""</formula>
    </cfRule>
  </conditionalFormatting>
  <conditionalFormatting sqref="H523">
    <cfRule type="expression" dxfId="9602" priority="6463">
      <formula>H523&lt;&gt;""</formula>
    </cfRule>
  </conditionalFormatting>
  <conditionalFormatting sqref="H527">
    <cfRule type="expression" dxfId="9601" priority="6462">
      <formula>H523&lt;&gt;""</formula>
    </cfRule>
  </conditionalFormatting>
  <conditionalFormatting sqref="F515:F519">
    <cfRule type="expression" dxfId="9600" priority="6461">
      <formula>F515&lt;&gt;""</formula>
    </cfRule>
  </conditionalFormatting>
  <conditionalFormatting sqref="F515">
    <cfRule type="expression" dxfId="9599" priority="6460">
      <formula>F515&lt;&gt;""</formula>
    </cfRule>
  </conditionalFormatting>
  <conditionalFormatting sqref="F519">
    <cfRule type="expression" dxfId="9598" priority="6459">
      <formula>F515&lt;&gt;""</formula>
    </cfRule>
  </conditionalFormatting>
  <conditionalFormatting sqref="E515:E519">
    <cfRule type="expression" dxfId="9597" priority="6458">
      <formula>F515&lt;&gt;""</formula>
    </cfRule>
  </conditionalFormatting>
  <conditionalFormatting sqref="G515:G519">
    <cfRule type="expression" dxfId="9596" priority="6457">
      <formula>H515&lt;&gt;""</formula>
    </cfRule>
  </conditionalFormatting>
  <conditionalFormatting sqref="I515:I519">
    <cfRule type="expression" dxfId="9595" priority="6456">
      <formula>B523&lt;&gt;""</formula>
    </cfRule>
  </conditionalFormatting>
  <conditionalFormatting sqref="H515:H519">
    <cfRule type="expression" dxfId="9594" priority="6455">
      <formula>H515&lt;&gt;""</formula>
    </cfRule>
  </conditionalFormatting>
  <conditionalFormatting sqref="H515">
    <cfRule type="expression" dxfId="9593" priority="6454">
      <formula>H515&lt;&gt;""</formula>
    </cfRule>
  </conditionalFormatting>
  <conditionalFormatting sqref="H519">
    <cfRule type="expression" dxfId="9592" priority="6453">
      <formula>H515&lt;&gt;""</formula>
    </cfRule>
  </conditionalFormatting>
  <conditionalFormatting sqref="B531:B535">
    <cfRule type="expression" dxfId="9591" priority="6452">
      <formula>B531&lt;&gt;""</formula>
    </cfRule>
  </conditionalFormatting>
  <conditionalFormatting sqref="B531">
    <cfRule type="expression" dxfId="9590" priority="6451">
      <formula>B531&lt;&gt;""</formula>
    </cfRule>
  </conditionalFormatting>
  <conditionalFormatting sqref="B535">
    <cfRule type="expression" dxfId="9589" priority="6450">
      <formula>B531&lt;&gt;""</formula>
    </cfRule>
  </conditionalFormatting>
  <conditionalFormatting sqref="F531:F535">
    <cfRule type="expression" dxfId="9588" priority="6446">
      <formula>F531&lt;&gt;""</formula>
    </cfRule>
  </conditionalFormatting>
  <conditionalFormatting sqref="F531">
    <cfRule type="expression" dxfId="9587" priority="6445">
      <formula>F531&lt;&gt;""</formula>
    </cfRule>
  </conditionalFormatting>
  <conditionalFormatting sqref="F535">
    <cfRule type="expression" dxfId="9586" priority="6444">
      <formula>F531&lt;&gt;""</formula>
    </cfRule>
  </conditionalFormatting>
  <conditionalFormatting sqref="C531:C535">
    <cfRule type="expression" dxfId="9585" priority="6443">
      <formula>D531&lt;&gt;""</formula>
    </cfRule>
  </conditionalFormatting>
  <conditionalFormatting sqref="E531:E535">
    <cfRule type="expression" dxfId="9584" priority="6442">
      <formula>F531&lt;&gt;""</formula>
    </cfRule>
  </conditionalFormatting>
  <conditionalFormatting sqref="G531:G535">
    <cfRule type="expression" dxfId="9583" priority="6441">
      <formula>H531&lt;&gt;""</formula>
    </cfRule>
  </conditionalFormatting>
  <conditionalFormatting sqref="H531:H535">
    <cfRule type="expression" dxfId="9582" priority="6440">
      <formula>H531&lt;&gt;""</formula>
    </cfRule>
  </conditionalFormatting>
  <conditionalFormatting sqref="H531">
    <cfRule type="expression" dxfId="9581" priority="6439">
      <formula>H531&lt;&gt;""</formula>
    </cfRule>
  </conditionalFormatting>
  <conditionalFormatting sqref="H535">
    <cfRule type="expression" dxfId="9580" priority="6438">
      <formula>H531&lt;&gt;""</formula>
    </cfRule>
  </conditionalFormatting>
  <conditionalFormatting sqref="B515:B519">
    <cfRule type="expression" dxfId="9579" priority="6386">
      <formula>B515&lt;&gt;""</formula>
    </cfRule>
  </conditionalFormatting>
  <conditionalFormatting sqref="B521:B522 C521:I521 I520">
    <cfRule type="expression" dxfId="9578" priority="6437">
      <formula>$B$523&lt;&gt;""</formula>
    </cfRule>
  </conditionalFormatting>
  <conditionalFormatting sqref="B529:B530 C529:I529 I528">
    <cfRule type="expression" dxfId="9577" priority="6436">
      <formula>$B$531&lt;&gt;""</formula>
    </cfRule>
  </conditionalFormatting>
  <conditionalFormatting sqref="D559:D563">
    <cfRule type="expression" dxfId="9576" priority="6407">
      <formula>D559&lt;&gt;""</formula>
    </cfRule>
  </conditionalFormatting>
  <conditionalFormatting sqref="D559">
    <cfRule type="expression" dxfId="9575" priority="6406">
      <formula>D559&lt;&gt;""</formula>
    </cfRule>
  </conditionalFormatting>
  <conditionalFormatting sqref="D563">
    <cfRule type="expression" dxfId="9574" priority="6405">
      <formula>D559&lt;&gt;""</formula>
    </cfRule>
  </conditionalFormatting>
  <conditionalFormatting sqref="D551:D555">
    <cfRule type="expression" dxfId="9573" priority="6428">
      <formula>D551&lt;&gt;""</formula>
    </cfRule>
  </conditionalFormatting>
  <conditionalFormatting sqref="D551">
    <cfRule type="expression" dxfId="9572" priority="6427">
      <formula>D551&lt;&gt;""</formula>
    </cfRule>
  </conditionalFormatting>
  <conditionalFormatting sqref="D555">
    <cfRule type="expression" dxfId="9571" priority="6426">
      <formula>D551&lt;&gt;""</formula>
    </cfRule>
  </conditionalFormatting>
  <conditionalFormatting sqref="C551:C555">
    <cfRule type="expression" dxfId="9570" priority="6435">
      <formula>D551&lt;&gt;""</formula>
    </cfRule>
  </conditionalFormatting>
  <conditionalFormatting sqref="E551:E555">
    <cfRule type="expression" dxfId="9569" priority="6434">
      <formula>F551&lt;&gt;""</formula>
    </cfRule>
  </conditionalFormatting>
  <conditionalFormatting sqref="G551:G555">
    <cfRule type="expression" dxfId="9568" priority="6433">
      <formula>H551&lt;&gt;""</formula>
    </cfRule>
  </conditionalFormatting>
  <conditionalFormatting sqref="I551:I555">
    <cfRule type="expression" dxfId="9567" priority="6432">
      <formula>B559&lt;&gt;""</formula>
    </cfRule>
  </conditionalFormatting>
  <conditionalFormatting sqref="B551:B555">
    <cfRule type="expression" dxfId="9566" priority="6431">
      <formula>B551&lt;&gt;""</formula>
    </cfRule>
  </conditionalFormatting>
  <conditionalFormatting sqref="B551">
    <cfRule type="expression" dxfId="9565" priority="6430">
      <formula>B551&lt;&gt;""</formula>
    </cfRule>
  </conditionalFormatting>
  <conditionalFormatting sqref="B555">
    <cfRule type="expression" dxfId="9564" priority="6429">
      <formula>B551&lt;&gt;""</formula>
    </cfRule>
  </conditionalFormatting>
  <conditionalFormatting sqref="F551:F555">
    <cfRule type="expression" dxfId="9563" priority="6425">
      <formula>F551&lt;&gt;""</formula>
    </cfRule>
  </conditionalFormatting>
  <conditionalFormatting sqref="F551">
    <cfRule type="expression" dxfId="9562" priority="6424">
      <formula>F551&lt;&gt;""</formula>
    </cfRule>
  </conditionalFormatting>
  <conditionalFormatting sqref="F555">
    <cfRule type="expression" dxfId="9561" priority="6423">
      <formula>F551&lt;&gt;""</formula>
    </cfRule>
  </conditionalFormatting>
  <conditionalFormatting sqref="H551:H555">
    <cfRule type="expression" dxfId="9560" priority="6422">
      <formula>H551&lt;&gt;""</formula>
    </cfRule>
  </conditionalFormatting>
  <conditionalFormatting sqref="H551">
    <cfRule type="expression" dxfId="9559" priority="6421">
      <formula>H551&lt;&gt;""</formula>
    </cfRule>
  </conditionalFormatting>
  <conditionalFormatting sqref="H555">
    <cfRule type="expression" dxfId="9558" priority="6420">
      <formula>H551&lt;&gt;""</formula>
    </cfRule>
  </conditionalFormatting>
  <conditionalFormatting sqref="F543:F547">
    <cfRule type="expression" dxfId="9557" priority="6419">
      <formula>F543&lt;&gt;""</formula>
    </cfRule>
  </conditionalFormatting>
  <conditionalFormatting sqref="F543">
    <cfRule type="expression" dxfId="9556" priority="6418">
      <formula>F543&lt;&gt;""</formula>
    </cfRule>
  </conditionalFormatting>
  <conditionalFormatting sqref="F547">
    <cfRule type="expression" dxfId="9555" priority="6417">
      <formula>F543&lt;&gt;""</formula>
    </cfRule>
  </conditionalFormatting>
  <conditionalFormatting sqref="E543:E547">
    <cfRule type="expression" dxfId="9554" priority="6416">
      <formula>F543&lt;&gt;""</formula>
    </cfRule>
  </conditionalFormatting>
  <conditionalFormatting sqref="G543:G547">
    <cfRule type="expression" dxfId="9553" priority="6415">
      <formula>H543&lt;&gt;""</formula>
    </cfRule>
  </conditionalFormatting>
  <conditionalFormatting sqref="I543:I547">
    <cfRule type="expression" dxfId="9552" priority="6414">
      <formula>B551&lt;&gt;""</formula>
    </cfRule>
  </conditionalFormatting>
  <conditionalFormatting sqref="H543:H547">
    <cfRule type="expression" dxfId="9551" priority="6413">
      <formula>H543&lt;&gt;""</formula>
    </cfRule>
  </conditionalFormatting>
  <conditionalFormatting sqref="H543">
    <cfRule type="expression" dxfId="9550" priority="6412">
      <formula>H543&lt;&gt;""</formula>
    </cfRule>
  </conditionalFormatting>
  <conditionalFormatting sqref="H547">
    <cfRule type="expression" dxfId="9549" priority="6411">
      <formula>H543&lt;&gt;""</formula>
    </cfRule>
  </conditionalFormatting>
  <conditionalFormatting sqref="B559:B563">
    <cfRule type="expression" dxfId="9548" priority="6410">
      <formula>B559&lt;&gt;""</formula>
    </cfRule>
  </conditionalFormatting>
  <conditionalFormatting sqref="B559">
    <cfRule type="expression" dxfId="9547" priority="6409">
      <formula>B559&lt;&gt;""</formula>
    </cfRule>
  </conditionalFormatting>
  <conditionalFormatting sqref="B563">
    <cfRule type="expression" dxfId="9546" priority="6408">
      <formula>B559&lt;&gt;""</formula>
    </cfRule>
  </conditionalFormatting>
  <conditionalFormatting sqref="F559:F563">
    <cfRule type="expression" dxfId="9545" priority="6404">
      <formula>F559&lt;&gt;""</formula>
    </cfRule>
  </conditionalFormatting>
  <conditionalFormatting sqref="F559">
    <cfRule type="expression" dxfId="9544" priority="6403">
      <formula>F559&lt;&gt;""</formula>
    </cfRule>
  </conditionalFormatting>
  <conditionalFormatting sqref="F563">
    <cfRule type="expression" dxfId="9543" priority="6402">
      <formula>F559&lt;&gt;""</formula>
    </cfRule>
  </conditionalFormatting>
  <conditionalFormatting sqref="C559:C563">
    <cfRule type="expression" dxfId="9542" priority="6401">
      <formula>D559&lt;&gt;""</formula>
    </cfRule>
  </conditionalFormatting>
  <conditionalFormatting sqref="E559:E563">
    <cfRule type="expression" dxfId="9541" priority="6400">
      <formula>F559&lt;&gt;""</formula>
    </cfRule>
  </conditionalFormatting>
  <conditionalFormatting sqref="G559:G563">
    <cfRule type="expression" dxfId="9540" priority="6399">
      <formula>H559&lt;&gt;""</formula>
    </cfRule>
  </conditionalFormatting>
  <conditionalFormatting sqref="H559:H563">
    <cfRule type="expression" dxfId="9539" priority="6398">
      <formula>H559&lt;&gt;""</formula>
    </cfRule>
  </conditionalFormatting>
  <conditionalFormatting sqref="H559">
    <cfRule type="expression" dxfId="9538" priority="6397">
      <formula>H559&lt;&gt;""</formula>
    </cfRule>
  </conditionalFormatting>
  <conditionalFormatting sqref="H563">
    <cfRule type="expression" dxfId="9537" priority="6396">
      <formula>H559&lt;&gt;""</formula>
    </cfRule>
  </conditionalFormatting>
  <conditionalFormatting sqref="B543:B547">
    <cfRule type="expression" dxfId="9536" priority="6379">
      <formula>B543&lt;&gt;""</formula>
    </cfRule>
  </conditionalFormatting>
  <conditionalFormatting sqref="B549:B550 C549:I549 I548">
    <cfRule type="expression" dxfId="9535" priority="6395">
      <formula>$B$551&lt;&gt;""</formula>
    </cfRule>
  </conditionalFormatting>
  <conditionalFormatting sqref="B557:B558 C557:I557 I556">
    <cfRule type="expression" dxfId="9534" priority="6394">
      <formula>$B$559&lt;&gt;""</formula>
    </cfRule>
  </conditionalFormatting>
  <conditionalFormatting sqref="B487:B491">
    <cfRule type="expression" dxfId="9533" priority="6393">
      <formula>B487&lt;&gt;""</formula>
    </cfRule>
  </conditionalFormatting>
  <conditionalFormatting sqref="B487">
    <cfRule type="expression" dxfId="9532" priority="6392">
      <formula>B487&lt;&gt;""</formula>
    </cfRule>
  </conditionalFormatting>
  <conditionalFormatting sqref="B491">
    <cfRule type="expression" dxfId="9531" priority="6391">
      <formula>B487&lt;&gt;""</formula>
    </cfRule>
  </conditionalFormatting>
  <conditionalFormatting sqref="C487:C491">
    <cfRule type="expression" dxfId="9530" priority="6390">
      <formula>D487&lt;&gt;""</formula>
    </cfRule>
  </conditionalFormatting>
  <conditionalFormatting sqref="D487:D491">
    <cfRule type="expression" dxfId="9529" priority="6389">
      <formula>D487&lt;&gt;""</formula>
    </cfRule>
  </conditionalFormatting>
  <conditionalFormatting sqref="D487">
    <cfRule type="expression" dxfId="9528" priority="6388">
      <formula>D487&lt;&gt;""</formula>
    </cfRule>
  </conditionalFormatting>
  <conditionalFormatting sqref="D491">
    <cfRule type="expression" dxfId="9527" priority="6387">
      <formula>D487&lt;&gt;""</formula>
    </cfRule>
  </conditionalFormatting>
  <conditionalFormatting sqref="B515">
    <cfRule type="expression" dxfId="9526" priority="6385">
      <formula>B515&lt;&gt;""</formula>
    </cfRule>
  </conditionalFormatting>
  <conditionalFormatting sqref="B519">
    <cfRule type="expression" dxfId="9525" priority="6384">
      <formula>B515&lt;&gt;""</formula>
    </cfRule>
  </conditionalFormatting>
  <conditionalFormatting sqref="C515:C519">
    <cfRule type="expression" dxfId="9524" priority="6383">
      <formula>D515&lt;&gt;""</formula>
    </cfRule>
  </conditionalFormatting>
  <conditionalFormatting sqref="D515:D519">
    <cfRule type="expression" dxfId="9523" priority="6382">
      <formula>D515&lt;&gt;""</formula>
    </cfRule>
  </conditionalFormatting>
  <conditionalFormatting sqref="D515">
    <cfRule type="expression" dxfId="9522" priority="6381">
      <formula>D515&lt;&gt;""</formula>
    </cfRule>
  </conditionalFormatting>
  <conditionalFormatting sqref="D519">
    <cfRule type="expression" dxfId="9521" priority="6380">
      <formula>D515&lt;&gt;""</formula>
    </cfRule>
  </conditionalFormatting>
  <conditionalFormatting sqref="B543">
    <cfRule type="expression" dxfId="9520" priority="6378">
      <formula>B543&lt;&gt;""</formula>
    </cfRule>
  </conditionalFormatting>
  <conditionalFormatting sqref="B547">
    <cfRule type="expression" dxfId="9519" priority="6377">
      <formula>B543&lt;&gt;""</formula>
    </cfRule>
  </conditionalFormatting>
  <conditionalFormatting sqref="C543:C547">
    <cfRule type="expression" dxfId="9518" priority="6376">
      <formula>D543&lt;&gt;""</formula>
    </cfRule>
  </conditionalFormatting>
  <conditionalFormatting sqref="D543:D547">
    <cfRule type="expression" dxfId="9517" priority="6375">
      <formula>D543&lt;&gt;""</formula>
    </cfRule>
  </conditionalFormatting>
  <conditionalFormatting sqref="D543">
    <cfRule type="expression" dxfId="9516" priority="6374">
      <formula>D543&lt;&gt;""</formula>
    </cfRule>
  </conditionalFormatting>
  <conditionalFormatting sqref="D547">
    <cfRule type="expression" dxfId="9515" priority="6373">
      <formula>D543&lt;&gt;""</formula>
    </cfRule>
  </conditionalFormatting>
  <conditionalFormatting sqref="B501:B502 C501:I501 I500">
    <cfRule type="expression" dxfId="9514" priority="6372">
      <formula>$B$503&lt;&gt;""</formula>
    </cfRule>
  </conditionalFormatting>
  <conditionalFormatting sqref="B493:B494 C493:I493 I492">
    <cfRule type="expression" dxfId="9513" priority="6371">
      <formula>$B$495&lt;&gt;""</formula>
    </cfRule>
  </conditionalFormatting>
  <conditionalFormatting sqref="D757:D761">
    <cfRule type="expression" dxfId="9512" priority="6341">
      <formula>D757&lt;&gt;""</formula>
    </cfRule>
  </conditionalFormatting>
  <conditionalFormatting sqref="D757">
    <cfRule type="expression" dxfId="9511" priority="6340">
      <formula>D757&lt;&gt;""</formula>
    </cfRule>
  </conditionalFormatting>
  <conditionalFormatting sqref="D761">
    <cfRule type="expression" dxfId="9510" priority="6339">
      <formula>D757&lt;&gt;""</formula>
    </cfRule>
  </conditionalFormatting>
  <conditionalFormatting sqref="I746:I747 C747:H747 B747:B748">
    <cfRule type="expression" dxfId="9509" priority="6329">
      <formula>$B$749&lt;&gt;""</formula>
    </cfRule>
  </conditionalFormatting>
  <conditionalFormatting sqref="D749:D753">
    <cfRule type="expression" dxfId="9508" priority="6363">
      <formula>D749&lt;&gt;""</formula>
    </cfRule>
  </conditionalFormatting>
  <conditionalFormatting sqref="D749">
    <cfRule type="expression" dxfId="9507" priority="6362">
      <formula>D749&lt;&gt;""</formula>
    </cfRule>
  </conditionalFormatting>
  <conditionalFormatting sqref="D753">
    <cfRule type="expression" dxfId="9506" priority="6361">
      <formula>D749&lt;&gt;""</formula>
    </cfRule>
  </conditionalFormatting>
  <conditionalFormatting sqref="C749:C753">
    <cfRule type="expression" dxfId="9505" priority="6370">
      <formula>D749&lt;&gt;""</formula>
    </cfRule>
  </conditionalFormatting>
  <conditionalFormatting sqref="E749:E753">
    <cfRule type="expression" dxfId="9504" priority="6369">
      <formula>F749&lt;&gt;""</formula>
    </cfRule>
  </conditionalFormatting>
  <conditionalFormatting sqref="G749:G753">
    <cfRule type="expression" dxfId="9503" priority="6368">
      <formula>H749&lt;&gt;""</formula>
    </cfRule>
  </conditionalFormatting>
  <conditionalFormatting sqref="I749:I753">
    <cfRule type="expression" dxfId="9502" priority="6367">
      <formula>B757&lt;&gt;""</formula>
    </cfRule>
  </conditionalFormatting>
  <conditionalFormatting sqref="B749:B753">
    <cfRule type="expression" dxfId="9501" priority="6366">
      <formula>B749&lt;&gt;""</formula>
    </cfRule>
  </conditionalFormatting>
  <conditionalFormatting sqref="B749">
    <cfRule type="expression" dxfId="9500" priority="6365">
      <formula>B749&lt;&gt;""</formula>
    </cfRule>
  </conditionalFormatting>
  <conditionalFormatting sqref="B753">
    <cfRule type="expression" dxfId="9499" priority="6364">
      <formula>B749&lt;&gt;""</formula>
    </cfRule>
  </conditionalFormatting>
  <conditionalFormatting sqref="F749:F753">
    <cfRule type="expression" dxfId="9498" priority="6360">
      <formula>F749&lt;&gt;""</formula>
    </cfRule>
  </conditionalFormatting>
  <conditionalFormatting sqref="F749">
    <cfRule type="expression" dxfId="9497" priority="6359">
      <formula>F749&lt;&gt;""</formula>
    </cfRule>
  </conditionalFormatting>
  <conditionalFormatting sqref="F753">
    <cfRule type="expression" dxfId="9496" priority="6358">
      <formula>F749&lt;&gt;""</formula>
    </cfRule>
  </conditionalFormatting>
  <conditionalFormatting sqref="H749:H753">
    <cfRule type="expression" dxfId="9495" priority="6357">
      <formula>H749&lt;&gt;""</formula>
    </cfRule>
  </conditionalFormatting>
  <conditionalFormatting sqref="H749">
    <cfRule type="expression" dxfId="9494" priority="6356">
      <formula>H749&lt;&gt;""</formula>
    </cfRule>
  </conditionalFormatting>
  <conditionalFormatting sqref="H753">
    <cfRule type="expression" dxfId="9493" priority="6355">
      <formula>H749&lt;&gt;""</formula>
    </cfRule>
  </conditionalFormatting>
  <conditionalFormatting sqref="F741:F745">
    <cfRule type="expression" dxfId="9492" priority="6354">
      <formula>F741&lt;&gt;""</formula>
    </cfRule>
  </conditionalFormatting>
  <conditionalFormatting sqref="F741">
    <cfRule type="expression" dxfId="9491" priority="6353">
      <formula>F741&lt;&gt;""</formula>
    </cfRule>
  </conditionalFormatting>
  <conditionalFormatting sqref="F745">
    <cfRule type="expression" dxfId="9490" priority="6352">
      <formula>F741&lt;&gt;""</formula>
    </cfRule>
  </conditionalFormatting>
  <conditionalFormatting sqref="E741:E745">
    <cfRule type="expression" dxfId="9489" priority="6351">
      <formula>F741&lt;&gt;""</formula>
    </cfRule>
  </conditionalFormatting>
  <conditionalFormatting sqref="G741:G745">
    <cfRule type="expression" dxfId="9488" priority="6350">
      <formula>H741&lt;&gt;""</formula>
    </cfRule>
  </conditionalFormatting>
  <conditionalFormatting sqref="I741:I745">
    <cfRule type="expression" dxfId="9487" priority="6349">
      <formula>B749&lt;&gt;""</formula>
    </cfRule>
  </conditionalFormatting>
  <conditionalFormatting sqref="H741:H745">
    <cfRule type="expression" dxfId="9486" priority="6348">
      <formula>H741&lt;&gt;""</formula>
    </cfRule>
  </conditionalFormatting>
  <conditionalFormatting sqref="H741">
    <cfRule type="expression" dxfId="9485" priority="6347">
      <formula>H741&lt;&gt;""</formula>
    </cfRule>
  </conditionalFormatting>
  <conditionalFormatting sqref="H745">
    <cfRule type="expression" dxfId="9484" priority="6346">
      <formula>H741&lt;&gt;""</formula>
    </cfRule>
  </conditionalFormatting>
  <conditionalFormatting sqref="I754:I755 C755:H755 B755:B756">
    <cfRule type="expression" dxfId="9483" priority="6345">
      <formula>$B$757&lt;&gt;""</formula>
    </cfRule>
  </conditionalFormatting>
  <conditionalFormatting sqref="B757:B761">
    <cfRule type="expression" dxfId="9482" priority="6344">
      <formula>B757&lt;&gt;""</formula>
    </cfRule>
  </conditionalFormatting>
  <conditionalFormatting sqref="B757">
    <cfRule type="expression" dxfId="9481" priority="6343">
      <formula>B757&lt;&gt;""</formula>
    </cfRule>
  </conditionalFormatting>
  <conditionalFormatting sqref="B761">
    <cfRule type="expression" dxfId="9480" priority="6342">
      <formula>B757&lt;&gt;""</formula>
    </cfRule>
  </conditionalFormatting>
  <conditionalFormatting sqref="F757:F761">
    <cfRule type="expression" dxfId="9479" priority="6338">
      <formula>F757&lt;&gt;""</formula>
    </cfRule>
  </conditionalFormatting>
  <conditionalFormatting sqref="F757">
    <cfRule type="expression" dxfId="9478" priority="6337">
      <formula>F757&lt;&gt;""</formula>
    </cfRule>
  </conditionalFormatting>
  <conditionalFormatting sqref="F761">
    <cfRule type="expression" dxfId="9477" priority="6336">
      <formula>F757&lt;&gt;""</formula>
    </cfRule>
  </conditionalFormatting>
  <conditionalFormatting sqref="C757:C761">
    <cfRule type="expression" dxfId="9476" priority="6335">
      <formula>D757&lt;&gt;""</formula>
    </cfRule>
  </conditionalFormatting>
  <conditionalFormatting sqref="E757:E761">
    <cfRule type="expression" dxfId="9475" priority="6334">
      <formula>F757&lt;&gt;""</formula>
    </cfRule>
  </conditionalFormatting>
  <conditionalFormatting sqref="G757:G761">
    <cfRule type="expression" dxfId="9474" priority="6333">
      <formula>H757&lt;&gt;""</formula>
    </cfRule>
  </conditionalFormatting>
  <conditionalFormatting sqref="H757:H761">
    <cfRule type="expression" dxfId="9473" priority="6332">
      <formula>H757&lt;&gt;""</formula>
    </cfRule>
  </conditionalFormatting>
  <conditionalFormatting sqref="H757">
    <cfRule type="expression" dxfId="9472" priority="6331">
      <formula>H757&lt;&gt;""</formula>
    </cfRule>
  </conditionalFormatting>
  <conditionalFormatting sqref="H761">
    <cfRule type="expression" dxfId="9471" priority="6330">
      <formula>H757&lt;&gt;""</formula>
    </cfRule>
  </conditionalFormatting>
  <conditionalFormatting sqref="D729:D733">
    <cfRule type="expression" dxfId="9470" priority="6299">
      <formula>D729&lt;&gt;""</formula>
    </cfRule>
  </conditionalFormatting>
  <conditionalFormatting sqref="D729">
    <cfRule type="expression" dxfId="9469" priority="6298">
      <formula>D729&lt;&gt;""</formula>
    </cfRule>
  </conditionalFormatting>
  <conditionalFormatting sqref="D733">
    <cfRule type="expression" dxfId="9468" priority="6297">
      <formula>D729&lt;&gt;""</formula>
    </cfRule>
  </conditionalFormatting>
  <conditionalFormatting sqref="I718:I719 C719:H719 B719:B720">
    <cfRule type="expression" dxfId="9467" priority="6287">
      <formula>$B$721&lt;&gt;""</formula>
    </cfRule>
  </conditionalFormatting>
  <conditionalFormatting sqref="D721:D725">
    <cfRule type="expression" dxfId="9466" priority="6321">
      <formula>D721&lt;&gt;""</formula>
    </cfRule>
  </conditionalFormatting>
  <conditionalFormatting sqref="D721">
    <cfRule type="expression" dxfId="9465" priority="6320">
      <formula>D721&lt;&gt;""</formula>
    </cfRule>
  </conditionalFormatting>
  <conditionalFormatting sqref="D725">
    <cfRule type="expression" dxfId="9464" priority="6319">
      <formula>D721&lt;&gt;""</formula>
    </cfRule>
  </conditionalFormatting>
  <conditionalFormatting sqref="C721:C725">
    <cfRule type="expression" dxfId="9463" priority="6328">
      <formula>D721&lt;&gt;""</formula>
    </cfRule>
  </conditionalFormatting>
  <conditionalFormatting sqref="E721:E725">
    <cfRule type="expression" dxfId="9462" priority="6327">
      <formula>F721&lt;&gt;""</formula>
    </cfRule>
  </conditionalFormatting>
  <conditionalFormatting sqref="G721:G725">
    <cfRule type="expression" dxfId="9461" priority="6326">
      <formula>H721&lt;&gt;""</formula>
    </cfRule>
  </conditionalFormatting>
  <conditionalFormatting sqref="I721:I725">
    <cfRule type="expression" dxfId="9460" priority="6325">
      <formula>B729&lt;&gt;""</formula>
    </cfRule>
  </conditionalFormatting>
  <conditionalFormatting sqref="B721:B725">
    <cfRule type="expression" dxfId="9459" priority="6324">
      <formula>B721&lt;&gt;""</formula>
    </cfRule>
  </conditionalFormatting>
  <conditionalFormatting sqref="B721">
    <cfRule type="expression" dxfId="9458" priority="6323">
      <formula>B721&lt;&gt;""</formula>
    </cfRule>
  </conditionalFormatting>
  <conditionalFormatting sqref="B725">
    <cfRule type="expression" dxfId="9457" priority="6322">
      <formula>B721&lt;&gt;""</formula>
    </cfRule>
  </conditionalFormatting>
  <conditionalFormatting sqref="F721:F725">
    <cfRule type="expression" dxfId="9456" priority="6318">
      <formula>F721&lt;&gt;""</formula>
    </cfRule>
  </conditionalFormatting>
  <conditionalFormatting sqref="F721">
    <cfRule type="expression" dxfId="9455" priority="6317">
      <formula>F721&lt;&gt;""</formula>
    </cfRule>
  </conditionalFormatting>
  <conditionalFormatting sqref="F725">
    <cfRule type="expression" dxfId="9454" priority="6316">
      <formula>F721&lt;&gt;""</formula>
    </cfRule>
  </conditionalFormatting>
  <conditionalFormatting sqref="H721:H725">
    <cfRule type="expression" dxfId="9453" priority="6315">
      <formula>H721&lt;&gt;""</formula>
    </cfRule>
  </conditionalFormatting>
  <conditionalFormatting sqref="H721">
    <cfRule type="expression" dxfId="9452" priority="6314">
      <formula>H721&lt;&gt;""</formula>
    </cfRule>
  </conditionalFormatting>
  <conditionalFormatting sqref="H725">
    <cfRule type="expression" dxfId="9451" priority="6313">
      <formula>H721&lt;&gt;""</formula>
    </cfRule>
  </conditionalFormatting>
  <conditionalFormatting sqref="F713:F717">
    <cfRule type="expression" dxfId="9450" priority="6312">
      <formula>F713&lt;&gt;""</formula>
    </cfRule>
  </conditionalFormatting>
  <conditionalFormatting sqref="F713">
    <cfRule type="expression" dxfId="9449" priority="6311">
      <formula>F713&lt;&gt;""</formula>
    </cfRule>
  </conditionalFormatting>
  <conditionalFormatting sqref="F717">
    <cfRule type="expression" dxfId="9448" priority="6310">
      <formula>F713&lt;&gt;""</formula>
    </cfRule>
  </conditionalFormatting>
  <conditionalFormatting sqref="E713:E717">
    <cfRule type="expression" dxfId="9447" priority="6309">
      <formula>F713&lt;&gt;""</formula>
    </cfRule>
  </conditionalFormatting>
  <conditionalFormatting sqref="G713:G717">
    <cfRule type="expression" dxfId="9446" priority="6308">
      <formula>H713&lt;&gt;""</formula>
    </cfRule>
  </conditionalFormatting>
  <conditionalFormatting sqref="I713:I717">
    <cfRule type="expression" dxfId="9445" priority="6307">
      <formula>B721&lt;&gt;""</formula>
    </cfRule>
  </conditionalFormatting>
  <conditionalFormatting sqref="H713:H717">
    <cfRule type="expression" dxfId="9444" priority="6306">
      <formula>H713&lt;&gt;""</formula>
    </cfRule>
  </conditionalFormatting>
  <conditionalFormatting sqref="H713">
    <cfRule type="expression" dxfId="9443" priority="6305">
      <formula>H713&lt;&gt;""</formula>
    </cfRule>
  </conditionalFormatting>
  <conditionalFormatting sqref="H717">
    <cfRule type="expression" dxfId="9442" priority="6304">
      <formula>H713&lt;&gt;""</formula>
    </cfRule>
  </conditionalFormatting>
  <conditionalFormatting sqref="I726:I727 C727:H727 B727:B728">
    <cfRule type="expression" dxfId="9441" priority="6303">
      <formula>$B$729&lt;&gt;""</formula>
    </cfRule>
  </conditionalFormatting>
  <conditionalFormatting sqref="B729:B733">
    <cfRule type="expression" dxfId="9440" priority="6302">
      <formula>B729&lt;&gt;""</formula>
    </cfRule>
  </conditionalFormatting>
  <conditionalFormatting sqref="B729">
    <cfRule type="expression" dxfId="9439" priority="6301">
      <formula>B729&lt;&gt;""</formula>
    </cfRule>
  </conditionalFormatting>
  <conditionalFormatting sqref="B733">
    <cfRule type="expression" dxfId="9438" priority="6300">
      <formula>B729&lt;&gt;""</formula>
    </cfRule>
  </conditionalFormatting>
  <conditionalFormatting sqref="F729:F733">
    <cfRule type="expression" dxfId="9437" priority="6296">
      <formula>F729&lt;&gt;""</formula>
    </cfRule>
  </conditionalFormatting>
  <conditionalFormatting sqref="F729">
    <cfRule type="expression" dxfId="9436" priority="6295">
      <formula>F729&lt;&gt;""</formula>
    </cfRule>
  </conditionalFormatting>
  <conditionalFormatting sqref="F733">
    <cfRule type="expression" dxfId="9435" priority="6294">
      <formula>F729&lt;&gt;""</formula>
    </cfRule>
  </conditionalFormatting>
  <conditionalFormatting sqref="C729:C733">
    <cfRule type="expression" dxfId="9434" priority="6293">
      <formula>D729&lt;&gt;""</formula>
    </cfRule>
  </conditionalFormatting>
  <conditionalFormatting sqref="E729:E733">
    <cfRule type="expression" dxfId="9433" priority="6292">
      <formula>F729&lt;&gt;""</formula>
    </cfRule>
  </conditionalFormatting>
  <conditionalFormatting sqref="G729:G733">
    <cfRule type="expression" dxfId="9432" priority="6291">
      <formula>H729&lt;&gt;""</formula>
    </cfRule>
  </conditionalFormatting>
  <conditionalFormatting sqref="H729:H733">
    <cfRule type="expression" dxfId="9431" priority="6290">
      <formula>H729&lt;&gt;""</formula>
    </cfRule>
  </conditionalFormatting>
  <conditionalFormatting sqref="H729">
    <cfRule type="expression" dxfId="9430" priority="6289">
      <formula>H729&lt;&gt;""</formula>
    </cfRule>
  </conditionalFormatting>
  <conditionalFormatting sqref="H733">
    <cfRule type="expression" dxfId="9429" priority="6288">
      <formula>H729&lt;&gt;""</formula>
    </cfRule>
  </conditionalFormatting>
  <conditionalFormatting sqref="D701:D705">
    <cfRule type="expression" dxfId="9428" priority="6257">
      <formula>D701&lt;&gt;""</formula>
    </cfRule>
  </conditionalFormatting>
  <conditionalFormatting sqref="D701">
    <cfRule type="expression" dxfId="9427" priority="6256">
      <formula>D701&lt;&gt;""</formula>
    </cfRule>
  </conditionalFormatting>
  <conditionalFormatting sqref="D705">
    <cfRule type="expression" dxfId="9426" priority="6255">
      <formula>D701&lt;&gt;""</formula>
    </cfRule>
  </conditionalFormatting>
  <conditionalFormatting sqref="I690:I691 C691:H691 B691:B692">
    <cfRule type="expression" dxfId="9425" priority="6245">
      <formula>$B$693&lt;&gt;""</formula>
    </cfRule>
  </conditionalFormatting>
  <conditionalFormatting sqref="D693:D697">
    <cfRule type="expression" dxfId="9424" priority="6279">
      <formula>D693&lt;&gt;""</formula>
    </cfRule>
  </conditionalFormatting>
  <conditionalFormatting sqref="D693">
    <cfRule type="expression" dxfId="9423" priority="6278">
      <formula>D693&lt;&gt;""</formula>
    </cfRule>
  </conditionalFormatting>
  <conditionalFormatting sqref="D697">
    <cfRule type="expression" dxfId="9422" priority="6277">
      <formula>D693&lt;&gt;""</formula>
    </cfRule>
  </conditionalFormatting>
  <conditionalFormatting sqref="C693:C697">
    <cfRule type="expression" dxfId="9421" priority="6286">
      <formula>D693&lt;&gt;""</formula>
    </cfRule>
  </conditionalFormatting>
  <conditionalFormatting sqref="E693:E697">
    <cfRule type="expression" dxfId="9420" priority="6285">
      <formula>F693&lt;&gt;""</formula>
    </cfRule>
  </conditionalFormatting>
  <conditionalFormatting sqref="G693:G697">
    <cfRule type="expression" dxfId="9419" priority="6284">
      <formula>H693&lt;&gt;""</formula>
    </cfRule>
  </conditionalFormatting>
  <conditionalFormatting sqref="I693:I697">
    <cfRule type="expression" dxfId="9418" priority="6283">
      <formula>B701&lt;&gt;""</formula>
    </cfRule>
  </conditionalFormatting>
  <conditionalFormatting sqref="B693:B697">
    <cfRule type="expression" dxfId="9417" priority="6282">
      <formula>B693&lt;&gt;""</formula>
    </cfRule>
  </conditionalFormatting>
  <conditionalFormatting sqref="B693">
    <cfRule type="expression" dxfId="9416" priority="6281">
      <formula>B693&lt;&gt;""</formula>
    </cfRule>
  </conditionalFormatting>
  <conditionalFormatting sqref="B697">
    <cfRule type="expression" dxfId="9415" priority="6280">
      <formula>B693&lt;&gt;""</formula>
    </cfRule>
  </conditionalFormatting>
  <conditionalFormatting sqref="F693:F697">
    <cfRule type="expression" dxfId="9414" priority="6276">
      <formula>F693&lt;&gt;""</formula>
    </cfRule>
  </conditionalFormatting>
  <conditionalFormatting sqref="F693">
    <cfRule type="expression" dxfId="9413" priority="6275">
      <formula>F693&lt;&gt;""</formula>
    </cfRule>
  </conditionalFormatting>
  <conditionalFormatting sqref="F697">
    <cfRule type="expression" dxfId="9412" priority="6274">
      <formula>F693&lt;&gt;""</formula>
    </cfRule>
  </conditionalFormatting>
  <conditionalFormatting sqref="H693:H697">
    <cfRule type="expression" dxfId="9411" priority="6273">
      <formula>H693&lt;&gt;""</formula>
    </cfRule>
  </conditionalFormatting>
  <conditionalFormatting sqref="H693">
    <cfRule type="expression" dxfId="9410" priority="6272">
      <formula>H693&lt;&gt;""</formula>
    </cfRule>
  </conditionalFormatting>
  <conditionalFormatting sqref="H697">
    <cfRule type="expression" dxfId="9409" priority="6271">
      <formula>H693&lt;&gt;""</formula>
    </cfRule>
  </conditionalFormatting>
  <conditionalFormatting sqref="F685:F689">
    <cfRule type="expression" dxfId="9408" priority="6270">
      <formula>F685&lt;&gt;""</formula>
    </cfRule>
  </conditionalFormatting>
  <conditionalFormatting sqref="F685">
    <cfRule type="expression" dxfId="9407" priority="6269">
      <formula>F685&lt;&gt;""</formula>
    </cfRule>
  </conditionalFormatting>
  <conditionalFormatting sqref="F689">
    <cfRule type="expression" dxfId="9406" priority="6268">
      <formula>F685&lt;&gt;""</formula>
    </cfRule>
  </conditionalFormatting>
  <conditionalFormatting sqref="E685:E689">
    <cfRule type="expression" dxfId="9405" priority="6267">
      <formula>F685&lt;&gt;""</formula>
    </cfRule>
  </conditionalFormatting>
  <conditionalFormatting sqref="G685:G689">
    <cfRule type="expression" dxfId="9404" priority="6266">
      <formula>H685&lt;&gt;""</formula>
    </cfRule>
  </conditionalFormatting>
  <conditionalFormatting sqref="I685:I689">
    <cfRule type="expression" dxfId="9403" priority="6265">
      <formula>B693&lt;&gt;""</formula>
    </cfRule>
  </conditionalFormatting>
  <conditionalFormatting sqref="H685:H689">
    <cfRule type="expression" dxfId="9402" priority="6264">
      <formula>H685&lt;&gt;""</formula>
    </cfRule>
  </conditionalFormatting>
  <conditionalFormatting sqref="H685">
    <cfRule type="expression" dxfId="9401" priority="6263">
      <formula>H685&lt;&gt;""</formula>
    </cfRule>
  </conditionalFormatting>
  <conditionalFormatting sqref="H689">
    <cfRule type="expression" dxfId="9400" priority="6262">
      <formula>H685&lt;&gt;""</formula>
    </cfRule>
  </conditionalFormatting>
  <conditionalFormatting sqref="I698:I699 C699:H699 B699:B700">
    <cfRule type="expression" dxfId="9399" priority="6261">
      <formula>$B$701&lt;&gt;""</formula>
    </cfRule>
  </conditionalFormatting>
  <conditionalFormatting sqref="B701:B705">
    <cfRule type="expression" dxfId="9398" priority="6260">
      <formula>B701&lt;&gt;""</formula>
    </cfRule>
  </conditionalFormatting>
  <conditionalFormatting sqref="B701">
    <cfRule type="expression" dxfId="9397" priority="6259">
      <formula>B701&lt;&gt;""</formula>
    </cfRule>
  </conditionalFormatting>
  <conditionalFormatting sqref="B705">
    <cfRule type="expression" dxfId="9396" priority="6258">
      <formula>B701&lt;&gt;""</formula>
    </cfRule>
  </conditionalFormatting>
  <conditionalFormatting sqref="F701:F705">
    <cfRule type="expression" dxfId="9395" priority="6254">
      <formula>F701&lt;&gt;""</formula>
    </cfRule>
  </conditionalFormatting>
  <conditionalFormatting sqref="F701">
    <cfRule type="expression" dxfId="9394" priority="6253">
      <formula>F701&lt;&gt;""</formula>
    </cfRule>
  </conditionalFormatting>
  <conditionalFormatting sqref="F705">
    <cfRule type="expression" dxfId="9393" priority="6252">
      <formula>F701&lt;&gt;""</formula>
    </cfRule>
  </conditionalFormatting>
  <conditionalFormatting sqref="C701:C705">
    <cfRule type="expression" dxfId="9392" priority="6251">
      <formula>D701&lt;&gt;""</formula>
    </cfRule>
  </conditionalFormatting>
  <conditionalFormatting sqref="E701:E705">
    <cfRule type="expression" dxfId="9391" priority="6250">
      <formula>F701&lt;&gt;""</formula>
    </cfRule>
  </conditionalFormatting>
  <conditionalFormatting sqref="G701:G705">
    <cfRule type="expression" dxfId="9390" priority="6249">
      <formula>H701&lt;&gt;""</formula>
    </cfRule>
  </conditionalFormatting>
  <conditionalFormatting sqref="H701:H705">
    <cfRule type="expression" dxfId="9389" priority="6248">
      <formula>H701&lt;&gt;""</formula>
    </cfRule>
  </conditionalFormatting>
  <conditionalFormatting sqref="H701">
    <cfRule type="expression" dxfId="9388" priority="6247">
      <formula>H701&lt;&gt;""</formula>
    </cfRule>
  </conditionalFormatting>
  <conditionalFormatting sqref="H705">
    <cfRule type="expression" dxfId="9387" priority="6246">
      <formula>H701&lt;&gt;""</formula>
    </cfRule>
  </conditionalFormatting>
  <conditionalFormatting sqref="D673:D677">
    <cfRule type="expression" dxfId="9386" priority="6215">
      <formula>D673&lt;&gt;""</formula>
    </cfRule>
  </conditionalFormatting>
  <conditionalFormatting sqref="D673">
    <cfRule type="expression" dxfId="9385" priority="6214">
      <formula>D673&lt;&gt;""</formula>
    </cfRule>
  </conditionalFormatting>
  <conditionalFormatting sqref="D677">
    <cfRule type="expression" dxfId="9384" priority="6213">
      <formula>D673&lt;&gt;""</formula>
    </cfRule>
  </conditionalFormatting>
  <conditionalFormatting sqref="I662:I663 C663:H663 B663:B664">
    <cfRule type="expression" dxfId="9383" priority="6203">
      <formula>$B$665&lt;&gt;""</formula>
    </cfRule>
  </conditionalFormatting>
  <conditionalFormatting sqref="D665:D669">
    <cfRule type="expression" dxfId="9382" priority="6237">
      <formula>D665&lt;&gt;""</formula>
    </cfRule>
  </conditionalFormatting>
  <conditionalFormatting sqref="D665">
    <cfRule type="expression" dxfId="9381" priority="6236">
      <formula>D665&lt;&gt;""</formula>
    </cfRule>
  </conditionalFormatting>
  <conditionalFormatting sqref="D669">
    <cfRule type="expression" dxfId="9380" priority="6235">
      <formula>D665&lt;&gt;""</formula>
    </cfRule>
  </conditionalFormatting>
  <conditionalFormatting sqref="C665:C669">
    <cfRule type="expression" dxfId="9379" priority="6244">
      <formula>D665&lt;&gt;""</formula>
    </cfRule>
  </conditionalFormatting>
  <conditionalFormatting sqref="E665:E669">
    <cfRule type="expression" dxfId="9378" priority="6243">
      <formula>F665&lt;&gt;""</formula>
    </cfRule>
  </conditionalFormatting>
  <conditionalFormatting sqref="G665:G669">
    <cfRule type="expression" dxfId="9377" priority="6242">
      <formula>H665&lt;&gt;""</formula>
    </cfRule>
  </conditionalFormatting>
  <conditionalFormatting sqref="I665:I669">
    <cfRule type="expression" dxfId="9376" priority="6241">
      <formula>B673&lt;&gt;""</formula>
    </cfRule>
  </conditionalFormatting>
  <conditionalFormatting sqref="B665:B669">
    <cfRule type="expression" dxfId="9375" priority="6240">
      <formula>B665&lt;&gt;""</formula>
    </cfRule>
  </conditionalFormatting>
  <conditionalFormatting sqref="B665">
    <cfRule type="expression" dxfId="9374" priority="6239">
      <formula>B665&lt;&gt;""</formula>
    </cfRule>
  </conditionalFormatting>
  <conditionalFormatting sqref="B669">
    <cfRule type="expression" dxfId="9373" priority="6238">
      <formula>B665&lt;&gt;""</formula>
    </cfRule>
  </conditionalFormatting>
  <conditionalFormatting sqref="F665:F669">
    <cfRule type="expression" dxfId="9372" priority="6234">
      <formula>F665&lt;&gt;""</formula>
    </cfRule>
  </conditionalFormatting>
  <conditionalFormatting sqref="F665">
    <cfRule type="expression" dxfId="9371" priority="6233">
      <formula>F665&lt;&gt;""</formula>
    </cfRule>
  </conditionalFormatting>
  <conditionalFormatting sqref="F669">
    <cfRule type="expression" dxfId="9370" priority="6232">
      <formula>F665&lt;&gt;""</formula>
    </cfRule>
  </conditionalFormatting>
  <conditionalFormatting sqref="H665:H669">
    <cfRule type="expression" dxfId="9369" priority="6231">
      <formula>H665&lt;&gt;""</formula>
    </cfRule>
  </conditionalFormatting>
  <conditionalFormatting sqref="H665">
    <cfRule type="expression" dxfId="9368" priority="6230">
      <formula>H665&lt;&gt;""</formula>
    </cfRule>
  </conditionalFormatting>
  <conditionalFormatting sqref="H669">
    <cfRule type="expression" dxfId="9367" priority="6229">
      <formula>H665&lt;&gt;""</formula>
    </cfRule>
  </conditionalFormatting>
  <conditionalFormatting sqref="F657:F661">
    <cfRule type="expression" dxfId="9366" priority="6228">
      <formula>F657&lt;&gt;""</formula>
    </cfRule>
  </conditionalFormatting>
  <conditionalFormatting sqref="F657">
    <cfRule type="expression" dxfId="9365" priority="6227">
      <formula>F657&lt;&gt;""</formula>
    </cfRule>
  </conditionalFormatting>
  <conditionalFormatting sqref="F661">
    <cfRule type="expression" dxfId="9364" priority="6226">
      <formula>F657&lt;&gt;""</formula>
    </cfRule>
  </conditionalFormatting>
  <conditionalFormatting sqref="E657:E661">
    <cfRule type="expression" dxfId="9363" priority="6225">
      <formula>F657&lt;&gt;""</formula>
    </cfRule>
  </conditionalFormatting>
  <conditionalFormatting sqref="G657:G661">
    <cfRule type="expression" dxfId="9362" priority="6224">
      <formula>H657&lt;&gt;""</formula>
    </cfRule>
  </conditionalFormatting>
  <conditionalFormatting sqref="I657:I661">
    <cfRule type="expression" dxfId="9361" priority="6223">
      <formula>B665&lt;&gt;""</formula>
    </cfRule>
  </conditionalFormatting>
  <conditionalFormatting sqref="H657:H661">
    <cfRule type="expression" dxfId="9360" priority="6222">
      <formula>H657&lt;&gt;""</formula>
    </cfRule>
  </conditionalFormatting>
  <conditionalFormatting sqref="H657">
    <cfRule type="expression" dxfId="9359" priority="6221">
      <formula>H657&lt;&gt;""</formula>
    </cfRule>
  </conditionalFormatting>
  <conditionalFormatting sqref="H661">
    <cfRule type="expression" dxfId="9358" priority="6220">
      <formula>H657&lt;&gt;""</formula>
    </cfRule>
  </conditionalFormatting>
  <conditionalFormatting sqref="I670:I671 C671:H671 B671:B672">
    <cfRule type="expression" dxfId="9357" priority="6219">
      <formula>$B$673&lt;&gt;""</formula>
    </cfRule>
  </conditionalFormatting>
  <conditionalFormatting sqref="B673:B677">
    <cfRule type="expression" dxfId="9356" priority="6218">
      <formula>B673&lt;&gt;""</formula>
    </cfRule>
  </conditionalFormatting>
  <conditionalFormatting sqref="B673">
    <cfRule type="expression" dxfId="9355" priority="6217">
      <formula>B673&lt;&gt;""</formula>
    </cfRule>
  </conditionalFormatting>
  <conditionalFormatting sqref="B677">
    <cfRule type="expression" dxfId="9354" priority="6216">
      <formula>B673&lt;&gt;""</formula>
    </cfRule>
  </conditionalFormatting>
  <conditionalFormatting sqref="F673:F677">
    <cfRule type="expression" dxfId="9353" priority="6212">
      <formula>F673&lt;&gt;""</formula>
    </cfRule>
  </conditionalFormatting>
  <conditionalFormatting sqref="F673">
    <cfRule type="expression" dxfId="9352" priority="6211">
      <formula>F673&lt;&gt;""</formula>
    </cfRule>
  </conditionalFormatting>
  <conditionalFormatting sqref="F677">
    <cfRule type="expression" dxfId="9351" priority="6210">
      <formula>F673&lt;&gt;""</formula>
    </cfRule>
  </conditionalFormatting>
  <conditionalFormatting sqref="C673:C677">
    <cfRule type="expression" dxfId="9350" priority="6209">
      <formula>D673&lt;&gt;""</formula>
    </cfRule>
  </conditionalFormatting>
  <conditionalFormatting sqref="E673:E677">
    <cfRule type="expression" dxfId="9349" priority="6208">
      <formula>F673&lt;&gt;""</formula>
    </cfRule>
  </conditionalFormatting>
  <conditionalFormatting sqref="G673:G677">
    <cfRule type="expression" dxfId="9348" priority="6207">
      <formula>H673&lt;&gt;""</formula>
    </cfRule>
  </conditionalFormatting>
  <conditionalFormatting sqref="H673:H677">
    <cfRule type="expression" dxfId="9347" priority="6206">
      <formula>H673&lt;&gt;""</formula>
    </cfRule>
  </conditionalFormatting>
  <conditionalFormatting sqref="H673">
    <cfRule type="expression" dxfId="9346" priority="6205">
      <formula>H673&lt;&gt;""</formula>
    </cfRule>
  </conditionalFormatting>
  <conditionalFormatting sqref="H677">
    <cfRule type="expression" dxfId="9345" priority="6204">
      <formula>H673&lt;&gt;""</formula>
    </cfRule>
  </conditionalFormatting>
  <conditionalFormatting sqref="D645:D649">
    <cfRule type="expression" dxfId="9344" priority="6173">
      <formula>D645&lt;&gt;""</formula>
    </cfRule>
  </conditionalFormatting>
  <conditionalFormatting sqref="D645">
    <cfRule type="expression" dxfId="9343" priority="6172">
      <formula>D645&lt;&gt;""</formula>
    </cfRule>
  </conditionalFormatting>
  <conditionalFormatting sqref="D649">
    <cfRule type="expression" dxfId="9342" priority="6171">
      <formula>D645&lt;&gt;""</formula>
    </cfRule>
  </conditionalFormatting>
  <conditionalFormatting sqref="I634:I635 C635:H635 B635:B636">
    <cfRule type="expression" dxfId="9341" priority="6161">
      <formula>$B$637&lt;&gt;""</formula>
    </cfRule>
  </conditionalFormatting>
  <conditionalFormatting sqref="D637:D641">
    <cfRule type="expression" dxfId="9340" priority="6195">
      <formula>D637&lt;&gt;""</formula>
    </cfRule>
  </conditionalFormatting>
  <conditionalFormatting sqref="D637">
    <cfRule type="expression" dxfId="9339" priority="6194">
      <formula>D637&lt;&gt;""</formula>
    </cfRule>
  </conditionalFormatting>
  <conditionalFormatting sqref="D641">
    <cfRule type="expression" dxfId="9338" priority="6193">
      <formula>D637&lt;&gt;""</formula>
    </cfRule>
  </conditionalFormatting>
  <conditionalFormatting sqref="C637:C641">
    <cfRule type="expression" dxfId="9337" priority="6202">
      <formula>D637&lt;&gt;""</formula>
    </cfRule>
  </conditionalFormatting>
  <conditionalFormatting sqref="E637:E641">
    <cfRule type="expression" dxfId="9336" priority="6201">
      <formula>F637&lt;&gt;""</formula>
    </cfRule>
  </conditionalFormatting>
  <conditionalFormatting sqref="G637:G641">
    <cfRule type="expression" dxfId="9335" priority="6200">
      <formula>H637&lt;&gt;""</formula>
    </cfRule>
  </conditionalFormatting>
  <conditionalFormatting sqref="I637:I641">
    <cfRule type="expression" dxfId="9334" priority="6199">
      <formula>B645&lt;&gt;""</formula>
    </cfRule>
  </conditionalFormatting>
  <conditionalFormatting sqref="B637:B641">
    <cfRule type="expression" dxfId="9333" priority="6198">
      <formula>B637&lt;&gt;""</formula>
    </cfRule>
  </conditionalFormatting>
  <conditionalFormatting sqref="B637">
    <cfRule type="expression" dxfId="9332" priority="6197">
      <formula>B637&lt;&gt;""</formula>
    </cfRule>
  </conditionalFormatting>
  <conditionalFormatting sqref="B641">
    <cfRule type="expression" dxfId="9331" priority="6196">
      <formula>B637&lt;&gt;""</formula>
    </cfRule>
  </conditionalFormatting>
  <conditionalFormatting sqref="F637:F641">
    <cfRule type="expression" dxfId="9330" priority="6192">
      <formula>F637&lt;&gt;""</formula>
    </cfRule>
  </conditionalFormatting>
  <conditionalFormatting sqref="F637">
    <cfRule type="expression" dxfId="9329" priority="6191">
      <formula>F637&lt;&gt;""</formula>
    </cfRule>
  </conditionalFormatting>
  <conditionalFormatting sqref="F641">
    <cfRule type="expression" dxfId="9328" priority="6190">
      <formula>F637&lt;&gt;""</formula>
    </cfRule>
  </conditionalFormatting>
  <conditionalFormatting sqref="H637:H641">
    <cfRule type="expression" dxfId="9327" priority="6189">
      <formula>H637&lt;&gt;""</formula>
    </cfRule>
  </conditionalFormatting>
  <conditionalFormatting sqref="H637">
    <cfRule type="expression" dxfId="9326" priority="6188">
      <formula>H637&lt;&gt;""</formula>
    </cfRule>
  </conditionalFormatting>
  <conditionalFormatting sqref="H641">
    <cfRule type="expression" dxfId="9325" priority="6187">
      <formula>H637&lt;&gt;""</formula>
    </cfRule>
  </conditionalFormatting>
  <conditionalFormatting sqref="F629:F633">
    <cfRule type="expression" dxfId="9324" priority="6186">
      <formula>F629&lt;&gt;""</formula>
    </cfRule>
  </conditionalFormatting>
  <conditionalFormatting sqref="F629">
    <cfRule type="expression" dxfId="9323" priority="6185">
      <formula>F629&lt;&gt;""</formula>
    </cfRule>
  </conditionalFormatting>
  <conditionalFormatting sqref="F633">
    <cfRule type="expression" dxfId="9322" priority="6184">
      <formula>F629&lt;&gt;""</formula>
    </cfRule>
  </conditionalFormatting>
  <conditionalFormatting sqref="E629:E633">
    <cfRule type="expression" dxfId="9321" priority="6183">
      <formula>F629&lt;&gt;""</formula>
    </cfRule>
  </conditionalFormatting>
  <conditionalFormatting sqref="G629:G633">
    <cfRule type="expression" dxfId="9320" priority="6182">
      <formula>H629&lt;&gt;""</formula>
    </cfRule>
  </conditionalFormatting>
  <conditionalFormatting sqref="I629:I633">
    <cfRule type="expression" dxfId="9319" priority="6181">
      <formula>B637&lt;&gt;""</formula>
    </cfRule>
  </conditionalFormatting>
  <conditionalFormatting sqref="H629:H633">
    <cfRule type="expression" dxfId="9318" priority="6180">
      <formula>H629&lt;&gt;""</formula>
    </cfRule>
  </conditionalFormatting>
  <conditionalFormatting sqref="H629">
    <cfRule type="expression" dxfId="9317" priority="6179">
      <formula>H629&lt;&gt;""</formula>
    </cfRule>
  </conditionalFormatting>
  <conditionalFormatting sqref="H633">
    <cfRule type="expression" dxfId="9316" priority="6178">
      <formula>H629&lt;&gt;""</formula>
    </cfRule>
  </conditionalFormatting>
  <conditionalFormatting sqref="I642:I643 C643:H643 B643:B644">
    <cfRule type="expression" dxfId="9315" priority="6177">
      <formula>$B$645&lt;&gt;""</formula>
    </cfRule>
  </conditionalFormatting>
  <conditionalFormatting sqref="B645:B649">
    <cfRule type="expression" dxfId="9314" priority="6176">
      <formula>B645&lt;&gt;""</formula>
    </cfRule>
  </conditionalFormatting>
  <conditionalFormatting sqref="B645">
    <cfRule type="expression" dxfId="9313" priority="6175">
      <formula>B645&lt;&gt;""</formula>
    </cfRule>
  </conditionalFormatting>
  <conditionalFormatting sqref="B649">
    <cfRule type="expression" dxfId="9312" priority="6174">
      <formula>B645&lt;&gt;""</formula>
    </cfRule>
  </conditionalFormatting>
  <conditionalFormatting sqref="F645:F649">
    <cfRule type="expression" dxfId="9311" priority="6170">
      <formula>F645&lt;&gt;""</formula>
    </cfRule>
  </conditionalFormatting>
  <conditionalFormatting sqref="F645">
    <cfRule type="expression" dxfId="9310" priority="6169">
      <formula>F645&lt;&gt;""</formula>
    </cfRule>
  </conditionalFormatting>
  <conditionalFormatting sqref="F649">
    <cfRule type="expression" dxfId="9309" priority="6168">
      <formula>F645&lt;&gt;""</formula>
    </cfRule>
  </conditionalFormatting>
  <conditionalFormatting sqref="C645:C649">
    <cfRule type="expression" dxfId="9308" priority="6167">
      <formula>D645&lt;&gt;""</formula>
    </cfRule>
  </conditionalFormatting>
  <conditionalFormatting sqref="E645:E649">
    <cfRule type="expression" dxfId="9307" priority="6166">
      <formula>F645&lt;&gt;""</formula>
    </cfRule>
  </conditionalFormatting>
  <conditionalFormatting sqref="G645:G649">
    <cfRule type="expression" dxfId="9306" priority="6165">
      <formula>H645&lt;&gt;""</formula>
    </cfRule>
  </conditionalFormatting>
  <conditionalFormatting sqref="H645:H649">
    <cfRule type="expression" dxfId="9305" priority="6164">
      <formula>H645&lt;&gt;""</formula>
    </cfRule>
  </conditionalFormatting>
  <conditionalFormatting sqref="H645">
    <cfRule type="expression" dxfId="9304" priority="6163">
      <formula>H645&lt;&gt;""</formula>
    </cfRule>
  </conditionalFormatting>
  <conditionalFormatting sqref="H649">
    <cfRule type="expression" dxfId="9303" priority="6162">
      <formula>H645&lt;&gt;""</formula>
    </cfRule>
  </conditionalFormatting>
  <conditionalFormatting sqref="D617:D621">
    <cfRule type="expression" dxfId="9302" priority="6131">
      <formula>D617&lt;&gt;""</formula>
    </cfRule>
  </conditionalFormatting>
  <conditionalFormatting sqref="D617">
    <cfRule type="expression" dxfId="9301" priority="6130">
      <formula>D617&lt;&gt;""</formula>
    </cfRule>
  </conditionalFormatting>
  <conditionalFormatting sqref="D621">
    <cfRule type="expression" dxfId="9300" priority="6129">
      <formula>D617&lt;&gt;""</formula>
    </cfRule>
  </conditionalFormatting>
  <conditionalFormatting sqref="I606:I607 C607:H607 B607:B608">
    <cfRule type="expression" dxfId="9299" priority="6119">
      <formula>$B$609&lt;&gt;""</formula>
    </cfRule>
  </conditionalFormatting>
  <conditionalFormatting sqref="D609:D613">
    <cfRule type="expression" dxfId="9298" priority="6153">
      <formula>D609&lt;&gt;""</formula>
    </cfRule>
  </conditionalFormatting>
  <conditionalFormatting sqref="D609">
    <cfRule type="expression" dxfId="9297" priority="6152">
      <formula>D609&lt;&gt;""</formula>
    </cfRule>
  </conditionalFormatting>
  <conditionalFormatting sqref="D613">
    <cfRule type="expression" dxfId="9296" priority="6151">
      <formula>D609&lt;&gt;""</formula>
    </cfRule>
  </conditionalFormatting>
  <conditionalFormatting sqref="C609:C613">
    <cfRule type="expression" dxfId="9295" priority="6160">
      <formula>D609&lt;&gt;""</formula>
    </cfRule>
  </conditionalFormatting>
  <conditionalFormatting sqref="E609:E613">
    <cfRule type="expression" dxfId="9294" priority="6159">
      <formula>F609&lt;&gt;""</formula>
    </cfRule>
  </conditionalFormatting>
  <conditionalFormatting sqref="G609:G613">
    <cfRule type="expression" dxfId="9293" priority="6158">
      <formula>H609&lt;&gt;""</formula>
    </cfRule>
  </conditionalFormatting>
  <conditionalFormatting sqref="I609:I613">
    <cfRule type="expression" dxfId="9292" priority="6157">
      <formula>B617&lt;&gt;""</formula>
    </cfRule>
  </conditionalFormatting>
  <conditionalFormatting sqref="B609:B613">
    <cfRule type="expression" dxfId="9291" priority="6156">
      <formula>B609&lt;&gt;""</formula>
    </cfRule>
  </conditionalFormatting>
  <conditionalFormatting sqref="B609">
    <cfRule type="expression" dxfId="9290" priority="6155">
      <formula>B609&lt;&gt;""</formula>
    </cfRule>
  </conditionalFormatting>
  <conditionalFormatting sqref="B613">
    <cfRule type="expression" dxfId="9289" priority="6154">
      <formula>B609&lt;&gt;""</formula>
    </cfRule>
  </conditionalFormatting>
  <conditionalFormatting sqref="F609:F613">
    <cfRule type="expression" dxfId="9288" priority="6150">
      <formula>F609&lt;&gt;""</formula>
    </cfRule>
  </conditionalFormatting>
  <conditionalFormatting sqref="F609">
    <cfRule type="expression" dxfId="9287" priority="6149">
      <formula>F609&lt;&gt;""</formula>
    </cfRule>
  </conditionalFormatting>
  <conditionalFormatting sqref="F613">
    <cfRule type="expression" dxfId="9286" priority="6148">
      <formula>F609&lt;&gt;""</formula>
    </cfRule>
  </conditionalFormatting>
  <conditionalFormatting sqref="H609:H613">
    <cfRule type="expression" dxfId="9285" priority="6147">
      <formula>H609&lt;&gt;""</formula>
    </cfRule>
  </conditionalFormatting>
  <conditionalFormatting sqref="H609">
    <cfRule type="expression" dxfId="9284" priority="6146">
      <formula>H609&lt;&gt;""</formula>
    </cfRule>
  </conditionalFormatting>
  <conditionalFormatting sqref="H613">
    <cfRule type="expression" dxfId="9283" priority="6145">
      <formula>H609&lt;&gt;""</formula>
    </cfRule>
  </conditionalFormatting>
  <conditionalFormatting sqref="F601:F605">
    <cfRule type="expression" dxfId="9282" priority="6144">
      <formula>F601&lt;&gt;""</formula>
    </cfRule>
  </conditionalFormatting>
  <conditionalFormatting sqref="F601">
    <cfRule type="expression" dxfId="9281" priority="6143">
      <formula>F601&lt;&gt;""</formula>
    </cfRule>
  </conditionalFormatting>
  <conditionalFormatting sqref="F605">
    <cfRule type="expression" dxfId="9280" priority="6142">
      <formula>F601&lt;&gt;""</formula>
    </cfRule>
  </conditionalFormatting>
  <conditionalFormatting sqref="E601:E605">
    <cfRule type="expression" dxfId="9279" priority="6141">
      <formula>F601&lt;&gt;""</formula>
    </cfRule>
  </conditionalFormatting>
  <conditionalFormatting sqref="G601:G605">
    <cfRule type="expression" dxfId="9278" priority="6140">
      <formula>H601&lt;&gt;""</formula>
    </cfRule>
  </conditionalFormatting>
  <conditionalFormatting sqref="I601:I605">
    <cfRule type="expression" dxfId="9277" priority="6139">
      <formula>B609&lt;&gt;""</formula>
    </cfRule>
  </conditionalFormatting>
  <conditionalFormatting sqref="H601:H605">
    <cfRule type="expression" dxfId="9276" priority="6138">
      <formula>H601&lt;&gt;""</formula>
    </cfRule>
  </conditionalFormatting>
  <conditionalFormatting sqref="H601">
    <cfRule type="expression" dxfId="9275" priority="6137">
      <formula>H601&lt;&gt;""</formula>
    </cfRule>
  </conditionalFormatting>
  <conditionalFormatting sqref="H605">
    <cfRule type="expression" dxfId="9274" priority="6136">
      <formula>H601&lt;&gt;""</formula>
    </cfRule>
  </conditionalFormatting>
  <conditionalFormatting sqref="I614:I615 C615:H615 B615:B616">
    <cfRule type="expression" dxfId="9273" priority="6135">
      <formula>$B$617&lt;&gt;""</formula>
    </cfRule>
  </conditionalFormatting>
  <conditionalFormatting sqref="B617:B621">
    <cfRule type="expression" dxfId="9272" priority="6134">
      <formula>B617&lt;&gt;""</formula>
    </cfRule>
  </conditionalFormatting>
  <conditionalFormatting sqref="B617">
    <cfRule type="expression" dxfId="9271" priority="6133">
      <formula>B617&lt;&gt;""</formula>
    </cfRule>
  </conditionalFormatting>
  <conditionalFormatting sqref="B621">
    <cfRule type="expression" dxfId="9270" priority="6132">
      <formula>B617&lt;&gt;""</formula>
    </cfRule>
  </conditionalFormatting>
  <conditionalFormatting sqref="F617:F621">
    <cfRule type="expression" dxfId="9269" priority="6128">
      <formula>F617&lt;&gt;""</formula>
    </cfRule>
  </conditionalFormatting>
  <conditionalFormatting sqref="F617">
    <cfRule type="expression" dxfId="9268" priority="6127">
      <formula>F617&lt;&gt;""</formula>
    </cfRule>
  </conditionalFormatting>
  <conditionalFormatting sqref="F621">
    <cfRule type="expression" dxfId="9267" priority="6126">
      <formula>F617&lt;&gt;""</formula>
    </cfRule>
  </conditionalFormatting>
  <conditionalFormatting sqref="C617:C621">
    <cfRule type="expression" dxfId="9266" priority="6125">
      <formula>D617&lt;&gt;""</formula>
    </cfRule>
  </conditionalFormatting>
  <conditionalFormatting sqref="E617:E621">
    <cfRule type="expression" dxfId="9265" priority="6124">
      <formula>F617&lt;&gt;""</formula>
    </cfRule>
  </conditionalFormatting>
  <conditionalFormatting sqref="G617:G621">
    <cfRule type="expression" dxfId="9264" priority="6123">
      <formula>H617&lt;&gt;""</formula>
    </cfRule>
  </conditionalFormatting>
  <conditionalFormatting sqref="H617:H621">
    <cfRule type="expression" dxfId="9263" priority="6122">
      <formula>H617&lt;&gt;""</formula>
    </cfRule>
  </conditionalFormatting>
  <conditionalFormatting sqref="H617">
    <cfRule type="expression" dxfId="9262" priority="6121">
      <formula>H617&lt;&gt;""</formula>
    </cfRule>
  </conditionalFormatting>
  <conditionalFormatting sqref="H621">
    <cfRule type="expression" dxfId="9261" priority="6120">
      <formula>H617&lt;&gt;""</formula>
    </cfRule>
  </conditionalFormatting>
  <conditionalFormatting sqref="D589:D593">
    <cfRule type="expression" dxfId="9260" priority="6089">
      <formula>D589&lt;&gt;""</formula>
    </cfRule>
  </conditionalFormatting>
  <conditionalFormatting sqref="D589">
    <cfRule type="expression" dxfId="9259" priority="6088">
      <formula>D589&lt;&gt;""</formula>
    </cfRule>
  </conditionalFormatting>
  <conditionalFormatting sqref="D593">
    <cfRule type="expression" dxfId="9258" priority="6087">
      <formula>D589&lt;&gt;""</formula>
    </cfRule>
  </conditionalFormatting>
  <conditionalFormatting sqref="I578:I579 C579:H579 B579:B580">
    <cfRule type="expression" dxfId="9257" priority="6077">
      <formula>$B$581&lt;&gt;""</formula>
    </cfRule>
  </conditionalFormatting>
  <conditionalFormatting sqref="D581:D585">
    <cfRule type="expression" dxfId="9256" priority="6111">
      <formula>D581&lt;&gt;""</formula>
    </cfRule>
  </conditionalFormatting>
  <conditionalFormatting sqref="D581">
    <cfRule type="expression" dxfId="9255" priority="6110">
      <formula>D581&lt;&gt;""</formula>
    </cfRule>
  </conditionalFormatting>
  <conditionalFormatting sqref="D585">
    <cfRule type="expression" dxfId="9254" priority="6109">
      <formula>D581&lt;&gt;""</formula>
    </cfRule>
  </conditionalFormatting>
  <conditionalFormatting sqref="C581:C585">
    <cfRule type="expression" dxfId="9253" priority="6118">
      <formula>D581&lt;&gt;""</formula>
    </cfRule>
  </conditionalFormatting>
  <conditionalFormatting sqref="E581:E585">
    <cfRule type="expression" dxfId="9252" priority="6117">
      <formula>F581&lt;&gt;""</formula>
    </cfRule>
  </conditionalFormatting>
  <conditionalFormatting sqref="G581:G585">
    <cfRule type="expression" dxfId="9251" priority="6116">
      <formula>H581&lt;&gt;""</formula>
    </cfRule>
  </conditionalFormatting>
  <conditionalFormatting sqref="I581:I585">
    <cfRule type="expression" dxfId="9250" priority="6115">
      <formula>B589&lt;&gt;""</formula>
    </cfRule>
  </conditionalFormatting>
  <conditionalFormatting sqref="B581:B585">
    <cfRule type="expression" dxfId="9249" priority="6114">
      <formula>B581&lt;&gt;""</formula>
    </cfRule>
  </conditionalFormatting>
  <conditionalFormatting sqref="B581">
    <cfRule type="expression" dxfId="9248" priority="6113">
      <formula>B581&lt;&gt;""</formula>
    </cfRule>
  </conditionalFormatting>
  <conditionalFormatting sqref="B585">
    <cfRule type="expression" dxfId="9247" priority="6112">
      <formula>B581&lt;&gt;""</formula>
    </cfRule>
  </conditionalFormatting>
  <conditionalFormatting sqref="F581:F585">
    <cfRule type="expression" dxfId="9246" priority="6108">
      <formula>F581&lt;&gt;""</formula>
    </cfRule>
  </conditionalFormatting>
  <conditionalFormatting sqref="F581">
    <cfRule type="expression" dxfId="9245" priority="6107">
      <formula>F581&lt;&gt;""</formula>
    </cfRule>
  </conditionalFormatting>
  <conditionalFormatting sqref="F585">
    <cfRule type="expression" dxfId="9244" priority="6106">
      <formula>F581&lt;&gt;""</formula>
    </cfRule>
  </conditionalFormatting>
  <conditionalFormatting sqref="H581:H585">
    <cfRule type="expression" dxfId="9243" priority="6105">
      <formula>H581&lt;&gt;""</formula>
    </cfRule>
  </conditionalFormatting>
  <conditionalFormatting sqref="H581">
    <cfRule type="expression" dxfId="9242" priority="6104">
      <formula>H581&lt;&gt;""</formula>
    </cfRule>
  </conditionalFormatting>
  <conditionalFormatting sqref="H585">
    <cfRule type="expression" dxfId="9241" priority="6103">
      <formula>H581&lt;&gt;""</formula>
    </cfRule>
  </conditionalFormatting>
  <conditionalFormatting sqref="F573:F577">
    <cfRule type="expression" dxfId="9240" priority="6102">
      <formula>F573&lt;&gt;""</formula>
    </cfRule>
  </conditionalFormatting>
  <conditionalFormatting sqref="F573">
    <cfRule type="expression" dxfId="9239" priority="6101">
      <formula>F573&lt;&gt;""</formula>
    </cfRule>
  </conditionalFormatting>
  <conditionalFormatting sqref="F577">
    <cfRule type="expression" dxfId="9238" priority="6100">
      <formula>F573&lt;&gt;""</formula>
    </cfRule>
  </conditionalFormatting>
  <conditionalFormatting sqref="E573:E577">
    <cfRule type="expression" dxfId="9237" priority="6099">
      <formula>F573&lt;&gt;""</formula>
    </cfRule>
  </conditionalFormatting>
  <conditionalFormatting sqref="G573:G577">
    <cfRule type="expression" dxfId="9236" priority="6098">
      <formula>H573&lt;&gt;""</formula>
    </cfRule>
  </conditionalFormatting>
  <conditionalFormatting sqref="I573:I577">
    <cfRule type="expression" dxfId="9235" priority="6097">
      <formula>B581&lt;&gt;""</formula>
    </cfRule>
  </conditionalFormatting>
  <conditionalFormatting sqref="H573:H577">
    <cfRule type="expression" dxfId="9234" priority="6096">
      <formula>H573&lt;&gt;""</formula>
    </cfRule>
  </conditionalFormatting>
  <conditionalFormatting sqref="H573">
    <cfRule type="expression" dxfId="9233" priority="6095">
      <formula>H573&lt;&gt;""</formula>
    </cfRule>
  </conditionalFormatting>
  <conditionalFormatting sqref="H577">
    <cfRule type="expression" dxfId="9232" priority="6094">
      <formula>H573&lt;&gt;""</formula>
    </cfRule>
  </conditionalFormatting>
  <conditionalFormatting sqref="I586:I587 C587:H587 B587:B588">
    <cfRule type="expression" dxfId="9231" priority="6093">
      <formula>$B$589&lt;&gt;""</formula>
    </cfRule>
  </conditionalFormatting>
  <conditionalFormatting sqref="B589:B593">
    <cfRule type="expression" dxfId="9230" priority="6092">
      <formula>B589&lt;&gt;""</formula>
    </cfRule>
  </conditionalFormatting>
  <conditionalFormatting sqref="B589">
    <cfRule type="expression" dxfId="9229" priority="6091">
      <formula>B589&lt;&gt;""</formula>
    </cfRule>
  </conditionalFormatting>
  <conditionalFormatting sqref="B593">
    <cfRule type="expression" dxfId="9228" priority="6090">
      <formula>B589&lt;&gt;""</formula>
    </cfRule>
  </conditionalFormatting>
  <conditionalFormatting sqref="F589:F593">
    <cfRule type="expression" dxfId="9227" priority="6086">
      <formula>F589&lt;&gt;""</formula>
    </cfRule>
  </conditionalFormatting>
  <conditionalFormatting sqref="F589">
    <cfRule type="expression" dxfId="9226" priority="6085">
      <formula>F589&lt;&gt;""</formula>
    </cfRule>
  </conditionalFormatting>
  <conditionalFormatting sqref="F593">
    <cfRule type="expression" dxfId="9225" priority="6084">
      <formula>F589&lt;&gt;""</formula>
    </cfRule>
  </conditionalFormatting>
  <conditionalFormatting sqref="C589:C593">
    <cfRule type="expression" dxfId="9224" priority="6083">
      <formula>D589&lt;&gt;""</formula>
    </cfRule>
  </conditionalFormatting>
  <conditionalFormatting sqref="E589:E593">
    <cfRule type="expression" dxfId="9223" priority="6082">
      <formula>F589&lt;&gt;""</formula>
    </cfRule>
  </conditionalFormatting>
  <conditionalFormatting sqref="G589:G593">
    <cfRule type="expression" dxfId="9222" priority="6081">
      <formula>H589&lt;&gt;""</formula>
    </cfRule>
  </conditionalFormatting>
  <conditionalFormatting sqref="H589:H593">
    <cfRule type="expression" dxfId="9221" priority="6080">
      <formula>H589&lt;&gt;""</formula>
    </cfRule>
  </conditionalFormatting>
  <conditionalFormatting sqref="H589">
    <cfRule type="expression" dxfId="9220" priority="6079">
      <formula>H589&lt;&gt;""</formula>
    </cfRule>
  </conditionalFormatting>
  <conditionalFormatting sqref="H593">
    <cfRule type="expression" dxfId="9219" priority="6078">
      <formula>H589&lt;&gt;""</formula>
    </cfRule>
  </conditionalFormatting>
  <conditionalFormatting sqref="B573:B577">
    <cfRule type="expression" dxfId="9218" priority="6076">
      <formula>B573&lt;&gt;""</formula>
    </cfRule>
  </conditionalFormatting>
  <conditionalFormatting sqref="B573">
    <cfRule type="expression" dxfId="9217" priority="6075">
      <formula>B573&lt;&gt;""</formula>
    </cfRule>
  </conditionalFormatting>
  <conditionalFormatting sqref="B577">
    <cfRule type="expression" dxfId="9216" priority="6074">
      <formula>B573&lt;&gt;""</formula>
    </cfRule>
  </conditionalFormatting>
  <conditionalFormatting sqref="C573:C577">
    <cfRule type="expression" dxfId="9215" priority="6073">
      <formula>D573&lt;&gt;""</formula>
    </cfRule>
  </conditionalFormatting>
  <conditionalFormatting sqref="D573:D577">
    <cfRule type="expression" dxfId="9214" priority="6072">
      <formula>D573&lt;&gt;""</formula>
    </cfRule>
  </conditionalFormatting>
  <conditionalFormatting sqref="D573">
    <cfRule type="expression" dxfId="9213" priority="6071">
      <formula>D573&lt;&gt;""</formula>
    </cfRule>
  </conditionalFormatting>
  <conditionalFormatting sqref="D577">
    <cfRule type="expression" dxfId="9212" priority="6070">
      <formula>D573&lt;&gt;""</formula>
    </cfRule>
  </conditionalFormatting>
  <conditionalFormatting sqref="B601:B605">
    <cfRule type="expression" dxfId="9211" priority="6069">
      <formula>B601&lt;&gt;""</formula>
    </cfRule>
  </conditionalFormatting>
  <conditionalFormatting sqref="B601">
    <cfRule type="expression" dxfId="9210" priority="6068">
      <formula>B601&lt;&gt;""</formula>
    </cfRule>
  </conditionalFormatting>
  <conditionalFormatting sqref="B605">
    <cfRule type="expression" dxfId="9209" priority="6067">
      <formula>B601&lt;&gt;""</formula>
    </cfRule>
  </conditionalFormatting>
  <conditionalFormatting sqref="C601:C605">
    <cfRule type="expression" dxfId="9208" priority="6066">
      <formula>D601&lt;&gt;""</formula>
    </cfRule>
  </conditionalFormatting>
  <conditionalFormatting sqref="D601:D605">
    <cfRule type="expression" dxfId="9207" priority="6065">
      <formula>D601&lt;&gt;""</formula>
    </cfRule>
  </conditionalFormatting>
  <conditionalFormatting sqref="D601">
    <cfRule type="expression" dxfId="9206" priority="6064">
      <formula>D601&lt;&gt;""</formula>
    </cfRule>
  </conditionalFormatting>
  <conditionalFormatting sqref="D605">
    <cfRule type="expression" dxfId="9205" priority="6063">
      <formula>D601&lt;&gt;""</formula>
    </cfRule>
  </conditionalFormatting>
  <conditionalFormatting sqref="B629:B633">
    <cfRule type="expression" dxfId="9204" priority="6062">
      <formula>B629&lt;&gt;""</formula>
    </cfRule>
  </conditionalFormatting>
  <conditionalFormatting sqref="B629">
    <cfRule type="expression" dxfId="9203" priority="6061">
      <formula>B629&lt;&gt;""</formula>
    </cfRule>
  </conditionalFormatting>
  <conditionalFormatting sqref="B633">
    <cfRule type="expression" dxfId="9202" priority="6060">
      <formula>B629&lt;&gt;""</formula>
    </cfRule>
  </conditionalFormatting>
  <conditionalFormatting sqref="C629:C633">
    <cfRule type="expression" dxfId="9201" priority="6059">
      <formula>D629&lt;&gt;""</formula>
    </cfRule>
  </conditionalFormatting>
  <conditionalFormatting sqref="D629:D633">
    <cfRule type="expression" dxfId="9200" priority="6058">
      <formula>D629&lt;&gt;""</formula>
    </cfRule>
  </conditionalFormatting>
  <conditionalFormatting sqref="D629">
    <cfRule type="expression" dxfId="9199" priority="6057">
      <formula>D629&lt;&gt;""</formula>
    </cfRule>
  </conditionalFormatting>
  <conditionalFormatting sqref="D633">
    <cfRule type="expression" dxfId="9198" priority="6056">
      <formula>D629&lt;&gt;""</formula>
    </cfRule>
  </conditionalFormatting>
  <conditionalFormatting sqref="B657:B661">
    <cfRule type="expression" dxfId="9197" priority="6055">
      <formula>B657&lt;&gt;""</formula>
    </cfRule>
  </conditionalFormatting>
  <conditionalFormatting sqref="B657">
    <cfRule type="expression" dxfId="9196" priority="6054">
      <formula>B657&lt;&gt;""</formula>
    </cfRule>
  </conditionalFormatting>
  <conditionalFormatting sqref="B661">
    <cfRule type="expression" dxfId="9195" priority="6053">
      <formula>B657&lt;&gt;""</formula>
    </cfRule>
  </conditionalFormatting>
  <conditionalFormatting sqref="C657:C661">
    <cfRule type="expression" dxfId="9194" priority="6052">
      <formula>D657&lt;&gt;""</formula>
    </cfRule>
  </conditionalFormatting>
  <conditionalFormatting sqref="D657:D661">
    <cfRule type="expression" dxfId="9193" priority="6051">
      <formula>D657&lt;&gt;""</formula>
    </cfRule>
  </conditionalFormatting>
  <conditionalFormatting sqref="D657">
    <cfRule type="expression" dxfId="9192" priority="6050">
      <formula>D657&lt;&gt;""</formula>
    </cfRule>
  </conditionalFormatting>
  <conditionalFormatting sqref="D661">
    <cfRule type="expression" dxfId="9191" priority="6049">
      <formula>D657&lt;&gt;""</formula>
    </cfRule>
  </conditionalFormatting>
  <conditionalFormatting sqref="B685:B689">
    <cfRule type="expression" dxfId="9190" priority="6048">
      <formula>B685&lt;&gt;""</formula>
    </cfRule>
  </conditionalFormatting>
  <conditionalFormatting sqref="B685">
    <cfRule type="expression" dxfId="9189" priority="6047">
      <formula>B685&lt;&gt;""</formula>
    </cfRule>
  </conditionalFormatting>
  <conditionalFormatting sqref="B689">
    <cfRule type="expression" dxfId="9188" priority="6046">
      <formula>B685&lt;&gt;""</formula>
    </cfRule>
  </conditionalFormatting>
  <conditionalFormatting sqref="C685:C689">
    <cfRule type="expression" dxfId="9187" priority="6045">
      <formula>D685&lt;&gt;""</formula>
    </cfRule>
  </conditionalFormatting>
  <conditionalFormatting sqref="D685:D689">
    <cfRule type="expression" dxfId="9186" priority="6044">
      <formula>D685&lt;&gt;""</formula>
    </cfRule>
  </conditionalFormatting>
  <conditionalFormatting sqref="D685">
    <cfRule type="expression" dxfId="9185" priority="6043">
      <formula>D685&lt;&gt;""</formula>
    </cfRule>
  </conditionalFormatting>
  <conditionalFormatting sqref="D689">
    <cfRule type="expression" dxfId="9184" priority="6042">
      <formula>D685&lt;&gt;""</formula>
    </cfRule>
  </conditionalFormatting>
  <conditionalFormatting sqref="B713:B717">
    <cfRule type="expression" dxfId="9183" priority="6041">
      <formula>B713&lt;&gt;""</formula>
    </cfRule>
  </conditionalFormatting>
  <conditionalFormatting sqref="B713">
    <cfRule type="expression" dxfId="9182" priority="6040">
      <formula>B713&lt;&gt;""</formula>
    </cfRule>
  </conditionalFormatting>
  <conditionalFormatting sqref="B717">
    <cfRule type="expression" dxfId="9181" priority="6039">
      <formula>B713&lt;&gt;""</formula>
    </cfRule>
  </conditionalFormatting>
  <conditionalFormatting sqref="C713:C717">
    <cfRule type="expression" dxfId="9180" priority="6038">
      <formula>D713&lt;&gt;""</formula>
    </cfRule>
  </conditionalFormatting>
  <conditionalFormatting sqref="D713:D717">
    <cfRule type="expression" dxfId="9179" priority="6037">
      <formula>D713&lt;&gt;""</formula>
    </cfRule>
  </conditionalFormatting>
  <conditionalFormatting sqref="D713">
    <cfRule type="expression" dxfId="9178" priority="6036">
      <formula>D713&lt;&gt;""</formula>
    </cfRule>
  </conditionalFormatting>
  <conditionalFormatting sqref="D717">
    <cfRule type="expression" dxfId="9177" priority="6035">
      <formula>D713&lt;&gt;""</formula>
    </cfRule>
  </conditionalFormatting>
  <conditionalFormatting sqref="B741:B745">
    <cfRule type="expression" dxfId="9176" priority="6034">
      <formula>B741&lt;&gt;""</formula>
    </cfRule>
  </conditionalFormatting>
  <conditionalFormatting sqref="B741">
    <cfRule type="expression" dxfId="9175" priority="6033">
      <formula>B741&lt;&gt;""</formula>
    </cfRule>
  </conditionalFormatting>
  <conditionalFormatting sqref="B745">
    <cfRule type="expression" dxfId="9174" priority="6032">
      <formula>B741&lt;&gt;""</formula>
    </cfRule>
  </conditionalFormatting>
  <conditionalFormatting sqref="C741:C745">
    <cfRule type="expression" dxfId="9173" priority="6031">
      <formula>D741&lt;&gt;""</formula>
    </cfRule>
  </conditionalFormatting>
  <conditionalFormatting sqref="D741:D745">
    <cfRule type="expression" dxfId="9172" priority="6030">
      <formula>D741&lt;&gt;""</formula>
    </cfRule>
  </conditionalFormatting>
  <conditionalFormatting sqref="D741">
    <cfRule type="expression" dxfId="9171" priority="6029">
      <formula>D741&lt;&gt;""</formula>
    </cfRule>
  </conditionalFormatting>
  <conditionalFormatting sqref="D745">
    <cfRule type="expression" dxfId="9170" priority="6028">
      <formula>D741&lt;&gt;""</formula>
    </cfRule>
  </conditionalFormatting>
  <conditionalFormatting sqref="D785:D789">
    <cfRule type="expression" dxfId="9169" priority="5999">
      <formula>D785&lt;&gt;""</formula>
    </cfRule>
  </conditionalFormatting>
  <conditionalFormatting sqref="D785">
    <cfRule type="expression" dxfId="9168" priority="5998">
      <formula>D785&lt;&gt;""</formula>
    </cfRule>
  </conditionalFormatting>
  <conditionalFormatting sqref="D789">
    <cfRule type="expression" dxfId="9167" priority="5997">
      <formula>D785&lt;&gt;""</formula>
    </cfRule>
  </conditionalFormatting>
  <conditionalFormatting sqref="D777:D781">
    <cfRule type="expression" dxfId="9166" priority="6020">
      <formula>D777&lt;&gt;""</formula>
    </cfRule>
  </conditionalFormatting>
  <conditionalFormatting sqref="D777">
    <cfRule type="expression" dxfId="9165" priority="6019">
      <formula>D777&lt;&gt;""</formula>
    </cfRule>
  </conditionalFormatting>
  <conditionalFormatting sqref="D781">
    <cfRule type="expression" dxfId="9164" priority="6018">
      <formula>D777&lt;&gt;""</formula>
    </cfRule>
  </conditionalFormatting>
  <conditionalFormatting sqref="C777:C781">
    <cfRule type="expression" dxfId="9163" priority="6027">
      <formula>D777&lt;&gt;""</formula>
    </cfRule>
  </conditionalFormatting>
  <conditionalFormatting sqref="E777:E781">
    <cfRule type="expression" dxfId="9162" priority="6026">
      <formula>F777&lt;&gt;""</formula>
    </cfRule>
  </conditionalFormatting>
  <conditionalFormatting sqref="G777:G781">
    <cfRule type="expression" dxfId="9161" priority="6025">
      <formula>H777&lt;&gt;""</formula>
    </cfRule>
  </conditionalFormatting>
  <conditionalFormatting sqref="I777:I781">
    <cfRule type="expression" dxfId="9160" priority="6024">
      <formula>B785&lt;&gt;""</formula>
    </cfRule>
  </conditionalFormatting>
  <conditionalFormatting sqref="B777:B781">
    <cfRule type="expression" dxfId="9159" priority="6023">
      <formula>B777&lt;&gt;""</formula>
    </cfRule>
  </conditionalFormatting>
  <conditionalFormatting sqref="B777">
    <cfRule type="expression" dxfId="9158" priority="6022">
      <formula>B777&lt;&gt;""</formula>
    </cfRule>
  </conditionalFormatting>
  <conditionalFormatting sqref="B781">
    <cfRule type="expression" dxfId="9157" priority="6021">
      <formula>B777&lt;&gt;""</formula>
    </cfRule>
  </conditionalFormatting>
  <conditionalFormatting sqref="F777:F781">
    <cfRule type="expression" dxfId="9156" priority="6017">
      <formula>F777&lt;&gt;""</formula>
    </cfRule>
  </conditionalFormatting>
  <conditionalFormatting sqref="F777">
    <cfRule type="expression" dxfId="9155" priority="6016">
      <formula>F777&lt;&gt;""</formula>
    </cfRule>
  </conditionalFormatting>
  <conditionalFormatting sqref="F781">
    <cfRule type="expression" dxfId="9154" priority="6015">
      <formula>F777&lt;&gt;""</formula>
    </cfRule>
  </conditionalFormatting>
  <conditionalFormatting sqref="H777:H781">
    <cfRule type="expression" dxfId="9153" priority="6014">
      <formula>H777&lt;&gt;""</formula>
    </cfRule>
  </conditionalFormatting>
  <conditionalFormatting sqref="H777">
    <cfRule type="expression" dxfId="9152" priority="6013">
      <formula>H777&lt;&gt;""</formula>
    </cfRule>
  </conditionalFormatting>
  <conditionalFormatting sqref="H781">
    <cfRule type="expression" dxfId="9151" priority="6012">
      <formula>H777&lt;&gt;""</formula>
    </cfRule>
  </conditionalFormatting>
  <conditionalFormatting sqref="F769:F773">
    <cfRule type="expression" dxfId="9150" priority="6011">
      <formula>F769&lt;&gt;""</formula>
    </cfRule>
  </conditionalFormatting>
  <conditionalFormatting sqref="F769">
    <cfRule type="expression" dxfId="9149" priority="6010">
      <formula>F769&lt;&gt;""</formula>
    </cfRule>
  </conditionalFormatting>
  <conditionalFormatting sqref="F773">
    <cfRule type="expression" dxfId="9148" priority="6009">
      <formula>F769&lt;&gt;""</formula>
    </cfRule>
  </conditionalFormatting>
  <conditionalFormatting sqref="E769:E773">
    <cfRule type="expression" dxfId="9147" priority="6008">
      <formula>F769&lt;&gt;""</formula>
    </cfRule>
  </conditionalFormatting>
  <conditionalFormatting sqref="G769:G773">
    <cfRule type="expression" dxfId="9146" priority="6007">
      <formula>H769&lt;&gt;""</formula>
    </cfRule>
  </conditionalFormatting>
  <conditionalFormatting sqref="I769:I773">
    <cfRule type="expression" dxfId="9145" priority="6006">
      <formula>B777&lt;&gt;""</formula>
    </cfRule>
  </conditionalFormatting>
  <conditionalFormatting sqref="H769:H773">
    <cfRule type="expression" dxfId="9144" priority="6005">
      <formula>H769&lt;&gt;""</formula>
    </cfRule>
  </conditionalFormatting>
  <conditionalFormatting sqref="H769">
    <cfRule type="expression" dxfId="9143" priority="6004">
      <formula>H769&lt;&gt;""</formula>
    </cfRule>
  </conditionalFormatting>
  <conditionalFormatting sqref="H773">
    <cfRule type="expression" dxfId="9142" priority="6003">
      <formula>H769&lt;&gt;""</formula>
    </cfRule>
  </conditionalFormatting>
  <conditionalFormatting sqref="B785:B789">
    <cfRule type="expression" dxfId="9141" priority="6002">
      <formula>B785&lt;&gt;""</formula>
    </cfRule>
  </conditionalFormatting>
  <conditionalFormatting sqref="B785">
    <cfRule type="expression" dxfId="9140" priority="6001">
      <formula>B785&lt;&gt;""</formula>
    </cfRule>
  </conditionalFormatting>
  <conditionalFormatting sqref="B789">
    <cfRule type="expression" dxfId="9139" priority="6000">
      <formula>B785&lt;&gt;""</formula>
    </cfRule>
  </conditionalFormatting>
  <conditionalFormatting sqref="F785:F789">
    <cfRule type="expression" dxfId="9138" priority="5996">
      <formula>F785&lt;&gt;""</formula>
    </cfRule>
  </conditionalFormatting>
  <conditionalFormatting sqref="F785">
    <cfRule type="expression" dxfId="9137" priority="5995">
      <formula>F785&lt;&gt;""</formula>
    </cfRule>
  </conditionalFormatting>
  <conditionalFormatting sqref="F789">
    <cfRule type="expression" dxfId="9136" priority="5994">
      <formula>F785&lt;&gt;""</formula>
    </cfRule>
  </conditionalFormatting>
  <conditionalFormatting sqref="C785:C789">
    <cfRule type="expression" dxfId="9135" priority="5993">
      <formula>D785&lt;&gt;""</formula>
    </cfRule>
  </conditionalFormatting>
  <conditionalFormatting sqref="E785:E789">
    <cfRule type="expression" dxfId="9134" priority="5992">
      <formula>F785&lt;&gt;""</formula>
    </cfRule>
  </conditionalFormatting>
  <conditionalFormatting sqref="G785:G789">
    <cfRule type="expression" dxfId="9133" priority="5991">
      <formula>H785&lt;&gt;""</formula>
    </cfRule>
  </conditionalFormatting>
  <conditionalFormatting sqref="H785:H789">
    <cfRule type="expression" dxfId="9132" priority="5990">
      <formula>H785&lt;&gt;""</formula>
    </cfRule>
  </conditionalFormatting>
  <conditionalFormatting sqref="H785">
    <cfRule type="expression" dxfId="9131" priority="5989">
      <formula>H785&lt;&gt;""</formula>
    </cfRule>
  </conditionalFormatting>
  <conditionalFormatting sqref="H789">
    <cfRule type="expression" dxfId="9130" priority="5988">
      <formula>H785&lt;&gt;""</formula>
    </cfRule>
  </conditionalFormatting>
  <conditionalFormatting sqref="D813:D817">
    <cfRule type="expression" dxfId="9129" priority="5959">
      <formula>D813&lt;&gt;""</formula>
    </cfRule>
  </conditionalFormatting>
  <conditionalFormatting sqref="D813">
    <cfRule type="expression" dxfId="9128" priority="5958">
      <formula>D813&lt;&gt;""</formula>
    </cfRule>
  </conditionalFormatting>
  <conditionalFormatting sqref="D817">
    <cfRule type="expression" dxfId="9127" priority="5957">
      <formula>D813&lt;&gt;""</formula>
    </cfRule>
  </conditionalFormatting>
  <conditionalFormatting sqref="D805:D809">
    <cfRule type="expression" dxfId="9126" priority="5980">
      <formula>D805&lt;&gt;""</formula>
    </cfRule>
  </conditionalFormatting>
  <conditionalFormatting sqref="D805">
    <cfRule type="expression" dxfId="9125" priority="5979">
      <formula>D805&lt;&gt;""</formula>
    </cfRule>
  </conditionalFormatting>
  <conditionalFormatting sqref="D809">
    <cfRule type="expression" dxfId="9124" priority="5978">
      <formula>D805&lt;&gt;""</formula>
    </cfRule>
  </conditionalFormatting>
  <conditionalFormatting sqref="C805:C809">
    <cfRule type="expression" dxfId="9123" priority="5987">
      <formula>D805&lt;&gt;""</formula>
    </cfRule>
  </conditionalFormatting>
  <conditionalFormatting sqref="E805:E809">
    <cfRule type="expression" dxfId="9122" priority="5986">
      <formula>F805&lt;&gt;""</formula>
    </cfRule>
  </conditionalFormatting>
  <conditionalFormatting sqref="G805:G809">
    <cfRule type="expression" dxfId="9121" priority="5985">
      <formula>H805&lt;&gt;""</formula>
    </cfRule>
  </conditionalFormatting>
  <conditionalFormatting sqref="I805:I809">
    <cfRule type="expression" dxfId="9120" priority="5984">
      <formula>B813&lt;&gt;""</formula>
    </cfRule>
  </conditionalFormatting>
  <conditionalFormatting sqref="B805:B809">
    <cfRule type="expression" dxfId="9119" priority="5983">
      <formula>B805&lt;&gt;""</formula>
    </cfRule>
  </conditionalFormatting>
  <conditionalFormatting sqref="B805">
    <cfRule type="expression" dxfId="9118" priority="5982">
      <formula>B805&lt;&gt;""</formula>
    </cfRule>
  </conditionalFormatting>
  <conditionalFormatting sqref="B809">
    <cfRule type="expression" dxfId="9117" priority="5981">
      <formula>B805&lt;&gt;""</formula>
    </cfRule>
  </conditionalFormatting>
  <conditionalFormatting sqref="F805:F809">
    <cfRule type="expression" dxfId="9116" priority="5977">
      <formula>F805&lt;&gt;""</formula>
    </cfRule>
  </conditionalFormatting>
  <conditionalFormatting sqref="F805">
    <cfRule type="expression" dxfId="9115" priority="5976">
      <formula>F805&lt;&gt;""</formula>
    </cfRule>
  </conditionalFormatting>
  <conditionalFormatting sqref="F809">
    <cfRule type="expression" dxfId="9114" priority="5975">
      <formula>F805&lt;&gt;""</formula>
    </cfRule>
  </conditionalFormatting>
  <conditionalFormatting sqref="H805:H809">
    <cfRule type="expression" dxfId="9113" priority="5974">
      <formula>H805&lt;&gt;""</formula>
    </cfRule>
  </conditionalFormatting>
  <conditionalFormatting sqref="H805">
    <cfRule type="expression" dxfId="9112" priority="5973">
      <formula>H805&lt;&gt;""</formula>
    </cfRule>
  </conditionalFormatting>
  <conditionalFormatting sqref="H809">
    <cfRule type="expression" dxfId="9111" priority="5972">
      <formula>H805&lt;&gt;""</formula>
    </cfRule>
  </conditionalFormatting>
  <conditionalFormatting sqref="F797:F801">
    <cfRule type="expression" dxfId="9110" priority="5971">
      <formula>F797&lt;&gt;""</formula>
    </cfRule>
  </conditionalFormatting>
  <conditionalFormatting sqref="F797">
    <cfRule type="expression" dxfId="9109" priority="5970">
      <formula>F797&lt;&gt;""</formula>
    </cfRule>
  </conditionalFormatting>
  <conditionalFormatting sqref="F801">
    <cfRule type="expression" dxfId="9108" priority="5969">
      <formula>F797&lt;&gt;""</formula>
    </cfRule>
  </conditionalFormatting>
  <conditionalFormatting sqref="E797:E801">
    <cfRule type="expression" dxfId="9107" priority="5968">
      <formula>F797&lt;&gt;""</formula>
    </cfRule>
  </conditionalFormatting>
  <conditionalFormatting sqref="G797:G801">
    <cfRule type="expression" dxfId="9106" priority="5967">
      <formula>H797&lt;&gt;""</formula>
    </cfRule>
  </conditionalFormatting>
  <conditionalFormatting sqref="I797:I801">
    <cfRule type="expression" dxfId="9105" priority="5966">
      <formula>B805&lt;&gt;""</formula>
    </cfRule>
  </conditionalFormatting>
  <conditionalFormatting sqref="H797:H801">
    <cfRule type="expression" dxfId="9104" priority="5965">
      <formula>H797&lt;&gt;""</formula>
    </cfRule>
  </conditionalFormatting>
  <conditionalFormatting sqref="H797">
    <cfRule type="expression" dxfId="9103" priority="5964">
      <formula>H797&lt;&gt;""</formula>
    </cfRule>
  </conditionalFormatting>
  <conditionalFormatting sqref="H801">
    <cfRule type="expression" dxfId="9102" priority="5963">
      <formula>H797&lt;&gt;""</formula>
    </cfRule>
  </conditionalFormatting>
  <conditionalFormatting sqref="B813:B817">
    <cfRule type="expression" dxfId="9101" priority="5962">
      <formula>B813&lt;&gt;""</formula>
    </cfRule>
  </conditionalFormatting>
  <conditionalFormatting sqref="B813">
    <cfRule type="expression" dxfId="9100" priority="5961">
      <formula>B813&lt;&gt;""</formula>
    </cfRule>
  </conditionalFormatting>
  <conditionalFormatting sqref="B817">
    <cfRule type="expression" dxfId="9099" priority="5960">
      <formula>B813&lt;&gt;""</formula>
    </cfRule>
  </conditionalFormatting>
  <conditionalFormatting sqref="F813:F817">
    <cfRule type="expression" dxfId="9098" priority="5956">
      <formula>F813&lt;&gt;""</formula>
    </cfRule>
  </conditionalFormatting>
  <conditionalFormatting sqref="F813">
    <cfRule type="expression" dxfId="9097" priority="5955">
      <formula>F813&lt;&gt;""</formula>
    </cfRule>
  </conditionalFormatting>
  <conditionalFormatting sqref="F817">
    <cfRule type="expression" dxfId="9096" priority="5954">
      <formula>F813&lt;&gt;""</formula>
    </cfRule>
  </conditionalFormatting>
  <conditionalFormatting sqref="C813:C817">
    <cfRule type="expression" dxfId="9095" priority="5953">
      <formula>D813&lt;&gt;""</formula>
    </cfRule>
  </conditionalFormatting>
  <conditionalFormatting sqref="E813:E817">
    <cfRule type="expression" dxfId="9094" priority="5952">
      <formula>F813&lt;&gt;""</formula>
    </cfRule>
  </conditionalFormatting>
  <conditionalFormatting sqref="G813:G817">
    <cfRule type="expression" dxfId="9093" priority="5951">
      <formula>H813&lt;&gt;""</formula>
    </cfRule>
  </conditionalFormatting>
  <conditionalFormatting sqref="H813:H817">
    <cfRule type="expression" dxfId="9092" priority="5950">
      <formula>H813&lt;&gt;""</formula>
    </cfRule>
  </conditionalFormatting>
  <conditionalFormatting sqref="H813">
    <cfRule type="expression" dxfId="9091" priority="5949">
      <formula>H813&lt;&gt;""</formula>
    </cfRule>
  </conditionalFormatting>
  <conditionalFormatting sqref="H817">
    <cfRule type="expression" dxfId="9090" priority="5948">
      <formula>H813&lt;&gt;""</formula>
    </cfRule>
  </conditionalFormatting>
  <conditionalFormatting sqref="B797:B801">
    <cfRule type="expression" dxfId="9089" priority="5896">
      <formula>B797&lt;&gt;""</formula>
    </cfRule>
  </conditionalFormatting>
  <conditionalFormatting sqref="B803:B804 C803:I803 I802">
    <cfRule type="expression" dxfId="9088" priority="5947">
      <formula>$B$805&lt;&gt;""</formula>
    </cfRule>
  </conditionalFormatting>
  <conditionalFormatting sqref="B811:B812 C811:I811 I810">
    <cfRule type="expression" dxfId="9087" priority="5946">
      <formula>$B$813&lt;&gt;""</formula>
    </cfRule>
  </conditionalFormatting>
  <conditionalFormatting sqref="D841:D845">
    <cfRule type="expression" dxfId="9086" priority="5917">
      <formula>D841&lt;&gt;""</formula>
    </cfRule>
  </conditionalFormatting>
  <conditionalFormatting sqref="D841">
    <cfRule type="expression" dxfId="9085" priority="5916">
      <formula>D841&lt;&gt;""</formula>
    </cfRule>
  </conditionalFormatting>
  <conditionalFormatting sqref="D845">
    <cfRule type="expression" dxfId="9084" priority="5915">
      <formula>D841&lt;&gt;""</formula>
    </cfRule>
  </conditionalFormatting>
  <conditionalFormatting sqref="D833:D837">
    <cfRule type="expression" dxfId="9083" priority="5938">
      <formula>D833&lt;&gt;""</formula>
    </cfRule>
  </conditionalFormatting>
  <conditionalFormatting sqref="D833">
    <cfRule type="expression" dxfId="9082" priority="5937">
      <formula>D833&lt;&gt;""</formula>
    </cfRule>
  </conditionalFormatting>
  <conditionalFormatting sqref="D837">
    <cfRule type="expression" dxfId="9081" priority="5936">
      <formula>D833&lt;&gt;""</formula>
    </cfRule>
  </conditionalFormatting>
  <conditionalFormatting sqref="C833:C837">
    <cfRule type="expression" dxfId="9080" priority="5945">
      <formula>D833&lt;&gt;""</formula>
    </cfRule>
  </conditionalFormatting>
  <conditionalFormatting sqref="E833:E837">
    <cfRule type="expression" dxfId="9079" priority="5944">
      <formula>F833&lt;&gt;""</formula>
    </cfRule>
  </conditionalFormatting>
  <conditionalFormatting sqref="G833:G837">
    <cfRule type="expression" dxfId="9078" priority="5943">
      <formula>H833&lt;&gt;""</formula>
    </cfRule>
  </conditionalFormatting>
  <conditionalFormatting sqref="I833:I837">
    <cfRule type="expression" dxfId="9077" priority="5942">
      <formula>B841&lt;&gt;""</formula>
    </cfRule>
  </conditionalFormatting>
  <conditionalFormatting sqref="B833:B837">
    <cfRule type="expression" dxfId="9076" priority="5941">
      <formula>B833&lt;&gt;""</formula>
    </cfRule>
  </conditionalFormatting>
  <conditionalFormatting sqref="B833">
    <cfRule type="expression" dxfId="9075" priority="5940">
      <formula>B833&lt;&gt;""</formula>
    </cfRule>
  </conditionalFormatting>
  <conditionalFormatting sqref="B837">
    <cfRule type="expression" dxfId="9074" priority="5939">
      <formula>B833&lt;&gt;""</formula>
    </cfRule>
  </conditionalFormatting>
  <conditionalFormatting sqref="F833:F837">
    <cfRule type="expression" dxfId="9073" priority="5935">
      <formula>F833&lt;&gt;""</formula>
    </cfRule>
  </conditionalFormatting>
  <conditionalFormatting sqref="F833">
    <cfRule type="expression" dxfId="9072" priority="5934">
      <formula>F833&lt;&gt;""</formula>
    </cfRule>
  </conditionalFormatting>
  <conditionalFormatting sqref="F837">
    <cfRule type="expression" dxfId="9071" priority="5933">
      <formula>F833&lt;&gt;""</formula>
    </cfRule>
  </conditionalFormatting>
  <conditionalFormatting sqref="H833:H837">
    <cfRule type="expression" dxfId="9070" priority="5932">
      <formula>H833&lt;&gt;""</formula>
    </cfRule>
  </conditionalFormatting>
  <conditionalFormatting sqref="H833">
    <cfRule type="expression" dxfId="9069" priority="5931">
      <formula>H833&lt;&gt;""</formula>
    </cfRule>
  </conditionalFormatting>
  <conditionalFormatting sqref="H837">
    <cfRule type="expression" dxfId="9068" priority="5930">
      <formula>H833&lt;&gt;""</formula>
    </cfRule>
  </conditionalFormatting>
  <conditionalFormatting sqref="F825:F829">
    <cfRule type="expression" dxfId="9067" priority="5929">
      <formula>F825&lt;&gt;""</formula>
    </cfRule>
  </conditionalFormatting>
  <conditionalFormatting sqref="F825">
    <cfRule type="expression" dxfId="9066" priority="5928">
      <formula>F825&lt;&gt;""</formula>
    </cfRule>
  </conditionalFormatting>
  <conditionalFormatting sqref="F829">
    <cfRule type="expression" dxfId="9065" priority="5927">
      <formula>F825&lt;&gt;""</formula>
    </cfRule>
  </conditionalFormatting>
  <conditionalFormatting sqref="E825:E829">
    <cfRule type="expression" dxfId="9064" priority="5926">
      <formula>F825&lt;&gt;""</formula>
    </cfRule>
  </conditionalFormatting>
  <conditionalFormatting sqref="G825:G829">
    <cfRule type="expression" dxfId="9063" priority="5925">
      <formula>H825&lt;&gt;""</formula>
    </cfRule>
  </conditionalFormatting>
  <conditionalFormatting sqref="I825:I829">
    <cfRule type="expression" dxfId="9062" priority="5924">
      <formula>B833&lt;&gt;""</formula>
    </cfRule>
  </conditionalFormatting>
  <conditionalFormatting sqref="H825:H829">
    <cfRule type="expression" dxfId="9061" priority="5923">
      <formula>H825&lt;&gt;""</formula>
    </cfRule>
  </conditionalFormatting>
  <conditionalFormatting sqref="H825">
    <cfRule type="expression" dxfId="9060" priority="5922">
      <formula>H825&lt;&gt;""</formula>
    </cfRule>
  </conditionalFormatting>
  <conditionalFormatting sqref="H829">
    <cfRule type="expression" dxfId="9059" priority="5921">
      <formula>H825&lt;&gt;""</formula>
    </cfRule>
  </conditionalFormatting>
  <conditionalFormatting sqref="B841:B845">
    <cfRule type="expression" dxfId="9058" priority="5920">
      <formula>B841&lt;&gt;""</formula>
    </cfRule>
  </conditionalFormatting>
  <conditionalFormatting sqref="B841">
    <cfRule type="expression" dxfId="9057" priority="5919">
      <formula>B841&lt;&gt;""</formula>
    </cfRule>
  </conditionalFormatting>
  <conditionalFormatting sqref="B845">
    <cfRule type="expression" dxfId="9056" priority="5918">
      <formula>B841&lt;&gt;""</formula>
    </cfRule>
  </conditionalFormatting>
  <conditionalFormatting sqref="F841:F845">
    <cfRule type="expression" dxfId="9055" priority="5914">
      <formula>F841&lt;&gt;""</formula>
    </cfRule>
  </conditionalFormatting>
  <conditionalFormatting sqref="F841">
    <cfRule type="expression" dxfId="9054" priority="5913">
      <formula>F841&lt;&gt;""</formula>
    </cfRule>
  </conditionalFormatting>
  <conditionalFormatting sqref="F845">
    <cfRule type="expression" dxfId="9053" priority="5912">
      <formula>F841&lt;&gt;""</formula>
    </cfRule>
  </conditionalFormatting>
  <conditionalFormatting sqref="C841:C845">
    <cfRule type="expression" dxfId="9052" priority="5911">
      <formula>D841&lt;&gt;""</formula>
    </cfRule>
  </conditionalFormatting>
  <conditionalFormatting sqref="E841:E845">
    <cfRule type="expression" dxfId="9051" priority="5910">
      <formula>F841&lt;&gt;""</formula>
    </cfRule>
  </conditionalFormatting>
  <conditionalFormatting sqref="G841:G845">
    <cfRule type="expression" dxfId="9050" priority="5909">
      <formula>H841&lt;&gt;""</formula>
    </cfRule>
  </conditionalFormatting>
  <conditionalFormatting sqref="H841:H845">
    <cfRule type="expression" dxfId="9049" priority="5908">
      <formula>H841&lt;&gt;""</formula>
    </cfRule>
  </conditionalFormatting>
  <conditionalFormatting sqref="H841">
    <cfRule type="expression" dxfId="9048" priority="5907">
      <formula>H841&lt;&gt;""</formula>
    </cfRule>
  </conditionalFormatting>
  <conditionalFormatting sqref="H845">
    <cfRule type="expression" dxfId="9047" priority="5906">
      <formula>H841&lt;&gt;""</formula>
    </cfRule>
  </conditionalFormatting>
  <conditionalFormatting sqref="B825:B829">
    <cfRule type="expression" dxfId="9046" priority="5889">
      <formula>B825&lt;&gt;""</formula>
    </cfRule>
  </conditionalFormatting>
  <conditionalFormatting sqref="B831:B832 C831:I831 I830">
    <cfRule type="expression" dxfId="9045" priority="5905">
      <formula>$B$833&lt;&gt;""</formula>
    </cfRule>
  </conditionalFormatting>
  <conditionalFormatting sqref="B839:B840 C839:I839 I838">
    <cfRule type="expression" dxfId="9044" priority="5904">
      <formula>$B$841&lt;&gt;""</formula>
    </cfRule>
  </conditionalFormatting>
  <conditionalFormatting sqref="B769:B773">
    <cfRule type="expression" dxfId="9043" priority="5903">
      <formula>B769&lt;&gt;""</formula>
    </cfRule>
  </conditionalFormatting>
  <conditionalFormatting sqref="B769">
    <cfRule type="expression" dxfId="9042" priority="5902">
      <formula>B769&lt;&gt;""</formula>
    </cfRule>
  </conditionalFormatting>
  <conditionalFormatting sqref="B773">
    <cfRule type="expression" dxfId="9041" priority="5901">
      <formula>B769&lt;&gt;""</formula>
    </cfRule>
  </conditionalFormatting>
  <conditionalFormatting sqref="C769:C773">
    <cfRule type="expression" dxfId="9040" priority="5900">
      <formula>D769&lt;&gt;""</formula>
    </cfRule>
  </conditionalFormatting>
  <conditionalFormatting sqref="D769:D773">
    <cfRule type="expression" dxfId="9039" priority="5899">
      <formula>D769&lt;&gt;""</formula>
    </cfRule>
  </conditionalFormatting>
  <conditionalFormatting sqref="D769">
    <cfRule type="expression" dxfId="9038" priority="5898">
      <formula>D769&lt;&gt;""</formula>
    </cfRule>
  </conditionalFormatting>
  <conditionalFormatting sqref="D773">
    <cfRule type="expression" dxfId="9037" priority="5897">
      <formula>D769&lt;&gt;""</formula>
    </cfRule>
  </conditionalFormatting>
  <conditionalFormatting sqref="B797">
    <cfRule type="expression" dxfId="9036" priority="5895">
      <formula>B797&lt;&gt;""</formula>
    </cfRule>
  </conditionalFormatting>
  <conditionalFormatting sqref="B801">
    <cfRule type="expression" dxfId="9035" priority="5894">
      <formula>B797&lt;&gt;""</formula>
    </cfRule>
  </conditionalFormatting>
  <conditionalFormatting sqref="C797:C801">
    <cfRule type="expression" dxfId="9034" priority="5893">
      <formula>D797&lt;&gt;""</formula>
    </cfRule>
  </conditionalFormatting>
  <conditionalFormatting sqref="D797:D801">
    <cfRule type="expression" dxfId="9033" priority="5892">
      <formula>D797&lt;&gt;""</formula>
    </cfRule>
  </conditionalFormatting>
  <conditionalFormatting sqref="D797">
    <cfRule type="expression" dxfId="9032" priority="5891">
      <formula>D797&lt;&gt;""</formula>
    </cfRule>
  </conditionalFormatting>
  <conditionalFormatting sqref="D801">
    <cfRule type="expression" dxfId="9031" priority="5890">
      <formula>D797&lt;&gt;""</formula>
    </cfRule>
  </conditionalFormatting>
  <conditionalFormatting sqref="B825">
    <cfRule type="expression" dxfId="9030" priority="5888">
      <formula>B825&lt;&gt;""</formula>
    </cfRule>
  </conditionalFormatting>
  <conditionalFormatting sqref="B829">
    <cfRule type="expression" dxfId="9029" priority="5887">
      <formula>B825&lt;&gt;""</formula>
    </cfRule>
  </conditionalFormatting>
  <conditionalFormatting sqref="C825:C829">
    <cfRule type="expression" dxfId="9028" priority="5886">
      <formula>D825&lt;&gt;""</formula>
    </cfRule>
  </conditionalFormatting>
  <conditionalFormatting sqref="D825:D829">
    <cfRule type="expression" dxfId="9027" priority="5885">
      <formula>D825&lt;&gt;""</formula>
    </cfRule>
  </conditionalFormatting>
  <conditionalFormatting sqref="D825">
    <cfRule type="expression" dxfId="9026" priority="5884">
      <formula>D825&lt;&gt;""</formula>
    </cfRule>
  </conditionalFormatting>
  <conditionalFormatting sqref="D829">
    <cfRule type="expression" dxfId="9025" priority="5883">
      <formula>D825&lt;&gt;""</formula>
    </cfRule>
  </conditionalFormatting>
  <conditionalFormatting sqref="B783:B784 C783:I783 I782">
    <cfRule type="expression" dxfId="9024" priority="5882">
      <formula>$B$785&lt;&gt;""</formula>
    </cfRule>
  </conditionalFormatting>
  <conditionalFormatting sqref="B775:B776 C775:I775 I774">
    <cfRule type="expression" dxfId="9023" priority="5881">
      <formula>$B$777&lt;&gt;""</formula>
    </cfRule>
  </conditionalFormatting>
  <conditionalFormatting sqref="D1039:D1043">
    <cfRule type="expression" dxfId="9022" priority="5851">
      <formula>D1039&lt;&gt;""</formula>
    </cfRule>
  </conditionalFormatting>
  <conditionalFormatting sqref="D1039">
    <cfRule type="expression" dxfId="9021" priority="5850">
      <formula>D1039&lt;&gt;""</formula>
    </cfRule>
  </conditionalFormatting>
  <conditionalFormatting sqref="D1043">
    <cfRule type="expression" dxfId="9020" priority="5849">
      <formula>D1039&lt;&gt;""</formula>
    </cfRule>
  </conditionalFormatting>
  <conditionalFormatting sqref="I1028:I1029 C1029:H1029 B1029:B1030">
    <cfRule type="expression" dxfId="9019" priority="5839">
      <formula>$B$1031&lt;&gt;""</formula>
    </cfRule>
  </conditionalFormatting>
  <conditionalFormatting sqref="D1031:D1035">
    <cfRule type="expression" dxfId="9018" priority="5873">
      <formula>D1031&lt;&gt;""</formula>
    </cfRule>
  </conditionalFormatting>
  <conditionalFormatting sqref="D1031">
    <cfRule type="expression" dxfId="9017" priority="5872">
      <formula>D1031&lt;&gt;""</formula>
    </cfRule>
  </conditionalFormatting>
  <conditionalFormatting sqref="D1035">
    <cfRule type="expression" dxfId="9016" priority="5871">
      <formula>D1031&lt;&gt;""</formula>
    </cfRule>
  </conditionalFormatting>
  <conditionalFormatting sqref="C1031:C1035">
    <cfRule type="expression" dxfId="9015" priority="5880">
      <formula>D1031&lt;&gt;""</formula>
    </cfRule>
  </conditionalFormatting>
  <conditionalFormatting sqref="E1031:E1035">
    <cfRule type="expression" dxfId="9014" priority="5879">
      <formula>F1031&lt;&gt;""</formula>
    </cfRule>
  </conditionalFormatting>
  <conditionalFormatting sqref="G1031:G1035">
    <cfRule type="expression" dxfId="9013" priority="5878">
      <formula>H1031&lt;&gt;""</formula>
    </cfRule>
  </conditionalFormatting>
  <conditionalFormatting sqref="I1031:I1035">
    <cfRule type="expression" dxfId="9012" priority="5877">
      <formula>B1039&lt;&gt;""</formula>
    </cfRule>
  </conditionalFormatting>
  <conditionalFormatting sqref="B1031:B1035">
    <cfRule type="expression" dxfId="9011" priority="5876">
      <formula>B1031&lt;&gt;""</formula>
    </cfRule>
  </conditionalFormatting>
  <conditionalFormatting sqref="B1031">
    <cfRule type="expression" dxfId="9010" priority="5875">
      <formula>B1031&lt;&gt;""</formula>
    </cfRule>
  </conditionalFormatting>
  <conditionalFormatting sqref="B1035">
    <cfRule type="expression" dxfId="9009" priority="5874">
      <formula>B1031&lt;&gt;""</formula>
    </cfRule>
  </conditionalFormatting>
  <conditionalFormatting sqref="F1031:F1035">
    <cfRule type="expression" dxfId="9008" priority="5870">
      <formula>F1031&lt;&gt;""</formula>
    </cfRule>
  </conditionalFormatting>
  <conditionalFormatting sqref="F1031">
    <cfRule type="expression" dxfId="9007" priority="5869">
      <formula>F1031&lt;&gt;""</formula>
    </cfRule>
  </conditionalFormatting>
  <conditionalFormatting sqref="F1035">
    <cfRule type="expression" dxfId="9006" priority="5868">
      <formula>F1031&lt;&gt;""</formula>
    </cfRule>
  </conditionalFormatting>
  <conditionalFormatting sqref="H1031:H1035">
    <cfRule type="expression" dxfId="9005" priority="5867">
      <formula>H1031&lt;&gt;""</formula>
    </cfRule>
  </conditionalFormatting>
  <conditionalFormatting sqref="H1031">
    <cfRule type="expression" dxfId="9004" priority="5866">
      <formula>H1031&lt;&gt;""</formula>
    </cfRule>
  </conditionalFormatting>
  <conditionalFormatting sqref="H1035">
    <cfRule type="expression" dxfId="9003" priority="5865">
      <formula>H1031&lt;&gt;""</formula>
    </cfRule>
  </conditionalFormatting>
  <conditionalFormatting sqref="F1023:F1027">
    <cfRule type="expression" dxfId="9002" priority="5864">
      <formula>F1023&lt;&gt;""</formula>
    </cfRule>
  </conditionalFormatting>
  <conditionalFormatting sqref="F1023">
    <cfRule type="expression" dxfId="9001" priority="5863">
      <formula>F1023&lt;&gt;""</formula>
    </cfRule>
  </conditionalFormatting>
  <conditionalFormatting sqref="F1027">
    <cfRule type="expression" dxfId="9000" priority="5862">
      <formula>F1023&lt;&gt;""</formula>
    </cfRule>
  </conditionalFormatting>
  <conditionalFormatting sqref="E1023:E1027">
    <cfRule type="expression" dxfId="8999" priority="5861">
      <formula>F1023&lt;&gt;""</formula>
    </cfRule>
  </conditionalFormatting>
  <conditionalFormatting sqref="G1023:G1027">
    <cfRule type="expression" dxfId="8998" priority="5860">
      <formula>H1023&lt;&gt;""</formula>
    </cfRule>
  </conditionalFormatting>
  <conditionalFormatting sqref="I1023:I1027">
    <cfRule type="expression" dxfId="8997" priority="5859">
      <formula>B1031&lt;&gt;""</formula>
    </cfRule>
  </conditionalFormatting>
  <conditionalFormatting sqref="H1023:H1027">
    <cfRule type="expression" dxfId="8996" priority="5858">
      <formula>H1023&lt;&gt;""</formula>
    </cfRule>
  </conditionalFormatting>
  <conditionalFormatting sqref="H1023">
    <cfRule type="expression" dxfId="8995" priority="5857">
      <formula>H1023&lt;&gt;""</formula>
    </cfRule>
  </conditionalFormatting>
  <conditionalFormatting sqref="H1027">
    <cfRule type="expression" dxfId="8994" priority="5856">
      <formula>H1023&lt;&gt;""</formula>
    </cfRule>
  </conditionalFormatting>
  <conditionalFormatting sqref="I1036:I1037 C1037:H1037 B1037:B1038">
    <cfRule type="expression" dxfId="8993" priority="5855">
      <formula>$B$1039&lt;&gt;""</formula>
    </cfRule>
  </conditionalFormatting>
  <conditionalFormatting sqref="B1039:B1043">
    <cfRule type="expression" dxfId="8992" priority="5854">
      <formula>B1039&lt;&gt;""</formula>
    </cfRule>
  </conditionalFormatting>
  <conditionalFormatting sqref="B1039">
    <cfRule type="expression" dxfId="8991" priority="5853">
      <formula>B1039&lt;&gt;""</formula>
    </cfRule>
  </conditionalFormatting>
  <conditionalFormatting sqref="B1043">
    <cfRule type="expression" dxfId="8990" priority="5852">
      <formula>B1039&lt;&gt;""</formula>
    </cfRule>
  </conditionalFormatting>
  <conditionalFormatting sqref="F1039:F1043">
    <cfRule type="expression" dxfId="8989" priority="5848">
      <formula>F1039&lt;&gt;""</formula>
    </cfRule>
  </conditionalFormatting>
  <conditionalFormatting sqref="F1039">
    <cfRule type="expression" dxfId="8988" priority="5847">
      <formula>F1039&lt;&gt;""</formula>
    </cfRule>
  </conditionalFormatting>
  <conditionalFormatting sqref="F1043">
    <cfRule type="expression" dxfId="8987" priority="5846">
      <formula>F1039&lt;&gt;""</formula>
    </cfRule>
  </conditionalFormatting>
  <conditionalFormatting sqref="C1039:C1043">
    <cfRule type="expression" dxfId="8986" priority="5845">
      <formula>D1039&lt;&gt;""</formula>
    </cfRule>
  </conditionalFormatting>
  <conditionalFormatting sqref="E1039:E1043">
    <cfRule type="expression" dxfId="8985" priority="5844">
      <formula>F1039&lt;&gt;""</formula>
    </cfRule>
  </conditionalFormatting>
  <conditionalFormatting sqref="G1039:G1043">
    <cfRule type="expression" dxfId="8984" priority="5843">
      <formula>H1039&lt;&gt;""</formula>
    </cfRule>
  </conditionalFormatting>
  <conditionalFormatting sqref="H1039:H1043">
    <cfRule type="expression" dxfId="8983" priority="5842">
      <formula>H1039&lt;&gt;""</formula>
    </cfRule>
  </conditionalFormatting>
  <conditionalFormatting sqref="H1039">
    <cfRule type="expression" dxfId="8982" priority="5841">
      <formula>H1039&lt;&gt;""</formula>
    </cfRule>
  </conditionalFormatting>
  <conditionalFormatting sqref="H1043">
    <cfRule type="expression" dxfId="8981" priority="5840">
      <formula>H1039&lt;&gt;""</formula>
    </cfRule>
  </conditionalFormatting>
  <conditionalFormatting sqref="D1011:D1015">
    <cfRule type="expression" dxfId="8980" priority="5809">
      <formula>D1011&lt;&gt;""</formula>
    </cfRule>
  </conditionalFormatting>
  <conditionalFormatting sqref="D1011">
    <cfRule type="expression" dxfId="8979" priority="5808">
      <formula>D1011&lt;&gt;""</formula>
    </cfRule>
  </conditionalFormatting>
  <conditionalFormatting sqref="D1015">
    <cfRule type="expression" dxfId="8978" priority="5807">
      <formula>D1011&lt;&gt;""</formula>
    </cfRule>
  </conditionalFormatting>
  <conditionalFormatting sqref="I1000:I1001 C1001:H1001 B1001:B1002">
    <cfRule type="expression" dxfId="8977" priority="5797">
      <formula>$B$1003&lt;&gt;""</formula>
    </cfRule>
  </conditionalFormatting>
  <conditionalFormatting sqref="D1003:D1007">
    <cfRule type="expression" dxfId="8976" priority="5831">
      <formula>D1003&lt;&gt;""</formula>
    </cfRule>
  </conditionalFormatting>
  <conditionalFormatting sqref="D1003">
    <cfRule type="expression" dxfId="8975" priority="5830">
      <formula>D1003&lt;&gt;""</formula>
    </cfRule>
  </conditionalFormatting>
  <conditionalFormatting sqref="D1007">
    <cfRule type="expression" dxfId="8974" priority="5829">
      <formula>D1003&lt;&gt;""</formula>
    </cfRule>
  </conditionalFormatting>
  <conditionalFormatting sqref="C1003:C1007">
    <cfRule type="expression" dxfId="8973" priority="5838">
      <formula>D1003&lt;&gt;""</formula>
    </cfRule>
  </conditionalFormatting>
  <conditionalFormatting sqref="E1003:E1007">
    <cfRule type="expression" dxfId="8972" priority="5837">
      <formula>F1003&lt;&gt;""</formula>
    </cfRule>
  </conditionalFormatting>
  <conditionalFormatting sqref="G1003:G1007">
    <cfRule type="expression" dxfId="8971" priority="5836">
      <formula>H1003&lt;&gt;""</formula>
    </cfRule>
  </conditionalFormatting>
  <conditionalFormatting sqref="I1003:I1007">
    <cfRule type="expression" dxfId="8970" priority="5835">
      <formula>B1011&lt;&gt;""</formula>
    </cfRule>
  </conditionalFormatting>
  <conditionalFormatting sqref="B1003:B1007">
    <cfRule type="expression" dxfId="8969" priority="5834">
      <formula>B1003&lt;&gt;""</formula>
    </cfRule>
  </conditionalFormatting>
  <conditionalFormatting sqref="B1003">
    <cfRule type="expression" dxfId="8968" priority="5833">
      <formula>B1003&lt;&gt;""</formula>
    </cfRule>
  </conditionalFormatting>
  <conditionalFormatting sqref="B1007">
    <cfRule type="expression" dxfId="8967" priority="5832">
      <formula>B1003&lt;&gt;""</formula>
    </cfRule>
  </conditionalFormatting>
  <conditionalFormatting sqref="F1003:F1007">
    <cfRule type="expression" dxfId="8966" priority="5828">
      <formula>F1003&lt;&gt;""</formula>
    </cfRule>
  </conditionalFormatting>
  <conditionalFormatting sqref="F1003">
    <cfRule type="expression" dxfId="8965" priority="5827">
      <formula>F1003&lt;&gt;""</formula>
    </cfRule>
  </conditionalFormatting>
  <conditionalFormatting sqref="F1007">
    <cfRule type="expression" dxfId="8964" priority="5826">
      <formula>F1003&lt;&gt;""</formula>
    </cfRule>
  </conditionalFormatting>
  <conditionalFormatting sqref="H1003:H1007">
    <cfRule type="expression" dxfId="8963" priority="5825">
      <formula>H1003&lt;&gt;""</formula>
    </cfRule>
  </conditionalFormatting>
  <conditionalFormatting sqref="H1003">
    <cfRule type="expression" dxfId="8962" priority="5824">
      <formula>H1003&lt;&gt;""</formula>
    </cfRule>
  </conditionalFormatting>
  <conditionalFormatting sqref="H1007">
    <cfRule type="expression" dxfId="8961" priority="5823">
      <formula>H1003&lt;&gt;""</formula>
    </cfRule>
  </conditionalFormatting>
  <conditionalFormatting sqref="F995:F999">
    <cfRule type="expression" dxfId="8960" priority="5822">
      <formula>F995&lt;&gt;""</formula>
    </cfRule>
  </conditionalFormatting>
  <conditionalFormatting sqref="F995">
    <cfRule type="expression" dxfId="8959" priority="5821">
      <formula>F995&lt;&gt;""</formula>
    </cfRule>
  </conditionalFormatting>
  <conditionalFormatting sqref="F999">
    <cfRule type="expression" dxfId="8958" priority="5820">
      <formula>F995&lt;&gt;""</formula>
    </cfRule>
  </conditionalFormatting>
  <conditionalFormatting sqref="E995:E999">
    <cfRule type="expression" dxfId="8957" priority="5819">
      <formula>F995&lt;&gt;""</formula>
    </cfRule>
  </conditionalFormatting>
  <conditionalFormatting sqref="G995:G999">
    <cfRule type="expression" dxfId="8956" priority="5818">
      <formula>H995&lt;&gt;""</formula>
    </cfRule>
  </conditionalFormatting>
  <conditionalFormatting sqref="I995:I999">
    <cfRule type="expression" dxfId="8955" priority="5817">
      <formula>B1003&lt;&gt;""</formula>
    </cfRule>
  </conditionalFormatting>
  <conditionalFormatting sqref="H995:H999">
    <cfRule type="expression" dxfId="8954" priority="5816">
      <formula>H995&lt;&gt;""</formula>
    </cfRule>
  </conditionalFormatting>
  <conditionalFormatting sqref="H995">
    <cfRule type="expression" dxfId="8953" priority="5815">
      <formula>H995&lt;&gt;""</formula>
    </cfRule>
  </conditionalFormatting>
  <conditionalFormatting sqref="H999">
    <cfRule type="expression" dxfId="8952" priority="5814">
      <formula>H995&lt;&gt;""</formula>
    </cfRule>
  </conditionalFormatting>
  <conditionalFormatting sqref="I1008:I1009 C1009:H1009 B1009:B1010">
    <cfRule type="expression" dxfId="8951" priority="5813">
      <formula>$B$1011&lt;&gt;""</formula>
    </cfRule>
  </conditionalFormatting>
  <conditionalFormatting sqref="B1011:B1015">
    <cfRule type="expression" dxfId="8950" priority="5812">
      <formula>B1011&lt;&gt;""</formula>
    </cfRule>
  </conditionalFormatting>
  <conditionalFormatting sqref="B1011">
    <cfRule type="expression" dxfId="8949" priority="5811">
      <formula>B1011&lt;&gt;""</formula>
    </cfRule>
  </conditionalFormatting>
  <conditionalFormatting sqref="B1015">
    <cfRule type="expression" dxfId="8948" priority="5810">
      <formula>B1011&lt;&gt;""</formula>
    </cfRule>
  </conditionalFormatting>
  <conditionalFormatting sqref="F1011:F1015">
    <cfRule type="expression" dxfId="8947" priority="5806">
      <formula>F1011&lt;&gt;""</formula>
    </cfRule>
  </conditionalFormatting>
  <conditionalFormatting sqref="F1011">
    <cfRule type="expression" dxfId="8946" priority="5805">
      <formula>F1011&lt;&gt;""</formula>
    </cfRule>
  </conditionalFormatting>
  <conditionalFormatting sqref="F1015">
    <cfRule type="expression" dxfId="8945" priority="5804">
      <formula>F1011&lt;&gt;""</formula>
    </cfRule>
  </conditionalFormatting>
  <conditionalFormatting sqref="C1011:C1015">
    <cfRule type="expression" dxfId="8944" priority="5803">
      <formula>D1011&lt;&gt;""</formula>
    </cfRule>
  </conditionalFormatting>
  <conditionalFormatting sqref="E1011:E1015">
    <cfRule type="expression" dxfId="8943" priority="5802">
      <formula>F1011&lt;&gt;""</formula>
    </cfRule>
  </conditionalFormatting>
  <conditionalFormatting sqref="G1011:G1015">
    <cfRule type="expression" dxfId="8942" priority="5801">
      <formula>H1011&lt;&gt;""</formula>
    </cfRule>
  </conditionalFormatting>
  <conditionalFormatting sqref="H1011:H1015">
    <cfRule type="expression" dxfId="8941" priority="5800">
      <formula>H1011&lt;&gt;""</formula>
    </cfRule>
  </conditionalFormatting>
  <conditionalFormatting sqref="H1011">
    <cfRule type="expression" dxfId="8940" priority="5799">
      <formula>H1011&lt;&gt;""</formula>
    </cfRule>
  </conditionalFormatting>
  <conditionalFormatting sqref="H1015">
    <cfRule type="expression" dxfId="8939" priority="5798">
      <formula>H1011&lt;&gt;""</formula>
    </cfRule>
  </conditionalFormatting>
  <conditionalFormatting sqref="D983:D987">
    <cfRule type="expression" dxfId="8938" priority="5767">
      <formula>D983&lt;&gt;""</formula>
    </cfRule>
  </conditionalFormatting>
  <conditionalFormatting sqref="D983">
    <cfRule type="expression" dxfId="8937" priority="5766">
      <formula>D983&lt;&gt;""</formula>
    </cfRule>
  </conditionalFormatting>
  <conditionalFormatting sqref="D987">
    <cfRule type="expression" dxfId="8936" priority="5765">
      <formula>D983&lt;&gt;""</formula>
    </cfRule>
  </conditionalFormatting>
  <conditionalFormatting sqref="I972:I973 C973:H973 B973:B974">
    <cfRule type="expression" dxfId="8935" priority="5755">
      <formula>$B$975&lt;&gt;""</formula>
    </cfRule>
  </conditionalFormatting>
  <conditionalFormatting sqref="D975:D979">
    <cfRule type="expression" dxfId="8934" priority="5789">
      <formula>D975&lt;&gt;""</formula>
    </cfRule>
  </conditionalFormatting>
  <conditionalFormatting sqref="D975">
    <cfRule type="expression" dxfId="8933" priority="5788">
      <formula>D975&lt;&gt;""</formula>
    </cfRule>
  </conditionalFormatting>
  <conditionalFormatting sqref="D979">
    <cfRule type="expression" dxfId="8932" priority="5787">
      <formula>D975&lt;&gt;""</formula>
    </cfRule>
  </conditionalFormatting>
  <conditionalFormatting sqref="C975:C979">
    <cfRule type="expression" dxfId="8931" priority="5796">
      <formula>D975&lt;&gt;""</formula>
    </cfRule>
  </conditionalFormatting>
  <conditionalFormatting sqref="E975:E979">
    <cfRule type="expression" dxfId="8930" priority="5795">
      <formula>F975&lt;&gt;""</formula>
    </cfRule>
  </conditionalFormatting>
  <conditionalFormatting sqref="G975:G979">
    <cfRule type="expression" dxfId="8929" priority="5794">
      <formula>H975&lt;&gt;""</formula>
    </cfRule>
  </conditionalFormatting>
  <conditionalFormatting sqref="I975:I979">
    <cfRule type="expression" dxfId="8928" priority="5793">
      <formula>B983&lt;&gt;""</formula>
    </cfRule>
  </conditionalFormatting>
  <conditionalFormatting sqref="B975:B979">
    <cfRule type="expression" dxfId="8927" priority="5792">
      <formula>B975&lt;&gt;""</formula>
    </cfRule>
  </conditionalFormatting>
  <conditionalFormatting sqref="B975">
    <cfRule type="expression" dxfId="8926" priority="5791">
      <formula>B975&lt;&gt;""</formula>
    </cfRule>
  </conditionalFormatting>
  <conditionalFormatting sqref="B979">
    <cfRule type="expression" dxfId="8925" priority="5790">
      <formula>B975&lt;&gt;""</formula>
    </cfRule>
  </conditionalFormatting>
  <conditionalFormatting sqref="F975:F979">
    <cfRule type="expression" dxfId="8924" priority="5786">
      <formula>F975&lt;&gt;""</formula>
    </cfRule>
  </conditionalFormatting>
  <conditionalFormatting sqref="F975">
    <cfRule type="expression" dxfId="8923" priority="5785">
      <formula>F975&lt;&gt;""</formula>
    </cfRule>
  </conditionalFormatting>
  <conditionalFormatting sqref="F979">
    <cfRule type="expression" dxfId="8922" priority="5784">
      <formula>F975&lt;&gt;""</formula>
    </cfRule>
  </conditionalFormatting>
  <conditionalFormatting sqref="H975:H979">
    <cfRule type="expression" dxfId="8921" priority="5783">
      <formula>H975&lt;&gt;""</formula>
    </cfRule>
  </conditionalFormatting>
  <conditionalFormatting sqref="H975">
    <cfRule type="expression" dxfId="8920" priority="5782">
      <formula>H975&lt;&gt;""</formula>
    </cfRule>
  </conditionalFormatting>
  <conditionalFormatting sqref="H979">
    <cfRule type="expression" dxfId="8919" priority="5781">
      <formula>H975&lt;&gt;""</formula>
    </cfRule>
  </conditionalFormatting>
  <conditionalFormatting sqref="F967:F971">
    <cfRule type="expression" dxfId="8918" priority="5780">
      <formula>F967&lt;&gt;""</formula>
    </cfRule>
  </conditionalFormatting>
  <conditionalFormatting sqref="F967">
    <cfRule type="expression" dxfId="8917" priority="5779">
      <formula>F967&lt;&gt;""</formula>
    </cfRule>
  </conditionalFormatting>
  <conditionalFormatting sqref="F971">
    <cfRule type="expression" dxfId="8916" priority="5778">
      <formula>F967&lt;&gt;""</formula>
    </cfRule>
  </conditionalFormatting>
  <conditionalFormatting sqref="E967:E971">
    <cfRule type="expression" dxfId="8915" priority="5777">
      <formula>F967&lt;&gt;""</formula>
    </cfRule>
  </conditionalFormatting>
  <conditionalFormatting sqref="G967:G971">
    <cfRule type="expression" dxfId="8914" priority="5776">
      <formula>H967&lt;&gt;""</formula>
    </cfRule>
  </conditionalFormatting>
  <conditionalFormatting sqref="I967:I971">
    <cfRule type="expression" dxfId="8913" priority="5775">
      <formula>B975&lt;&gt;""</formula>
    </cfRule>
  </conditionalFormatting>
  <conditionalFormatting sqref="H967:H971">
    <cfRule type="expression" dxfId="8912" priority="5774">
      <formula>H967&lt;&gt;""</formula>
    </cfRule>
  </conditionalFormatting>
  <conditionalFormatting sqref="H967">
    <cfRule type="expression" dxfId="8911" priority="5773">
      <formula>H967&lt;&gt;""</formula>
    </cfRule>
  </conditionalFormatting>
  <conditionalFormatting sqref="H971">
    <cfRule type="expression" dxfId="8910" priority="5772">
      <formula>H967&lt;&gt;""</formula>
    </cfRule>
  </conditionalFormatting>
  <conditionalFormatting sqref="I980:I981 C981:H981 B981:B982">
    <cfRule type="expression" dxfId="8909" priority="5771">
      <formula>$B$983&lt;&gt;""</formula>
    </cfRule>
  </conditionalFormatting>
  <conditionalFormatting sqref="B983:B987">
    <cfRule type="expression" dxfId="8908" priority="5770">
      <formula>B983&lt;&gt;""</formula>
    </cfRule>
  </conditionalFormatting>
  <conditionalFormatting sqref="B983">
    <cfRule type="expression" dxfId="8907" priority="5769">
      <formula>B983&lt;&gt;""</formula>
    </cfRule>
  </conditionalFormatting>
  <conditionalFormatting sqref="B987">
    <cfRule type="expression" dxfId="8906" priority="5768">
      <formula>B983&lt;&gt;""</formula>
    </cfRule>
  </conditionalFormatting>
  <conditionalFormatting sqref="F983:F987">
    <cfRule type="expression" dxfId="8905" priority="5764">
      <formula>F983&lt;&gt;""</formula>
    </cfRule>
  </conditionalFormatting>
  <conditionalFormatting sqref="F983">
    <cfRule type="expression" dxfId="8904" priority="5763">
      <formula>F983&lt;&gt;""</formula>
    </cfRule>
  </conditionalFormatting>
  <conditionalFormatting sqref="F987">
    <cfRule type="expression" dxfId="8903" priority="5762">
      <formula>F983&lt;&gt;""</formula>
    </cfRule>
  </conditionalFormatting>
  <conditionalFormatting sqref="C983:C987">
    <cfRule type="expression" dxfId="8902" priority="5761">
      <formula>D983&lt;&gt;""</formula>
    </cfRule>
  </conditionalFormatting>
  <conditionalFormatting sqref="E983:E987">
    <cfRule type="expression" dxfId="8901" priority="5760">
      <formula>F983&lt;&gt;""</formula>
    </cfRule>
  </conditionalFormatting>
  <conditionalFormatting sqref="G983:G987">
    <cfRule type="expression" dxfId="8900" priority="5759">
      <formula>H983&lt;&gt;""</formula>
    </cfRule>
  </conditionalFormatting>
  <conditionalFormatting sqref="H983:H987">
    <cfRule type="expression" dxfId="8899" priority="5758">
      <formula>H983&lt;&gt;""</formula>
    </cfRule>
  </conditionalFormatting>
  <conditionalFormatting sqref="H983">
    <cfRule type="expression" dxfId="8898" priority="5757">
      <formula>H983&lt;&gt;""</formula>
    </cfRule>
  </conditionalFormatting>
  <conditionalFormatting sqref="H987">
    <cfRule type="expression" dxfId="8897" priority="5756">
      <formula>H983&lt;&gt;""</formula>
    </cfRule>
  </conditionalFormatting>
  <conditionalFormatting sqref="D955:D959">
    <cfRule type="expression" dxfId="8896" priority="5725">
      <formula>D955&lt;&gt;""</formula>
    </cfRule>
  </conditionalFormatting>
  <conditionalFormatting sqref="D955">
    <cfRule type="expression" dxfId="8895" priority="5724">
      <formula>D955&lt;&gt;""</formula>
    </cfRule>
  </conditionalFormatting>
  <conditionalFormatting sqref="D959">
    <cfRule type="expression" dxfId="8894" priority="5723">
      <formula>D955&lt;&gt;""</formula>
    </cfRule>
  </conditionalFormatting>
  <conditionalFormatting sqref="I944:I945 C945:H945 B945:B946">
    <cfRule type="expression" dxfId="8893" priority="5713">
      <formula>$B$947&lt;&gt;""</formula>
    </cfRule>
  </conditionalFormatting>
  <conditionalFormatting sqref="D947:D951">
    <cfRule type="expression" dxfId="8892" priority="5747">
      <formula>D947&lt;&gt;""</formula>
    </cfRule>
  </conditionalFormatting>
  <conditionalFormatting sqref="D947">
    <cfRule type="expression" dxfId="8891" priority="5746">
      <formula>D947&lt;&gt;""</formula>
    </cfRule>
  </conditionalFormatting>
  <conditionalFormatting sqref="D951">
    <cfRule type="expression" dxfId="8890" priority="5745">
      <formula>D947&lt;&gt;""</formula>
    </cfRule>
  </conditionalFormatting>
  <conditionalFormatting sqref="C947:C951">
    <cfRule type="expression" dxfId="8889" priority="5754">
      <formula>D947&lt;&gt;""</formula>
    </cfRule>
  </conditionalFormatting>
  <conditionalFormatting sqref="E947:E951">
    <cfRule type="expression" dxfId="8888" priority="5753">
      <formula>F947&lt;&gt;""</formula>
    </cfRule>
  </conditionalFormatting>
  <conditionalFormatting sqref="G947:G951">
    <cfRule type="expression" dxfId="8887" priority="5752">
      <formula>H947&lt;&gt;""</formula>
    </cfRule>
  </conditionalFormatting>
  <conditionalFormatting sqref="I947:I951">
    <cfRule type="expression" dxfId="8886" priority="5751">
      <formula>B955&lt;&gt;""</formula>
    </cfRule>
  </conditionalFormatting>
  <conditionalFormatting sqref="B947:B951">
    <cfRule type="expression" dxfId="8885" priority="5750">
      <formula>B947&lt;&gt;""</formula>
    </cfRule>
  </conditionalFormatting>
  <conditionalFormatting sqref="B947">
    <cfRule type="expression" dxfId="8884" priority="5749">
      <formula>B947&lt;&gt;""</formula>
    </cfRule>
  </conditionalFormatting>
  <conditionalFormatting sqref="B951">
    <cfRule type="expression" dxfId="8883" priority="5748">
      <formula>B947&lt;&gt;""</formula>
    </cfRule>
  </conditionalFormatting>
  <conditionalFormatting sqref="F947:F951">
    <cfRule type="expression" dxfId="8882" priority="5744">
      <formula>F947&lt;&gt;""</formula>
    </cfRule>
  </conditionalFormatting>
  <conditionalFormatting sqref="F947">
    <cfRule type="expression" dxfId="8881" priority="5743">
      <formula>F947&lt;&gt;""</formula>
    </cfRule>
  </conditionalFormatting>
  <conditionalFormatting sqref="F951">
    <cfRule type="expression" dxfId="8880" priority="5742">
      <formula>F947&lt;&gt;""</formula>
    </cfRule>
  </conditionalFormatting>
  <conditionalFormatting sqref="H947:H951">
    <cfRule type="expression" dxfId="8879" priority="5741">
      <formula>H947&lt;&gt;""</formula>
    </cfRule>
  </conditionalFormatting>
  <conditionalFormatting sqref="H947">
    <cfRule type="expression" dxfId="8878" priority="5740">
      <formula>H947&lt;&gt;""</formula>
    </cfRule>
  </conditionalFormatting>
  <conditionalFormatting sqref="H951">
    <cfRule type="expression" dxfId="8877" priority="5739">
      <formula>H947&lt;&gt;""</formula>
    </cfRule>
  </conditionalFormatting>
  <conditionalFormatting sqref="F939:F943">
    <cfRule type="expression" dxfId="8876" priority="5738">
      <formula>F939&lt;&gt;""</formula>
    </cfRule>
  </conditionalFormatting>
  <conditionalFormatting sqref="F939">
    <cfRule type="expression" dxfId="8875" priority="5737">
      <formula>F939&lt;&gt;""</formula>
    </cfRule>
  </conditionalFormatting>
  <conditionalFormatting sqref="F943">
    <cfRule type="expression" dxfId="8874" priority="5736">
      <formula>F939&lt;&gt;""</formula>
    </cfRule>
  </conditionalFormatting>
  <conditionalFormatting sqref="E939:E943">
    <cfRule type="expression" dxfId="8873" priority="5735">
      <formula>F939&lt;&gt;""</formula>
    </cfRule>
  </conditionalFormatting>
  <conditionalFormatting sqref="G939:G943">
    <cfRule type="expression" dxfId="8872" priority="5734">
      <formula>H939&lt;&gt;""</formula>
    </cfRule>
  </conditionalFormatting>
  <conditionalFormatting sqref="I939:I943">
    <cfRule type="expression" dxfId="8871" priority="5733">
      <formula>B947&lt;&gt;""</formula>
    </cfRule>
  </conditionalFormatting>
  <conditionalFormatting sqref="H939:H943">
    <cfRule type="expression" dxfId="8870" priority="5732">
      <formula>H939&lt;&gt;""</formula>
    </cfRule>
  </conditionalFormatting>
  <conditionalFormatting sqref="H939">
    <cfRule type="expression" dxfId="8869" priority="5731">
      <formula>H939&lt;&gt;""</formula>
    </cfRule>
  </conditionalFormatting>
  <conditionalFormatting sqref="H943">
    <cfRule type="expression" dxfId="8868" priority="5730">
      <formula>H939&lt;&gt;""</formula>
    </cfRule>
  </conditionalFormatting>
  <conditionalFormatting sqref="I952:I953 C953:H953 B953:B954">
    <cfRule type="expression" dxfId="8867" priority="5729">
      <formula>$B$955&lt;&gt;""</formula>
    </cfRule>
  </conditionalFormatting>
  <conditionalFormatting sqref="B955:B959">
    <cfRule type="expression" dxfId="8866" priority="5728">
      <formula>B955&lt;&gt;""</formula>
    </cfRule>
  </conditionalFormatting>
  <conditionalFormatting sqref="B955">
    <cfRule type="expression" dxfId="8865" priority="5727">
      <formula>B955&lt;&gt;""</formula>
    </cfRule>
  </conditionalFormatting>
  <conditionalFormatting sqref="B959">
    <cfRule type="expression" dxfId="8864" priority="5726">
      <formula>B955&lt;&gt;""</formula>
    </cfRule>
  </conditionalFormatting>
  <conditionalFormatting sqref="F955:F959">
    <cfRule type="expression" dxfId="8863" priority="5722">
      <formula>F955&lt;&gt;""</formula>
    </cfRule>
  </conditionalFormatting>
  <conditionalFormatting sqref="F955">
    <cfRule type="expression" dxfId="8862" priority="5721">
      <formula>F955&lt;&gt;""</formula>
    </cfRule>
  </conditionalFormatting>
  <conditionalFormatting sqref="F959">
    <cfRule type="expression" dxfId="8861" priority="5720">
      <formula>F955&lt;&gt;""</formula>
    </cfRule>
  </conditionalFormatting>
  <conditionalFormatting sqref="C955:C959">
    <cfRule type="expression" dxfId="8860" priority="5719">
      <formula>D955&lt;&gt;""</formula>
    </cfRule>
  </conditionalFormatting>
  <conditionalFormatting sqref="E955:E959">
    <cfRule type="expression" dxfId="8859" priority="5718">
      <formula>F955&lt;&gt;""</formula>
    </cfRule>
  </conditionalFormatting>
  <conditionalFormatting sqref="G955:G959">
    <cfRule type="expression" dxfId="8858" priority="5717">
      <formula>H955&lt;&gt;""</formula>
    </cfRule>
  </conditionalFormatting>
  <conditionalFormatting sqref="H955:H959">
    <cfRule type="expression" dxfId="8857" priority="5716">
      <formula>H955&lt;&gt;""</formula>
    </cfRule>
  </conditionalFormatting>
  <conditionalFormatting sqref="H955">
    <cfRule type="expression" dxfId="8856" priority="5715">
      <formula>H955&lt;&gt;""</formula>
    </cfRule>
  </conditionalFormatting>
  <conditionalFormatting sqref="H959">
    <cfRule type="expression" dxfId="8855" priority="5714">
      <formula>H955&lt;&gt;""</formula>
    </cfRule>
  </conditionalFormatting>
  <conditionalFormatting sqref="D927:D931">
    <cfRule type="expression" dxfId="8854" priority="5683">
      <formula>D927&lt;&gt;""</formula>
    </cfRule>
  </conditionalFormatting>
  <conditionalFormatting sqref="D927">
    <cfRule type="expression" dxfId="8853" priority="5682">
      <formula>D927&lt;&gt;""</formula>
    </cfRule>
  </conditionalFormatting>
  <conditionalFormatting sqref="D931">
    <cfRule type="expression" dxfId="8852" priority="5681">
      <formula>D927&lt;&gt;""</formula>
    </cfRule>
  </conditionalFormatting>
  <conditionalFormatting sqref="I916:I917 C917:H917 B917:B918">
    <cfRule type="expression" dxfId="8851" priority="5671">
      <formula>$B$919&lt;&gt;""</formula>
    </cfRule>
  </conditionalFormatting>
  <conditionalFormatting sqref="D919:D923">
    <cfRule type="expression" dxfId="8850" priority="5705">
      <formula>D919&lt;&gt;""</formula>
    </cfRule>
  </conditionalFormatting>
  <conditionalFormatting sqref="D919">
    <cfRule type="expression" dxfId="8849" priority="5704">
      <formula>D919&lt;&gt;""</formula>
    </cfRule>
  </conditionalFormatting>
  <conditionalFormatting sqref="D923">
    <cfRule type="expression" dxfId="8848" priority="5703">
      <formula>D919&lt;&gt;""</formula>
    </cfRule>
  </conditionalFormatting>
  <conditionalFormatting sqref="C919:C923">
    <cfRule type="expression" dxfId="8847" priority="5712">
      <formula>D919&lt;&gt;""</formula>
    </cfRule>
  </conditionalFormatting>
  <conditionalFormatting sqref="E919:E923">
    <cfRule type="expression" dxfId="8846" priority="5711">
      <formula>F919&lt;&gt;""</formula>
    </cfRule>
  </conditionalFormatting>
  <conditionalFormatting sqref="G919:G923">
    <cfRule type="expression" dxfId="8845" priority="5710">
      <formula>H919&lt;&gt;""</formula>
    </cfRule>
  </conditionalFormatting>
  <conditionalFormatting sqref="I919:I923">
    <cfRule type="expression" dxfId="8844" priority="5709">
      <formula>B927&lt;&gt;""</formula>
    </cfRule>
  </conditionalFormatting>
  <conditionalFormatting sqref="B919:B923">
    <cfRule type="expression" dxfId="8843" priority="5708">
      <formula>B919&lt;&gt;""</formula>
    </cfRule>
  </conditionalFormatting>
  <conditionalFormatting sqref="B919">
    <cfRule type="expression" dxfId="8842" priority="5707">
      <formula>B919&lt;&gt;""</formula>
    </cfRule>
  </conditionalFormatting>
  <conditionalFormatting sqref="B923">
    <cfRule type="expression" dxfId="8841" priority="5706">
      <formula>B919&lt;&gt;""</formula>
    </cfRule>
  </conditionalFormatting>
  <conditionalFormatting sqref="F919:F923">
    <cfRule type="expression" dxfId="8840" priority="5702">
      <formula>F919&lt;&gt;""</formula>
    </cfRule>
  </conditionalFormatting>
  <conditionalFormatting sqref="F919">
    <cfRule type="expression" dxfId="8839" priority="5701">
      <formula>F919&lt;&gt;""</formula>
    </cfRule>
  </conditionalFormatting>
  <conditionalFormatting sqref="F923">
    <cfRule type="expression" dxfId="8838" priority="5700">
      <formula>F919&lt;&gt;""</formula>
    </cfRule>
  </conditionalFormatting>
  <conditionalFormatting sqref="H919:H923">
    <cfRule type="expression" dxfId="8837" priority="5699">
      <formula>H919&lt;&gt;""</formula>
    </cfRule>
  </conditionalFormatting>
  <conditionalFormatting sqref="H919">
    <cfRule type="expression" dxfId="8836" priority="5698">
      <formula>H919&lt;&gt;""</formula>
    </cfRule>
  </conditionalFormatting>
  <conditionalFormatting sqref="H923">
    <cfRule type="expression" dxfId="8835" priority="5697">
      <formula>H919&lt;&gt;""</formula>
    </cfRule>
  </conditionalFormatting>
  <conditionalFormatting sqref="F911:F915">
    <cfRule type="expression" dxfId="8834" priority="5696">
      <formula>F911&lt;&gt;""</formula>
    </cfRule>
  </conditionalFormatting>
  <conditionalFormatting sqref="F911">
    <cfRule type="expression" dxfId="8833" priority="5695">
      <formula>F911&lt;&gt;""</formula>
    </cfRule>
  </conditionalFormatting>
  <conditionalFormatting sqref="F915">
    <cfRule type="expression" dxfId="8832" priority="5694">
      <formula>F911&lt;&gt;""</formula>
    </cfRule>
  </conditionalFormatting>
  <conditionalFormatting sqref="E911:E915">
    <cfRule type="expression" dxfId="8831" priority="5693">
      <formula>F911&lt;&gt;""</formula>
    </cfRule>
  </conditionalFormatting>
  <conditionalFormatting sqref="G911:G915">
    <cfRule type="expression" dxfId="8830" priority="5692">
      <formula>H911&lt;&gt;""</formula>
    </cfRule>
  </conditionalFormatting>
  <conditionalFormatting sqref="I911:I915">
    <cfRule type="expression" dxfId="8829" priority="5691">
      <formula>B919&lt;&gt;""</formula>
    </cfRule>
  </conditionalFormatting>
  <conditionalFormatting sqref="H911:H915">
    <cfRule type="expression" dxfId="8828" priority="5690">
      <formula>H911&lt;&gt;""</formula>
    </cfRule>
  </conditionalFormatting>
  <conditionalFormatting sqref="H911">
    <cfRule type="expression" dxfId="8827" priority="5689">
      <formula>H911&lt;&gt;""</formula>
    </cfRule>
  </conditionalFormatting>
  <conditionalFormatting sqref="H915">
    <cfRule type="expression" dxfId="8826" priority="5688">
      <formula>H911&lt;&gt;""</formula>
    </cfRule>
  </conditionalFormatting>
  <conditionalFormatting sqref="I924:I925 C925:H925 B925:B926">
    <cfRule type="expression" dxfId="8825" priority="5687">
      <formula>$B$927&lt;&gt;""</formula>
    </cfRule>
  </conditionalFormatting>
  <conditionalFormatting sqref="B927:B931">
    <cfRule type="expression" dxfId="8824" priority="5686">
      <formula>B927&lt;&gt;""</formula>
    </cfRule>
  </conditionalFormatting>
  <conditionalFormatting sqref="B927">
    <cfRule type="expression" dxfId="8823" priority="5685">
      <formula>B927&lt;&gt;""</formula>
    </cfRule>
  </conditionalFormatting>
  <conditionalFormatting sqref="B931">
    <cfRule type="expression" dxfId="8822" priority="5684">
      <formula>B927&lt;&gt;""</formula>
    </cfRule>
  </conditionalFormatting>
  <conditionalFormatting sqref="F927:F931">
    <cfRule type="expression" dxfId="8821" priority="5680">
      <formula>F927&lt;&gt;""</formula>
    </cfRule>
  </conditionalFormatting>
  <conditionalFormatting sqref="F927">
    <cfRule type="expression" dxfId="8820" priority="5679">
      <formula>F927&lt;&gt;""</formula>
    </cfRule>
  </conditionalFormatting>
  <conditionalFormatting sqref="F931">
    <cfRule type="expression" dxfId="8819" priority="5678">
      <formula>F927&lt;&gt;""</formula>
    </cfRule>
  </conditionalFormatting>
  <conditionalFormatting sqref="C927:C931">
    <cfRule type="expression" dxfId="8818" priority="5677">
      <formula>D927&lt;&gt;""</formula>
    </cfRule>
  </conditionalFormatting>
  <conditionalFormatting sqref="E927:E931">
    <cfRule type="expression" dxfId="8817" priority="5676">
      <formula>F927&lt;&gt;""</formula>
    </cfRule>
  </conditionalFormatting>
  <conditionalFormatting sqref="G927:G931">
    <cfRule type="expression" dxfId="8816" priority="5675">
      <formula>H927&lt;&gt;""</formula>
    </cfRule>
  </conditionalFormatting>
  <conditionalFormatting sqref="H927:H931">
    <cfRule type="expression" dxfId="8815" priority="5674">
      <formula>H927&lt;&gt;""</formula>
    </cfRule>
  </conditionalFormatting>
  <conditionalFormatting sqref="H927">
    <cfRule type="expression" dxfId="8814" priority="5673">
      <formula>H927&lt;&gt;""</formula>
    </cfRule>
  </conditionalFormatting>
  <conditionalFormatting sqref="H931">
    <cfRule type="expression" dxfId="8813" priority="5672">
      <formula>H927&lt;&gt;""</formula>
    </cfRule>
  </conditionalFormatting>
  <conditionalFormatting sqref="D899:D903">
    <cfRule type="expression" dxfId="8812" priority="5641">
      <formula>D899&lt;&gt;""</formula>
    </cfRule>
  </conditionalFormatting>
  <conditionalFormatting sqref="D899">
    <cfRule type="expression" dxfId="8811" priority="5640">
      <formula>D899&lt;&gt;""</formula>
    </cfRule>
  </conditionalFormatting>
  <conditionalFormatting sqref="D903">
    <cfRule type="expression" dxfId="8810" priority="5639">
      <formula>D899&lt;&gt;""</formula>
    </cfRule>
  </conditionalFormatting>
  <conditionalFormatting sqref="I888:I889 C889:H889 B889:B890">
    <cfRule type="expression" dxfId="8809" priority="5629">
      <formula>$B$891&lt;&gt;""</formula>
    </cfRule>
  </conditionalFormatting>
  <conditionalFormatting sqref="D891:D895">
    <cfRule type="expression" dxfId="8808" priority="5663">
      <formula>D891&lt;&gt;""</formula>
    </cfRule>
  </conditionalFormatting>
  <conditionalFormatting sqref="D891">
    <cfRule type="expression" dxfId="8807" priority="5662">
      <formula>D891&lt;&gt;""</formula>
    </cfRule>
  </conditionalFormatting>
  <conditionalFormatting sqref="D895">
    <cfRule type="expression" dxfId="8806" priority="5661">
      <formula>D891&lt;&gt;""</formula>
    </cfRule>
  </conditionalFormatting>
  <conditionalFormatting sqref="C891:C895">
    <cfRule type="expression" dxfId="8805" priority="5670">
      <formula>D891&lt;&gt;""</formula>
    </cfRule>
  </conditionalFormatting>
  <conditionalFormatting sqref="E891:E895">
    <cfRule type="expression" dxfId="8804" priority="5669">
      <formula>F891&lt;&gt;""</formula>
    </cfRule>
  </conditionalFormatting>
  <conditionalFormatting sqref="G891:G895">
    <cfRule type="expression" dxfId="8803" priority="5668">
      <formula>H891&lt;&gt;""</formula>
    </cfRule>
  </conditionalFormatting>
  <conditionalFormatting sqref="I891:I895">
    <cfRule type="expression" dxfId="8802" priority="5667">
      <formula>B899&lt;&gt;""</formula>
    </cfRule>
  </conditionalFormatting>
  <conditionalFormatting sqref="B891:B895">
    <cfRule type="expression" dxfId="8801" priority="5666">
      <formula>B891&lt;&gt;""</formula>
    </cfRule>
  </conditionalFormatting>
  <conditionalFormatting sqref="B891">
    <cfRule type="expression" dxfId="8800" priority="5665">
      <formula>B891&lt;&gt;""</formula>
    </cfRule>
  </conditionalFormatting>
  <conditionalFormatting sqref="B895">
    <cfRule type="expression" dxfId="8799" priority="5664">
      <formula>B891&lt;&gt;""</formula>
    </cfRule>
  </conditionalFormatting>
  <conditionalFormatting sqref="F891:F895">
    <cfRule type="expression" dxfId="8798" priority="5660">
      <formula>F891&lt;&gt;""</formula>
    </cfRule>
  </conditionalFormatting>
  <conditionalFormatting sqref="F891">
    <cfRule type="expression" dxfId="8797" priority="5659">
      <formula>F891&lt;&gt;""</formula>
    </cfRule>
  </conditionalFormatting>
  <conditionalFormatting sqref="F895">
    <cfRule type="expression" dxfId="8796" priority="5658">
      <formula>F891&lt;&gt;""</formula>
    </cfRule>
  </conditionalFormatting>
  <conditionalFormatting sqref="H891:H895">
    <cfRule type="expression" dxfId="8795" priority="5657">
      <formula>H891&lt;&gt;""</formula>
    </cfRule>
  </conditionalFormatting>
  <conditionalFormatting sqref="H891">
    <cfRule type="expression" dxfId="8794" priority="5656">
      <formula>H891&lt;&gt;""</formula>
    </cfRule>
  </conditionalFormatting>
  <conditionalFormatting sqref="H895">
    <cfRule type="expression" dxfId="8793" priority="5655">
      <formula>H891&lt;&gt;""</formula>
    </cfRule>
  </conditionalFormatting>
  <conditionalFormatting sqref="F883:F887">
    <cfRule type="expression" dxfId="8792" priority="5654">
      <formula>F883&lt;&gt;""</formula>
    </cfRule>
  </conditionalFormatting>
  <conditionalFormatting sqref="F883">
    <cfRule type="expression" dxfId="8791" priority="5653">
      <formula>F883&lt;&gt;""</formula>
    </cfRule>
  </conditionalFormatting>
  <conditionalFormatting sqref="F887">
    <cfRule type="expression" dxfId="8790" priority="5652">
      <formula>F883&lt;&gt;""</formula>
    </cfRule>
  </conditionalFormatting>
  <conditionalFormatting sqref="E883:E887">
    <cfRule type="expression" dxfId="8789" priority="5651">
      <formula>F883&lt;&gt;""</formula>
    </cfRule>
  </conditionalFormatting>
  <conditionalFormatting sqref="G883:G887">
    <cfRule type="expression" dxfId="8788" priority="5650">
      <formula>H883&lt;&gt;""</formula>
    </cfRule>
  </conditionalFormatting>
  <conditionalFormatting sqref="I883:I887">
    <cfRule type="expression" dxfId="8787" priority="5649">
      <formula>B891&lt;&gt;""</formula>
    </cfRule>
  </conditionalFormatting>
  <conditionalFormatting sqref="H883:H887">
    <cfRule type="expression" dxfId="8786" priority="5648">
      <formula>H883&lt;&gt;""</formula>
    </cfRule>
  </conditionalFormatting>
  <conditionalFormatting sqref="H883">
    <cfRule type="expression" dxfId="8785" priority="5647">
      <formula>H883&lt;&gt;""</formula>
    </cfRule>
  </conditionalFormatting>
  <conditionalFormatting sqref="H887">
    <cfRule type="expression" dxfId="8784" priority="5646">
      <formula>H883&lt;&gt;""</formula>
    </cfRule>
  </conditionalFormatting>
  <conditionalFormatting sqref="I896:I897 C897:H897 B897:B898">
    <cfRule type="expression" dxfId="8783" priority="5645">
      <formula>$B$899&lt;&gt;""</formula>
    </cfRule>
  </conditionalFormatting>
  <conditionalFormatting sqref="B899:B903">
    <cfRule type="expression" dxfId="8782" priority="5644">
      <formula>B899&lt;&gt;""</formula>
    </cfRule>
  </conditionalFormatting>
  <conditionalFormatting sqref="B899">
    <cfRule type="expression" dxfId="8781" priority="5643">
      <formula>B899&lt;&gt;""</formula>
    </cfRule>
  </conditionalFormatting>
  <conditionalFormatting sqref="B903">
    <cfRule type="expression" dxfId="8780" priority="5642">
      <formula>B899&lt;&gt;""</formula>
    </cfRule>
  </conditionalFormatting>
  <conditionalFormatting sqref="F899:F903">
    <cfRule type="expression" dxfId="8779" priority="5638">
      <formula>F899&lt;&gt;""</formula>
    </cfRule>
  </conditionalFormatting>
  <conditionalFormatting sqref="F899">
    <cfRule type="expression" dxfId="8778" priority="5637">
      <formula>F899&lt;&gt;""</formula>
    </cfRule>
  </conditionalFormatting>
  <conditionalFormatting sqref="F903">
    <cfRule type="expression" dxfId="8777" priority="5636">
      <formula>F899&lt;&gt;""</formula>
    </cfRule>
  </conditionalFormatting>
  <conditionalFormatting sqref="C899:C903">
    <cfRule type="expression" dxfId="8776" priority="5635">
      <formula>D899&lt;&gt;""</formula>
    </cfRule>
  </conditionalFormatting>
  <conditionalFormatting sqref="E899:E903">
    <cfRule type="expression" dxfId="8775" priority="5634">
      <formula>F899&lt;&gt;""</formula>
    </cfRule>
  </conditionalFormatting>
  <conditionalFormatting sqref="G899:G903">
    <cfRule type="expression" dxfId="8774" priority="5633">
      <formula>H899&lt;&gt;""</formula>
    </cfRule>
  </conditionalFormatting>
  <conditionalFormatting sqref="H899:H903">
    <cfRule type="expression" dxfId="8773" priority="5632">
      <formula>H899&lt;&gt;""</formula>
    </cfRule>
  </conditionalFormatting>
  <conditionalFormatting sqref="H899">
    <cfRule type="expression" dxfId="8772" priority="5631">
      <formula>H899&lt;&gt;""</formula>
    </cfRule>
  </conditionalFormatting>
  <conditionalFormatting sqref="H903">
    <cfRule type="expression" dxfId="8771" priority="5630">
      <formula>H899&lt;&gt;""</formula>
    </cfRule>
  </conditionalFormatting>
  <conditionalFormatting sqref="D871:D875">
    <cfRule type="expression" dxfId="8770" priority="5599">
      <formula>D871&lt;&gt;""</formula>
    </cfRule>
  </conditionalFormatting>
  <conditionalFormatting sqref="D871">
    <cfRule type="expression" dxfId="8769" priority="5598">
      <formula>D871&lt;&gt;""</formula>
    </cfRule>
  </conditionalFormatting>
  <conditionalFormatting sqref="D875">
    <cfRule type="expression" dxfId="8768" priority="5597">
      <formula>D871&lt;&gt;""</formula>
    </cfRule>
  </conditionalFormatting>
  <conditionalFormatting sqref="I860:I861 C861:H861 B861:B862">
    <cfRule type="expression" dxfId="8767" priority="5587">
      <formula>$B$863&lt;&gt;""</formula>
    </cfRule>
  </conditionalFormatting>
  <conditionalFormatting sqref="D863:D867">
    <cfRule type="expression" dxfId="8766" priority="5621">
      <formula>D863&lt;&gt;""</formula>
    </cfRule>
  </conditionalFormatting>
  <conditionalFormatting sqref="D863">
    <cfRule type="expression" dxfId="8765" priority="5620">
      <formula>D863&lt;&gt;""</formula>
    </cfRule>
  </conditionalFormatting>
  <conditionalFormatting sqref="D867">
    <cfRule type="expression" dxfId="8764" priority="5619">
      <formula>D863&lt;&gt;""</formula>
    </cfRule>
  </conditionalFormatting>
  <conditionalFormatting sqref="C863:C867">
    <cfRule type="expression" dxfId="8763" priority="5628">
      <formula>D863&lt;&gt;""</formula>
    </cfRule>
  </conditionalFormatting>
  <conditionalFormatting sqref="E863:E867">
    <cfRule type="expression" dxfId="8762" priority="5627">
      <formula>F863&lt;&gt;""</formula>
    </cfRule>
  </conditionalFormatting>
  <conditionalFormatting sqref="G863:G867">
    <cfRule type="expression" dxfId="8761" priority="5626">
      <formula>H863&lt;&gt;""</formula>
    </cfRule>
  </conditionalFormatting>
  <conditionalFormatting sqref="I863:I867">
    <cfRule type="expression" dxfId="8760" priority="5625">
      <formula>B871&lt;&gt;""</formula>
    </cfRule>
  </conditionalFormatting>
  <conditionalFormatting sqref="B863:B867">
    <cfRule type="expression" dxfId="8759" priority="5624">
      <formula>B863&lt;&gt;""</formula>
    </cfRule>
  </conditionalFormatting>
  <conditionalFormatting sqref="B863">
    <cfRule type="expression" dxfId="8758" priority="5623">
      <formula>B863&lt;&gt;""</formula>
    </cfRule>
  </conditionalFormatting>
  <conditionalFormatting sqref="B867">
    <cfRule type="expression" dxfId="8757" priority="5622">
      <formula>B863&lt;&gt;""</formula>
    </cfRule>
  </conditionalFormatting>
  <conditionalFormatting sqref="F863:F867">
    <cfRule type="expression" dxfId="8756" priority="5618">
      <formula>F863&lt;&gt;""</formula>
    </cfRule>
  </conditionalFormatting>
  <conditionalFormatting sqref="F863">
    <cfRule type="expression" dxfId="8755" priority="5617">
      <formula>F863&lt;&gt;""</formula>
    </cfRule>
  </conditionalFormatting>
  <conditionalFormatting sqref="F867">
    <cfRule type="expression" dxfId="8754" priority="5616">
      <formula>F863&lt;&gt;""</formula>
    </cfRule>
  </conditionalFormatting>
  <conditionalFormatting sqref="H863:H867">
    <cfRule type="expression" dxfId="8753" priority="5615">
      <formula>H863&lt;&gt;""</formula>
    </cfRule>
  </conditionalFormatting>
  <conditionalFormatting sqref="H863">
    <cfRule type="expression" dxfId="8752" priority="5614">
      <formula>H863&lt;&gt;""</formula>
    </cfRule>
  </conditionalFormatting>
  <conditionalFormatting sqref="H867">
    <cfRule type="expression" dxfId="8751" priority="5613">
      <formula>H863&lt;&gt;""</formula>
    </cfRule>
  </conditionalFormatting>
  <conditionalFormatting sqref="F855:F859">
    <cfRule type="expression" dxfId="8750" priority="5612">
      <formula>F855&lt;&gt;""</formula>
    </cfRule>
  </conditionalFormatting>
  <conditionalFormatting sqref="F855">
    <cfRule type="expression" dxfId="8749" priority="5611">
      <formula>F855&lt;&gt;""</formula>
    </cfRule>
  </conditionalFormatting>
  <conditionalFormatting sqref="F859">
    <cfRule type="expression" dxfId="8748" priority="5610">
      <formula>F855&lt;&gt;""</formula>
    </cfRule>
  </conditionalFormatting>
  <conditionalFormatting sqref="E855:E859">
    <cfRule type="expression" dxfId="8747" priority="5609">
      <formula>F855&lt;&gt;""</formula>
    </cfRule>
  </conditionalFormatting>
  <conditionalFormatting sqref="G855:G859">
    <cfRule type="expression" dxfId="8746" priority="5608">
      <formula>H855&lt;&gt;""</formula>
    </cfRule>
  </conditionalFormatting>
  <conditionalFormatting sqref="I855:I859">
    <cfRule type="expression" dxfId="8745" priority="5607">
      <formula>B863&lt;&gt;""</formula>
    </cfRule>
  </conditionalFormatting>
  <conditionalFormatting sqref="H855:H859">
    <cfRule type="expression" dxfId="8744" priority="5606">
      <formula>H855&lt;&gt;""</formula>
    </cfRule>
  </conditionalFormatting>
  <conditionalFormatting sqref="H855">
    <cfRule type="expression" dxfId="8743" priority="5605">
      <formula>H855&lt;&gt;""</formula>
    </cfRule>
  </conditionalFormatting>
  <conditionalFormatting sqref="H859">
    <cfRule type="expression" dxfId="8742" priority="5604">
      <formula>H855&lt;&gt;""</formula>
    </cfRule>
  </conditionalFormatting>
  <conditionalFormatting sqref="I868:I869 C869:H869 B869:B870">
    <cfRule type="expression" dxfId="8741" priority="5603">
      <formula>$B$871&lt;&gt;""</formula>
    </cfRule>
  </conditionalFormatting>
  <conditionalFormatting sqref="B871:B875">
    <cfRule type="expression" dxfId="8740" priority="5602">
      <formula>B871&lt;&gt;""</formula>
    </cfRule>
  </conditionalFormatting>
  <conditionalFormatting sqref="B871">
    <cfRule type="expression" dxfId="8739" priority="5601">
      <formula>B871&lt;&gt;""</formula>
    </cfRule>
  </conditionalFormatting>
  <conditionalFormatting sqref="B875">
    <cfRule type="expression" dxfId="8738" priority="5600">
      <formula>B871&lt;&gt;""</formula>
    </cfRule>
  </conditionalFormatting>
  <conditionalFormatting sqref="F871:F875">
    <cfRule type="expression" dxfId="8737" priority="5596">
      <formula>F871&lt;&gt;""</formula>
    </cfRule>
  </conditionalFormatting>
  <conditionalFormatting sqref="F871">
    <cfRule type="expression" dxfId="8736" priority="5595">
      <formula>F871&lt;&gt;""</formula>
    </cfRule>
  </conditionalFormatting>
  <conditionalFormatting sqref="F875">
    <cfRule type="expression" dxfId="8735" priority="5594">
      <formula>F871&lt;&gt;""</formula>
    </cfRule>
  </conditionalFormatting>
  <conditionalFormatting sqref="C871:C875">
    <cfRule type="expression" dxfId="8734" priority="5593">
      <formula>D871&lt;&gt;""</formula>
    </cfRule>
  </conditionalFormatting>
  <conditionalFormatting sqref="E871:E875">
    <cfRule type="expression" dxfId="8733" priority="5592">
      <formula>F871&lt;&gt;""</formula>
    </cfRule>
  </conditionalFormatting>
  <conditionalFormatting sqref="G871:G875">
    <cfRule type="expression" dxfId="8732" priority="5591">
      <formula>H871&lt;&gt;""</formula>
    </cfRule>
  </conditionalFormatting>
  <conditionalFormatting sqref="H871:H875">
    <cfRule type="expression" dxfId="8731" priority="5590">
      <formula>H871&lt;&gt;""</formula>
    </cfRule>
  </conditionalFormatting>
  <conditionalFormatting sqref="H871">
    <cfRule type="expression" dxfId="8730" priority="5589">
      <formula>H871&lt;&gt;""</formula>
    </cfRule>
  </conditionalFormatting>
  <conditionalFormatting sqref="H875">
    <cfRule type="expression" dxfId="8729" priority="5588">
      <formula>H871&lt;&gt;""</formula>
    </cfRule>
  </conditionalFormatting>
  <conditionalFormatting sqref="B855:B859">
    <cfRule type="expression" dxfId="8728" priority="5586">
      <formula>B855&lt;&gt;""</formula>
    </cfRule>
  </conditionalFormatting>
  <conditionalFormatting sqref="B855">
    <cfRule type="expression" dxfId="8727" priority="5585">
      <formula>B855&lt;&gt;""</formula>
    </cfRule>
  </conditionalFormatting>
  <conditionalFormatting sqref="B859">
    <cfRule type="expression" dxfId="8726" priority="5584">
      <formula>B855&lt;&gt;""</formula>
    </cfRule>
  </conditionalFormatting>
  <conditionalFormatting sqref="C855:C859">
    <cfRule type="expression" dxfId="8725" priority="5583">
      <formula>D855&lt;&gt;""</formula>
    </cfRule>
  </conditionalFormatting>
  <conditionalFormatting sqref="D855:D859">
    <cfRule type="expression" dxfId="8724" priority="5582">
      <formula>D855&lt;&gt;""</formula>
    </cfRule>
  </conditionalFormatting>
  <conditionalFormatting sqref="D855">
    <cfRule type="expression" dxfId="8723" priority="5581">
      <formula>D855&lt;&gt;""</formula>
    </cfRule>
  </conditionalFormatting>
  <conditionalFormatting sqref="D859">
    <cfRule type="expression" dxfId="8722" priority="5580">
      <formula>D855&lt;&gt;""</formula>
    </cfRule>
  </conditionalFormatting>
  <conditionalFormatting sqref="B883:B887">
    <cfRule type="expression" dxfId="8721" priority="5579">
      <formula>B883&lt;&gt;""</formula>
    </cfRule>
  </conditionalFormatting>
  <conditionalFormatting sqref="B883">
    <cfRule type="expression" dxfId="8720" priority="5578">
      <formula>B883&lt;&gt;""</formula>
    </cfRule>
  </conditionalFormatting>
  <conditionalFormatting sqref="B887">
    <cfRule type="expression" dxfId="8719" priority="5577">
      <formula>B883&lt;&gt;""</formula>
    </cfRule>
  </conditionalFormatting>
  <conditionalFormatting sqref="C883:C887">
    <cfRule type="expression" dxfId="8718" priority="5576">
      <formula>D883&lt;&gt;""</formula>
    </cfRule>
  </conditionalFormatting>
  <conditionalFormatting sqref="D883:D887">
    <cfRule type="expression" dxfId="8717" priority="5575">
      <formula>D883&lt;&gt;""</formula>
    </cfRule>
  </conditionalFormatting>
  <conditionalFormatting sqref="D883">
    <cfRule type="expression" dxfId="8716" priority="5574">
      <formula>D883&lt;&gt;""</formula>
    </cfRule>
  </conditionalFormatting>
  <conditionalFormatting sqref="D887">
    <cfRule type="expression" dxfId="8715" priority="5573">
      <formula>D883&lt;&gt;""</formula>
    </cfRule>
  </conditionalFormatting>
  <conditionalFormatting sqref="B911:B915">
    <cfRule type="expression" dxfId="8714" priority="5572">
      <formula>B911&lt;&gt;""</formula>
    </cfRule>
  </conditionalFormatting>
  <conditionalFormatting sqref="B911">
    <cfRule type="expression" dxfId="8713" priority="5571">
      <formula>B911&lt;&gt;""</formula>
    </cfRule>
  </conditionalFormatting>
  <conditionalFormatting sqref="B915">
    <cfRule type="expression" dxfId="8712" priority="5570">
      <formula>B911&lt;&gt;""</formula>
    </cfRule>
  </conditionalFormatting>
  <conditionalFormatting sqref="C911:C915">
    <cfRule type="expression" dxfId="8711" priority="5569">
      <formula>D911&lt;&gt;""</formula>
    </cfRule>
  </conditionalFormatting>
  <conditionalFormatting sqref="D911:D915">
    <cfRule type="expression" dxfId="8710" priority="5568">
      <formula>D911&lt;&gt;""</formula>
    </cfRule>
  </conditionalFormatting>
  <conditionalFormatting sqref="D911">
    <cfRule type="expression" dxfId="8709" priority="5567">
      <formula>D911&lt;&gt;""</formula>
    </cfRule>
  </conditionalFormatting>
  <conditionalFormatting sqref="D915">
    <cfRule type="expression" dxfId="8708" priority="5566">
      <formula>D911&lt;&gt;""</formula>
    </cfRule>
  </conditionalFormatting>
  <conditionalFormatting sqref="B939:B943">
    <cfRule type="expression" dxfId="8707" priority="5565">
      <formula>B939&lt;&gt;""</formula>
    </cfRule>
  </conditionalFormatting>
  <conditionalFormatting sqref="B939">
    <cfRule type="expression" dxfId="8706" priority="5564">
      <formula>B939&lt;&gt;""</formula>
    </cfRule>
  </conditionalFormatting>
  <conditionalFormatting sqref="B943">
    <cfRule type="expression" dxfId="8705" priority="5563">
      <formula>B939&lt;&gt;""</formula>
    </cfRule>
  </conditionalFormatting>
  <conditionalFormatting sqref="C939:C943">
    <cfRule type="expression" dxfId="8704" priority="5562">
      <formula>D939&lt;&gt;""</formula>
    </cfRule>
  </conditionalFormatting>
  <conditionalFormatting sqref="D939:D943">
    <cfRule type="expression" dxfId="8703" priority="5561">
      <formula>D939&lt;&gt;""</formula>
    </cfRule>
  </conditionalFormatting>
  <conditionalFormatting sqref="D939">
    <cfRule type="expression" dxfId="8702" priority="5560">
      <formula>D939&lt;&gt;""</formula>
    </cfRule>
  </conditionalFormatting>
  <conditionalFormatting sqref="D943">
    <cfRule type="expression" dxfId="8701" priority="5559">
      <formula>D939&lt;&gt;""</formula>
    </cfRule>
  </conditionalFormatting>
  <conditionalFormatting sqref="B967:B971">
    <cfRule type="expression" dxfId="8700" priority="5558">
      <formula>B967&lt;&gt;""</formula>
    </cfRule>
  </conditionalFormatting>
  <conditionalFormatting sqref="B967">
    <cfRule type="expression" dxfId="8699" priority="5557">
      <formula>B967&lt;&gt;""</formula>
    </cfRule>
  </conditionalFormatting>
  <conditionalFormatting sqref="B971">
    <cfRule type="expression" dxfId="8698" priority="5556">
      <formula>B967&lt;&gt;""</formula>
    </cfRule>
  </conditionalFormatting>
  <conditionalFormatting sqref="C967:C971">
    <cfRule type="expression" dxfId="8697" priority="5555">
      <formula>D967&lt;&gt;""</formula>
    </cfRule>
  </conditionalFormatting>
  <conditionalFormatting sqref="D967:D971">
    <cfRule type="expression" dxfId="8696" priority="5554">
      <formula>D967&lt;&gt;""</formula>
    </cfRule>
  </conditionalFormatting>
  <conditionalFormatting sqref="D967">
    <cfRule type="expression" dxfId="8695" priority="5553">
      <formula>D967&lt;&gt;""</formula>
    </cfRule>
  </conditionalFormatting>
  <conditionalFormatting sqref="D971">
    <cfRule type="expression" dxfId="8694" priority="5552">
      <formula>D967&lt;&gt;""</formula>
    </cfRule>
  </conditionalFormatting>
  <conditionalFormatting sqref="B995:B999">
    <cfRule type="expression" dxfId="8693" priority="5551">
      <formula>B995&lt;&gt;""</formula>
    </cfRule>
  </conditionalFormatting>
  <conditionalFormatting sqref="B995">
    <cfRule type="expression" dxfId="8692" priority="5550">
      <formula>B995&lt;&gt;""</formula>
    </cfRule>
  </conditionalFormatting>
  <conditionalFormatting sqref="B999">
    <cfRule type="expression" dxfId="8691" priority="5549">
      <formula>B995&lt;&gt;""</formula>
    </cfRule>
  </conditionalFormatting>
  <conditionalFormatting sqref="C995:C999">
    <cfRule type="expression" dxfId="8690" priority="5548">
      <formula>D995&lt;&gt;""</formula>
    </cfRule>
  </conditionalFormatting>
  <conditionalFormatting sqref="D995:D999">
    <cfRule type="expression" dxfId="8689" priority="5547">
      <formula>D995&lt;&gt;""</formula>
    </cfRule>
  </conditionalFormatting>
  <conditionalFormatting sqref="D995">
    <cfRule type="expression" dxfId="8688" priority="5546">
      <formula>D995&lt;&gt;""</formula>
    </cfRule>
  </conditionalFormatting>
  <conditionalFormatting sqref="D999">
    <cfRule type="expression" dxfId="8687" priority="5545">
      <formula>D995&lt;&gt;""</formula>
    </cfRule>
  </conditionalFormatting>
  <conditionalFormatting sqref="B1023:B1027">
    <cfRule type="expression" dxfId="8686" priority="5544">
      <formula>B1023&lt;&gt;""</formula>
    </cfRule>
  </conditionalFormatting>
  <conditionalFormatting sqref="B1023">
    <cfRule type="expression" dxfId="8685" priority="5543">
      <formula>B1023&lt;&gt;""</formula>
    </cfRule>
  </conditionalFormatting>
  <conditionalFormatting sqref="B1027">
    <cfRule type="expression" dxfId="8684" priority="5542">
      <formula>B1023&lt;&gt;""</formula>
    </cfRule>
  </conditionalFormatting>
  <conditionalFormatting sqref="C1023:C1027">
    <cfRule type="expression" dxfId="8683" priority="5541">
      <formula>D1023&lt;&gt;""</formula>
    </cfRule>
  </conditionalFormatting>
  <conditionalFormatting sqref="D1023:D1027">
    <cfRule type="expression" dxfId="8682" priority="5540">
      <formula>D1023&lt;&gt;""</formula>
    </cfRule>
  </conditionalFormatting>
  <conditionalFormatting sqref="D1023">
    <cfRule type="expression" dxfId="8681" priority="5539">
      <formula>D1023&lt;&gt;""</formula>
    </cfRule>
  </conditionalFormatting>
  <conditionalFormatting sqref="D1027">
    <cfRule type="expression" dxfId="8680" priority="5538">
      <formula>D1023&lt;&gt;""</formula>
    </cfRule>
  </conditionalFormatting>
  <conditionalFormatting sqref="D1067:D1071">
    <cfRule type="expression" dxfId="8679" priority="5509">
      <formula>D1067&lt;&gt;""</formula>
    </cfRule>
  </conditionalFormatting>
  <conditionalFormatting sqref="D1067">
    <cfRule type="expression" dxfId="8678" priority="5508">
      <formula>D1067&lt;&gt;""</formula>
    </cfRule>
  </conditionalFormatting>
  <conditionalFormatting sqref="D1071">
    <cfRule type="expression" dxfId="8677" priority="5507">
      <formula>D1067&lt;&gt;""</formula>
    </cfRule>
  </conditionalFormatting>
  <conditionalFormatting sqref="D1059:D1063">
    <cfRule type="expression" dxfId="8676" priority="5530">
      <formula>D1059&lt;&gt;""</formula>
    </cfRule>
  </conditionalFormatting>
  <conditionalFormatting sqref="D1059">
    <cfRule type="expression" dxfId="8675" priority="5529">
      <formula>D1059&lt;&gt;""</formula>
    </cfRule>
  </conditionalFormatting>
  <conditionalFormatting sqref="D1063">
    <cfRule type="expression" dxfId="8674" priority="5528">
      <formula>D1059&lt;&gt;""</formula>
    </cfRule>
  </conditionalFormatting>
  <conditionalFormatting sqref="C1059:C1063">
    <cfRule type="expression" dxfId="8673" priority="5537">
      <formula>D1059&lt;&gt;""</formula>
    </cfRule>
  </conditionalFormatting>
  <conditionalFormatting sqref="E1059:E1063">
    <cfRule type="expression" dxfId="8672" priority="5536">
      <formula>F1059&lt;&gt;""</formula>
    </cfRule>
  </conditionalFormatting>
  <conditionalFormatting sqref="G1059:G1063">
    <cfRule type="expression" dxfId="8671" priority="5535">
      <formula>H1059&lt;&gt;""</formula>
    </cfRule>
  </conditionalFormatting>
  <conditionalFormatting sqref="I1059:I1063">
    <cfRule type="expression" dxfId="8670" priority="5534">
      <formula>B1067&lt;&gt;""</formula>
    </cfRule>
  </conditionalFormatting>
  <conditionalFormatting sqref="B1059:B1063">
    <cfRule type="expression" dxfId="8669" priority="5533">
      <formula>B1059&lt;&gt;""</formula>
    </cfRule>
  </conditionalFormatting>
  <conditionalFormatting sqref="B1059">
    <cfRule type="expression" dxfId="8668" priority="5532">
      <formula>B1059&lt;&gt;""</formula>
    </cfRule>
  </conditionalFormatting>
  <conditionalFormatting sqref="B1063">
    <cfRule type="expression" dxfId="8667" priority="5531">
      <formula>B1059&lt;&gt;""</formula>
    </cfRule>
  </conditionalFormatting>
  <conditionalFormatting sqref="F1059:F1063">
    <cfRule type="expression" dxfId="8666" priority="5527">
      <formula>F1059&lt;&gt;""</formula>
    </cfRule>
  </conditionalFormatting>
  <conditionalFormatting sqref="F1059">
    <cfRule type="expression" dxfId="8665" priority="5526">
      <formula>F1059&lt;&gt;""</formula>
    </cfRule>
  </conditionalFormatting>
  <conditionalFormatting sqref="F1063">
    <cfRule type="expression" dxfId="8664" priority="5525">
      <formula>F1059&lt;&gt;""</formula>
    </cfRule>
  </conditionalFormatting>
  <conditionalFormatting sqref="H1059:H1063">
    <cfRule type="expression" dxfId="8663" priority="5524">
      <formula>H1059&lt;&gt;""</formula>
    </cfRule>
  </conditionalFormatting>
  <conditionalFormatting sqref="H1059">
    <cfRule type="expression" dxfId="8662" priority="5523">
      <formula>H1059&lt;&gt;""</formula>
    </cfRule>
  </conditionalFormatting>
  <conditionalFormatting sqref="H1063">
    <cfRule type="expression" dxfId="8661" priority="5522">
      <formula>H1059&lt;&gt;""</formula>
    </cfRule>
  </conditionalFormatting>
  <conditionalFormatting sqref="F1051:F1055">
    <cfRule type="expression" dxfId="8660" priority="5521">
      <formula>F1051&lt;&gt;""</formula>
    </cfRule>
  </conditionalFormatting>
  <conditionalFormatting sqref="F1051">
    <cfRule type="expression" dxfId="8659" priority="5520">
      <formula>F1051&lt;&gt;""</formula>
    </cfRule>
  </conditionalFormatting>
  <conditionalFormatting sqref="F1055">
    <cfRule type="expression" dxfId="8658" priority="5519">
      <formula>F1051&lt;&gt;""</formula>
    </cfRule>
  </conditionalFormatting>
  <conditionalFormatting sqref="E1051:E1055">
    <cfRule type="expression" dxfId="8657" priority="5518">
      <formula>F1051&lt;&gt;""</formula>
    </cfRule>
  </conditionalFormatting>
  <conditionalFormatting sqref="G1051:G1055">
    <cfRule type="expression" dxfId="8656" priority="5517">
      <formula>H1051&lt;&gt;""</formula>
    </cfRule>
  </conditionalFormatting>
  <conditionalFormatting sqref="I1051:I1055">
    <cfRule type="expression" dxfId="8655" priority="5516">
      <formula>B1059&lt;&gt;""</formula>
    </cfRule>
  </conditionalFormatting>
  <conditionalFormatting sqref="H1051:H1055">
    <cfRule type="expression" dxfId="8654" priority="5515">
      <formula>H1051&lt;&gt;""</formula>
    </cfRule>
  </conditionalFormatting>
  <conditionalFormatting sqref="H1051">
    <cfRule type="expression" dxfId="8653" priority="5514">
      <formula>H1051&lt;&gt;""</formula>
    </cfRule>
  </conditionalFormatting>
  <conditionalFormatting sqref="H1055">
    <cfRule type="expression" dxfId="8652" priority="5513">
      <formula>H1051&lt;&gt;""</formula>
    </cfRule>
  </conditionalFormatting>
  <conditionalFormatting sqref="B1067:B1071">
    <cfRule type="expression" dxfId="8651" priority="5512">
      <formula>B1067&lt;&gt;""</formula>
    </cfRule>
  </conditionalFormatting>
  <conditionalFormatting sqref="B1067">
    <cfRule type="expression" dxfId="8650" priority="5511">
      <formula>B1067&lt;&gt;""</formula>
    </cfRule>
  </conditionalFormatting>
  <conditionalFormatting sqref="B1071">
    <cfRule type="expression" dxfId="8649" priority="5510">
      <formula>B1067&lt;&gt;""</formula>
    </cfRule>
  </conditionalFormatting>
  <conditionalFormatting sqref="F1067:F1071">
    <cfRule type="expression" dxfId="8648" priority="5506">
      <formula>F1067&lt;&gt;""</formula>
    </cfRule>
  </conditionalFormatting>
  <conditionalFormatting sqref="F1067">
    <cfRule type="expression" dxfId="8647" priority="5505">
      <formula>F1067&lt;&gt;""</formula>
    </cfRule>
  </conditionalFormatting>
  <conditionalFormatting sqref="F1071">
    <cfRule type="expression" dxfId="8646" priority="5504">
      <formula>F1067&lt;&gt;""</formula>
    </cfRule>
  </conditionalFormatting>
  <conditionalFormatting sqref="C1067:C1071">
    <cfRule type="expression" dxfId="8645" priority="5503">
      <formula>D1067&lt;&gt;""</formula>
    </cfRule>
  </conditionalFormatting>
  <conditionalFormatting sqref="E1067:E1071">
    <cfRule type="expression" dxfId="8644" priority="5502">
      <formula>F1067&lt;&gt;""</formula>
    </cfRule>
  </conditionalFormatting>
  <conditionalFormatting sqref="G1067:G1071">
    <cfRule type="expression" dxfId="8643" priority="5501">
      <formula>H1067&lt;&gt;""</formula>
    </cfRule>
  </conditionalFormatting>
  <conditionalFormatting sqref="H1067:H1071">
    <cfRule type="expression" dxfId="8642" priority="5500">
      <formula>H1067&lt;&gt;""</formula>
    </cfRule>
  </conditionalFormatting>
  <conditionalFormatting sqref="H1067">
    <cfRule type="expression" dxfId="8641" priority="5499">
      <formula>H1067&lt;&gt;""</formula>
    </cfRule>
  </conditionalFormatting>
  <conditionalFormatting sqref="H1071">
    <cfRule type="expression" dxfId="8640" priority="5498">
      <formula>H1067&lt;&gt;""</formula>
    </cfRule>
  </conditionalFormatting>
  <conditionalFormatting sqref="D1095:D1099">
    <cfRule type="expression" dxfId="8639" priority="5469">
      <formula>D1095&lt;&gt;""</formula>
    </cfRule>
  </conditionalFormatting>
  <conditionalFormatting sqref="D1095">
    <cfRule type="expression" dxfId="8638" priority="5468">
      <formula>D1095&lt;&gt;""</formula>
    </cfRule>
  </conditionalFormatting>
  <conditionalFormatting sqref="D1099">
    <cfRule type="expression" dxfId="8637" priority="5467">
      <formula>D1095&lt;&gt;""</formula>
    </cfRule>
  </conditionalFormatting>
  <conditionalFormatting sqref="D1087:D1091">
    <cfRule type="expression" dxfId="8636" priority="5490">
      <formula>D1087&lt;&gt;""</formula>
    </cfRule>
  </conditionalFormatting>
  <conditionalFormatting sqref="D1087">
    <cfRule type="expression" dxfId="8635" priority="5489">
      <formula>D1087&lt;&gt;""</formula>
    </cfRule>
  </conditionalFormatting>
  <conditionalFormatting sqref="D1091">
    <cfRule type="expression" dxfId="8634" priority="5488">
      <formula>D1087&lt;&gt;""</formula>
    </cfRule>
  </conditionalFormatting>
  <conditionalFormatting sqref="C1087:C1091">
    <cfRule type="expression" dxfId="8633" priority="5497">
      <formula>D1087&lt;&gt;""</formula>
    </cfRule>
  </conditionalFormatting>
  <conditionalFormatting sqref="E1087:E1091">
    <cfRule type="expression" dxfId="8632" priority="5496">
      <formula>F1087&lt;&gt;""</formula>
    </cfRule>
  </conditionalFormatting>
  <conditionalFormatting sqref="G1087:G1091">
    <cfRule type="expression" dxfId="8631" priority="5495">
      <formula>H1087&lt;&gt;""</formula>
    </cfRule>
  </conditionalFormatting>
  <conditionalFormatting sqref="I1087:I1091">
    <cfRule type="expression" dxfId="8630" priority="5494">
      <formula>B1095&lt;&gt;""</formula>
    </cfRule>
  </conditionalFormatting>
  <conditionalFormatting sqref="B1087:B1091">
    <cfRule type="expression" dxfId="8629" priority="5493">
      <formula>B1087&lt;&gt;""</formula>
    </cfRule>
  </conditionalFormatting>
  <conditionalFormatting sqref="B1087">
    <cfRule type="expression" dxfId="8628" priority="5492">
      <formula>B1087&lt;&gt;""</formula>
    </cfRule>
  </conditionalFormatting>
  <conditionalFormatting sqref="B1091">
    <cfRule type="expression" dxfId="8627" priority="5491">
      <formula>B1087&lt;&gt;""</formula>
    </cfRule>
  </conditionalFormatting>
  <conditionalFormatting sqref="F1087:F1091">
    <cfRule type="expression" dxfId="8626" priority="5487">
      <formula>F1087&lt;&gt;""</formula>
    </cfRule>
  </conditionalFormatting>
  <conditionalFormatting sqref="F1087">
    <cfRule type="expression" dxfId="8625" priority="5486">
      <formula>F1087&lt;&gt;""</formula>
    </cfRule>
  </conditionalFormatting>
  <conditionalFormatting sqref="F1091">
    <cfRule type="expression" dxfId="8624" priority="5485">
      <formula>F1087&lt;&gt;""</formula>
    </cfRule>
  </conditionalFormatting>
  <conditionalFormatting sqref="H1087:H1091">
    <cfRule type="expression" dxfId="8623" priority="5484">
      <formula>H1087&lt;&gt;""</formula>
    </cfRule>
  </conditionalFormatting>
  <conditionalFormatting sqref="H1087">
    <cfRule type="expression" dxfId="8622" priority="5483">
      <formula>H1087&lt;&gt;""</formula>
    </cfRule>
  </conditionalFormatting>
  <conditionalFormatting sqref="H1091">
    <cfRule type="expression" dxfId="8621" priority="5482">
      <formula>H1087&lt;&gt;""</formula>
    </cfRule>
  </conditionalFormatting>
  <conditionalFormatting sqref="F1079:F1083">
    <cfRule type="expression" dxfId="8620" priority="5481">
      <formula>F1079&lt;&gt;""</formula>
    </cfRule>
  </conditionalFormatting>
  <conditionalFormatting sqref="F1079">
    <cfRule type="expression" dxfId="8619" priority="5480">
      <formula>F1079&lt;&gt;""</formula>
    </cfRule>
  </conditionalFormatting>
  <conditionalFormatting sqref="F1083">
    <cfRule type="expression" dxfId="8618" priority="5479">
      <formula>F1079&lt;&gt;""</formula>
    </cfRule>
  </conditionalFormatting>
  <conditionalFormatting sqref="E1079:E1083">
    <cfRule type="expression" dxfId="8617" priority="5478">
      <formula>F1079&lt;&gt;""</formula>
    </cfRule>
  </conditionalFormatting>
  <conditionalFormatting sqref="G1079:G1083">
    <cfRule type="expression" dxfId="8616" priority="5477">
      <formula>H1079&lt;&gt;""</formula>
    </cfRule>
  </conditionalFormatting>
  <conditionalFormatting sqref="I1079:I1083">
    <cfRule type="expression" dxfId="8615" priority="5476">
      <formula>B1087&lt;&gt;""</formula>
    </cfRule>
  </conditionalFormatting>
  <conditionalFormatting sqref="H1079:H1083">
    <cfRule type="expression" dxfId="8614" priority="5475">
      <formula>H1079&lt;&gt;""</formula>
    </cfRule>
  </conditionalFormatting>
  <conditionalFormatting sqref="H1079">
    <cfRule type="expression" dxfId="8613" priority="5474">
      <formula>H1079&lt;&gt;""</formula>
    </cfRule>
  </conditionalFormatting>
  <conditionalFormatting sqref="H1083">
    <cfRule type="expression" dxfId="8612" priority="5473">
      <formula>H1079&lt;&gt;""</formula>
    </cfRule>
  </conditionalFormatting>
  <conditionalFormatting sqref="B1095:B1099">
    <cfRule type="expression" dxfId="8611" priority="5472">
      <formula>B1095&lt;&gt;""</formula>
    </cfRule>
  </conditionalFormatting>
  <conditionalFormatting sqref="B1095">
    <cfRule type="expression" dxfId="8610" priority="5471">
      <formula>B1095&lt;&gt;""</formula>
    </cfRule>
  </conditionalFormatting>
  <conditionalFormatting sqref="B1099">
    <cfRule type="expression" dxfId="8609" priority="5470">
      <formula>B1095&lt;&gt;""</formula>
    </cfRule>
  </conditionalFormatting>
  <conditionalFormatting sqref="F1095:F1099">
    <cfRule type="expression" dxfId="8608" priority="5466">
      <formula>F1095&lt;&gt;""</formula>
    </cfRule>
  </conditionalFormatting>
  <conditionalFormatting sqref="F1095">
    <cfRule type="expression" dxfId="8607" priority="5465">
      <formula>F1095&lt;&gt;""</formula>
    </cfRule>
  </conditionalFormatting>
  <conditionalFormatting sqref="F1099">
    <cfRule type="expression" dxfId="8606" priority="5464">
      <formula>F1095&lt;&gt;""</formula>
    </cfRule>
  </conditionalFormatting>
  <conditionalFormatting sqref="C1095:C1099">
    <cfRule type="expression" dxfId="8605" priority="5463">
      <formula>D1095&lt;&gt;""</formula>
    </cfRule>
  </conditionalFormatting>
  <conditionalFormatting sqref="E1095:E1099">
    <cfRule type="expression" dxfId="8604" priority="5462">
      <formula>F1095&lt;&gt;""</formula>
    </cfRule>
  </conditionalFormatting>
  <conditionalFormatting sqref="G1095:G1099">
    <cfRule type="expression" dxfId="8603" priority="5461">
      <formula>H1095&lt;&gt;""</formula>
    </cfRule>
  </conditionalFormatting>
  <conditionalFormatting sqref="H1095:H1099">
    <cfRule type="expression" dxfId="8602" priority="5460">
      <formula>H1095&lt;&gt;""</formula>
    </cfRule>
  </conditionalFormatting>
  <conditionalFormatting sqref="H1095">
    <cfRule type="expression" dxfId="8601" priority="5459">
      <formula>H1095&lt;&gt;""</formula>
    </cfRule>
  </conditionalFormatting>
  <conditionalFormatting sqref="H1099">
    <cfRule type="expression" dxfId="8600" priority="5458">
      <formula>H1095&lt;&gt;""</formula>
    </cfRule>
  </conditionalFormatting>
  <conditionalFormatting sqref="B1079:B1083">
    <cfRule type="expression" dxfId="8599" priority="5406">
      <formula>B1079&lt;&gt;""</formula>
    </cfRule>
  </conditionalFormatting>
  <conditionalFormatting sqref="B1085:B1086 C1085:I1085 I1084">
    <cfRule type="expression" dxfId="8598" priority="5457">
      <formula>$B$1087&lt;&gt;""</formula>
    </cfRule>
  </conditionalFormatting>
  <conditionalFormatting sqref="B1093:B1094 C1093:I1093 I1092">
    <cfRule type="expression" dxfId="8597" priority="5456">
      <formula>$B$1095&lt;&gt;""</formula>
    </cfRule>
  </conditionalFormatting>
  <conditionalFormatting sqref="D1123:D1127">
    <cfRule type="expression" dxfId="8596" priority="5427">
      <formula>D1123&lt;&gt;""</formula>
    </cfRule>
  </conditionalFormatting>
  <conditionalFormatting sqref="D1123">
    <cfRule type="expression" dxfId="8595" priority="5426">
      <formula>D1123&lt;&gt;""</formula>
    </cfRule>
  </conditionalFormatting>
  <conditionalFormatting sqref="D1127">
    <cfRule type="expression" dxfId="8594" priority="5425">
      <formula>D1123&lt;&gt;""</formula>
    </cfRule>
  </conditionalFormatting>
  <conditionalFormatting sqref="D1115:D1119">
    <cfRule type="expression" dxfId="8593" priority="5448">
      <formula>D1115&lt;&gt;""</formula>
    </cfRule>
  </conditionalFormatting>
  <conditionalFormatting sqref="D1115">
    <cfRule type="expression" dxfId="8592" priority="5447">
      <formula>D1115&lt;&gt;""</formula>
    </cfRule>
  </conditionalFormatting>
  <conditionalFormatting sqref="D1119">
    <cfRule type="expression" dxfId="8591" priority="5446">
      <formula>D1115&lt;&gt;""</formula>
    </cfRule>
  </conditionalFormatting>
  <conditionalFormatting sqref="C1115:C1119">
    <cfRule type="expression" dxfId="8590" priority="5455">
      <formula>D1115&lt;&gt;""</formula>
    </cfRule>
  </conditionalFormatting>
  <conditionalFormatting sqref="E1115:E1119">
    <cfRule type="expression" dxfId="8589" priority="5454">
      <formula>F1115&lt;&gt;""</formula>
    </cfRule>
  </conditionalFormatting>
  <conditionalFormatting sqref="G1115:G1119">
    <cfRule type="expression" dxfId="8588" priority="5453">
      <formula>H1115&lt;&gt;""</formula>
    </cfRule>
  </conditionalFormatting>
  <conditionalFormatting sqref="I1115:I1119">
    <cfRule type="expression" dxfId="8587" priority="5452">
      <formula>B1123&lt;&gt;""</formula>
    </cfRule>
  </conditionalFormatting>
  <conditionalFormatting sqref="B1115:B1119">
    <cfRule type="expression" dxfId="8586" priority="5451">
      <formula>B1115&lt;&gt;""</formula>
    </cfRule>
  </conditionalFormatting>
  <conditionalFormatting sqref="B1115">
    <cfRule type="expression" dxfId="8585" priority="5450">
      <formula>B1115&lt;&gt;""</formula>
    </cfRule>
  </conditionalFormatting>
  <conditionalFormatting sqref="B1119">
    <cfRule type="expression" dxfId="8584" priority="5449">
      <formula>B1115&lt;&gt;""</formula>
    </cfRule>
  </conditionalFormatting>
  <conditionalFormatting sqref="F1115:F1119">
    <cfRule type="expression" dxfId="8583" priority="5445">
      <formula>F1115&lt;&gt;""</formula>
    </cfRule>
  </conditionalFormatting>
  <conditionalFormatting sqref="F1115">
    <cfRule type="expression" dxfId="8582" priority="5444">
      <formula>F1115&lt;&gt;""</formula>
    </cfRule>
  </conditionalFormatting>
  <conditionalFormatting sqref="F1119">
    <cfRule type="expression" dxfId="8581" priority="5443">
      <formula>F1115&lt;&gt;""</formula>
    </cfRule>
  </conditionalFormatting>
  <conditionalFormatting sqref="H1115:H1119">
    <cfRule type="expression" dxfId="8580" priority="5442">
      <formula>H1115&lt;&gt;""</formula>
    </cfRule>
  </conditionalFormatting>
  <conditionalFormatting sqref="H1115">
    <cfRule type="expression" dxfId="8579" priority="5441">
      <formula>H1115&lt;&gt;""</formula>
    </cfRule>
  </conditionalFormatting>
  <conditionalFormatting sqref="H1119">
    <cfRule type="expression" dxfId="8578" priority="5440">
      <formula>H1115&lt;&gt;""</formula>
    </cfRule>
  </conditionalFormatting>
  <conditionalFormatting sqref="F1107:F1111">
    <cfRule type="expression" dxfId="8577" priority="5439">
      <formula>F1107&lt;&gt;""</formula>
    </cfRule>
  </conditionalFormatting>
  <conditionalFormatting sqref="F1107">
    <cfRule type="expression" dxfId="8576" priority="5438">
      <formula>F1107&lt;&gt;""</formula>
    </cfRule>
  </conditionalFormatting>
  <conditionalFormatting sqref="F1111">
    <cfRule type="expression" dxfId="8575" priority="5437">
      <formula>F1107&lt;&gt;""</formula>
    </cfRule>
  </conditionalFormatting>
  <conditionalFormatting sqref="E1107:E1111">
    <cfRule type="expression" dxfId="8574" priority="5436">
      <formula>F1107&lt;&gt;""</formula>
    </cfRule>
  </conditionalFormatting>
  <conditionalFormatting sqref="G1107:G1111">
    <cfRule type="expression" dxfId="8573" priority="5435">
      <formula>H1107&lt;&gt;""</formula>
    </cfRule>
  </conditionalFormatting>
  <conditionalFormatting sqref="I1107:I1111">
    <cfRule type="expression" dxfId="8572" priority="5434">
      <formula>B1115&lt;&gt;""</formula>
    </cfRule>
  </conditionalFormatting>
  <conditionalFormatting sqref="H1107:H1111">
    <cfRule type="expression" dxfId="8571" priority="5433">
      <formula>H1107&lt;&gt;""</formula>
    </cfRule>
  </conditionalFormatting>
  <conditionalFormatting sqref="H1107">
    <cfRule type="expression" dxfId="8570" priority="5432">
      <formula>H1107&lt;&gt;""</formula>
    </cfRule>
  </conditionalFormatting>
  <conditionalFormatting sqref="H1111">
    <cfRule type="expression" dxfId="8569" priority="5431">
      <formula>H1107&lt;&gt;""</formula>
    </cfRule>
  </conditionalFormatting>
  <conditionalFormatting sqref="B1123:B1127">
    <cfRule type="expression" dxfId="8568" priority="5430">
      <formula>B1123&lt;&gt;""</formula>
    </cfRule>
  </conditionalFormatting>
  <conditionalFormatting sqref="B1123">
    <cfRule type="expression" dxfId="8567" priority="5429">
      <formula>B1123&lt;&gt;""</formula>
    </cfRule>
  </conditionalFormatting>
  <conditionalFormatting sqref="B1127">
    <cfRule type="expression" dxfId="8566" priority="5428">
      <formula>B1123&lt;&gt;""</formula>
    </cfRule>
  </conditionalFormatting>
  <conditionalFormatting sqref="F1123:F1127">
    <cfRule type="expression" dxfId="8565" priority="5424">
      <formula>F1123&lt;&gt;""</formula>
    </cfRule>
  </conditionalFormatting>
  <conditionalFormatting sqref="F1123">
    <cfRule type="expression" dxfId="8564" priority="5423">
      <formula>F1123&lt;&gt;""</formula>
    </cfRule>
  </conditionalFormatting>
  <conditionalFormatting sqref="F1127">
    <cfRule type="expression" dxfId="8563" priority="5422">
      <formula>F1123&lt;&gt;""</formula>
    </cfRule>
  </conditionalFormatting>
  <conditionalFormatting sqref="C1123:C1127">
    <cfRule type="expression" dxfId="8562" priority="5421">
      <formula>D1123&lt;&gt;""</formula>
    </cfRule>
  </conditionalFormatting>
  <conditionalFormatting sqref="E1123:E1127">
    <cfRule type="expression" dxfId="8561" priority="5420">
      <formula>F1123&lt;&gt;""</formula>
    </cfRule>
  </conditionalFormatting>
  <conditionalFormatting sqref="G1123:G1127">
    <cfRule type="expression" dxfId="8560" priority="5419">
      <formula>H1123&lt;&gt;""</formula>
    </cfRule>
  </conditionalFormatting>
  <conditionalFormatting sqref="H1123:H1127">
    <cfRule type="expression" dxfId="8559" priority="5418">
      <formula>H1123&lt;&gt;""</formula>
    </cfRule>
  </conditionalFormatting>
  <conditionalFormatting sqref="H1123">
    <cfRule type="expression" dxfId="8558" priority="5417">
      <formula>H1123&lt;&gt;""</formula>
    </cfRule>
  </conditionalFormatting>
  <conditionalFormatting sqref="H1127">
    <cfRule type="expression" dxfId="8557" priority="5416">
      <formula>H1123&lt;&gt;""</formula>
    </cfRule>
  </conditionalFormatting>
  <conditionalFormatting sqref="B1107:B1111">
    <cfRule type="expression" dxfId="8556" priority="5399">
      <formula>B1107&lt;&gt;""</formula>
    </cfRule>
  </conditionalFormatting>
  <conditionalFormatting sqref="B1113:B1114 C1113:I1113 I1112">
    <cfRule type="expression" dxfId="8555" priority="5415">
      <formula>$B$1115&lt;&gt;""</formula>
    </cfRule>
  </conditionalFormatting>
  <conditionalFormatting sqref="B1121:B1122 C1121:I1121 I1120">
    <cfRule type="expression" dxfId="8554" priority="5414">
      <formula>$B$1123&lt;&gt;""</formula>
    </cfRule>
  </conditionalFormatting>
  <conditionalFormatting sqref="B1051:B1055">
    <cfRule type="expression" dxfId="8553" priority="5413">
      <formula>B1051&lt;&gt;""</formula>
    </cfRule>
  </conditionalFormatting>
  <conditionalFormatting sqref="B1051">
    <cfRule type="expression" dxfId="8552" priority="5412">
      <formula>B1051&lt;&gt;""</formula>
    </cfRule>
  </conditionalFormatting>
  <conditionalFormatting sqref="B1055">
    <cfRule type="expression" dxfId="8551" priority="5411">
      <formula>B1051&lt;&gt;""</formula>
    </cfRule>
  </conditionalFormatting>
  <conditionalFormatting sqref="C1051:C1055">
    <cfRule type="expression" dxfId="8550" priority="5410">
      <formula>D1051&lt;&gt;""</formula>
    </cfRule>
  </conditionalFormatting>
  <conditionalFormatting sqref="D1051:D1055">
    <cfRule type="expression" dxfId="8549" priority="5409">
      <formula>D1051&lt;&gt;""</formula>
    </cfRule>
  </conditionalFormatting>
  <conditionalFormatting sqref="D1051">
    <cfRule type="expression" dxfId="8548" priority="5408">
      <formula>D1051&lt;&gt;""</formula>
    </cfRule>
  </conditionalFormatting>
  <conditionalFormatting sqref="D1055">
    <cfRule type="expression" dxfId="8547" priority="5407">
      <formula>D1051&lt;&gt;""</formula>
    </cfRule>
  </conditionalFormatting>
  <conditionalFormatting sqref="B1079">
    <cfRule type="expression" dxfId="8546" priority="5405">
      <formula>B1079&lt;&gt;""</formula>
    </cfRule>
  </conditionalFormatting>
  <conditionalFormatting sqref="B1083">
    <cfRule type="expression" dxfId="8545" priority="5404">
      <formula>B1079&lt;&gt;""</formula>
    </cfRule>
  </conditionalFormatting>
  <conditionalFormatting sqref="C1079:C1083">
    <cfRule type="expression" dxfId="8544" priority="5403">
      <formula>D1079&lt;&gt;""</formula>
    </cfRule>
  </conditionalFormatting>
  <conditionalFormatting sqref="D1079:D1083">
    <cfRule type="expression" dxfId="8543" priority="5402">
      <formula>D1079&lt;&gt;""</formula>
    </cfRule>
  </conditionalFormatting>
  <conditionalFormatting sqref="D1079">
    <cfRule type="expression" dxfId="8542" priority="5401">
      <formula>D1079&lt;&gt;""</formula>
    </cfRule>
  </conditionalFormatting>
  <conditionalFormatting sqref="D1083">
    <cfRule type="expression" dxfId="8541" priority="5400">
      <formula>D1079&lt;&gt;""</formula>
    </cfRule>
  </conditionalFormatting>
  <conditionalFormatting sqref="B1107">
    <cfRule type="expression" dxfId="8540" priority="5398">
      <formula>B1107&lt;&gt;""</formula>
    </cfRule>
  </conditionalFormatting>
  <conditionalFormatting sqref="B1111">
    <cfRule type="expression" dxfId="8539" priority="5397">
      <formula>B1107&lt;&gt;""</formula>
    </cfRule>
  </conditionalFormatting>
  <conditionalFormatting sqref="C1107:C1111">
    <cfRule type="expression" dxfId="8538" priority="5396">
      <formula>D1107&lt;&gt;""</formula>
    </cfRule>
  </conditionalFormatting>
  <conditionalFormatting sqref="D1107:D1111">
    <cfRule type="expression" dxfId="8537" priority="5395">
      <formula>D1107&lt;&gt;""</formula>
    </cfRule>
  </conditionalFormatting>
  <conditionalFormatting sqref="D1107">
    <cfRule type="expression" dxfId="8536" priority="5394">
      <formula>D1107&lt;&gt;""</formula>
    </cfRule>
  </conditionalFormatting>
  <conditionalFormatting sqref="D1111">
    <cfRule type="expression" dxfId="8535" priority="5393">
      <formula>D1107&lt;&gt;""</formula>
    </cfRule>
  </conditionalFormatting>
  <conditionalFormatting sqref="B1065:B1066 C1065:I1065 I1064">
    <cfRule type="expression" dxfId="8534" priority="5392">
      <formula>$B$1067&lt;&gt;""</formula>
    </cfRule>
  </conditionalFormatting>
  <conditionalFormatting sqref="B1057:B1058 C1057:I1057 I1056">
    <cfRule type="expression" dxfId="8533" priority="5391">
      <formula>$B$1059&lt;&gt;""</formula>
    </cfRule>
  </conditionalFormatting>
  <conditionalFormatting sqref="D1321:D1325">
    <cfRule type="expression" dxfId="8532" priority="5361">
      <formula>D1321&lt;&gt;""</formula>
    </cfRule>
  </conditionalFormatting>
  <conditionalFormatting sqref="D1321">
    <cfRule type="expression" dxfId="8531" priority="5360">
      <formula>D1321&lt;&gt;""</formula>
    </cfRule>
  </conditionalFormatting>
  <conditionalFormatting sqref="D1325">
    <cfRule type="expression" dxfId="8530" priority="5359">
      <formula>D1321&lt;&gt;""</formula>
    </cfRule>
  </conditionalFormatting>
  <conditionalFormatting sqref="I1310:I1311 C1311:H1311 B1311:B1312">
    <cfRule type="expression" dxfId="8529" priority="5349">
      <formula>$B$1313&lt;&gt;""</formula>
    </cfRule>
  </conditionalFormatting>
  <conditionalFormatting sqref="D1313:D1317">
    <cfRule type="expression" dxfId="8528" priority="5383">
      <formula>D1313&lt;&gt;""</formula>
    </cfRule>
  </conditionalFormatting>
  <conditionalFormatting sqref="D1313">
    <cfRule type="expression" dxfId="8527" priority="5382">
      <formula>D1313&lt;&gt;""</formula>
    </cfRule>
  </conditionalFormatting>
  <conditionalFormatting sqref="D1317">
    <cfRule type="expression" dxfId="8526" priority="5381">
      <formula>D1313&lt;&gt;""</formula>
    </cfRule>
  </conditionalFormatting>
  <conditionalFormatting sqref="C1313:C1317">
    <cfRule type="expression" dxfId="8525" priority="5390">
      <formula>D1313&lt;&gt;""</formula>
    </cfRule>
  </conditionalFormatting>
  <conditionalFormatting sqref="E1313:E1317">
    <cfRule type="expression" dxfId="8524" priority="5389">
      <formula>F1313&lt;&gt;""</formula>
    </cfRule>
  </conditionalFormatting>
  <conditionalFormatting sqref="G1313:G1317">
    <cfRule type="expression" dxfId="8523" priority="5388">
      <formula>H1313&lt;&gt;""</formula>
    </cfRule>
  </conditionalFormatting>
  <conditionalFormatting sqref="I1313:I1317">
    <cfRule type="expression" dxfId="8522" priority="5387">
      <formula>B1321&lt;&gt;""</formula>
    </cfRule>
  </conditionalFormatting>
  <conditionalFormatting sqref="B1313:B1317">
    <cfRule type="expression" dxfId="8521" priority="5386">
      <formula>B1313&lt;&gt;""</formula>
    </cfRule>
  </conditionalFormatting>
  <conditionalFormatting sqref="B1313">
    <cfRule type="expression" dxfId="8520" priority="5385">
      <formula>B1313&lt;&gt;""</formula>
    </cfRule>
  </conditionalFormatting>
  <conditionalFormatting sqref="B1317">
    <cfRule type="expression" dxfId="8519" priority="5384">
      <formula>B1313&lt;&gt;""</formula>
    </cfRule>
  </conditionalFormatting>
  <conditionalFormatting sqref="F1313:F1317">
    <cfRule type="expression" dxfId="8518" priority="5380">
      <formula>F1313&lt;&gt;""</formula>
    </cfRule>
  </conditionalFormatting>
  <conditionalFormatting sqref="F1313">
    <cfRule type="expression" dxfId="8517" priority="5379">
      <formula>F1313&lt;&gt;""</formula>
    </cfRule>
  </conditionalFormatting>
  <conditionalFormatting sqref="F1317">
    <cfRule type="expression" dxfId="8516" priority="5378">
      <formula>F1313&lt;&gt;""</formula>
    </cfRule>
  </conditionalFormatting>
  <conditionalFormatting sqref="H1313:H1317">
    <cfRule type="expression" dxfId="8515" priority="5377">
      <formula>H1313&lt;&gt;""</formula>
    </cfRule>
  </conditionalFormatting>
  <conditionalFormatting sqref="H1313">
    <cfRule type="expression" dxfId="8514" priority="5376">
      <formula>H1313&lt;&gt;""</formula>
    </cfRule>
  </conditionalFormatting>
  <conditionalFormatting sqref="H1317">
    <cfRule type="expression" dxfId="8513" priority="5375">
      <formula>H1313&lt;&gt;""</formula>
    </cfRule>
  </conditionalFormatting>
  <conditionalFormatting sqref="F1305:F1309">
    <cfRule type="expression" dxfId="8512" priority="5374">
      <formula>F1305&lt;&gt;""</formula>
    </cfRule>
  </conditionalFormatting>
  <conditionalFormatting sqref="F1305">
    <cfRule type="expression" dxfId="8511" priority="5373">
      <formula>F1305&lt;&gt;""</formula>
    </cfRule>
  </conditionalFormatting>
  <conditionalFormatting sqref="F1309">
    <cfRule type="expression" dxfId="8510" priority="5372">
      <formula>F1305&lt;&gt;""</formula>
    </cfRule>
  </conditionalFormatting>
  <conditionalFormatting sqref="E1305:E1309">
    <cfRule type="expression" dxfId="8509" priority="5371">
      <formula>F1305&lt;&gt;""</formula>
    </cfRule>
  </conditionalFormatting>
  <conditionalFormatting sqref="G1305:G1309">
    <cfRule type="expression" dxfId="8508" priority="5370">
      <formula>H1305&lt;&gt;""</formula>
    </cfRule>
  </conditionalFormatting>
  <conditionalFormatting sqref="I1305:I1309">
    <cfRule type="expression" dxfId="8507" priority="5369">
      <formula>B1313&lt;&gt;""</formula>
    </cfRule>
  </conditionalFormatting>
  <conditionalFormatting sqref="H1305:H1309">
    <cfRule type="expression" dxfId="8506" priority="5368">
      <formula>H1305&lt;&gt;""</formula>
    </cfRule>
  </conditionalFormatting>
  <conditionalFormatting sqref="H1305">
    <cfRule type="expression" dxfId="8505" priority="5367">
      <formula>H1305&lt;&gt;""</formula>
    </cfRule>
  </conditionalFormatting>
  <conditionalFormatting sqref="H1309">
    <cfRule type="expression" dxfId="8504" priority="5366">
      <formula>H1305&lt;&gt;""</formula>
    </cfRule>
  </conditionalFormatting>
  <conditionalFormatting sqref="I1318:I1319 C1319:H1319 B1319:B1320">
    <cfRule type="expression" dxfId="8503" priority="5365">
      <formula>$B$1321&lt;&gt;""</formula>
    </cfRule>
  </conditionalFormatting>
  <conditionalFormatting sqref="B1321:B1325">
    <cfRule type="expression" dxfId="8502" priority="5364">
      <formula>B1321&lt;&gt;""</formula>
    </cfRule>
  </conditionalFormatting>
  <conditionalFormatting sqref="B1321">
    <cfRule type="expression" dxfId="8501" priority="5363">
      <formula>B1321&lt;&gt;""</formula>
    </cfRule>
  </conditionalFormatting>
  <conditionalFormatting sqref="B1325">
    <cfRule type="expression" dxfId="8500" priority="5362">
      <formula>B1321&lt;&gt;""</formula>
    </cfRule>
  </conditionalFormatting>
  <conditionalFormatting sqref="F1321:F1325">
    <cfRule type="expression" dxfId="8499" priority="5358">
      <formula>F1321&lt;&gt;""</formula>
    </cfRule>
  </conditionalFormatting>
  <conditionalFormatting sqref="F1321">
    <cfRule type="expression" dxfId="8498" priority="5357">
      <formula>F1321&lt;&gt;""</formula>
    </cfRule>
  </conditionalFormatting>
  <conditionalFormatting sqref="F1325">
    <cfRule type="expression" dxfId="8497" priority="5356">
      <formula>F1321&lt;&gt;""</formula>
    </cfRule>
  </conditionalFormatting>
  <conditionalFormatting sqref="C1321:C1325">
    <cfRule type="expression" dxfId="8496" priority="5355">
      <formula>D1321&lt;&gt;""</formula>
    </cfRule>
  </conditionalFormatting>
  <conditionalFormatting sqref="E1321:E1325">
    <cfRule type="expression" dxfId="8495" priority="5354">
      <formula>F1321&lt;&gt;""</formula>
    </cfRule>
  </conditionalFormatting>
  <conditionalFormatting sqref="G1321:G1325">
    <cfRule type="expression" dxfId="8494" priority="5353">
      <formula>H1321&lt;&gt;""</formula>
    </cfRule>
  </conditionalFormatting>
  <conditionalFormatting sqref="H1321:H1325">
    <cfRule type="expression" dxfId="8493" priority="5352">
      <formula>H1321&lt;&gt;""</formula>
    </cfRule>
  </conditionalFormatting>
  <conditionalFormatting sqref="H1321">
    <cfRule type="expression" dxfId="8492" priority="5351">
      <formula>H1321&lt;&gt;""</formula>
    </cfRule>
  </conditionalFormatting>
  <conditionalFormatting sqref="H1325">
    <cfRule type="expression" dxfId="8491" priority="5350">
      <formula>H1321&lt;&gt;""</formula>
    </cfRule>
  </conditionalFormatting>
  <conditionalFormatting sqref="D1293:D1297">
    <cfRule type="expression" dxfId="8490" priority="5319">
      <formula>D1293&lt;&gt;""</formula>
    </cfRule>
  </conditionalFormatting>
  <conditionalFormatting sqref="D1293">
    <cfRule type="expression" dxfId="8489" priority="5318">
      <formula>D1293&lt;&gt;""</formula>
    </cfRule>
  </conditionalFormatting>
  <conditionalFormatting sqref="D1297">
    <cfRule type="expression" dxfId="8488" priority="5317">
      <formula>D1293&lt;&gt;""</formula>
    </cfRule>
  </conditionalFormatting>
  <conditionalFormatting sqref="I1282:I1283 C1283:H1283 B1283:B1284">
    <cfRule type="expression" dxfId="8487" priority="5307">
      <formula>$B$1285&lt;&gt;""</formula>
    </cfRule>
  </conditionalFormatting>
  <conditionalFormatting sqref="D1285:D1289">
    <cfRule type="expression" dxfId="8486" priority="5341">
      <formula>D1285&lt;&gt;""</formula>
    </cfRule>
  </conditionalFormatting>
  <conditionalFormatting sqref="D1285">
    <cfRule type="expression" dxfId="8485" priority="5340">
      <formula>D1285&lt;&gt;""</formula>
    </cfRule>
  </conditionalFormatting>
  <conditionalFormatting sqref="D1289">
    <cfRule type="expression" dxfId="8484" priority="5339">
      <formula>D1285&lt;&gt;""</formula>
    </cfRule>
  </conditionalFormatting>
  <conditionalFormatting sqref="C1285:C1289">
    <cfRule type="expression" dxfId="8483" priority="5348">
      <formula>D1285&lt;&gt;""</formula>
    </cfRule>
  </conditionalFormatting>
  <conditionalFormatting sqref="E1285:E1289">
    <cfRule type="expression" dxfId="8482" priority="5347">
      <formula>F1285&lt;&gt;""</formula>
    </cfRule>
  </conditionalFormatting>
  <conditionalFormatting sqref="G1285:G1289">
    <cfRule type="expression" dxfId="8481" priority="5346">
      <formula>H1285&lt;&gt;""</formula>
    </cfRule>
  </conditionalFormatting>
  <conditionalFormatting sqref="I1285:I1289">
    <cfRule type="expression" dxfId="8480" priority="5345">
      <formula>B1293&lt;&gt;""</formula>
    </cfRule>
  </conditionalFormatting>
  <conditionalFormatting sqref="B1285:B1289">
    <cfRule type="expression" dxfId="8479" priority="5344">
      <formula>B1285&lt;&gt;""</formula>
    </cfRule>
  </conditionalFormatting>
  <conditionalFormatting sqref="B1285">
    <cfRule type="expression" dxfId="8478" priority="5343">
      <formula>B1285&lt;&gt;""</formula>
    </cfRule>
  </conditionalFormatting>
  <conditionalFormatting sqref="B1289">
    <cfRule type="expression" dxfId="8477" priority="5342">
      <formula>B1285&lt;&gt;""</formula>
    </cfRule>
  </conditionalFormatting>
  <conditionalFormatting sqref="F1285:F1289">
    <cfRule type="expression" dxfId="8476" priority="5338">
      <formula>F1285&lt;&gt;""</formula>
    </cfRule>
  </conditionalFormatting>
  <conditionalFormatting sqref="F1285">
    <cfRule type="expression" dxfId="8475" priority="5337">
      <formula>F1285&lt;&gt;""</formula>
    </cfRule>
  </conditionalFormatting>
  <conditionalFormatting sqref="F1289">
    <cfRule type="expression" dxfId="8474" priority="5336">
      <formula>F1285&lt;&gt;""</formula>
    </cfRule>
  </conditionalFormatting>
  <conditionalFormatting sqref="H1285:H1289">
    <cfRule type="expression" dxfId="8473" priority="5335">
      <formula>H1285&lt;&gt;""</formula>
    </cfRule>
  </conditionalFormatting>
  <conditionalFormatting sqref="H1285">
    <cfRule type="expression" dxfId="8472" priority="5334">
      <formula>H1285&lt;&gt;""</formula>
    </cfRule>
  </conditionalFormatting>
  <conditionalFormatting sqref="H1289">
    <cfRule type="expression" dxfId="8471" priority="5333">
      <formula>H1285&lt;&gt;""</formula>
    </cfRule>
  </conditionalFormatting>
  <conditionalFormatting sqref="F1277:F1281">
    <cfRule type="expression" dxfId="8470" priority="5332">
      <formula>F1277&lt;&gt;""</formula>
    </cfRule>
  </conditionalFormatting>
  <conditionalFormatting sqref="F1277">
    <cfRule type="expression" dxfId="8469" priority="5331">
      <formula>F1277&lt;&gt;""</formula>
    </cfRule>
  </conditionalFormatting>
  <conditionalFormatting sqref="F1281">
    <cfRule type="expression" dxfId="8468" priority="5330">
      <formula>F1277&lt;&gt;""</formula>
    </cfRule>
  </conditionalFormatting>
  <conditionalFormatting sqref="E1277:E1281">
    <cfRule type="expression" dxfId="8467" priority="5329">
      <formula>F1277&lt;&gt;""</formula>
    </cfRule>
  </conditionalFormatting>
  <conditionalFormatting sqref="G1277:G1281">
    <cfRule type="expression" dxfId="8466" priority="5328">
      <formula>H1277&lt;&gt;""</formula>
    </cfRule>
  </conditionalFormatting>
  <conditionalFormatting sqref="I1277:I1281">
    <cfRule type="expression" dxfId="8465" priority="5327">
      <formula>B1285&lt;&gt;""</formula>
    </cfRule>
  </conditionalFormatting>
  <conditionalFormatting sqref="H1277:H1281">
    <cfRule type="expression" dxfId="8464" priority="5326">
      <formula>H1277&lt;&gt;""</formula>
    </cfRule>
  </conditionalFormatting>
  <conditionalFormatting sqref="H1277">
    <cfRule type="expression" dxfId="8463" priority="5325">
      <formula>H1277&lt;&gt;""</formula>
    </cfRule>
  </conditionalFormatting>
  <conditionalFormatting sqref="H1281">
    <cfRule type="expression" dxfId="8462" priority="5324">
      <formula>H1277&lt;&gt;""</formula>
    </cfRule>
  </conditionalFormatting>
  <conditionalFormatting sqref="I1290:I1291 C1291:H1291 B1291:B1292">
    <cfRule type="expression" dxfId="8461" priority="5323">
      <formula>$B$1293&lt;&gt;""</formula>
    </cfRule>
  </conditionalFormatting>
  <conditionalFormatting sqref="B1293:B1297">
    <cfRule type="expression" dxfId="8460" priority="5322">
      <formula>B1293&lt;&gt;""</formula>
    </cfRule>
  </conditionalFormatting>
  <conditionalFormatting sqref="B1293">
    <cfRule type="expression" dxfId="8459" priority="5321">
      <formula>B1293&lt;&gt;""</formula>
    </cfRule>
  </conditionalFormatting>
  <conditionalFormatting sqref="B1297">
    <cfRule type="expression" dxfId="8458" priority="5320">
      <formula>B1293&lt;&gt;""</formula>
    </cfRule>
  </conditionalFormatting>
  <conditionalFormatting sqref="F1293:F1297">
    <cfRule type="expression" dxfId="8457" priority="5316">
      <formula>F1293&lt;&gt;""</formula>
    </cfRule>
  </conditionalFormatting>
  <conditionalFormatting sqref="F1293">
    <cfRule type="expression" dxfId="8456" priority="5315">
      <formula>F1293&lt;&gt;""</formula>
    </cfRule>
  </conditionalFormatting>
  <conditionalFormatting sqref="F1297">
    <cfRule type="expression" dxfId="8455" priority="5314">
      <formula>F1293&lt;&gt;""</formula>
    </cfRule>
  </conditionalFormatting>
  <conditionalFormatting sqref="C1293:C1297">
    <cfRule type="expression" dxfId="8454" priority="5313">
      <formula>D1293&lt;&gt;""</formula>
    </cfRule>
  </conditionalFormatting>
  <conditionalFormatting sqref="E1293:E1297">
    <cfRule type="expression" dxfId="8453" priority="5312">
      <formula>F1293&lt;&gt;""</formula>
    </cfRule>
  </conditionalFormatting>
  <conditionalFormatting sqref="G1293:G1297">
    <cfRule type="expression" dxfId="8452" priority="5311">
      <formula>H1293&lt;&gt;""</formula>
    </cfRule>
  </conditionalFormatting>
  <conditionalFormatting sqref="H1293:H1297">
    <cfRule type="expression" dxfId="8451" priority="5310">
      <formula>H1293&lt;&gt;""</formula>
    </cfRule>
  </conditionalFormatting>
  <conditionalFormatting sqref="H1293">
    <cfRule type="expression" dxfId="8450" priority="5309">
      <formula>H1293&lt;&gt;""</formula>
    </cfRule>
  </conditionalFormatting>
  <conditionalFormatting sqref="H1297">
    <cfRule type="expression" dxfId="8449" priority="5308">
      <formula>H1293&lt;&gt;""</formula>
    </cfRule>
  </conditionalFormatting>
  <conditionalFormatting sqref="D1265:D1269">
    <cfRule type="expression" dxfId="8448" priority="5277">
      <formula>D1265&lt;&gt;""</formula>
    </cfRule>
  </conditionalFormatting>
  <conditionalFormatting sqref="D1265">
    <cfRule type="expression" dxfId="8447" priority="5276">
      <formula>D1265&lt;&gt;""</formula>
    </cfRule>
  </conditionalFormatting>
  <conditionalFormatting sqref="D1269">
    <cfRule type="expression" dxfId="8446" priority="5275">
      <formula>D1265&lt;&gt;""</formula>
    </cfRule>
  </conditionalFormatting>
  <conditionalFormatting sqref="I1254:I1255 C1255:H1255 B1255:B1256">
    <cfRule type="expression" dxfId="8445" priority="5265">
      <formula>$B$1257&lt;&gt;""</formula>
    </cfRule>
  </conditionalFormatting>
  <conditionalFormatting sqref="D1257:D1261">
    <cfRule type="expression" dxfId="8444" priority="5299">
      <formula>D1257&lt;&gt;""</formula>
    </cfRule>
  </conditionalFormatting>
  <conditionalFormatting sqref="D1257">
    <cfRule type="expression" dxfId="8443" priority="5298">
      <formula>D1257&lt;&gt;""</formula>
    </cfRule>
  </conditionalFormatting>
  <conditionalFormatting sqref="D1261">
    <cfRule type="expression" dxfId="8442" priority="5297">
      <formula>D1257&lt;&gt;""</formula>
    </cfRule>
  </conditionalFormatting>
  <conditionalFormatting sqref="C1257:C1261">
    <cfRule type="expression" dxfId="8441" priority="5306">
      <formula>D1257&lt;&gt;""</formula>
    </cfRule>
  </conditionalFormatting>
  <conditionalFormatting sqref="E1257:E1261">
    <cfRule type="expression" dxfId="8440" priority="5305">
      <formula>F1257&lt;&gt;""</formula>
    </cfRule>
  </conditionalFormatting>
  <conditionalFormatting sqref="G1257:G1261">
    <cfRule type="expression" dxfId="8439" priority="5304">
      <formula>H1257&lt;&gt;""</formula>
    </cfRule>
  </conditionalFormatting>
  <conditionalFormatting sqref="I1257:I1261">
    <cfRule type="expression" dxfId="8438" priority="5303">
      <formula>B1265&lt;&gt;""</formula>
    </cfRule>
  </conditionalFormatting>
  <conditionalFormatting sqref="B1257:B1261">
    <cfRule type="expression" dxfId="8437" priority="5302">
      <formula>B1257&lt;&gt;""</formula>
    </cfRule>
  </conditionalFormatting>
  <conditionalFormatting sqref="B1257">
    <cfRule type="expression" dxfId="8436" priority="5301">
      <formula>B1257&lt;&gt;""</formula>
    </cfRule>
  </conditionalFormatting>
  <conditionalFormatting sqref="B1261">
    <cfRule type="expression" dxfId="8435" priority="5300">
      <formula>B1257&lt;&gt;""</formula>
    </cfRule>
  </conditionalFormatting>
  <conditionalFormatting sqref="F1257:F1261">
    <cfRule type="expression" dxfId="8434" priority="5296">
      <formula>F1257&lt;&gt;""</formula>
    </cfRule>
  </conditionalFormatting>
  <conditionalFormatting sqref="F1257">
    <cfRule type="expression" dxfId="8433" priority="5295">
      <formula>F1257&lt;&gt;""</formula>
    </cfRule>
  </conditionalFormatting>
  <conditionalFormatting sqref="F1261">
    <cfRule type="expression" dxfId="8432" priority="5294">
      <formula>F1257&lt;&gt;""</formula>
    </cfRule>
  </conditionalFormatting>
  <conditionalFormatting sqref="H1257:H1261">
    <cfRule type="expression" dxfId="8431" priority="5293">
      <formula>H1257&lt;&gt;""</formula>
    </cfRule>
  </conditionalFormatting>
  <conditionalFormatting sqref="H1257">
    <cfRule type="expression" dxfId="8430" priority="5292">
      <formula>H1257&lt;&gt;""</formula>
    </cfRule>
  </conditionalFormatting>
  <conditionalFormatting sqref="H1261">
    <cfRule type="expression" dxfId="8429" priority="5291">
      <formula>H1257&lt;&gt;""</formula>
    </cfRule>
  </conditionalFormatting>
  <conditionalFormatting sqref="F1249:F1253">
    <cfRule type="expression" dxfId="8428" priority="5290">
      <formula>F1249&lt;&gt;""</formula>
    </cfRule>
  </conditionalFormatting>
  <conditionalFormatting sqref="F1249">
    <cfRule type="expression" dxfId="8427" priority="5289">
      <formula>F1249&lt;&gt;""</formula>
    </cfRule>
  </conditionalFormatting>
  <conditionalFormatting sqref="F1253">
    <cfRule type="expression" dxfId="8426" priority="5288">
      <formula>F1249&lt;&gt;""</formula>
    </cfRule>
  </conditionalFormatting>
  <conditionalFormatting sqref="E1249:E1253">
    <cfRule type="expression" dxfId="8425" priority="5287">
      <formula>F1249&lt;&gt;""</formula>
    </cfRule>
  </conditionalFormatting>
  <conditionalFormatting sqref="G1249:G1253">
    <cfRule type="expression" dxfId="8424" priority="5286">
      <formula>H1249&lt;&gt;""</formula>
    </cfRule>
  </conditionalFormatting>
  <conditionalFormatting sqref="I1249:I1253">
    <cfRule type="expression" dxfId="8423" priority="5285">
      <formula>B1257&lt;&gt;""</formula>
    </cfRule>
  </conditionalFormatting>
  <conditionalFormatting sqref="H1249:H1253">
    <cfRule type="expression" dxfId="8422" priority="5284">
      <formula>H1249&lt;&gt;""</formula>
    </cfRule>
  </conditionalFormatting>
  <conditionalFormatting sqref="H1249">
    <cfRule type="expression" dxfId="8421" priority="5283">
      <formula>H1249&lt;&gt;""</formula>
    </cfRule>
  </conditionalFormatting>
  <conditionalFormatting sqref="H1253">
    <cfRule type="expression" dxfId="8420" priority="5282">
      <formula>H1249&lt;&gt;""</formula>
    </cfRule>
  </conditionalFormatting>
  <conditionalFormatting sqref="I1262:I1263 C1263:H1263 B1263:B1264">
    <cfRule type="expression" dxfId="8419" priority="5281">
      <formula>$B$1265&lt;&gt;""</formula>
    </cfRule>
  </conditionalFormatting>
  <conditionalFormatting sqref="B1265:B1269">
    <cfRule type="expression" dxfId="8418" priority="5280">
      <formula>B1265&lt;&gt;""</formula>
    </cfRule>
  </conditionalFormatting>
  <conditionalFormatting sqref="B1265">
    <cfRule type="expression" dxfId="8417" priority="5279">
      <formula>B1265&lt;&gt;""</formula>
    </cfRule>
  </conditionalFormatting>
  <conditionalFormatting sqref="B1269">
    <cfRule type="expression" dxfId="8416" priority="5278">
      <formula>B1265&lt;&gt;""</formula>
    </cfRule>
  </conditionalFormatting>
  <conditionalFormatting sqref="F1265:F1269">
    <cfRule type="expression" dxfId="8415" priority="5274">
      <formula>F1265&lt;&gt;""</formula>
    </cfRule>
  </conditionalFormatting>
  <conditionalFormatting sqref="F1265">
    <cfRule type="expression" dxfId="8414" priority="5273">
      <formula>F1265&lt;&gt;""</formula>
    </cfRule>
  </conditionalFormatting>
  <conditionalFormatting sqref="F1269">
    <cfRule type="expression" dxfId="8413" priority="5272">
      <formula>F1265&lt;&gt;""</formula>
    </cfRule>
  </conditionalFormatting>
  <conditionalFormatting sqref="C1265:C1269">
    <cfRule type="expression" dxfId="8412" priority="5271">
      <formula>D1265&lt;&gt;""</formula>
    </cfRule>
  </conditionalFormatting>
  <conditionalFormatting sqref="E1265:E1269">
    <cfRule type="expression" dxfId="8411" priority="5270">
      <formula>F1265&lt;&gt;""</formula>
    </cfRule>
  </conditionalFormatting>
  <conditionalFormatting sqref="G1265:G1269">
    <cfRule type="expression" dxfId="8410" priority="5269">
      <formula>H1265&lt;&gt;""</formula>
    </cfRule>
  </conditionalFormatting>
  <conditionalFormatting sqref="H1265:H1269">
    <cfRule type="expression" dxfId="8409" priority="5268">
      <formula>H1265&lt;&gt;""</formula>
    </cfRule>
  </conditionalFormatting>
  <conditionalFormatting sqref="H1265">
    <cfRule type="expression" dxfId="8408" priority="5267">
      <formula>H1265&lt;&gt;""</formula>
    </cfRule>
  </conditionalFormatting>
  <conditionalFormatting sqref="H1269">
    <cfRule type="expression" dxfId="8407" priority="5266">
      <formula>H1265&lt;&gt;""</formula>
    </cfRule>
  </conditionalFormatting>
  <conditionalFormatting sqref="D1237:D1241">
    <cfRule type="expression" dxfId="8406" priority="5235">
      <formula>D1237&lt;&gt;""</formula>
    </cfRule>
  </conditionalFormatting>
  <conditionalFormatting sqref="D1237">
    <cfRule type="expression" dxfId="8405" priority="5234">
      <formula>D1237&lt;&gt;""</formula>
    </cfRule>
  </conditionalFormatting>
  <conditionalFormatting sqref="D1241">
    <cfRule type="expression" dxfId="8404" priority="5233">
      <formula>D1237&lt;&gt;""</formula>
    </cfRule>
  </conditionalFormatting>
  <conditionalFormatting sqref="I1226:I1227 C1227:H1227 B1227:B1228">
    <cfRule type="expression" dxfId="8403" priority="5223">
      <formula>$B$1229&lt;&gt;""</formula>
    </cfRule>
  </conditionalFormatting>
  <conditionalFormatting sqref="D1229:D1233">
    <cfRule type="expression" dxfId="8402" priority="5257">
      <formula>D1229&lt;&gt;""</formula>
    </cfRule>
  </conditionalFormatting>
  <conditionalFormatting sqref="D1229">
    <cfRule type="expression" dxfId="8401" priority="5256">
      <formula>D1229&lt;&gt;""</formula>
    </cfRule>
  </conditionalFormatting>
  <conditionalFormatting sqref="D1233">
    <cfRule type="expression" dxfId="8400" priority="5255">
      <formula>D1229&lt;&gt;""</formula>
    </cfRule>
  </conditionalFormatting>
  <conditionalFormatting sqref="C1229:C1233">
    <cfRule type="expression" dxfId="8399" priority="5264">
      <formula>D1229&lt;&gt;""</formula>
    </cfRule>
  </conditionalFormatting>
  <conditionalFormatting sqref="E1229:E1233">
    <cfRule type="expression" dxfId="8398" priority="5263">
      <formula>F1229&lt;&gt;""</formula>
    </cfRule>
  </conditionalFormatting>
  <conditionalFormatting sqref="G1229:G1233">
    <cfRule type="expression" dxfId="8397" priority="5262">
      <formula>H1229&lt;&gt;""</formula>
    </cfRule>
  </conditionalFormatting>
  <conditionalFormatting sqref="I1229:I1233">
    <cfRule type="expression" dxfId="8396" priority="5261">
      <formula>B1237&lt;&gt;""</formula>
    </cfRule>
  </conditionalFormatting>
  <conditionalFormatting sqref="B1229:B1233">
    <cfRule type="expression" dxfId="8395" priority="5260">
      <formula>B1229&lt;&gt;""</formula>
    </cfRule>
  </conditionalFormatting>
  <conditionalFormatting sqref="B1229">
    <cfRule type="expression" dxfId="8394" priority="5259">
      <formula>B1229&lt;&gt;""</formula>
    </cfRule>
  </conditionalFormatting>
  <conditionalFormatting sqref="B1233">
    <cfRule type="expression" dxfId="8393" priority="5258">
      <formula>B1229&lt;&gt;""</formula>
    </cfRule>
  </conditionalFormatting>
  <conditionalFormatting sqref="F1229:F1233">
    <cfRule type="expression" dxfId="8392" priority="5254">
      <formula>F1229&lt;&gt;""</formula>
    </cfRule>
  </conditionalFormatting>
  <conditionalFormatting sqref="F1229">
    <cfRule type="expression" dxfId="8391" priority="5253">
      <formula>F1229&lt;&gt;""</formula>
    </cfRule>
  </conditionalFormatting>
  <conditionalFormatting sqref="F1233">
    <cfRule type="expression" dxfId="8390" priority="5252">
      <formula>F1229&lt;&gt;""</formula>
    </cfRule>
  </conditionalFormatting>
  <conditionalFormatting sqref="H1229:H1233">
    <cfRule type="expression" dxfId="8389" priority="5251">
      <formula>H1229&lt;&gt;""</formula>
    </cfRule>
  </conditionalFormatting>
  <conditionalFormatting sqref="H1229">
    <cfRule type="expression" dxfId="8388" priority="5250">
      <formula>H1229&lt;&gt;""</formula>
    </cfRule>
  </conditionalFormatting>
  <conditionalFormatting sqref="H1233">
    <cfRule type="expression" dxfId="8387" priority="5249">
      <formula>H1229&lt;&gt;""</formula>
    </cfRule>
  </conditionalFormatting>
  <conditionalFormatting sqref="F1221:F1225">
    <cfRule type="expression" dxfId="8386" priority="5248">
      <formula>F1221&lt;&gt;""</formula>
    </cfRule>
  </conditionalFormatting>
  <conditionalFormatting sqref="F1221">
    <cfRule type="expression" dxfId="8385" priority="5247">
      <formula>F1221&lt;&gt;""</formula>
    </cfRule>
  </conditionalFormatting>
  <conditionalFormatting sqref="F1225">
    <cfRule type="expression" dxfId="8384" priority="5246">
      <formula>F1221&lt;&gt;""</formula>
    </cfRule>
  </conditionalFormatting>
  <conditionalFormatting sqref="E1221:E1225">
    <cfRule type="expression" dxfId="8383" priority="5245">
      <formula>F1221&lt;&gt;""</formula>
    </cfRule>
  </conditionalFormatting>
  <conditionalFormatting sqref="G1221:G1225">
    <cfRule type="expression" dxfId="8382" priority="5244">
      <formula>H1221&lt;&gt;""</formula>
    </cfRule>
  </conditionalFormatting>
  <conditionalFormatting sqref="I1221:I1225">
    <cfRule type="expression" dxfId="8381" priority="5243">
      <formula>B1229&lt;&gt;""</formula>
    </cfRule>
  </conditionalFormatting>
  <conditionalFormatting sqref="H1221:H1225">
    <cfRule type="expression" dxfId="8380" priority="5242">
      <formula>H1221&lt;&gt;""</formula>
    </cfRule>
  </conditionalFormatting>
  <conditionalFormatting sqref="H1221">
    <cfRule type="expression" dxfId="8379" priority="5241">
      <formula>H1221&lt;&gt;""</formula>
    </cfRule>
  </conditionalFormatting>
  <conditionalFormatting sqref="H1225">
    <cfRule type="expression" dxfId="8378" priority="5240">
      <formula>H1221&lt;&gt;""</formula>
    </cfRule>
  </conditionalFormatting>
  <conditionalFormatting sqref="I1234:I1235 C1235:H1235 B1235:B1236">
    <cfRule type="expression" dxfId="8377" priority="5239">
      <formula>$B$1237&lt;&gt;""</formula>
    </cfRule>
  </conditionalFormatting>
  <conditionalFormatting sqref="B1237:B1241">
    <cfRule type="expression" dxfId="8376" priority="5238">
      <formula>B1237&lt;&gt;""</formula>
    </cfRule>
  </conditionalFormatting>
  <conditionalFormatting sqref="B1237">
    <cfRule type="expression" dxfId="8375" priority="5237">
      <formula>B1237&lt;&gt;""</formula>
    </cfRule>
  </conditionalFormatting>
  <conditionalFormatting sqref="B1241">
    <cfRule type="expression" dxfId="8374" priority="5236">
      <formula>B1237&lt;&gt;""</formula>
    </cfRule>
  </conditionalFormatting>
  <conditionalFormatting sqref="F1237:F1241">
    <cfRule type="expression" dxfId="8373" priority="5232">
      <formula>F1237&lt;&gt;""</formula>
    </cfRule>
  </conditionalFormatting>
  <conditionalFormatting sqref="F1237">
    <cfRule type="expression" dxfId="8372" priority="5231">
      <formula>F1237&lt;&gt;""</formula>
    </cfRule>
  </conditionalFormatting>
  <conditionalFormatting sqref="F1241">
    <cfRule type="expression" dxfId="8371" priority="5230">
      <formula>F1237&lt;&gt;""</formula>
    </cfRule>
  </conditionalFormatting>
  <conditionalFormatting sqref="C1237:C1241">
    <cfRule type="expression" dxfId="8370" priority="5229">
      <formula>D1237&lt;&gt;""</formula>
    </cfRule>
  </conditionalFormatting>
  <conditionalFormatting sqref="E1237:E1241">
    <cfRule type="expression" dxfId="8369" priority="5228">
      <formula>F1237&lt;&gt;""</formula>
    </cfRule>
  </conditionalFormatting>
  <conditionalFormatting sqref="G1237:G1241">
    <cfRule type="expression" dxfId="8368" priority="5227">
      <formula>H1237&lt;&gt;""</formula>
    </cfRule>
  </conditionalFormatting>
  <conditionalFormatting sqref="H1237:H1241">
    <cfRule type="expression" dxfId="8367" priority="5226">
      <formula>H1237&lt;&gt;""</formula>
    </cfRule>
  </conditionalFormatting>
  <conditionalFormatting sqref="H1237">
    <cfRule type="expression" dxfId="8366" priority="5225">
      <formula>H1237&lt;&gt;""</formula>
    </cfRule>
  </conditionalFormatting>
  <conditionalFormatting sqref="H1241">
    <cfRule type="expression" dxfId="8365" priority="5224">
      <formula>H1237&lt;&gt;""</formula>
    </cfRule>
  </conditionalFormatting>
  <conditionalFormatting sqref="D1209:D1213">
    <cfRule type="expression" dxfId="8364" priority="5193">
      <formula>D1209&lt;&gt;""</formula>
    </cfRule>
  </conditionalFormatting>
  <conditionalFormatting sqref="D1209">
    <cfRule type="expression" dxfId="8363" priority="5192">
      <formula>D1209&lt;&gt;""</formula>
    </cfRule>
  </conditionalFormatting>
  <conditionalFormatting sqref="D1213">
    <cfRule type="expression" dxfId="8362" priority="5191">
      <formula>D1209&lt;&gt;""</formula>
    </cfRule>
  </conditionalFormatting>
  <conditionalFormatting sqref="I1198:I1199 C1199:H1199 B1199:B1200">
    <cfRule type="expression" dxfId="8361" priority="5181">
      <formula>$B$1201&lt;&gt;""</formula>
    </cfRule>
  </conditionalFormatting>
  <conditionalFormatting sqref="D1201:D1205">
    <cfRule type="expression" dxfId="8360" priority="5215">
      <formula>D1201&lt;&gt;""</formula>
    </cfRule>
  </conditionalFormatting>
  <conditionalFormatting sqref="D1201">
    <cfRule type="expression" dxfId="8359" priority="5214">
      <formula>D1201&lt;&gt;""</formula>
    </cfRule>
  </conditionalFormatting>
  <conditionalFormatting sqref="D1205">
    <cfRule type="expression" dxfId="8358" priority="5213">
      <formula>D1201&lt;&gt;""</formula>
    </cfRule>
  </conditionalFormatting>
  <conditionalFormatting sqref="C1201:C1205">
    <cfRule type="expression" dxfId="8357" priority="5222">
      <formula>D1201&lt;&gt;""</formula>
    </cfRule>
  </conditionalFormatting>
  <conditionalFormatting sqref="E1201:E1205">
    <cfRule type="expression" dxfId="8356" priority="5221">
      <formula>F1201&lt;&gt;""</formula>
    </cfRule>
  </conditionalFormatting>
  <conditionalFormatting sqref="G1201:G1205">
    <cfRule type="expression" dxfId="8355" priority="5220">
      <formula>H1201&lt;&gt;""</formula>
    </cfRule>
  </conditionalFormatting>
  <conditionalFormatting sqref="I1201:I1205">
    <cfRule type="expression" dxfId="8354" priority="5219">
      <formula>B1209&lt;&gt;""</formula>
    </cfRule>
  </conditionalFormatting>
  <conditionalFormatting sqref="B1201:B1205">
    <cfRule type="expression" dxfId="8353" priority="5218">
      <formula>B1201&lt;&gt;""</formula>
    </cfRule>
  </conditionalFormatting>
  <conditionalFormatting sqref="B1201">
    <cfRule type="expression" dxfId="8352" priority="5217">
      <formula>B1201&lt;&gt;""</formula>
    </cfRule>
  </conditionalFormatting>
  <conditionalFormatting sqref="B1205">
    <cfRule type="expression" dxfId="8351" priority="5216">
      <formula>B1201&lt;&gt;""</formula>
    </cfRule>
  </conditionalFormatting>
  <conditionalFormatting sqref="F1201:F1205">
    <cfRule type="expression" dxfId="8350" priority="5212">
      <formula>F1201&lt;&gt;""</formula>
    </cfRule>
  </conditionalFormatting>
  <conditionalFormatting sqref="F1201">
    <cfRule type="expression" dxfId="8349" priority="5211">
      <formula>F1201&lt;&gt;""</formula>
    </cfRule>
  </conditionalFormatting>
  <conditionalFormatting sqref="F1205">
    <cfRule type="expression" dxfId="8348" priority="5210">
      <formula>F1201&lt;&gt;""</formula>
    </cfRule>
  </conditionalFormatting>
  <conditionalFormatting sqref="H1201:H1205">
    <cfRule type="expression" dxfId="8347" priority="5209">
      <formula>H1201&lt;&gt;""</formula>
    </cfRule>
  </conditionalFormatting>
  <conditionalFormatting sqref="H1201">
    <cfRule type="expression" dxfId="8346" priority="5208">
      <formula>H1201&lt;&gt;""</formula>
    </cfRule>
  </conditionalFormatting>
  <conditionalFormatting sqref="H1205">
    <cfRule type="expression" dxfId="8345" priority="5207">
      <formula>H1201&lt;&gt;""</formula>
    </cfRule>
  </conditionalFormatting>
  <conditionalFormatting sqref="F1193:F1197">
    <cfRule type="expression" dxfId="8344" priority="5206">
      <formula>F1193&lt;&gt;""</formula>
    </cfRule>
  </conditionalFormatting>
  <conditionalFormatting sqref="F1193">
    <cfRule type="expression" dxfId="8343" priority="5205">
      <formula>F1193&lt;&gt;""</formula>
    </cfRule>
  </conditionalFormatting>
  <conditionalFormatting sqref="F1197">
    <cfRule type="expression" dxfId="8342" priority="5204">
      <formula>F1193&lt;&gt;""</formula>
    </cfRule>
  </conditionalFormatting>
  <conditionalFormatting sqref="E1193:E1197">
    <cfRule type="expression" dxfId="8341" priority="5203">
      <formula>F1193&lt;&gt;""</formula>
    </cfRule>
  </conditionalFormatting>
  <conditionalFormatting sqref="G1193:G1197">
    <cfRule type="expression" dxfId="8340" priority="5202">
      <formula>H1193&lt;&gt;""</formula>
    </cfRule>
  </conditionalFormatting>
  <conditionalFormatting sqref="I1193:I1197">
    <cfRule type="expression" dxfId="8339" priority="5201">
      <formula>B1201&lt;&gt;""</formula>
    </cfRule>
  </conditionalFormatting>
  <conditionalFormatting sqref="H1193:H1197">
    <cfRule type="expression" dxfId="8338" priority="5200">
      <formula>H1193&lt;&gt;""</formula>
    </cfRule>
  </conditionalFormatting>
  <conditionalFormatting sqref="H1193">
    <cfRule type="expression" dxfId="8337" priority="5199">
      <formula>H1193&lt;&gt;""</formula>
    </cfRule>
  </conditionalFormatting>
  <conditionalFormatting sqref="H1197">
    <cfRule type="expression" dxfId="8336" priority="5198">
      <formula>H1193&lt;&gt;""</formula>
    </cfRule>
  </conditionalFormatting>
  <conditionalFormatting sqref="I1206:I1207 C1207:H1207 B1207:B1208">
    <cfRule type="expression" dxfId="8335" priority="5197">
      <formula>$B$1209&lt;&gt;""</formula>
    </cfRule>
  </conditionalFormatting>
  <conditionalFormatting sqref="B1209:B1213">
    <cfRule type="expression" dxfId="8334" priority="5196">
      <formula>B1209&lt;&gt;""</formula>
    </cfRule>
  </conditionalFormatting>
  <conditionalFormatting sqref="B1209">
    <cfRule type="expression" dxfId="8333" priority="5195">
      <formula>B1209&lt;&gt;""</formula>
    </cfRule>
  </conditionalFormatting>
  <conditionalFormatting sqref="B1213">
    <cfRule type="expression" dxfId="8332" priority="5194">
      <formula>B1209&lt;&gt;""</formula>
    </cfRule>
  </conditionalFormatting>
  <conditionalFormatting sqref="F1209:F1213">
    <cfRule type="expression" dxfId="8331" priority="5190">
      <formula>F1209&lt;&gt;""</formula>
    </cfRule>
  </conditionalFormatting>
  <conditionalFormatting sqref="F1209">
    <cfRule type="expression" dxfId="8330" priority="5189">
      <formula>F1209&lt;&gt;""</formula>
    </cfRule>
  </conditionalFormatting>
  <conditionalFormatting sqref="F1213">
    <cfRule type="expression" dxfId="8329" priority="5188">
      <formula>F1209&lt;&gt;""</formula>
    </cfRule>
  </conditionalFormatting>
  <conditionalFormatting sqref="C1209:C1213">
    <cfRule type="expression" dxfId="8328" priority="5187">
      <formula>D1209&lt;&gt;""</formula>
    </cfRule>
  </conditionalFormatting>
  <conditionalFormatting sqref="E1209:E1213">
    <cfRule type="expression" dxfId="8327" priority="5186">
      <formula>F1209&lt;&gt;""</formula>
    </cfRule>
  </conditionalFormatting>
  <conditionalFormatting sqref="G1209:G1213">
    <cfRule type="expression" dxfId="8326" priority="5185">
      <formula>H1209&lt;&gt;""</formula>
    </cfRule>
  </conditionalFormatting>
  <conditionalFormatting sqref="H1209:H1213">
    <cfRule type="expression" dxfId="8325" priority="5184">
      <formula>H1209&lt;&gt;""</formula>
    </cfRule>
  </conditionalFormatting>
  <conditionalFormatting sqref="H1209">
    <cfRule type="expression" dxfId="8324" priority="5183">
      <formula>H1209&lt;&gt;""</formula>
    </cfRule>
  </conditionalFormatting>
  <conditionalFormatting sqref="H1213">
    <cfRule type="expression" dxfId="8323" priority="5182">
      <formula>H1209&lt;&gt;""</formula>
    </cfRule>
  </conditionalFormatting>
  <conditionalFormatting sqref="D1181:D1185">
    <cfRule type="expression" dxfId="8322" priority="5151">
      <formula>D1181&lt;&gt;""</formula>
    </cfRule>
  </conditionalFormatting>
  <conditionalFormatting sqref="D1181">
    <cfRule type="expression" dxfId="8321" priority="5150">
      <formula>D1181&lt;&gt;""</formula>
    </cfRule>
  </conditionalFormatting>
  <conditionalFormatting sqref="D1185">
    <cfRule type="expression" dxfId="8320" priority="5149">
      <formula>D1181&lt;&gt;""</formula>
    </cfRule>
  </conditionalFormatting>
  <conditionalFormatting sqref="I1170:I1171 C1171:H1171 B1171:B1172">
    <cfRule type="expression" dxfId="8319" priority="5139">
      <formula>$B$1173&lt;&gt;""</formula>
    </cfRule>
  </conditionalFormatting>
  <conditionalFormatting sqref="D1173:D1177">
    <cfRule type="expression" dxfId="8318" priority="5173">
      <formula>D1173&lt;&gt;""</formula>
    </cfRule>
  </conditionalFormatting>
  <conditionalFormatting sqref="D1173">
    <cfRule type="expression" dxfId="8317" priority="5172">
      <formula>D1173&lt;&gt;""</formula>
    </cfRule>
  </conditionalFormatting>
  <conditionalFormatting sqref="D1177">
    <cfRule type="expression" dxfId="8316" priority="5171">
      <formula>D1173&lt;&gt;""</formula>
    </cfRule>
  </conditionalFormatting>
  <conditionalFormatting sqref="C1173:C1177">
    <cfRule type="expression" dxfId="8315" priority="5180">
      <formula>D1173&lt;&gt;""</formula>
    </cfRule>
  </conditionalFormatting>
  <conditionalFormatting sqref="E1173:E1177">
    <cfRule type="expression" dxfId="8314" priority="5179">
      <formula>F1173&lt;&gt;""</formula>
    </cfRule>
  </conditionalFormatting>
  <conditionalFormatting sqref="G1173:G1177">
    <cfRule type="expression" dxfId="8313" priority="5178">
      <formula>H1173&lt;&gt;""</formula>
    </cfRule>
  </conditionalFormatting>
  <conditionalFormatting sqref="I1173:I1177">
    <cfRule type="expression" dxfId="8312" priority="5177">
      <formula>B1181&lt;&gt;""</formula>
    </cfRule>
  </conditionalFormatting>
  <conditionalFormatting sqref="B1173:B1177">
    <cfRule type="expression" dxfId="8311" priority="5176">
      <formula>B1173&lt;&gt;""</formula>
    </cfRule>
  </conditionalFormatting>
  <conditionalFormatting sqref="B1173">
    <cfRule type="expression" dxfId="8310" priority="5175">
      <formula>B1173&lt;&gt;""</formula>
    </cfRule>
  </conditionalFormatting>
  <conditionalFormatting sqref="B1177">
    <cfRule type="expression" dxfId="8309" priority="5174">
      <formula>B1173&lt;&gt;""</formula>
    </cfRule>
  </conditionalFormatting>
  <conditionalFormatting sqref="F1173:F1177">
    <cfRule type="expression" dxfId="8308" priority="5170">
      <formula>F1173&lt;&gt;""</formula>
    </cfRule>
  </conditionalFormatting>
  <conditionalFormatting sqref="F1173">
    <cfRule type="expression" dxfId="8307" priority="5169">
      <formula>F1173&lt;&gt;""</formula>
    </cfRule>
  </conditionalFormatting>
  <conditionalFormatting sqref="F1177">
    <cfRule type="expression" dxfId="8306" priority="5168">
      <formula>F1173&lt;&gt;""</formula>
    </cfRule>
  </conditionalFormatting>
  <conditionalFormatting sqref="H1173:H1177">
    <cfRule type="expression" dxfId="8305" priority="5167">
      <formula>H1173&lt;&gt;""</formula>
    </cfRule>
  </conditionalFormatting>
  <conditionalFormatting sqref="H1173">
    <cfRule type="expression" dxfId="8304" priority="5166">
      <formula>H1173&lt;&gt;""</formula>
    </cfRule>
  </conditionalFormatting>
  <conditionalFormatting sqref="H1177">
    <cfRule type="expression" dxfId="8303" priority="5165">
      <formula>H1173&lt;&gt;""</formula>
    </cfRule>
  </conditionalFormatting>
  <conditionalFormatting sqref="F1165:F1169">
    <cfRule type="expression" dxfId="8302" priority="5164">
      <formula>F1165&lt;&gt;""</formula>
    </cfRule>
  </conditionalFormatting>
  <conditionalFormatting sqref="F1165">
    <cfRule type="expression" dxfId="8301" priority="5163">
      <formula>F1165&lt;&gt;""</formula>
    </cfRule>
  </conditionalFormatting>
  <conditionalFormatting sqref="F1169">
    <cfRule type="expression" dxfId="8300" priority="5162">
      <formula>F1165&lt;&gt;""</formula>
    </cfRule>
  </conditionalFormatting>
  <conditionalFormatting sqref="E1165:E1169">
    <cfRule type="expression" dxfId="8299" priority="5161">
      <formula>F1165&lt;&gt;""</formula>
    </cfRule>
  </conditionalFormatting>
  <conditionalFormatting sqref="G1165:G1169">
    <cfRule type="expression" dxfId="8298" priority="5160">
      <formula>H1165&lt;&gt;""</formula>
    </cfRule>
  </conditionalFormatting>
  <conditionalFormatting sqref="I1165:I1169">
    <cfRule type="expression" dxfId="8297" priority="5159">
      <formula>B1173&lt;&gt;""</formula>
    </cfRule>
  </conditionalFormatting>
  <conditionalFormatting sqref="H1165:H1169">
    <cfRule type="expression" dxfId="8296" priority="5158">
      <formula>H1165&lt;&gt;""</formula>
    </cfRule>
  </conditionalFormatting>
  <conditionalFormatting sqref="H1165">
    <cfRule type="expression" dxfId="8295" priority="5157">
      <formula>H1165&lt;&gt;""</formula>
    </cfRule>
  </conditionalFormatting>
  <conditionalFormatting sqref="H1169">
    <cfRule type="expression" dxfId="8294" priority="5156">
      <formula>H1165&lt;&gt;""</formula>
    </cfRule>
  </conditionalFormatting>
  <conditionalFormatting sqref="I1178:I1179 C1179:H1179 B1179:B1180">
    <cfRule type="expression" dxfId="8293" priority="5155">
      <formula>$B$1181&lt;&gt;""</formula>
    </cfRule>
  </conditionalFormatting>
  <conditionalFormatting sqref="B1181:B1185">
    <cfRule type="expression" dxfId="8292" priority="5154">
      <formula>B1181&lt;&gt;""</formula>
    </cfRule>
  </conditionalFormatting>
  <conditionalFormatting sqref="B1181">
    <cfRule type="expression" dxfId="8291" priority="5153">
      <formula>B1181&lt;&gt;""</formula>
    </cfRule>
  </conditionalFormatting>
  <conditionalFormatting sqref="B1185">
    <cfRule type="expression" dxfId="8290" priority="5152">
      <formula>B1181&lt;&gt;""</formula>
    </cfRule>
  </conditionalFormatting>
  <conditionalFormatting sqref="F1181:F1185">
    <cfRule type="expression" dxfId="8289" priority="5148">
      <formula>F1181&lt;&gt;""</formula>
    </cfRule>
  </conditionalFormatting>
  <conditionalFormatting sqref="F1181">
    <cfRule type="expression" dxfId="8288" priority="5147">
      <formula>F1181&lt;&gt;""</formula>
    </cfRule>
  </conditionalFormatting>
  <conditionalFormatting sqref="F1185">
    <cfRule type="expression" dxfId="8287" priority="5146">
      <formula>F1181&lt;&gt;""</formula>
    </cfRule>
  </conditionalFormatting>
  <conditionalFormatting sqref="C1181:C1185">
    <cfRule type="expression" dxfId="8286" priority="5145">
      <formula>D1181&lt;&gt;""</formula>
    </cfRule>
  </conditionalFormatting>
  <conditionalFormatting sqref="E1181:E1185">
    <cfRule type="expression" dxfId="8285" priority="5144">
      <formula>F1181&lt;&gt;""</formula>
    </cfRule>
  </conditionalFormatting>
  <conditionalFormatting sqref="G1181:G1185">
    <cfRule type="expression" dxfId="8284" priority="5143">
      <formula>H1181&lt;&gt;""</formula>
    </cfRule>
  </conditionalFormatting>
  <conditionalFormatting sqref="H1181:H1185">
    <cfRule type="expression" dxfId="8283" priority="5142">
      <formula>H1181&lt;&gt;""</formula>
    </cfRule>
  </conditionalFormatting>
  <conditionalFormatting sqref="H1181">
    <cfRule type="expression" dxfId="8282" priority="5141">
      <formula>H1181&lt;&gt;""</formula>
    </cfRule>
  </conditionalFormatting>
  <conditionalFormatting sqref="H1185">
    <cfRule type="expression" dxfId="8281" priority="5140">
      <formula>H1181&lt;&gt;""</formula>
    </cfRule>
  </conditionalFormatting>
  <conditionalFormatting sqref="D1153:D1157">
    <cfRule type="expression" dxfId="8280" priority="5109">
      <formula>D1153&lt;&gt;""</formula>
    </cfRule>
  </conditionalFormatting>
  <conditionalFormatting sqref="D1153">
    <cfRule type="expression" dxfId="8279" priority="5108">
      <formula>D1153&lt;&gt;""</formula>
    </cfRule>
  </conditionalFormatting>
  <conditionalFormatting sqref="D1157">
    <cfRule type="expression" dxfId="8278" priority="5107">
      <formula>D1153&lt;&gt;""</formula>
    </cfRule>
  </conditionalFormatting>
  <conditionalFormatting sqref="I1142:I1143 C1143:H1143 B1143:B1144">
    <cfRule type="expression" dxfId="8277" priority="5097">
      <formula>$B$1145&lt;&gt;""</formula>
    </cfRule>
  </conditionalFormatting>
  <conditionalFormatting sqref="D1145:D1149">
    <cfRule type="expression" dxfId="8276" priority="5131">
      <formula>D1145&lt;&gt;""</formula>
    </cfRule>
  </conditionalFormatting>
  <conditionalFormatting sqref="D1145">
    <cfRule type="expression" dxfId="8275" priority="5130">
      <formula>D1145&lt;&gt;""</formula>
    </cfRule>
  </conditionalFormatting>
  <conditionalFormatting sqref="D1149">
    <cfRule type="expression" dxfId="8274" priority="5129">
      <formula>D1145&lt;&gt;""</formula>
    </cfRule>
  </conditionalFormatting>
  <conditionalFormatting sqref="C1145:C1149">
    <cfRule type="expression" dxfId="8273" priority="5138">
      <formula>D1145&lt;&gt;""</formula>
    </cfRule>
  </conditionalFormatting>
  <conditionalFormatting sqref="E1145:E1149">
    <cfRule type="expression" dxfId="8272" priority="5137">
      <formula>F1145&lt;&gt;""</formula>
    </cfRule>
  </conditionalFormatting>
  <conditionalFormatting sqref="G1145:G1149">
    <cfRule type="expression" dxfId="8271" priority="5136">
      <formula>H1145&lt;&gt;""</formula>
    </cfRule>
  </conditionalFormatting>
  <conditionalFormatting sqref="I1145:I1149">
    <cfRule type="expression" dxfId="8270" priority="5135">
      <formula>B1153&lt;&gt;""</formula>
    </cfRule>
  </conditionalFormatting>
  <conditionalFormatting sqref="B1145:B1149">
    <cfRule type="expression" dxfId="8269" priority="5134">
      <formula>B1145&lt;&gt;""</formula>
    </cfRule>
  </conditionalFormatting>
  <conditionalFormatting sqref="B1145">
    <cfRule type="expression" dxfId="8268" priority="5133">
      <formula>B1145&lt;&gt;""</formula>
    </cfRule>
  </conditionalFormatting>
  <conditionalFormatting sqref="B1149">
    <cfRule type="expression" dxfId="8267" priority="5132">
      <formula>B1145&lt;&gt;""</formula>
    </cfRule>
  </conditionalFormatting>
  <conditionalFormatting sqref="F1145:F1149">
    <cfRule type="expression" dxfId="8266" priority="5128">
      <formula>F1145&lt;&gt;""</formula>
    </cfRule>
  </conditionalFormatting>
  <conditionalFormatting sqref="F1145">
    <cfRule type="expression" dxfId="8265" priority="5127">
      <formula>F1145&lt;&gt;""</formula>
    </cfRule>
  </conditionalFormatting>
  <conditionalFormatting sqref="F1149">
    <cfRule type="expression" dxfId="8264" priority="5126">
      <formula>F1145&lt;&gt;""</formula>
    </cfRule>
  </conditionalFormatting>
  <conditionalFormatting sqref="H1145:H1149">
    <cfRule type="expression" dxfId="8263" priority="5125">
      <formula>H1145&lt;&gt;""</formula>
    </cfRule>
  </conditionalFormatting>
  <conditionalFormatting sqref="H1145">
    <cfRule type="expression" dxfId="8262" priority="5124">
      <formula>H1145&lt;&gt;""</formula>
    </cfRule>
  </conditionalFormatting>
  <conditionalFormatting sqref="H1149">
    <cfRule type="expression" dxfId="8261" priority="5123">
      <formula>H1145&lt;&gt;""</formula>
    </cfRule>
  </conditionalFormatting>
  <conditionalFormatting sqref="F1137:F1141">
    <cfRule type="expression" dxfId="8260" priority="5122">
      <formula>F1137&lt;&gt;""</formula>
    </cfRule>
  </conditionalFormatting>
  <conditionalFormatting sqref="F1137">
    <cfRule type="expression" dxfId="8259" priority="5121">
      <formula>F1137&lt;&gt;""</formula>
    </cfRule>
  </conditionalFormatting>
  <conditionalFormatting sqref="F1141">
    <cfRule type="expression" dxfId="8258" priority="5120">
      <formula>F1137&lt;&gt;""</formula>
    </cfRule>
  </conditionalFormatting>
  <conditionalFormatting sqref="E1137:E1141">
    <cfRule type="expression" dxfId="8257" priority="5119">
      <formula>F1137&lt;&gt;""</formula>
    </cfRule>
  </conditionalFormatting>
  <conditionalFormatting sqref="G1137:G1141">
    <cfRule type="expression" dxfId="8256" priority="5118">
      <formula>H1137&lt;&gt;""</formula>
    </cfRule>
  </conditionalFormatting>
  <conditionalFormatting sqref="I1137:I1141">
    <cfRule type="expression" dxfId="8255" priority="5117">
      <formula>B1145&lt;&gt;""</formula>
    </cfRule>
  </conditionalFormatting>
  <conditionalFormatting sqref="H1137:H1141">
    <cfRule type="expression" dxfId="8254" priority="5116">
      <formula>H1137&lt;&gt;""</formula>
    </cfRule>
  </conditionalFormatting>
  <conditionalFormatting sqref="H1137">
    <cfRule type="expression" dxfId="8253" priority="5115">
      <formula>H1137&lt;&gt;""</formula>
    </cfRule>
  </conditionalFormatting>
  <conditionalFormatting sqref="H1141">
    <cfRule type="expression" dxfId="8252" priority="5114">
      <formula>H1137&lt;&gt;""</formula>
    </cfRule>
  </conditionalFormatting>
  <conditionalFormatting sqref="I1150:I1151 C1151:H1151 B1151:B1152">
    <cfRule type="expression" dxfId="8251" priority="5113">
      <formula>$B$1153&lt;&gt;""</formula>
    </cfRule>
  </conditionalFormatting>
  <conditionalFormatting sqref="B1153:B1157">
    <cfRule type="expression" dxfId="8250" priority="5112">
      <formula>B1153&lt;&gt;""</formula>
    </cfRule>
  </conditionalFormatting>
  <conditionalFormatting sqref="B1153">
    <cfRule type="expression" dxfId="8249" priority="5111">
      <formula>B1153&lt;&gt;""</formula>
    </cfRule>
  </conditionalFormatting>
  <conditionalFormatting sqref="B1157">
    <cfRule type="expression" dxfId="8248" priority="5110">
      <formula>B1153&lt;&gt;""</formula>
    </cfRule>
  </conditionalFormatting>
  <conditionalFormatting sqref="F1153:F1157">
    <cfRule type="expression" dxfId="8247" priority="5106">
      <formula>F1153&lt;&gt;""</formula>
    </cfRule>
  </conditionalFormatting>
  <conditionalFormatting sqref="F1153">
    <cfRule type="expression" dxfId="8246" priority="5105">
      <formula>F1153&lt;&gt;""</formula>
    </cfRule>
  </conditionalFormatting>
  <conditionalFormatting sqref="F1157">
    <cfRule type="expression" dxfId="8245" priority="5104">
      <formula>F1153&lt;&gt;""</formula>
    </cfRule>
  </conditionalFormatting>
  <conditionalFormatting sqref="C1153:C1157">
    <cfRule type="expression" dxfId="8244" priority="5103">
      <formula>D1153&lt;&gt;""</formula>
    </cfRule>
  </conditionalFormatting>
  <conditionalFormatting sqref="E1153:E1157">
    <cfRule type="expression" dxfId="8243" priority="5102">
      <formula>F1153&lt;&gt;""</formula>
    </cfRule>
  </conditionalFormatting>
  <conditionalFormatting sqref="G1153:G1157">
    <cfRule type="expression" dxfId="8242" priority="5101">
      <formula>H1153&lt;&gt;""</formula>
    </cfRule>
  </conditionalFormatting>
  <conditionalFormatting sqref="H1153:H1157">
    <cfRule type="expression" dxfId="8241" priority="5100">
      <formula>H1153&lt;&gt;""</formula>
    </cfRule>
  </conditionalFormatting>
  <conditionalFormatting sqref="H1153">
    <cfRule type="expression" dxfId="8240" priority="5099">
      <formula>H1153&lt;&gt;""</formula>
    </cfRule>
  </conditionalFormatting>
  <conditionalFormatting sqref="H1157">
    <cfRule type="expression" dxfId="8239" priority="5098">
      <formula>H1153&lt;&gt;""</formula>
    </cfRule>
  </conditionalFormatting>
  <conditionalFormatting sqref="B1137:B1141">
    <cfRule type="expression" dxfId="8238" priority="5096">
      <formula>B1137&lt;&gt;""</formula>
    </cfRule>
  </conditionalFormatting>
  <conditionalFormatting sqref="B1137">
    <cfRule type="expression" dxfId="8237" priority="5095">
      <formula>B1137&lt;&gt;""</formula>
    </cfRule>
  </conditionalFormatting>
  <conditionalFormatting sqref="B1141">
    <cfRule type="expression" dxfId="8236" priority="5094">
      <formula>B1137&lt;&gt;""</formula>
    </cfRule>
  </conditionalFormatting>
  <conditionalFormatting sqref="C1137:C1141">
    <cfRule type="expression" dxfId="8235" priority="5093">
      <formula>D1137&lt;&gt;""</formula>
    </cfRule>
  </conditionalFormatting>
  <conditionalFormatting sqref="D1137:D1141">
    <cfRule type="expression" dxfId="8234" priority="5092">
      <formula>D1137&lt;&gt;""</formula>
    </cfRule>
  </conditionalFormatting>
  <conditionalFormatting sqref="D1137">
    <cfRule type="expression" dxfId="8233" priority="5091">
      <formula>D1137&lt;&gt;""</formula>
    </cfRule>
  </conditionalFormatting>
  <conditionalFormatting sqref="D1141">
    <cfRule type="expression" dxfId="8232" priority="5090">
      <formula>D1137&lt;&gt;""</formula>
    </cfRule>
  </conditionalFormatting>
  <conditionalFormatting sqref="B1165:B1169">
    <cfRule type="expression" dxfId="8231" priority="5089">
      <formula>B1165&lt;&gt;""</formula>
    </cfRule>
  </conditionalFormatting>
  <conditionalFormatting sqref="B1165">
    <cfRule type="expression" dxfId="8230" priority="5088">
      <formula>B1165&lt;&gt;""</formula>
    </cfRule>
  </conditionalFormatting>
  <conditionalFormatting sqref="B1169">
    <cfRule type="expression" dxfId="8229" priority="5087">
      <formula>B1165&lt;&gt;""</formula>
    </cfRule>
  </conditionalFormatting>
  <conditionalFormatting sqref="C1165:C1169">
    <cfRule type="expression" dxfId="8228" priority="5086">
      <formula>D1165&lt;&gt;""</formula>
    </cfRule>
  </conditionalFormatting>
  <conditionalFormatting sqref="D1165:D1169">
    <cfRule type="expression" dxfId="8227" priority="5085">
      <formula>D1165&lt;&gt;""</formula>
    </cfRule>
  </conditionalFormatting>
  <conditionalFormatting sqref="D1165">
    <cfRule type="expression" dxfId="8226" priority="5084">
      <formula>D1165&lt;&gt;""</formula>
    </cfRule>
  </conditionalFormatting>
  <conditionalFormatting sqref="D1169">
    <cfRule type="expression" dxfId="8225" priority="5083">
      <formula>D1165&lt;&gt;""</formula>
    </cfRule>
  </conditionalFormatting>
  <conditionalFormatting sqref="B1193:B1197">
    <cfRule type="expression" dxfId="8224" priority="5082">
      <formula>B1193&lt;&gt;""</formula>
    </cfRule>
  </conditionalFormatting>
  <conditionalFormatting sqref="B1193">
    <cfRule type="expression" dxfId="8223" priority="5081">
      <formula>B1193&lt;&gt;""</formula>
    </cfRule>
  </conditionalFormatting>
  <conditionalFormatting sqref="B1197">
    <cfRule type="expression" dxfId="8222" priority="5080">
      <formula>B1193&lt;&gt;""</formula>
    </cfRule>
  </conditionalFormatting>
  <conditionalFormatting sqref="C1193:C1197">
    <cfRule type="expression" dxfId="8221" priority="5079">
      <formula>D1193&lt;&gt;""</formula>
    </cfRule>
  </conditionalFormatting>
  <conditionalFormatting sqref="D1193:D1197">
    <cfRule type="expression" dxfId="8220" priority="5078">
      <formula>D1193&lt;&gt;""</formula>
    </cfRule>
  </conditionalFormatting>
  <conditionalFormatting sqref="D1193">
    <cfRule type="expression" dxfId="8219" priority="5077">
      <formula>D1193&lt;&gt;""</formula>
    </cfRule>
  </conditionalFormatting>
  <conditionalFormatting sqref="D1197">
    <cfRule type="expression" dxfId="8218" priority="5076">
      <formula>D1193&lt;&gt;""</formula>
    </cfRule>
  </conditionalFormatting>
  <conditionalFormatting sqref="B1221:B1225">
    <cfRule type="expression" dxfId="8217" priority="5075">
      <formula>B1221&lt;&gt;""</formula>
    </cfRule>
  </conditionalFormatting>
  <conditionalFormatting sqref="B1221">
    <cfRule type="expression" dxfId="8216" priority="5074">
      <formula>B1221&lt;&gt;""</formula>
    </cfRule>
  </conditionalFormatting>
  <conditionalFormatting sqref="B1225">
    <cfRule type="expression" dxfId="8215" priority="5073">
      <formula>B1221&lt;&gt;""</formula>
    </cfRule>
  </conditionalFormatting>
  <conditionalFormatting sqref="C1221:C1225">
    <cfRule type="expression" dxfId="8214" priority="5072">
      <formula>D1221&lt;&gt;""</formula>
    </cfRule>
  </conditionalFormatting>
  <conditionalFormatting sqref="D1221:D1225">
    <cfRule type="expression" dxfId="8213" priority="5071">
      <formula>D1221&lt;&gt;""</formula>
    </cfRule>
  </conditionalFormatting>
  <conditionalFormatting sqref="D1221">
    <cfRule type="expression" dxfId="8212" priority="5070">
      <formula>D1221&lt;&gt;""</formula>
    </cfRule>
  </conditionalFormatting>
  <conditionalFormatting sqref="D1225">
    <cfRule type="expression" dxfId="8211" priority="5069">
      <formula>D1221&lt;&gt;""</formula>
    </cfRule>
  </conditionalFormatting>
  <conditionalFormatting sqref="B1249:B1253">
    <cfRule type="expression" dxfId="8210" priority="5068">
      <formula>B1249&lt;&gt;""</formula>
    </cfRule>
  </conditionalFormatting>
  <conditionalFormatting sqref="B1249">
    <cfRule type="expression" dxfId="8209" priority="5067">
      <formula>B1249&lt;&gt;""</formula>
    </cfRule>
  </conditionalFormatting>
  <conditionalFormatting sqref="B1253">
    <cfRule type="expression" dxfId="8208" priority="5066">
      <formula>B1249&lt;&gt;""</formula>
    </cfRule>
  </conditionalFormatting>
  <conditionalFormatting sqref="C1249:C1253">
    <cfRule type="expression" dxfId="8207" priority="5065">
      <formula>D1249&lt;&gt;""</formula>
    </cfRule>
  </conditionalFormatting>
  <conditionalFormatting sqref="D1249:D1253">
    <cfRule type="expression" dxfId="8206" priority="5064">
      <formula>D1249&lt;&gt;""</formula>
    </cfRule>
  </conditionalFormatting>
  <conditionalFormatting sqref="D1249">
    <cfRule type="expression" dxfId="8205" priority="5063">
      <formula>D1249&lt;&gt;""</formula>
    </cfRule>
  </conditionalFormatting>
  <conditionalFormatting sqref="D1253">
    <cfRule type="expression" dxfId="8204" priority="5062">
      <formula>D1249&lt;&gt;""</formula>
    </cfRule>
  </conditionalFormatting>
  <conditionalFormatting sqref="B1277:B1281">
    <cfRule type="expression" dxfId="8203" priority="5061">
      <formula>B1277&lt;&gt;""</formula>
    </cfRule>
  </conditionalFormatting>
  <conditionalFormatting sqref="B1277">
    <cfRule type="expression" dxfId="8202" priority="5060">
      <formula>B1277&lt;&gt;""</formula>
    </cfRule>
  </conditionalFormatting>
  <conditionalFormatting sqref="B1281">
    <cfRule type="expression" dxfId="8201" priority="5059">
      <formula>B1277&lt;&gt;""</formula>
    </cfRule>
  </conditionalFormatting>
  <conditionalFormatting sqref="C1277:C1281">
    <cfRule type="expression" dxfId="8200" priority="5058">
      <formula>D1277&lt;&gt;""</formula>
    </cfRule>
  </conditionalFormatting>
  <conditionalFormatting sqref="D1277:D1281">
    <cfRule type="expression" dxfId="8199" priority="5057">
      <formula>D1277&lt;&gt;""</formula>
    </cfRule>
  </conditionalFormatting>
  <conditionalFormatting sqref="D1277">
    <cfRule type="expression" dxfId="8198" priority="5056">
      <formula>D1277&lt;&gt;""</formula>
    </cfRule>
  </conditionalFormatting>
  <conditionalFormatting sqref="D1281">
    <cfRule type="expression" dxfId="8197" priority="5055">
      <formula>D1277&lt;&gt;""</formula>
    </cfRule>
  </conditionalFormatting>
  <conditionalFormatting sqref="B1305:B1309">
    <cfRule type="expression" dxfId="8196" priority="5054">
      <formula>B1305&lt;&gt;""</formula>
    </cfRule>
  </conditionalFormatting>
  <conditionalFormatting sqref="B1305">
    <cfRule type="expression" dxfId="8195" priority="5053">
      <formula>B1305&lt;&gt;""</formula>
    </cfRule>
  </conditionalFormatting>
  <conditionalFormatting sqref="B1309">
    <cfRule type="expression" dxfId="8194" priority="5052">
      <formula>B1305&lt;&gt;""</formula>
    </cfRule>
  </conditionalFormatting>
  <conditionalFormatting sqref="C1305:C1309">
    <cfRule type="expression" dxfId="8193" priority="5051">
      <formula>D1305&lt;&gt;""</formula>
    </cfRule>
  </conditionalFormatting>
  <conditionalFormatting sqref="D1305:D1309">
    <cfRule type="expression" dxfId="8192" priority="5050">
      <formula>D1305&lt;&gt;""</formula>
    </cfRule>
  </conditionalFormatting>
  <conditionalFormatting sqref="D1305">
    <cfRule type="expression" dxfId="8191" priority="5049">
      <formula>D1305&lt;&gt;""</formula>
    </cfRule>
  </conditionalFormatting>
  <conditionalFormatting sqref="D1309">
    <cfRule type="expression" dxfId="8190" priority="5048">
      <formula>D1305&lt;&gt;""</formula>
    </cfRule>
  </conditionalFormatting>
  <conditionalFormatting sqref="D1349:D1353">
    <cfRule type="expression" dxfId="8189" priority="5019">
      <formula>D1349&lt;&gt;""</formula>
    </cfRule>
  </conditionalFormatting>
  <conditionalFormatting sqref="D1349">
    <cfRule type="expression" dxfId="8188" priority="5018">
      <formula>D1349&lt;&gt;""</formula>
    </cfRule>
  </conditionalFormatting>
  <conditionalFormatting sqref="D1353">
    <cfRule type="expression" dxfId="8187" priority="5017">
      <formula>D1349&lt;&gt;""</formula>
    </cfRule>
  </conditionalFormatting>
  <conditionalFormatting sqref="D1341:D1345">
    <cfRule type="expression" dxfId="8186" priority="5040">
      <formula>D1341&lt;&gt;""</formula>
    </cfRule>
  </conditionalFormatting>
  <conditionalFormatting sqref="D1341">
    <cfRule type="expression" dxfId="8185" priority="5039">
      <formula>D1341&lt;&gt;""</formula>
    </cfRule>
  </conditionalFormatting>
  <conditionalFormatting sqref="D1345">
    <cfRule type="expression" dxfId="8184" priority="5038">
      <formula>D1341&lt;&gt;""</formula>
    </cfRule>
  </conditionalFormatting>
  <conditionalFormatting sqref="C1341:C1345">
    <cfRule type="expression" dxfId="8183" priority="5047">
      <formula>D1341&lt;&gt;""</formula>
    </cfRule>
  </conditionalFormatting>
  <conditionalFormatting sqref="E1341:E1345">
    <cfRule type="expression" dxfId="8182" priority="5046">
      <formula>F1341&lt;&gt;""</formula>
    </cfRule>
  </conditionalFormatting>
  <conditionalFormatting sqref="G1341:G1345">
    <cfRule type="expression" dxfId="8181" priority="5045">
      <formula>H1341&lt;&gt;""</formula>
    </cfRule>
  </conditionalFormatting>
  <conditionalFormatting sqref="I1341:I1345">
    <cfRule type="expression" dxfId="8180" priority="5044">
      <formula>B1349&lt;&gt;""</formula>
    </cfRule>
  </conditionalFormatting>
  <conditionalFormatting sqref="B1341:B1345">
    <cfRule type="expression" dxfId="8179" priority="5043">
      <formula>B1341&lt;&gt;""</formula>
    </cfRule>
  </conditionalFormatting>
  <conditionalFormatting sqref="B1341">
    <cfRule type="expression" dxfId="8178" priority="5042">
      <formula>B1341&lt;&gt;""</formula>
    </cfRule>
  </conditionalFormatting>
  <conditionalFormatting sqref="B1345">
    <cfRule type="expression" dxfId="8177" priority="5041">
      <formula>B1341&lt;&gt;""</formula>
    </cfRule>
  </conditionalFormatting>
  <conditionalFormatting sqref="F1341:F1345">
    <cfRule type="expression" dxfId="8176" priority="5037">
      <formula>F1341&lt;&gt;""</formula>
    </cfRule>
  </conditionalFormatting>
  <conditionalFormatting sqref="F1341">
    <cfRule type="expression" dxfId="8175" priority="5036">
      <formula>F1341&lt;&gt;""</formula>
    </cfRule>
  </conditionalFormatting>
  <conditionalFormatting sqref="F1345">
    <cfRule type="expression" dxfId="8174" priority="5035">
      <formula>F1341&lt;&gt;""</formula>
    </cfRule>
  </conditionalFormatting>
  <conditionalFormatting sqref="H1341:H1345">
    <cfRule type="expression" dxfId="8173" priority="5034">
      <formula>H1341&lt;&gt;""</formula>
    </cfRule>
  </conditionalFormatting>
  <conditionalFormatting sqref="H1341">
    <cfRule type="expression" dxfId="8172" priority="5033">
      <formula>H1341&lt;&gt;""</formula>
    </cfRule>
  </conditionalFormatting>
  <conditionalFormatting sqref="H1345">
    <cfRule type="expression" dxfId="8171" priority="5032">
      <formula>H1341&lt;&gt;""</formula>
    </cfRule>
  </conditionalFormatting>
  <conditionalFormatting sqref="F1333:F1337">
    <cfRule type="expression" dxfId="8170" priority="5031">
      <formula>F1333&lt;&gt;""</formula>
    </cfRule>
  </conditionalFormatting>
  <conditionalFormatting sqref="F1333">
    <cfRule type="expression" dxfId="8169" priority="5030">
      <formula>F1333&lt;&gt;""</formula>
    </cfRule>
  </conditionalFormatting>
  <conditionalFormatting sqref="F1337">
    <cfRule type="expression" dxfId="8168" priority="5029">
      <formula>F1333&lt;&gt;""</formula>
    </cfRule>
  </conditionalFormatting>
  <conditionalFormatting sqref="E1333:E1337">
    <cfRule type="expression" dxfId="8167" priority="5028">
      <formula>F1333&lt;&gt;""</formula>
    </cfRule>
  </conditionalFormatting>
  <conditionalFormatting sqref="G1333:G1337">
    <cfRule type="expression" dxfId="8166" priority="5027">
      <formula>H1333&lt;&gt;""</formula>
    </cfRule>
  </conditionalFormatting>
  <conditionalFormatting sqref="I1333:I1337">
    <cfRule type="expression" dxfId="8165" priority="5026">
      <formula>B1341&lt;&gt;""</formula>
    </cfRule>
  </conditionalFormatting>
  <conditionalFormatting sqref="H1333:H1337">
    <cfRule type="expression" dxfId="8164" priority="5025">
      <formula>H1333&lt;&gt;""</formula>
    </cfRule>
  </conditionalFormatting>
  <conditionalFormatting sqref="H1333">
    <cfRule type="expression" dxfId="8163" priority="5024">
      <formula>H1333&lt;&gt;""</formula>
    </cfRule>
  </conditionalFormatting>
  <conditionalFormatting sqref="H1337">
    <cfRule type="expression" dxfId="8162" priority="5023">
      <formula>H1333&lt;&gt;""</formula>
    </cfRule>
  </conditionalFormatting>
  <conditionalFormatting sqref="B1349:B1353">
    <cfRule type="expression" dxfId="8161" priority="5022">
      <formula>B1349&lt;&gt;""</formula>
    </cfRule>
  </conditionalFormatting>
  <conditionalFormatting sqref="B1349">
    <cfRule type="expression" dxfId="8160" priority="5021">
      <formula>B1349&lt;&gt;""</formula>
    </cfRule>
  </conditionalFormatting>
  <conditionalFormatting sqref="B1353">
    <cfRule type="expression" dxfId="8159" priority="5020">
      <formula>B1349&lt;&gt;""</formula>
    </cfRule>
  </conditionalFormatting>
  <conditionalFormatting sqref="F1349:F1353">
    <cfRule type="expression" dxfId="8158" priority="5016">
      <formula>F1349&lt;&gt;""</formula>
    </cfRule>
  </conditionalFormatting>
  <conditionalFormatting sqref="F1349">
    <cfRule type="expression" dxfId="8157" priority="5015">
      <formula>F1349&lt;&gt;""</formula>
    </cfRule>
  </conditionalFormatting>
  <conditionalFormatting sqref="F1353">
    <cfRule type="expression" dxfId="8156" priority="5014">
      <formula>F1349&lt;&gt;""</formula>
    </cfRule>
  </conditionalFormatting>
  <conditionalFormatting sqref="C1349:C1353">
    <cfRule type="expression" dxfId="8155" priority="5013">
      <formula>D1349&lt;&gt;""</formula>
    </cfRule>
  </conditionalFormatting>
  <conditionalFormatting sqref="E1349:E1353">
    <cfRule type="expression" dxfId="8154" priority="5012">
      <formula>F1349&lt;&gt;""</formula>
    </cfRule>
  </conditionalFormatting>
  <conditionalFormatting sqref="G1349:G1353">
    <cfRule type="expression" dxfId="8153" priority="5011">
      <formula>H1349&lt;&gt;""</formula>
    </cfRule>
  </conditionalFormatting>
  <conditionalFormatting sqref="H1349:H1353">
    <cfRule type="expression" dxfId="8152" priority="5010">
      <formula>H1349&lt;&gt;""</formula>
    </cfRule>
  </conditionalFormatting>
  <conditionalFormatting sqref="H1349">
    <cfRule type="expression" dxfId="8151" priority="5009">
      <formula>H1349&lt;&gt;""</formula>
    </cfRule>
  </conditionalFormatting>
  <conditionalFormatting sqref="H1353">
    <cfRule type="expression" dxfId="8150" priority="5008">
      <formula>H1349&lt;&gt;""</formula>
    </cfRule>
  </conditionalFormatting>
  <conditionalFormatting sqref="D1377:D1381">
    <cfRule type="expression" dxfId="8149" priority="4979">
      <formula>D1377&lt;&gt;""</formula>
    </cfRule>
  </conditionalFormatting>
  <conditionalFormatting sqref="D1377">
    <cfRule type="expression" dxfId="8148" priority="4978">
      <formula>D1377&lt;&gt;""</formula>
    </cfRule>
  </conditionalFormatting>
  <conditionalFormatting sqref="D1381">
    <cfRule type="expression" dxfId="8147" priority="4977">
      <formula>D1377&lt;&gt;""</formula>
    </cfRule>
  </conditionalFormatting>
  <conditionalFormatting sqref="D1369:D1373">
    <cfRule type="expression" dxfId="8146" priority="5000">
      <formula>D1369&lt;&gt;""</formula>
    </cfRule>
  </conditionalFormatting>
  <conditionalFormatting sqref="D1369">
    <cfRule type="expression" dxfId="8145" priority="4999">
      <formula>D1369&lt;&gt;""</formula>
    </cfRule>
  </conditionalFormatting>
  <conditionalFormatting sqref="D1373">
    <cfRule type="expression" dxfId="8144" priority="4998">
      <formula>D1369&lt;&gt;""</formula>
    </cfRule>
  </conditionalFormatting>
  <conditionalFormatting sqref="C1369:C1373">
    <cfRule type="expression" dxfId="8143" priority="5007">
      <formula>D1369&lt;&gt;""</formula>
    </cfRule>
  </conditionalFormatting>
  <conditionalFormatting sqref="E1369:E1373">
    <cfRule type="expression" dxfId="8142" priority="5006">
      <formula>F1369&lt;&gt;""</formula>
    </cfRule>
  </conditionalFormatting>
  <conditionalFormatting sqref="G1369:G1373">
    <cfRule type="expression" dxfId="8141" priority="5005">
      <formula>H1369&lt;&gt;""</formula>
    </cfRule>
  </conditionalFormatting>
  <conditionalFormatting sqref="I1369:I1373">
    <cfRule type="expression" dxfId="8140" priority="5004">
      <formula>B1377&lt;&gt;""</formula>
    </cfRule>
  </conditionalFormatting>
  <conditionalFormatting sqref="B1369:B1373">
    <cfRule type="expression" dxfId="8139" priority="5003">
      <formula>B1369&lt;&gt;""</formula>
    </cfRule>
  </conditionalFormatting>
  <conditionalFormatting sqref="B1369">
    <cfRule type="expression" dxfId="8138" priority="5002">
      <formula>B1369&lt;&gt;""</formula>
    </cfRule>
  </conditionalFormatting>
  <conditionalFormatting sqref="B1373">
    <cfRule type="expression" dxfId="8137" priority="5001">
      <formula>B1369&lt;&gt;""</formula>
    </cfRule>
  </conditionalFormatting>
  <conditionalFormatting sqref="F1369:F1373">
    <cfRule type="expression" dxfId="8136" priority="4997">
      <formula>F1369&lt;&gt;""</formula>
    </cfRule>
  </conditionalFormatting>
  <conditionalFormatting sqref="F1369">
    <cfRule type="expression" dxfId="8135" priority="4996">
      <formula>F1369&lt;&gt;""</formula>
    </cfRule>
  </conditionalFormatting>
  <conditionalFormatting sqref="F1373">
    <cfRule type="expression" dxfId="8134" priority="4995">
      <formula>F1369&lt;&gt;""</formula>
    </cfRule>
  </conditionalFormatting>
  <conditionalFormatting sqref="H1369:H1373">
    <cfRule type="expression" dxfId="8133" priority="4994">
      <formula>H1369&lt;&gt;""</formula>
    </cfRule>
  </conditionalFormatting>
  <conditionalFormatting sqref="H1369">
    <cfRule type="expression" dxfId="8132" priority="4993">
      <formula>H1369&lt;&gt;""</formula>
    </cfRule>
  </conditionalFormatting>
  <conditionalFormatting sqref="H1373">
    <cfRule type="expression" dxfId="8131" priority="4992">
      <formula>H1369&lt;&gt;""</formula>
    </cfRule>
  </conditionalFormatting>
  <conditionalFormatting sqref="F1361:F1365">
    <cfRule type="expression" dxfId="8130" priority="4991">
      <formula>F1361&lt;&gt;""</formula>
    </cfRule>
  </conditionalFormatting>
  <conditionalFormatting sqref="F1361">
    <cfRule type="expression" dxfId="8129" priority="4990">
      <formula>F1361&lt;&gt;""</formula>
    </cfRule>
  </conditionalFormatting>
  <conditionalFormatting sqref="F1365">
    <cfRule type="expression" dxfId="8128" priority="4989">
      <formula>F1361&lt;&gt;""</formula>
    </cfRule>
  </conditionalFormatting>
  <conditionalFormatting sqref="E1361:E1365">
    <cfRule type="expression" dxfId="8127" priority="4988">
      <formula>F1361&lt;&gt;""</formula>
    </cfRule>
  </conditionalFormatting>
  <conditionalFormatting sqref="G1361:G1365">
    <cfRule type="expression" dxfId="8126" priority="4987">
      <formula>H1361&lt;&gt;""</formula>
    </cfRule>
  </conditionalFormatting>
  <conditionalFormatting sqref="I1361:I1365">
    <cfRule type="expression" dxfId="8125" priority="4986">
      <formula>B1369&lt;&gt;""</formula>
    </cfRule>
  </conditionalFormatting>
  <conditionalFormatting sqref="H1361:H1365">
    <cfRule type="expression" dxfId="8124" priority="4985">
      <formula>H1361&lt;&gt;""</formula>
    </cfRule>
  </conditionalFormatting>
  <conditionalFormatting sqref="H1361">
    <cfRule type="expression" dxfId="8123" priority="4984">
      <formula>H1361&lt;&gt;""</formula>
    </cfRule>
  </conditionalFormatting>
  <conditionalFormatting sqref="H1365">
    <cfRule type="expression" dxfId="8122" priority="4983">
      <formula>H1361&lt;&gt;""</formula>
    </cfRule>
  </conditionalFormatting>
  <conditionalFormatting sqref="B1377:B1381">
    <cfRule type="expression" dxfId="8121" priority="4982">
      <formula>B1377&lt;&gt;""</formula>
    </cfRule>
  </conditionalFormatting>
  <conditionalFormatting sqref="B1377">
    <cfRule type="expression" dxfId="8120" priority="4981">
      <formula>B1377&lt;&gt;""</formula>
    </cfRule>
  </conditionalFormatting>
  <conditionalFormatting sqref="B1381">
    <cfRule type="expression" dxfId="8119" priority="4980">
      <formula>B1377&lt;&gt;""</formula>
    </cfRule>
  </conditionalFormatting>
  <conditionalFormatting sqref="F1377:F1381">
    <cfRule type="expression" dxfId="8118" priority="4976">
      <formula>F1377&lt;&gt;""</formula>
    </cfRule>
  </conditionalFormatting>
  <conditionalFormatting sqref="F1377">
    <cfRule type="expression" dxfId="8117" priority="4975">
      <formula>F1377&lt;&gt;""</formula>
    </cfRule>
  </conditionalFormatting>
  <conditionalFormatting sqref="F1381">
    <cfRule type="expression" dxfId="8116" priority="4974">
      <formula>F1377&lt;&gt;""</formula>
    </cfRule>
  </conditionalFormatting>
  <conditionalFormatting sqref="C1377:C1381">
    <cfRule type="expression" dxfId="8115" priority="4973">
      <formula>D1377&lt;&gt;""</formula>
    </cfRule>
  </conditionalFormatting>
  <conditionalFormatting sqref="E1377:E1381">
    <cfRule type="expression" dxfId="8114" priority="4972">
      <formula>F1377&lt;&gt;""</formula>
    </cfRule>
  </conditionalFormatting>
  <conditionalFormatting sqref="G1377:G1381">
    <cfRule type="expression" dxfId="8113" priority="4971">
      <formula>H1377&lt;&gt;""</formula>
    </cfRule>
  </conditionalFormatting>
  <conditionalFormatting sqref="H1377:H1381">
    <cfRule type="expression" dxfId="8112" priority="4970">
      <formula>H1377&lt;&gt;""</formula>
    </cfRule>
  </conditionalFormatting>
  <conditionalFormatting sqref="H1377">
    <cfRule type="expression" dxfId="8111" priority="4969">
      <formula>H1377&lt;&gt;""</formula>
    </cfRule>
  </conditionalFormatting>
  <conditionalFormatting sqref="H1381">
    <cfRule type="expression" dxfId="8110" priority="4968">
      <formula>H1377&lt;&gt;""</formula>
    </cfRule>
  </conditionalFormatting>
  <conditionalFormatting sqref="B1361:B1365">
    <cfRule type="expression" dxfId="8109" priority="4916">
      <formula>B1361&lt;&gt;""</formula>
    </cfRule>
  </conditionalFormatting>
  <conditionalFormatting sqref="B1367:B1368 C1367:I1367 I1366">
    <cfRule type="expression" dxfId="8108" priority="4967">
      <formula>$B$1369&lt;&gt;""</formula>
    </cfRule>
  </conditionalFormatting>
  <conditionalFormatting sqref="B1375:B1376 C1375:I1375 I1374">
    <cfRule type="expression" dxfId="8107" priority="4966">
      <formula>$B$1377&lt;&gt;""</formula>
    </cfRule>
  </conditionalFormatting>
  <conditionalFormatting sqref="D1405:D1409">
    <cfRule type="expression" dxfId="8106" priority="4937">
      <formula>D1405&lt;&gt;""</formula>
    </cfRule>
  </conditionalFormatting>
  <conditionalFormatting sqref="D1405">
    <cfRule type="expression" dxfId="8105" priority="4936">
      <formula>D1405&lt;&gt;""</formula>
    </cfRule>
  </conditionalFormatting>
  <conditionalFormatting sqref="D1409">
    <cfRule type="expression" dxfId="8104" priority="4935">
      <formula>D1405&lt;&gt;""</formula>
    </cfRule>
  </conditionalFormatting>
  <conditionalFormatting sqref="D1397:D1401">
    <cfRule type="expression" dxfId="8103" priority="4958">
      <formula>D1397&lt;&gt;""</formula>
    </cfRule>
  </conditionalFormatting>
  <conditionalFormatting sqref="D1397">
    <cfRule type="expression" dxfId="8102" priority="4957">
      <formula>D1397&lt;&gt;""</formula>
    </cfRule>
  </conditionalFormatting>
  <conditionalFormatting sqref="D1401">
    <cfRule type="expression" dxfId="8101" priority="4956">
      <formula>D1397&lt;&gt;""</formula>
    </cfRule>
  </conditionalFormatting>
  <conditionalFormatting sqref="C1397:C1401">
    <cfRule type="expression" dxfId="8100" priority="4965">
      <formula>D1397&lt;&gt;""</formula>
    </cfRule>
  </conditionalFormatting>
  <conditionalFormatting sqref="E1397:E1401">
    <cfRule type="expression" dxfId="8099" priority="4964">
      <formula>F1397&lt;&gt;""</formula>
    </cfRule>
  </conditionalFormatting>
  <conditionalFormatting sqref="G1397:G1401">
    <cfRule type="expression" dxfId="8098" priority="4963">
      <formula>H1397&lt;&gt;""</formula>
    </cfRule>
  </conditionalFormatting>
  <conditionalFormatting sqref="I1397:I1401">
    <cfRule type="expression" dxfId="8097" priority="4962">
      <formula>B1405&lt;&gt;""</formula>
    </cfRule>
  </conditionalFormatting>
  <conditionalFormatting sqref="B1397:B1401">
    <cfRule type="expression" dxfId="8096" priority="4961">
      <formula>B1397&lt;&gt;""</formula>
    </cfRule>
  </conditionalFormatting>
  <conditionalFormatting sqref="B1397">
    <cfRule type="expression" dxfId="8095" priority="4960">
      <formula>B1397&lt;&gt;""</formula>
    </cfRule>
  </conditionalFormatting>
  <conditionalFormatting sqref="B1401">
    <cfRule type="expression" dxfId="8094" priority="4959">
      <formula>B1397&lt;&gt;""</formula>
    </cfRule>
  </conditionalFormatting>
  <conditionalFormatting sqref="F1397:F1401">
    <cfRule type="expression" dxfId="8093" priority="4955">
      <formula>F1397&lt;&gt;""</formula>
    </cfRule>
  </conditionalFormatting>
  <conditionalFormatting sqref="F1397">
    <cfRule type="expression" dxfId="8092" priority="4954">
      <formula>F1397&lt;&gt;""</formula>
    </cfRule>
  </conditionalFormatting>
  <conditionalFormatting sqref="F1401">
    <cfRule type="expression" dxfId="8091" priority="4953">
      <formula>F1397&lt;&gt;""</formula>
    </cfRule>
  </conditionalFormatting>
  <conditionalFormatting sqref="H1397:H1401">
    <cfRule type="expression" dxfId="8090" priority="4952">
      <formula>H1397&lt;&gt;""</formula>
    </cfRule>
  </conditionalFormatting>
  <conditionalFormatting sqref="H1397">
    <cfRule type="expression" dxfId="8089" priority="4951">
      <formula>H1397&lt;&gt;""</formula>
    </cfRule>
  </conditionalFormatting>
  <conditionalFormatting sqref="H1401">
    <cfRule type="expression" dxfId="8088" priority="4950">
      <formula>H1397&lt;&gt;""</formula>
    </cfRule>
  </conditionalFormatting>
  <conditionalFormatting sqref="F1389:F1393">
    <cfRule type="expression" dxfId="8087" priority="4949">
      <formula>F1389&lt;&gt;""</formula>
    </cfRule>
  </conditionalFormatting>
  <conditionalFormatting sqref="F1389">
    <cfRule type="expression" dxfId="8086" priority="4948">
      <formula>F1389&lt;&gt;""</formula>
    </cfRule>
  </conditionalFormatting>
  <conditionalFormatting sqref="F1393">
    <cfRule type="expression" dxfId="8085" priority="4947">
      <formula>F1389&lt;&gt;""</formula>
    </cfRule>
  </conditionalFormatting>
  <conditionalFormatting sqref="E1389:E1393">
    <cfRule type="expression" dxfId="8084" priority="4946">
      <formula>F1389&lt;&gt;""</formula>
    </cfRule>
  </conditionalFormatting>
  <conditionalFormatting sqref="G1389:G1393">
    <cfRule type="expression" dxfId="8083" priority="4945">
      <formula>H1389&lt;&gt;""</formula>
    </cfRule>
  </conditionalFormatting>
  <conditionalFormatting sqref="I1389:I1393">
    <cfRule type="expression" dxfId="8082" priority="4944">
      <formula>B1397&lt;&gt;""</formula>
    </cfRule>
  </conditionalFormatting>
  <conditionalFormatting sqref="H1389:H1393">
    <cfRule type="expression" dxfId="8081" priority="4943">
      <formula>H1389&lt;&gt;""</formula>
    </cfRule>
  </conditionalFormatting>
  <conditionalFormatting sqref="H1389">
    <cfRule type="expression" dxfId="8080" priority="4942">
      <formula>H1389&lt;&gt;""</formula>
    </cfRule>
  </conditionalFormatting>
  <conditionalFormatting sqref="H1393">
    <cfRule type="expression" dxfId="8079" priority="4941">
      <formula>H1389&lt;&gt;""</formula>
    </cfRule>
  </conditionalFormatting>
  <conditionalFormatting sqref="B1405:B1409">
    <cfRule type="expression" dxfId="8078" priority="4940">
      <formula>B1405&lt;&gt;""</formula>
    </cfRule>
  </conditionalFormatting>
  <conditionalFormatting sqref="B1405">
    <cfRule type="expression" dxfId="8077" priority="4939">
      <formula>B1405&lt;&gt;""</formula>
    </cfRule>
  </conditionalFormatting>
  <conditionalFormatting sqref="B1409">
    <cfRule type="expression" dxfId="8076" priority="4938">
      <formula>B1405&lt;&gt;""</formula>
    </cfRule>
  </conditionalFormatting>
  <conditionalFormatting sqref="F1405:F1409">
    <cfRule type="expression" dxfId="8075" priority="4934">
      <formula>F1405&lt;&gt;""</formula>
    </cfRule>
  </conditionalFormatting>
  <conditionalFormatting sqref="F1405">
    <cfRule type="expression" dxfId="8074" priority="4933">
      <formula>F1405&lt;&gt;""</formula>
    </cfRule>
  </conditionalFormatting>
  <conditionalFormatting sqref="F1409">
    <cfRule type="expression" dxfId="8073" priority="4932">
      <formula>F1405&lt;&gt;""</formula>
    </cfRule>
  </conditionalFormatting>
  <conditionalFormatting sqref="C1405:C1409">
    <cfRule type="expression" dxfId="8072" priority="4931">
      <formula>D1405&lt;&gt;""</formula>
    </cfRule>
  </conditionalFormatting>
  <conditionalFormatting sqref="E1405:E1409">
    <cfRule type="expression" dxfId="8071" priority="4930">
      <formula>F1405&lt;&gt;""</formula>
    </cfRule>
  </conditionalFormatting>
  <conditionalFormatting sqref="G1405:G1409">
    <cfRule type="expression" dxfId="8070" priority="4929">
      <formula>H1405&lt;&gt;""</formula>
    </cfRule>
  </conditionalFormatting>
  <conditionalFormatting sqref="H1405:H1409">
    <cfRule type="expression" dxfId="8069" priority="4928">
      <formula>H1405&lt;&gt;""</formula>
    </cfRule>
  </conditionalFormatting>
  <conditionalFormatting sqref="H1405">
    <cfRule type="expression" dxfId="8068" priority="4927">
      <formula>H1405&lt;&gt;""</formula>
    </cfRule>
  </conditionalFormatting>
  <conditionalFormatting sqref="H1409">
    <cfRule type="expression" dxfId="8067" priority="4926">
      <formula>H1405&lt;&gt;""</formula>
    </cfRule>
  </conditionalFormatting>
  <conditionalFormatting sqref="B1389:B1393">
    <cfRule type="expression" dxfId="8066" priority="4909">
      <formula>B1389&lt;&gt;""</formula>
    </cfRule>
  </conditionalFormatting>
  <conditionalFormatting sqref="B1395:B1396 C1395:I1395 I1394">
    <cfRule type="expression" dxfId="8065" priority="4925">
      <formula>$B$1397&lt;&gt;""</formula>
    </cfRule>
  </conditionalFormatting>
  <conditionalFormatting sqref="B1403:B1404 C1403:I1403 I1402">
    <cfRule type="expression" dxfId="8064" priority="4924">
      <formula>$B$1405&lt;&gt;""</formula>
    </cfRule>
  </conditionalFormatting>
  <conditionalFormatting sqref="B1333:B1337">
    <cfRule type="expression" dxfId="8063" priority="4923">
      <formula>B1333&lt;&gt;""</formula>
    </cfRule>
  </conditionalFormatting>
  <conditionalFormatting sqref="B1333">
    <cfRule type="expression" dxfId="8062" priority="4922">
      <formula>B1333&lt;&gt;""</formula>
    </cfRule>
  </conditionalFormatting>
  <conditionalFormatting sqref="B1337">
    <cfRule type="expression" dxfId="8061" priority="4921">
      <formula>B1333&lt;&gt;""</formula>
    </cfRule>
  </conditionalFormatting>
  <conditionalFormatting sqref="C1333:C1337">
    <cfRule type="expression" dxfId="8060" priority="4920">
      <formula>D1333&lt;&gt;""</formula>
    </cfRule>
  </conditionalFormatting>
  <conditionalFormatting sqref="D1333:D1337">
    <cfRule type="expression" dxfId="8059" priority="4919">
      <formula>D1333&lt;&gt;""</formula>
    </cfRule>
  </conditionalFormatting>
  <conditionalFormatting sqref="D1333">
    <cfRule type="expression" dxfId="8058" priority="4918">
      <formula>D1333&lt;&gt;""</formula>
    </cfRule>
  </conditionalFormatting>
  <conditionalFormatting sqref="D1337">
    <cfRule type="expression" dxfId="8057" priority="4917">
      <formula>D1333&lt;&gt;""</formula>
    </cfRule>
  </conditionalFormatting>
  <conditionalFormatting sqref="B1361">
    <cfRule type="expression" dxfId="8056" priority="4915">
      <formula>B1361&lt;&gt;""</formula>
    </cfRule>
  </conditionalFormatting>
  <conditionalFormatting sqref="B1365">
    <cfRule type="expression" dxfId="8055" priority="4914">
      <formula>B1361&lt;&gt;""</formula>
    </cfRule>
  </conditionalFormatting>
  <conditionalFormatting sqref="C1361:C1365">
    <cfRule type="expression" dxfId="8054" priority="4913">
      <formula>D1361&lt;&gt;""</formula>
    </cfRule>
  </conditionalFormatting>
  <conditionalFormatting sqref="D1361:D1365">
    <cfRule type="expression" dxfId="8053" priority="4912">
      <formula>D1361&lt;&gt;""</formula>
    </cfRule>
  </conditionalFormatting>
  <conditionalFormatting sqref="D1361">
    <cfRule type="expression" dxfId="8052" priority="4911">
      <formula>D1361&lt;&gt;""</formula>
    </cfRule>
  </conditionalFormatting>
  <conditionalFormatting sqref="D1365">
    <cfRule type="expression" dxfId="8051" priority="4910">
      <formula>D1361&lt;&gt;""</formula>
    </cfRule>
  </conditionalFormatting>
  <conditionalFormatting sqref="B1389">
    <cfRule type="expression" dxfId="8050" priority="4908">
      <formula>B1389&lt;&gt;""</formula>
    </cfRule>
  </conditionalFormatting>
  <conditionalFormatting sqref="B1393">
    <cfRule type="expression" dxfId="8049" priority="4907">
      <formula>B1389&lt;&gt;""</formula>
    </cfRule>
  </conditionalFormatting>
  <conditionalFormatting sqref="C1389:C1393">
    <cfRule type="expression" dxfId="8048" priority="4906">
      <formula>D1389&lt;&gt;""</formula>
    </cfRule>
  </conditionalFormatting>
  <conditionalFormatting sqref="D1389:D1393">
    <cfRule type="expression" dxfId="8047" priority="4905">
      <formula>D1389&lt;&gt;""</formula>
    </cfRule>
  </conditionalFormatting>
  <conditionalFormatting sqref="D1389">
    <cfRule type="expression" dxfId="8046" priority="4904">
      <formula>D1389&lt;&gt;""</formula>
    </cfRule>
  </conditionalFormatting>
  <conditionalFormatting sqref="D1393">
    <cfRule type="expression" dxfId="8045" priority="4903">
      <formula>D1389&lt;&gt;""</formula>
    </cfRule>
  </conditionalFormatting>
  <conditionalFormatting sqref="B1347:B1348 C1347:I1347 I1346">
    <cfRule type="expression" dxfId="8044" priority="4902">
      <formula>$B$1349&lt;&gt;""</formula>
    </cfRule>
  </conditionalFormatting>
  <conditionalFormatting sqref="B1339:B1340 C1339:I1339 I1338">
    <cfRule type="expression" dxfId="8043" priority="4901">
      <formula>$B$1341&lt;&gt;""</formula>
    </cfRule>
  </conditionalFormatting>
  <conditionalFormatting sqref="D1603:D1607">
    <cfRule type="expression" dxfId="8042" priority="4871">
      <formula>D1603&lt;&gt;""</formula>
    </cfRule>
  </conditionalFormatting>
  <conditionalFormatting sqref="D1603">
    <cfRule type="expression" dxfId="8041" priority="4870">
      <formula>D1603&lt;&gt;""</formula>
    </cfRule>
  </conditionalFormatting>
  <conditionalFormatting sqref="D1607">
    <cfRule type="expression" dxfId="8040" priority="4869">
      <formula>D1603&lt;&gt;""</formula>
    </cfRule>
  </conditionalFormatting>
  <conditionalFormatting sqref="I1592:I1593 C1593:H1593 B1593:B1594">
    <cfRule type="expression" dxfId="8039" priority="4859">
      <formula>$B$1595&lt;&gt;""</formula>
    </cfRule>
  </conditionalFormatting>
  <conditionalFormatting sqref="D1595:D1599">
    <cfRule type="expression" dxfId="8038" priority="4893">
      <formula>D1595&lt;&gt;""</formula>
    </cfRule>
  </conditionalFormatting>
  <conditionalFormatting sqref="D1595">
    <cfRule type="expression" dxfId="8037" priority="4892">
      <formula>D1595&lt;&gt;""</formula>
    </cfRule>
  </conditionalFormatting>
  <conditionalFormatting sqref="D1599">
    <cfRule type="expression" dxfId="8036" priority="4891">
      <formula>D1595&lt;&gt;""</formula>
    </cfRule>
  </conditionalFormatting>
  <conditionalFormatting sqref="C1595:C1599">
    <cfRule type="expression" dxfId="8035" priority="4900">
      <formula>D1595&lt;&gt;""</formula>
    </cfRule>
  </conditionalFormatting>
  <conditionalFormatting sqref="E1595:E1599">
    <cfRule type="expression" dxfId="8034" priority="4899">
      <formula>F1595&lt;&gt;""</formula>
    </cfRule>
  </conditionalFormatting>
  <conditionalFormatting sqref="G1595:G1599">
    <cfRule type="expression" dxfId="8033" priority="4898">
      <formula>H1595&lt;&gt;""</formula>
    </cfRule>
  </conditionalFormatting>
  <conditionalFormatting sqref="I1595:I1599">
    <cfRule type="expression" dxfId="8032" priority="4897">
      <formula>B1603&lt;&gt;""</formula>
    </cfRule>
  </conditionalFormatting>
  <conditionalFormatting sqref="B1595:B1599">
    <cfRule type="expression" dxfId="8031" priority="4896">
      <formula>B1595&lt;&gt;""</formula>
    </cfRule>
  </conditionalFormatting>
  <conditionalFormatting sqref="B1595">
    <cfRule type="expression" dxfId="8030" priority="4895">
      <formula>B1595&lt;&gt;""</formula>
    </cfRule>
  </conditionalFormatting>
  <conditionalFormatting sqref="B1599">
    <cfRule type="expression" dxfId="8029" priority="4894">
      <formula>B1595&lt;&gt;""</formula>
    </cfRule>
  </conditionalFormatting>
  <conditionalFormatting sqref="F1595:F1599">
    <cfRule type="expression" dxfId="8028" priority="4890">
      <formula>F1595&lt;&gt;""</formula>
    </cfRule>
  </conditionalFormatting>
  <conditionalFormatting sqref="F1595">
    <cfRule type="expression" dxfId="8027" priority="4889">
      <formula>F1595&lt;&gt;""</formula>
    </cfRule>
  </conditionalFormatting>
  <conditionalFormatting sqref="F1599">
    <cfRule type="expression" dxfId="8026" priority="4888">
      <formula>F1595&lt;&gt;""</formula>
    </cfRule>
  </conditionalFormatting>
  <conditionalFormatting sqref="H1595:H1599">
    <cfRule type="expression" dxfId="8025" priority="4887">
      <formula>H1595&lt;&gt;""</formula>
    </cfRule>
  </conditionalFormatting>
  <conditionalFormatting sqref="H1595">
    <cfRule type="expression" dxfId="8024" priority="4886">
      <formula>H1595&lt;&gt;""</formula>
    </cfRule>
  </conditionalFormatting>
  <conditionalFormatting sqref="H1599">
    <cfRule type="expression" dxfId="8023" priority="4885">
      <formula>H1595&lt;&gt;""</formula>
    </cfRule>
  </conditionalFormatting>
  <conditionalFormatting sqref="F1587:F1591">
    <cfRule type="expression" dxfId="8022" priority="4884">
      <formula>F1587&lt;&gt;""</formula>
    </cfRule>
  </conditionalFormatting>
  <conditionalFormatting sqref="F1587">
    <cfRule type="expression" dxfId="8021" priority="4883">
      <formula>F1587&lt;&gt;""</formula>
    </cfRule>
  </conditionalFormatting>
  <conditionalFormatting sqref="F1591">
    <cfRule type="expression" dxfId="8020" priority="4882">
      <formula>F1587&lt;&gt;""</formula>
    </cfRule>
  </conditionalFormatting>
  <conditionalFormatting sqref="E1587:E1591">
    <cfRule type="expression" dxfId="8019" priority="4881">
      <formula>F1587&lt;&gt;""</formula>
    </cfRule>
  </conditionalFormatting>
  <conditionalFormatting sqref="G1587:G1591">
    <cfRule type="expression" dxfId="8018" priority="4880">
      <formula>H1587&lt;&gt;""</formula>
    </cfRule>
  </conditionalFormatting>
  <conditionalFormatting sqref="I1587:I1591">
    <cfRule type="expression" dxfId="8017" priority="4879">
      <formula>B1595&lt;&gt;""</formula>
    </cfRule>
  </conditionalFormatting>
  <conditionalFormatting sqref="H1587:H1591">
    <cfRule type="expression" dxfId="8016" priority="4878">
      <formula>H1587&lt;&gt;""</formula>
    </cfRule>
  </conditionalFormatting>
  <conditionalFormatting sqref="H1587">
    <cfRule type="expression" dxfId="8015" priority="4877">
      <formula>H1587&lt;&gt;""</formula>
    </cfRule>
  </conditionalFormatting>
  <conditionalFormatting sqref="H1591">
    <cfRule type="expression" dxfId="8014" priority="4876">
      <formula>H1587&lt;&gt;""</formula>
    </cfRule>
  </conditionalFormatting>
  <conditionalFormatting sqref="I1600:I1601 C1601:H1601 B1601:B1602">
    <cfRule type="expression" dxfId="8013" priority="4875">
      <formula>$B$1603&lt;&gt;""</formula>
    </cfRule>
  </conditionalFormatting>
  <conditionalFormatting sqref="B1603:B1607">
    <cfRule type="expression" dxfId="8012" priority="4874">
      <formula>B1603&lt;&gt;""</formula>
    </cfRule>
  </conditionalFormatting>
  <conditionalFormatting sqref="B1603">
    <cfRule type="expression" dxfId="8011" priority="4873">
      <formula>B1603&lt;&gt;""</formula>
    </cfRule>
  </conditionalFormatting>
  <conditionalFormatting sqref="B1607">
    <cfRule type="expression" dxfId="8010" priority="4872">
      <formula>B1603&lt;&gt;""</formula>
    </cfRule>
  </conditionalFormatting>
  <conditionalFormatting sqref="F1603:F1607">
    <cfRule type="expression" dxfId="8009" priority="4868">
      <formula>F1603&lt;&gt;""</formula>
    </cfRule>
  </conditionalFormatting>
  <conditionalFormatting sqref="F1603">
    <cfRule type="expression" dxfId="8008" priority="4867">
      <formula>F1603&lt;&gt;""</formula>
    </cfRule>
  </conditionalFormatting>
  <conditionalFormatting sqref="F1607">
    <cfRule type="expression" dxfId="8007" priority="4866">
      <formula>F1603&lt;&gt;""</formula>
    </cfRule>
  </conditionalFormatting>
  <conditionalFormatting sqref="C1603:C1607">
    <cfRule type="expression" dxfId="8006" priority="4865">
      <formula>D1603&lt;&gt;""</formula>
    </cfRule>
  </conditionalFormatting>
  <conditionalFormatting sqref="E1603:E1607">
    <cfRule type="expression" dxfId="8005" priority="4864">
      <formula>F1603&lt;&gt;""</formula>
    </cfRule>
  </conditionalFormatting>
  <conditionalFormatting sqref="G1603:G1607">
    <cfRule type="expression" dxfId="8004" priority="4863">
      <formula>H1603&lt;&gt;""</formula>
    </cfRule>
  </conditionalFormatting>
  <conditionalFormatting sqref="H1603:H1607">
    <cfRule type="expression" dxfId="8003" priority="4862">
      <formula>H1603&lt;&gt;""</formula>
    </cfRule>
  </conditionalFormatting>
  <conditionalFormatting sqref="H1603">
    <cfRule type="expression" dxfId="8002" priority="4861">
      <formula>H1603&lt;&gt;""</formula>
    </cfRule>
  </conditionalFormatting>
  <conditionalFormatting sqref="H1607">
    <cfRule type="expression" dxfId="8001" priority="4860">
      <formula>H1603&lt;&gt;""</formula>
    </cfRule>
  </conditionalFormatting>
  <conditionalFormatting sqref="D1575:D1579">
    <cfRule type="expression" dxfId="8000" priority="4829">
      <formula>D1575&lt;&gt;""</formula>
    </cfRule>
  </conditionalFormatting>
  <conditionalFormatting sqref="D1575">
    <cfRule type="expression" dxfId="7999" priority="4828">
      <formula>D1575&lt;&gt;""</formula>
    </cfRule>
  </conditionalFormatting>
  <conditionalFormatting sqref="D1579">
    <cfRule type="expression" dxfId="7998" priority="4827">
      <formula>D1575&lt;&gt;""</formula>
    </cfRule>
  </conditionalFormatting>
  <conditionalFormatting sqref="I1564:I1565 C1565:H1565 B1565:B1566">
    <cfRule type="expression" dxfId="7997" priority="4817">
      <formula>$B$1567&lt;&gt;""</formula>
    </cfRule>
  </conditionalFormatting>
  <conditionalFormatting sqref="D1567:D1571">
    <cfRule type="expression" dxfId="7996" priority="4851">
      <formula>D1567&lt;&gt;""</formula>
    </cfRule>
  </conditionalFormatting>
  <conditionalFormatting sqref="D1567">
    <cfRule type="expression" dxfId="7995" priority="4850">
      <formula>D1567&lt;&gt;""</formula>
    </cfRule>
  </conditionalFormatting>
  <conditionalFormatting sqref="D1571">
    <cfRule type="expression" dxfId="7994" priority="4849">
      <formula>D1567&lt;&gt;""</formula>
    </cfRule>
  </conditionalFormatting>
  <conditionalFormatting sqref="C1567:C1571">
    <cfRule type="expression" dxfId="7993" priority="4858">
      <formula>D1567&lt;&gt;""</formula>
    </cfRule>
  </conditionalFormatting>
  <conditionalFormatting sqref="E1567:E1571">
    <cfRule type="expression" dxfId="7992" priority="4857">
      <formula>F1567&lt;&gt;""</formula>
    </cfRule>
  </conditionalFormatting>
  <conditionalFormatting sqref="G1567:G1571">
    <cfRule type="expression" dxfId="7991" priority="4856">
      <formula>H1567&lt;&gt;""</formula>
    </cfRule>
  </conditionalFormatting>
  <conditionalFormatting sqref="I1567:I1571">
    <cfRule type="expression" dxfId="7990" priority="4855">
      <formula>B1575&lt;&gt;""</formula>
    </cfRule>
  </conditionalFormatting>
  <conditionalFormatting sqref="B1567:B1571">
    <cfRule type="expression" dxfId="7989" priority="4854">
      <formula>B1567&lt;&gt;""</formula>
    </cfRule>
  </conditionalFormatting>
  <conditionalFormatting sqref="B1567">
    <cfRule type="expression" dxfId="7988" priority="4853">
      <formula>B1567&lt;&gt;""</formula>
    </cfRule>
  </conditionalFormatting>
  <conditionalFormatting sqref="B1571">
    <cfRule type="expression" dxfId="7987" priority="4852">
      <formula>B1567&lt;&gt;""</formula>
    </cfRule>
  </conditionalFormatting>
  <conditionalFormatting sqref="F1567:F1571">
    <cfRule type="expression" dxfId="7986" priority="4848">
      <formula>F1567&lt;&gt;""</formula>
    </cfRule>
  </conditionalFormatting>
  <conditionalFormatting sqref="F1567">
    <cfRule type="expression" dxfId="7985" priority="4847">
      <formula>F1567&lt;&gt;""</formula>
    </cfRule>
  </conditionalFormatting>
  <conditionalFormatting sqref="F1571">
    <cfRule type="expression" dxfId="7984" priority="4846">
      <formula>F1567&lt;&gt;""</formula>
    </cfRule>
  </conditionalFormatting>
  <conditionalFormatting sqref="H1567:H1571">
    <cfRule type="expression" dxfId="7983" priority="4845">
      <formula>H1567&lt;&gt;""</formula>
    </cfRule>
  </conditionalFormatting>
  <conditionalFormatting sqref="H1567">
    <cfRule type="expression" dxfId="7982" priority="4844">
      <formula>H1567&lt;&gt;""</formula>
    </cfRule>
  </conditionalFormatting>
  <conditionalFormatting sqref="H1571">
    <cfRule type="expression" dxfId="7981" priority="4843">
      <formula>H1567&lt;&gt;""</formula>
    </cfRule>
  </conditionalFormatting>
  <conditionalFormatting sqref="F1559:F1563">
    <cfRule type="expression" dxfId="7980" priority="4842">
      <formula>F1559&lt;&gt;""</formula>
    </cfRule>
  </conditionalFormatting>
  <conditionalFormatting sqref="F1559">
    <cfRule type="expression" dxfId="7979" priority="4841">
      <formula>F1559&lt;&gt;""</formula>
    </cfRule>
  </conditionalFormatting>
  <conditionalFormatting sqref="F1563">
    <cfRule type="expression" dxfId="7978" priority="4840">
      <formula>F1559&lt;&gt;""</formula>
    </cfRule>
  </conditionalFormatting>
  <conditionalFormatting sqref="E1559:E1563">
    <cfRule type="expression" dxfId="7977" priority="4839">
      <formula>F1559&lt;&gt;""</formula>
    </cfRule>
  </conditionalFormatting>
  <conditionalFormatting sqref="G1559:G1563">
    <cfRule type="expression" dxfId="7976" priority="4838">
      <formula>H1559&lt;&gt;""</formula>
    </cfRule>
  </conditionalFormatting>
  <conditionalFormatting sqref="I1559:I1563">
    <cfRule type="expression" dxfId="7975" priority="4837">
      <formula>B1567&lt;&gt;""</formula>
    </cfRule>
  </conditionalFormatting>
  <conditionalFormatting sqref="H1559:H1563">
    <cfRule type="expression" dxfId="7974" priority="4836">
      <formula>H1559&lt;&gt;""</formula>
    </cfRule>
  </conditionalFormatting>
  <conditionalFormatting sqref="H1559">
    <cfRule type="expression" dxfId="7973" priority="4835">
      <formula>H1559&lt;&gt;""</formula>
    </cfRule>
  </conditionalFormatting>
  <conditionalFormatting sqref="H1563">
    <cfRule type="expression" dxfId="7972" priority="4834">
      <formula>H1559&lt;&gt;""</formula>
    </cfRule>
  </conditionalFormatting>
  <conditionalFormatting sqref="I1572:I1573 C1573:H1573 B1573:B1574">
    <cfRule type="expression" dxfId="7971" priority="4833">
      <formula>$B$1575&lt;&gt;""</formula>
    </cfRule>
  </conditionalFormatting>
  <conditionalFormatting sqref="B1575:B1579">
    <cfRule type="expression" dxfId="7970" priority="4832">
      <formula>B1575&lt;&gt;""</formula>
    </cfRule>
  </conditionalFormatting>
  <conditionalFormatting sqref="B1575">
    <cfRule type="expression" dxfId="7969" priority="4831">
      <formula>B1575&lt;&gt;""</formula>
    </cfRule>
  </conditionalFormatting>
  <conditionalFormatting sqref="B1579">
    <cfRule type="expression" dxfId="7968" priority="4830">
      <formula>B1575&lt;&gt;""</formula>
    </cfRule>
  </conditionalFormatting>
  <conditionalFormatting sqref="F1575:F1579">
    <cfRule type="expression" dxfId="7967" priority="4826">
      <formula>F1575&lt;&gt;""</formula>
    </cfRule>
  </conditionalFormatting>
  <conditionalFormatting sqref="F1575">
    <cfRule type="expression" dxfId="7966" priority="4825">
      <formula>F1575&lt;&gt;""</formula>
    </cfRule>
  </conditionalFormatting>
  <conditionalFormatting sqref="F1579">
    <cfRule type="expression" dxfId="7965" priority="4824">
      <formula>F1575&lt;&gt;""</formula>
    </cfRule>
  </conditionalFormatting>
  <conditionalFormatting sqref="C1575:C1579">
    <cfRule type="expression" dxfId="7964" priority="4823">
      <formula>D1575&lt;&gt;""</formula>
    </cfRule>
  </conditionalFormatting>
  <conditionalFormatting sqref="E1575:E1579">
    <cfRule type="expression" dxfId="7963" priority="4822">
      <formula>F1575&lt;&gt;""</formula>
    </cfRule>
  </conditionalFormatting>
  <conditionalFormatting sqref="G1575:G1579">
    <cfRule type="expression" dxfId="7962" priority="4821">
      <formula>H1575&lt;&gt;""</formula>
    </cfRule>
  </conditionalFormatting>
  <conditionalFormatting sqref="H1575:H1579">
    <cfRule type="expression" dxfId="7961" priority="4820">
      <formula>H1575&lt;&gt;""</formula>
    </cfRule>
  </conditionalFormatting>
  <conditionalFormatting sqref="H1575">
    <cfRule type="expression" dxfId="7960" priority="4819">
      <formula>H1575&lt;&gt;""</formula>
    </cfRule>
  </conditionalFormatting>
  <conditionalFormatting sqref="H1579">
    <cfRule type="expression" dxfId="7959" priority="4818">
      <formula>H1575&lt;&gt;""</formula>
    </cfRule>
  </conditionalFormatting>
  <conditionalFormatting sqref="D1547:D1551">
    <cfRule type="expression" dxfId="7958" priority="4787">
      <formula>D1547&lt;&gt;""</formula>
    </cfRule>
  </conditionalFormatting>
  <conditionalFormatting sqref="D1547">
    <cfRule type="expression" dxfId="7957" priority="4786">
      <formula>D1547&lt;&gt;""</formula>
    </cfRule>
  </conditionalFormatting>
  <conditionalFormatting sqref="D1551">
    <cfRule type="expression" dxfId="7956" priority="4785">
      <formula>D1547&lt;&gt;""</formula>
    </cfRule>
  </conditionalFormatting>
  <conditionalFormatting sqref="I1536:I1537 C1537:H1537 B1537:B1538">
    <cfRule type="expression" dxfId="7955" priority="4775">
      <formula>$B$1539&lt;&gt;""</formula>
    </cfRule>
  </conditionalFormatting>
  <conditionalFormatting sqref="D1539:D1543">
    <cfRule type="expression" dxfId="7954" priority="4809">
      <formula>D1539&lt;&gt;""</formula>
    </cfRule>
  </conditionalFormatting>
  <conditionalFormatting sqref="D1539">
    <cfRule type="expression" dxfId="7953" priority="4808">
      <formula>D1539&lt;&gt;""</formula>
    </cfRule>
  </conditionalFormatting>
  <conditionalFormatting sqref="D1543">
    <cfRule type="expression" dxfId="7952" priority="4807">
      <formula>D1539&lt;&gt;""</formula>
    </cfRule>
  </conditionalFormatting>
  <conditionalFormatting sqref="C1539:C1543">
    <cfRule type="expression" dxfId="7951" priority="4816">
      <formula>D1539&lt;&gt;""</formula>
    </cfRule>
  </conditionalFormatting>
  <conditionalFormatting sqref="E1539:E1543">
    <cfRule type="expression" dxfId="7950" priority="4815">
      <formula>F1539&lt;&gt;""</formula>
    </cfRule>
  </conditionalFormatting>
  <conditionalFormatting sqref="G1539:G1543">
    <cfRule type="expression" dxfId="7949" priority="4814">
      <formula>H1539&lt;&gt;""</formula>
    </cfRule>
  </conditionalFormatting>
  <conditionalFormatting sqref="I1539:I1543">
    <cfRule type="expression" dxfId="7948" priority="4813">
      <formula>B1547&lt;&gt;""</formula>
    </cfRule>
  </conditionalFormatting>
  <conditionalFormatting sqref="B1539:B1543">
    <cfRule type="expression" dxfId="7947" priority="4812">
      <formula>B1539&lt;&gt;""</formula>
    </cfRule>
  </conditionalFormatting>
  <conditionalFormatting sqref="B1539">
    <cfRule type="expression" dxfId="7946" priority="4811">
      <formula>B1539&lt;&gt;""</formula>
    </cfRule>
  </conditionalFormatting>
  <conditionalFormatting sqref="B1543">
    <cfRule type="expression" dxfId="7945" priority="4810">
      <formula>B1539&lt;&gt;""</formula>
    </cfRule>
  </conditionalFormatting>
  <conditionalFormatting sqref="F1539:F1543">
    <cfRule type="expression" dxfId="7944" priority="4806">
      <formula>F1539&lt;&gt;""</formula>
    </cfRule>
  </conditionalFormatting>
  <conditionalFormatting sqref="F1539">
    <cfRule type="expression" dxfId="7943" priority="4805">
      <formula>F1539&lt;&gt;""</formula>
    </cfRule>
  </conditionalFormatting>
  <conditionalFormatting sqref="F1543">
    <cfRule type="expression" dxfId="7942" priority="4804">
      <formula>F1539&lt;&gt;""</formula>
    </cfRule>
  </conditionalFormatting>
  <conditionalFormatting sqref="H1539:H1543">
    <cfRule type="expression" dxfId="7941" priority="4803">
      <formula>H1539&lt;&gt;""</formula>
    </cfRule>
  </conditionalFormatting>
  <conditionalFormatting sqref="H1539">
    <cfRule type="expression" dxfId="7940" priority="4802">
      <formula>H1539&lt;&gt;""</formula>
    </cfRule>
  </conditionalFormatting>
  <conditionalFormatting sqref="H1543">
    <cfRule type="expression" dxfId="7939" priority="4801">
      <formula>H1539&lt;&gt;""</formula>
    </cfRule>
  </conditionalFormatting>
  <conditionalFormatting sqref="F1531:F1535">
    <cfRule type="expression" dxfId="7938" priority="4800">
      <formula>F1531&lt;&gt;""</formula>
    </cfRule>
  </conditionalFormatting>
  <conditionalFormatting sqref="F1531">
    <cfRule type="expression" dxfId="7937" priority="4799">
      <formula>F1531&lt;&gt;""</formula>
    </cfRule>
  </conditionalFormatting>
  <conditionalFormatting sqref="F1535">
    <cfRule type="expression" dxfId="7936" priority="4798">
      <formula>F1531&lt;&gt;""</formula>
    </cfRule>
  </conditionalFormatting>
  <conditionalFormatting sqref="E1531:E1535">
    <cfRule type="expression" dxfId="7935" priority="4797">
      <formula>F1531&lt;&gt;""</formula>
    </cfRule>
  </conditionalFormatting>
  <conditionalFormatting sqref="G1531:G1535">
    <cfRule type="expression" dxfId="7934" priority="4796">
      <formula>H1531&lt;&gt;""</formula>
    </cfRule>
  </conditionalFormatting>
  <conditionalFormatting sqref="I1531:I1535">
    <cfRule type="expression" dxfId="7933" priority="4795">
      <formula>B1539&lt;&gt;""</formula>
    </cfRule>
  </conditionalFormatting>
  <conditionalFormatting sqref="H1531:H1535">
    <cfRule type="expression" dxfId="7932" priority="4794">
      <formula>H1531&lt;&gt;""</formula>
    </cfRule>
  </conditionalFormatting>
  <conditionalFormatting sqref="H1531">
    <cfRule type="expression" dxfId="7931" priority="4793">
      <formula>H1531&lt;&gt;""</formula>
    </cfRule>
  </conditionalFormatting>
  <conditionalFormatting sqref="H1535">
    <cfRule type="expression" dxfId="7930" priority="4792">
      <formula>H1531&lt;&gt;""</formula>
    </cfRule>
  </conditionalFormatting>
  <conditionalFormatting sqref="I1544:I1545 C1545:H1545 B1545:B1546">
    <cfRule type="expression" dxfId="7929" priority="4791">
      <formula>$B$1547&lt;&gt;""</formula>
    </cfRule>
  </conditionalFormatting>
  <conditionalFormatting sqref="B1547:B1551">
    <cfRule type="expression" dxfId="7928" priority="4790">
      <formula>B1547&lt;&gt;""</formula>
    </cfRule>
  </conditionalFormatting>
  <conditionalFormatting sqref="B1547">
    <cfRule type="expression" dxfId="7927" priority="4789">
      <formula>B1547&lt;&gt;""</formula>
    </cfRule>
  </conditionalFormatting>
  <conditionalFormatting sqref="B1551">
    <cfRule type="expression" dxfId="7926" priority="4788">
      <formula>B1547&lt;&gt;""</formula>
    </cfRule>
  </conditionalFormatting>
  <conditionalFormatting sqref="F1547:F1551">
    <cfRule type="expression" dxfId="7925" priority="4784">
      <formula>F1547&lt;&gt;""</formula>
    </cfRule>
  </conditionalFormatting>
  <conditionalFormatting sqref="F1547">
    <cfRule type="expression" dxfId="7924" priority="4783">
      <formula>F1547&lt;&gt;""</formula>
    </cfRule>
  </conditionalFormatting>
  <conditionalFormatting sqref="F1551">
    <cfRule type="expression" dxfId="7923" priority="4782">
      <formula>F1547&lt;&gt;""</formula>
    </cfRule>
  </conditionalFormatting>
  <conditionalFormatting sqref="C1547:C1551">
    <cfRule type="expression" dxfId="7922" priority="4781">
      <formula>D1547&lt;&gt;""</formula>
    </cfRule>
  </conditionalFormatting>
  <conditionalFormatting sqref="E1547:E1551">
    <cfRule type="expression" dxfId="7921" priority="4780">
      <formula>F1547&lt;&gt;""</formula>
    </cfRule>
  </conditionalFormatting>
  <conditionalFormatting sqref="G1547:G1551">
    <cfRule type="expression" dxfId="7920" priority="4779">
      <formula>H1547&lt;&gt;""</formula>
    </cfRule>
  </conditionalFormatting>
  <conditionalFormatting sqref="H1547:H1551">
    <cfRule type="expression" dxfId="7919" priority="4778">
      <formula>H1547&lt;&gt;""</formula>
    </cfRule>
  </conditionalFormatting>
  <conditionalFormatting sqref="H1547">
    <cfRule type="expression" dxfId="7918" priority="4777">
      <formula>H1547&lt;&gt;""</formula>
    </cfRule>
  </conditionalFormatting>
  <conditionalFormatting sqref="H1551">
    <cfRule type="expression" dxfId="7917" priority="4776">
      <formula>H1547&lt;&gt;""</formula>
    </cfRule>
  </conditionalFormatting>
  <conditionalFormatting sqref="D1519:D1523">
    <cfRule type="expression" dxfId="7916" priority="4745">
      <formula>D1519&lt;&gt;""</formula>
    </cfRule>
  </conditionalFormatting>
  <conditionalFormatting sqref="D1519">
    <cfRule type="expression" dxfId="7915" priority="4744">
      <formula>D1519&lt;&gt;""</formula>
    </cfRule>
  </conditionalFormatting>
  <conditionalFormatting sqref="D1523">
    <cfRule type="expression" dxfId="7914" priority="4743">
      <formula>D1519&lt;&gt;""</formula>
    </cfRule>
  </conditionalFormatting>
  <conditionalFormatting sqref="I1508:I1509 C1509:H1509 B1509:B1510">
    <cfRule type="expression" dxfId="7913" priority="4733">
      <formula>$B$1511&lt;&gt;""</formula>
    </cfRule>
  </conditionalFormatting>
  <conditionalFormatting sqref="D1511:D1515">
    <cfRule type="expression" dxfId="7912" priority="4767">
      <formula>D1511&lt;&gt;""</formula>
    </cfRule>
  </conditionalFormatting>
  <conditionalFormatting sqref="D1511">
    <cfRule type="expression" dxfId="7911" priority="4766">
      <formula>D1511&lt;&gt;""</formula>
    </cfRule>
  </conditionalFormatting>
  <conditionalFormatting sqref="D1515">
    <cfRule type="expression" dxfId="7910" priority="4765">
      <formula>D1511&lt;&gt;""</formula>
    </cfRule>
  </conditionalFormatting>
  <conditionalFormatting sqref="C1511:C1515">
    <cfRule type="expression" dxfId="7909" priority="4774">
      <formula>D1511&lt;&gt;""</formula>
    </cfRule>
  </conditionalFormatting>
  <conditionalFormatting sqref="E1511:E1515">
    <cfRule type="expression" dxfId="7908" priority="4773">
      <formula>F1511&lt;&gt;""</formula>
    </cfRule>
  </conditionalFormatting>
  <conditionalFormatting sqref="G1511:G1515">
    <cfRule type="expression" dxfId="7907" priority="4772">
      <formula>H1511&lt;&gt;""</formula>
    </cfRule>
  </conditionalFormatting>
  <conditionalFormatting sqref="I1511:I1515">
    <cfRule type="expression" dxfId="7906" priority="4771">
      <formula>B1519&lt;&gt;""</formula>
    </cfRule>
  </conditionalFormatting>
  <conditionalFormatting sqref="B1511:B1515">
    <cfRule type="expression" dxfId="7905" priority="4770">
      <formula>B1511&lt;&gt;""</formula>
    </cfRule>
  </conditionalFormatting>
  <conditionalFormatting sqref="B1511">
    <cfRule type="expression" dxfId="7904" priority="4769">
      <formula>B1511&lt;&gt;""</formula>
    </cfRule>
  </conditionalFormatting>
  <conditionalFormatting sqref="B1515">
    <cfRule type="expression" dxfId="7903" priority="4768">
      <formula>B1511&lt;&gt;""</formula>
    </cfRule>
  </conditionalFormatting>
  <conditionalFormatting sqref="F1511:F1515">
    <cfRule type="expression" dxfId="7902" priority="4764">
      <formula>F1511&lt;&gt;""</formula>
    </cfRule>
  </conditionalFormatting>
  <conditionalFormatting sqref="F1511">
    <cfRule type="expression" dxfId="7901" priority="4763">
      <formula>F1511&lt;&gt;""</formula>
    </cfRule>
  </conditionalFormatting>
  <conditionalFormatting sqref="F1515">
    <cfRule type="expression" dxfId="7900" priority="4762">
      <formula>F1511&lt;&gt;""</formula>
    </cfRule>
  </conditionalFormatting>
  <conditionalFormatting sqref="H1511:H1515">
    <cfRule type="expression" dxfId="7899" priority="4761">
      <formula>H1511&lt;&gt;""</formula>
    </cfRule>
  </conditionalFormatting>
  <conditionalFormatting sqref="H1511">
    <cfRule type="expression" dxfId="7898" priority="4760">
      <formula>H1511&lt;&gt;""</formula>
    </cfRule>
  </conditionalFormatting>
  <conditionalFormatting sqref="H1515">
    <cfRule type="expression" dxfId="7897" priority="4759">
      <formula>H1511&lt;&gt;""</formula>
    </cfRule>
  </conditionalFormatting>
  <conditionalFormatting sqref="F1503:F1507">
    <cfRule type="expression" dxfId="7896" priority="4758">
      <formula>F1503&lt;&gt;""</formula>
    </cfRule>
  </conditionalFormatting>
  <conditionalFormatting sqref="F1503">
    <cfRule type="expression" dxfId="7895" priority="4757">
      <formula>F1503&lt;&gt;""</formula>
    </cfRule>
  </conditionalFormatting>
  <conditionalFormatting sqref="F1507">
    <cfRule type="expression" dxfId="7894" priority="4756">
      <formula>F1503&lt;&gt;""</formula>
    </cfRule>
  </conditionalFormatting>
  <conditionalFormatting sqref="E1503:E1507">
    <cfRule type="expression" dxfId="7893" priority="4755">
      <formula>F1503&lt;&gt;""</formula>
    </cfRule>
  </conditionalFormatting>
  <conditionalFormatting sqref="G1503:G1507">
    <cfRule type="expression" dxfId="7892" priority="4754">
      <formula>H1503&lt;&gt;""</formula>
    </cfRule>
  </conditionalFormatting>
  <conditionalFormatting sqref="I1503:I1507">
    <cfRule type="expression" dxfId="7891" priority="4753">
      <formula>B1511&lt;&gt;""</formula>
    </cfRule>
  </conditionalFormatting>
  <conditionalFormatting sqref="H1503:H1507">
    <cfRule type="expression" dxfId="7890" priority="4752">
      <formula>H1503&lt;&gt;""</formula>
    </cfRule>
  </conditionalFormatting>
  <conditionalFormatting sqref="H1503">
    <cfRule type="expression" dxfId="7889" priority="4751">
      <formula>H1503&lt;&gt;""</formula>
    </cfRule>
  </conditionalFormatting>
  <conditionalFormatting sqref="H1507">
    <cfRule type="expression" dxfId="7888" priority="4750">
      <formula>H1503&lt;&gt;""</formula>
    </cfRule>
  </conditionalFormatting>
  <conditionalFormatting sqref="I1516:I1517 C1517:H1517 B1517:B1518">
    <cfRule type="expression" dxfId="7887" priority="4749">
      <formula>$B$1519&lt;&gt;""</formula>
    </cfRule>
  </conditionalFormatting>
  <conditionalFormatting sqref="B1519:B1523">
    <cfRule type="expression" dxfId="7886" priority="4748">
      <formula>B1519&lt;&gt;""</formula>
    </cfRule>
  </conditionalFormatting>
  <conditionalFormatting sqref="B1519">
    <cfRule type="expression" dxfId="7885" priority="4747">
      <formula>B1519&lt;&gt;""</formula>
    </cfRule>
  </conditionalFormatting>
  <conditionalFormatting sqref="B1523">
    <cfRule type="expression" dxfId="7884" priority="4746">
      <formula>B1519&lt;&gt;""</formula>
    </cfRule>
  </conditionalFormatting>
  <conditionalFormatting sqref="F1519:F1523">
    <cfRule type="expression" dxfId="7883" priority="4742">
      <formula>F1519&lt;&gt;""</formula>
    </cfRule>
  </conditionalFormatting>
  <conditionalFormatting sqref="F1519">
    <cfRule type="expression" dxfId="7882" priority="4741">
      <formula>F1519&lt;&gt;""</formula>
    </cfRule>
  </conditionalFormatting>
  <conditionalFormatting sqref="F1523">
    <cfRule type="expression" dxfId="7881" priority="4740">
      <formula>F1519&lt;&gt;""</formula>
    </cfRule>
  </conditionalFormatting>
  <conditionalFormatting sqref="C1519:C1523">
    <cfRule type="expression" dxfId="7880" priority="4739">
      <formula>D1519&lt;&gt;""</formula>
    </cfRule>
  </conditionalFormatting>
  <conditionalFormatting sqref="E1519:E1523">
    <cfRule type="expression" dxfId="7879" priority="4738">
      <formula>F1519&lt;&gt;""</formula>
    </cfRule>
  </conditionalFormatting>
  <conditionalFormatting sqref="G1519:G1523">
    <cfRule type="expression" dxfId="7878" priority="4737">
      <formula>H1519&lt;&gt;""</formula>
    </cfRule>
  </conditionalFormatting>
  <conditionalFormatting sqref="H1519:H1523">
    <cfRule type="expression" dxfId="7877" priority="4736">
      <formula>H1519&lt;&gt;""</formula>
    </cfRule>
  </conditionalFormatting>
  <conditionalFormatting sqref="H1519">
    <cfRule type="expression" dxfId="7876" priority="4735">
      <formula>H1519&lt;&gt;""</formula>
    </cfRule>
  </conditionalFormatting>
  <conditionalFormatting sqref="H1523">
    <cfRule type="expression" dxfId="7875" priority="4734">
      <formula>H1519&lt;&gt;""</formula>
    </cfRule>
  </conditionalFormatting>
  <conditionalFormatting sqref="D1491:D1495">
    <cfRule type="expression" dxfId="7874" priority="4703">
      <formula>D1491&lt;&gt;""</formula>
    </cfRule>
  </conditionalFormatting>
  <conditionalFormatting sqref="D1491">
    <cfRule type="expression" dxfId="7873" priority="4702">
      <formula>D1491&lt;&gt;""</formula>
    </cfRule>
  </conditionalFormatting>
  <conditionalFormatting sqref="D1495">
    <cfRule type="expression" dxfId="7872" priority="4701">
      <formula>D1491&lt;&gt;""</formula>
    </cfRule>
  </conditionalFormatting>
  <conditionalFormatting sqref="I1480:I1481 C1481:H1481 B1481:B1482">
    <cfRule type="expression" dxfId="7871" priority="4691">
      <formula>$B$1483&lt;&gt;""</formula>
    </cfRule>
  </conditionalFormatting>
  <conditionalFormatting sqref="D1483:D1487">
    <cfRule type="expression" dxfId="7870" priority="4725">
      <formula>D1483&lt;&gt;""</formula>
    </cfRule>
  </conditionalFormatting>
  <conditionalFormatting sqref="D1483">
    <cfRule type="expression" dxfId="7869" priority="4724">
      <formula>D1483&lt;&gt;""</formula>
    </cfRule>
  </conditionalFormatting>
  <conditionalFormatting sqref="D1487">
    <cfRule type="expression" dxfId="7868" priority="4723">
      <formula>D1483&lt;&gt;""</formula>
    </cfRule>
  </conditionalFormatting>
  <conditionalFormatting sqref="C1483:C1487">
    <cfRule type="expression" dxfId="7867" priority="4732">
      <formula>D1483&lt;&gt;""</formula>
    </cfRule>
  </conditionalFormatting>
  <conditionalFormatting sqref="E1483:E1487">
    <cfRule type="expression" dxfId="7866" priority="4731">
      <formula>F1483&lt;&gt;""</formula>
    </cfRule>
  </conditionalFormatting>
  <conditionalFormatting sqref="G1483:G1487">
    <cfRule type="expression" dxfId="7865" priority="4730">
      <formula>H1483&lt;&gt;""</formula>
    </cfRule>
  </conditionalFormatting>
  <conditionalFormatting sqref="I1483:I1487">
    <cfRule type="expression" dxfId="7864" priority="4729">
      <formula>B1491&lt;&gt;""</formula>
    </cfRule>
  </conditionalFormatting>
  <conditionalFormatting sqref="B1483:B1487">
    <cfRule type="expression" dxfId="7863" priority="4728">
      <formula>B1483&lt;&gt;""</formula>
    </cfRule>
  </conditionalFormatting>
  <conditionalFormatting sqref="B1483">
    <cfRule type="expression" dxfId="7862" priority="4727">
      <formula>B1483&lt;&gt;""</formula>
    </cfRule>
  </conditionalFormatting>
  <conditionalFormatting sqref="B1487">
    <cfRule type="expression" dxfId="7861" priority="4726">
      <formula>B1483&lt;&gt;""</formula>
    </cfRule>
  </conditionalFormatting>
  <conditionalFormatting sqref="F1483:F1487">
    <cfRule type="expression" dxfId="7860" priority="4722">
      <formula>F1483&lt;&gt;""</formula>
    </cfRule>
  </conditionalFormatting>
  <conditionalFormatting sqref="F1483">
    <cfRule type="expression" dxfId="7859" priority="4721">
      <formula>F1483&lt;&gt;""</formula>
    </cfRule>
  </conditionalFormatting>
  <conditionalFormatting sqref="F1487">
    <cfRule type="expression" dxfId="7858" priority="4720">
      <formula>F1483&lt;&gt;""</formula>
    </cfRule>
  </conditionalFormatting>
  <conditionalFormatting sqref="H1483:H1487">
    <cfRule type="expression" dxfId="7857" priority="4719">
      <formula>H1483&lt;&gt;""</formula>
    </cfRule>
  </conditionalFormatting>
  <conditionalFormatting sqref="H1483">
    <cfRule type="expression" dxfId="7856" priority="4718">
      <formula>H1483&lt;&gt;""</formula>
    </cfRule>
  </conditionalFormatting>
  <conditionalFormatting sqref="H1487">
    <cfRule type="expression" dxfId="7855" priority="4717">
      <formula>H1483&lt;&gt;""</formula>
    </cfRule>
  </conditionalFormatting>
  <conditionalFormatting sqref="F1475:F1479">
    <cfRule type="expression" dxfId="7854" priority="4716">
      <formula>F1475&lt;&gt;""</formula>
    </cfRule>
  </conditionalFormatting>
  <conditionalFormatting sqref="F1475">
    <cfRule type="expression" dxfId="7853" priority="4715">
      <formula>F1475&lt;&gt;""</formula>
    </cfRule>
  </conditionalFormatting>
  <conditionalFormatting sqref="F1479">
    <cfRule type="expression" dxfId="7852" priority="4714">
      <formula>F1475&lt;&gt;""</formula>
    </cfRule>
  </conditionalFormatting>
  <conditionalFormatting sqref="E1475:E1479">
    <cfRule type="expression" dxfId="7851" priority="4713">
      <formula>F1475&lt;&gt;""</formula>
    </cfRule>
  </conditionalFormatting>
  <conditionalFormatting sqref="G1475:G1479">
    <cfRule type="expression" dxfId="7850" priority="4712">
      <formula>H1475&lt;&gt;""</formula>
    </cfRule>
  </conditionalFormatting>
  <conditionalFormatting sqref="I1475:I1479">
    <cfRule type="expression" dxfId="7849" priority="4711">
      <formula>B1483&lt;&gt;""</formula>
    </cfRule>
  </conditionalFormatting>
  <conditionalFormatting sqref="H1475:H1479">
    <cfRule type="expression" dxfId="7848" priority="4710">
      <formula>H1475&lt;&gt;""</formula>
    </cfRule>
  </conditionalFormatting>
  <conditionalFormatting sqref="H1475">
    <cfRule type="expression" dxfId="7847" priority="4709">
      <formula>H1475&lt;&gt;""</formula>
    </cfRule>
  </conditionalFormatting>
  <conditionalFormatting sqref="H1479">
    <cfRule type="expression" dxfId="7846" priority="4708">
      <formula>H1475&lt;&gt;""</formula>
    </cfRule>
  </conditionalFormatting>
  <conditionalFormatting sqref="I1488:I1489 C1489:H1489 B1489:B1490">
    <cfRule type="expression" dxfId="7845" priority="4707">
      <formula>$B$1491&lt;&gt;""</formula>
    </cfRule>
  </conditionalFormatting>
  <conditionalFormatting sqref="B1491:B1495">
    <cfRule type="expression" dxfId="7844" priority="4706">
      <formula>B1491&lt;&gt;""</formula>
    </cfRule>
  </conditionalFormatting>
  <conditionalFormatting sqref="B1491">
    <cfRule type="expression" dxfId="7843" priority="4705">
      <formula>B1491&lt;&gt;""</formula>
    </cfRule>
  </conditionalFormatting>
  <conditionalFormatting sqref="B1495">
    <cfRule type="expression" dxfId="7842" priority="4704">
      <formula>B1491&lt;&gt;""</formula>
    </cfRule>
  </conditionalFormatting>
  <conditionalFormatting sqref="F1491:F1495">
    <cfRule type="expression" dxfId="7841" priority="4700">
      <formula>F1491&lt;&gt;""</formula>
    </cfRule>
  </conditionalFormatting>
  <conditionalFormatting sqref="F1491">
    <cfRule type="expression" dxfId="7840" priority="4699">
      <formula>F1491&lt;&gt;""</formula>
    </cfRule>
  </conditionalFormatting>
  <conditionalFormatting sqref="F1495">
    <cfRule type="expression" dxfId="7839" priority="4698">
      <formula>F1491&lt;&gt;""</formula>
    </cfRule>
  </conditionalFormatting>
  <conditionalFormatting sqref="C1491:C1495">
    <cfRule type="expression" dxfId="7838" priority="4697">
      <formula>D1491&lt;&gt;""</formula>
    </cfRule>
  </conditionalFormatting>
  <conditionalFormatting sqref="E1491:E1495">
    <cfRule type="expression" dxfId="7837" priority="4696">
      <formula>F1491&lt;&gt;""</formula>
    </cfRule>
  </conditionalFormatting>
  <conditionalFormatting sqref="G1491:G1495">
    <cfRule type="expression" dxfId="7836" priority="4695">
      <formula>H1491&lt;&gt;""</formula>
    </cfRule>
  </conditionalFormatting>
  <conditionalFormatting sqref="H1491:H1495">
    <cfRule type="expression" dxfId="7835" priority="4694">
      <formula>H1491&lt;&gt;""</formula>
    </cfRule>
  </conditionalFormatting>
  <conditionalFormatting sqref="H1491">
    <cfRule type="expression" dxfId="7834" priority="4693">
      <formula>H1491&lt;&gt;""</formula>
    </cfRule>
  </conditionalFormatting>
  <conditionalFormatting sqref="H1495">
    <cfRule type="expression" dxfId="7833" priority="4692">
      <formula>H1491&lt;&gt;""</formula>
    </cfRule>
  </conditionalFormatting>
  <conditionalFormatting sqref="D1463:D1467">
    <cfRule type="expression" dxfId="7832" priority="4661">
      <formula>D1463&lt;&gt;""</formula>
    </cfRule>
  </conditionalFormatting>
  <conditionalFormatting sqref="D1463">
    <cfRule type="expression" dxfId="7831" priority="4660">
      <formula>D1463&lt;&gt;""</formula>
    </cfRule>
  </conditionalFormatting>
  <conditionalFormatting sqref="D1467">
    <cfRule type="expression" dxfId="7830" priority="4659">
      <formula>D1463&lt;&gt;""</formula>
    </cfRule>
  </conditionalFormatting>
  <conditionalFormatting sqref="I1452:I1453 C1453:H1453 B1453:B1454">
    <cfRule type="expression" dxfId="7829" priority="4649">
      <formula>$B$1455&lt;&gt;""</formula>
    </cfRule>
  </conditionalFormatting>
  <conditionalFormatting sqref="D1455:D1459">
    <cfRule type="expression" dxfId="7828" priority="4683">
      <formula>D1455&lt;&gt;""</formula>
    </cfRule>
  </conditionalFormatting>
  <conditionalFormatting sqref="D1455">
    <cfRule type="expression" dxfId="7827" priority="4682">
      <formula>D1455&lt;&gt;""</formula>
    </cfRule>
  </conditionalFormatting>
  <conditionalFormatting sqref="D1459">
    <cfRule type="expression" dxfId="7826" priority="4681">
      <formula>D1455&lt;&gt;""</formula>
    </cfRule>
  </conditionalFormatting>
  <conditionalFormatting sqref="C1455:C1459">
    <cfRule type="expression" dxfId="7825" priority="4690">
      <formula>D1455&lt;&gt;""</formula>
    </cfRule>
  </conditionalFormatting>
  <conditionalFormatting sqref="E1455:E1459">
    <cfRule type="expression" dxfId="7824" priority="4689">
      <formula>F1455&lt;&gt;""</formula>
    </cfRule>
  </conditionalFormatting>
  <conditionalFormatting sqref="G1455:G1459">
    <cfRule type="expression" dxfId="7823" priority="4688">
      <formula>H1455&lt;&gt;""</formula>
    </cfRule>
  </conditionalFormatting>
  <conditionalFormatting sqref="I1455:I1459">
    <cfRule type="expression" dxfId="7822" priority="4687">
      <formula>B1463&lt;&gt;""</formula>
    </cfRule>
  </conditionalFormatting>
  <conditionalFormatting sqref="B1455:B1459">
    <cfRule type="expression" dxfId="7821" priority="4686">
      <formula>B1455&lt;&gt;""</formula>
    </cfRule>
  </conditionalFormatting>
  <conditionalFormatting sqref="B1455">
    <cfRule type="expression" dxfId="7820" priority="4685">
      <formula>B1455&lt;&gt;""</formula>
    </cfRule>
  </conditionalFormatting>
  <conditionalFormatting sqref="B1459">
    <cfRule type="expression" dxfId="7819" priority="4684">
      <formula>B1455&lt;&gt;""</formula>
    </cfRule>
  </conditionalFormatting>
  <conditionalFormatting sqref="F1455:F1459">
    <cfRule type="expression" dxfId="7818" priority="4680">
      <formula>F1455&lt;&gt;""</formula>
    </cfRule>
  </conditionalFormatting>
  <conditionalFormatting sqref="F1455">
    <cfRule type="expression" dxfId="7817" priority="4679">
      <formula>F1455&lt;&gt;""</formula>
    </cfRule>
  </conditionalFormatting>
  <conditionalFormatting sqref="F1459">
    <cfRule type="expression" dxfId="7816" priority="4678">
      <formula>F1455&lt;&gt;""</formula>
    </cfRule>
  </conditionalFormatting>
  <conditionalFormatting sqref="H1455:H1459">
    <cfRule type="expression" dxfId="7815" priority="4677">
      <formula>H1455&lt;&gt;""</formula>
    </cfRule>
  </conditionalFormatting>
  <conditionalFormatting sqref="H1455">
    <cfRule type="expression" dxfId="7814" priority="4676">
      <formula>H1455&lt;&gt;""</formula>
    </cfRule>
  </conditionalFormatting>
  <conditionalFormatting sqref="H1459">
    <cfRule type="expression" dxfId="7813" priority="4675">
      <formula>H1455&lt;&gt;""</formula>
    </cfRule>
  </conditionalFormatting>
  <conditionalFormatting sqref="F1447:F1451">
    <cfRule type="expression" dxfId="7812" priority="4674">
      <formula>F1447&lt;&gt;""</formula>
    </cfRule>
  </conditionalFormatting>
  <conditionalFormatting sqref="F1447">
    <cfRule type="expression" dxfId="7811" priority="4673">
      <formula>F1447&lt;&gt;""</formula>
    </cfRule>
  </conditionalFormatting>
  <conditionalFormatting sqref="F1451">
    <cfRule type="expression" dxfId="7810" priority="4672">
      <formula>F1447&lt;&gt;""</formula>
    </cfRule>
  </conditionalFormatting>
  <conditionalFormatting sqref="E1447:E1451">
    <cfRule type="expression" dxfId="7809" priority="4671">
      <formula>F1447&lt;&gt;""</formula>
    </cfRule>
  </conditionalFormatting>
  <conditionalFormatting sqref="G1447:G1451">
    <cfRule type="expression" dxfId="7808" priority="4670">
      <formula>H1447&lt;&gt;""</formula>
    </cfRule>
  </conditionalFormatting>
  <conditionalFormatting sqref="I1447:I1451">
    <cfRule type="expression" dxfId="7807" priority="4669">
      <formula>B1455&lt;&gt;""</formula>
    </cfRule>
  </conditionalFormatting>
  <conditionalFormatting sqref="H1447:H1451">
    <cfRule type="expression" dxfId="7806" priority="4668">
      <formula>H1447&lt;&gt;""</formula>
    </cfRule>
  </conditionalFormatting>
  <conditionalFormatting sqref="H1447">
    <cfRule type="expression" dxfId="7805" priority="4667">
      <formula>H1447&lt;&gt;""</formula>
    </cfRule>
  </conditionalFormatting>
  <conditionalFormatting sqref="H1451">
    <cfRule type="expression" dxfId="7804" priority="4666">
      <formula>H1447&lt;&gt;""</formula>
    </cfRule>
  </conditionalFormatting>
  <conditionalFormatting sqref="I1460:I1461 C1461:H1461 B1461:B1462">
    <cfRule type="expression" dxfId="7803" priority="4665">
      <formula>$B$1463&lt;&gt;""</formula>
    </cfRule>
  </conditionalFormatting>
  <conditionalFormatting sqref="B1463:B1467">
    <cfRule type="expression" dxfId="7802" priority="4664">
      <formula>B1463&lt;&gt;""</formula>
    </cfRule>
  </conditionalFormatting>
  <conditionalFormatting sqref="B1463">
    <cfRule type="expression" dxfId="7801" priority="4663">
      <formula>B1463&lt;&gt;""</formula>
    </cfRule>
  </conditionalFormatting>
  <conditionalFormatting sqref="B1467">
    <cfRule type="expression" dxfId="7800" priority="4662">
      <formula>B1463&lt;&gt;""</formula>
    </cfRule>
  </conditionalFormatting>
  <conditionalFormatting sqref="F1463:F1467">
    <cfRule type="expression" dxfId="7799" priority="4658">
      <formula>F1463&lt;&gt;""</formula>
    </cfRule>
  </conditionalFormatting>
  <conditionalFormatting sqref="F1463">
    <cfRule type="expression" dxfId="7798" priority="4657">
      <formula>F1463&lt;&gt;""</formula>
    </cfRule>
  </conditionalFormatting>
  <conditionalFormatting sqref="F1467">
    <cfRule type="expression" dxfId="7797" priority="4656">
      <formula>F1463&lt;&gt;""</formula>
    </cfRule>
  </conditionalFormatting>
  <conditionalFormatting sqref="C1463:C1467">
    <cfRule type="expression" dxfId="7796" priority="4655">
      <formula>D1463&lt;&gt;""</formula>
    </cfRule>
  </conditionalFormatting>
  <conditionalFormatting sqref="E1463:E1467">
    <cfRule type="expression" dxfId="7795" priority="4654">
      <formula>F1463&lt;&gt;""</formula>
    </cfRule>
  </conditionalFormatting>
  <conditionalFormatting sqref="G1463:G1467">
    <cfRule type="expression" dxfId="7794" priority="4653">
      <formula>H1463&lt;&gt;""</formula>
    </cfRule>
  </conditionalFormatting>
  <conditionalFormatting sqref="H1463:H1467">
    <cfRule type="expression" dxfId="7793" priority="4652">
      <formula>H1463&lt;&gt;""</formula>
    </cfRule>
  </conditionalFormatting>
  <conditionalFormatting sqref="H1463">
    <cfRule type="expression" dxfId="7792" priority="4651">
      <formula>H1463&lt;&gt;""</formula>
    </cfRule>
  </conditionalFormatting>
  <conditionalFormatting sqref="H1467">
    <cfRule type="expression" dxfId="7791" priority="4650">
      <formula>H1463&lt;&gt;""</formula>
    </cfRule>
  </conditionalFormatting>
  <conditionalFormatting sqref="D1435:D1439">
    <cfRule type="expression" dxfId="7790" priority="4619">
      <formula>D1435&lt;&gt;""</formula>
    </cfRule>
  </conditionalFormatting>
  <conditionalFormatting sqref="D1435">
    <cfRule type="expression" dxfId="7789" priority="4618">
      <formula>D1435&lt;&gt;""</formula>
    </cfRule>
  </conditionalFormatting>
  <conditionalFormatting sqref="D1439">
    <cfRule type="expression" dxfId="7788" priority="4617">
      <formula>D1435&lt;&gt;""</formula>
    </cfRule>
  </conditionalFormatting>
  <conditionalFormatting sqref="I1424:I1425 C1425:H1425 B1425:B1426">
    <cfRule type="expression" dxfId="7787" priority="4607">
      <formula>$B$1427&lt;&gt;""</formula>
    </cfRule>
  </conditionalFormatting>
  <conditionalFormatting sqref="D1427:D1431">
    <cfRule type="expression" dxfId="7786" priority="4641">
      <formula>D1427&lt;&gt;""</formula>
    </cfRule>
  </conditionalFormatting>
  <conditionalFormatting sqref="D1427">
    <cfRule type="expression" dxfId="7785" priority="4640">
      <formula>D1427&lt;&gt;""</formula>
    </cfRule>
  </conditionalFormatting>
  <conditionalFormatting sqref="D1431">
    <cfRule type="expression" dxfId="7784" priority="4639">
      <formula>D1427&lt;&gt;""</formula>
    </cfRule>
  </conditionalFormatting>
  <conditionalFormatting sqref="C1427:C1431">
    <cfRule type="expression" dxfId="7783" priority="4648">
      <formula>D1427&lt;&gt;""</formula>
    </cfRule>
  </conditionalFormatting>
  <conditionalFormatting sqref="E1427:E1431">
    <cfRule type="expression" dxfId="7782" priority="4647">
      <formula>F1427&lt;&gt;""</formula>
    </cfRule>
  </conditionalFormatting>
  <conditionalFormatting sqref="G1427:G1431">
    <cfRule type="expression" dxfId="7781" priority="4646">
      <formula>H1427&lt;&gt;""</formula>
    </cfRule>
  </conditionalFormatting>
  <conditionalFormatting sqref="I1427:I1431">
    <cfRule type="expression" dxfId="7780" priority="4645">
      <formula>B1435&lt;&gt;""</formula>
    </cfRule>
  </conditionalFormatting>
  <conditionalFormatting sqref="B1427:B1431">
    <cfRule type="expression" dxfId="7779" priority="4644">
      <formula>B1427&lt;&gt;""</formula>
    </cfRule>
  </conditionalFormatting>
  <conditionalFormatting sqref="B1427">
    <cfRule type="expression" dxfId="7778" priority="4643">
      <formula>B1427&lt;&gt;""</formula>
    </cfRule>
  </conditionalFormatting>
  <conditionalFormatting sqref="B1431">
    <cfRule type="expression" dxfId="7777" priority="4642">
      <formula>B1427&lt;&gt;""</formula>
    </cfRule>
  </conditionalFormatting>
  <conditionalFormatting sqref="F1427:F1431">
    <cfRule type="expression" dxfId="7776" priority="4638">
      <formula>F1427&lt;&gt;""</formula>
    </cfRule>
  </conditionalFormatting>
  <conditionalFormatting sqref="F1427">
    <cfRule type="expression" dxfId="7775" priority="4637">
      <formula>F1427&lt;&gt;""</formula>
    </cfRule>
  </conditionalFormatting>
  <conditionalFormatting sqref="F1431">
    <cfRule type="expression" dxfId="7774" priority="4636">
      <formula>F1427&lt;&gt;""</formula>
    </cfRule>
  </conditionalFormatting>
  <conditionalFormatting sqref="H1427:H1431">
    <cfRule type="expression" dxfId="7773" priority="4635">
      <formula>H1427&lt;&gt;""</formula>
    </cfRule>
  </conditionalFormatting>
  <conditionalFormatting sqref="H1427">
    <cfRule type="expression" dxfId="7772" priority="4634">
      <formula>H1427&lt;&gt;""</formula>
    </cfRule>
  </conditionalFormatting>
  <conditionalFormatting sqref="H1431">
    <cfRule type="expression" dxfId="7771" priority="4633">
      <formula>H1427&lt;&gt;""</formula>
    </cfRule>
  </conditionalFormatting>
  <conditionalFormatting sqref="F1419:F1423">
    <cfRule type="expression" dxfId="7770" priority="4632">
      <formula>F1419&lt;&gt;""</formula>
    </cfRule>
  </conditionalFormatting>
  <conditionalFormatting sqref="F1419">
    <cfRule type="expression" dxfId="7769" priority="4631">
      <formula>F1419&lt;&gt;""</formula>
    </cfRule>
  </conditionalFormatting>
  <conditionalFormatting sqref="F1423">
    <cfRule type="expression" dxfId="7768" priority="4630">
      <formula>F1419&lt;&gt;""</formula>
    </cfRule>
  </conditionalFormatting>
  <conditionalFormatting sqref="E1419:E1423">
    <cfRule type="expression" dxfId="7767" priority="4629">
      <formula>F1419&lt;&gt;""</formula>
    </cfRule>
  </conditionalFormatting>
  <conditionalFormatting sqref="G1419:G1423">
    <cfRule type="expression" dxfId="7766" priority="4628">
      <formula>H1419&lt;&gt;""</formula>
    </cfRule>
  </conditionalFormatting>
  <conditionalFormatting sqref="I1419:I1423">
    <cfRule type="expression" dxfId="7765" priority="4627">
      <formula>B1427&lt;&gt;""</formula>
    </cfRule>
  </conditionalFormatting>
  <conditionalFormatting sqref="H1419:H1423">
    <cfRule type="expression" dxfId="7764" priority="4626">
      <formula>H1419&lt;&gt;""</formula>
    </cfRule>
  </conditionalFormatting>
  <conditionalFormatting sqref="H1419">
    <cfRule type="expression" dxfId="7763" priority="4625">
      <formula>H1419&lt;&gt;""</formula>
    </cfRule>
  </conditionalFormatting>
  <conditionalFormatting sqref="H1423">
    <cfRule type="expression" dxfId="7762" priority="4624">
      <formula>H1419&lt;&gt;""</formula>
    </cfRule>
  </conditionalFormatting>
  <conditionalFormatting sqref="I1432:I1433 C1433:H1433 B1433:B1434">
    <cfRule type="expression" dxfId="7761" priority="4623">
      <formula>$B$1435&lt;&gt;""</formula>
    </cfRule>
  </conditionalFormatting>
  <conditionalFormatting sqref="B1435:B1439">
    <cfRule type="expression" dxfId="7760" priority="4622">
      <formula>B1435&lt;&gt;""</formula>
    </cfRule>
  </conditionalFormatting>
  <conditionalFormatting sqref="B1435">
    <cfRule type="expression" dxfId="7759" priority="4621">
      <formula>B1435&lt;&gt;""</formula>
    </cfRule>
  </conditionalFormatting>
  <conditionalFormatting sqref="B1439">
    <cfRule type="expression" dxfId="7758" priority="4620">
      <formula>B1435&lt;&gt;""</formula>
    </cfRule>
  </conditionalFormatting>
  <conditionalFormatting sqref="F1435:F1439">
    <cfRule type="expression" dxfId="7757" priority="4616">
      <formula>F1435&lt;&gt;""</formula>
    </cfRule>
  </conditionalFormatting>
  <conditionalFormatting sqref="F1435">
    <cfRule type="expression" dxfId="7756" priority="4615">
      <formula>F1435&lt;&gt;""</formula>
    </cfRule>
  </conditionalFormatting>
  <conditionalFormatting sqref="F1439">
    <cfRule type="expression" dxfId="7755" priority="4614">
      <formula>F1435&lt;&gt;""</formula>
    </cfRule>
  </conditionalFormatting>
  <conditionalFormatting sqref="C1435:C1439">
    <cfRule type="expression" dxfId="7754" priority="4613">
      <formula>D1435&lt;&gt;""</formula>
    </cfRule>
  </conditionalFormatting>
  <conditionalFormatting sqref="E1435:E1439">
    <cfRule type="expression" dxfId="7753" priority="4612">
      <formula>F1435&lt;&gt;""</formula>
    </cfRule>
  </conditionalFormatting>
  <conditionalFormatting sqref="G1435:G1439">
    <cfRule type="expression" dxfId="7752" priority="4611">
      <formula>H1435&lt;&gt;""</formula>
    </cfRule>
  </conditionalFormatting>
  <conditionalFormatting sqref="H1435:H1439">
    <cfRule type="expression" dxfId="7751" priority="4610">
      <formula>H1435&lt;&gt;""</formula>
    </cfRule>
  </conditionalFormatting>
  <conditionalFormatting sqref="H1435">
    <cfRule type="expression" dxfId="7750" priority="4609">
      <formula>H1435&lt;&gt;""</formula>
    </cfRule>
  </conditionalFormatting>
  <conditionalFormatting sqref="H1439">
    <cfRule type="expression" dxfId="7749" priority="4608">
      <formula>H1435&lt;&gt;""</formula>
    </cfRule>
  </conditionalFormatting>
  <conditionalFormatting sqref="B1419:B1423">
    <cfRule type="expression" dxfId="7748" priority="4606">
      <formula>B1419&lt;&gt;""</formula>
    </cfRule>
  </conditionalFormatting>
  <conditionalFormatting sqref="B1419">
    <cfRule type="expression" dxfId="7747" priority="4605">
      <formula>B1419&lt;&gt;""</formula>
    </cfRule>
  </conditionalFormatting>
  <conditionalFormatting sqref="B1423">
    <cfRule type="expression" dxfId="7746" priority="4604">
      <formula>B1419&lt;&gt;""</formula>
    </cfRule>
  </conditionalFormatting>
  <conditionalFormatting sqref="C1419:C1423">
    <cfRule type="expression" dxfId="7745" priority="4603">
      <formula>D1419&lt;&gt;""</formula>
    </cfRule>
  </conditionalFormatting>
  <conditionalFormatting sqref="D1419:D1423">
    <cfRule type="expression" dxfId="7744" priority="4602">
      <formula>D1419&lt;&gt;""</formula>
    </cfRule>
  </conditionalFormatting>
  <conditionalFormatting sqref="D1419">
    <cfRule type="expression" dxfId="7743" priority="4601">
      <formula>D1419&lt;&gt;""</formula>
    </cfRule>
  </conditionalFormatting>
  <conditionalFormatting sqref="D1423">
    <cfRule type="expression" dxfId="7742" priority="4600">
      <formula>D1419&lt;&gt;""</formula>
    </cfRule>
  </conditionalFormatting>
  <conditionalFormatting sqref="B1447:B1451">
    <cfRule type="expression" dxfId="7741" priority="4599">
      <formula>B1447&lt;&gt;""</formula>
    </cfRule>
  </conditionalFormatting>
  <conditionalFormatting sqref="B1447">
    <cfRule type="expression" dxfId="7740" priority="4598">
      <formula>B1447&lt;&gt;""</formula>
    </cfRule>
  </conditionalFormatting>
  <conditionalFormatting sqref="B1451">
    <cfRule type="expression" dxfId="7739" priority="4597">
      <formula>B1447&lt;&gt;""</formula>
    </cfRule>
  </conditionalFormatting>
  <conditionalFormatting sqref="C1447:C1451">
    <cfRule type="expression" dxfId="7738" priority="4596">
      <formula>D1447&lt;&gt;""</formula>
    </cfRule>
  </conditionalFormatting>
  <conditionalFormatting sqref="D1447:D1451">
    <cfRule type="expression" dxfId="7737" priority="4595">
      <formula>D1447&lt;&gt;""</formula>
    </cfRule>
  </conditionalFormatting>
  <conditionalFormatting sqref="D1447">
    <cfRule type="expression" dxfId="7736" priority="4594">
      <formula>D1447&lt;&gt;""</formula>
    </cfRule>
  </conditionalFormatting>
  <conditionalFormatting sqref="D1451">
    <cfRule type="expression" dxfId="7735" priority="4593">
      <formula>D1447&lt;&gt;""</formula>
    </cfRule>
  </conditionalFormatting>
  <conditionalFormatting sqref="B1475:B1479">
    <cfRule type="expression" dxfId="7734" priority="4592">
      <formula>B1475&lt;&gt;""</formula>
    </cfRule>
  </conditionalFormatting>
  <conditionalFormatting sqref="B1475">
    <cfRule type="expression" dxfId="7733" priority="4591">
      <formula>B1475&lt;&gt;""</formula>
    </cfRule>
  </conditionalFormatting>
  <conditionalFormatting sqref="B1479">
    <cfRule type="expression" dxfId="7732" priority="4590">
      <formula>B1475&lt;&gt;""</formula>
    </cfRule>
  </conditionalFormatting>
  <conditionalFormatting sqref="C1475:C1479">
    <cfRule type="expression" dxfId="7731" priority="4589">
      <formula>D1475&lt;&gt;""</formula>
    </cfRule>
  </conditionalFormatting>
  <conditionalFormatting sqref="D1475:D1479">
    <cfRule type="expression" dxfId="7730" priority="4588">
      <formula>D1475&lt;&gt;""</formula>
    </cfRule>
  </conditionalFormatting>
  <conditionalFormatting sqref="D1475">
    <cfRule type="expression" dxfId="7729" priority="4587">
      <formula>D1475&lt;&gt;""</formula>
    </cfRule>
  </conditionalFormatting>
  <conditionalFormatting sqref="D1479">
    <cfRule type="expression" dxfId="7728" priority="4586">
      <formula>D1475&lt;&gt;""</formula>
    </cfRule>
  </conditionalFormatting>
  <conditionalFormatting sqref="B1503:B1507">
    <cfRule type="expression" dxfId="7727" priority="4585">
      <formula>B1503&lt;&gt;""</formula>
    </cfRule>
  </conditionalFormatting>
  <conditionalFormatting sqref="B1503">
    <cfRule type="expression" dxfId="7726" priority="4584">
      <formula>B1503&lt;&gt;""</formula>
    </cfRule>
  </conditionalFormatting>
  <conditionalFormatting sqref="B1507">
    <cfRule type="expression" dxfId="7725" priority="4583">
      <formula>B1503&lt;&gt;""</formula>
    </cfRule>
  </conditionalFormatting>
  <conditionalFormatting sqref="C1503:C1507">
    <cfRule type="expression" dxfId="7724" priority="4582">
      <formula>D1503&lt;&gt;""</formula>
    </cfRule>
  </conditionalFormatting>
  <conditionalFormatting sqref="D1503:D1507">
    <cfRule type="expression" dxfId="7723" priority="4581">
      <formula>D1503&lt;&gt;""</formula>
    </cfRule>
  </conditionalFormatting>
  <conditionalFormatting sqref="D1503">
    <cfRule type="expression" dxfId="7722" priority="4580">
      <formula>D1503&lt;&gt;""</formula>
    </cfRule>
  </conditionalFormatting>
  <conditionalFormatting sqref="D1507">
    <cfRule type="expression" dxfId="7721" priority="4579">
      <formula>D1503&lt;&gt;""</formula>
    </cfRule>
  </conditionalFormatting>
  <conditionalFormatting sqref="B1531:B1535">
    <cfRule type="expression" dxfId="7720" priority="4578">
      <formula>B1531&lt;&gt;""</formula>
    </cfRule>
  </conditionalFormatting>
  <conditionalFormatting sqref="B1531">
    <cfRule type="expression" dxfId="7719" priority="4577">
      <formula>B1531&lt;&gt;""</formula>
    </cfRule>
  </conditionalFormatting>
  <conditionalFormatting sqref="B1535">
    <cfRule type="expression" dxfId="7718" priority="4576">
      <formula>B1531&lt;&gt;""</formula>
    </cfRule>
  </conditionalFormatting>
  <conditionalFormatting sqref="C1531:C1535">
    <cfRule type="expression" dxfId="7717" priority="4575">
      <formula>D1531&lt;&gt;""</formula>
    </cfRule>
  </conditionalFormatting>
  <conditionalFormatting sqref="D1531:D1535">
    <cfRule type="expression" dxfId="7716" priority="4574">
      <formula>D1531&lt;&gt;""</formula>
    </cfRule>
  </conditionalFormatting>
  <conditionalFormatting sqref="D1531">
    <cfRule type="expression" dxfId="7715" priority="4573">
      <formula>D1531&lt;&gt;""</formula>
    </cfRule>
  </conditionalFormatting>
  <conditionalFormatting sqref="D1535">
    <cfRule type="expression" dxfId="7714" priority="4572">
      <formula>D1531&lt;&gt;""</formula>
    </cfRule>
  </conditionalFormatting>
  <conditionalFormatting sqref="B1559:B1563">
    <cfRule type="expression" dxfId="7713" priority="4571">
      <formula>B1559&lt;&gt;""</formula>
    </cfRule>
  </conditionalFormatting>
  <conditionalFormatting sqref="B1559">
    <cfRule type="expression" dxfId="7712" priority="4570">
      <formula>B1559&lt;&gt;""</formula>
    </cfRule>
  </conditionalFormatting>
  <conditionalFormatting sqref="B1563">
    <cfRule type="expression" dxfId="7711" priority="4569">
      <formula>B1559&lt;&gt;""</formula>
    </cfRule>
  </conditionalFormatting>
  <conditionalFormatting sqref="C1559:C1563">
    <cfRule type="expression" dxfId="7710" priority="4568">
      <formula>D1559&lt;&gt;""</formula>
    </cfRule>
  </conditionalFormatting>
  <conditionalFormatting sqref="D1559:D1563">
    <cfRule type="expression" dxfId="7709" priority="4567">
      <formula>D1559&lt;&gt;""</formula>
    </cfRule>
  </conditionalFormatting>
  <conditionalFormatting sqref="D1559">
    <cfRule type="expression" dxfId="7708" priority="4566">
      <formula>D1559&lt;&gt;""</formula>
    </cfRule>
  </conditionalFormatting>
  <conditionalFormatting sqref="D1563">
    <cfRule type="expression" dxfId="7707" priority="4565">
      <formula>D1559&lt;&gt;""</formula>
    </cfRule>
  </conditionalFormatting>
  <conditionalFormatting sqref="B1587:B1591">
    <cfRule type="expression" dxfId="7706" priority="4564">
      <formula>B1587&lt;&gt;""</formula>
    </cfRule>
  </conditionalFormatting>
  <conditionalFormatting sqref="B1587">
    <cfRule type="expression" dxfId="7705" priority="4563">
      <formula>B1587&lt;&gt;""</formula>
    </cfRule>
  </conditionalFormatting>
  <conditionalFormatting sqref="B1591">
    <cfRule type="expression" dxfId="7704" priority="4562">
      <formula>B1587&lt;&gt;""</formula>
    </cfRule>
  </conditionalFormatting>
  <conditionalFormatting sqref="C1587:C1591">
    <cfRule type="expression" dxfId="7703" priority="4561">
      <formula>D1587&lt;&gt;""</formula>
    </cfRule>
  </conditionalFormatting>
  <conditionalFormatting sqref="D1587:D1591">
    <cfRule type="expression" dxfId="7702" priority="4560">
      <formula>D1587&lt;&gt;""</formula>
    </cfRule>
  </conditionalFormatting>
  <conditionalFormatting sqref="D1587">
    <cfRule type="expression" dxfId="7701" priority="4559">
      <formula>D1587&lt;&gt;""</formula>
    </cfRule>
  </conditionalFormatting>
  <conditionalFormatting sqref="D1591">
    <cfRule type="expression" dxfId="7700" priority="4558">
      <formula>D1587&lt;&gt;""</formula>
    </cfRule>
  </conditionalFormatting>
  <conditionalFormatting sqref="D1631:D1635">
    <cfRule type="expression" dxfId="7699" priority="4529">
      <formula>D1631&lt;&gt;""</formula>
    </cfRule>
  </conditionalFormatting>
  <conditionalFormatting sqref="D1631">
    <cfRule type="expression" dxfId="7698" priority="4528">
      <formula>D1631&lt;&gt;""</formula>
    </cfRule>
  </conditionalFormatting>
  <conditionalFormatting sqref="D1635">
    <cfRule type="expression" dxfId="7697" priority="4527">
      <formula>D1631&lt;&gt;""</formula>
    </cfRule>
  </conditionalFormatting>
  <conditionalFormatting sqref="D1623:D1627">
    <cfRule type="expression" dxfId="7696" priority="4550">
      <formula>D1623&lt;&gt;""</formula>
    </cfRule>
  </conditionalFormatting>
  <conditionalFormatting sqref="D1623">
    <cfRule type="expression" dxfId="7695" priority="4549">
      <formula>D1623&lt;&gt;""</formula>
    </cfRule>
  </conditionalFormatting>
  <conditionalFormatting sqref="D1627">
    <cfRule type="expression" dxfId="7694" priority="4548">
      <formula>D1623&lt;&gt;""</formula>
    </cfRule>
  </conditionalFormatting>
  <conditionalFormatting sqref="C1623:C1627">
    <cfRule type="expression" dxfId="7693" priority="4557">
      <formula>D1623&lt;&gt;""</formula>
    </cfRule>
  </conditionalFormatting>
  <conditionalFormatting sqref="E1623:E1627">
    <cfRule type="expression" dxfId="7692" priority="4556">
      <formula>F1623&lt;&gt;""</formula>
    </cfRule>
  </conditionalFormatting>
  <conditionalFormatting sqref="G1623:G1627">
    <cfRule type="expression" dxfId="7691" priority="4555">
      <formula>H1623&lt;&gt;""</formula>
    </cfRule>
  </conditionalFormatting>
  <conditionalFormatting sqref="I1623:I1627">
    <cfRule type="expression" dxfId="7690" priority="4554">
      <formula>B1631&lt;&gt;""</formula>
    </cfRule>
  </conditionalFormatting>
  <conditionalFormatting sqref="B1623:B1627">
    <cfRule type="expression" dxfId="7689" priority="4553">
      <formula>B1623&lt;&gt;""</formula>
    </cfRule>
  </conditionalFormatting>
  <conditionalFormatting sqref="B1623">
    <cfRule type="expression" dxfId="7688" priority="4552">
      <formula>B1623&lt;&gt;""</formula>
    </cfRule>
  </conditionalFormatting>
  <conditionalFormatting sqref="B1627">
    <cfRule type="expression" dxfId="7687" priority="4551">
      <formula>B1623&lt;&gt;""</formula>
    </cfRule>
  </conditionalFormatting>
  <conditionalFormatting sqref="F1623:F1627">
    <cfRule type="expression" dxfId="7686" priority="4547">
      <formula>F1623&lt;&gt;""</formula>
    </cfRule>
  </conditionalFormatting>
  <conditionalFormatting sqref="F1623">
    <cfRule type="expression" dxfId="7685" priority="4546">
      <formula>F1623&lt;&gt;""</formula>
    </cfRule>
  </conditionalFormatting>
  <conditionalFormatting sqref="F1627">
    <cfRule type="expression" dxfId="7684" priority="4545">
      <formula>F1623&lt;&gt;""</formula>
    </cfRule>
  </conditionalFormatting>
  <conditionalFormatting sqref="H1623:H1627">
    <cfRule type="expression" dxfId="7683" priority="4544">
      <formula>H1623&lt;&gt;""</formula>
    </cfRule>
  </conditionalFormatting>
  <conditionalFormatting sqref="H1623">
    <cfRule type="expression" dxfId="7682" priority="4543">
      <formula>H1623&lt;&gt;""</formula>
    </cfRule>
  </conditionalFormatting>
  <conditionalFormatting sqref="H1627">
    <cfRule type="expression" dxfId="7681" priority="4542">
      <formula>H1623&lt;&gt;""</formula>
    </cfRule>
  </conditionalFormatting>
  <conditionalFormatting sqref="F1615:F1619">
    <cfRule type="expression" dxfId="7680" priority="4541">
      <formula>F1615&lt;&gt;""</formula>
    </cfRule>
  </conditionalFormatting>
  <conditionalFormatting sqref="F1615">
    <cfRule type="expression" dxfId="7679" priority="4540">
      <formula>F1615&lt;&gt;""</formula>
    </cfRule>
  </conditionalFormatting>
  <conditionalFormatting sqref="F1619">
    <cfRule type="expression" dxfId="7678" priority="4539">
      <formula>F1615&lt;&gt;""</formula>
    </cfRule>
  </conditionalFormatting>
  <conditionalFormatting sqref="E1615:E1619">
    <cfRule type="expression" dxfId="7677" priority="4538">
      <formula>F1615&lt;&gt;""</formula>
    </cfRule>
  </conditionalFormatting>
  <conditionalFormatting sqref="G1615:G1619">
    <cfRule type="expression" dxfId="7676" priority="4537">
      <formula>H1615&lt;&gt;""</formula>
    </cfRule>
  </conditionalFormatting>
  <conditionalFormatting sqref="I1615:I1619">
    <cfRule type="expression" dxfId="7675" priority="4536">
      <formula>B1623&lt;&gt;""</formula>
    </cfRule>
  </conditionalFormatting>
  <conditionalFormatting sqref="H1615:H1619">
    <cfRule type="expression" dxfId="7674" priority="4535">
      <formula>H1615&lt;&gt;""</formula>
    </cfRule>
  </conditionalFormatting>
  <conditionalFormatting sqref="H1615">
    <cfRule type="expression" dxfId="7673" priority="4534">
      <formula>H1615&lt;&gt;""</formula>
    </cfRule>
  </conditionalFormatting>
  <conditionalFormatting sqref="H1619">
    <cfRule type="expression" dxfId="7672" priority="4533">
      <formula>H1615&lt;&gt;""</formula>
    </cfRule>
  </conditionalFormatting>
  <conditionalFormatting sqref="B1631:B1635">
    <cfRule type="expression" dxfId="7671" priority="4532">
      <formula>B1631&lt;&gt;""</formula>
    </cfRule>
  </conditionalFormatting>
  <conditionalFormatting sqref="B1631">
    <cfRule type="expression" dxfId="7670" priority="4531">
      <formula>B1631&lt;&gt;""</formula>
    </cfRule>
  </conditionalFormatting>
  <conditionalFormatting sqref="B1635">
    <cfRule type="expression" dxfId="7669" priority="4530">
      <formula>B1631&lt;&gt;""</formula>
    </cfRule>
  </conditionalFormatting>
  <conditionalFormatting sqref="F1631:F1635">
    <cfRule type="expression" dxfId="7668" priority="4526">
      <formula>F1631&lt;&gt;""</formula>
    </cfRule>
  </conditionalFormatting>
  <conditionalFormatting sqref="F1631">
    <cfRule type="expression" dxfId="7667" priority="4525">
      <formula>F1631&lt;&gt;""</formula>
    </cfRule>
  </conditionalFormatting>
  <conditionalFormatting sqref="F1635">
    <cfRule type="expression" dxfId="7666" priority="4524">
      <formula>F1631&lt;&gt;""</formula>
    </cfRule>
  </conditionalFormatting>
  <conditionalFormatting sqref="C1631:C1635">
    <cfRule type="expression" dxfId="7665" priority="4523">
      <formula>D1631&lt;&gt;""</formula>
    </cfRule>
  </conditionalFormatting>
  <conditionalFormatting sqref="E1631:E1635">
    <cfRule type="expression" dxfId="7664" priority="4522">
      <formula>F1631&lt;&gt;""</formula>
    </cfRule>
  </conditionalFormatting>
  <conditionalFormatting sqref="G1631:G1635">
    <cfRule type="expression" dxfId="7663" priority="4521">
      <formula>H1631&lt;&gt;""</formula>
    </cfRule>
  </conditionalFormatting>
  <conditionalFormatting sqref="H1631:H1635">
    <cfRule type="expression" dxfId="7662" priority="4520">
      <formula>H1631&lt;&gt;""</formula>
    </cfRule>
  </conditionalFormatting>
  <conditionalFormatting sqref="H1631">
    <cfRule type="expression" dxfId="7661" priority="4519">
      <formula>H1631&lt;&gt;""</formula>
    </cfRule>
  </conditionalFormatting>
  <conditionalFormatting sqref="H1635">
    <cfRule type="expression" dxfId="7660" priority="4518">
      <formula>H1631&lt;&gt;""</formula>
    </cfRule>
  </conditionalFormatting>
  <conditionalFormatting sqref="D1659:D1663">
    <cfRule type="expression" dxfId="7659" priority="4489">
      <formula>D1659&lt;&gt;""</formula>
    </cfRule>
  </conditionalFormatting>
  <conditionalFormatting sqref="D1659">
    <cfRule type="expression" dxfId="7658" priority="4488">
      <formula>D1659&lt;&gt;""</formula>
    </cfRule>
  </conditionalFormatting>
  <conditionalFormatting sqref="D1663">
    <cfRule type="expression" dxfId="7657" priority="4487">
      <formula>D1659&lt;&gt;""</formula>
    </cfRule>
  </conditionalFormatting>
  <conditionalFormatting sqref="D1651:D1655">
    <cfRule type="expression" dxfId="7656" priority="4510">
      <formula>D1651&lt;&gt;""</formula>
    </cfRule>
  </conditionalFormatting>
  <conditionalFormatting sqref="D1651">
    <cfRule type="expression" dxfId="7655" priority="4509">
      <formula>D1651&lt;&gt;""</formula>
    </cfRule>
  </conditionalFormatting>
  <conditionalFormatting sqref="D1655">
    <cfRule type="expression" dxfId="7654" priority="4508">
      <formula>D1651&lt;&gt;""</formula>
    </cfRule>
  </conditionalFormatting>
  <conditionalFormatting sqref="C1651:C1655">
    <cfRule type="expression" dxfId="7653" priority="4517">
      <formula>D1651&lt;&gt;""</formula>
    </cfRule>
  </conditionalFormatting>
  <conditionalFormatting sqref="E1651:E1655">
    <cfRule type="expression" dxfId="7652" priority="4516">
      <formula>F1651&lt;&gt;""</formula>
    </cfRule>
  </conditionalFormatting>
  <conditionalFormatting sqref="G1651:G1655">
    <cfRule type="expression" dxfId="7651" priority="4515">
      <formula>H1651&lt;&gt;""</formula>
    </cfRule>
  </conditionalFormatting>
  <conditionalFormatting sqref="I1651:I1655">
    <cfRule type="expression" dxfId="7650" priority="4514">
      <formula>B1659&lt;&gt;""</formula>
    </cfRule>
  </conditionalFormatting>
  <conditionalFormatting sqref="B1651:B1655">
    <cfRule type="expression" dxfId="7649" priority="4513">
      <formula>B1651&lt;&gt;""</formula>
    </cfRule>
  </conditionalFormatting>
  <conditionalFormatting sqref="B1651">
    <cfRule type="expression" dxfId="7648" priority="4512">
      <formula>B1651&lt;&gt;""</formula>
    </cfRule>
  </conditionalFormatting>
  <conditionalFormatting sqref="B1655">
    <cfRule type="expression" dxfId="7647" priority="4511">
      <formula>B1651&lt;&gt;""</formula>
    </cfRule>
  </conditionalFormatting>
  <conditionalFormatting sqref="F1651:F1655">
    <cfRule type="expression" dxfId="7646" priority="4507">
      <formula>F1651&lt;&gt;""</formula>
    </cfRule>
  </conditionalFormatting>
  <conditionalFormatting sqref="F1651">
    <cfRule type="expression" dxfId="7645" priority="4506">
      <formula>F1651&lt;&gt;""</formula>
    </cfRule>
  </conditionalFormatting>
  <conditionalFormatting sqref="F1655">
    <cfRule type="expression" dxfId="7644" priority="4505">
      <formula>F1651&lt;&gt;""</formula>
    </cfRule>
  </conditionalFormatting>
  <conditionalFormatting sqref="H1651:H1655">
    <cfRule type="expression" dxfId="7643" priority="4504">
      <formula>H1651&lt;&gt;""</formula>
    </cfRule>
  </conditionalFormatting>
  <conditionalFormatting sqref="H1651">
    <cfRule type="expression" dxfId="7642" priority="4503">
      <formula>H1651&lt;&gt;""</formula>
    </cfRule>
  </conditionalFormatting>
  <conditionalFormatting sqref="H1655">
    <cfRule type="expression" dxfId="7641" priority="4502">
      <formula>H1651&lt;&gt;""</formula>
    </cfRule>
  </conditionalFormatting>
  <conditionalFormatting sqref="F1643:F1647">
    <cfRule type="expression" dxfId="7640" priority="4501">
      <formula>F1643&lt;&gt;""</formula>
    </cfRule>
  </conditionalFormatting>
  <conditionalFormatting sqref="F1643">
    <cfRule type="expression" dxfId="7639" priority="4500">
      <formula>F1643&lt;&gt;""</formula>
    </cfRule>
  </conditionalFormatting>
  <conditionalFormatting sqref="F1647">
    <cfRule type="expression" dxfId="7638" priority="4499">
      <formula>F1643&lt;&gt;""</formula>
    </cfRule>
  </conditionalFormatting>
  <conditionalFormatting sqref="E1643:E1647">
    <cfRule type="expression" dxfId="7637" priority="4498">
      <formula>F1643&lt;&gt;""</formula>
    </cfRule>
  </conditionalFormatting>
  <conditionalFormatting sqref="G1643:G1647">
    <cfRule type="expression" dxfId="7636" priority="4497">
      <formula>H1643&lt;&gt;""</formula>
    </cfRule>
  </conditionalFormatting>
  <conditionalFormatting sqref="I1643:I1647">
    <cfRule type="expression" dxfId="7635" priority="4496">
      <formula>B1651&lt;&gt;""</formula>
    </cfRule>
  </conditionalFormatting>
  <conditionalFormatting sqref="H1643:H1647">
    <cfRule type="expression" dxfId="7634" priority="4495">
      <formula>H1643&lt;&gt;""</formula>
    </cfRule>
  </conditionalFormatting>
  <conditionalFormatting sqref="H1643">
    <cfRule type="expression" dxfId="7633" priority="4494">
      <formula>H1643&lt;&gt;""</formula>
    </cfRule>
  </conditionalFormatting>
  <conditionalFormatting sqref="H1647">
    <cfRule type="expression" dxfId="7632" priority="4493">
      <formula>H1643&lt;&gt;""</formula>
    </cfRule>
  </conditionalFormatting>
  <conditionalFormatting sqref="B1659:B1663">
    <cfRule type="expression" dxfId="7631" priority="4492">
      <formula>B1659&lt;&gt;""</formula>
    </cfRule>
  </conditionalFormatting>
  <conditionalFormatting sqref="B1659">
    <cfRule type="expression" dxfId="7630" priority="4491">
      <formula>B1659&lt;&gt;""</formula>
    </cfRule>
  </conditionalFormatting>
  <conditionalFormatting sqref="B1663">
    <cfRule type="expression" dxfId="7629" priority="4490">
      <formula>B1659&lt;&gt;""</formula>
    </cfRule>
  </conditionalFormatting>
  <conditionalFormatting sqref="F1659:F1663">
    <cfRule type="expression" dxfId="7628" priority="4486">
      <formula>F1659&lt;&gt;""</formula>
    </cfRule>
  </conditionalFormatting>
  <conditionalFormatting sqref="F1659">
    <cfRule type="expression" dxfId="7627" priority="4485">
      <formula>F1659&lt;&gt;""</formula>
    </cfRule>
  </conditionalFormatting>
  <conditionalFormatting sqref="F1663">
    <cfRule type="expression" dxfId="7626" priority="4484">
      <formula>F1659&lt;&gt;""</formula>
    </cfRule>
  </conditionalFormatting>
  <conditionalFormatting sqref="C1659:C1663">
    <cfRule type="expression" dxfId="7625" priority="4483">
      <formula>D1659&lt;&gt;""</formula>
    </cfRule>
  </conditionalFormatting>
  <conditionalFormatting sqref="E1659:E1663">
    <cfRule type="expression" dxfId="7624" priority="4482">
      <formula>F1659&lt;&gt;""</formula>
    </cfRule>
  </conditionalFormatting>
  <conditionalFormatting sqref="G1659:G1663">
    <cfRule type="expression" dxfId="7623" priority="4481">
      <formula>H1659&lt;&gt;""</formula>
    </cfRule>
  </conditionalFormatting>
  <conditionalFormatting sqref="H1659:H1663">
    <cfRule type="expression" dxfId="7622" priority="4480">
      <formula>H1659&lt;&gt;""</formula>
    </cfRule>
  </conditionalFormatting>
  <conditionalFormatting sqref="H1659">
    <cfRule type="expression" dxfId="7621" priority="4479">
      <formula>H1659&lt;&gt;""</formula>
    </cfRule>
  </conditionalFormatting>
  <conditionalFormatting sqref="H1663">
    <cfRule type="expression" dxfId="7620" priority="4478">
      <formula>H1659&lt;&gt;""</formula>
    </cfRule>
  </conditionalFormatting>
  <conditionalFormatting sqref="B1643:B1647">
    <cfRule type="expression" dxfId="7619" priority="4426">
      <formula>B1643&lt;&gt;""</formula>
    </cfRule>
  </conditionalFormatting>
  <conditionalFormatting sqref="B1649:B1650 C1649:I1649 I1648">
    <cfRule type="expression" dxfId="7618" priority="4477">
      <formula>$B$1651&lt;&gt;""</formula>
    </cfRule>
  </conditionalFormatting>
  <conditionalFormatting sqref="B1657:B1658 C1657:I1657 I1656">
    <cfRule type="expression" dxfId="7617" priority="4476">
      <formula>$B$1659&lt;&gt;""</formula>
    </cfRule>
  </conditionalFormatting>
  <conditionalFormatting sqref="D1687:D1691">
    <cfRule type="expression" dxfId="7616" priority="4447">
      <formula>D1687&lt;&gt;""</formula>
    </cfRule>
  </conditionalFormatting>
  <conditionalFormatting sqref="D1687">
    <cfRule type="expression" dxfId="7615" priority="4446">
      <formula>D1687&lt;&gt;""</formula>
    </cfRule>
  </conditionalFormatting>
  <conditionalFormatting sqref="D1691">
    <cfRule type="expression" dxfId="7614" priority="4445">
      <formula>D1687&lt;&gt;""</formula>
    </cfRule>
  </conditionalFormatting>
  <conditionalFormatting sqref="D1679:D1683">
    <cfRule type="expression" dxfId="7613" priority="4468">
      <formula>D1679&lt;&gt;""</formula>
    </cfRule>
  </conditionalFormatting>
  <conditionalFormatting sqref="D1679">
    <cfRule type="expression" dxfId="7612" priority="4467">
      <formula>D1679&lt;&gt;""</formula>
    </cfRule>
  </conditionalFormatting>
  <conditionalFormatting sqref="D1683">
    <cfRule type="expression" dxfId="7611" priority="4466">
      <formula>D1679&lt;&gt;""</formula>
    </cfRule>
  </conditionalFormatting>
  <conditionalFormatting sqref="C1679:C1683">
    <cfRule type="expression" dxfId="7610" priority="4475">
      <formula>D1679&lt;&gt;""</formula>
    </cfRule>
  </conditionalFormatting>
  <conditionalFormatting sqref="E1679:E1683">
    <cfRule type="expression" dxfId="7609" priority="4474">
      <formula>F1679&lt;&gt;""</formula>
    </cfRule>
  </conditionalFormatting>
  <conditionalFormatting sqref="G1679:G1683">
    <cfRule type="expression" dxfId="7608" priority="4473">
      <formula>H1679&lt;&gt;""</formula>
    </cfRule>
  </conditionalFormatting>
  <conditionalFormatting sqref="I1679:I1683">
    <cfRule type="expression" dxfId="7607" priority="4472">
      <formula>B1687&lt;&gt;""</formula>
    </cfRule>
  </conditionalFormatting>
  <conditionalFormatting sqref="B1679:B1683">
    <cfRule type="expression" dxfId="7606" priority="4471">
      <formula>B1679&lt;&gt;""</formula>
    </cfRule>
  </conditionalFormatting>
  <conditionalFormatting sqref="B1679">
    <cfRule type="expression" dxfId="7605" priority="4470">
      <formula>B1679&lt;&gt;""</formula>
    </cfRule>
  </conditionalFormatting>
  <conditionalFormatting sqref="B1683">
    <cfRule type="expression" dxfId="7604" priority="4469">
      <formula>B1679&lt;&gt;""</formula>
    </cfRule>
  </conditionalFormatting>
  <conditionalFormatting sqref="F1679:F1683">
    <cfRule type="expression" dxfId="7603" priority="4465">
      <formula>F1679&lt;&gt;""</formula>
    </cfRule>
  </conditionalFormatting>
  <conditionalFormatting sqref="F1679">
    <cfRule type="expression" dxfId="7602" priority="4464">
      <formula>F1679&lt;&gt;""</formula>
    </cfRule>
  </conditionalFormatting>
  <conditionalFormatting sqref="F1683">
    <cfRule type="expression" dxfId="7601" priority="4463">
      <formula>F1679&lt;&gt;""</formula>
    </cfRule>
  </conditionalFormatting>
  <conditionalFormatting sqref="H1679:H1683">
    <cfRule type="expression" dxfId="7600" priority="4462">
      <formula>H1679&lt;&gt;""</formula>
    </cfRule>
  </conditionalFormatting>
  <conditionalFormatting sqref="H1679">
    <cfRule type="expression" dxfId="7599" priority="4461">
      <formula>H1679&lt;&gt;""</formula>
    </cfRule>
  </conditionalFormatting>
  <conditionalFormatting sqref="H1683">
    <cfRule type="expression" dxfId="7598" priority="4460">
      <formula>H1679&lt;&gt;""</formula>
    </cfRule>
  </conditionalFormatting>
  <conditionalFormatting sqref="F1671:F1675">
    <cfRule type="expression" dxfId="7597" priority="4459">
      <formula>F1671&lt;&gt;""</formula>
    </cfRule>
  </conditionalFormatting>
  <conditionalFormatting sqref="F1671">
    <cfRule type="expression" dxfId="7596" priority="4458">
      <formula>F1671&lt;&gt;""</formula>
    </cfRule>
  </conditionalFormatting>
  <conditionalFormatting sqref="F1675">
    <cfRule type="expression" dxfId="7595" priority="4457">
      <formula>F1671&lt;&gt;""</formula>
    </cfRule>
  </conditionalFormatting>
  <conditionalFormatting sqref="E1671:E1675">
    <cfRule type="expression" dxfId="7594" priority="4456">
      <formula>F1671&lt;&gt;""</formula>
    </cfRule>
  </conditionalFormatting>
  <conditionalFormatting sqref="G1671:G1675">
    <cfRule type="expression" dxfId="7593" priority="4455">
      <formula>H1671&lt;&gt;""</formula>
    </cfRule>
  </conditionalFormatting>
  <conditionalFormatting sqref="I1671:I1675">
    <cfRule type="expression" dxfId="7592" priority="4454">
      <formula>B1679&lt;&gt;""</formula>
    </cfRule>
  </conditionalFormatting>
  <conditionalFormatting sqref="H1671:H1675">
    <cfRule type="expression" dxfId="7591" priority="4453">
      <formula>H1671&lt;&gt;""</formula>
    </cfRule>
  </conditionalFormatting>
  <conditionalFormatting sqref="H1671">
    <cfRule type="expression" dxfId="7590" priority="4452">
      <formula>H1671&lt;&gt;""</formula>
    </cfRule>
  </conditionalFormatting>
  <conditionalFormatting sqref="H1675">
    <cfRule type="expression" dxfId="7589" priority="4451">
      <formula>H1671&lt;&gt;""</formula>
    </cfRule>
  </conditionalFormatting>
  <conditionalFormatting sqref="B1687:B1691">
    <cfRule type="expression" dxfId="7588" priority="4450">
      <formula>B1687&lt;&gt;""</formula>
    </cfRule>
  </conditionalFormatting>
  <conditionalFormatting sqref="B1687">
    <cfRule type="expression" dxfId="7587" priority="4449">
      <formula>B1687&lt;&gt;""</formula>
    </cfRule>
  </conditionalFormatting>
  <conditionalFormatting sqref="B1691">
    <cfRule type="expression" dxfId="7586" priority="4448">
      <formula>B1687&lt;&gt;""</formula>
    </cfRule>
  </conditionalFormatting>
  <conditionalFormatting sqref="F1687:F1691">
    <cfRule type="expression" dxfId="7585" priority="4444">
      <formula>F1687&lt;&gt;""</formula>
    </cfRule>
  </conditionalFormatting>
  <conditionalFormatting sqref="F1687">
    <cfRule type="expression" dxfId="7584" priority="4443">
      <formula>F1687&lt;&gt;""</formula>
    </cfRule>
  </conditionalFormatting>
  <conditionalFormatting sqref="F1691">
    <cfRule type="expression" dxfId="7583" priority="4442">
      <formula>F1687&lt;&gt;""</formula>
    </cfRule>
  </conditionalFormatting>
  <conditionalFormatting sqref="C1687:C1691">
    <cfRule type="expression" dxfId="7582" priority="4441">
      <formula>D1687&lt;&gt;""</formula>
    </cfRule>
  </conditionalFormatting>
  <conditionalFormatting sqref="E1687:E1691">
    <cfRule type="expression" dxfId="7581" priority="4440">
      <formula>F1687&lt;&gt;""</formula>
    </cfRule>
  </conditionalFormatting>
  <conditionalFormatting sqref="G1687:G1691">
    <cfRule type="expression" dxfId="7580" priority="4439">
      <formula>H1687&lt;&gt;""</formula>
    </cfRule>
  </conditionalFormatting>
  <conditionalFormatting sqref="H1687:H1691">
    <cfRule type="expression" dxfId="7579" priority="4438">
      <formula>H1687&lt;&gt;""</formula>
    </cfRule>
  </conditionalFormatting>
  <conditionalFormatting sqref="H1687">
    <cfRule type="expression" dxfId="7578" priority="4437">
      <formula>H1687&lt;&gt;""</formula>
    </cfRule>
  </conditionalFormatting>
  <conditionalFormatting sqref="H1691">
    <cfRule type="expression" dxfId="7577" priority="4436">
      <formula>H1687&lt;&gt;""</formula>
    </cfRule>
  </conditionalFormatting>
  <conditionalFormatting sqref="B1671:B1675">
    <cfRule type="expression" dxfId="7576" priority="4419">
      <formula>B1671&lt;&gt;""</formula>
    </cfRule>
  </conditionalFormatting>
  <conditionalFormatting sqref="B1677:B1678 C1677:I1677 I1676">
    <cfRule type="expression" dxfId="7575" priority="4435">
      <formula>$B$1679&lt;&gt;""</formula>
    </cfRule>
  </conditionalFormatting>
  <conditionalFormatting sqref="B1685:B1686 C1685:I1685 I1684">
    <cfRule type="expression" dxfId="7574" priority="4434">
      <formula>$B$1687&lt;&gt;""</formula>
    </cfRule>
  </conditionalFormatting>
  <conditionalFormatting sqref="B1615:B1619">
    <cfRule type="expression" dxfId="7573" priority="4433">
      <formula>B1615&lt;&gt;""</formula>
    </cfRule>
  </conditionalFormatting>
  <conditionalFormatting sqref="B1615">
    <cfRule type="expression" dxfId="7572" priority="4432">
      <formula>B1615&lt;&gt;""</formula>
    </cfRule>
  </conditionalFormatting>
  <conditionalFormatting sqref="B1619">
    <cfRule type="expression" dxfId="7571" priority="4431">
      <formula>B1615&lt;&gt;""</formula>
    </cfRule>
  </conditionalFormatting>
  <conditionalFormatting sqref="C1615:C1619">
    <cfRule type="expression" dxfId="7570" priority="4430">
      <formula>D1615&lt;&gt;""</formula>
    </cfRule>
  </conditionalFormatting>
  <conditionalFormatting sqref="D1615:D1619">
    <cfRule type="expression" dxfId="7569" priority="4429">
      <formula>D1615&lt;&gt;""</formula>
    </cfRule>
  </conditionalFormatting>
  <conditionalFormatting sqref="D1615">
    <cfRule type="expression" dxfId="7568" priority="4428">
      <formula>D1615&lt;&gt;""</formula>
    </cfRule>
  </conditionalFormatting>
  <conditionalFormatting sqref="D1619">
    <cfRule type="expression" dxfId="7567" priority="4427">
      <formula>D1615&lt;&gt;""</formula>
    </cfRule>
  </conditionalFormatting>
  <conditionalFormatting sqref="B1643">
    <cfRule type="expression" dxfId="7566" priority="4425">
      <formula>B1643&lt;&gt;""</formula>
    </cfRule>
  </conditionalFormatting>
  <conditionalFormatting sqref="B1647">
    <cfRule type="expression" dxfId="7565" priority="4424">
      <formula>B1643&lt;&gt;""</formula>
    </cfRule>
  </conditionalFormatting>
  <conditionalFormatting sqref="C1643:C1647">
    <cfRule type="expression" dxfId="7564" priority="4423">
      <formula>D1643&lt;&gt;""</formula>
    </cfRule>
  </conditionalFormatting>
  <conditionalFormatting sqref="D1643:D1647">
    <cfRule type="expression" dxfId="7563" priority="4422">
      <formula>D1643&lt;&gt;""</formula>
    </cfRule>
  </conditionalFormatting>
  <conditionalFormatting sqref="D1643">
    <cfRule type="expression" dxfId="7562" priority="4421">
      <formula>D1643&lt;&gt;""</formula>
    </cfRule>
  </conditionalFormatting>
  <conditionalFormatting sqref="D1647">
    <cfRule type="expression" dxfId="7561" priority="4420">
      <formula>D1643&lt;&gt;""</formula>
    </cfRule>
  </conditionalFormatting>
  <conditionalFormatting sqref="B1671">
    <cfRule type="expression" dxfId="7560" priority="4418">
      <formula>B1671&lt;&gt;""</formula>
    </cfRule>
  </conditionalFormatting>
  <conditionalFormatting sqref="B1675">
    <cfRule type="expression" dxfId="7559" priority="4417">
      <formula>B1671&lt;&gt;""</formula>
    </cfRule>
  </conditionalFormatting>
  <conditionalFormatting sqref="C1671:C1675">
    <cfRule type="expression" dxfId="7558" priority="4416">
      <formula>D1671&lt;&gt;""</formula>
    </cfRule>
  </conditionalFormatting>
  <conditionalFormatting sqref="D1671:D1675">
    <cfRule type="expression" dxfId="7557" priority="4415">
      <formula>D1671&lt;&gt;""</formula>
    </cfRule>
  </conditionalFormatting>
  <conditionalFormatting sqref="D1671">
    <cfRule type="expression" dxfId="7556" priority="4414">
      <formula>D1671&lt;&gt;""</formula>
    </cfRule>
  </conditionalFormatting>
  <conditionalFormatting sqref="D1675">
    <cfRule type="expression" dxfId="7555" priority="4413">
      <formula>D1671&lt;&gt;""</formula>
    </cfRule>
  </conditionalFormatting>
  <conditionalFormatting sqref="B1629:B1630 C1629:I1629 I1628">
    <cfRule type="expression" dxfId="7554" priority="4412">
      <formula>$B$1631&lt;&gt;""</formula>
    </cfRule>
  </conditionalFormatting>
  <conditionalFormatting sqref="B1621:B1622 C1621:I1621 I1620">
    <cfRule type="expression" dxfId="7553" priority="4411">
      <formula>$B$1623&lt;&gt;""</formula>
    </cfRule>
  </conditionalFormatting>
  <conditionalFormatting sqref="D1885:D1889">
    <cfRule type="expression" dxfId="7552" priority="4381">
      <formula>D1885&lt;&gt;""</formula>
    </cfRule>
  </conditionalFormatting>
  <conditionalFormatting sqref="D1885">
    <cfRule type="expression" dxfId="7551" priority="4380">
      <formula>D1885&lt;&gt;""</formula>
    </cfRule>
  </conditionalFormatting>
  <conditionalFormatting sqref="D1889">
    <cfRule type="expression" dxfId="7550" priority="4379">
      <formula>D1885&lt;&gt;""</formula>
    </cfRule>
  </conditionalFormatting>
  <conditionalFormatting sqref="I1874:I1875 C1875:H1875 B1875:B1876">
    <cfRule type="expression" dxfId="7549" priority="4369">
      <formula>$B1877&lt;&gt;""</formula>
    </cfRule>
  </conditionalFormatting>
  <conditionalFormatting sqref="D1877:D1881">
    <cfRule type="expression" dxfId="7548" priority="4403">
      <formula>D1877&lt;&gt;""</formula>
    </cfRule>
  </conditionalFormatting>
  <conditionalFormatting sqref="D1877">
    <cfRule type="expression" dxfId="7547" priority="4402">
      <formula>D1877&lt;&gt;""</formula>
    </cfRule>
  </conditionalFormatting>
  <conditionalFormatting sqref="D1881">
    <cfRule type="expression" dxfId="7546" priority="4401">
      <formula>D1877&lt;&gt;""</formula>
    </cfRule>
  </conditionalFormatting>
  <conditionalFormatting sqref="C1877:C1881">
    <cfRule type="expression" dxfId="7545" priority="4410">
      <formula>D1877&lt;&gt;""</formula>
    </cfRule>
  </conditionalFormatting>
  <conditionalFormatting sqref="E1877:E1881">
    <cfRule type="expression" dxfId="7544" priority="4409">
      <formula>F1877&lt;&gt;""</formula>
    </cfRule>
  </conditionalFormatting>
  <conditionalFormatting sqref="G1877:G1881">
    <cfRule type="expression" dxfId="7543" priority="4408">
      <formula>H1877&lt;&gt;""</formula>
    </cfRule>
  </conditionalFormatting>
  <conditionalFormatting sqref="I1877:I1881">
    <cfRule type="expression" dxfId="7542" priority="4407">
      <formula>B1885&lt;&gt;""</formula>
    </cfRule>
  </conditionalFormatting>
  <conditionalFormatting sqref="B1877:B1881">
    <cfRule type="expression" dxfId="7541" priority="4406">
      <formula>B1877&lt;&gt;""</formula>
    </cfRule>
  </conditionalFormatting>
  <conditionalFormatting sqref="B1877">
    <cfRule type="expression" dxfId="7540" priority="4405">
      <formula>B1877&lt;&gt;""</formula>
    </cfRule>
  </conditionalFormatting>
  <conditionalFormatting sqref="B1881">
    <cfRule type="expression" dxfId="7539" priority="4404">
      <formula>B1877&lt;&gt;""</formula>
    </cfRule>
  </conditionalFormatting>
  <conditionalFormatting sqref="F1877:F1881">
    <cfRule type="expression" dxfId="7538" priority="4400">
      <formula>F1877&lt;&gt;""</formula>
    </cfRule>
  </conditionalFormatting>
  <conditionalFormatting sqref="F1877">
    <cfRule type="expression" dxfId="7537" priority="4399">
      <formula>F1877&lt;&gt;""</formula>
    </cfRule>
  </conditionalFormatting>
  <conditionalFormatting sqref="F1881">
    <cfRule type="expression" dxfId="7536" priority="4398">
      <formula>F1877&lt;&gt;""</formula>
    </cfRule>
  </conditionalFormatting>
  <conditionalFormatting sqref="H1877:H1881">
    <cfRule type="expression" dxfId="7535" priority="4397">
      <formula>H1877&lt;&gt;""</formula>
    </cfRule>
  </conditionalFormatting>
  <conditionalFormatting sqref="H1877">
    <cfRule type="expression" dxfId="7534" priority="4396">
      <formula>H1877&lt;&gt;""</formula>
    </cfRule>
  </conditionalFormatting>
  <conditionalFormatting sqref="H1881">
    <cfRule type="expression" dxfId="7533" priority="4395">
      <formula>H1877&lt;&gt;""</formula>
    </cfRule>
  </conditionalFormatting>
  <conditionalFormatting sqref="F1869:F1873">
    <cfRule type="expression" dxfId="7532" priority="4394">
      <formula>F1869&lt;&gt;""</formula>
    </cfRule>
  </conditionalFormatting>
  <conditionalFormatting sqref="F1869">
    <cfRule type="expression" dxfId="7531" priority="4393">
      <formula>F1869&lt;&gt;""</formula>
    </cfRule>
  </conditionalFormatting>
  <conditionalFormatting sqref="F1873">
    <cfRule type="expression" dxfId="7530" priority="4392">
      <formula>F1869&lt;&gt;""</formula>
    </cfRule>
  </conditionalFormatting>
  <conditionalFormatting sqref="E1869:E1873">
    <cfRule type="expression" dxfId="7529" priority="4391">
      <formula>F1869&lt;&gt;""</formula>
    </cfRule>
  </conditionalFormatting>
  <conditionalFormatting sqref="G1869:G1873">
    <cfRule type="expression" dxfId="7528" priority="4390">
      <formula>H1869&lt;&gt;""</formula>
    </cfRule>
  </conditionalFormatting>
  <conditionalFormatting sqref="I1869:I1873">
    <cfRule type="expression" dxfId="7527" priority="4389">
      <formula>B1877&lt;&gt;""</formula>
    </cfRule>
  </conditionalFormatting>
  <conditionalFormatting sqref="H1869:H1873">
    <cfRule type="expression" dxfId="7526" priority="4388">
      <formula>H1869&lt;&gt;""</formula>
    </cfRule>
  </conditionalFormatting>
  <conditionalFormatting sqref="H1869">
    <cfRule type="expression" dxfId="7525" priority="4387">
      <formula>H1869&lt;&gt;""</formula>
    </cfRule>
  </conditionalFormatting>
  <conditionalFormatting sqref="H1873">
    <cfRule type="expression" dxfId="7524" priority="4386">
      <formula>H1869&lt;&gt;""</formula>
    </cfRule>
  </conditionalFormatting>
  <conditionalFormatting sqref="I1882:I1883 C1883:H1883 B1883:B1884">
    <cfRule type="expression" dxfId="7523" priority="4385">
      <formula>$B1885&lt;&gt;""</formula>
    </cfRule>
  </conditionalFormatting>
  <conditionalFormatting sqref="B1885:B1889">
    <cfRule type="expression" dxfId="7522" priority="4384">
      <formula>B1885&lt;&gt;""</formula>
    </cfRule>
  </conditionalFormatting>
  <conditionalFormatting sqref="B1885">
    <cfRule type="expression" dxfId="7521" priority="4383">
      <formula>B1885&lt;&gt;""</formula>
    </cfRule>
  </conditionalFormatting>
  <conditionalFormatting sqref="B1889">
    <cfRule type="expression" dxfId="7520" priority="4382">
      <formula>B1885&lt;&gt;""</formula>
    </cfRule>
  </conditionalFormatting>
  <conditionalFormatting sqref="F1885:F1889">
    <cfRule type="expression" dxfId="7519" priority="4378">
      <formula>F1885&lt;&gt;""</formula>
    </cfRule>
  </conditionalFormatting>
  <conditionalFormatting sqref="F1885">
    <cfRule type="expression" dxfId="7518" priority="4377">
      <formula>F1885&lt;&gt;""</formula>
    </cfRule>
  </conditionalFormatting>
  <conditionalFormatting sqref="F1889">
    <cfRule type="expression" dxfId="7517" priority="4376">
      <formula>F1885&lt;&gt;""</formula>
    </cfRule>
  </conditionalFormatting>
  <conditionalFormatting sqref="C1885:C1889">
    <cfRule type="expression" dxfId="7516" priority="4375">
      <formula>D1885&lt;&gt;""</formula>
    </cfRule>
  </conditionalFormatting>
  <conditionalFormatting sqref="E1885:E1889">
    <cfRule type="expression" dxfId="7515" priority="4374">
      <formula>F1885&lt;&gt;""</formula>
    </cfRule>
  </conditionalFormatting>
  <conditionalFormatting sqref="G1885:G1889">
    <cfRule type="expression" dxfId="7514" priority="4373">
      <formula>H1885&lt;&gt;""</formula>
    </cfRule>
  </conditionalFormatting>
  <conditionalFormatting sqref="H1885:H1889">
    <cfRule type="expression" dxfId="7513" priority="4372">
      <formula>H1885&lt;&gt;""</formula>
    </cfRule>
  </conditionalFormatting>
  <conditionalFormatting sqref="H1885">
    <cfRule type="expression" dxfId="7512" priority="4371">
      <formula>H1885&lt;&gt;""</formula>
    </cfRule>
  </conditionalFormatting>
  <conditionalFormatting sqref="H1889">
    <cfRule type="expression" dxfId="7511" priority="4370">
      <formula>H1885&lt;&gt;""</formula>
    </cfRule>
  </conditionalFormatting>
  <conditionalFormatting sqref="D1857:D1861">
    <cfRule type="expression" dxfId="7510" priority="4339">
      <formula>D1857&lt;&gt;""</formula>
    </cfRule>
  </conditionalFormatting>
  <conditionalFormatting sqref="D1857">
    <cfRule type="expression" dxfId="7509" priority="4338">
      <formula>D1857&lt;&gt;""</formula>
    </cfRule>
  </conditionalFormatting>
  <conditionalFormatting sqref="D1861">
    <cfRule type="expression" dxfId="7508" priority="4337">
      <formula>D1857&lt;&gt;""</formula>
    </cfRule>
  </conditionalFormatting>
  <conditionalFormatting sqref="I1846:I1847 C1847:H1847 B1847:B1848">
    <cfRule type="expression" dxfId="7507" priority="4327">
      <formula>$B1849&lt;&gt;""</formula>
    </cfRule>
  </conditionalFormatting>
  <conditionalFormatting sqref="D1849:D1853">
    <cfRule type="expression" dxfId="7506" priority="4361">
      <formula>D1849&lt;&gt;""</formula>
    </cfRule>
  </conditionalFormatting>
  <conditionalFormatting sqref="D1849">
    <cfRule type="expression" dxfId="7505" priority="4360">
      <formula>D1849&lt;&gt;""</formula>
    </cfRule>
  </conditionalFormatting>
  <conditionalFormatting sqref="D1853">
    <cfRule type="expression" dxfId="7504" priority="4359">
      <formula>D1849&lt;&gt;""</formula>
    </cfRule>
  </conditionalFormatting>
  <conditionalFormatting sqref="C1849:C1853">
    <cfRule type="expression" dxfId="7503" priority="4368">
      <formula>D1849&lt;&gt;""</formula>
    </cfRule>
  </conditionalFormatting>
  <conditionalFormatting sqref="E1849:E1853">
    <cfRule type="expression" dxfId="7502" priority="4367">
      <formula>F1849&lt;&gt;""</formula>
    </cfRule>
  </conditionalFormatting>
  <conditionalFormatting sqref="G1849:G1853">
    <cfRule type="expression" dxfId="7501" priority="4366">
      <formula>H1849&lt;&gt;""</formula>
    </cfRule>
  </conditionalFormatting>
  <conditionalFormatting sqref="I1849:I1853">
    <cfRule type="expression" dxfId="7500" priority="4365">
      <formula>B1857&lt;&gt;""</formula>
    </cfRule>
  </conditionalFormatting>
  <conditionalFormatting sqref="B1849:B1853">
    <cfRule type="expression" dxfId="7499" priority="4364">
      <formula>B1849&lt;&gt;""</formula>
    </cfRule>
  </conditionalFormatting>
  <conditionalFormatting sqref="B1849">
    <cfRule type="expression" dxfId="7498" priority="4363">
      <formula>B1849&lt;&gt;""</formula>
    </cfRule>
  </conditionalFormatting>
  <conditionalFormatting sqref="B1853">
    <cfRule type="expression" dxfId="7497" priority="4362">
      <formula>B1849&lt;&gt;""</formula>
    </cfRule>
  </conditionalFormatting>
  <conditionalFormatting sqref="F1849:F1853">
    <cfRule type="expression" dxfId="7496" priority="4358">
      <formula>F1849&lt;&gt;""</formula>
    </cfRule>
  </conditionalFormatting>
  <conditionalFormatting sqref="F1849">
    <cfRule type="expression" dxfId="7495" priority="4357">
      <formula>F1849&lt;&gt;""</formula>
    </cfRule>
  </conditionalFormatting>
  <conditionalFormatting sqref="F1853">
    <cfRule type="expression" dxfId="7494" priority="4356">
      <formula>F1849&lt;&gt;""</formula>
    </cfRule>
  </conditionalFormatting>
  <conditionalFormatting sqref="H1849:H1853">
    <cfRule type="expression" dxfId="7493" priority="4355">
      <formula>H1849&lt;&gt;""</formula>
    </cfRule>
  </conditionalFormatting>
  <conditionalFormatting sqref="H1849">
    <cfRule type="expression" dxfId="7492" priority="4354">
      <formula>H1849&lt;&gt;""</formula>
    </cfRule>
  </conditionalFormatting>
  <conditionalFormatting sqref="H1853">
    <cfRule type="expression" dxfId="7491" priority="4353">
      <formula>H1849&lt;&gt;""</formula>
    </cfRule>
  </conditionalFormatting>
  <conditionalFormatting sqref="F1841:F1845">
    <cfRule type="expression" dxfId="7490" priority="4352">
      <formula>F1841&lt;&gt;""</formula>
    </cfRule>
  </conditionalFormatting>
  <conditionalFormatting sqref="F1841">
    <cfRule type="expression" dxfId="7489" priority="4351">
      <formula>F1841&lt;&gt;""</formula>
    </cfRule>
  </conditionalFormatting>
  <conditionalFormatting sqref="F1845">
    <cfRule type="expression" dxfId="7488" priority="4350">
      <formula>F1841&lt;&gt;""</formula>
    </cfRule>
  </conditionalFormatting>
  <conditionalFormatting sqref="E1841:E1845">
    <cfRule type="expression" dxfId="7487" priority="4349">
      <formula>F1841&lt;&gt;""</formula>
    </cfRule>
  </conditionalFormatting>
  <conditionalFormatting sqref="G1841:G1845">
    <cfRule type="expression" dxfId="7486" priority="4348">
      <formula>H1841&lt;&gt;""</formula>
    </cfRule>
  </conditionalFormatting>
  <conditionalFormatting sqref="I1841:I1845">
    <cfRule type="expression" dxfId="7485" priority="4347">
      <formula>B1849&lt;&gt;""</formula>
    </cfRule>
  </conditionalFormatting>
  <conditionalFormatting sqref="H1841:H1845">
    <cfRule type="expression" dxfId="7484" priority="4346">
      <formula>H1841&lt;&gt;""</formula>
    </cfRule>
  </conditionalFormatting>
  <conditionalFormatting sqref="H1841">
    <cfRule type="expression" dxfId="7483" priority="4345">
      <formula>H1841&lt;&gt;""</formula>
    </cfRule>
  </conditionalFormatting>
  <conditionalFormatting sqref="H1845">
    <cfRule type="expression" dxfId="7482" priority="4344">
      <formula>H1841&lt;&gt;""</formula>
    </cfRule>
  </conditionalFormatting>
  <conditionalFormatting sqref="I1854:I1855 C1855:H1855 B1855:B1856">
    <cfRule type="expression" dxfId="7481" priority="4343">
      <formula>$B1857&lt;&gt;""</formula>
    </cfRule>
  </conditionalFormatting>
  <conditionalFormatting sqref="B1857:B1861">
    <cfRule type="expression" dxfId="7480" priority="4342">
      <formula>B1857&lt;&gt;""</formula>
    </cfRule>
  </conditionalFormatting>
  <conditionalFormatting sqref="B1857">
    <cfRule type="expression" dxfId="7479" priority="4341">
      <formula>B1857&lt;&gt;""</formula>
    </cfRule>
  </conditionalFormatting>
  <conditionalFormatting sqref="B1861">
    <cfRule type="expression" dxfId="7478" priority="4340">
      <formula>B1857&lt;&gt;""</formula>
    </cfRule>
  </conditionalFormatting>
  <conditionalFormatting sqref="F1857:F1861">
    <cfRule type="expression" dxfId="7477" priority="4336">
      <formula>F1857&lt;&gt;""</formula>
    </cfRule>
  </conditionalFormatting>
  <conditionalFormatting sqref="F1857">
    <cfRule type="expression" dxfId="7476" priority="4335">
      <formula>F1857&lt;&gt;""</formula>
    </cfRule>
  </conditionalFormatting>
  <conditionalFormatting sqref="F1861">
    <cfRule type="expression" dxfId="7475" priority="4334">
      <formula>F1857&lt;&gt;""</formula>
    </cfRule>
  </conditionalFormatting>
  <conditionalFormatting sqref="C1857:C1861">
    <cfRule type="expression" dxfId="7474" priority="4333">
      <formula>D1857&lt;&gt;""</formula>
    </cfRule>
  </conditionalFormatting>
  <conditionalFormatting sqref="E1857:E1861">
    <cfRule type="expression" dxfId="7473" priority="4332">
      <formula>F1857&lt;&gt;""</formula>
    </cfRule>
  </conditionalFormatting>
  <conditionalFormatting sqref="G1857:G1861">
    <cfRule type="expression" dxfId="7472" priority="4331">
      <formula>H1857&lt;&gt;""</formula>
    </cfRule>
  </conditionalFormatting>
  <conditionalFormatting sqref="H1857:H1861">
    <cfRule type="expression" dxfId="7471" priority="4330">
      <formula>H1857&lt;&gt;""</formula>
    </cfRule>
  </conditionalFormatting>
  <conditionalFormatting sqref="H1857">
    <cfRule type="expression" dxfId="7470" priority="4329">
      <formula>H1857&lt;&gt;""</formula>
    </cfRule>
  </conditionalFormatting>
  <conditionalFormatting sqref="H1861">
    <cfRule type="expression" dxfId="7469" priority="4328">
      <formula>H1857&lt;&gt;""</formula>
    </cfRule>
  </conditionalFormatting>
  <conditionalFormatting sqref="D1829:D1833">
    <cfRule type="expression" dxfId="7468" priority="4297">
      <formula>D1829&lt;&gt;""</formula>
    </cfRule>
  </conditionalFormatting>
  <conditionalFormatting sqref="D1829">
    <cfRule type="expression" dxfId="7467" priority="4296">
      <formula>D1829&lt;&gt;""</formula>
    </cfRule>
  </conditionalFormatting>
  <conditionalFormatting sqref="D1833">
    <cfRule type="expression" dxfId="7466" priority="4295">
      <formula>D1829&lt;&gt;""</formula>
    </cfRule>
  </conditionalFormatting>
  <conditionalFormatting sqref="I1818:I1819 C1819:H1819 B1819:B1820">
    <cfRule type="expression" dxfId="7465" priority="4285">
      <formula>$B1821&lt;&gt;""</formula>
    </cfRule>
  </conditionalFormatting>
  <conditionalFormatting sqref="D1821:D1825">
    <cfRule type="expression" dxfId="7464" priority="4319">
      <formula>D1821&lt;&gt;""</formula>
    </cfRule>
  </conditionalFormatting>
  <conditionalFormatting sqref="D1821">
    <cfRule type="expression" dxfId="7463" priority="4318">
      <formula>D1821&lt;&gt;""</formula>
    </cfRule>
  </conditionalFormatting>
  <conditionalFormatting sqref="D1825">
    <cfRule type="expression" dxfId="7462" priority="4317">
      <formula>D1821&lt;&gt;""</formula>
    </cfRule>
  </conditionalFormatting>
  <conditionalFormatting sqref="C1821:C1825">
    <cfRule type="expression" dxfId="7461" priority="4326">
      <formula>D1821&lt;&gt;""</formula>
    </cfRule>
  </conditionalFormatting>
  <conditionalFormatting sqref="E1821:E1825">
    <cfRule type="expression" dxfId="7460" priority="4325">
      <formula>F1821&lt;&gt;""</formula>
    </cfRule>
  </conditionalFormatting>
  <conditionalFormatting sqref="G1821:G1825">
    <cfRule type="expression" dxfId="7459" priority="4324">
      <formula>H1821&lt;&gt;""</formula>
    </cfRule>
  </conditionalFormatting>
  <conditionalFormatting sqref="I1821:I1825">
    <cfRule type="expression" dxfId="7458" priority="4323">
      <formula>B1829&lt;&gt;""</formula>
    </cfRule>
  </conditionalFormatting>
  <conditionalFormatting sqref="B1821:B1825">
    <cfRule type="expression" dxfId="7457" priority="4322">
      <formula>B1821&lt;&gt;""</formula>
    </cfRule>
  </conditionalFormatting>
  <conditionalFormatting sqref="B1821">
    <cfRule type="expression" dxfId="7456" priority="4321">
      <formula>B1821&lt;&gt;""</formula>
    </cfRule>
  </conditionalFormatting>
  <conditionalFormatting sqref="B1825">
    <cfRule type="expression" dxfId="7455" priority="4320">
      <formula>B1821&lt;&gt;""</formula>
    </cfRule>
  </conditionalFormatting>
  <conditionalFormatting sqref="F1821:F1825">
    <cfRule type="expression" dxfId="7454" priority="4316">
      <formula>F1821&lt;&gt;""</formula>
    </cfRule>
  </conditionalFormatting>
  <conditionalFormatting sqref="F1821">
    <cfRule type="expression" dxfId="7453" priority="4315">
      <formula>F1821&lt;&gt;""</formula>
    </cfRule>
  </conditionalFormatting>
  <conditionalFormatting sqref="F1825">
    <cfRule type="expression" dxfId="7452" priority="4314">
      <formula>F1821&lt;&gt;""</formula>
    </cfRule>
  </conditionalFormatting>
  <conditionalFormatting sqref="H1821:H1825">
    <cfRule type="expression" dxfId="7451" priority="4313">
      <formula>H1821&lt;&gt;""</formula>
    </cfRule>
  </conditionalFormatting>
  <conditionalFormatting sqref="H1821">
    <cfRule type="expression" dxfId="7450" priority="4312">
      <formula>H1821&lt;&gt;""</formula>
    </cfRule>
  </conditionalFormatting>
  <conditionalFormatting sqref="H1825">
    <cfRule type="expression" dxfId="7449" priority="4311">
      <formula>H1821&lt;&gt;""</formula>
    </cfRule>
  </conditionalFormatting>
  <conditionalFormatting sqref="F1813:F1817">
    <cfRule type="expression" dxfId="7448" priority="4310">
      <formula>F1813&lt;&gt;""</formula>
    </cfRule>
  </conditionalFormatting>
  <conditionalFormatting sqref="F1813">
    <cfRule type="expression" dxfId="7447" priority="4309">
      <formula>F1813&lt;&gt;""</formula>
    </cfRule>
  </conditionalFormatting>
  <conditionalFormatting sqref="F1817">
    <cfRule type="expression" dxfId="7446" priority="4308">
      <formula>F1813&lt;&gt;""</formula>
    </cfRule>
  </conditionalFormatting>
  <conditionalFormatting sqref="E1813:E1817">
    <cfRule type="expression" dxfId="7445" priority="4307">
      <formula>F1813&lt;&gt;""</formula>
    </cfRule>
  </conditionalFormatting>
  <conditionalFormatting sqref="G1813:G1817">
    <cfRule type="expression" dxfId="7444" priority="4306">
      <formula>H1813&lt;&gt;""</formula>
    </cfRule>
  </conditionalFormatting>
  <conditionalFormatting sqref="I1813:I1817">
    <cfRule type="expression" dxfId="7443" priority="4305">
      <formula>B1821&lt;&gt;""</formula>
    </cfRule>
  </conditionalFormatting>
  <conditionalFormatting sqref="H1813:H1817">
    <cfRule type="expression" dxfId="7442" priority="4304">
      <formula>H1813&lt;&gt;""</formula>
    </cfRule>
  </conditionalFormatting>
  <conditionalFormatting sqref="H1813">
    <cfRule type="expression" dxfId="7441" priority="4303">
      <formula>H1813&lt;&gt;""</formula>
    </cfRule>
  </conditionalFormatting>
  <conditionalFormatting sqref="H1817">
    <cfRule type="expression" dxfId="7440" priority="4302">
      <formula>H1813&lt;&gt;""</formula>
    </cfRule>
  </conditionalFormatting>
  <conditionalFormatting sqref="I1826:I1827 C1827:H1827 B1827:B1828">
    <cfRule type="expression" dxfId="7439" priority="4301">
      <formula>$B1829&lt;&gt;""</formula>
    </cfRule>
  </conditionalFormatting>
  <conditionalFormatting sqref="B1829:B1833">
    <cfRule type="expression" dxfId="7438" priority="4300">
      <formula>B1829&lt;&gt;""</formula>
    </cfRule>
  </conditionalFormatting>
  <conditionalFormatting sqref="B1829">
    <cfRule type="expression" dxfId="7437" priority="4299">
      <formula>B1829&lt;&gt;""</formula>
    </cfRule>
  </conditionalFormatting>
  <conditionalFormatting sqref="B1833">
    <cfRule type="expression" dxfId="7436" priority="4298">
      <formula>B1829&lt;&gt;""</formula>
    </cfRule>
  </conditionalFormatting>
  <conditionalFormatting sqref="F1829:F1833">
    <cfRule type="expression" dxfId="7435" priority="4294">
      <formula>F1829&lt;&gt;""</formula>
    </cfRule>
  </conditionalFormatting>
  <conditionalFormatting sqref="F1829">
    <cfRule type="expression" dxfId="7434" priority="4293">
      <formula>F1829&lt;&gt;""</formula>
    </cfRule>
  </conditionalFormatting>
  <conditionalFormatting sqref="F1833">
    <cfRule type="expression" dxfId="7433" priority="4292">
      <formula>F1829&lt;&gt;""</formula>
    </cfRule>
  </conditionalFormatting>
  <conditionalFormatting sqref="C1829:C1833">
    <cfRule type="expression" dxfId="7432" priority="4291">
      <formula>D1829&lt;&gt;""</formula>
    </cfRule>
  </conditionalFormatting>
  <conditionalFormatting sqref="E1829:E1833">
    <cfRule type="expression" dxfId="7431" priority="4290">
      <formula>F1829&lt;&gt;""</formula>
    </cfRule>
  </conditionalFormatting>
  <conditionalFormatting sqref="G1829:G1833">
    <cfRule type="expression" dxfId="7430" priority="4289">
      <formula>H1829&lt;&gt;""</formula>
    </cfRule>
  </conditionalFormatting>
  <conditionalFormatting sqref="H1829:H1833">
    <cfRule type="expression" dxfId="7429" priority="4288">
      <formula>H1829&lt;&gt;""</formula>
    </cfRule>
  </conditionalFormatting>
  <conditionalFormatting sqref="H1829">
    <cfRule type="expression" dxfId="7428" priority="4287">
      <formula>H1829&lt;&gt;""</formula>
    </cfRule>
  </conditionalFormatting>
  <conditionalFormatting sqref="H1833">
    <cfRule type="expression" dxfId="7427" priority="4286">
      <formula>H1829&lt;&gt;""</formula>
    </cfRule>
  </conditionalFormatting>
  <conditionalFormatting sqref="D1801:D1805">
    <cfRule type="expression" dxfId="7426" priority="4255">
      <formula>D1801&lt;&gt;""</formula>
    </cfRule>
  </conditionalFormatting>
  <conditionalFormatting sqref="D1801">
    <cfRule type="expression" dxfId="7425" priority="4254">
      <formula>D1801&lt;&gt;""</formula>
    </cfRule>
  </conditionalFormatting>
  <conditionalFormatting sqref="D1805">
    <cfRule type="expression" dxfId="7424" priority="4253">
      <formula>D1801&lt;&gt;""</formula>
    </cfRule>
  </conditionalFormatting>
  <conditionalFormatting sqref="I1790:I1791 C1791:H1791 B1791:B1792">
    <cfRule type="expression" dxfId="7423" priority="4243">
      <formula>$B1793&lt;&gt;""</formula>
    </cfRule>
  </conditionalFormatting>
  <conditionalFormatting sqref="D1793:D1797">
    <cfRule type="expression" dxfId="7422" priority="4277">
      <formula>D1793&lt;&gt;""</formula>
    </cfRule>
  </conditionalFormatting>
  <conditionalFormatting sqref="D1793">
    <cfRule type="expression" dxfId="7421" priority="4276">
      <formula>D1793&lt;&gt;""</formula>
    </cfRule>
  </conditionalFormatting>
  <conditionalFormatting sqref="D1797">
    <cfRule type="expression" dxfId="7420" priority="4275">
      <formula>D1793&lt;&gt;""</formula>
    </cfRule>
  </conditionalFormatting>
  <conditionalFormatting sqref="C1793:C1797">
    <cfRule type="expression" dxfId="7419" priority="4284">
      <formula>D1793&lt;&gt;""</formula>
    </cfRule>
  </conditionalFormatting>
  <conditionalFormatting sqref="E1793:E1797">
    <cfRule type="expression" dxfId="7418" priority="4283">
      <formula>F1793&lt;&gt;""</formula>
    </cfRule>
  </conditionalFormatting>
  <conditionalFormatting sqref="G1793:G1797">
    <cfRule type="expression" dxfId="7417" priority="4282">
      <formula>H1793&lt;&gt;""</formula>
    </cfRule>
  </conditionalFormatting>
  <conditionalFormatting sqref="I1793:I1797">
    <cfRule type="expression" dxfId="7416" priority="4281">
      <formula>B1801&lt;&gt;""</formula>
    </cfRule>
  </conditionalFormatting>
  <conditionalFormatting sqref="B1793:B1797">
    <cfRule type="expression" dxfId="7415" priority="4280">
      <formula>B1793&lt;&gt;""</formula>
    </cfRule>
  </conditionalFormatting>
  <conditionalFormatting sqref="B1793">
    <cfRule type="expression" dxfId="7414" priority="4279">
      <formula>B1793&lt;&gt;""</formula>
    </cfRule>
  </conditionalFormatting>
  <conditionalFormatting sqref="B1797">
    <cfRule type="expression" dxfId="7413" priority="4278">
      <formula>B1793&lt;&gt;""</formula>
    </cfRule>
  </conditionalFormatting>
  <conditionalFormatting sqref="F1793:F1797">
    <cfRule type="expression" dxfId="7412" priority="4274">
      <formula>F1793&lt;&gt;""</formula>
    </cfRule>
  </conditionalFormatting>
  <conditionalFormatting sqref="F1793">
    <cfRule type="expression" dxfId="7411" priority="4273">
      <formula>F1793&lt;&gt;""</formula>
    </cfRule>
  </conditionalFormatting>
  <conditionalFormatting sqref="F1797">
    <cfRule type="expression" dxfId="7410" priority="4272">
      <formula>F1793&lt;&gt;""</formula>
    </cfRule>
  </conditionalFormatting>
  <conditionalFormatting sqref="H1793:H1797">
    <cfRule type="expression" dxfId="7409" priority="4271">
      <formula>H1793&lt;&gt;""</formula>
    </cfRule>
  </conditionalFormatting>
  <conditionalFormatting sqref="H1793">
    <cfRule type="expression" dxfId="7408" priority="4270">
      <formula>H1793&lt;&gt;""</formula>
    </cfRule>
  </conditionalFormatting>
  <conditionalFormatting sqref="H1797">
    <cfRule type="expression" dxfId="7407" priority="4269">
      <formula>H1793&lt;&gt;""</formula>
    </cfRule>
  </conditionalFormatting>
  <conditionalFormatting sqref="F1785:F1789">
    <cfRule type="expression" dxfId="7406" priority="4268">
      <formula>F1785&lt;&gt;""</formula>
    </cfRule>
  </conditionalFormatting>
  <conditionalFormatting sqref="F1785">
    <cfRule type="expression" dxfId="7405" priority="4267">
      <formula>F1785&lt;&gt;""</formula>
    </cfRule>
  </conditionalFormatting>
  <conditionalFormatting sqref="F1789">
    <cfRule type="expression" dxfId="7404" priority="4266">
      <formula>F1785&lt;&gt;""</formula>
    </cfRule>
  </conditionalFormatting>
  <conditionalFormatting sqref="E1785:E1789">
    <cfRule type="expression" dxfId="7403" priority="4265">
      <formula>F1785&lt;&gt;""</formula>
    </cfRule>
  </conditionalFormatting>
  <conditionalFormatting sqref="G1785:G1789">
    <cfRule type="expression" dxfId="7402" priority="4264">
      <formula>H1785&lt;&gt;""</formula>
    </cfRule>
  </conditionalFormatting>
  <conditionalFormatting sqref="I1785:I1789">
    <cfRule type="expression" dxfId="7401" priority="4263">
      <formula>B1793&lt;&gt;""</formula>
    </cfRule>
  </conditionalFormatting>
  <conditionalFormatting sqref="H1785:H1789">
    <cfRule type="expression" dxfId="7400" priority="4262">
      <formula>H1785&lt;&gt;""</formula>
    </cfRule>
  </conditionalFormatting>
  <conditionalFormatting sqref="H1785">
    <cfRule type="expression" dxfId="7399" priority="4261">
      <formula>H1785&lt;&gt;""</formula>
    </cfRule>
  </conditionalFormatting>
  <conditionalFormatting sqref="H1789">
    <cfRule type="expression" dxfId="7398" priority="4260">
      <formula>H1785&lt;&gt;""</formula>
    </cfRule>
  </conditionalFormatting>
  <conditionalFormatting sqref="I1798:I1799 C1799:H1799 B1799:B1800">
    <cfRule type="expression" dxfId="7397" priority="4259">
      <formula>$B1801&lt;&gt;""</formula>
    </cfRule>
  </conditionalFormatting>
  <conditionalFormatting sqref="B1801:B1805">
    <cfRule type="expression" dxfId="7396" priority="4258">
      <formula>B1801&lt;&gt;""</formula>
    </cfRule>
  </conditionalFormatting>
  <conditionalFormatting sqref="B1801">
    <cfRule type="expression" dxfId="7395" priority="4257">
      <formula>B1801&lt;&gt;""</formula>
    </cfRule>
  </conditionalFormatting>
  <conditionalFormatting sqref="B1805">
    <cfRule type="expression" dxfId="7394" priority="4256">
      <formula>B1801&lt;&gt;""</formula>
    </cfRule>
  </conditionalFormatting>
  <conditionalFormatting sqref="F1801:F1805">
    <cfRule type="expression" dxfId="7393" priority="4252">
      <formula>F1801&lt;&gt;""</formula>
    </cfRule>
  </conditionalFormatting>
  <conditionalFormatting sqref="F1801">
    <cfRule type="expression" dxfId="7392" priority="4251">
      <formula>F1801&lt;&gt;""</formula>
    </cfRule>
  </conditionalFormatting>
  <conditionalFormatting sqref="F1805">
    <cfRule type="expression" dxfId="7391" priority="4250">
      <formula>F1801&lt;&gt;""</formula>
    </cfRule>
  </conditionalFormatting>
  <conditionalFormatting sqref="C1801:C1805">
    <cfRule type="expression" dxfId="7390" priority="4249">
      <formula>D1801&lt;&gt;""</formula>
    </cfRule>
  </conditionalFormatting>
  <conditionalFormatting sqref="E1801:E1805">
    <cfRule type="expression" dxfId="7389" priority="4248">
      <formula>F1801&lt;&gt;""</formula>
    </cfRule>
  </conditionalFormatting>
  <conditionalFormatting sqref="G1801:G1805">
    <cfRule type="expression" dxfId="7388" priority="4247">
      <formula>H1801&lt;&gt;""</formula>
    </cfRule>
  </conditionalFormatting>
  <conditionalFormatting sqref="H1801:H1805">
    <cfRule type="expression" dxfId="7387" priority="4246">
      <formula>H1801&lt;&gt;""</formula>
    </cfRule>
  </conditionalFormatting>
  <conditionalFormatting sqref="H1801">
    <cfRule type="expression" dxfId="7386" priority="4245">
      <formula>H1801&lt;&gt;""</formula>
    </cfRule>
  </conditionalFormatting>
  <conditionalFormatting sqref="H1805">
    <cfRule type="expression" dxfId="7385" priority="4244">
      <formula>H1801&lt;&gt;""</formula>
    </cfRule>
  </conditionalFormatting>
  <conditionalFormatting sqref="D1773:D1777">
    <cfRule type="expression" dxfId="7384" priority="4213">
      <formula>D1773&lt;&gt;""</formula>
    </cfRule>
  </conditionalFormatting>
  <conditionalFormatting sqref="D1773">
    <cfRule type="expression" dxfId="7383" priority="4212">
      <formula>D1773&lt;&gt;""</formula>
    </cfRule>
  </conditionalFormatting>
  <conditionalFormatting sqref="D1777">
    <cfRule type="expression" dxfId="7382" priority="4211">
      <formula>D1773&lt;&gt;""</formula>
    </cfRule>
  </conditionalFormatting>
  <conditionalFormatting sqref="I1762:I1763 C1763:H1763 B1763:B1764">
    <cfRule type="expression" dxfId="7381" priority="4201">
      <formula>$B1765&lt;&gt;""</formula>
    </cfRule>
  </conditionalFormatting>
  <conditionalFormatting sqref="D1765:D1769">
    <cfRule type="expression" dxfId="7380" priority="4235">
      <formula>D1765&lt;&gt;""</formula>
    </cfRule>
  </conditionalFormatting>
  <conditionalFormatting sqref="D1765">
    <cfRule type="expression" dxfId="7379" priority="4234">
      <formula>D1765&lt;&gt;""</formula>
    </cfRule>
  </conditionalFormatting>
  <conditionalFormatting sqref="D1769">
    <cfRule type="expression" dxfId="7378" priority="4233">
      <formula>D1765&lt;&gt;""</formula>
    </cfRule>
  </conditionalFormatting>
  <conditionalFormatting sqref="C1765:C1769">
    <cfRule type="expression" dxfId="7377" priority="4242">
      <formula>D1765&lt;&gt;""</formula>
    </cfRule>
  </conditionalFormatting>
  <conditionalFormatting sqref="E1765:E1769">
    <cfRule type="expression" dxfId="7376" priority="4241">
      <formula>F1765&lt;&gt;""</formula>
    </cfRule>
  </conditionalFormatting>
  <conditionalFormatting sqref="G1765:G1769">
    <cfRule type="expression" dxfId="7375" priority="4240">
      <formula>H1765&lt;&gt;""</formula>
    </cfRule>
  </conditionalFormatting>
  <conditionalFormatting sqref="I1765:I1769">
    <cfRule type="expression" dxfId="7374" priority="4239">
      <formula>B1773&lt;&gt;""</formula>
    </cfRule>
  </conditionalFormatting>
  <conditionalFormatting sqref="B1765:B1769">
    <cfRule type="expression" dxfId="7373" priority="4238">
      <formula>B1765&lt;&gt;""</formula>
    </cfRule>
  </conditionalFormatting>
  <conditionalFormatting sqref="B1765">
    <cfRule type="expression" dxfId="7372" priority="4237">
      <formula>B1765&lt;&gt;""</formula>
    </cfRule>
  </conditionalFormatting>
  <conditionalFormatting sqref="B1769">
    <cfRule type="expression" dxfId="7371" priority="4236">
      <formula>B1765&lt;&gt;""</formula>
    </cfRule>
  </conditionalFormatting>
  <conditionalFormatting sqref="F1765:F1769">
    <cfRule type="expression" dxfId="7370" priority="4232">
      <formula>F1765&lt;&gt;""</formula>
    </cfRule>
  </conditionalFormatting>
  <conditionalFormatting sqref="F1765">
    <cfRule type="expression" dxfId="7369" priority="4231">
      <formula>F1765&lt;&gt;""</formula>
    </cfRule>
  </conditionalFormatting>
  <conditionalFormatting sqref="F1769">
    <cfRule type="expression" dxfId="7368" priority="4230">
      <formula>F1765&lt;&gt;""</formula>
    </cfRule>
  </conditionalFormatting>
  <conditionalFormatting sqref="H1765:H1769">
    <cfRule type="expression" dxfId="7367" priority="4229">
      <formula>H1765&lt;&gt;""</formula>
    </cfRule>
  </conditionalFormatting>
  <conditionalFormatting sqref="H1765">
    <cfRule type="expression" dxfId="7366" priority="4228">
      <formula>H1765&lt;&gt;""</formula>
    </cfRule>
  </conditionalFormatting>
  <conditionalFormatting sqref="H1769">
    <cfRule type="expression" dxfId="7365" priority="4227">
      <formula>H1765&lt;&gt;""</formula>
    </cfRule>
  </conditionalFormatting>
  <conditionalFormatting sqref="F1757:F1761">
    <cfRule type="expression" dxfId="7364" priority="4226">
      <formula>F1757&lt;&gt;""</formula>
    </cfRule>
  </conditionalFormatting>
  <conditionalFormatting sqref="F1757">
    <cfRule type="expression" dxfId="7363" priority="4225">
      <formula>F1757&lt;&gt;""</formula>
    </cfRule>
  </conditionalFormatting>
  <conditionalFormatting sqref="F1761">
    <cfRule type="expression" dxfId="7362" priority="4224">
      <formula>F1757&lt;&gt;""</formula>
    </cfRule>
  </conditionalFormatting>
  <conditionalFormatting sqref="E1757:E1761">
    <cfRule type="expression" dxfId="7361" priority="4223">
      <formula>F1757&lt;&gt;""</formula>
    </cfRule>
  </conditionalFormatting>
  <conditionalFormatting sqref="G1757:G1761">
    <cfRule type="expression" dxfId="7360" priority="4222">
      <formula>H1757&lt;&gt;""</formula>
    </cfRule>
  </conditionalFormatting>
  <conditionalFormatting sqref="I1757:I1761">
    <cfRule type="expression" dxfId="7359" priority="4221">
      <formula>B1765&lt;&gt;""</formula>
    </cfRule>
  </conditionalFormatting>
  <conditionalFormatting sqref="H1757:H1761">
    <cfRule type="expression" dxfId="7358" priority="4220">
      <formula>H1757&lt;&gt;""</formula>
    </cfRule>
  </conditionalFormatting>
  <conditionalFormatting sqref="H1757">
    <cfRule type="expression" dxfId="7357" priority="4219">
      <formula>H1757&lt;&gt;""</formula>
    </cfRule>
  </conditionalFormatting>
  <conditionalFormatting sqref="H1761">
    <cfRule type="expression" dxfId="7356" priority="4218">
      <formula>H1757&lt;&gt;""</formula>
    </cfRule>
  </conditionalFormatting>
  <conditionalFormatting sqref="I1770:I1771 C1771:H1771 B1771:B1772">
    <cfRule type="expression" dxfId="7355" priority="4217">
      <formula>$B1773&lt;&gt;""</formula>
    </cfRule>
  </conditionalFormatting>
  <conditionalFormatting sqref="B1773:B1777">
    <cfRule type="expression" dxfId="7354" priority="4216">
      <formula>B1773&lt;&gt;""</formula>
    </cfRule>
  </conditionalFormatting>
  <conditionalFormatting sqref="B1773">
    <cfRule type="expression" dxfId="7353" priority="4215">
      <formula>B1773&lt;&gt;""</formula>
    </cfRule>
  </conditionalFormatting>
  <conditionalFormatting sqref="B1777">
    <cfRule type="expression" dxfId="7352" priority="4214">
      <formula>B1773&lt;&gt;""</formula>
    </cfRule>
  </conditionalFormatting>
  <conditionalFormatting sqref="F1773:F1777">
    <cfRule type="expression" dxfId="7351" priority="4210">
      <formula>F1773&lt;&gt;""</formula>
    </cfRule>
  </conditionalFormatting>
  <conditionalFormatting sqref="F1773">
    <cfRule type="expression" dxfId="7350" priority="4209">
      <formula>F1773&lt;&gt;""</formula>
    </cfRule>
  </conditionalFormatting>
  <conditionalFormatting sqref="F1777">
    <cfRule type="expression" dxfId="7349" priority="4208">
      <formula>F1773&lt;&gt;""</formula>
    </cfRule>
  </conditionalFormatting>
  <conditionalFormatting sqref="C1773:C1777">
    <cfRule type="expression" dxfId="7348" priority="4207">
      <formula>D1773&lt;&gt;""</formula>
    </cfRule>
  </conditionalFormatting>
  <conditionalFormatting sqref="E1773:E1777">
    <cfRule type="expression" dxfId="7347" priority="4206">
      <formula>F1773&lt;&gt;""</formula>
    </cfRule>
  </conditionalFormatting>
  <conditionalFormatting sqref="G1773:G1777">
    <cfRule type="expression" dxfId="7346" priority="4205">
      <formula>H1773&lt;&gt;""</formula>
    </cfRule>
  </conditionalFormatting>
  <conditionalFormatting sqref="H1773:H1777">
    <cfRule type="expression" dxfId="7345" priority="4204">
      <formula>H1773&lt;&gt;""</formula>
    </cfRule>
  </conditionalFormatting>
  <conditionalFormatting sqref="H1773">
    <cfRule type="expression" dxfId="7344" priority="4203">
      <formula>H1773&lt;&gt;""</formula>
    </cfRule>
  </conditionalFormatting>
  <conditionalFormatting sqref="H1777">
    <cfRule type="expression" dxfId="7343" priority="4202">
      <formula>H1773&lt;&gt;""</formula>
    </cfRule>
  </conditionalFormatting>
  <conditionalFormatting sqref="D1745:D1749">
    <cfRule type="expression" dxfId="7342" priority="4171">
      <formula>D1745&lt;&gt;""</formula>
    </cfRule>
  </conditionalFormatting>
  <conditionalFormatting sqref="D1745">
    <cfRule type="expression" dxfId="7341" priority="4170">
      <formula>D1745&lt;&gt;""</formula>
    </cfRule>
  </conditionalFormatting>
  <conditionalFormatting sqref="D1749">
    <cfRule type="expression" dxfId="7340" priority="4169">
      <formula>D1745&lt;&gt;""</formula>
    </cfRule>
  </conditionalFormatting>
  <conditionalFormatting sqref="I1734:I1735 C1735:H1735 B1735:B1736">
    <cfRule type="expression" dxfId="7339" priority="4159">
      <formula>$B1737&lt;&gt;""</formula>
    </cfRule>
  </conditionalFormatting>
  <conditionalFormatting sqref="D1737:D1741">
    <cfRule type="expression" dxfId="7338" priority="4193">
      <formula>D1737&lt;&gt;""</formula>
    </cfRule>
  </conditionalFormatting>
  <conditionalFormatting sqref="D1737">
    <cfRule type="expression" dxfId="7337" priority="4192">
      <formula>D1737&lt;&gt;""</formula>
    </cfRule>
  </conditionalFormatting>
  <conditionalFormatting sqref="D1741">
    <cfRule type="expression" dxfId="7336" priority="4191">
      <formula>D1737&lt;&gt;""</formula>
    </cfRule>
  </conditionalFormatting>
  <conditionalFormatting sqref="C1737:C1741">
    <cfRule type="expression" dxfId="7335" priority="4200">
      <formula>D1737&lt;&gt;""</formula>
    </cfRule>
  </conditionalFormatting>
  <conditionalFormatting sqref="E1737:E1741">
    <cfRule type="expression" dxfId="7334" priority="4199">
      <formula>F1737&lt;&gt;""</formula>
    </cfRule>
  </conditionalFormatting>
  <conditionalFormatting sqref="G1737:G1741">
    <cfRule type="expression" dxfId="7333" priority="4198">
      <formula>H1737&lt;&gt;""</formula>
    </cfRule>
  </conditionalFormatting>
  <conditionalFormatting sqref="I1737:I1741">
    <cfRule type="expression" dxfId="7332" priority="4197">
      <formula>B1745&lt;&gt;""</formula>
    </cfRule>
  </conditionalFormatting>
  <conditionalFormatting sqref="B1737:B1741">
    <cfRule type="expression" dxfId="7331" priority="4196">
      <formula>B1737&lt;&gt;""</formula>
    </cfRule>
  </conditionalFormatting>
  <conditionalFormatting sqref="B1737">
    <cfRule type="expression" dxfId="7330" priority="4195">
      <formula>B1737&lt;&gt;""</formula>
    </cfRule>
  </conditionalFormatting>
  <conditionalFormatting sqref="B1741">
    <cfRule type="expression" dxfId="7329" priority="4194">
      <formula>B1737&lt;&gt;""</formula>
    </cfRule>
  </conditionalFormatting>
  <conditionalFormatting sqref="F1737:F1741">
    <cfRule type="expression" dxfId="7328" priority="4190">
      <formula>F1737&lt;&gt;""</formula>
    </cfRule>
  </conditionalFormatting>
  <conditionalFormatting sqref="F1737">
    <cfRule type="expression" dxfId="7327" priority="4189">
      <formula>F1737&lt;&gt;""</formula>
    </cfRule>
  </conditionalFormatting>
  <conditionalFormatting sqref="F1741">
    <cfRule type="expression" dxfId="7326" priority="4188">
      <formula>F1737&lt;&gt;""</formula>
    </cfRule>
  </conditionalFormatting>
  <conditionalFormatting sqref="H1737:H1741">
    <cfRule type="expression" dxfId="7325" priority="4187">
      <formula>H1737&lt;&gt;""</formula>
    </cfRule>
  </conditionalFormatting>
  <conditionalFormatting sqref="H1737">
    <cfRule type="expression" dxfId="7324" priority="4186">
      <formula>H1737&lt;&gt;""</formula>
    </cfRule>
  </conditionalFormatting>
  <conditionalFormatting sqref="H1741">
    <cfRule type="expression" dxfId="7323" priority="4185">
      <formula>H1737&lt;&gt;""</formula>
    </cfRule>
  </conditionalFormatting>
  <conditionalFormatting sqref="F1729:F1733">
    <cfRule type="expression" dxfId="7322" priority="4184">
      <formula>F1729&lt;&gt;""</formula>
    </cfRule>
  </conditionalFormatting>
  <conditionalFormatting sqref="F1729">
    <cfRule type="expression" dxfId="7321" priority="4183">
      <formula>F1729&lt;&gt;""</formula>
    </cfRule>
  </conditionalFormatting>
  <conditionalFormatting sqref="F1733">
    <cfRule type="expression" dxfId="7320" priority="4182">
      <formula>F1729&lt;&gt;""</formula>
    </cfRule>
  </conditionalFormatting>
  <conditionalFormatting sqref="E1729:E1733">
    <cfRule type="expression" dxfId="7319" priority="4181">
      <formula>F1729&lt;&gt;""</formula>
    </cfRule>
  </conditionalFormatting>
  <conditionalFormatting sqref="G1729:G1733">
    <cfRule type="expression" dxfId="7318" priority="4180">
      <formula>H1729&lt;&gt;""</formula>
    </cfRule>
  </conditionalFormatting>
  <conditionalFormatting sqref="I1729:I1733">
    <cfRule type="expression" dxfId="7317" priority="4179">
      <formula>B1737&lt;&gt;""</formula>
    </cfRule>
  </conditionalFormatting>
  <conditionalFormatting sqref="H1729:H1733">
    <cfRule type="expression" dxfId="7316" priority="4178">
      <formula>H1729&lt;&gt;""</formula>
    </cfRule>
  </conditionalFormatting>
  <conditionalFormatting sqref="H1729">
    <cfRule type="expression" dxfId="7315" priority="4177">
      <formula>H1729&lt;&gt;""</formula>
    </cfRule>
  </conditionalFormatting>
  <conditionalFormatting sqref="H1733">
    <cfRule type="expression" dxfId="7314" priority="4176">
      <formula>H1729&lt;&gt;""</formula>
    </cfRule>
  </conditionalFormatting>
  <conditionalFormatting sqref="I1742:I1743 C1743:H1743 B1743:B1744">
    <cfRule type="expression" dxfId="7313" priority="4175">
      <formula>$B1745&lt;&gt;""</formula>
    </cfRule>
  </conditionalFormatting>
  <conditionalFormatting sqref="B1745:B1749">
    <cfRule type="expression" dxfId="7312" priority="4174">
      <formula>B1745&lt;&gt;""</formula>
    </cfRule>
  </conditionalFormatting>
  <conditionalFormatting sqref="B1745">
    <cfRule type="expression" dxfId="7311" priority="4173">
      <formula>B1745&lt;&gt;""</formula>
    </cfRule>
  </conditionalFormatting>
  <conditionalFormatting sqref="B1749">
    <cfRule type="expression" dxfId="7310" priority="4172">
      <formula>B1745&lt;&gt;""</formula>
    </cfRule>
  </conditionalFormatting>
  <conditionalFormatting sqref="F1745:F1749">
    <cfRule type="expression" dxfId="7309" priority="4168">
      <formula>F1745&lt;&gt;""</formula>
    </cfRule>
  </conditionalFormatting>
  <conditionalFormatting sqref="F1745">
    <cfRule type="expression" dxfId="7308" priority="4167">
      <formula>F1745&lt;&gt;""</formula>
    </cfRule>
  </conditionalFormatting>
  <conditionalFormatting sqref="F1749">
    <cfRule type="expression" dxfId="7307" priority="4166">
      <formula>F1745&lt;&gt;""</formula>
    </cfRule>
  </conditionalFormatting>
  <conditionalFormatting sqref="C1745:C1749">
    <cfRule type="expression" dxfId="7306" priority="4165">
      <formula>D1745&lt;&gt;""</formula>
    </cfRule>
  </conditionalFormatting>
  <conditionalFormatting sqref="E1745:E1749">
    <cfRule type="expression" dxfId="7305" priority="4164">
      <formula>F1745&lt;&gt;""</formula>
    </cfRule>
  </conditionalFormatting>
  <conditionalFormatting sqref="G1745:G1749">
    <cfRule type="expression" dxfId="7304" priority="4163">
      <formula>H1745&lt;&gt;""</formula>
    </cfRule>
  </conditionalFormatting>
  <conditionalFormatting sqref="H1745:H1749">
    <cfRule type="expression" dxfId="7303" priority="4162">
      <formula>H1745&lt;&gt;""</formula>
    </cfRule>
  </conditionalFormatting>
  <conditionalFormatting sqref="H1745">
    <cfRule type="expression" dxfId="7302" priority="4161">
      <formula>H1745&lt;&gt;""</formula>
    </cfRule>
  </conditionalFormatting>
  <conditionalFormatting sqref="H1749">
    <cfRule type="expression" dxfId="7301" priority="4160">
      <formula>H1745&lt;&gt;""</formula>
    </cfRule>
  </conditionalFormatting>
  <conditionalFormatting sqref="D1717:D1721">
    <cfRule type="expression" dxfId="7300" priority="4129">
      <formula>D1717&lt;&gt;""</formula>
    </cfRule>
  </conditionalFormatting>
  <conditionalFormatting sqref="D1717">
    <cfRule type="expression" dxfId="7299" priority="4128">
      <formula>D1717&lt;&gt;""</formula>
    </cfRule>
  </conditionalFormatting>
  <conditionalFormatting sqref="D1721">
    <cfRule type="expression" dxfId="7298" priority="4127">
      <formula>D1717&lt;&gt;""</formula>
    </cfRule>
  </conditionalFormatting>
  <conditionalFormatting sqref="I1706:I1707 C1707:H1707 B1707:B1708">
    <cfRule type="expression" dxfId="7297" priority="4117">
      <formula>$B1709&lt;&gt;""</formula>
    </cfRule>
  </conditionalFormatting>
  <conditionalFormatting sqref="D1709:D1713">
    <cfRule type="expression" dxfId="7296" priority="4151">
      <formula>D1709&lt;&gt;""</formula>
    </cfRule>
  </conditionalFormatting>
  <conditionalFormatting sqref="D1709">
    <cfRule type="expression" dxfId="7295" priority="4150">
      <formula>D1709&lt;&gt;""</formula>
    </cfRule>
  </conditionalFormatting>
  <conditionalFormatting sqref="D1713">
    <cfRule type="expression" dxfId="7294" priority="4149">
      <formula>D1709&lt;&gt;""</formula>
    </cfRule>
  </conditionalFormatting>
  <conditionalFormatting sqref="C1709:C1713">
    <cfRule type="expression" dxfId="7293" priority="4158">
      <formula>D1709&lt;&gt;""</formula>
    </cfRule>
  </conditionalFormatting>
  <conditionalFormatting sqref="E1709:E1713">
    <cfRule type="expression" dxfId="7292" priority="4157">
      <formula>F1709&lt;&gt;""</formula>
    </cfRule>
  </conditionalFormatting>
  <conditionalFormatting sqref="G1709:G1713">
    <cfRule type="expression" dxfId="7291" priority="4156">
      <formula>H1709&lt;&gt;""</formula>
    </cfRule>
  </conditionalFormatting>
  <conditionalFormatting sqref="I1709:I1713">
    <cfRule type="expression" dxfId="7290" priority="4155">
      <formula>B1717&lt;&gt;""</formula>
    </cfRule>
  </conditionalFormatting>
  <conditionalFormatting sqref="B1709:B1713">
    <cfRule type="expression" dxfId="7289" priority="4154">
      <formula>B1709&lt;&gt;""</formula>
    </cfRule>
  </conditionalFormatting>
  <conditionalFormatting sqref="B1709">
    <cfRule type="expression" dxfId="7288" priority="4153">
      <formula>B1709&lt;&gt;""</formula>
    </cfRule>
  </conditionalFormatting>
  <conditionalFormatting sqref="B1713">
    <cfRule type="expression" dxfId="7287" priority="4152">
      <formula>B1709&lt;&gt;""</formula>
    </cfRule>
  </conditionalFormatting>
  <conditionalFormatting sqref="F1709:F1713">
    <cfRule type="expression" dxfId="7286" priority="4148">
      <formula>F1709&lt;&gt;""</formula>
    </cfRule>
  </conditionalFormatting>
  <conditionalFormatting sqref="F1709">
    <cfRule type="expression" dxfId="7285" priority="4147">
      <formula>F1709&lt;&gt;""</formula>
    </cfRule>
  </conditionalFormatting>
  <conditionalFormatting sqref="F1713">
    <cfRule type="expression" dxfId="7284" priority="4146">
      <formula>F1709&lt;&gt;""</formula>
    </cfRule>
  </conditionalFormatting>
  <conditionalFormatting sqref="H1709:H1713">
    <cfRule type="expression" dxfId="7283" priority="4145">
      <formula>H1709&lt;&gt;""</formula>
    </cfRule>
  </conditionalFormatting>
  <conditionalFormatting sqref="H1709">
    <cfRule type="expression" dxfId="7282" priority="4144">
      <formula>H1709&lt;&gt;""</formula>
    </cfRule>
  </conditionalFormatting>
  <conditionalFormatting sqref="H1713">
    <cfRule type="expression" dxfId="7281" priority="4143">
      <formula>H1709&lt;&gt;""</formula>
    </cfRule>
  </conditionalFormatting>
  <conditionalFormatting sqref="F1701:F1705">
    <cfRule type="expression" dxfId="7280" priority="4142">
      <formula>F1701&lt;&gt;""</formula>
    </cfRule>
  </conditionalFormatting>
  <conditionalFormatting sqref="F1701">
    <cfRule type="expression" dxfId="7279" priority="4141">
      <formula>F1701&lt;&gt;""</formula>
    </cfRule>
  </conditionalFormatting>
  <conditionalFormatting sqref="F1705">
    <cfRule type="expression" dxfId="7278" priority="4140">
      <formula>F1701&lt;&gt;""</formula>
    </cfRule>
  </conditionalFormatting>
  <conditionalFormatting sqref="E1701:E1705">
    <cfRule type="expression" dxfId="7277" priority="4139">
      <formula>F1701&lt;&gt;""</formula>
    </cfRule>
  </conditionalFormatting>
  <conditionalFormatting sqref="G1701:G1705">
    <cfRule type="expression" dxfId="7276" priority="4138">
      <formula>H1701&lt;&gt;""</formula>
    </cfRule>
  </conditionalFormatting>
  <conditionalFormatting sqref="I1701:I1705">
    <cfRule type="expression" dxfId="7275" priority="4137">
      <formula>B1709&lt;&gt;""</formula>
    </cfRule>
  </conditionalFormatting>
  <conditionalFormatting sqref="H1701:H1705">
    <cfRule type="expression" dxfId="7274" priority="4136">
      <formula>H1701&lt;&gt;""</formula>
    </cfRule>
  </conditionalFormatting>
  <conditionalFormatting sqref="H1701">
    <cfRule type="expression" dxfId="7273" priority="4135">
      <formula>H1701&lt;&gt;""</formula>
    </cfRule>
  </conditionalFormatting>
  <conditionalFormatting sqref="H1705">
    <cfRule type="expression" dxfId="7272" priority="4134">
      <formula>H1701&lt;&gt;""</formula>
    </cfRule>
  </conditionalFormatting>
  <conditionalFormatting sqref="I1714:I1715 C1715:H1715 B1715:B1716">
    <cfRule type="expression" dxfId="7271" priority="4133">
      <formula>$B1717&lt;&gt;""</formula>
    </cfRule>
  </conditionalFormatting>
  <conditionalFormatting sqref="B1717:B1721">
    <cfRule type="expression" dxfId="7270" priority="4132">
      <formula>B1717&lt;&gt;""</formula>
    </cfRule>
  </conditionalFormatting>
  <conditionalFormatting sqref="B1717">
    <cfRule type="expression" dxfId="7269" priority="4131">
      <formula>B1717&lt;&gt;""</formula>
    </cfRule>
  </conditionalFormatting>
  <conditionalFormatting sqref="B1721">
    <cfRule type="expression" dxfId="7268" priority="4130">
      <formula>B1717&lt;&gt;""</formula>
    </cfRule>
  </conditionalFormatting>
  <conditionalFormatting sqref="F1717:F1721">
    <cfRule type="expression" dxfId="7267" priority="4126">
      <formula>F1717&lt;&gt;""</formula>
    </cfRule>
  </conditionalFormatting>
  <conditionalFormatting sqref="F1717">
    <cfRule type="expression" dxfId="7266" priority="4125">
      <formula>F1717&lt;&gt;""</formula>
    </cfRule>
  </conditionalFormatting>
  <conditionalFormatting sqref="F1721">
    <cfRule type="expression" dxfId="7265" priority="4124">
      <formula>F1717&lt;&gt;""</formula>
    </cfRule>
  </conditionalFormatting>
  <conditionalFormatting sqref="C1717:C1721">
    <cfRule type="expression" dxfId="7264" priority="4123">
      <formula>D1717&lt;&gt;""</formula>
    </cfRule>
  </conditionalFormatting>
  <conditionalFormatting sqref="E1717:E1721">
    <cfRule type="expression" dxfId="7263" priority="4122">
      <formula>F1717&lt;&gt;""</formula>
    </cfRule>
  </conditionalFormatting>
  <conditionalFormatting sqref="G1717:G1721">
    <cfRule type="expression" dxfId="7262" priority="4121">
      <formula>H1717&lt;&gt;""</formula>
    </cfRule>
  </conditionalFormatting>
  <conditionalFormatting sqref="H1717:H1721">
    <cfRule type="expression" dxfId="7261" priority="4120">
      <formula>H1717&lt;&gt;""</formula>
    </cfRule>
  </conditionalFormatting>
  <conditionalFormatting sqref="H1717">
    <cfRule type="expression" dxfId="7260" priority="4119">
      <formula>H1717&lt;&gt;""</formula>
    </cfRule>
  </conditionalFormatting>
  <conditionalFormatting sqref="H1721">
    <cfRule type="expression" dxfId="7259" priority="4118">
      <formula>H1717&lt;&gt;""</formula>
    </cfRule>
  </conditionalFormatting>
  <conditionalFormatting sqref="B1701:B1705">
    <cfRule type="expression" dxfId="7258" priority="4116">
      <formula>B1701&lt;&gt;""</formula>
    </cfRule>
  </conditionalFormatting>
  <conditionalFormatting sqref="B1701">
    <cfRule type="expression" dxfId="7257" priority="4115">
      <formula>B1701&lt;&gt;""</formula>
    </cfRule>
  </conditionalFormatting>
  <conditionalFormatting sqref="B1705">
    <cfRule type="expression" dxfId="7256" priority="4114">
      <formula>B1701&lt;&gt;""</formula>
    </cfRule>
  </conditionalFormatting>
  <conditionalFormatting sqref="C1701:C1705">
    <cfRule type="expression" dxfId="7255" priority="4113">
      <formula>D1701&lt;&gt;""</formula>
    </cfRule>
  </conditionalFormatting>
  <conditionalFormatting sqref="D1701:D1705">
    <cfRule type="expression" dxfId="7254" priority="4112">
      <formula>D1701&lt;&gt;""</formula>
    </cfRule>
  </conditionalFormatting>
  <conditionalFormatting sqref="D1701">
    <cfRule type="expression" dxfId="7253" priority="4111">
      <formula>D1701&lt;&gt;""</formula>
    </cfRule>
  </conditionalFormatting>
  <conditionalFormatting sqref="D1705">
    <cfRule type="expression" dxfId="7252" priority="4110">
      <formula>D1701&lt;&gt;""</formula>
    </cfRule>
  </conditionalFormatting>
  <conditionalFormatting sqref="B1729:B1733">
    <cfRule type="expression" dxfId="7251" priority="4109">
      <formula>B1729&lt;&gt;""</formula>
    </cfRule>
  </conditionalFormatting>
  <conditionalFormatting sqref="B1729">
    <cfRule type="expression" dxfId="7250" priority="4108">
      <formula>B1729&lt;&gt;""</formula>
    </cfRule>
  </conditionalFormatting>
  <conditionalFormatting sqref="B1733">
    <cfRule type="expression" dxfId="7249" priority="4107">
      <formula>B1729&lt;&gt;""</formula>
    </cfRule>
  </conditionalFormatting>
  <conditionalFormatting sqref="C1729:C1733">
    <cfRule type="expression" dxfId="7248" priority="4106">
      <formula>D1729&lt;&gt;""</formula>
    </cfRule>
  </conditionalFormatting>
  <conditionalFormatting sqref="D1729:D1733">
    <cfRule type="expression" dxfId="7247" priority="4105">
      <formula>D1729&lt;&gt;""</formula>
    </cfRule>
  </conditionalFormatting>
  <conditionalFormatting sqref="D1729">
    <cfRule type="expression" dxfId="7246" priority="4104">
      <formula>D1729&lt;&gt;""</formula>
    </cfRule>
  </conditionalFormatting>
  <conditionalFormatting sqref="D1733">
    <cfRule type="expression" dxfId="7245" priority="4103">
      <formula>D1729&lt;&gt;""</formula>
    </cfRule>
  </conditionalFormatting>
  <conditionalFormatting sqref="B1757:B1761">
    <cfRule type="expression" dxfId="7244" priority="4102">
      <formula>B1757&lt;&gt;""</formula>
    </cfRule>
  </conditionalFormatting>
  <conditionalFormatting sqref="B1757">
    <cfRule type="expression" dxfId="7243" priority="4101">
      <formula>B1757&lt;&gt;""</formula>
    </cfRule>
  </conditionalFormatting>
  <conditionalFormatting sqref="B1761">
    <cfRule type="expression" dxfId="7242" priority="4100">
      <formula>B1757&lt;&gt;""</formula>
    </cfRule>
  </conditionalFormatting>
  <conditionalFormatting sqref="C1757:C1761">
    <cfRule type="expression" dxfId="7241" priority="4099">
      <formula>D1757&lt;&gt;""</formula>
    </cfRule>
  </conditionalFormatting>
  <conditionalFormatting sqref="D1757:D1761">
    <cfRule type="expression" dxfId="7240" priority="4098">
      <formula>D1757&lt;&gt;""</formula>
    </cfRule>
  </conditionalFormatting>
  <conditionalFormatting sqref="D1757">
    <cfRule type="expression" dxfId="7239" priority="4097">
      <formula>D1757&lt;&gt;""</formula>
    </cfRule>
  </conditionalFormatting>
  <conditionalFormatting sqref="D1761">
    <cfRule type="expression" dxfId="7238" priority="4096">
      <formula>D1757&lt;&gt;""</formula>
    </cfRule>
  </conditionalFormatting>
  <conditionalFormatting sqref="B1785:B1789">
    <cfRule type="expression" dxfId="7237" priority="4095">
      <formula>B1785&lt;&gt;""</formula>
    </cfRule>
  </conditionalFormatting>
  <conditionalFormatting sqref="B1785">
    <cfRule type="expression" dxfId="7236" priority="4094">
      <formula>B1785&lt;&gt;""</formula>
    </cfRule>
  </conditionalFormatting>
  <conditionalFormatting sqref="B1789">
    <cfRule type="expression" dxfId="7235" priority="4093">
      <formula>B1785&lt;&gt;""</formula>
    </cfRule>
  </conditionalFormatting>
  <conditionalFormatting sqref="C1785:C1789">
    <cfRule type="expression" dxfId="7234" priority="4092">
      <formula>D1785&lt;&gt;""</formula>
    </cfRule>
  </conditionalFormatting>
  <conditionalFormatting sqref="D1785:D1789">
    <cfRule type="expression" dxfId="7233" priority="4091">
      <formula>D1785&lt;&gt;""</formula>
    </cfRule>
  </conditionalFormatting>
  <conditionalFormatting sqref="D1785">
    <cfRule type="expression" dxfId="7232" priority="4090">
      <formula>D1785&lt;&gt;""</formula>
    </cfRule>
  </conditionalFormatting>
  <conditionalFormatting sqref="D1789">
    <cfRule type="expression" dxfId="7231" priority="4089">
      <formula>D1785&lt;&gt;""</formula>
    </cfRule>
  </conditionalFormatting>
  <conditionalFormatting sqref="B1813:B1817">
    <cfRule type="expression" dxfId="7230" priority="4088">
      <formula>B1813&lt;&gt;""</formula>
    </cfRule>
  </conditionalFormatting>
  <conditionalFormatting sqref="B1813">
    <cfRule type="expression" dxfId="7229" priority="4087">
      <formula>B1813&lt;&gt;""</formula>
    </cfRule>
  </conditionalFormatting>
  <conditionalFormatting sqref="B1817">
    <cfRule type="expression" dxfId="7228" priority="4086">
      <formula>B1813&lt;&gt;""</formula>
    </cfRule>
  </conditionalFormatting>
  <conditionalFormatting sqref="C1813:C1817">
    <cfRule type="expression" dxfId="7227" priority="4085">
      <formula>D1813&lt;&gt;""</formula>
    </cfRule>
  </conditionalFormatting>
  <conditionalFormatting sqref="D1813:D1817">
    <cfRule type="expression" dxfId="7226" priority="4084">
      <formula>D1813&lt;&gt;""</formula>
    </cfRule>
  </conditionalFormatting>
  <conditionalFormatting sqref="D1813">
    <cfRule type="expression" dxfId="7225" priority="4083">
      <formula>D1813&lt;&gt;""</formula>
    </cfRule>
  </conditionalFormatting>
  <conditionalFormatting sqref="D1817">
    <cfRule type="expression" dxfId="7224" priority="4082">
      <formula>D1813&lt;&gt;""</formula>
    </cfRule>
  </conditionalFormatting>
  <conditionalFormatting sqref="B1841:B1845">
    <cfRule type="expression" dxfId="7223" priority="4081">
      <formula>B1841&lt;&gt;""</formula>
    </cfRule>
  </conditionalFormatting>
  <conditionalFormatting sqref="B1841">
    <cfRule type="expression" dxfId="7222" priority="4080">
      <formula>B1841&lt;&gt;""</formula>
    </cfRule>
  </conditionalFormatting>
  <conditionalFormatting sqref="B1845">
    <cfRule type="expression" dxfId="7221" priority="4079">
      <formula>B1841&lt;&gt;""</formula>
    </cfRule>
  </conditionalFormatting>
  <conditionalFormatting sqref="C1841:C1845">
    <cfRule type="expression" dxfId="7220" priority="4078">
      <formula>D1841&lt;&gt;""</formula>
    </cfRule>
  </conditionalFormatting>
  <conditionalFormatting sqref="D1841:D1845">
    <cfRule type="expression" dxfId="7219" priority="4077">
      <formula>D1841&lt;&gt;""</formula>
    </cfRule>
  </conditionalFormatting>
  <conditionalFormatting sqref="D1841">
    <cfRule type="expression" dxfId="7218" priority="4076">
      <formula>D1841&lt;&gt;""</formula>
    </cfRule>
  </conditionalFormatting>
  <conditionalFormatting sqref="D1845">
    <cfRule type="expression" dxfId="7217" priority="4075">
      <formula>D1841&lt;&gt;""</formula>
    </cfRule>
  </conditionalFormatting>
  <conditionalFormatting sqref="B1869:B1873">
    <cfRule type="expression" dxfId="7216" priority="4074">
      <formula>B1869&lt;&gt;""</formula>
    </cfRule>
  </conditionalFormatting>
  <conditionalFormatting sqref="B1869">
    <cfRule type="expression" dxfId="7215" priority="4073">
      <formula>B1869&lt;&gt;""</formula>
    </cfRule>
  </conditionalFormatting>
  <conditionalFormatting sqref="B1873">
    <cfRule type="expression" dxfId="7214" priority="4072">
      <formula>B1869&lt;&gt;""</formula>
    </cfRule>
  </conditionalFormatting>
  <conditionalFormatting sqref="C1869:C1873">
    <cfRule type="expression" dxfId="7213" priority="4071">
      <formula>D1869&lt;&gt;""</formula>
    </cfRule>
  </conditionalFormatting>
  <conditionalFormatting sqref="D1869:D1873">
    <cfRule type="expression" dxfId="7212" priority="4070">
      <formula>D1869&lt;&gt;""</formula>
    </cfRule>
  </conditionalFormatting>
  <conditionalFormatting sqref="D1869">
    <cfRule type="expression" dxfId="7211" priority="4069">
      <formula>D1869&lt;&gt;""</formula>
    </cfRule>
  </conditionalFormatting>
  <conditionalFormatting sqref="D1873">
    <cfRule type="expression" dxfId="7210" priority="4068">
      <formula>D1869&lt;&gt;""</formula>
    </cfRule>
  </conditionalFormatting>
  <conditionalFormatting sqref="D1913:D1917">
    <cfRule type="expression" dxfId="7209" priority="4039">
      <formula>D1913&lt;&gt;""</formula>
    </cfRule>
  </conditionalFormatting>
  <conditionalFormatting sqref="D1913">
    <cfRule type="expression" dxfId="7208" priority="4038">
      <formula>D1913&lt;&gt;""</formula>
    </cfRule>
  </conditionalFormatting>
  <conditionalFormatting sqref="D1917">
    <cfRule type="expression" dxfId="7207" priority="4037">
      <formula>D1913&lt;&gt;""</formula>
    </cfRule>
  </conditionalFormatting>
  <conditionalFormatting sqref="D1905:D1909">
    <cfRule type="expression" dxfId="7206" priority="4060">
      <formula>D1905&lt;&gt;""</formula>
    </cfRule>
  </conditionalFormatting>
  <conditionalFormatting sqref="D1905">
    <cfRule type="expression" dxfId="7205" priority="4059">
      <formula>D1905&lt;&gt;""</formula>
    </cfRule>
  </conditionalFormatting>
  <conditionalFormatting sqref="D1909">
    <cfRule type="expression" dxfId="7204" priority="4058">
      <formula>D1905&lt;&gt;""</formula>
    </cfRule>
  </conditionalFormatting>
  <conditionalFormatting sqref="C1905:C1909">
    <cfRule type="expression" dxfId="7203" priority="4067">
      <formula>D1905&lt;&gt;""</formula>
    </cfRule>
  </conditionalFormatting>
  <conditionalFormatting sqref="E1905:E1909">
    <cfRule type="expression" dxfId="7202" priority="4066">
      <formula>F1905&lt;&gt;""</formula>
    </cfRule>
  </conditionalFormatting>
  <conditionalFormatting sqref="G1905:G1909">
    <cfRule type="expression" dxfId="7201" priority="4065">
      <formula>H1905&lt;&gt;""</formula>
    </cfRule>
  </conditionalFormatting>
  <conditionalFormatting sqref="I1905:I1909">
    <cfRule type="expression" dxfId="7200" priority="4064">
      <formula>B1913&lt;&gt;""</formula>
    </cfRule>
  </conditionalFormatting>
  <conditionalFormatting sqref="B1905:B1909">
    <cfRule type="expression" dxfId="7199" priority="4063">
      <formula>B1905&lt;&gt;""</formula>
    </cfRule>
  </conditionalFormatting>
  <conditionalFormatting sqref="B1905">
    <cfRule type="expression" dxfId="7198" priority="4062">
      <formula>B1905&lt;&gt;""</formula>
    </cfRule>
  </conditionalFormatting>
  <conditionalFormatting sqref="B1909">
    <cfRule type="expression" dxfId="7197" priority="4061">
      <formula>B1905&lt;&gt;""</formula>
    </cfRule>
  </conditionalFormatting>
  <conditionalFormatting sqref="F1905:F1909">
    <cfRule type="expression" dxfId="7196" priority="4057">
      <formula>F1905&lt;&gt;""</formula>
    </cfRule>
  </conditionalFormatting>
  <conditionalFormatting sqref="F1905">
    <cfRule type="expression" dxfId="7195" priority="4056">
      <formula>F1905&lt;&gt;""</formula>
    </cfRule>
  </conditionalFormatting>
  <conditionalFormatting sqref="F1909">
    <cfRule type="expression" dxfId="7194" priority="4055">
      <formula>F1905&lt;&gt;""</formula>
    </cfRule>
  </conditionalFormatting>
  <conditionalFormatting sqref="H1905:H1909">
    <cfRule type="expression" dxfId="7193" priority="4054">
      <formula>H1905&lt;&gt;""</formula>
    </cfRule>
  </conditionalFormatting>
  <conditionalFormatting sqref="H1905">
    <cfRule type="expression" dxfId="7192" priority="4053">
      <formula>H1905&lt;&gt;""</formula>
    </cfRule>
  </conditionalFormatting>
  <conditionalFormatting sqref="H1909">
    <cfRule type="expression" dxfId="7191" priority="4052">
      <formula>H1905&lt;&gt;""</formula>
    </cfRule>
  </conditionalFormatting>
  <conditionalFormatting sqref="F1897:F1901">
    <cfRule type="expression" dxfId="7190" priority="4051">
      <formula>F1897&lt;&gt;""</formula>
    </cfRule>
  </conditionalFormatting>
  <conditionalFormatting sqref="F1897">
    <cfRule type="expression" dxfId="7189" priority="4050">
      <formula>F1897&lt;&gt;""</formula>
    </cfRule>
  </conditionalFormatting>
  <conditionalFormatting sqref="F1901">
    <cfRule type="expression" dxfId="7188" priority="4049">
      <formula>F1897&lt;&gt;""</formula>
    </cfRule>
  </conditionalFormatting>
  <conditionalFormatting sqref="E1897:E1901">
    <cfRule type="expression" dxfId="7187" priority="4048">
      <formula>F1897&lt;&gt;""</formula>
    </cfRule>
  </conditionalFormatting>
  <conditionalFormatting sqref="G1897:G1901">
    <cfRule type="expression" dxfId="7186" priority="4047">
      <formula>H1897&lt;&gt;""</formula>
    </cfRule>
  </conditionalFormatting>
  <conditionalFormatting sqref="I1897:I1901">
    <cfRule type="expression" dxfId="7185" priority="4046">
      <formula>B1905&lt;&gt;""</formula>
    </cfRule>
  </conditionalFormatting>
  <conditionalFormatting sqref="H1897:H1901">
    <cfRule type="expression" dxfId="7184" priority="4045">
      <formula>H1897&lt;&gt;""</formula>
    </cfRule>
  </conditionalFormatting>
  <conditionalFormatting sqref="H1897">
    <cfRule type="expression" dxfId="7183" priority="4044">
      <formula>H1897&lt;&gt;""</formula>
    </cfRule>
  </conditionalFormatting>
  <conditionalFormatting sqref="H1901">
    <cfRule type="expression" dxfId="7182" priority="4043">
      <formula>H1897&lt;&gt;""</formula>
    </cfRule>
  </conditionalFormatting>
  <conditionalFormatting sqref="B1913:B1917">
    <cfRule type="expression" dxfId="7181" priority="4042">
      <formula>B1913&lt;&gt;""</formula>
    </cfRule>
  </conditionalFormatting>
  <conditionalFormatting sqref="B1913">
    <cfRule type="expression" dxfId="7180" priority="4041">
      <formula>B1913&lt;&gt;""</formula>
    </cfRule>
  </conditionalFormatting>
  <conditionalFormatting sqref="B1917">
    <cfRule type="expression" dxfId="7179" priority="4040">
      <formula>B1913&lt;&gt;""</formula>
    </cfRule>
  </conditionalFormatting>
  <conditionalFormatting sqref="F1913:F1917">
    <cfRule type="expression" dxfId="7178" priority="4036">
      <formula>F1913&lt;&gt;""</formula>
    </cfRule>
  </conditionalFormatting>
  <conditionalFormatting sqref="F1913">
    <cfRule type="expression" dxfId="7177" priority="4035">
      <formula>F1913&lt;&gt;""</formula>
    </cfRule>
  </conditionalFormatting>
  <conditionalFormatting sqref="F1917">
    <cfRule type="expression" dxfId="7176" priority="4034">
      <formula>F1913&lt;&gt;""</formula>
    </cfRule>
  </conditionalFormatting>
  <conditionalFormatting sqref="C1913:C1917">
    <cfRule type="expression" dxfId="7175" priority="4033">
      <formula>D1913&lt;&gt;""</formula>
    </cfRule>
  </conditionalFormatting>
  <conditionalFormatting sqref="E1913:E1917">
    <cfRule type="expression" dxfId="7174" priority="4032">
      <formula>F1913&lt;&gt;""</formula>
    </cfRule>
  </conditionalFormatting>
  <conditionalFormatting sqref="G1913:G1917">
    <cfRule type="expression" dxfId="7173" priority="4031">
      <formula>H1913&lt;&gt;""</formula>
    </cfRule>
  </conditionalFormatting>
  <conditionalFormatting sqref="H1913:H1917">
    <cfRule type="expression" dxfId="7172" priority="4030">
      <formula>H1913&lt;&gt;""</formula>
    </cfRule>
  </conditionalFormatting>
  <conditionalFormatting sqref="H1913">
    <cfRule type="expression" dxfId="7171" priority="4029">
      <formula>H1913&lt;&gt;""</formula>
    </cfRule>
  </conditionalFormatting>
  <conditionalFormatting sqref="H1917">
    <cfRule type="expression" dxfId="7170" priority="4028">
      <formula>H1913&lt;&gt;""</formula>
    </cfRule>
  </conditionalFormatting>
  <conditionalFormatting sqref="D1941:D1945">
    <cfRule type="expression" dxfId="7169" priority="3999">
      <formula>D1941&lt;&gt;""</formula>
    </cfRule>
  </conditionalFormatting>
  <conditionalFormatting sqref="D1941">
    <cfRule type="expression" dxfId="7168" priority="3998">
      <formula>D1941&lt;&gt;""</formula>
    </cfRule>
  </conditionalFormatting>
  <conditionalFormatting sqref="D1945">
    <cfRule type="expression" dxfId="7167" priority="3997">
      <formula>D1941&lt;&gt;""</formula>
    </cfRule>
  </conditionalFormatting>
  <conditionalFormatting sqref="D1933:D1937">
    <cfRule type="expression" dxfId="7166" priority="4020">
      <formula>D1933&lt;&gt;""</formula>
    </cfRule>
  </conditionalFormatting>
  <conditionalFormatting sqref="D1933">
    <cfRule type="expression" dxfId="7165" priority="4019">
      <formula>D1933&lt;&gt;""</formula>
    </cfRule>
  </conditionalFormatting>
  <conditionalFormatting sqref="D1937">
    <cfRule type="expression" dxfId="7164" priority="4018">
      <formula>D1933&lt;&gt;""</formula>
    </cfRule>
  </conditionalFormatting>
  <conditionalFormatting sqref="C1933:C1937">
    <cfRule type="expression" dxfId="7163" priority="4027">
      <formula>D1933&lt;&gt;""</formula>
    </cfRule>
  </conditionalFormatting>
  <conditionalFormatting sqref="E1933:E1937">
    <cfRule type="expression" dxfId="7162" priority="4026">
      <formula>F1933&lt;&gt;""</formula>
    </cfRule>
  </conditionalFormatting>
  <conditionalFormatting sqref="G1933:G1937">
    <cfRule type="expression" dxfId="7161" priority="4025">
      <formula>H1933&lt;&gt;""</formula>
    </cfRule>
  </conditionalFormatting>
  <conditionalFormatting sqref="I1933:I1937">
    <cfRule type="expression" dxfId="7160" priority="4024">
      <formula>B1941&lt;&gt;""</formula>
    </cfRule>
  </conditionalFormatting>
  <conditionalFormatting sqref="B1933:B1937">
    <cfRule type="expression" dxfId="7159" priority="4023">
      <formula>B1933&lt;&gt;""</formula>
    </cfRule>
  </conditionalFormatting>
  <conditionalFormatting sqref="B1933">
    <cfRule type="expression" dxfId="7158" priority="4022">
      <formula>B1933&lt;&gt;""</formula>
    </cfRule>
  </conditionalFormatting>
  <conditionalFormatting sqref="B1937">
    <cfRule type="expression" dxfId="7157" priority="4021">
      <formula>B1933&lt;&gt;""</formula>
    </cfRule>
  </conditionalFormatting>
  <conditionalFormatting sqref="F1933:F1937">
    <cfRule type="expression" dxfId="7156" priority="4017">
      <formula>F1933&lt;&gt;""</formula>
    </cfRule>
  </conditionalFormatting>
  <conditionalFormatting sqref="F1933">
    <cfRule type="expression" dxfId="7155" priority="4016">
      <formula>F1933&lt;&gt;""</formula>
    </cfRule>
  </conditionalFormatting>
  <conditionalFormatting sqref="F1937">
    <cfRule type="expression" dxfId="7154" priority="4015">
      <formula>F1933&lt;&gt;""</formula>
    </cfRule>
  </conditionalFormatting>
  <conditionalFormatting sqref="H1933:H1937">
    <cfRule type="expression" dxfId="7153" priority="4014">
      <formula>H1933&lt;&gt;""</formula>
    </cfRule>
  </conditionalFormatting>
  <conditionalFormatting sqref="H1933">
    <cfRule type="expression" dxfId="7152" priority="4013">
      <formula>H1933&lt;&gt;""</formula>
    </cfRule>
  </conditionalFormatting>
  <conditionalFormatting sqref="H1937">
    <cfRule type="expression" dxfId="7151" priority="4012">
      <formula>H1933&lt;&gt;""</formula>
    </cfRule>
  </conditionalFormatting>
  <conditionalFormatting sqref="F1925:F1929">
    <cfRule type="expression" dxfId="7150" priority="4011">
      <formula>F1925&lt;&gt;""</formula>
    </cfRule>
  </conditionalFormatting>
  <conditionalFormatting sqref="F1925">
    <cfRule type="expression" dxfId="7149" priority="4010">
      <formula>F1925&lt;&gt;""</formula>
    </cfRule>
  </conditionalFormatting>
  <conditionalFormatting sqref="F1929">
    <cfRule type="expression" dxfId="7148" priority="4009">
      <formula>F1925&lt;&gt;""</formula>
    </cfRule>
  </conditionalFormatting>
  <conditionalFormatting sqref="E1925:E1929">
    <cfRule type="expression" dxfId="7147" priority="4008">
      <formula>F1925&lt;&gt;""</formula>
    </cfRule>
  </conditionalFormatting>
  <conditionalFormatting sqref="G1925:G1929">
    <cfRule type="expression" dxfId="7146" priority="4007">
      <formula>H1925&lt;&gt;""</formula>
    </cfRule>
  </conditionalFormatting>
  <conditionalFormatting sqref="I1925:I1929">
    <cfRule type="expression" dxfId="7145" priority="4006">
      <formula>B1933&lt;&gt;""</formula>
    </cfRule>
  </conditionalFormatting>
  <conditionalFormatting sqref="H1925:H1929">
    <cfRule type="expression" dxfId="7144" priority="4005">
      <formula>H1925&lt;&gt;""</formula>
    </cfRule>
  </conditionalFormatting>
  <conditionalFormatting sqref="H1925">
    <cfRule type="expression" dxfId="7143" priority="4004">
      <formula>H1925&lt;&gt;""</formula>
    </cfRule>
  </conditionalFormatting>
  <conditionalFormatting sqref="H1929">
    <cfRule type="expression" dxfId="7142" priority="4003">
      <formula>H1925&lt;&gt;""</formula>
    </cfRule>
  </conditionalFormatting>
  <conditionalFormatting sqref="B1941:B1945">
    <cfRule type="expression" dxfId="7141" priority="4002">
      <formula>B1941&lt;&gt;""</formula>
    </cfRule>
  </conditionalFormatting>
  <conditionalFormatting sqref="B1941">
    <cfRule type="expression" dxfId="7140" priority="4001">
      <formula>B1941&lt;&gt;""</formula>
    </cfRule>
  </conditionalFormatting>
  <conditionalFormatting sqref="B1945">
    <cfRule type="expression" dxfId="7139" priority="4000">
      <formula>B1941&lt;&gt;""</formula>
    </cfRule>
  </conditionalFormatting>
  <conditionalFormatting sqref="F1941:F1945">
    <cfRule type="expression" dxfId="7138" priority="3996">
      <formula>F1941&lt;&gt;""</formula>
    </cfRule>
  </conditionalFormatting>
  <conditionalFormatting sqref="F1941">
    <cfRule type="expression" dxfId="7137" priority="3995">
      <formula>F1941&lt;&gt;""</formula>
    </cfRule>
  </conditionalFormatting>
  <conditionalFormatting sqref="F1945">
    <cfRule type="expression" dxfId="7136" priority="3994">
      <formula>F1941&lt;&gt;""</formula>
    </cfRule>
  </conditionalFormatting>
  <conditionalFormatting sqref="C1941:C1945">
    <cfRule type="expression" dxfId="7135" priority="3993">
      <formula>D1941&lt;&gt;""</formula>
    </cfRule>
  </conditionalFormatting>
  <conditionalFormatting sqref="E1941:E1945">
    <cfRule type="expression" dxfId="7134" priority="3992">
      <formula>F1941&lt;&gt;""</formula>
    </cfRule>
  </conditionalFormatting>
  <conditionalFormatting sqref="G1941:G1945">
    <cfRule type="expression" dxfId="7133" priority="3991">
      <formula>H1941&lt;&gt;""</formula>
    </cfRule>
  </conditionalFormatting>
  <conditionalFormatting sqref="H1941:H1945">
    <cfRule type="expression" dxfId="7132" priority="3990">
      <formula>H1941&lt;&gt;""</formula>
    </cfRule>
  </conditionalFormatting>
  <conditionalFormatting sqref="H1941">
    <cfRule type="expression" dxfId="7131" priority="3989">
      <formula>H1941&lt;&gt;""</formula>
    </cfRule>
  </conditionalFormatting>
  <conditionalFormatting sqref="H1945">
    <cfRule type="expression" dxfId="7130" priority="3988">
      <formula>H1941&lt;&gt;""</formula>
    </cfRule>
  </conditionalFormatting>
  <conditionalFormatting sqref="B1925:B1929">
    <cfRule type="expression" dxfId="7129" priority="3936">
      <formula>B1925&lt;&gt;""</formula>
    </cfRule>
  </conditionalFormatting>
  <conditionalFormatting sqref="B1931:B1932 C1931:I1931 I1930">
    <cfRule type="expression" dxfId="7128" priority="3987">
      <formula>$B1933&lt;&gt;""</formula>
    </cfRule>
  </conditionalFormatting>
  <conditionalFormatting sqref="B1939:B1940 C1939:I1939 I1938">
    <cfRule type="expression" dxfId="7127" priority="3986">
      <formula>$B1941&lt;&gt;""</formula>
    </cfRule>
  </conditionalFormatting>
  <conditionalFormatting sqref="D1969:D1973">
    <cfRule type="expression" dxfId="7126" priority="3957">
      <formula>D1969&lt;&gt;""</formula>
    </cfRule>
  </conditionalFormatting>
  <conditionalFormatting sqref="D1969">
    <cfRule type="expression" dxfId="7125" priority="3956">
      <formula>D1969&lt;&gt;""</formula>
    </cfRule>
  </conditionalFormatting>
  <conditionalFormatting sqref="D1973">
    <cfRule type="expression" dxfId="7124" priority="3955">
      <formula>D1969&lt;&gt;""</formula>
    </cfRule>
  </conditionalFormatting>
  <conditionalFormatting sqref="D1961:D1965">
    <cfRule type="expression" dxfId="7123" priority="3978">
      <formula>D1961&lt;&gt;""</formula>
    </cfRule>
  </conditionalFormatting>
  <conditionalFormatting sqref="D1961">
    <cfRule type="expression" dxfId="7122" priority="3977">
      <formula>D1961&lt;&gt;""</formula>
    </cfRule>
  </conditionalFormatting>
  <conditionalFormatting sqref="D1965">
    <cfRule type="expression" dxfId="7121" priority="3976">
      <formula>D1961&lt;&gt;""</formula>
    </cfRule>
  </conditionalFormatting>
  <conditionalFormatting sqref="C1961:C1965">
    <cfRule type="expression" dxfId="7120" priority="3985">
      <formula>D1961&lt;&gt;""</formula>
    </cfRule>
  </conditionalFormatting>
  <conditionalFormatting sqref="E1961:E1965">
    <cfRule type="expression" dxfId="7119" priority="3984">
      <formula>F1961&lt;&gt;""</formula>
    </cfRule>
  </conditionalFormatting>
  <conditionalFormatting sqref="G1961:G1965">
    <cfRule type="expression" dxfId="7118" priority="3983">
      <formula>H1961&lt;&gt;""</formula>
    </cfRule>
  </conditionalFormatting>
  <conditionalFormatting sqref="I1961:I1965">
    <cfRule type="expression" dxfId="7117" priority="3982">
      <formula>B1969&lt;&gt;""</formula>
    </cfRule>
  </conditionalFormatting>
  <conditionalFormatting sqref="B1961:B1965">
    <cfRule type="expression" dxfId="7116" priority="3981">
      <formula>B1961&lt;&gt;""</formula>
    </cfRule>
  </conditionalFormatting>
  <conditionalFormatting sqref="B1961">
    <cfRule type="expression" dxfId="7115" priority="3980">
      <formula>B1961&lt;&gt;""</formula>
    </cfRule>
  </conditionalFormatting>
  <conditionalFormatting sqref="B1965">
    <cfRule type="expression" dxfId="7114" priority="3979">
      <formula>B1961&lt;&gt;""</formula>
    </cfRule>
  </conditionalFormatting>
  <conditionalFormatting sqref="F1961:F1965">
    <cfRule type="expression" dxfId="7113" priority="3975">
      <formula>F1961&lt;&gt;""</formula>
    </cfRule>
  </conditionalFormatting>
  <conditionalFormatting sqref="F1961">
    <cfRule type="expression" dxfId="7112" priority="3974">
      <formula>F1961&lt;&gt;""</formula>
    </cfRule>
  </conditionalFormatting>
  <conditionalFormatting sqref="F1965">
    <cfRule type="expression" dxfId="7111" priority="3973">
      <formula>F1961&lt;&gt;""</formula>
    </cfRule>
  </conditionalFormatting>
  <conditionalFormatting sqref="H1961:H1965">
    <cfRule type="expression" dxfId="7110" priority="3972">
      <formula>H1961&lt;&gt;""</formula>
    </cfRule>
  </conditionalFormatting>
  <conditionalFormatting sqref="H1961">
    <cfRule type="expression" dxfId="7109" priority="3971">
      <formula>H1961&lt;&gt;""</formula>
    </cfRule>
  </conditionalFormatting>
  <conditionalFormatting sqref="H1965">
    <cfRule type="expression" dxfId="7108" priority="3970">
      <formula>H1961&lt;&gt;""</formula>
    </cfRule>
  </conditionalFormatting>
  <conditionalFormatting sqref="F1953:F1957">
    <cfRule type="expression" dxfId="7107" priority="3969">
      <formula>F1953&lt;&gt;""</formula>
    </cfRule>
  </conditionalFormatting>
  <conditionalFormatting sqref="F1953">
    <cfRule type="expression" dxfId="7106" priority="3968">
      <formula>F1953&lt;&gt;""</formula>
    </cfRule>
  </conditionalFormatting>
  <conditionalFormatting sqref="F1957">
    <cfRule type="expression" dxfId="7105" priority="3967">
      <formula>F1953&lt;&gt;""</formula>
    </cfRule>
  </conditionalFormatting>
  <conditionalFormatting sqref="E1953:E1957">
    <cfRule type="expression" dxfId="7104" priority="3966">
      <formula>F1953&lt;&gt;""</formula>
    </cfRule>
  </conditionalFormatting>
  <conditionalFormatting sqref="G1953:G1957">
    <cfRule type="expression" dxfId="7103" priority="3965">
      <formula>H1953&lt;&gt;""</formula>
    </cfRule>
  </conditionalFormatting>
  <conditionalFormatting sqref="I1953:I1957">
    <cfRule type="expression" dxfId="7102" priority="3964">
      <formula>B1961&lt;&gt;""</formula>
    </cfRule>
  </conditionalFormatting>
  <conditionalFormatting sqref="H1953:H1957">
    <cfRule type="expression" dxfId="7101" priority="3963">
      <formula>H1953&lt;&gt;""</formula>
    </cfRule>
  </conditionalFormatting>
  <conditionalFormatting sqref="H1953">
    <cfRule type="expression" dxfId="7100" priority="3962">
      <formula>H1953&lt;&gt;""</formula>
    </cfRule>
  </conditionalFormatting>
  <conditionalFormatting sqref="H1957">
    <cfRule type="expression" dxfId="7099" priority="3961">
      <formula>H1953&lt;&gt;""</formula>
    </cfRule>
  </conditionalFormatting>
  <conditionalFormatting sqref="B1969:B1973">
    <cfRule type="expression" dxfId="7098" priority="3960">
      <formula>B1969&lt;&gt;""</formula>
    </cfRule>
  </conditionalFormatting>
  <conditionalFormatting sqref="B1969">
    <cfRule type="expression" dxfId="7097" priority="3959">
      <formula>B1969&lt;&gt;""</formula>
    </cfRule>
  </conditionalFormatting>
  <conditionalFormatting sqref="B1973">
    <cfRule type="expression" dxfId="7096" priority="3958">
      <formula>B1969&lt;&gt;""</formula>
    </cfRule>
  </conditionalFormatting>
  <conditionalFormatting sqref="F1969:F1973">
    <cfRule type="expression" dxfId="7095" priority="3954">
      <formula>F1969&lt;&gt;""</formula>
    </cfRule>
  </conditionalFormatting>
  <conditionalFormatting sqref="F1969">
    <cfRule type="expression" dxfId="7094" priority="3953">
      <formula>F1969&lt;&gt;""</formula>
    </cfRule>
  </conditionalFormatting>
  <conditionalFormatting sqref="F1973">
    <cfRule type="expression" dxfId="7093" priority="3952">
      <formula>F1969&lt;&gt;""</formula>
    </cfRule>
  </conditionalFormatting>
  <conditionalFormatting sqref="C1969:C1973">
    <cfRule type="expression" dxfId="7092" priority="3951">
      <formula>D1969&lt;&gt;""</formula>
    </cfRule>
  </conditionalFormatting>
  <conditionalFormatting sqref="E1969:E1973">
    <cfRule type="expression" dxfId="7091" priority="3950">
      <formula>F1969&lt;&gt;""</formula>
    </cfRule>
  </conditionalFormatting>
  <conditionalFormatting sqref="G1969:G1973">
    <cfRule type="expression" dxfId="7090" priority="3949">
      <formula>H1969&lt;&gt;""</formula>
    </cfRule>
  </conditionalFormatting>
  <conditionalFormatting sqref="H1969:H1973">
    <cfRule type="expression" dxfId="7089" priority="3948">
      <formula>H1969&lt;&gt;""</formula>
    </cfRule>
  </conditionalFormatting>
  <conditionalFormatting sqref="H1969">
    <cfRule type="expression" dxfId="7088" priority="3947">
      <formula>H1969&lt;&gt;""</formula>
    </cfRule>
  </conditionalFormatting>
  <conditionalFormatting sqref="H1973">
    <cfRule type="expression" dxfId="7087" priority="3946">
      <formula>H1969&lt;&gt;""</formula>
    </cfRule>
  </conditionalFormatting>
  <conditionalFormatting sqref="B1953:B1957">
    <cfRule type="expression" dxfId="7086" priority="3929">
      <formula>B1953&lt;&gt;""</formula>
    </cfRule>
  </conditionalFormatting>
  <conditionalFormatting sqref="B1959:B1960 C1959:I1959 I1958">
    <cfRule type="expression" dxfId="7085" priority="3945">
      <formula>$B1961&lt;&gt;""</formula>
    </cfRule>
  </conditionalFormatting>
  <conditionalFormatting sqref="B1967:B1968 C1967:I1967 I1966">
    <cfRule type="expression" dxfId="7084" priority="3944">
      <formula>$B1969&lt;&gt;""</formula>
    </cfRule>
  </conditionalFormatting>
  <conditionalFormatting sqref="B1897:B1901">
    <cfRule type="expression" dxfId="7083" priority="3943">
      <formula>B1897&lt;&gt;""</formula>
    </cfRule>
  </conditionalFormatting>
  <conditionalFormatting sqref="B1897">
    <cfRule type="expression" dxfId="7082" priority="3942">
      <formula>B1897&lt;&gt;""</formula>
    </cfRule>
  </conditionalFormatting>
  <conditionalFormatting sqref="B1901">
    <cfRule type="expression" dxfId="7081" priority="3941">
      <formula>B1897&lt;&gt;""</formula>
    </cfRule>
  </conditionalFormatting>
  <conditionalFormatting sqref="C1897:C1901">
    <cfRule type="expression" dxfId="7080" priority="3940">
      <formula>D1897&lt;&gt;""</formula>
    </cfRule>
  </conditionalFormatting>
  <conditionalFormatting sqref="D1897:D1901">
    <cfRule type="expression" dxfId="7079" priority="3939">
      <formula>D1897&lt;&gt;""</formula>
    </cfRule>
  </conditionalFormatting>
  <conditionalFormatting sqref="D1897">
    <cfRule type="expression" dxfId="7078" priority="3938">
      <formula>D1897&lt;&gt;""</formula>
    </cfRule>
  </conditionalFormatting>
  <conditionalFormatting sqref="D1901">
    <cfRule type="expression" dxfId="7077" priority="3937">
      <formula>D1897&lt;&gt;""</formula>
    </cfRule>
  </conditionalFormatting>
  <conditionalFormatting sqref="B1925">
    <cfRule type="expression" dxfId="7076" priority="3935">
      <formula>B1925&lt;&gt;""</formula>
    </cfRule>
  </conditionalFormatting>
  <conditionalFormatting sqref="B1929">
    <cfRule type="expression" dxfId="7075" priority="3934">
      <formula>B1925&lt;&gt;""</formula>
    </cfRule>
  </conditionalFormatting>
  <conditionalFormatting sqref="C1925:C1929">
    <cfRule type="expression" dxfId="7074" priority="3933">
      <formula>D1925&lt;&gt;""</formula>
    </cfRule>
  </conditionalFormatting>
  <conditionalFormatting sqref="D1925:D1929">
    <cfRule type="expression" dxfId="7073" priority="3932">
      <formula>D1925&lt;&gt;""</formula>
    </cfRule>
  </conditionalFormatting>
  <conditionalFormatting sqref="D1925">
    <cfRule type="expression" dxfId="7072" priority="3931">
      <formula>D1925&lt;&gt;""</formula>
    </cfRule>
  </conditionalFormatting>
  <conditionalFormatting sqref="D1929">
    <cfRule type="expression" dxfId="7071" priority="3930">
      <formula>D1925&lt;&gt;""</formula>
    </cfRule>
  </conditionalFormatting>
  <conditionalFormatting sqref="B1953">
    <cfRule type="expression" dxfId="7070" priority="3928">
      <formula>B1953&lt;&gt;""</formula>
    </cfRule>
  </conditionalFormatting>
  <conditionalFormatting sqref="B1957">
    <cfRule type="expression" dxfId="7069" priority="3927">
      <formula>B1953&lt;&gt;""</formula>
    </cfRule>
  </conditionalFormatting>
  <conditionalFormatting sqref="C1953:C1957">
    <cfRule type="expression" dxfId="7068" priority="3926">
      <formula>D1953&lt;&gt;""</formula>
    </cfRule>
  </conditionalFormatting>
  <conditionalFormatting sqref="D1953:D1957">
    <cfRule type="expression" dxfId="7067" priority="3925">
      <formula>D1953&lt;&gt;""</formula>
    </cfRule>
  </conditionalFormatting>
  <conditionalFormatting sqref="D1953">
    <cfRule type="expression" dxfId="7066" priority="3924">
      <formula>D1953&lt;&gt;""</formula>
    </cfRule>
  </conditionalFormatting>
  <conditionalFormatting sqref="D1957">
    <cfRule type="expression" dxfId="7065" priority="3923">
      <formula>D1953&lt;&gt;""</formula>
    </cfRule>
  </conditionalFormatting>
  <conditionalFormatting sqref="B1911:B1912 C1911:I1911 I1910">
    <cfRule type="expression" dxfId="7064" priority="3922">
      <formula>$B1913&lt;&gt;""</formula>
    </cfRule>
  </conditionalFormatting>
  <conditionalFormatting sqref="B1903:B1904 C1903:I1903 I1902">
    <cfRule type="expression" dxfId="7063" priority="3921">
      <formula>$B1905&lt;&gt;""</formula>
    </cfRule>
  </conditionalFormatting>
  <conditionalFormatting sqref="D2167:D2171">
    <cfRule type="expression" dxfId="7062" priority="3891">
      <formula>D2167&lt;&gt;""</formula>
    </cfRule>
  </conditionalFormatting>
  <conditionalFormatting sqref="D2167">
    <cfRule type="expression" dxfId="7061" priority="3890">
      <formula>D2167&lt;&gt;""</formula>
    </cfRule>
  </conditionalFormatting>
  <conditionalFormatting sqref="D2171">
    <cfRule type="expression" dxfId="7060" priority="3889">
      <formula>D2167&lt;&gt;""</formula>
    </cfRule>
  </conditionalFormatting>
  <conditionalFormatting sqref="I2156:I2157 C2157:H2157 B2157:B2158">
    <cfRule type="expression" dxfId="7059" priority="3879">
      <formula>$B2159&lt;&gt;""</formula>
    </cfRule>
  </conditionalFormatting>
  <conditionalFormatting sqref="D2159:D2163">
    <cfRule type="expression" dxfId="7058" priority="3913">
      <formula>D2159&lt;&gt;""</formula>
    </cfRule>
  </conditionalFormatting>
  <conditionalFormatting sqref="D2159">
    <cfRule type="expression" dxfId="7057" priority="3912">
      <formula>D2159&lt;&gt;""</formula>
    </cfRule>
  </conditionalFormatting>
  <conditionalFormatting sqref="D2163">
    <cfRule type="expression" dxfId="7056" priority="3911">
      <formula>D2159&lt;&gt;""</formula>
    </cfRule>
  </conditionalFormatting>
  <conditionalFormatting sqref="C2159:C2163">
    <cfRule type="expression" dxfId="7055" priority="3920">
      <formula>D2159&lt;&gt;""</formula>
    </cfRule>
  </conditionalFormatting>
  <conditionalFormatting sqref="E2159:E2163">
    <cfRule type="expression" dxfId="7054" priority="3919">
      <formula>F2159&lt;&gt;""</formula>
    </cfRule>
  </conditionalFormatting>
  <conditionalFormatting sqref="G2159:G2163">
    <cfRule type="expression" dxfId="7053" priority="3918">
      <formula>H2159&lt;&gt;""</formula>
    </cfRule>
  </conditionalFormatting>
  <conditionalFormatting sqref="I2159:I2163">
    <cfRule type="expression" dxfId="7052" priority="3917">
      <formula>B2167&lt;&gt;""</formula>
    </cfRule>
  </conditionalFormatting>
  <conditionalFormatting sqref="B2159:B2163">
    <cfRule type="expression" dxfId="7051" priority="3916">
      <formula>B2159&lt;&gt;""</formula>
    </cfRule>
  </conditionalFormatting>
  <conditionalFormatting sqref="B2159">
    <cfRule type="expression" dxfId="7050" priority="3915">
      <formula>B2159&lt;&gt;""</formula>
    </cfRule>
  </conditionalFormatting>
  <conditionalFormatting sqref="B2163">
    <cfRule type="expression" dxfId="7049" priority="3914">
      <formula>B2159&lt;&gt;""</formula>
    </cfRule>
  </conditionalFormatting>
  <conditionalFormatting sqref="F2159:F2163">
    <cfRule type="expression" dxfId="7048" priority="3910">
      <formula>F2159&lt;&gt;""</formula>
    </cfRule>
  </conditionalFormatting>
  <conditionalFormatting sqref="F2159">
    <cfRule type="expression" dxfId="7047" priority="3909">
      <formula>F2159&lt;&gt;""</formula>
    </cfRule>
  </conditionalFormatting>
  <conditionalFormatting sqref="F2163">
    <cfRule type="expression" dxfId="7046" priority="3908">
      <formula>F2159&lt;&gt;""</formula>
    </cfRule>
  </conditionalFormatting>
  <conditionalFormatting sqref="H2159:H2163">
    <cfRule type="expression" dxfId="7045" priority="3907">
      <formula>H2159&lt;&gt;""</formula>
    </cfRule>
  </conditionalFormatting>
  <conditionalFormatting sqref="H2159">
    <cfRule type="expression" dxfId="7044" priority="3906">
      <formula>H2159&lt;&gt;""</formula>
    </cfRule>
  </conditionalFormatting>
  <conditionalFormatting sqref="H2163">
    <cfRule type="expression" dxfId="7043" priority="3905">
      <formula>H2159&lt;&gt;""</formula>
    </cfRule>
  </conditionalFormatting>
  <conditionalFormatting sqref="F2151:F2155">
    <cfRule type="expression" dxfId="7042" priority="3904">
      <formula>F2151&lt;&gt;""</formula>
    </cfRule>
  </conditionalFormatting>
  <conditionalFormatting sqref="F2151">
    <cfRule type="expression" dxfId="7041" priority="3903">
      <formula>F2151&lt;&gt;""</formula>
    </cfRule>
  </conditionalFormatting>
  <conditionalFormatting sqref="F2155">
    <cfRule type="expression" dxfId="7040" priority="3902">
      <formula>F2151&lt;&gt;""</formula>
    </cfRule>
  </conditionalFormatting>
  <conditionalFormatting sqref="E2151:E2155">
    <cfRule type="expression" dxfId="7039" priority="3901">
      <formula>F2151&lt;&gt;""</formula>
    </cfRule>
  </conditionalFormatting>
  <conditionalFormatting sqref="G2151:G2155">
    <cfRule type="expression" dxfId="7038" priority="3900">
      <formula>H2151&lt;&gt;""</formula>
    </cfRule>
  </conditionalFormatting>
  <conditionalFormatting sqref="I2151:I2155">
    <cfRule type="expression" dxfId="7037" priority="3899">
      <formula>B2159&lt;&gt;""</formula>
    </cfRule>
  </conditionalFormatting>
  <conditionalFormatting sqref="H2151:H2155">
    <cfRule type="expression" dxfId="7036" priority="3898">
      <formula>H2151&lt;&gt;""</formula>
    </cfRule>
  </conditionalFormatting>
  <conditionalFormatting sqref="H2151">
    <cfRule type="expression" dxfId="7035" priority="3897">
      <formula>H2151&lt;&gt;""</formula>
    </cfRule>
  </conditionalFormatting>
  <conditionalFormatting sqref="H2155">
    <cfRule type="expression" dxfId="7034" priority="3896">
      <formula>H2151&lt;&gt;""</formula>
    </cfRule>
  </conditionalFormatting>
  <conditionalFormatting sqref="I2164:I2165 C2165:H2165 B2165:B2166">
    <cfRule type="expression" dxfId="7033" priority="3895">
      <formula>$B2167&lt;&gt;""</formula>
    </cfRule>
  </conditionalFormatting>
  <conditionalFormatting sqref="B2167:B2171">
    <cfRule type="expression" dxfId="7032" priority="3894">
      <formula>B2167&lt;&gt;""</formula>
    </cfRule>
  </conditionalFormatting>
  <conditionalFormatting sqref="B2167">
    <cfRule type="expression" dxfId="7031" priority="3893">
      <formula>B2167&lt;&gt;""</formula>
    </cfRule>
  </conditionalFormatting>
  <conditionalFormatting sqref="B2171">
    <cfRule type="expression" dxfId="7030" priority="3892">
      <formula>B2167&lt;&gt;""</formula>
    </cfRule>
  </conditionalFormatting>
  <conditionalFormatting sqref="F2167:F2171">
    <cfRule type="expression" dxfId="7029" priority="3888">
      <formula>F2167&lt;&gt;""</formula>
    </cfRule>
  </conditionalFormatting>
  <conditionalFormatting sqref="F2167">
    <cfRule type="expression" dxfId="7028" priority="3887">
      <formula>F2167&lt;&gt;""</formula>
    </cfRule>
  </conditionalFormatting>
  <conditionalFormatting sqref="F2171">
    <cfRule type="expression" dxfId="7027" priority="3886">
      <formula>F2167&lt;&gt;""</formula>
    </cfRule>
  </conditionalFormatting>
  <conditionalFormatting sqref="C2167:C2171">
    <cfRule type="expression" dxfId="7026" priority="3885">
      <formula>D2167&lt;&gt;""</formula>
    </cfRule>
  </conditionalFormatting>
  <conditionalFormatting sqref="E2167:E2171">
    <cfRule type="expression" dxfId="7025" priority="3884">
      <formula>F2167&lt;&gt;""</formula>
    </cfRule>
  </conditionalFormatting>
  <conditionalFormatting sqref="G2167:G2171">
    <cfRule type="expression" dxfId="7024" priority="3883">
      <formula>H2167&lt;&gt;""</formula>
    </cfRule>
  </conditionalFormatting>
  <conditionalFormatting sqref="H2167:H2171">
    <cfRule type="expression" dxfId="7023" priority="3882">
      <formula>H2167&lt;&gt;""</formula>
    </cfRule>
  </conditionalFormatting>
  <conditionalFormatting sqref="H2167">
    <cfRule type="expression" dxfId="7022" priority="3881">
      <formula>H2167&lt;&gt;""</formula>
    </cfRule>
  </conditionalFormatting>
  <conditionalFormatting sqref="H2171">
    <cfRule type="expression" dxfId="7021" priority="3880">
      <formula>H2167&lt;&gt;""</formula>
    </cfRule>
  </conditionalFormatting>
  <conditionalFormatting sqref="D2139:D2143">
    <cfRule type="expression" dxfId="7020" priority="3849">
      <formula>D2139&lt;&gt;""</formula>
    </cfRule>
  </conditionalFormatting>
  <conditionalFormatting sqref="D2139">
    <cfRule type="expression" dxfId="7019" priority="3848">
      <formula>D2139&lt;&gt;""</formula>
    </cfRule>
  </conditionalFormatting>
  <conditionalFormatting sqref="D2143">
    <cfRule type="expression" dxfId="7018" priority="3847">
      <formula>D2139&lt;&gt;""</formula>
    </cfRule>
  </conditionalFormatting>
  <conditionalFormatting sqref="I2128:I2129 C2129:H2129 B2129:B2130">
    <cfRule type="expression" dxfId="7017" priority="3837">
      <formula>$B2131&lt;&gt;""</formula>
    </cfRule>
  </conditionalFormatting>
  <conditionalFormatting sqref="D2131:D2135">
    <cfRule type="expression" dxfId="7016" priority="3871">
      <formula>D2131&lt;&gt;""</formula>
    </cfRule>
  </conditionalFormatting>
  <conditionalFormatting sqref="D2131">
    <cfRule type="expression" dxfId="7015" priority="3870">
      <formula>D2131&lt;&gt;""</formula>
    </cfRule>
  </conditionalFormatting>
  <conditionalFormatting sqref="D2135">
    <cfRule type="expression" dxfId="7014" priority="3869">
      <formula>D2131&lt;&gt;""</formula>
    </cfRule>
  </conditionalFormatting>
  <conditionalFormatting sqref="C2131:C2135">
    <cfRule type="expression" dxfId="7013" priority="3878">
      <formula>D2131&lt;&gt;""</formula>
    </cfRule>
  </conditionalFormatting>
  <conditionalFormatting sqref="E2131:E2135">
    <cfRule type="expression" dxfId="7012" priority="3877">
      <formula>F2131&lt;&gt;""</formula>
    </cfRule>
  </conditionalFormatting>
  <conditionalFormatting sqref="G2131:G2135">
    <cfRule type="expression" dxfId="7011" priority="3876">
      <formula>H2131&lt;&gt;""</formula>
    </cfRule>
  </conditionalFormatting>
  <conditionalFormatting sqref="I2131:I2135">
    <cfRule type="expression" dxfId="7010" priority="3875">
      <formula>B2139&lt;&gt;""</formula>
    </cfRule>
  </conditionalFormatting>
  <conditionalFormatting sqref="B2131:B2135">
    <cfRule type="expression" dxfId="7009" priority="3874">
      <formula>B2131&lt;&gt;""</formula>
    </cfRule>
  </conditionalFormatting>
  <conditionalFormatting sqref="B2131">
    <cfRule type="expression" dxfId="7008" priority="3873">
      <formula>B2131&lt;&gt;""</formula>
    </cfRule>
  </conditionalFormatting>
  <conditionalFormatting sqref="B2135">
    <cfRule type="expression" dxfId="7007" priority="3872">
      <formula>B2131&lt;&gt;""</formula>
    </cfRule>
  </conditionalFormatting>
  <conditionalFormatting sqref="F2131:F2135">
    <cfRule type="expression" dxfId="7006" priority="3868">
      <formula>F2131&lt;&gt;""</formula>
    </cfRule>
  </conditionalFormatting>
  <conditionalFormatting sqref="F2131">
    <cfRule type="expression" dxfId="7005" priority="3867">
      <formula>F2131&lt;&gt;""</formula>
    </cfRule>
  </conditionalFormatting>
  <conditionalFormatting sqref="F2135">
    <cfRule type="expression" dxfId="7004" priority="3866">
      <formula>F2131&lt;&gt;""</formula>
    </cfRule>
  </conditionalFormatting>
  <conditionalFormatting sqref="H2131:H2135">
    <cfRule type="expression" dxfId="7003" priority="3865">
      <formula>H2131&lt;&gt;""</formula>
    </cfRule>
  </conditionalFormatting>
  <conditionalFormatting sqref="H2131">
    <cfRule type="expression" dxfId="7002" priority="3864">
      <formula>H2131&lt;&gt;""</formula>
    </cfRule>
  </conditionalFormatting>
  <conditionalFormatting sqref="H2135">
    <cfRule type="expression" dxfId="7001" priority="3863">
      <formula>H2131&lt;&gt;""</formula>
    </cfRule>
  </conditionalFormatting>
  <conditionalFormatting sqref="F2123:F2127">
    <cfRule type="expression" dxfId="7000" priority="3862">
      <formula>F2123&lt;&gt;""</formula>
    </cfRule>
  </conditionalFormatting>
  <conditionalFormatting sqref="F2123">
    <cfRule type="expression" dxfId="6999" priority="3861">
      <formula>F2123&lt;&gt;""</formula>
    </cfRule>
  </conditionalFormatting>
  <conditionalFormatting sqref="F2127">
    <cfRule type="expression" dxfId="6998" priority="3860">
      <formula>F2123&lt;&gt;""</formula>
    </cfRule>
  </conditionalFormatting>
  <conditionalFormatting sqref="E2123:E2127">
    <cfRule type="expression" dxfId="6997" priority="3859">
      <formula>F2123&lt;&gt;""</formula>
    </cfRule>
  </conditionalFormatting>
  <conditionalFormatting sqref="G2123:G2127">
    <cfRule type="expression" dxfId="6996" priority="3858">
      <formula>H2123&lt;&gt;""</formula>
    </cfRule>
  </conditionalFormatting>
  <conditionalFormatting sqref="I2123:I2127">
    <cfRule type="expression" dxfId="6995" priority="3857">
      <formula>B2131&lt;&gt;""</formula>
    </cfRule>
  </conditionalFormatting>
  <conditionalFormatting sqref="H2123:H2127">
    <cfRule type="expression" dxfId="6994" priority="3856">
      <formula>H2123&lt;&gt;""</formula>
    </cfRule>
  </conditionalFormatting>
  <conditionalFormatting sqref="H2123">
    <cfRule type="expression" dxfId="6993" priority="3855">
      <formula>H2123&lt;&gt;""</formula>
    </cfRule>
  </conditionalFormatting>
  <conditionalFormatting sqref="H2127">
    <cfRule type="expression" dxfId="6992" priority="3854">
      <formula>H2123&lt;&gt;""</formula>
    </cfRule>
  </conditionalFormatting>
  <conditionalFormatting sqref="I2136:I2137 C2137:H2137 B2137:B2138">
    <cfRule type="expression" dxfId="6991" priority="3853">
      <formula>$B2139&lt;&gt;""</formula>
    </cfRule>
  </conditionalFormatting>
  <conditionalFormatting sqref="B2139:B2143">
    <cfRule type="expression" dxfId="6990" priority="3852">
      <formula>B2139&lt;&gt;""</formula>
    </cfRule>
  </conditionalFormatting>
  <conditionalFormatting sqref="B2139">
    <cfRule type="expression" dxfId="6989" priority="3851">
      <formula>B2139&lt;&gt;""</formula>
    </cfRule>
  </conditionalFormatting>
  <conditionalFormatting sqref="B2143">
    <cfRule type="expression" dxfId="6988" priority="3850">
      <formula>B2139&lt;&gt;""</formula>
    </cfRule>
  </conditionalFormatting>
  <conditionalFormatting sqref="F2139:F2143">
    <cfRule type="expression" dxfId="6987" priority="3846">
      <formula>F2139&lt;&gt;""</formula>
    </cfRule>
  </conditionalFormatting>
  <conditionalFormatting sqref="F2139">
    <cfRule type="expression" dxfId="6986" priority="3845">
      <formula>F2139&lt;&gt;""</formula>
    </cfRule>
  </conditionalFormatting>
  <conditionalFormatting sqref="F2143">
    <cfRule type="expression" dxfId="6985" priority="3844">
      <formula>F2139&lt;&gt;""</formula>
    </cfRule>
  </conditionalFormatting>
  <conditionalFormatting sqref="C2139:C2143">
    <cfRule type="expression" dxfId="6984" priority="3843">
      <formula>D2139&lt;&gt;""</formula>
    </cfRule>
  </conditionalFormatting>
  <conditionalFormatting sqref="E2139:E2143">
    <cfRule type="expression" dxfId="6983" priority="3842">
      <formula>F2139&lt;&gt;""</formula>
    </cfRule>
  </conditionalFormatting>
  <conditionalFormatting sqref="G2139:G2143">
    <cfRule type="expression" dxfId="6982" priority="3841">
      <formula>H2139&lt;&gt;""</formula>
    </cfRule>
  </conditionalFormatting>
  <conditionalFormatting sqref="H2139:H2143">
    <cfRule type="expression" dxfId="6981" priority="3840">
      <formula>H2139&lt;&gt;""</formula>
    </cfRule>
  </conditionalFormatting>
  <conditionalFormatting sqref="H2139">
    <cfRule type="expression" dxfId="6980" priority="3839">
      <formula>H2139&lt;&gt;""</formula>
    </cfRule>
  </conditionalFormatting>
  <conditionalFormatting sqref="H2143">
    <cfRule type="expression" dxfId="6979" priority="3838">
      <formula>H2139&lt;&gt;""</formula>
    </cfRule>
  </conditionalFormatting>
  <conditionalFormatting sqref="D2111:D2115">
    <cfRule type="expression" dxfId="6978" priority="3807">
      <formula>D2111&lt;&gt;""</formula>
    </cfRule>
  </conditionalFormatting>
  <conditionalFormatting sqref="D2111">
    <cfRule type="expression" dxfId="6977" priority="3806">
      <formula>D2111&lt;&gt;""</formula>
    </cfRule>
  </conditionalFormatting>
  <conditionalFormatting sqref="D2115">
    <cfRule type="expression" dxfId="6976" priority="3805">
      <formula>D2111&lt;&gt;""</formula>
    </cfRule>
  </conditionalFormatting>
  <conditionalFormatting sqref="I2100:I2101 C2101:H2101 B2101:B2102">
    <cfRule type="expression" dxfId="6975" priority="3795">
      <formula>$B2103&lt;&gt;""</formula>
    </cfRule>
  </conditionalFormatting>
  <conditionalFormatting sqref="D2103:D2107">
    <cfRule type="expression" dxfId="6974" priority="3829">
      <formula>D2103&lt;&gt;""</formula>
    </cfRule>
  </conditionalFormatting>
  <conditionalFormatting sqref="D2103">
    <cfRule type="expression" dxfId="6973" priority="3828">
      <formula>D2103&lt;&gt;""</formula>
    </cfRule>
  </conditionalFormatting>
  <conditionalFormatting sqref="D2107">
    <cfRule type="expression" dxfId="6972" priority="3827">
      <formula>D2103&lt;&gt;""</formula>
    </cfRule>
  </conditionalFormatting>
  <conditionalFormatting sqref="C2103:C2107">
    <cfRule type="expression" dxfId="6971" priority="3836">
      <formula>D2103&lt;&gt;""</formula>
    </cfRule>
  </conditionalFormatting>
  <conditionalFormatting sqref="E2103:E2107">
    <cfRule type="expression" dxfId="6970" priority="3835">
      <formula>F2103&lt;&gt;""</formula>
    </cfRule>
  </conditionalFormatting>
  <conditionalFormatting sqref="G2103:G2107">
    <cfRule type="expression" dxfId="6969" priority="3834">
      <formula>H2103&lt;&gt;""</formula>
    </cfRule>
  </conditionalFormatting>
  <conditionalFormatting sqref="I2103:I2107">
    <cfRule type="expression" dxfId="6968" priority="3833">
      <formula>B2111&lt;&gt;""</formula>
    </cfRule>
  </conditionalFormatting>
  <conditionalFormatting sqref="B2103:B2107">
    <cfRule type="expression" dxfId="6967" priority="3832">
      <formula>B2103&lt;&gt;""</formula>
    </cfRule>
  </conditionalFormatting>
  <conditionalFormatting sqref="B2103">
    <cfRule type="expression" dxfId="6966" priority="3831">
      <formula>B2103&lt;&gt;""</formula>
    </cfRule>
  </conditionalFormatting>
  <conditionalFormatting sqref="B2107">
    <cfRule type="expression" dxfId="6965" priority="3830">
      <formula>B2103&lt;&gt;""</formula>
    </cfRule>
  </conditionalFormatting>
  <conditionalFormatting sqref="F2103:F2107">
    <cfRule type="expression" dxfId="6964" priority="3826">
      <formula>F2103&lt;&gt;""</formula>
    </cfRule>
  </conditionalFormatting>
  <conditionalFormatting sqref="F2103">
    <cfRule type="expression" dxfId="6963" priority="3825">
      <formula>F2103&lt;&gt;""</formula>
    </cfRule>
  </conditionalFormatting>
  <conditionalFormatting sqref="F2107">
    <cfRule type="expression" dxfId="6962" priority="3824">
      <formula>F2103&lt;&gt;""</formula>
    </cfRule>
  </conditionalFormatting>
  <conditionalFormatting sqref="H2103:H2107">
    <cfRule type="expression" dxfId="6961" priority="3823">
      <formula>H2103&lt;&gt;""</formula>
    </cfRule>
  </conditionalFormatting>
  <conditionalFormatting sqref="H2103">
    <cfRule type="expression" dxfId="6960" priority="3822">
      <formula>H2103&lt;&gt;""</formula>
    </cfRule>
  </conditionalFormatting>
  <conditionalFormatting sqref="H2107">
    <cfRule type="expression" dxfId="6959" priority="3821">
      <formula>H2103&lt;&gt;""</formula>
    </cfRule>
  </conditionalFormatting>
  <conditionalFormatting sqref="F2095:F2099">
    <cfRule type="expression" dxfId="6958" priority="3820">
      <formula>F2095&lt;&gt;""</formula>
    </cfRule>
  </conditionalFormatting>
  <conditionalFormatting sqref="F2095">
    <cfRule type="expression" dxfId="6957" priority="3819">
      <formula>F2095&lt;&gt;""</formula>
    </cfRule>
  </conditionalFormatting>
  <conditionalFormatting sqref="F2099">
    <cfRule type="expression" dxfId="6956" priority="3818">
      <formula>F2095&lt;&gt;""</formula>
    </cfRule>
  </conditionalFormatting>
  <conditionalFormatting sqref="E2095:E2099">
    <cfRule type="expression" dxfId="6955" priority="3817">
      <formula>F2095&lt;&gt;""</formula>
    </cfRule>
  </conditionalFormatting>
  <conditionalFormatting sqref="G2095:G2099">
    <cfRule type="expression" dxfId="6954" priority="3816">
      <formula>H2095&lt;&gt;""</formula>
    </cfRule>
  </conditionalFormatting>
  <conditionalFormatting sqref="I2095:I2099">
    <cfRule type="expression" dxfId="6953" priority="3815">
      <formula>B2103&lt;&gt;""</formula>
    </cfRule>
  </conditionalFormatting>
  <conditionalFormatting sqref="H2095:H2099">
    <cfRule type="expression" dxfId="6952" priority="3814">
      <formula>H2095&lt;&gt;""</formula>
    </cfRule>
  </conditionalFormatting>
  <conditionalFormatting sqref="H2095">
    <cfRule type="expression" dxfId="6951" priority="3813">
      <formula>H2095&lt;&gt;""</formula>
    </cfRule>
  </conditionalFormatting>
  <conditionalFormatting sqref="H2099">
    <cfRule type="expression" dxfId="6950" priority="3812">
      <formula>H2095&lt;&gt;""</formula>
    </cfRule>
  </conditionalFormatting>
  <conditionalFormatting sqref="I2108:I2109 C2109:H2109 B2109:B2110">
    <cfRule type="expression" dxfId="6949" priority="3811">
      <formula>$B2111&lt;&gt;""</formula>
    </cfRule>
  </conditionalFormatting>
  <conditionalFormatting sqref="B2111:B2115">
    <cfRule type="expression" dxfId="6948" priority="3810">
      <formula>B2111&lt;&gt;""</formula>
    </cfRule>
  </conditionalFormatting>
  <conditionalFormatting sqref="B2111">
    <cfRule type="expression" dxfId="6947" priority="3809">
      <formula>B2111&lt;&gt;""</formula>
    </cfRule>
  </conditionalFormatting>
  <conditionalFormatting sqref="B2115">
    <cfRule type="expression" dxfId="6946" priority="3808">
      <formula>B2111&lt;&gt;""</formula>
    </cfRule>
  </conditionalFormatting>
  <conditionalFormatting sqref="F2111:F2115">
    <cfRule type="expression" dxfId="6945" priority="3804">
      <formula>F2111&lt;&gt;""</formula>
    </cfRule>
  </conditionalFormatting>
  <conditionalFormatting sqref="F2111">
    <cfRule type="expression" dxfId="6944" priority="3803">
      <formula>F2111&lt;&gt;""</formula>
    </cfRule>
  </conditionalFormatting>
  <conditionalFormatting sqref="F2115">
    <cfRule type="expression" dxfId="6943" priority="3802">
      <formula>F2111&lt;&gt;""</formula>
    </cfRule>
  </conditionalFormatting>
  <conditionalFormatting sqref="C2111:C2115">
    <cfRule type="expression" dxfId="6942" priority="3801">
      <formula>D2111&lt;&gt;""</formula>
    </cfRule>
  </conditionalFormatting>
  <conditionalFormatting sqref="E2111:E2115">
    <cfRule type="expression" dxfId="6941" priority="3800">
      <formula>F2111&lt;&gt;""</formula>
    </cfRule>
  </conditionalFormatting>
  <conditionalFormatting sqref="G2111:G2115">
    <cfRule type="expression" dxfId="6940" priority="3799">
      <formula>H2111&lt;&gt;""</formula>
    </cfRule>
  </conditionalFormatting>
  <conditionalFormatting sqref="H2111:H2115">
    <cfRule type="expression" dxfId="6939" priority="3798">
      <formula>H2111&lt;&gt;""</formula>
    </cfRule>
  </conditionalFormatting>
  <conditionalFormatting sqref="H2111">
    <cfRule type="expression" dxfId="6938" priority="3797">
      <formula>H2111&lt;&gt;""</formula>
    </cfRule>
  </conditionalFormatting>
  <conditionalFormatting sqref="H2115">
    <cfRule type="expression" dxfId="6937" priority="3796">
      <formula>H2111&lt;&gt;""</formula>
    </cfRule>
  </conditionalFormatting>
  <conditionalFormatting sqref="D2083:D2087">
    <cfRule type="expression" dxfId="6936" priority="3765">
      <formula>D2083&lt;&gt;""</formula>
    </cfRule>
  </conditionalFormatting>
  <conditionalFormatting sqref="D2083">
    <cfRule type="expression" dxfId="6935" priority="3764">
      <formula>D2083&lt;&gt;""</formula>
    </cfRule>
  </conditionalFormatting>
  <conditionalFormatting sqref="D2087">
    <cfRule type="expression" dxfId="6934" priority="3763">
      <formula>D2083&lt;&gt;""</formula>
    </cfRule>
  </conditionalFormatting>
  <conditionalFormatting sqref="I2072:I2073 C2073:H2073 B2073:B2074">
    <cfRule type="expression" dxfId="6933" priority="3753">
      <formula>$B2075&lt;&gt;""</formula>
    </cfRule>
  </conditionalFormatting>
  <conditionalFormatting sqref="D2075:D2079">
    <cfRule type="expression" dxfId="6932" priority="3787">
      <formula>D2075&lt;&gt;""</formula>
    </cfRule>
  </conditionalFormatting>
  <conditionalFormatting sqref="D2075">
    <cfRule type="expression" dxfId="6931" priority="3786">
      <formula>D2075&lt;&gt;""</formula>
    </cfRule>
  </conditionalFormatting>
  <conditionalFormatting sqref="D2079">
    <cfRule type="expression" dxfId="6930" priority="3785">
      <formula>D2075&lt;&gt;""</formula>
    </cfRule>
  </conditionalFormatting>
  <conditionalFormatting sqref="C2075:C2079">
    <cfRule type="expression" dxfId="6929" priority="3794">
      <formula>D2075&lt;&gt;""</formula>
    </cfRule>
  </conditionalFormatting>
  <conditionalFormatting sqref="E2075:E2079">
    <cfRule type="expression" dxfId="6928" priority="3793">
      <formula>F2075&lt;&gt;""</formula>
    </cfRule>
  </conditionalFormatting>
  <conditionalFormatting sqref="G2075:G2079">
    <cfRule type="expression" dxfId="6927" priority="3792">
      <formula>H2075&lt;&gt;""</formula>
    </cfRule>
  </conditionalFormatting>
  <conditionalFormatting sqref="I2075:I2079">
    <cfRule type="expression" dxfId="6926" priority="3791">
      <formula>B2083&lt;&gt;""</formula>
    </cfRule>
  </conditionalFormatting>
  <conditionalFormatting sqref="B2075:B2079">
    <cfRule type="expression" dxfId="6925" priority="3790">
      <formula>B2075&lt;&gt;""</formula>
    </cfRule>
  </conditionalFormatting>
  <conditionalFormatting sqref="B2075">
    <cfRule type="expression" dxfId="6924" priority="3789">
      <formula>B2075&lt;&gt;""</formula>
    </cfRule>
  </conditionalFormatting>
  <conditionalFormatting sqref="B2079">
    <cfRule type="expression" dxfId="6923" priority="3788">
      <formula>B2075&lt;&gt;""</formula>
    </cfRule>
  </conditionalFormatting>
  <conditionalFormatting sqref="F2075:F2079">
    <cfRule type="expression" dxfId="6922" priority="3784">
      <formula>F2075&lt;&gt;""</formula>
    </cfRule>
  </conditionalFormatting>
  <conditionalFormatting sqref="F2075">
    <cfRule type="expression" dxfId="6921" priority="3783">
      <formula>F2075&lt;&gt;""</formula>
    </cfRule>
  </conditionalFormatting>
  <conditionalFormatting sqref="F2079">
    <cfRule type="expression" dxfId="6920" priority="3782">
      <formula>F2075&lt;&gt;""</formula>
    </cfRule>
  </conditionalFormatting>
  <conditionalFormatting sqref="H2075:H2079">
    <cfRule type="expression" dxfId="6919" priority="3781">
      <formula>H2075&lt;&gt;""</formula>
    </cfRule>
  </conditionalFormatting>
  <conditionalFormatting sqref="H2075">
    <cfRule type="expression" dxfId="6918" priority="3780">
      <formula>H2075&lt;&gt;""</formula>
    </cfRule>
  </conditionalFormatting>
  <conditionalFormatting sqref="H2079">
    <cfRule type="expression" dxfId="6917" priority="3779">
      <formula>H2075&lt;&gt;""</formula>
    </cfRule>
  </conditionalFormatting>
  <conditionalFormatting sqref="F2067:F2071">
    <cfRule type="expression" dxfId="6916" priority="3778">
      <formula>F2067&lt;&gt;""</formula>
    </cfRule>
  </conditionalFormatting>
  <conditionalFormatting sqref="F2067">
    <cfRule type="expression" dxfId="6915" priority="3777">
      <formula>F2067&lt;&gt;""</formula>
    </cfRule>
  </conditionalFormatting>
  <conditionalFormatting sqref="F2071">
    <cfRule type="expression" dxfId="6914" priority="3776">
      <formula>F2067&lt;&gt;""</formula>
    </cfRule>
  </conditionalFormatting>
  <conditionalFormatting sqref="E2067:E2071">
    <cfRule type="expression" dxfId="6913" priority="3775">
      <formula>F2067&lt;&gt;""</formula>
    </cfRule>
  </conditionalFormatting>
  <conditionalFormatting sqref="G2067:G2071">
    <cfRule type="expression" dxfId="6912" priority="3774">
      <formula>H2067&lt;&gt;""</formula>
    </cfRule>
  </conditionalFormatting>
  <conditionalFormatting sqref="I2067:I2071">
    <cfRule type="expression" dxfId="6911" priority="3773">
      <formula>B2075&lt;&gt;""</formula>
    </cfRule>
  </conditionalFormatting>
  <conditionalFormatting sqref="H2067:H2071">
    <cfRule type="expression" dxfId="6910" priority="3772">
      <formula>H2067&lt;&gt;""</formula>
    </cfRule>
  </conditionalFormatting>
  <conditionalFormatting sqref="H2067">
    <cfRule type="expression" dxfId="6909" priority="3771">
      <formula>H2067&lt;&gt;""</formula>
    </cfRule>
  </conditionalFormatting>
  <conditionalFormatting sqref="H2071">
    <cfRule type="expression" dxfId="6908" priority="3770">
      <formula>H2067&lt;&gt;""</formula>
    </cfRule>
  </conditionalFormatting>
  <conditionalFormatting sqref="I2080:I2081 C2081:H2081 B2081:B2082">
    <cfRule type="expression" dxfId="6907" priority="3769">
      <formula>$B2083&lt;&gt;""</formula>
    </cfRule>
  </conditionalFormatting>
  <conditionalFormatting sqref="B2083:B2087">
    <cfRule type="expression" dxfId="6906" priority="3768">
      <formula>B2083&lt;&gt;""</formula>
    </cfRule>
  </conditionalFormatting>
  <conditionalFormatting sqref="B2083">
    <cfRule type="expression" dxfId="6905" priority="3767">
      <formula>B2083&lt;&gt;""</formula>
    </cfRule>
  </conditionalFormatting>
  <conditionalFormatting sqref="B2087">
    <cfRule type="expression" dxfId="6904" priority="3766">
      <formula>B2083&lt;&gt;""</formula>
    </cfRule>
  </conditionalFormatting>
  <conditionalFormatting sqref="F2083:F2087">
    <cfRule type="expression" dxfId="6903" priority="3762">
      <formula>F2083&lt;&gt;""</formula>
    </cfRule>
  </conditionalFormatting>
  <conditionalFormatting sqref="F2083">
    <cfRule type="expression" dxfId="6902" priority="3761">
      <formula>F2083&lt;&gt;""</formula>
    </cfRule>
  </conditionalFormatting>
  <conditionalFormatting sqref="F2087">
    <cfRule type="expression" dxfId="6901" priority="3760">
      <formula>F2083&lt;&gt;""</formula>
    </cfRule>
  </conditionalFormatting>
  <conditionalFormatting sqref="C2083:C2087">
    <cfRule type="expression" dxfId="6900" priority="3759">
      <formula>D2083&lt;&gt;""</formula>
    </cfRule>
  </conditionalFormatting>
  <conditionalFormatting sqref="E2083:E2087">
    <cfRule type="expression" dxfId="6899" priority="3758">
      <formula>F2083&lt;&gt;""</formula>
    </cfRule>
  </conditionalFormatting>
  <conditionalFormatting sqref="G2083:G2087">
    <cfRule type="expression" dxfId="6898" priority="3757">
      <formula>H2083&lt;&gt;""</formula>
    </cfRule>
  </conditionalFormatting>
  <conditionalFormatting sqref="H2083:H2087">
    <cfRule type="expression" dxfId="6897" priority="3756">
      <formula>H2083&lt;&gt;""</formula>
    </cfRule>
  </conditionalFormatting>
  <conditionalFormatting sqref="H2083">
    <cfRule type="expression" dxfId="6896" priority="3755">
      <formula>H2083&lt;&gt;""</formula>
    </cfRule>
  </conditionalFormatting>
  <conditionalFormatting sqref="H2087">
    <cfRule type="expression" dxfId="6895" priority="3754">
      <formula>H2083&lt;&gt;""</formula>
    </cfRule>
  </conditionalFormatting>
  <conditionalFormatting sqref="D2055:D2059">
    <cfRule type="expression" dxfId="6894" priority="3723">
      <formula>D2055&lt;&gt;""</formula>
    </cfRule>
  </conditionalFormatting>
  <conditionalFormatting sqref="D2055">
    <cfRule type="expression" dxfId="6893" priority="3722">
      <formula>D2055&lt;&gt;""</formula>
    </cfRule>
  </conditionalFormatting>
  <conditionalFormatting sqref="D2059">
    <cfRule type="expression" dxfId="6892" priority="3721">
      <formula>D2055&lt;&gt;""</formula>
    </cfRule>
  </conditionalFormatting>
  <conditionalFormatting sqref="I2044:I2045 C2045:H2045 B2045:B2046">
    <cfRule type="expression" dxfId="6891" priority="3711">
      <formula>$B2047&lt;&gt;""</formula>
    </cfRule>
  </conditionalFormatting>
  <conditionalFormatting sqref="D2047:D2051">
    <cfRule type="expression" dxfId="6890" priority="3745">
      <formula>D2047&lt;&gt;""</formula>
    </cfRule>
  </conditionalFormatting>
  <conditionalFormatting sqref="D2047">
    <cfRule type="expression" dxfId="6889" priority="3744">
      <formula>D2047&lt;&gt;""</formula>
    </cfRule>
  </conditionalFormatting>
  <conditionalFormatting sqref="D2051">
    <cfRule type="expression" dxfId="6888" priority="3743">
      <formula>D2047&lt;&gt;""</formula>
    </cfRule>
  </conditionalFormatting>
  <conditionalFormatting sqref="C2047:C2051">
    <cfRule type="expression" dxfId="6887" priority="3752">
      <formula>D2047&lt;&gt;""</formula>
    </cfRule>
  </conditionalFormatting>
  <conditionalFormatting sqref="E2047:E2051">
    <cfRule type="expression" dxfId="6886" priority="3751">
      <formula>F2047&lt;&gt;""</formula>
    </cfRule>
  </conditionalFormatting>
  <conditionalFormatting sqref="G2047:G2051">
    <cfRule type="expression" dxfId="6885" priority="3750">
      <formula>H2047&lt;&gt;""</formula>
    </cfRule>
  </conditionalFormatting>
  <conditionalFormatting sqref="I2047:I2051">
    <cfRule type="expression" dxfId="6884" priority="3749">
      <formula>B2055&lt;&gt;""</formula>
    </cfRule>
  </conditionalFormatting>
  <conditionalFormatting sqref="B2047:B2051">
    <cfRule type="expression" dxfId="6883" priority="3748">
      <formula>B2047&lt;&gt;""</formula>
    </cfRule>
  </conditionalFormatting>
  <conditionalFormatting sqref="B2047">
    <cfRule type="expression" dxfId="6882" priority="3747">
      <formula>B2047&lt;&gt;""</formula>
    </cfRule>
  </conditionalFormatting>
  <conditionalFormatting sqref="B2051">
    <cfRule type="expression" dxfId="6881" priority="3746">
      <formula>B2047&lt;&gt;""</formula>
    </cfRule>
  </conditionalFormatting>
  <conditionalFormatting sqref="F2047:F2051">
    <cfRule type="expression" dxfId="6880" priority="3742">
      <formula>F2047&lt;&gt;""</formula>
    </cfRule>
  </conditionalFormatting>
  <conditionalFormatting sqref="F2047">
    <cfRule type="expression" dxfId="6879" priority="3741">
      <formula>F2047&lt;&gt;""</formula>
    </cfRule>
  </conditionalFormatting>
  <conditionalFormatting sqref="F2051">
    <cfRule type="expression" dxfId="6878" priority="3740">
      <formula>F2047&lt;&gt;""</formula>
    </cfRule>
  </conditionalFormatting>
  <conditionalFormatting sqref="H2047:H2051">
    <cfRule type="expression" dxfId="6877" priority="3739">
      <formula>H2047&lt;&gt;""</formula>
    </cfRule>
  </conditionalFormatting>
  <conditionalFormatting sqref="H2047">
    <cfRule type="expression" dxfId="6876" priority="3738">
      <formula>H2047&lt;&gt;""</formula>
    </cfRule>
  </conditionalFormatting>
  <conditionalFormatting sqref="H2051">
    <cfRule type="expression" dxfId="6875" priority="3737">
      <formula>H2047&lt;&gt;""</formula>
    </cfRule>
  </conditionalFormatting>
  <conditionalFormatting sqref="F2039:F2043">
    <cfRule type="expression" dxfId="6874" priority="3736">
      <formula>F2039&lt;&gt;""</formula>
    </cfRule>
  </conditionalFormatting>
  <conditionalFormatting sqref="F2039">
    <cfRule type="expression" dxfId="6873" priority="3735">
      <formula>F2039&lt;&gt;""</formula>
    </cfRule>
  </conditionalFormatting>
  <conditionalFormatting sqref="F2043">
    <cfRule type="expression" dxfId="6872" priority="3734">
      <formula>F2039&lt;&gt;""</formula>
    </cfRule>
  </conditionalFormatting>
  <conditionalFormatting sqref="E2039:E2043">
    <cfRule type="expression" dxfId="6871" priority="3733">
      <formula>F2039&lt;&gt;""</formula>
    </cfRule>
  </conditionalFormatting>
  <conditionalFormatting sqref="G2039:G2043">
    <cfRule type="expression" dxfId="6870" priority="3732">
      <formula>H2039&lt;&gt;""</formula>
    </cfRule>
  </conditionalFormatting>
  <conditionalFormatting sqref="I2039:I2043">
    <cfRule type="expression" dxfId="6869" priority="3731">
      <formula>B2047&lt;&gt;""</formula>
    </cfRule>
  </conditionalFormatting>
  <conditionalFormatting sqref="H2039:H2043">
    <cfRule type="expression" dxfId="6868" priority="3730">
      <formula>H2039&lt;&gt;""</formula>
    </cfRule>
  </conditionalFormatting>
  <conditionalFormatting sqref="H2039">
    <cfRule type="expression" dxfId="6867" priority="3729">
      <formula>H2039&lt;&gt;""</formula>
    </cfRule>
  </conditionalFormatting>
  <conditionalFormatting sqref="H2043">
    <cfRule type="expression" dxfId="6866" priority="3728">
      <formula>H2039&lt;&gt;""</formula>
    </cfRule>
  </conditionalFormatting>
  <conditionalFormatting sqref="I2052:I2053 C2053:H2053 B2053:B2054">
    <cfRule type="expression" dxfId="6865" priority="3727">
      <formula>$B2055&lt;&gt;""</formula>
    </cfRule>
  </conditionalFormatting>
  <conditionalFormatting sqref="B2055:B2059">
    <cfRule type="expression" dxfId="6864" priority="3726">
      <formula>B2055&lt;&gt;""</formula>
    </cfRule>
  </conditionalFormatting>
  <conditionalFormatting sqref="B2055">
    <cfRule type="expression" dxfId="6863" priority="3725">
      <formula>B2055&lt;&gt;""</formula>
    </cfRule>
  </conditionalFormatting>
  <conditionalFormatting sqref="B2059">
    <cfRule type="expression" dxfId="6862" priority="3724">
      <formula>B2055&lt;&gt;""</formula>
    </cfRule>
  </conditionalFormatting>
  <conditionalFormatting sqref="F2055:F2059">
    <cfRule type="expression" dxfId="6861" priority="3720">
      <formula>F2055&lt;&gt;""</formula>
    </cfRule>
  </conditionalFormatting>
  <conditionalFormatting sqref="F2055">
    <cfRule type="expression" dxfId="6860" priority="3719">
      <formula>F2055&lt;&gt;""</formula>
    </cfRule>
  </conditionalFormatting>
  <conditionalFormatting sqref="F2059">
    <cfRule type="expression" dxfId="6859" priority="3718">
      <formula>F2055&lt;&gt;""</formula>
    </cfRule>
  </conditionalFormatting>
  <conditionalFormatting sqref="C2055:C2059">
    <cfRule type="expression" dxfId="6858" priority="3717">
      <formula>D2055&lt;&gt;""</formula>
    </cfRule>
  </conditionalFormatting>
  <conditionalFormatting sqref="E2055:E2059">
    <cfRule type="expression" dxfId="6857" priority="3716">
      <formula>F2055&lt;&gt;""</formula>
    </cfRule>
  </conditionalFormatting>
  <conditionalFormatting sqref="G2055:G2059">
    <cfRule type="expression" dxfId="6856" priority="3715">
      <formula>H2055&lt;&gt;""</formula>
    </cfRule>
  </conditionalFormatting>
  <conditionalFormatting sqref="H2055:H2059">
    <cfRule type="expression" dxfId="6855" priority="3714">
      <formula>H2055&lt;&gt;""</formula>
    </cfRule>
  </conditionalFormatting>
  <conditionalFormatting sqref="H2055">
    <cfRule type="expression" dxfId="6854" priority="3713">
      <formula>H2055&lt;&gt;""</formula>
    </cfRule>
  </conditionalFormatting>
  <conditionalFormatting sqref="H2059">
    <cfRule type="expression" dxfId="6853" priority="3712">
      <formula>H2055&lt;&gt;""</formula>
    </cfRule>
  </conditionalFormatting>
  <conditionalFormatting sqref="D2027:D2031">
    <cfRule type="expression" dxfId="6852" priority="3681">
      <formula>D2027&lt;&gt;""</formula>
    </cfRule>
  </conditionalFormatting>
  <conditionalFormatting sqref="D2027">
    <cfRule type="expression" dxfId="6851" priority="3680">
      <formula>D2027&lt;&gt;""</formula>
    </cfRule>
  </conditionalFormatting>
  <conditionalFormatting sqref="D2031">
    <cfRule type="expression" dxfId="6850" priority="3679">
      <formula>D2027&lt;&gt;""</formula>
    </cfRule>
  </conditionalFormatting>
  <conditionalFormatting sqref="I2016:I2017 C2017:H2017 B2017:B2018">
    <cfRule type="expression" dxfId="6849" priority="3669">
      <formula>$B2019&lt;&gt;""</formula>
    </cfRule>
  </conditionalFormatting>
  <conditionalFormatting sqref="D2019:D2023">
    <cfRule type="expression" dxfId="6848" priority="3703">
      <formula>D2019&lt;&gt;""</formula>
    </cfRule>
  </conditionalFormatting>
  <conditionalFormatting sqref="D2019">
    <cfRule type="expression" dxfId="6847" priority="3702">
      <formula>D2019&lt;&gt;""</formula>
    </cfRule>
  </conditionalFormatting>
  <conditionalFormatting sqref="D2023">
    <cfRule type="expression" dxfId="6846" priority="3701">
      <formula>D2019&lt;&gt;""</formula>
    </cfRule>
  </conditionalFormatting>
  <conditionalFormatting sqref="C2019:C2023">
    <cfRule type="expression" dxfId="6845" priority="3710">
      <formula>D2019&lt;&gt;""</formula>
    </cfRule>
  </conditionalFormatting>
  <conditionalFormatting sqref="E2019:E2023">
    <cfRule type="expression" dxfId="6844" priority="3709">
      <formula>F2019&lt;&gt;""</formula>
    </cfRule>
  </conditionalFormatting>
  <conditionalFormatting sqref="G2019:G2023">
    <cfRule type="expression" dxfId="6843" priority="3708">
      <formula>H2019&lt;&gt;""</formula>
    </cfRule>
  </conditionalFormatting>
  <conditionalFormatting sqref="I2019:I2023">
    <cfRule type="expression" dxfId="6842" priority="3707">
      <formula>B2027&lt;&gt;""</formula>
    </cfRule>
  </conditionalFormatting>
  <conditionalFormatting sqref="B2019:B2023">
    <cfRule type="expression" dxfId="6841" priority="3706">
      <formula>B2019&lt;&gt;""</formula>
    </cfRule>
  </conditionalFormatting>
  <conditionalFormatting sqref="B2019">
    <cfRule type="expression" dxfId="6840" priority="3705">
      <formula>B2019&lt;&gt;""</formula>
    </cfRule>
  </conditionalFormatting>
  <conditionalFormatting sqref="B2023">
    <cfRule type="expression" dxfId="6839" priority="3704">
      <formula>B2019&lt;&gt;""</formula>
    </cfRule>
  </conditionalFormatting>
  <conditionalFormatting sqref="F2019:F2023">
    <cfRule type="expression" dxfId="6838" priority="3700">
      <formula>F2019&lt;&gt;""</formula>
    </cfRule>
  </conditionalFormatting>
  <conditionalFormatting sqref="F2019">
    <cfRule type="expression" dxfId="6837" priority="3699">
      <formula>F2019&lt;&gt;""</formula>
    </cfRule>
  </conditionalFormatting>
  <conditionalFormatting sqref="F2023">
    <cfRule type="expression" dxfId="6836" priority="3698">
      <formula>F2019&lt;&gt;""</formula>
    </cfRule>
  </conditionalFormatting>
  <conditionalFormatting sqref="H2019:H2023">
    <cfRule type="expression" dxfId="6835" priority="3697">
      <formula>H2019&lt;&gt;""</formula>
    </cfRule>
  </conditionalFormatting>
  <conditionalFormatting sqref="H2019">
    <cfRule type="expression" dxfId="6834" priority="3696">
      <formula>H2019&lt;&gt;""</formula>
    </cfRule>
  </conditionalFormatting>
  <conditionalFormatting sqref="H2023">
    <cfRule type="expression" dxfId="6833" priority="3695">
      <formula>H2019&lt;&gt;""</formula>
    </cfRule>
  </conditionalFormatting>
  <conditionalFormatting sqref="F2011:F2015">
    <cfRule type="expression" dxfId="6832" priority="3694">
      <formula>F2011&lt;&gt;""</formula>
    </cfRule>
  </conditionalFormatting>
  <conditionalFormatting sqref="F2011">
    <cfRule type="expression" dxfId="6831" priority="3693">
      <formula>F2011&lt;&gt;""</formula>
    </cfRule>
  </conditionalFormatting>
  <conditionalFormatting sqref="F2015">
    <cfRule type="expression" dxfId="6830" priority="3692">
      <formula>F2011&lt;&gt;""</formula>
    </cfRule>
  </conditionalFormatting>
  <conditionalFormatting sqref="E2011:E2015">
    <cfRule type="expression" dxfId="6829" priority="3691">
      <formula>F2011&lt;&gt;""</formula>
    </cfRule>
  </conditionalFormatting>
  <conditionalFormatting sqref="G2011:G2015">
    <cfRule type="expression" dxfId="6828" priority="3690">
      <formula>H2011&lt;&gt;""</formula>
    </cfRule>
  </conditionalFormatting>
  <conditionalFormatting sqref="I2011:I2015">
    <cfRule type="expression" dxfId="6827" priority="3689">
      <formula>B2019&lt;&gt;""</formula>
    </cfRule>
  </conditionalFormatting>
  <conditionalFormatting sqref="H2011:H2015">
    <cfRule type="expression" dxfId="6826" priority="3688">
      <formula>H2011&lt;&gt;""</formula>
    </cfRule>
  </conditionalFormatting>
  <conditionalFormatting sqref="H2011">
    <cfRule type="expression" dxfId="6825" priority="3687">
      <formula>H2011&lt;&gt;""</formula>
    </cfRule>
  </conditionalFormatting>
  <conditionalFormatting sqref="H2015">
    <cfRule type="expression" dxfId="6824" priority="3686">
      <formula>H2011&lt;&gt;""</formula>
    </cfRule>
  </conditionalFormatting>
  <conditionalFormatting sqref="I2024:I2025 C2025:H2025 B2025:B2026">
    <cfRule type="expression" dxfId="6823" priority="3685">
      <formula>$B2027&lt;&gt;""</formula>
    </cfRule>
  </conditionalFormatting>
  <conditionalFormatting sqref="B2027:B2031">
    <cfRule type="expression" dxfId="6822" priority="3684">
      <formula>B2027&lt;&gt;""</formula>
    </cfRule>
  </conditionalFormatting>
  <conditionalFormatting sqref="B2027">
    <cfRule type="expression" dxfId="6821" priority="3683">
      <formula>B2027&lt;&gt;""</formula>
    </cfRule>
  </conditionalFormatting>
  <conditionalFormatting sqref="B2031">
    <cfRule type="expression" dxfId="6820" priority="3682">
      <formula>B2027&lt;&gt;""</formula>
    </cfRule>
  </conditionalFormatting>
  <conditionalFormatting sqref="F2027:F2031">
    <cfRule type="expression" dxfId="6819" priority="3678">
      <formula>F2027&lt;&gt;""</formula>
    </cfRule>
  </conditionalFormatting>
  <conditionalFormatting sqref="F2027">
    <cfRule type="expression" dxfId="6818" priority="3677">
      <formula>F2027&lt;&gt;""</formula>
    </cfRule>
  </conditionalFormatting>
  <conditionalFormatting sqref="F2031">
    <cfRule type="expression" dxfId="6817" priority="3676">
      <formula>F2027&lt;&gt;""</formula>
    </cfRule>
  </conditionalFormatting>
  <conditionalFormatting sqref="C2027:C2031">
    <cfRule type="expression" dxfId="6816" priority="3675">
      <formula>D2027&lt;&gt;""</formula>
    </cfRule>
  </conditionalFormatting>
  <conditionalFormatting sqref="E2027:E2031">
    <cfRule type="expression" dxfId="6815" priority="3674">
      <formula>F2027&lt;&gt;""</formula>
    </cfRule>
  </conditionalFormatting>
  <conditionalFormatting sqref="G2027:G2031">
    <cfRule type="expression" dxfId="6814" priority="3673">
      <formula>H2027&lt;&gt;""</formula>
    </cfRule>
  </conditionalFormatting>
  <conditionalFormatting sqref="H2027:H2031">
    <cfRule type="expression" dxfId="6813" priority="3672">
      <formula>H2027&lt;&gt;""</formula>
    </cfRule>
  </conditionalFormatting>
  <conditionalFormatting sqref="H2027">
    <cfRule type="expression" dxfId="6812" priority="3671">
      <formula>H2027&lt;&gt;""</formula>
    </cfRule>
  </conditionalFormatting>
  <conditionalFormatting sqref="H2031">
    <cfRule type="expression" dxfId="6811" priority="3670">
      <formula>H2027&lt;&gt;""</formula>
    </cfRule>
  </conditionalFormatting>
  <conditionalFormatting sqref="D1999:D2003">
    <cfRule type="expression" dxfId="6810" priority="3639">
      <formula>D1999&lt;&gt;""</formula>
    </cfRule>
  </conditionalFormatting>
  <conditionalFormatting sqref="D1999">
    <cfRule type="expression" dxfId="6809" priority="3638">
      <formula>D1999&lt;&gt;""</formula>
    </cfRule>
  </conditionalFormatting>
  <conditionalFormatting sqref="D2003">
    <cfRule type="expression" dxfId="6808" priority="3637">
      <formula>D1999&lt;&gt;""</formula>
    </cfRule>
  </conditionalFormatting>
  <conditionalFormatting sqref="I1988:I1989 C1989:H1989 B1989:B1990">
    <cfRule type="expression" dxfId="6807" priority="3627">
      <formula>$B1991&lt;&gt;""</formula>
    </cfRule>
  </conditionalFormatting>
  <conditionalFormatting sqref="D1991:D1995">
    <cfRule type="expression" dxfId="6806" priority="3661">
      <formula>D1991&lt;&gt;""</formula>
    </cfRule>
  </conditionalFormatting>
  <conditionalFormatting sqref="D1991">
    <cfRule type="expression" dxfId="6805" priority="3660">
      <formula>D1991&lt;&gt;""</formula>
    </cfRule>
  </conditionalFormatting>
  <conditionalFormatting sqref="D1995">
    <cfRule type="expression" dxfId="6804" priority="3659">
      <formula>D1991&lt;&gt;""</formula>
    </cfRule>
  </conditionalFormatting>
  <conditionalFormatting sqref="C1991:C1995">
    <cfRule type="expression" dxfId="6803" priority="3668">
      <formula>D1991&lt;&gt;""</formula>
    </cfRule>
  </conditionalFormatting>
  <conditionalFormatting sqref="E1991:E1995">
    <cfRule type="expression" dxfId="6802" priority="3667">
      <formula>F1991&lt;&gt;""</formula>
    </cfRule>
  </conditionalFormatting>
  <conditionalFormatting sqref="G1991:G1995">
    <cfRule type="expression" dxfId="6801" priority="3666">
      <formula>H1991&lt;&gt;""</formula>
    </cfRule>
  </conditionalFormatting>
  <conditionalFormatting sqref="I1991:I1995">
    <cfRule type="expression" dxfId="6800" priority="3665">
      <formula>B1999&lt;&gt;""</formula>
    </cfRule>
  </conditionalFormatting>
  <conditionalFormatting sqref="B1991:B1995">
    <cfRule type="expression" dxfId="6799" priority="3664">
      <formula>B1991&lt;&gt;""</formula>
    </cfRule>
  </conditionalFormatting>
  <conditionalFormatting sqref="B1991">
    <cfRule type="expression" dxfId="6798" priority="3663">
      <formula>B1991&lt;&gt;""</formula>
    </cfRule>
  </conditionalFormatting>
  <conditionalFormatting sqref="B1995">
    <cfRule type="expression" dxfId="6797" priority="3662">
      <formula>B1991&lt;&gt;""</formula>
    </cfRule>
  </conditionalFormatting>
  <conditionalFormatting sqref="F1991:F1995">
    <cfRule type="expression" dxfId="6796" priority="3658">
      <formula>F1991&lt;&gt;""</formula>
    </cfRule>
  </conditionalFormatting>
  <conditionalFormatting sqref="F1991">
    <cfRule type="expression" dxfId="6795" priority="3657">
      <formula>F1991&lt;&gt;""</formula>
    </cfRule>
  </conditionalFormatting>
  <conditionalFormatting sqref="F1995">
    <cfRule type="expression" dxfId="6794" priority="3656">
      <formula>F1991&lt;&gt;""</formula>
    </cfRule>
  </conditionalFormatting>
  <conditionalFormatting sqref="H1991:H1995">
    <cfRule type="expression" dxfId="6793" priority="3655">
      <formula>H1991&lt;&gt;""</formula>
    </cfRule>
  </conditionalFormatting>
  <conditionalFormatting sqref="H1991">
    <cfRule type="expression" dxfId="6792" priority="3654">
      <formula>H1991&lt;&gt;""</formula>
    </cfRule>
  </conditionalFormatting>
  <conditionalFormatting sqref="H1995">
    <cfRule type="expression" dxfId="6791" priority="3653">
      <formula>H1991&lt;&gt;""</formula>
    </cfRule>
  </conditionalFormatting>
  <conditionalFormatting sqref="F1983:F1987">
    <cfRule type="expression" dxfId="6790" priority="3652">
      <formula>F1983&lt;&gt;""</formula>
    </cfRule>
  </conditionalFormatting>
  <conditionalFormatting sqref="F1983">
    <cfRule type="expression" dxfId="6789" priority="3651">
      <formula>F1983&lt;&gt;""</formula>
    </cfRule>
  </conditionalFormatting>
  <conditionalFormatting sqref="F1987">
    <cfRule type="expression" dxfId="6788" priority="3650">
      <formula>F1983&lt;&gt;""</formula>
    </cfRule>
  </conditionalFormatting>
  <conditionalFormatting sqref="E1983:E1987">
    <cfRule type="expression" dxfId="6787" priority="3649">
      <formula>F1983&lt;&gt;""</formula>
    </cfRule>
  </conditionalFormatting>
  <conditionalFormatting sqref="G1983:G1987">
    <cfRule type="expression" dxfId="6786" priority="3648">
      <formula>H1983&lt;&gt;""</formula>
    </cfRule>
  </conditionalFormatting>
  <conditionalFormatting sqref="I1983:I1987">
    <cfRule type="expression" dxfId="6785" priority="3647">
      <formula>B1991&lt;&gt;""</formula>
    </cfRule>
  </conditionalFormatting>
  <conditionalFormatting sqref="H1983:H1987">
    <cfRule type="expression" dxfId="6784" priority="3646">
      <formula>H1983&lt;&gt;""</formula>
    </cfRule>
  </conditionalFormatting>
  <conditionalFormatting sqref="H1983">
    <cfRule type="expression" dxfId="6783" priority="3645">
      <formula>H1983&lt;&gt;""</formula>
    </cfRule>
  </conditionalFormatting>
  <conditionalFormatting sqref="H1987">
    <cfRule type="expression" dxfId="6782" priority="3644">
      <formula>H1983&lt;&gt;""</formula>
    </cfRule>
  </conditionalFormatting>
  <conditionalFormatting sqref="I1996:I1997 C1997:H1997 B1997:B1998">
    <cfRule type="expression" dxfId="6781" priority="3643">
      <formula>$B1999&lt;&gt;""</formula>
    </cfRule>
  </conditionalFormatting>
  <conditionalFormatting sqref="B1999:B2003">
    <cfRule type="expression" dxfId="6780" priority="3642">
      <formula>B1999&lt;&gt;""</formula>
    </cfRule>
  </conditionalFormatting>
  <conditionalFormatting sqref="B1999">
    <cfRule type="expression" dxfId="6779" priority="3641">
      <formula>B1999&lt;&gt;""</formula>
    </cfRule>
  </conditionalFormatting>
  <conditionalFormatting sqref="B2003">
    <cfRule type="expression" dxfId="6778" priority="3640">
      <formula>B1999&lt;&gt;""</formula>
    </cfRule>
  </conditionalFormatting>
  <conditionalFormatting sqref="F1999:F2003">
    <cfRule type="expression" dxfId="6777" priority="3636">
      <formula>F1999&lt;&gt;""</formula>
    </cfRule>
  </conditionalFormatting>
  <conditionalFormatting sqref="F1999">
    <cfRule type="expression" dxfId="6776" priority="3635">
      <formula>F1999&lt;&gt;""</formula>
    </cfRule>
  </conditionalFormatting>
  <conditionalFormatting sqref="F2003">
    <cfRule type="expression" dxfId="6775" priority="3634">
      <formula>F1999&lt;&gt;""</formula>
    </cfRule>
  </conditionalFormatting>
  <conditionalFormatting sqref="C1999:C2003">
    <cfRule type="expression" dxfId="6774" priority="3633">
      <formula>D1999&lt;&gt;""</formula>
    </cfRule>
  </conditionalFormatting>
  <conditionalFormatting sqref="E1999:E2003">
    <cfRule type="expression" dxfId="6773" priority="3632">
      <formula>F1999&lt;&gt;""</formula>
    </cfRule>
  </conditionalFormatting>
  <conditionalFormatting sqref="G1999:G2003">
    <cfRule type="expression" dxfId="6772" priority="3631">
      <formula>H1999&lt;&gt;""</formula>
    </cfRule>
  </conditionalFormatting>
  <conditionalFormatting sqref="H1999:H2003">
    <cfRule type="expression" dxfId="6771" priority="3630">
      <formula>H1999&lt;&gt;""</formula>
    </cfRule>
  </conditionalFormatting>
  <conditionalFormatting sqref="H1999">
    <cfRule type="expression" dxfId="6770" priority="3629">
      <formula>H1999&lt;&gt;""</formula>
    </cfRule>
  </conditionalFormatting>
  <conditionalFormatting sqref="H2003">
    <cfRule type="expression" dxfId="6769" priority="3628">
      <formula>H1999&lt;&gt;""</formula>
    </cfRule>
  </conditionalFormatting>
  <conditionalFormatting sqref="B1983:B1987">
    <cfRule type="expression" dxfId="6768" priority="3626">
      <formula>B1983&lt;&gt;""</formula>
    </cfRule>
  </conditionalFormatting>
  <conditionalFormatting sqref="B1983">
    <cfRule type="expression" dxfId="6767" priority="3625">
      <formula>B1983&lt;&gt;""</formula>
    </cfRule>
  </conditionalFormatting>
  <conditionalFormatting sqref="B1987">
    <cfRule type="expression" dxfId="6766" priority="3624">
      <formula>B1983&lt;&gt;""</formula>
    </cfRule>
  </conditionalFormatting>
  <conditionalFormatting sqref="C1983:C1987">
    <cfRule type="expression" dxfId="6765" priority="3623">
      <formula>D1983&lt;&gt;""</formula>
    </cfRule>
  </conditionalFormatting>
  <conditionalFormatting sqref="D1983:D1987">
    <cfRule type="expression" dxfId="6764" priority="3622">
      <formula>D1983&lt;&gt;""</formula>
    </cfRule>
  </conditionalFormatting>
  <conditionalFormatting sqref="D1983">
    <cfRule type="expression" dxfId="6763" priority="3621">
      <formula>D1983&lt;&gt;""</formula>
    </cfRule>
  </conditionalFormatting>
  <conditionalFormatting sqref="D1987">
    <cfRule type="expression" dxfId="6762" priority="3620">
      <formula>D1983&lt;&gt;""</formula>
    </cfRule>
  </conditionalFormatting>
  <conditionalFormatting sqref="B2011:B2015">
    <cfRule type="expression" dxfId="6761" priority="3619">
      <formula>B2011&lt;&gt;""</formula>
    </cfRule>
  </conditionalFormatting>
  <conditionalFormatting sqref="B2011">
    <cfRule type="expression" dxfId="6760" priority="3618">
      <formula>B2011&lt;&gt;""</formula>
    </cfRule>
  </conditionalFormatting>
  <conditionalFormatting sqref="B2015">
    <cfRule type="expression" dxfId="6759" priority="3617">
      <formula>B2011&lt;&gt;""</formula>
    </cfRule>
  </conditionalFormatting>
  <conditionalFormatting sqref="C2011:C2015">
    <cfRule type="expression" dxfId="6758" priority="3616">
      <formula>D2011&lt;&gt;""</formula>
    </cfRule>
  </conditionalFormatting>
  <conditionalFormatting sqref="D2011:D2015">
    <cfRule type="expression" dxfId="6757" priority="3615">
      <formula>D2011&lt;&gt;""</formula>
    </cfRule>
  </conditionalFormatting>
  <conditionalFormatting sqref="D2011">
    <cfRule type="expression" dxfId="6756" priority="3614">
      <formula>D2011&lt;&gt;""</formula>
    </cfRule>
  </conditionalFormatting>
  <conditionalFormatting sqref="D2015">
    <cfRule type="expression" dxfId="6755" priority="3613">
      <formula>D2011&lt;&gt;""</formula>
    </cfRule>
  </conditionalFormatting>
  <conditionalFormatting sqref="B2039:B2043">
    <cfRule type="expression" dxfId="6754" priority="3612">
      <formula>B2039&lt;&gt;""</formula>
    </cfRule>
  </conditionalFormatting>
  <conditionalFormatting sqref="B2039">
    <cfRule type="expression" dxfId="6753" priority="3611">
      <formula>B2039&lt;&gt;""</formula>
    </cfRule>
  </conditionalFormatting>
  <conditionalFormatting sqref="B2043">
    <cfRule type="expression" dxfId="6752" priority="3610">
      <formula>B2039&lt;&gt;""</formula>
    </cfRule>
  </conditionalFormatting>
  <conditionalFormatting sqref="C2039:C2043">
    <cfRule type="expression" dxfId="6751" priority="3609">
      <formula>D2039&lt;&gt;""</formula>
    </cfRule>
  </conditionalFormatting>
  <conditionalFormatting sqref="D2039:D2043">
    <cfRule type="expression" dxfId="6750" priority="3608">
      <formula>D2039&lt;&gt;""</formula>
    </cfRule>
  </conditionalFormatting>
  <conditionalFormatting sqref="D2039">
    <cfRule type="expression" dxfId="6749" priority="3607">
      <formula>D2039&lt;&gt;""</formula>
    </cfRule>
  </conditionalFormatting>
  <conditionalFormatting sqref="D2043">
    <cfRule type="expression" dxfId="6748" priority="3606">
      <formula>D2039&lt;&gt;""</formula>
    </cfRule>
  </conditionalFormatting>
  <conditionalFormatting sqref="B2067:B2071">
    <cfRule type="expression" dxfId="6747" priority="3605">
      <formula>B2067&lt;&gt;""</formula>
    </cfRule>
  </conditionalFormatting>
  <conditionalFormatting sqref="B2067">
    <cfRule type="expression" dxfId="6746" priority="3604">
      <formula>B2067&lt;&gt;""</formula>
    </cfRule>
  </conditionalFormatting>
  <conditionalFormatting sqref="B2071">
    <cfRule type="expression" dxfId="6745" priority="3603">
      <formula>B2067&lt;&gt;""</formula>
    </cfRule>
  </conditionalFormatting>
  <conditionalFormatting sqref="C2067:C2071">
    <cfRule type="expression" dxfId="6744" priority="3602">
      <formula>D2067&lt;&gt;""</formula>
    </cfRule>
  </conditionalFormatting>
  <conditionalFormatting sqref="D2067:D2071">
    <cfRule type="expression" dxfId="6743" priority="3601">
      <formula>D2067&lt;&gt;""</formula>
    </cfRule>
  </conditionalFormatting>
  <conditionalFormatting sqref="D2067">
    <cfRule type="expression" dxfId="6742" priority="3600">
      <formula>D2067&lt;&gt;""</formula>
    </cfRule>
  </conditionalFormatting>
  <conditionalFormatting sqref="D2071">
    <cfRule type="expression" dxfId="6741" priority="3599">
      <formula>D2067&lt;&gt;""</formula>
    </cfRule>
  </conditionalFormatting>
  <conditionalFormatting sqref="B2095:B2099">
    <cfRule type="expression" dxfId="6740" priority="3598">
      <formula>B2095&lt;&gt;""</formula>
    </cfRule>
  </conditionalFormatting>
  <conditionalFormatting sqref="B2095">
    <cfRule type="expression" dxfId="6739" priority="3597">
      <formula>B2095&lt;&gt;""</formula>
    </cfRule>
  </conditionalFormatting>
  <conditionalFormatting sqref="B2099">
    <cfRule type="expression" dxfId="6738" priority="3596">
      <formula>B2095&lt;&gt;""</formula>
    </cfRule>
  </conditionalFormatting>
  <conditionalFormatting sqref="C2095:C2099">
    <cfRule type="expression" dxfId="6737" priority="3595">
      <formula>D2095&lt;&gt;""</formula>
    </cfRule>
  </conditionalFormatting>
  <conditionalFormatting sqref="D2095:D2099">
    <cfRule type="expression" dxfId="6736" priority="3594">
      <formula>D2095&lt;&gt;""</formula>
    </cfRule>
  </conditionalFormatting>
  <conditionalFormatting sqref="D2095">
    <cfRule type="expression" dxfId="6735" priority="3593">
      <formula>D2095&lt;&gt;""</formula>
    </cfRule>
  </conditionalFormatting>
  <conditionalFormatting sqref="D2099">
    <cfRule type="expression" dxfId="6734" priority="3592">
      <formula>D2095&lt;&gt;""</formula>
    </cfRule>
  </conditionalFormatting>
  <conditionalFormatting sqref="B2123:B2127">
    <cfRule type="expression" dxfId="6733" priority="3591">
      <formula>B2123&lt;&gt;""</formula>
    </cfRule>
  </conditionalFormatting>
  <conditionalFormatting sqref="B2123">
    <cfRule type="expression" dxfId="6732" priority="3590">
      <formula>B2123&lt;&gt;""</formula>
    </cfRule>
  </conditionalFormatting>
  <conditionalFormatting sqref="B2127">
    <cfRule type="expression" dxfId="6731" priority="3589">
      <formula>B2123&lt;&gt;""</formula>
    </cfRule>
  </conditionalFormatting>
  <conditionalFormatting sqref="C2123:C2127">
    <cfRule type="expression" dxfId="6730" priority="3588">
      <formula>D2123&lt;&gt;""</formula>
    </cfRule>
  </conditionalFormatting>
  <conditionalFormatting sqref="D2123:D2127">
    <cfRule type="expression" dxfId="6729" priority="3587">
      <formula>D2123&lt;&gt;""</formula>
    </cfRule>
  </conditionalFormatting>
  <conditionalFormatting sqref="D2123">
    <cfRule type="expression" dxfId="6728" priority="3586">
      <formula>D2123&lt;&gt;""</formula>
    </cfRule>
  </conditionalFormatting>
  <conditionalFormatting sqref="D2127">
    <cfRule type="expression" dxfId="6727" priority="3585">
      <formula>D2123&lt;&gt;""</formula>
    </cfRule>
  </conditionalFormatting>
  <conditionalFormatting sqref="B2151:B2155">
    <cfRule type="expression" dxfId="6726" priority="3584">
      <formula>B2151&lt;&gt;""</formula>
    </cfRule>
  </conditionalFormatting>
  <conditionalFormatting sqref="B2151">
    <cfRule type="expression" dxfId="6725" priority="3583">
      <formula>B2151&lt;&gt;""</formula>
    </cfRule>
  </conditionalFormatting>
  <conditionalFormatting sqref="B2155">
    <cfRule type="expression" dxfId="6724" priority="3582">
      <formula>B2151&lt;&gt;""</formula>
    </cfRule>
  </conditionalFormatting>
  <conditionalFormatting sqref="C2151:C2155">
    <cfRule type="expression" dxfId="6723" priority="3581">
      <formula>D2151&lt;&gt;""</formula>
    </cfRule>
  </conditionalFormatting>
  <conditionalFormatting sqref="D2151:D2155">
    <cfRule type="expression" dxfId="6722" priority="3580">
      <formula>D2151&lt;&gt;""</formula>
    </cfRule>
  </conditionalFormatting>
  <conditionalFormatting sqref="D2151">
    <cfRule type="expression" dxfId="6721" priority="3579">
      <formula>D2151&lt;&gt;""</formula>
    </cfRule>
  </conditionalFormatting>
  <conditionalFormatting sqref="D2155">
    <cfRule type="expression" dxfId="6720" priority="3578">
      <formula>D2151&lt;&gt;""</formula>
    </cfRule>
  </conditionalFormatting>
  <conditionalFormatting sqref="D2195:D2199">
    <cfRule type="expression" dxfId="6719" priority="3549">
      <formula>D2195&lt;&gt;""</formula>
    </cfRule>
  </conditionalFormatting>
  <conditionalFormatting sqref="D2195">
    <cfRule type="expression" dxfId="6718" priority="3548">
      <formula>D2195&lt;&gt;""</formula>
    </cfRule>
  </conditionalFormatting>
  <conditionalFormatting sqref="D2199">
    <cfRule type="expression" dxfId="6717" priority="3547">
      <formula>D2195&lt;&gt;""</formula>
    </cfRule>
  </conditionalFormatting>
  <conditionalFormatting sqref="D2187:D2191">
    <cfRule type="expression" dxfId="6716" priority="3570">
      <formula>D2187&lt;&gt;""</formula>
    </cfRule>
  </conditionalFormatting>
  <conditionalFormatting sqref="D2187">
    <cfRule type="expression" dxfId="6715" priority="3569">
      <formula>D2187&lt;&gt;""</formula>
    </cfRule>
  </conditionalFormatting>
  <conditionalFormatting sqref="D2191">
    <cfRule type="expression" dxfId="6714" priority="3568">
      <formula>D2187&lt;&gt;""</formula>
    </cfRule>
  </conditionalFormatting>
  <conditionalFormatting sqref="C2187:C2191">
    <cfRule type="expression" dxfId="6713" priority="3577">
      <formula>D2187&lt;&gt;""</formula>
    </cfRule>
  </conditionalFormatting>
  <conditionalFormatting sqref="E2187:E2191">
    <cfRule type="expression" dxfId="6712" priority="3576">
      <formula>F2187&lt;&gt;""</formula>
    </cfRule>
  </conditionalFormatting>
  <conditionalFormatting sqref="G2187:G2191">
    <cfRule type="expression" dxfId="6711" priority="3575">
      <formula>H2187&lt;&gt;""</formula>
    </cfRule>
  </conditionalFormatting>
  <conditionalFormatting sqref="I2187:I2191">
    <cfRule type="expression" dxfId="6710" priority="3574">
      <formula>B2195&lt;&gt;""</formula>
    </cfRule>
  </conditionalFormatting>
  <conditionalFormatting sqref="B2187:B2191">
    <cfRule type="expression" dxfId="6709" priority="3573">
      <formula>B2187&lt;&gt;""</formula>
    </cfRule>
  </conditionalFormatting>
  <conditionalFormatting sqref="B2187">
    <cfRule type="expression" dxfId="6708" priority="3572">
      <formula>B2187&lt;&gt;""</formula>
    </cfRule>
  </conditionalFormatting>
  <conditionalFormatting sqref="B2191">
    <cfRule type="expression" dxfId="6707" priority="3571">
      <formula>B2187&lt;&gt;""</formula>
    </cfRule>
  </conditionalFormatting>
  <conditionalFormatting sqref="F2187:F2191">
    <cfRule type="expression" dxfId="6706" priority="3567">
      <formula>F2187&lt;&gt;""</formula>
    </cfRule>
  </conditionalFormatting>
  <conditionalFormatting sqref="F2187">
    <cfRule type="expression" dxfId="6705" priority="3566">
      <formula>F2187&lt;&gt;""</formula>
    </cfRule>
  </conditionalFormatting>
  <conditionalFormatting sqref="F2191">
    <cfRule type="expression" dxfId="6704" priority="3565">
      <formula>F2187&lt;&gt;""</formula>
    </cfRule>
  </conditionalFormatting>
  <conditionalFormatting sqref="H2187:H2191">
    <cfRule type="expression" dxfId="6703" priority="3564">
      <formula>H2187&lt;&gt;""</formula>
    </cfRule>
  </conditionalFormatting>
  <conditionalFormatting sqref="H2187">
    <cfRule type="expression" dxfId="6702" priority="3563">
      <formula>H2187&lt;&gt;""</formula>
    </cfRule>
  </conditionalFormatting>
  <conditionalFormatting sqref="H2191">
    <cfRule type="expression" dxfId="6701" priority="3562">
      <formula>H2187&lt;&gt;""</formula>
    </cfRule>
  </conditionalFormatting>
  <conditionalFormatting sqref="F2179:F2183">
    <cfRule type="expression" dxfId="6700" priority="3561">
      <formula>F2179&lt;&gt;""</formula>
    </cfRule>
  </conditionalFormatting>
  <conditionalFormatting sqref="F2179">
    <cfRule type="expression" dxfId="6699" priority="3560">
      <formula>F2179&lt;&gt;""</formula>
    </cfRule>
  </conditionalFormatting>
  <conditionalFormatting sqref="F2183">
    <cfRule type="expression" dxfId="6698" priority="3559">
      <formula>F2179&lt;&gt;""</formula>
    </cfRule>
  </conditionalFormatting>
  <conditionalFormatting sqref="E2179:E2183">
    <cfRule type="expression" dxfId="6697" priority="3558">
      <formula>F2179&lt;&gt;""</formula>
    </cfRule>
  </conditionalFormatting>
  <conditionalFormatting sqref="G2179:G2183">
    <cfRule type="expression" dxfId="6696" priority="3557">
      <formula>H2179&lt;&gt;""</formula>
    </cfRule>
  </conditionalFormatting>
  <conditionalFormatting sqref="I2179:I2183">
    <cfRule type="expression" dxfId="6695" priority="3556">
      <formula>B2187&lt;&gt;""</formula>
    </cfRule>
  </conditionalFormatting>
  <conditionalFormatting sqref="H2179:H2183">
    <cfRule type="expression" dxfId="6694" priority="3555">
      <formula>H2179&lt;&gt;""</formula>
    </cfRule>
  </conditionalFormatting>
  <conditionalFormatting sqref="H2179">
    <cfRule type="expression" dxfId="6693" priority="3554">
      <formula>H2179&lt;&gt;""</formula>
    </cfRule>
  </conditionalFormatting>
  <conditionalFormatting sqref="H2183">
    <cfRule type="expression" dxfId="6692" priority="3553">
      <formula>H2179&lt;&gt;""</formula>
    </cfRule>
  </conditionalFormatting>
  <conditionalFormatting sqref="B2195:B2199">
    <cfRule type="expression" dxfId="6691" priority="3552">
      <formula>B2195&lt;&gt;""</formula>
    </cfRule>
  </conditionalFormatting>
  <conditionalFormatting sqref="B2195">
    <cfRule type="expression" dxfId="6690" priority="3551">
      <formula>B2195&lt;&gt;""</formula>
    </cfRule>
  </conditionalFormatting>
  <conditionalFormatting sqref="B2199">
    <cfRule type="expression" dxfId="6689" priority="3550">
      <formula>B2195&lt;&gt;""</formula>
    </cfRule>
  </conditionalFormatting>
  <conditionalFormatting sqref="F2195:F2199">
    <cfRule type="expression" dxfId="6688" priority="3546">
      <formula>F2195&lt;&gt;""</formula>
    </cfRule>
  </conditionalFormatting>
  <conditionalFormatting sqref="F2195">
    <cfRule type="expression" dxfId="6687" priority="3545">
      <formula>F2195&lt;&gt;""</formula>
    </cfRule>
  </conditionalFormatting>
  <conditionalFormatting sqref="F2199">
    <cfRule type="expression" dxfId="6686" priority="3544">
      <formula>F2195&lt;&gt;""</formula>
    </cfRule>
  </conditionalFormatting>
  <conditionalFormatting sqref="C2195:C2199">
    <cfRule type="expression" dxfId="6685" priority="3543">
      <formula>D2195&lt;&gt;""</formula>
    </cfRule>
  </conditionalFormatting>
  <conditionalFormatting sqref="E2195:E2199">
    <cfRule type="expression" dxfId="6684" priority="3542">
      <formula>F2195&lt;&gt;""</formula>
    </cfRule>
  </conditionalFormatting>
  <conditionalFormatting sqref="G2195:G2199">
    <cfRule type="expression" dxfId="6683" priority="3541">
      <formula>H2195&lt;&gt;""</formula>
    </cfRule>
  </conditionalFormatting>
  <conditionalFormatting sqref="H2195:H2199">
    <cfRule type="expression" dxfId="6682" priority="3540">
      <formula>H2195&lt;&gt;""</formula>
    </cfRule>
  </conditionalFormatting>
  <conditionalFormatting sqref="H2195">
    <cfRule type="expression" dxfId="6681" priority="3539">
      <formula>H2195&lt;&gt;""</formula>
    </cfRule>
  </conditionalFormatting>
  <conditionalFormatting sqref="H2199">
    <cfRule type="expression" dxfId="6680" priority="3538">
      <formula>H2195&lt;&gt;""</formula>
    </cfRule>
  </conditionalFormatting>
  <conditionalFormatting sqref="D2223:D2227">
    <cfRule type="expression" dxfId="6679" priority="3509">
      <formula>D2223&lt;&gt;""</formula>
    </cfRule>
  </conditionalFormatting>
  <conditionalFormatting sqref="D2223">
    <cfRule type="expression" dxfId="6678" priority="3508">
      <formula>D2223&lt;&gt;""</formula>
    </cfRule>
  </conditionalFormatting>
  <conditionalFormatting sqref="D2227">
    <cfRule type="expression" dxfId="6677" priority="3507">
      <formula>D2223&lt;&gt;""</formula>
    </cfRule>
  </conditionalFormatting>
  <conditionalFormatting sqref="D2215:D2219">
    <cfRule type="expression" dxfId="6676" priority="3530">
      <formula>D2215&lt;&gt;""</formula>
    </cfRule>
  </conditionalFormatting>
  <conditionalFormatting sqref="D2215">
    <cfRule type="expression" dxfId="6675" priority="3529">
      <formula>D2215&lt;&gt;""</formula>
    </cfRule>
  </conditionalFormatting>
  <conditionalFormatting sqref="D2219">
    <cfRule type="expression" dxfId="6674" priority="3528">
      <formula>D2215&lt;&gt;""</formula>
    </cfRule>
  </conditionalFormatting>
  <conditionalFormatting sqref="C2215:C2219">
    <cfRule type="expression" dxfId="6673" priority="3537">
      <formula>D2215&lt;&gt;""</formula>
    </cfRule>
  </conditionalFormatting>
  <conditionalFormatting sqref="E2215:E2219">
    <cfRule type="expression" dxfId="6672" priority="3536">
      <formula>F2215&lt;&gt;""</formula>
    </cfRule>
  </conditionalFormatting>
  <conditionalFormatting sqref="G2215:G2219">
    <cfRule type="expression" dxfId="6671" priority="3535">
      <formula>H2215&lt;&gt;""</formula>
    </cfRule>
  </conditionalFormatting>
  <conditionalFormatting sqref="I2215:I2219">
    <cfRule type="expression" dxfId="6670" priority="3534">
      <formula>B2223&lt;&gt;""</formula>
    </cfRule>
  </conditionalFormatting>
  <conditionalFormatting sqref="B2215:B2219">
    <cfRule type="expression" dxfId="6669" priority="3533">
      <formula>B2215&lt;&gt;""</formula>
    </cfRule>
  </conditionalFormatting>
  <conditionalFormatting sqref="B2215">
    <cfRule type="expression" dxfId="6668" priority="3532">
      <formula>B2215&lt;&gt;""</formula>
    </cfRule>
  </conditionalFormatting>
  <conditionalFormatting sqref="B2219">
    <cfRule type="expression" dxfId="6667" priority="3531">
      <formula>B2215&lt;&gt;""</formula>
    </cfRule>
  </conditionalFormatting>
  <conditionalFormatting sqref="F2215:F2219">
    <cfRule type="expression" dxfId="6666" priority="3527">
      <formula>F2215&lt;&gt;""</formula>
    </cfRule>
  </conditionalFormatting>
  <conditionalFormatting sqref="F2215">
    <cfRule type="expression" dxfId="6665" priority="3526">
      <formula>F2215&lt;&gt;""</formula>
    </cfRule>
  </conditionalFormatting>
  <conditionalFormatting sqref="F2219">
    <cfRule type="expression" dxfId="6664" priority="3525">
      <formula>F2215&lt;&gt;""</formula>
    </cfRule>
  </conditionalFormatting>
  <conditionalFormatting sqref="H2215:H2219">
    <cfRule type="expression" dxfId="6663" priority="3524">
      <formula>H2215&lt;&gt;""</formula>
    </cfRule>
  </conditionalFormatting>
  <conditionalFormatting sqref="H2215">
    <cfRule type="expression" dxfId="6662" priority="3523">
      <formula>H2215&lt;&gt;""</formula>
    </cfRule>
  </conditionalFormatting>
  <conditionalFormatting sqref="H2219">
    <cfRule type="expression" dxfId="6661" priority="3522">
      <formula>H2215&lt;&gt;""</formula>
    </cfRule>
  </conditionalFormatting>
  <conditionalFormatting sqref="F2207:F2211">
    <cfRule type="expression" dxfId="6660" priority="3521">
      <formula>F2207&lt;&gt;""</formula>
    </cfRule>
  </conditionalFormatting>
  <conditionalFormatting sqref="F2207">
    <cfRule type="expression" dxfId="6659" priority="3520">
      <formula>F2207&lt;&gt;""</formula>
    </cfRule>
  </conditionalFormatting>
  <conditionalFormatting sqref="F2211">
    <cfRule type="expression" dxfId="6658" priority="3519">
      <formula>F2207&lt;&gt;""</formula>
    </cfRule>
  </conditionalFormatting>
  <conditionalFormatting sqref="E2207:E2211">
    <cfRule type="expression" dxfId="6657" priority="3518">
      <formula>F2207&lt;&gt;""</formula>
    </cfRule>
  </conditionalFormatting>
  <conditionalFormatting sqref="G2207:G2211">
    <cfRule type="expression" dxfId="6656" priority="3517">
      <formula>H2207&lt;&gt;""</formula>
    </cfRule>
  </conditionalFormatting>
  <conditionalFormatting sqref="I2207:I2211">
    <cfRule type="expression" dxfId="6655" priority="3516">
      <formula>B2215&lt;&gt;""</formula>
    </cfRule>
  </conditionalFormatting>
  <conditionalFormatting sqref="H2207:H2211">
    <cfRule type="expression" dxfId="6654" priority="3515">
      <formula>H2207&lt;&gt;""</formula>
    </cfRule>
  </conditionalFormatting>
  <conditionalFormatting sqref="H2207">
    <cfRule type="expression" dxfId="6653" priority="3514">
      <formula>H2207&lt;&gt;""</formula>
    </cfRule>
  </conditionalFormatting>
  <conditionalFormatting sqref="H2211">
    <cfRule type="expression" dxfId="6652" priority="3513">
      <formula>H2207&lt;&gt;""</formula>
    </cfRule>
  </conditionalFormatting>
  <conditionalFormatting sqref="B2223:B2227">
    <cfRule type="expression" dxfId="6651" priority="3512">
      <formula>B2223&lt;&gt;""</formula>
    </cfRule>
  </conditionalFormatting>
  <conditionalFormatting sqref="B2223">
    <cfRule type="expression" dxfId="6650" priority="3511">
      <formula>B2223&lt;&gt;""</formula>
    </cfRule>
  </conditionalFormatting>
  <conditionalFormatting sqref="B2227">
    <cfRule type="expression" dxfId="6649" priority="3510">
      <formula>B2223&lt;&gt;""</formula>
    </cfRule>
  </conditionalFormatting>
  <conditionalFormatting sqref="F2223:F2227">
    <cfRule type="expression" dxfId="6648" priority="3506">
      <formula>F2223&lt;&gt;""</formula>
    </cfRule>
  </conditionalFormatting>
  <conditionalFormatting sqref="F2223">
    <cfRule type="expression" dxfId="6647" priority="3505">
      <formula>F2223&lt;&gt;""</formula>
    </cfRule>
  </conditionalFormatting>
  <conditionalFormatting sqref="F2227">
    <cfRule type="expression" dxfId="6646" priority="3504">
      <formula>F2223&lt;&gt;""</formula>
    </cfRule>
  </conditionalFormatting>
  <conditionalFormatting sqref="C2223:C2227">
    <cfRule type="expression" dxfId="6645" priority="3503">
      <formula>D2223&lt;&gt;""</formula>
    </cfRule>
  </conditionalFormatting>
  <conditionalFormatting sqref="E2223:E2227">
    <cfRule type="expression" dxfId="6644" priority="3502">
      <formula>F2223&lt;&gt;""</formula>
    </cfRule>
  </conditionalFormatting>
  <conditionalFormatting sqref="G2223:G2227">
    <cfRule type="expression" dxfId="6643" priority="3501">
      <formula>H2223&lt;&gt;""</formula>
    </cfRule>
  </conditionalFormatting>
  <conditionalFormatting sqref="H2223:H2227">
    <cfRule type="expression" dxfId="6642" priority="3500">
      <formula>H2223&lt;&gt;""</formula>
    </cfRule>
  </conditionalFormatting>
  <conditionalFormatting sqref="H2223">
    <cfRule type="expression" dxfId="6641" priority="3499">
      <formula>H2223&lt;&gt;""</formula>
    </cfRule>
  </conditionalFormatting>
  <conditionalFormatting sqref="H2227">
    <cfRule type="expression" dxfId="6640" priority="3498">
      <formula>H2223&lt;&gt;""</formula>
    </cfRule>
  </conditionalFormatting>
  <conditionalFormatting sqref="B2207:B2211">
    <cfRule type="expression" dxfId="6639" priority="3446">
      <formula>B2207&lt;&gt;""</formula>
    </cfRule>
  </conditionalFormatting>
  <conditionalFormatting sqref="B2213:B2214 C2213:I2213 I2212">
    <cfRule type="expression" dxfId="6638" priority="3497">
      <formula>$B2215&lt;&gt;""</formula>
    </cfRule>
  </conditionalFormatting>
  <conditionalFormatting sqref="B2221:B2222 C2221:I2221 I2220">
    <cfRule type="expression" dxfId="6637" priority="3496">
      <formula>$B2223&lt;&gt;""</formula>
    </cfRule>
  </conditionalFormatting>
  <conditionalFormatting sqref="D2251:D2255">
    <cfRule type="expression" dxfId="6636" priority="3467">
      <formula>D2251&lt;&gt;""</formula>
    </cfRule>
  </conditionalFormatting>
  <conditionalFormatting sqref="D2251">
    <cfRule type="expression" dxfId="6635" priority="3466">
      <formula>D2251&lt;&gt;""</formula>
    </cfRule>
  </conditionalFormatting>
  <conditionalFormatting sqref="D2255">
    <cfRule type="expression" dxfId="6634" priority="3465">
      <formula>D2251&lt;&gt;""</formula>
    </cfRule>
  </conditionalFormatting>
  <conditionalFormatting sqref="D2243:D2247">
    <cfRule type="expression" dxfId="6633" priority="3488">
      <formula>D2243&lt;&gt;""</formula>
    </cfRule>
  </conditionalFormatting>
  <conditionalFormatting sqref="D2243">
    <cfRule type="expression" dxfId="6632" priority="3487">
      <formula>D2243&lt;&gt;""</formula>
    </cfRule>
  </conditionalFormatting>
  <conditionalFormatting sqref="D2247">
    <cfRule type="expression" dxfId="6631" priority="3486">
      <formula>D2243&lt;&gt;""</formula>
    </cfRule>
  </conditionalFormatting>
  <conditionalFormatting sqref="C2243:C2247">
    <cfRule type="expression" dxfId="6630" priority="3495">
      <formula>D2243&lt;&gt;""</formula>
    </cfRule>
  </conditionalFormatting>
  <conditionalFormatting sqref="E2243:E2247">
    <cfRule type="expression" dxfId="6629" priority="3494">
      <formula>F2243&lt;&gt;""</formula>
    </cfRule>
  </conditionalFormatting>
  <conditionalFormatting sqref="G2243:G2247">
    <cfRule type="expression" dxfId="6628" priority="3493">
      <formula>H2243&lt;&gt;""</formula>
    </cfRule>
  </conditionalFormatting>
  <conditionalFormatting sqref="I2243:I2247">
    <cfRule type="expression" dxfId="6627" priority="3492">
      <formula>B2251&lt;&gt;""</formula>
    </cfRule>
  </conditionalFormatting>
  <conditionalFormatting sqref="B2243:B2247">
    <cfRule type="expression" dxfId="6626" priority="3491">
      <formula>B2243&lt;&gt;""</formula>
    </cfRule>
  </conditionalFormatting>
  <conditionalFormatting sqref="B2243">
    <cfRule type="expression" dxfId="6625" priority="3490">
      <formula>B2243&lt;&gt;""</formula>
    </cfRule>
  </conditionalFormatting>
  <conditionalFormatting sqref="B2247">
    <cfRule type="expression" dxfId="6624" priority="3489">
      <formula>B2243&lt;&gt;""</formula>
    </cfRule>
  </conditionalFormatting>
  <conditionalFormatting sqref="F2243:F2247">
    <cfRule type="expression" dxfId="6623" priority="3485">
      <formula>F2243&lt;&gt;""</formula>
    </cfRule>
  </conditionalFormatting>
  <conditionalFormatting sqref="F2243">
    <cfRule type="expression" dxfId="6622" priority="3484">
      <formula>F2243&lt;&gt;""</formula>
    </cfRule>
  </conditionalFormatting>
  <conditionalFormatting sqref="F2247">
    <cfRule type="expression" dxfId="6621" priority="3483">
      <formula>F2243&lt;&gt;""</formula>
    </cfRule>
  </conditionalFormatting>
  <conditionalFormatting sqref="H2243:H2247">
    <cfRule type="expression" dxfId="6620" priority="3482">
      <formula>H2243&lt;&gt;""</formula>
    </cfRule>
  </conditionalFormatting>
  <conditionalFormatting sqref="H2243">
    <cfRule type="expression" dxfId="6619" priority="3481">
      <formula>H2243&lt;&gt;""</formula>
    </cfRule>
  </conditionalFormatting>
  <conditionalFormatting sqref="H2247">
    <cfRule type="expression" dxfId="6618" priority="3480">
      <formula>H2243&lt;&gt;""</formula>
    </cfRule>
  </conditionalFormatting>
  <conditionalFormatting sqref="F2235:F2239">
    <cfRule type="expression" dxfId="6617" priority="3479">
      <formula>F2235&lt;&gt;""</formula>
    </cfRule>
  </conditionalFormatting>
  <conditionalFormatting sqref="F2235">
    <cfRule type="expression" dxfId="6616" priority="3478">
      <formula>F2235&lt;&gt;""</formula>
    </cfRule>
  </conditionalFormatting>
  <conditionalFormatting sqref="F2239">
    <cfRule type="expression" dxfId="6615" priority="3477">
      <formula>F2235&lt;&gt;""</formula>
    </cfRule>
  </conditionalFormatting>
  <conditionalFormatting sqref="E2235:E2239">
    <cfRule type="expression" dxfId="6614" priority="3476">
      <formula>F2235&lt;&gt;""</formula>
    </cfRule>
  </conditionalFormatting>
  <conditionalFormatting sqref="G2235:G2239">
    <cfRule type="expression" dxfId="6613" priority="3475">
      <formula>H2235&lt;&gt;""</formula>
    </cfRule>
  </conditionalFormatting>
  <conditionalFormatting sqref="I2235:I2239">
    <cfRule type="expression" dxfId="6612" priority="3474">
      <formula>B2243&lt;&gt;""</formula>
    </cfRule>
  </conditionalFormatting>
  <conditionalFormatting sqref="H2235:H2239">
    <cfRule type="expression" dxfId="6611" priority="3473">
      <formula>H2235&lt;&gt;""</formula>
    </cfRule>
  </conditionalFormatting>
  <conditionalFormatting sqref="H2235">
    <cfRule type="expression" dxfId="6610" priority="3472">
      <formula>H2235&lt;&gt;""</formula>
    </cfRule>
  </conditionalFormatting>
  <conditionalFormatting sqref="H2239">
    <cfRule type="expression" dxfId="6609" priority="3471">
      <formula>H2235&lt;&gt;""</formula>
    </cfRule>
  </conditionalFormatting>
  <conditionalFormatting sqref="B2251:B2255">
    <cfRule type="expression" dxfId="6608" priority="3470">
      <formula>B2251&lt;&gt;""</formula>
    </cfRule>
  </conditionalFormatting>
  <conditionalFormatting sqref="B2251">
    <cfRule type="expression" dxfId="6607" priority="3469">
      <formula>B2251&lt;&gt;""</formula>
    </cfRule>
  </conditionalFormatting>
  <conditionalFormatting sqref="B2255">
    <cfRule type="expression" dxfId="6606" priority="3468">
      <formula>B2251&lt;&gt;""</formula>
    </cfRule>
  </conditionalFormatting>
  <conditionalFormatting sqref="F2251:F2255">
    <cfRule type="expression" dxfId="6605" priority="3464">
      <formula>F2251&lt;&gt;""</formula>
    </cfRule>
  </conditionalFormatting>
  <conditionalFormatting sqref="F2251">
    <cfRule type="expression" dxfId="6604" priority="3463">
      <formula>F2251&lt;&gt;""</formula>
    </cfRule>
  </conditionalFormatting>
  <conditionalFormatting sqref="F2255">
    <cfRule type="expression" dxfId="6603" priority="3462">
      <formula>F2251&lt;&gt;""</formula>
    </cfRule>
  </conditionalFormatting>
  <conditionalFormatting sqref="C2251:C2255">
    <cfRule type="expression" dxfId="6602" priority="3461">
      <formula>D2251&lt;&gt;""</formula>
    </cfRule>
  </conditionalFormatting>
  <conditionalFormatting sqref="E2251:E2255">
    <cfRule type="expression" dxfId="6601" priority="3460">
      <formula>F2251&lt;&gt;""</formula>
    </cfRule>
  </conditionalFormatting>
  <conditionalFormatting sqref="G2251:G2255">
    <cfRule type="expression" dxfId="6600" priority="3459">
      <formula>H2251&lt;&gt;""</formula>
    </cfRule>
  </conditionalFormatting>
  <conditionalFormatting sqref="H2251:H2255">
    <cfRule type="expression" dxfId="6599" priority="3458">
      <formula>H2251&lt;&gt;""</formula>
    </cfRule>
  </conditionalFormatting>
  <conditionalFormatting sqref="H2251">
    <cfRule type="expression" dxfId="6598" priority="3457">
      <formula>H2251&lt;&gt;""</formula>
    </cfRule>
  </conditionalFormatting>
  <conditionalFormatting sqref="H2255">
    <cfRule type="expression" dxfId="6597" priority="3456">
      <formula>H2251&lt;&gt;""</formula>
    </cfRule>
  </conditionalFormatting>
  <conditionalFormatting sqref="B2235:B2239">
    <cfRule type="expression" dxfId="6596" priority="3439">
      <formula>B2235&lt;&gt;""</formula>
    </cfRule>
  </conditionalFormatting>
  <conditionalFormatting sqref="B2241:B2242 C2241:I2241 I2240">
    <cfRule type="expression" dxfId="6595" priority="3455">
      <formula>$B2243&lt;&gt;""</formula>
    </cfRule>
  </conditionalFormatting>
  <conditionalFormatting sqref="B2249:B2250 C2249:I2249 I2248">
    <cfRule type="expression" dxfId="6594" priority="3454">
      <formula>$B2251&lt;&gt;""</formula>
    </cfRule>
  </conditionalFormatting>
  <conditionalFormatting sqref="B2179:B2183">
    <cfRule type="expression" dxfId="6593" priority="3453">
      <formula>B2179&lt;&gt;""</formula>
    </cfRule>
  </conditionalFormatting>
  <conditionalFormatting sqref="B2179">
    <cfRule type="expression" dxfId="6592" priority="3452">
      <formula>B2179&lt;&gt;""</formula>
    </cfRule>
  </conditionalFormatting>
  <conditionalFormatting sqref="B2183">
    <cfRule type="expression" dxfId="6591" priority="3451">
      <formula>B2179&lt;&gt;""</formula>
    </cfRule>
  </conditionalFormatting>
  <conditionalFormatting sqref="C2179:C2183">
    <cfRule type="expression" dxfId="6590" priority="3450">
      <formula>D2179&lt;&gt;""</formula>
    </cfRule>
  </conditionalFormatting>
  <conditionalFormatting sqref="D2179:D2183">
    <cfRule type="expression" dxfId="6589" priority="3449">
      <formula>D2179&lt;&gt;""</formula>
    </cfRule>
  </conditionalFormatting>
  <conditionalFormatting sqref="D2179">
    <cfRule type="expression" dxfId="6588" priority="3448">
      <formula>D2179&lt;&gt;""</formula>
    </cfRule>
  </conditionalFormatting>
  <conditionalFormatting sqref="D2183">
    <cfRule type="expression" dxfId="6587" priority="3447">
      <formula>D2179&lt;&gt;""</formula>
    </cfRule>
  </conditionalFormatting>
  <conditionalFormatting sqref="B2207">
    <cfRule type="expression" dxfId="6586" priority="3445">
      <formula>B2207&lt;&gt;""</formula>
    </cfRule>
  </conditionalFormatting>
  <conditionalFormatting sqref="B2211">
    <cfRule type="expression" dxfId="6585" priority="3444">
      <formula>B2207&lt;&gt;""</formula>
    </cfRule>
  </conditionalFormatting>
  <conditionalFormatting sqref="C2207:C2211">
    <cfRule type="expression" dxfId="6584" priority="3443">
      <formula>D2207&lt;&gt;""</formula>
    </cfRule>
  </conditionalFormatting>
  <conditionalFormatting sqref="D2207:D2211">
    <cfRule type="expression" dxfId="6583" priority="3442">
      <formula>D2207&lt;&gt;""</formula>
    </cfRule>
  </conditionalFormatting>
  <conditionalFormatting sqref="D2207">
    <cfRule type="expression" dxfId="6582" priority="3441">
      <formula>D2207&lt;&gt;""</formula>
    </cfRule>
  </conditionalFormatting>
  <conditionalFormatting sqref="D2211">
    <cfRule type="expression" dxfId="6581" priority="3440">
      <formula>D2207&lt;&gt;""</formula>
    </cfRule>
  </conditionalFormatting>
  <conditionalFormatting sqref="B2235">
    <cfRule type="expression" dxfId="6580" priority="3438">
      <formula>B2235&lt;&gt;""</formula>
    </cfRule>
  </conditionalFormatting>
  <conditionalFormatting sqref="B2239">
    <cfRule type="expression" dxfId="6579" priority="3437">
      <formula>B2235&lt;&gt;""</formula>
    </cfRule>
  </conditionalFormatting>
  <conditionalFormatting sqref="C2235:C2239">
    <cfRule type="expression" dxfId="6578" priority="3436">
      <formula>D2235&lt;&gt;""</formula>
    </cfRule>
  </conditionalFormatting>
  <conditionalFormatting sqref="D2235:D2239">
    <cfRule type="expression" dxfId="6577" priority="3435">
      <formula>D2235&lt;&gt;""</formula>
    </cfRule>
  </conditionalFormatting>
  <conditionalFormatting sqref="D2235">
    <cfRule type="expression" dxfId="6576" priority="3434">
      <formula>D2235&lt;&gt;""</formula>
    </cfRule>
  </conditionalFormatting>
  <conditionalFormatting sqref="D2239">
    <cfRule type="expression" dxfId="6575" priority="3433">
      <formula>D2235&lt;&gt;""</formula>
    </cfRule>
  </conditionalFormatting>
  <conditionalFormatting sqref="B2193:B2194 C2193:I2193 I2192">
    <cfRule type="expression" dxfId="6574" priority="3432">
      <formula>$B2195&lt;&gt;""</formula>
    </cfRule>
  </conditionalFormatting>
  <conditionalFormatting sqref="B2185:B2186 C2185:I2185 I2184">
    <cfRule type="expression" dxfId="6573" priority="3431">
      <formula>$B2187&lt;&gt;""</formula>
    </cfRule>
  </conditionalFormatting>
  <conditionalFormatting sqref="D2449:D2453">
    <cfRule type="expression" dxfId="6572" priority="3401">
      <formula>D2449&lt;&gt;""</formula>
    </cfRule>
  </conditionalFormatting>
  <conditionalFormatting sqref="D2449">
    <cfRule type="expression" dxfId="6571" priority="3400">
      <formula>D2449&lt;&gt;""</formula>
    </cfRule>
  </conditionalFormatting>
  <conditionalFormatting sqref="D2453">
    <cfRule type="expression" dxfId="6570" priority="3399">
      <formula>D2449&lt;&gt;""</formula>
    </cfRule>
  </conditionalFormatting>
  <conditionalFormatting sqref="I2438:I2439 C2439:H2439 B2439:B2440">
    <cfRule type="expression" dxfId="6569" priority="3389">
      <formula>$B2441&lt;&gt;""</formula>
    </cfRule>
  </conditionalFormatting>
  <conditionalFormatting sqref="D2441:D2445">
    <cfRule type="expression" dxfId="6568" priority="3423">
      <formula>D2441&lt;&gt;""</formula>
    </cfRule>
  </conditionalFormatting>
  <conditionalFormatting sqref="D2441">
    <cfRule type="expression" dxfId="6567" priority="3422">
      <formula>D2441&lt;&gt;""</formula>
    </cfRule>
  </conditionalFormatting>
  <conditionalFormatting sqref="D2445">
    <cfRule type="expression" dxfId="6566" priority="3421">
      <formula>D2441&lt;&gt;""</formula>
    </cfRule>
  </conditionalFormatting>
  <conditionalFormatting sqref="C2441:C2445">
    <cfRule type="expression" dxfId="6565" priority="3430">
      <formula>D2441&lt;&gt;""</formula>
    </cfRule>
  </conditionalFormatting>
  <conditionalFormatting sqref="E2441:E2445">
    <cfRule type="expression" dxfId="6564" priority="3429">
      <formula>F2441&lt;&gt;""</formula>
    </cfRule>
  </conditionalFormatting>
  <conditionalFormatting sqref="G2441:G2445">
    <cfRule type="expression" dxfId="6563" priority="3428">
      <formula>H2441&lt;&gt;""</formula>
    </cfRule>
  </conditionalFormatting>
  <conditionalFormatting sqref="I2441:I2445">
    <cfRule type="expression" dxfId="6562" priority="3427">
      <formula>B2449&lt;&gt;""</formula>
    </cfRule>
  </conditionalFormatting>
  <conditionalFormatting sqref="B2441:B2445">
    <cfRule type="expression" dxfId="6561" priority="3426">
      <formula>B2441&lt;&gt;""</formula>
    </cfRule>
  </conditionalFormatting>
  <conditionalFormatting sqref="B2441">
    <cfRule type="expression" dxfId="6560" priority="3425">
      <formula>B2441&lt;&gt;""</formula>
    </cfRule>
  </conditionalFormatting>
  <conditionalFormatting sqref="B2445">
    <cfRule type="expression" dxfId="6559" priority="3424">
      <formula>B2441&lt;&gt;""</formula>
    </cfRule>
  </conditionalFormatting>
  <conditionalFormatting sqref="F2441:F2445">
    <cfRule type="expression" dxfId="6558" priority="3420">
      <formula>F2441&lt;&gt;""</formula>
    </cfRule>
  </conditionalFormatting>
  <conditionalFormatting sqref="F2441">
    <cfRule type="expression" dxfId="6557" priority="3419">
      <formula>F2441&lt;&gt;""</formula>
    </cfRule>
  </conditionalFormatting>
  <conditionalFormatting sqref="F2445">
    <cfRule type="expression" dxfId="6556" priority="3418">
      <formula>F2441&lt;&gt;""</formula>
    </cfRule>
  </conditionalFormatting>
  <conditionalFormatting sqref="H2441:H2445">
    <cfRule type="expression" dxfId="6555" priority="3417">
      <formula>H2441&lt;&gt;""</formula>
    </cfRule>
  </conditionalFormatting>
  <conditionalFormatting sqref="H2441">
    <cfRule type="expression" dxfId="6554" priority="3416">
      <formula>H2441&lt;&gt;""</formula>
    </cfRule>
  </conditionalFormatting>
  <conditionalFormatting sqref="H2445">
    <cfRule type="expression" dxfId="6553" priority="3415">
      <formula>H2441&lt;&gt;""</formula>
    </cfRule>
  </conditionalFormatting>
  <conditionalFormatting sqref="F2433:F2437">
    <cfRule type="expression" dxfId="6552" priority="3414">
      <formula>F2433&lt;&gt;""</formula>
    </cfRule>
  </conditionalFormatting>
  <conditionalFormatting sqref="F2433">
    <cfRule type="expression" dxfId="6551" priority="3413">
      <formula>F2433&lt;&gt;""</formula>
    </cfRule>
  </conditionalFormatting>
  <conditionalFormatting sqref="F2437">
    <cfRule type="expression" dxfId="6550" priority="3412">
      <formula>F2433&lt;&gt;""</formula>
    </cfRule>
  </conditionalFormatting>
  <conditionalFormatting sqref="E2433:E2437">
    <cfRule type="expression" dxfId="6549" priority="3411">
      <formula>F2433&lt;&gt;""</formula>
    </cfRule>
  </conditionalFormatting>
  <conditionalFormatting sqref="G2433:G2437">
    <cfRule type="expression" dxfId="6548" priority="3410">
      <formula>H2433&lt;&gt;""</formula>
    </cfRule>
  </conditionalFormatting>
  <conditionalFormatting sqref="I2433:I2437">
    <cfRule type="expression" dxfId="6547" priority="3409">
      <formula>B2441&lt;&gt;""</formula>
    </cfRule>
  </conditionalFormatting>
  <conditionalFormatting sqref="H2433:H2437">
    <cfRule type="expression" dxfId="6546" priority="3408">
      <formula>H2433&lt;&gt;""</formula>
    </cfRule>
  </conditionalFormatting>
  <conditionalFormatting sqref="H2433">
    <cfRule type="expression" dxfId="6545" priority="3407">
      <formula>H2433&lt;&gt;""</formula>
    </cfRule>
  </conditionalFormatting>
  <conditionalFormatting sqref="H2437">
    <cfRule type="expression" dxfId="6544" priority="3406">
      <formula>H2433&lt;&gt;""</formula>
    </cfRule>
  </conditionalFormatting>
  <conditionalFormatting sqref="I2446:I2447 C2447:H2447 B2447:B2448">
    <cfRule type="expression" dxfId="6543" priority="3405">
      <formula>$B2449&lt;&gt;""</formula>
    </cfRule>
  </conditionalFormatting>
  <conditionalFormatting sqref="B2449:B2453">
    <cfRule type="expression" dxfId="6542" priority="3404">
      <formula>B2449&lt;&gt;""</formula>
    </cfRule>
  </conditionalFormatting>
  <conditionalFormatting sqref="B2449">
    <cfRule type="expression" dxfId="6541" priority="3403">
      <formula>B2449&lt;&gt;""</formula>
    </cfRule>
  </conditionalFormatting>
  <conditionalFormatting sqref="B2453">
    <cfRule type="expression" dxfId="6540" priority="3402">
      <formula>B2449&lt;&gt;""</formula>
    </cfRule>
  </conditionalFormatting>
  <conditionalFormatting sqref="F2449:F2453">
    <cfRule type="expression" dxfId="6539" priority="3398">
      <formula>F2449&lt;&gt;""</formula>
    </cfRule>
  </conditionalFormatting>
  <conditionalFormatting sqref="F2449">
    <cfRule type="expression" dxfId="6538" priority="3397">
      <formula>F2449&lt;&gt;""</formula>
    </cfRule>
  </conditionalFormatting>
  <conditionalFormatting sqref="F2453">
    <cfRule type="expression" dxfId="6537" priority="3396">
      <formula>F2449&lt;&gt;""</formula>
    </cfRule>
  </conditionalFormatting>
  <conditionalFormatting sqref="C2449:C2453">
    <cfRule type="expression" dxfId="6536" priority="3395">
      <formula>D2449&lt;&gt;""</formula>
    </cfRule>
  </conditionalFormatting>
  <conditionalFormatting sqref="E2449:E2453">
    <cfRule type="expression" dxfId="6535" priority="3394">
      <formula>F2449&lt;&gt;""</formula>
    </cfRule>
  </conditionalFormatting>
  <conditionalFormatting sqref="G2449:G2453">
    <cfRule type="expression" dxfId="6534" priority="3393">
      <formula>H2449&lt;&gt;""</formula>
    </cfRule>
  </conditionalFormatting>
  <conditionalFormatting sqref="H2449:H2453">
    <cfRule type="expression" dxfId="6533" priority="3392">
      <formula>H2449&lt;&gt;""</formula>
    </cfRule>
  </conditionalFormatting>
  <conditionalFormatting sqref="H2449">
    <cfRule type="expression" dxfId="6532" priority="3391">
      <formula>H2449&lt;&gt;""</formula>
    </cfRule>
  </conditionalFormatting>
  <conditionalFormatting sqref="H2453">
    <cfRule type="expression" dxfId="6531" priority="3390">
      <formula>H2449&lt;&gt;""</formula>
    </cfRule>
  </conditionalFormatting>
  <conditionalFormatting sqref="D2421:D2425">
    <cfRule type="expression" dxfId="6530" priority="3359">
      <formula>D2421&lt;&gt;""</formula>
    </cfRule>
  </conditionalFormatting>
  <conditionalFormatting sqref="D2421">
    <cfRule type="expression" dxfId="6529" priority="3358">
      <formula>D2421&lt;&gt;""</formula>
    </cfRule>
  </conditionalFormatting>
  <conditionalFormatting sqref="D2425">
    <cfRule type="expression" dxfId="6528" priority="3357">
      <formula>D2421&lt;&gt;""</formula>
    </cfRule>
  </conditionalFormatting>
  <conditionalFormatting sqref="I2410:I2411 C2411:H2411 B2411:B2412">
    <cfRule type="expression" dxfId="6527" priority="3347">
      <formula>$B2413&lt;&gt;""</formula>
    </cfRule>
  </conditionalFormatting>
  <conditionalFormatting sqref="D2413:D2417">
    <cfRule type="expression" dxfId="6526" priority="3381">
      <formula>D2413&lt;&gt;""</formula>
    </cfRule>
  </conditionalFormatting>
  <conditionalFormatting sqref="D2413">
    <cfRule type="expression" dxfId="6525" priority="3380">
      <formula>D2413&lt;&gt;""</formula>
    </cfRule>
  </conditionalFormatting>
  <conditionalFormatting sqref="D2417">
    <cfRule type="expression" dxfId="6524" priority="3379">
      <formula>D2413&lt;&gt;""</formula>
    </cfRule>
  </conditionalFormatting>
  <conditionalFormatting sqref="C2413:C2417">
    <cfRule type="expression" dxfId="6523" priority="3388">
      <formula>D2413&lt;&gt;""</formula>
    </cfRule>
  </conditionalFormatting>
  <conditionalFormatting sqref="E2413:E2417">
    <cfRule type="expression" dxfId="6522" priority="3387">
      <formula>F2413&lt;&gt;""</formula>
    </cfRule>
  </conditionalFormatting>
  <conditionalFormatting sqref="G2413:G2417">
    <cfRule type="expression" dxfId="6521" priority="3386">
      <formula>H2413&lt;&gt;""</formula>
    </cfRule>
  </conditionalFormatting>
  <conditionalFormatting sqref="I2413:I2417">
    <cfRule type="expression" dxfId="6520" priority="3385">
      <formula>B2421&lt;&gt;""</formula>
    </cfRule>
  </conditionalFormatting>
  <conditionalFormatting sqref="B2413:B2417">
    <cfRule type="expression" dxfId="6519" priority="3384">
      <formula>B2413&lt;&gt;""</formula>
    </cfRule>
  </conditionalFormatting>
  <conditionalFormatting sqref="B2413">
    <cfRule type="expression" dxfId="6518" priority="3383">
      <formula>B2413&lt;&gt;""</formula>
    </cfRule>
  </conditionalFormatting>
  <conditionalFormatting sqref="B2417">
    <cfRule type="expression" dxfId="6517" priority="3382">
      <formula>B2413&lt;&gt;""</formula>
    </cfRule>
  </conditionalFormatting>
  <conditionalFormatting sqref="F2413:F2417">
    <cfRule type="expression" dxfId="6516" priority="3378">
      <formula>F2413&lt;&gt;""</formula>
    </cfRule>
  </conditionalFormatting>
  <conditionalFormatting sqref="F2413">
    <cfRule type="expression" dxfId="6515" priority="3377">
      <formula>F2413&lt;&gt;""</formula>
    </cfRule>
  </conditionalFormatting>
  <conditionalFormatting sqref="F2417">
    <cfRule type="expression" dxfId="6514" priority="3376">
      <formula>F2413&lt;&gt;""</formula>
    </cfRule>
  </conditionalFormatting>
  <conditionalFormatting sqref="H2413:H2417">
    <cfRule type="expression" dxfId="6513" priority="3375">
      <formula>H2413&lt;&gt;""</formula>
    </cfRule>
  </conditionalFormatting>
  <conditionalFormatting sqref="H2413">
    <cfRule type="expression" dxfId="6512" priority="3374">
      <formula>H2413&lt;&gt;""</formula>
    </cfRule>
  </conditionalFormatting>
  <conditionalFormatting sqref="H2417">
    <cfRule type="expression" dxfId="6511" priority="3373">
      <formula>H2413&lt;&gt;""</formula>
    </cfRule>
  </conditionalFormatting>
  <conditionalFormatting sqref="F2405:F2409">
    <cfRule type="expression" dxfId="6510" priority="3372">
      <formula>F2405&lt;&gt;""</formula>
    </cfRule>
  </conditionalFormatting>
  <conditionalFormatting sqref="F2405">
    <cfRule type="expression" dxfId="6509" priority="3371">
      <formula>F2405&lt;&gt;""</formula>
    </cfRule>
  </conditionalFormatting>
  <conditionalFormatting sqref="F2409">
    <cfRule type="expression" dxfId="6508" priority="3370">
      <formula>F2405&lt;&gt;""</formula>
    </cfRule>
  </conditionalFormatting>
  <conditionalFormatting sqref="E2405:E2409">
    <cfRule type="expression" dxfId="6507" priority="3369">
      <formula>F2405&lt;&gt;""</formula>
    </cfRule>
  </conditionalFormatting>
  <conditionalFormatting sqref="G2405:G2409">
    <cfRule type="expression" dxfId="6506" priority="3368">
      <formula>H2405&lt;&gt;""</formula>
    </cfRule>
  </conditionalFormatting>
  <conditionalFormatting sqref="I2405:I2409">
    <cfRule type="expression" dxfId="6505" priority="3367">
      <formula>B2413&lt;&gt;""</formula>
    </cfRule>
  </conditionalFormatting>
  <conditionalFormatting sqref="H2405:H2409">
    <cfRule type="expression" dxfId="6504" priority="3366">
      <formula>H2405&lt;&gt;""</formula>
    </cfRule>
  </conditionalFormatting>
  <conditionalFormatting sqref="H2405">
    <cfRule type="expression" dxfId="6503" priority="3365">
      <formula>H2405&lt;&gt;""</formula>
    </cfRule>
  </conditionalFormatting>
  <conditionalFormatting sqref="H2409">
    <cfRule type="expression" dxfId="6502" priority="3364">
      <formula>H2405&lt;&gt;""</formula>
    </cfRule>
  </conditionalFormatting>
  <conditionalFormatting sqref="I2418:I2419 C2419:H2419 B2419:B2420">
    <cfRule type="expression" dxfId="6501" priority="3363">
      <formula>$B2421&lt;&gt;""</formula>
    </cfRule>
  </conditionalFormatting>
  <conditionalFormatting sqref="B2421:B2425">
    <cfRule type="expression" dxfId="6500" priority="3362">
      <formula>B2421&lt;&gt;""</formula>
    </cfRule>
  </conditionalFormatting>
  <conditionalFormatting sqref="B2421">
    <cfRule type="expression" dxfId="6499" priority="3361">
      <formula>B2421&lt;&gt;""</formula>
    </cfRule>
  </conditionalFormatting>
  <conditionalFormatting sqref="B2425">
    <cfRule type="expression" dxfId="6498" priority="3360">
      <formula>B2421&lt;&gt;""</formula>
    </cfRule>
  </conditionalFormatting>
  <conditionalFormatting sqref="F2421:F2425">
    <cfRule type="expression" dxfId="6497" priority="3356">
      <formula>F2421&lt;&gt;""</formula>
    </cfRule>
  </conditionalFormatting>
  <conditionalFormatting sqref="F2421">
    <cfRule type="expression" dxfId="6496" priority="3355">
      <formula>F2421&lt;&gt;""</formula>
    </cfRule>
  </conditionalFormatting>
  <conditionalFormatting sqref="F2425">
    <cfRule type="expression" dxfId="6495" priority="3354">
      <formula>F2421&lt;&gt;""</formula>
    </cfRule>
  </conditionalFormatting>
  <conditionalFormatting sqref="C2421:C2425">
    <cfRule type="expression" dxfId="6494" priority="3353">
      <formula>D2421&lt;&gt;""</formula>
    </cfRule>
  </conditionalFormatting>
  <conditionalFormatting sqref="E2421:E2425">
    <cfRule type="expression" dxfId="6493" priority="3352">
      <formula>F2421&lt;&gt;""</formula>
    </cfRule>
  </conditionalFormatting>
  <conditionalFormatting sqref="G2421:G2425">
    <cfRule type="expression" dxfId="6492" priority="3351">
      <formula>H2421&lt;&gt;""</formula>
    </cfRule>
  </conditionalFormatting>
  <conditionalFormatting sqref="H2421:H2425">
    <cfRule type="expression" dxfId="6491" priority="3350">
      <formula>H2421&lt;&gt;""</formula>
    </cfRule>
  </conditionalFormatting>
  <conditionalFormatting sqref="H2421">
    <cfRule type="expression" dxfId="6490" priority="3349">
      <formula>H2421&lt;&gt;""</formula>
    </cfRule>
  </conditionalFormatting>
  <conditionalFormatting sqref="H2425">
    <cfRule type="expression" dxfId="6489" priority="3348">
      <formula>H2421&lt;&gt;""</formula>
    </cfRule>
  </conditionalFormatting>
  <conditionalFormatting sqref="D2393:D2397">
    <cfRule type="expression" dxfId="6488" priority="3317">
      <formula>D2393&lt;&gt;""</formula>
    </cfRule>
  </conditionalFormatting>
  <conditionalFormatting sqref="D2393">
    <cfRule type="expression" dxfId="6487" priority="3316">
      <formula>D2393&lt;&gt;""</formula>
    </cfRule>
  </conditionalFormatting>
  <conditionalFormatting sqref="D2397">
    <cfRule type="expression" dxfId="6486" priority="3315">
      <formula>D2393&lt;&gt;""</formula>
    </cfRule>
  </conditionalFormatting>
  <conditionalFormatting sqref="I2382:I2383 C2383:H2383 B2383:B2384">
    <cfRule type="expression" dxfId="6485" priority="3305">
      <formula>$B2385&lt;&gt;""</formula>
    </cfRule>
  </conditionalFormatting>
  <conditionalFormatting sqref="D2385:D2389">
    <cfRule type="expression" dxfId="6484" priority="3339">
      <formula>D2385&lt;&gt;""</formula>
    </cfRule>
  </conditionalFormatting>
  <conditionalFormatting sqref="D2385">
    <cfRule type="expression" dxfId="6483" priority="3338">
      <formula>D2385&lt;&gt;""</formula>
    </cfRule>
  </conditionalFormatting>
  <conditionalFormatting sqref="D2389">
    <cfRule type="expression" dxfId="6482" priority="3337">
      <formula>D2385&lt;&gt;""</formula>
    </cfRule>
  </conditionalFormatting>
  <conditionalFormatting sqref="C2385:C2389">
    <cfRule type="expression" dxfId="6481" priority="3346">
      <formula>D2385&lt;&gt;""</formula>
    </cfRule>
  </conditionalFormatting>
  <conditionalFormatting sqref="E2385:E2389">
    <cfRule type="expression" dxfId="6480" priority="3345">
      <formula>F2385&lt;&gt;""</formula>
    </cfRule>
  </conditionalFormatting>
  <conditionalFormatting sqref="G2385:G2389">
    <cfRule type="expression" dxfId="6479" priority="3344">
      <formula>H2385&lt;&gt;""</formula>
    </cfRule>
  </conditionalFormatting>
  <conditionalFormatting sqref="I2385:I2389">
    <cfRule type="expression" dxfId="6478" priority="3343">
      <formula>B2393&lt;&gt;""</formula>
    </cfRule>
  </conditionalFormatting>
  <conditionalFormatting sqref="B2385:B2389">
    <cfRule type="expression" dxfId="6477" priority="3342">
      <formula>B2385&lt;&gt;""</formula>
    </cfRule>
  </conditionalFormatting>
  <conditionalFormatting sqref="B2385">
    <cfRule type="expression" dxfId="6476" priority="3341">
      <formula>B2385&lt;&gt;""</formula>
    </cfRule>
  </conditionalFormatting>
  <conditionalFormatting sqref="B2389">
    <cfRule type="expression" dxfId="6475" priority="3340">
      <formula>B2385&lt;&gt;""</formula>
    </cfRule>
  </conditionalFormatting>
  <conditionalFormatting sqref="F2385:F2389">
    <cfRule type="expression" dxfId="6474" priority="3336">
      <formula>F2385&lt;&gt;""</formula>
    </cfRule>
  </conditionalFormatting>
  <conditionalFormatting sqref="F2385">
    <cfRule type="expression" dxfId="6473" priority="3335">
      <formula>F2385&lt;&gt;""</formula>
    </cfRule>
  </conditionalFormatting>
  <conditionalFormatting sqref="F2389">
    <cfRule type="expression" dxfId="6472" priority="3334">
      <formula>F2385&lt;&gt;""</formula>
    </cfRule>
  </conditionalFormatting>
  <conditionalFormatting sqref="H2385:H2389">
    <cfRule type="expression" dxfId="6471" priority="3333">
      <formula>H2385&lt;&gt;""</formula>
    </cfRule>
  </conditionalFormatting>
  <conditionalFormatting sqref="H2385">
    <cfRule type="expression" dxfId="6470" priority="3332">
      <formula>H2385&lt;&gt;""</formula>
    </cfRule>
  </conditionalFormatting>
  <conditionalFormatting sqref="H2389">
    <cfRule type="expression" dxfId="6469" priority="3331">
      <formula>H2385&lt;&gt;""</formula>
    </cfRule>
  </conditionalFormatting>
  <conditionalFormatting sqref="F2377:F2381">
    <cfRule type="expression" dxfId="6468" priority="3330">
      <formula>F2377&lt;&gt;""</formula>
    </cfRule>
  </conditionalFormatting>
  <conditionalFormatting sqref="F2377">
    <cfRule type="expression" dxfId="6467" priority="3329">
      <formula>F2377&lt;&gt;""</formula>
    </cfRule>
  </conditionalFormatting>
  <conditionalFormatting sqref="F2381">
    <cfRule type="expression" dxfId="6466" priority="3328">
      <formula>F2377&lt;&gt;""</formula>
    </cfRule>
  </conditionalFormatting>
  <conditionalFormatting sqref="E2377:E2381">
    <cfRule type="expression" dxfId="6465" priority="3327">
      <formula>F2377&lt;&gt;""</formula>
    </cfRule>
  </conditionalFormatting>
  <conditionalFormatting sqref="G2377:G2381">
    <cfRule type="expression" dxfId="6464" priority="3326">
      <formula>H2377&lt;&gt;""</formula>
    </cfRule>
  </conditionalFormatting>
  <conditionalFormatting sqref="I2377:I2381">
    <cfRule type="expression" dxfId="6463" priority="3325">
      <formula>B2385&lt;&gt;""</formula>
    </cfRule>
  </conditionalFormatting>
  <conditionalFormatting sqref="H2377:H2381">
    <cfRule type="expression" dxfId="6462" priority="3324">
      <formula>H2377&lt;&gt;""</formula>
    </cfRule>
  </conditionalFormatting>
  <conditionalFormatting sqref="H2377">
    <cfRule type="expression" dxfId="6461" priority="3323">
      <formula>H2377&lt;&gt;""</formula>
    </cfRule>
  </conditionalFormatting>
  <conditionalFormatting sqref="H2381">
    <cfRule type="expression" dxfId="6460" priority="3322">
      <formula>H2377&lt;&gt;""</formula>
    </cfRule>
  </conditionalFormatting>
  <conditionalFormatting sqref="I2390:I2391 C2391:H2391 B2391:B2392">
    <cfRule type="expression" dxfId="6459" priority="3321">
      <formula>$B2393&lt;&gt;""</formula>
    </cfRule>
  </conditionalFormatting>
  <conditionalFormatting sqref="B2393:B2397">
    <cfRule type="expression" dxfId="6458" priority="3320">
      <formula>B2393&lt;&gt;""</formula>
    </cfRule>
  </conditionalFormatting>
  <conditionalFormatting sqref="B2393">
    <cfRule type="expression" dxfId="6457" priority="3319">
      <formula>B2393&lt;&gt;""</formula>
    </cfRule>
  </conditionalFormatting>
  <conditionalFormatting sqref="B2397">
    <cfRule type="expression" dxfId="6456" priority="3318">
      <formula>B2393&lt;&gt;""</formula>
    </cfRule>
  </conditionalFormatting>
  <conditionalFormatting sqref="F2393:F2397">
    <cfRule type="expression" dxfId="6455" priority="3314">
      <formula>F2393&lt;&gt;""</formula>
    </cfRule>
  </conditionalFormatting>
  <conditionalFormatting sqref="F2393">
    <cfRule type="expression" dxfId="6454" priority="3313">
      <formula>F2393&lt;&gt;""</formula>
    </cfRule>
  </conditionalFormatting>
  <conditionalFormatting sqref="F2397">
    <cfRule type="expression" dxfId="6453" priority="3312">
      <formula>F2393&lt;&gt;""</formula>
    </cfRule>
  </conditionalFormatting>
  <conditionalFormatting sqref="C2393:C2397">
    <cfRule type="expression" dxfId="6452" priority="3311">
      <formula>D2393&lt;&gt;""</formula>
    </cfRule>
  </conditionalFormatting>
  <conditionalFormatting sqref="E2393:E2397">
    <cfRule type="expression" dxfId="6451" priority="3310">
      <formula>F2393&lt;&gt;""</formula>
    </cfRule>
  </conditionalFormatting>
  <conditionalFormatting sqref="G2393:G2397">
    <cfRule type="expression" dxfId="6450" priority="3309">
      <formula>H2393&lt;&gt;""</formula>
    </cfRule>
  </conditionalFormatting>
  <conditionalFormatting sqref="H2393:H2397">
    <cfRule type="expression" dxfId="6449" priority="3308">
      <formula>H2393&lt;&gt;""</formula>
    </cfRule>
  </conditionalFormatting>
  <conditionalFormatting sqref="H2393">
    <cfRule type="expression" dxfId="6448" priority="3307">
      <formula>H2393&lt;&gt;""</formula>
    </cfRule>
  </conditionalFormatting>
  <conditionalFormatting sqref="H2397">
    <cfRule type="expression" dxfId="6447" priority="3306">
      <formula>H2393&lt;&gt;""</formula>
    </cfRule>
  </conditionalFormatting>
  <conditionalFormatting sqref="D2365:D2369">
    <cfRule type="expression" dxfId="6446" priority="3275">
      <formula>D2365&lt;&gt;""</formula>
    </cfRule>
  </conditionalFormatting>
  <conditionalFormatting sqref="D2365">
    <cfRule type="expression" dxfId="6445" priority="3274">
      <formula>D2365&lt;&gt;""</formula>
    </cfRule>
  </conditionalFormatting>
  <conditionalFormatting sqref="D2369">
    <cfRule type="expression" dxfId="6444" priority="3273">
      <formula>D2365&lt;&gt;""</formula>
    </cfRule>
  </conditionalFormatting>
  <conditionalFormatting sqref="I2354:I2355 C2355:H2355 B2355:B2356">
    <cfRule type="expression" dxfId="6443" priority="3263">
      <formula>$B2357&lt;&gt;""</formula>
    </cfRule>
  </conditionalFormatting>
  <conditionalFormatting sqref="D2357:D2361">
    <cfRule type="expression" dxfId="6442" priority="3297">
      <formula>D2357&lt;&gt;""</formula>
    </cfRule>
  </conditionalFormatting>
  <conditionalFormatting sqref="D2357">
    <cfRule type="expression" dxfId="6441" priority="3296">
      <formula>D2357&lt;&gt;""</formula>
    </cfRule>
  </conditionalFormatting>
  <conditionalFormatting sqref="D2361">
    <cfRule type="expression" dxfId="6440" priority="3295">
      <formula>D2357&lt;&gt;""</formula>
    </cfRule>
  </conditionalFormatting>
  <conditionalFormatting sqref="C2357:C2361">
    <cfRule type="expression" dxfId="6439" priority="3304">
      <formula>D2357&lt;&gt;""</formula>
    </cfRule>
  </conditionalFormatting>
  <conditionalFormatting sqref="E2357:E2361">
    <cfRule type="expression" dxfId="6438" priority="3303">
      <formula>F2357&lt;&gt;""</formula>
    </cfRule>
  </conditionalFormatting>
  <conditionalFormatting sqref="G2357:G2361">
    <cfRule type="expression" dxfId="6437" priority="3302">
      <formula>H2357&lt;&gt;""</formula>
    </cfRule>
  </conditionalFormatting>
  <conditionalFormatting sqref="I2357:I2361">
    <cfRule type="expression" dxfId="6436" priority="3301">
      <formula>B2365&lt;&gt;""</formula>
    </cfRule>
  </conditionalFormatting>
  <conditionalFormatting sqref="B2357:B2361">
    <cfRule type="expression" dxfId="6435" priority="3300">
      <formula>B2357&lt;&gt;""</formula>
    </cfRule>
  </conditionalFormatting>
  <conditionalFormatting sqref="B2357">
    <cfRule type="expression" dxfId="6434" priority="3299">
      <formula>B2357&lt;&gt;""</formula>
    </cfRule>
  </conditionalFormatting>
  <conditionalFormatting sqref="B2361">
    <cfRule type="expression" dxfId="6433" priority="3298">
      <formula>B2357&lt;&gt;""</formula>
    </cfRule>
  </conditionalFormatting>
  <conditionalFormatting sqref="F2357:F2361">
    <cfRule type="expression" dxfId="6432" priority="3294">
      <formula>F2357&lt;&gt;""</formula>
    </cfRule>
  </conditionalFormatting>
  <conditionalFormatting sqref="F2357">
    <cfRule type="expression" dxfId="6431" priority="3293">
      <formula>F2357&lt;&gt;""</formula>
    </cfRule>
  </conditionalFormatting>
  <conditionalFormatting sqref="F2361">
    <cfRule type="expression" dxfId="6430" priority="3292">
      <formula>F2357&lt;&gt;""</formula>
    </cfRule>
  </conditionalFormatting>
  <conditionalFormatting sqref="H2357:H2361">
    <cfRule type="expression" dxfId="6429" priority="3291">
      <formula>H2357&lt;&gt;""</formula>
    </cfRule>
  </conditionalFormatting>
  <conditionalFormatting sqref="H2357">
    <cfRule type="expression" dxfId="6428" priority="3290">
      <formula>H2357&lt;&gt;""</formula>
    </cfRule>
  </conditionalFormatting>
  <conditionalFormatting sqref="H2361">
    <cfRule type="expression" dxfId="6427" priority="3289">
      <formula>H2357&lt;&gt;""</formula>
    </cfRule>
  </conditionalFormatting>
  <conditionalFormatting sqref="F2349:F2353">
    <cfRule type="expression" dxfId="6426" priority="3288">
      <formula>F2349&lt;&gt;""</formula>
    </cfRule>
  </conditionalFormatting>
  <conditionalFormatting sqref="F2349">
    <cfRule type="expression" dxfId="6425" priority="3287">
      <formula>F2349&lt;&gt;""</formula>
    </cfRule>
  </conditionalFormatting>
  <conditionalFormatting sqref="F2353">
    <cfRule type="expression" dxfId="6424" priority="3286">
      <formula>F2349&lt;&gt;""</formula>
    </cfRule>
  </conditionalFormatting>
  <conditionalFormatting sqref="E2349:E2353">
    <cfRule type="expression" dxfId="6423" priority="3285">
      <formula>F2349&lt;&gt;""</formula>
    </cfRule>
  </conditionalFormatting>
  <conditionalFormatting sqref="G2349:G2353">
    <cfRule type="expression" dxfId="6422" priority="3284">
      <formula>H2349&lt;&gt;""</formula>
    </cfRule>
  </conditionalFormatting>
  <conditionalFormatting sqref="I2349:I2353">
    <cfRule type="expression" dxfId="6421" priority="3283">
      <formula>B2357&lt;&gt;""</formula>
    </cfRule>
  </conditionalFormatting>
  <conditionalFormatting sqref="H2349:H2353">
    <cfRule type="expression" dxfId="6420" priority="3282">
      <formula>H2349&lt;&gt;""</formula>
    </cfRule>
  </conditionalFormatting>
  <conditionalFormatting sqref="H2349">
    <cfRule type="expression" dxfId="6419" priority="3281">
      <formula>H2349&lt;&gt;""</formula>
    </cfRule>
  </conditionalFormatting>
  <conditionalFormatting sqref="H2353">
    <cfRule type="expression" dxfId="6418" priority="3280">
      <formula>H2349&lt;&gt;""</formula>
    </cfRule>
  </conditionalFormatting>
  <conditionalFormatting sqref="I2362:I2363 C2363:H2363 B2363:B2364">
    <cfRule type="expression" dxfId="6417" priority="3279">
      <formula>$B2365&lt;&gt;""</formula>
    </cfRule>
  </conditionalFormatting>
  <conditionalFormatting sqref="B2365:B2369">
    <cfRule type="expression" dxfId="6416" priority="3278">
      <formula>B2365&lt;&gt;""</formula>
    </cfRule>
  </conditionalFormatting>
  <conditionalFormatting sqref="B2365">
    <cfRule type="expression" dxfId="6415" priority="3277">
      <formula>B2365&lt;&gt;""</formula>
    </cfRule>
  </conditionalFormatting>
  <conditionalFormatting sqref="B2369">
    <cfRule type="expression" dxfId="6414" priority="3276">
      <formula>B2365&lt;&gt;""</formula>
    </cfRule>
  </conditionalFormatting>
  <conditionalFormatting sqref="F2365:F2369">
    <cfRule type="expression" dxfId="6413" priority="3272">
      <formula>F2365&lt;&gt;""</formula>
    </cfRule>
  </conditionalFormatting>
  <conditionalFormatting sqref="F2365">
    <cfRule type="expression" dxfId="6412" priority="3271">
      <formula>F2365&lt;&gt;""</formula>
    </cfRule>
  </conditionalFormatting>
  <conditionalFormatting sqref="F2369">
    <cfRule type="expression" dxfId="6411" priority="3270">
      <formula>F2365&lt;&gt;""</formula>
    </cfRule>
  </conditionalFormatting>
  <conditionalFormatting sqref="C2365:C2369">
    <cfRule type="expression" dxfId="6410" priority="3269">
      <formula>D2365&lt;&gt;""</formula>
    </cfRule>
  </conditionalFormatting>
  <conditionalFormatting sqref="E2365:E2369">
    <cfRule type="expression" dxfId="6409" priority="3268">
      <formula>F2365&lt;&gt;""</formula>
    </cfRule>
  </conditionalFormatting>
  <conditionalFormatting sqref="G2365:G2369">
    <cfRule type="expression" dxfId="6408" priority="3267">
      <formula>H2365&lt;&gt;""</formula>
    </cfRule>
  </conditionalFormatting>
  <conditionalFormatting sqref="H2365:H2369">
    <cfRule type="expression" dxfId="6407" priority="3266">
      <formula>H2365&lt;&gt;""</formula>
    </cfRule>
  </conditionalFormatting>
  <conditionalFormatting sqref="H2365">
    <cfRule type="expression" dxfId="6406" priority="3265">
      <formula>H2365&lt;&gt;""</formula>
    </cfRule>
  </conditionalFormatting>
  <conditionalFormatting sqref="H2369">
    <cfRule type="expression" dxfId="6405" priority="3264">
      <formula>H2365&lt;&gt;""</formula>
    </cfRule>
  </conditionalFormatting>
  <conditionalFormatting sqref="D2337:D2341">
    <cfRule type="expression" dxfId="6404" priority="3233">
      <formula>D2337&lt;&gt;""</formula>
    </cfRule>
  </conditionalFormatting>
  <conditionalFormatting sqref="D2337">
    <cfRule type="expression" dxfId="6403" priority="3232">
      <formula>D2337&lt;&gt;""</formula>
    </cfRule>
  </conditionalFormatting>
  <conditionalFormatting sqref="D2341">
    <cfRule type="expression" dxfId="6402" priority="3231">
      <formula>D2337&lt;&gt;""</formula>
    </cfRule>
  </conditionalFormatting>
  <conditionalFormatting sqref="I2326:I2327 C2327:H2327 B2327:B2328">
    <cfRule type="expression" dxfId="6401" priority="3221">
      <formula>$B2329&lt;&gt;""</formula>
    </cfRule>
  </conditionalFormatting>
  <conditionalFormatting sqref="D2329:D2333">
    <cfRule type="expression" dxfId="6400" priority="3255">
      <formula>D2329&lt;&gt;""</formula>
    </cfRule>
  </conditionalFormatting>
  <conditionalFormatting sqref="D2329">
    <cfRule type="expression" dxfId="6399" priority="3254">
      <formula>D2329&lt;&gt;""</formula>
    </cfRule>
  </conditionalFormatting>
  <conditionalFormatting sqref="D2333">
    <cfRule type="expression" dxfId="6398" priority="3253">
      <formula>D2329&lt;&gt;""</formula>
    </cfRule>
  </conditionalFormatting>
  <conditionalFormatting sqref="C2329:C2333">
    <cfRule type="expression" dxfId="6397" priority="3262">
      <formula>D2329&lt;&gt;""</formula>
    </cfRule>
  </conditionalFormatting>
  <conditionalFormatting sqref="E2329:E2333">
    <cfRule type="expression" dxfId="6396" priority="3261">
      <formula>F2329&lt;&gt;""</formula>
    </cfRule>
  </conditionalFormatting>
  <conditionalFormatting sqref="G2329:G2333">
    <cfRule type="expression" dxfId="6395" priority="3260">
      <formula>H2329&lt;&gt;""</formula>
    </cfRule>
  </conditionalFormatting>
  <conditionalFormatting sqref="I2329:I2333">
    <cfRule type="expression" dxfId="6394" priority="3259">
      <formula>B2337&lt;&gt;""</formula>
    </cfRule>
  </conditionalFormatting>
  <conditionalFormatting sqref="B2329:B2333">
    <cfRule type="expression" dxfId="6393" priority="3258">
      <formula>B2329&lt;&gt;""</formula>
    </cfRule>
  </conditionalFormatting>
  <conditionalFormatting sqref="B2329">
    <cfRule type="expression" dxfId="6392" priority="3257">
      <formula>B2329&lt;&gt;""</formula>
    </cfRule>
  </conditionalFormatting>
  <conditionalFormatting sqref="B2333">
    <cfRule type="expression" dxfId="6391" priority="3256">
      <formula>B2329&lt;&gt;""</formula>
    </cfRule>
  </conditionalFormatting>
  <conditionalFormatting sqref="F2329:F2333">
    <cfRule type="expression" dxfId="6390" priority="3252">
      <formula>F2329&lt;&gt;""</formula>
    </cfRule>
  </conditionalFormatting>
  <conditionalFormatting sqref="F2329">
    <cfRule type="expression" dxfId="6389" priority="3251">
      <formula>F2329&lt;&gt;""</formula>
    </cfRule>
  </conditionalFormatting>
  <conditionalFormatting sqref="F2333">
    <cfRule type="expression" dxfId="6388" priority="3250">
      <formula>F2329&lt;&gt;""</formula>
    </cfRule>
  </conditionalFormatting>
  <conditionalFormatting sqref="H2329:H2333">
    <cfRule type="expression" dxfId="6387" priority="3249">
      <formula>H2329&lt;&gt;""</formula>
    </cfRule>
  </conditionalFormatting>
  <conditionalFormatting sqref="H2329">
    <cfRule type="expression" dxfId="6386" priority="3248">
      <formula>H2329&lt;&gt;""</formula>
    </cfRule>
  </conditionalFormatting>
  <conditionalFormatting sqref="H2333">
    <cfRule type="expression" dxfId="6385" priority="3247">
      <formula>H2329&lt;&gt;""</formula>
    </cfRule>
  </conditionalFormatting>
  <conditionalFormatting sqref="F2321:F2325">
    <cfRule type="expression" dxfId="6384" priority="3246">
      <formula>F2321&lt;&gt;""</formula>
    </cfRule>
  </conditionalFormatting>
  <conditionalFormatting sqref="F2321">
    <cfRule type="expression" dxfId="6383" priority="3245">
      <formula>F2321&lt;&gt;""</formula>
    </cfRule>
  </conditionalFormatting>
  <conditionalFormatting sqref="F2325">
    <cfRule type="expression" dxfId="6382" priority="3244">
      <formula>F2321&lt;&gt;""</formula>
    </cfRule>
  </conditionalFormatting>
  <conditionalFormatting sqref="E2321:E2325">
    <cfRule type="expression" dxfId="6381" priority="3243">
      <formula>F2321&lt;&gt;""</formula>
    </cfRule>
  </conditionalFormatting>
  <conditionalFormatting sqref="G2321:G2325">
    <cfRule type="expression" dxfId="6380" priority="3242">
      <formula>H2321&lt;&gt;""</formula>
    </cfRule>
  </conditionalFormatting>
  <conditionalFormatting sqref="I2321:I2325">
    <cfRule type="expression" dxfId="6379" priority="3241">
      <formula>B2329&lt;&gt;""</formula>
    </cfRule>
  </conditionalFormatting>
  <conditionalFormatting sqref="H2321:H2325">
    <cfRule type="expression" dxfId="6378" priority="3240">
      <formula>H2321&lt;&gt;""</formula>
    </cfRule>
  </conditionalFormatting>
  <conditionalFormatting sqref="H2321">
    <cfRule type="expression" dxfId="6377" priority="3239">
      <formula>H2321&lt;&gt;""</formula>
    </cfRule>
  </conditionalFormatting>
  <conditionalFormatting sqref="H2325">
    <cfRule type="expression" dxfId="6376" priority="3238">
      <formula>H2321&lt;&gt;""</formula>
    </cfRule>
  </conditionalFormatting>
  <conditionalFormatting sqref="I2334:I2335 C2335:H2335 B2335:B2336">
    <cfRule type="expression" dxfId="6375" priority="3237">
      <formula>$B2337&lt;&gt;""</formula>
    </cfRule>
  </conditionalFormatting>
  <conditionalFormatting sqref="B2337:B2341">
    <cfRule type="expression" dxfId="6374" priority="3236">
      <formula>B2337&lt;&gt;""</formula>
    </cfRule>
  </conditionalFormatting>
  <conditionalFormatting sqref="B2337">
    <cfRule type="expression" dxfId="6373" priority="3235">
      <formula>B2337&lt;&gt;""</formula>
    </cfRule>
  </conditionalFormatting>
  <conditionalFormatting sqref="B2341">
    <cfRule type="expression" dxfId="6372" priority="3234">
      <formula>B2337&lt;&gt;""</formula>
    </cfRule>
  </conditionalFormatting>
  <conditionalFormatting sqref="F2337:F2341">
    <cfRule type="expression" dxfId="6371" priority="3230">
      <formula>F2337&lt;&gt;""</formula>
    </cfRule>
  </conditionalFormatting>
  <conditionalFormatting sqref="F2337">
    <cfRule type="expression" dxfId="6370" priority="3229">
      <formula>F2337&lt;&gt;""</formula>
    </cfRule>
  </conditionalFormatting>
  <conditionalFormatting sqref="F2341">
    <cfRule type="expression" dxfId="6369" priority="3228">
      <formula>F2337&lt;&gt;""</formula>
    </cfRule>
  </conditionalFormatting>
  <conditionalFormatting sqref="C2337:C2341">
    <cfRule type="expression" dxfId="6368" priority="3227">
      <formula>D2337&lt;&gt;""</formula>
    </cfRule>
  </conditionalFormatting>
  <conditionalFormatting sqref="E2337:E2341">
    <cfRule type="expression" dxfId="6367" priority="3226">
      <formula>F2337&lt;&gt;""</formula>
    </cfRule>
  </conditionalFormatting>
  <conditionalFormatting sqref="G2337:G2341">
    <cfRule type="expression" dxfId="6366" priority="3225">
      <formula>H2337&lt;&gt;""</formula>
    </cfRule>
  </conditionalFormatting>
  <conditionalFormatting sqref="H2337:H2341">
    <cfRule type="expression" dxfId="6365" priority="3224">
      <formula>H2337&lt;&gt;""</formula>
    </cfRule>
  </conditionalFormatting>
  <conditionalFormatting sqref="H2337">
    <cfRule type="expression" dxfId="6364" priority="3223">
      <formula>H2337&lt;&gt;""</formula>
    </cfRule>
  </conditionalFormatting>
  <conditionalFormatting sqref="H2341">
    <cfRule type="expression" dxfId="6363" priority="3222">
      <formula>H2337&lt;&gt;""</formula>
    </cfRule>
  </conditionalFormatting>
  <conditionalFormatting sqref="D2309:D2313">
    <cfRule type="expression" dxfId="6362" priority="3191">
      <formula>D2309&lt;&gt;""</formula>
    </cfRule>
  </conditionalFormatting>
  <conditionalFormatting sqref="D2309">
    <cfRule type="expression" dxfId="6361" priority="3190">
      <formula>D2309&lt;&gt;""</formula>
    </cfRule>
  </conditionalFormatting>
  <conditionalFormatting sqref="D2313">
    <cfRule type="expression" dxfId="6360" priority="3189">
      <formula>D2309&lt;&gt;""</formula>
    </cfRule>
  </conditionalFormatting>
  <conditionalFormatting sqref="I2298:I2299 C2299:H2299 B2299:B2300">
    <cfRule type="expression" dxfId="6359" priority="3179">
      <formula>$B2301&lt;&gt;""</formula>
    </cfRule>
  </conditionalFormatting>
  <conditionalFormatting sqref="D2301:D2305">
    <cfRule type="expression" dxfId="6358" priority="3213">
      <formula>D2301&lt;&gt;""</formula>
    </cfRule>
  </conditionalFormatting>
  <conditionalFormatting sqref="D2301">
    <cfRule type="expression" dxfId="6357" priority="3212">
      <formula>D2301&lt;&gt;""</formula>
    </cfRule>
  </conditionalFormatting>
  <conditionalFormatting sqref="D2305">
    <cfRule type="expression" dxfId="6356" priority="3211">
      <formula>D2301&lt;&gt;""</formula>
    </cfRule>
  </conditionalFormatting>
  <conditionalFormatting sqref="C2301:C2305">
    <cfRule type="expression" dxfId="6355" priority="3220">
      <formula>D2301&lt;&gt;""</formula>
    </cfRule>
  </conditionalFormatting>
  <conditionalFormatting sqref="E2301:E2305">
    <cfRule type="expression" dxfId="6354" priority="3219">
      <formula>F2301&lt;&gt;""</formula>
    </cfRule>
  </conditionalFormatting>
  <conditionalFormatting sqref="G2301:G2305">
    <cfRule type="expression" dxfId="6353" priority="3218">
      <formula>H2301&lt;&gt;""</formula>
    </cfRule>
  </conditionalFormatting>
  <conditionalFormatting sqref="I2301:I2305">
    <cfRule type="expression" dxfId="6352" priority="3217">
      <formula>B2309&lt;&gt;""</formula>
    </cfRule>
  </conditionalFormatting>
  <conditionalFormatting sqref="B2301:B2305">
    <cfRule type="expression" dxfId="6351" priority="3216">
      <formula>B2301&lt;&gt;""</formula>
    </cfRule>
  </conditionalFormatting>
  <conditionalFormatting sqref="B2301">
    <cfRule type="expression" dxfId="6350" priority="3215">
      <formula>B2301&lt;&gt;""</formula>
    </cfRule>
  </conditionalFormatting>
  <conditionalFormatting sqref="B2305">
    <cfRule type="expression" dxfId="6349" priority="3214">
      <formula>B2301&lt;&gt;""</formula>
    </cfRule>
  </conditionalFormatting>
  <conditionalFormatting sqref="F2301:F2305">
    <cfRule type="expression" dxfId="6348" priority="3210">
      <formula>F2301&lt;&gt;""</formula>
    </cfRule>
  </conditionalFormatting>
  <conditionalFormatting sqref="F2301">
    <cfRule type="expression" dxfId="6347" priority="3209">
      <formula>F2301&lt;&gt;""</formula>
    </cfRule>
  </conditionalFormatting>
  <conditionalFormatting sqref="F2305">
    <cfRule type="expression" dxfId="6346" priority="3208">
      <formula>F2301&lt;&gt;""</formula>
    </cfRule>
  </conditionalFormatting>
  <conditionalFormatting sqref="H2301:H2305">
    <cfRule type="expression" dxfId="6345" priority="3207">
      <formula>H2301&lt;&gt;""</formula>
    </cfRule>
  </conditionalFormatting>
  <conditionalFormatting sqref="H2301">
    <cfRule type="expression" dxfId="6344" priority="3206">
      <formula>H2301&lt;&gt;""</formula>
    </cfRule>
  </conditionalFormatting>
  <conditionalFormatting sqref="H2305">
    <cfRule type="expression" dxfId="6343" priority="3205">
      <formula>H2301&lt;&gt;""</formula>
    </cfRule>
  </conditionalFormatting>
  <conditionalFormatting sqref="F2293:F2297">
    <cfRule type="expression" dxfId="6342" priority="3204">
      <formula>F2293&lt;&gt;""</formula>
    </cfRule>
  </conditionalFormatting>
  <conditionalFormatting sqref="F2293">
    <cfRule type="expression" dxfId="6341" priority="3203">
      <formula>F2293&lt;&gt;""</formula>
    </cfRule>
  </conditionalFormatting>
  <conditionalFormatting sqref="F2297">
    <cfRule type="expression" dxfId="6340" priority="3202">
      <formula>F2293&lt;&gt;""</formula>
    </cfRule>
  </conditionalFormatting>
  <conditionalFormatting sqref="E2293:E2297">
    <cfRule type="expression" dxfId="6339" priority="3201">
      <formula>F2293&lt;&gt;""</formula>
    </cfRule>
  </conditionalFormatting>
  <conditionalFormatting sqref="G2293:G2297">
    <cfRule type="expression" dxfId="6338" priority="3200">
      <formula>H2293&lt;&gt;""</formula>
    </cfRule>
  </conditionalFormatting>
  <conditionalFormatting sqref="I2293:I2297">
    <cfRule type="expression" dxfId="6337" priority="3199">
      <formula>B2301&lt;&gt;""</formula>
    </cfRule>
  </conditionalFormatting>
  <conditionalFormatting sqref="H2293:H2297">
    <cfRule type="expression" dxfId="6336" priority="3198">
      <formula>H2293&lt;&gt;""</formula>
    </cfRule>
  </conditionalFormatting>
  <conditionalFormatting sqref="H2293">
    <cfRule type="expression" dxfId="6335" priority="3197">
      <formula>H2293&lt;&gt;""</formula>
    </cfRule>
  </conditionalFormatting>
  <conditionalFormatting sqref="H2297">
    <cfRule type="expression" dxfId="6334" priority="3196">
      <formula>H2293&lt;&gt;""</formula>
    </cfRule>
  </conditionalFormatting>
  <conditionalFormatting sqref="I2306:I2307 C2307:H2307 B2307:B2308">
    <cfRule type="expression" dxfId="6333" priority="3195">
      <formula>$B2309&lt;&gt;""</formula>
    </cfRule>
  </conditionalFormatting>
  <conditionalFormatting sqref="B2309:B2313">
    <cfRule type="expression" dxfId="6332" priority="3194">
      <formula>B2309&lt;&gt;""</formula>
    </cfRule>
  </conditionalFormatting>
  <conditionalFormatting sqref="B2309">
    <cfRule type="expression" dxfId="6331" priority="3193">
      <formula>B2309&lt;&gt;""</formula>
    </cfRule>
  </conditionalFormatting>
  <conditionalFormatting sqref="B2313">
    <cfRule type="expression" dxfId="6330" priority="3192">
      <formula>B2309&lt;&gt;""</formula>
    </cfRule>
  </conditionalFormatting>
  <conditionalFormatting sqref="F2309:F2313">
    <cfRule type="expression" dxfId="6329" priority="3188">
      <formula>F2309&lt;&gt;""</formula>
    </cfRule>
  </conditionalFormatting>
  <conditionalFormatting sqref="F2309">
    <cfRule type="expression" dxfId="6328" priority="3187">
      <formula>F2309&lt;&gt;""</formula>
    </cfRule>
  </conditionalFormatting>
  <conditionalFormatting sqref="F2313">
    <cfRule type="expression" dxfId="6327" priority="3186">
      <formula>F2309&lt;&gt;""</formula>
    </cfRule>
  </conditionalFormatting>
  <conditionalFormatting sqref="C2309:C2313">
    <cfRule type="expression" dxfId="6326" priority="3185">
      <formula>D2309&lt;&gt;""</formula>
    </cfRule>
  </conditionalFormatting>
  <conditionalFormatting sqref="E2309:E2313">
    <cfRule type="expression" dxfId="6325" priority="3184">
      <formula>F2309&lt;&gt;""</formula>
    </cfRule>
  </conditionalFormatting>
  <conditionalFormatting sqref="G2309:G2313">
    <cfRule type="expression" dxfId="6324" priority="3183">
      <formula>H2309&lt;&gt;""</formula>
    </cfRule>
  </conditionalFormatting>
  <conditionalFormatting sqref="H2309:H2313">
    <cfRule type="expression" dxfId="6323" priority="3182">
      <formula>H2309&lt;&gt;""</formula>
    </cfRule>
  </conditionalFormatting>
  <conditionalFormatting sqref="H2309">
    <cfRule type="expression" dxfId="6322" priority="3181">
      <formula>H2309&lt;&gt;""</formula>
    </cfRule>
  </conditionalFormatting>
  <conditionalFormatting sqref="H2313">
    <cfRule type="expression" dxfId="6321" priority="3180">
      <formula>H2309&lt;&gt;""</formula>
    </cfRule>
  </conditionalFormatting>
  <conditionalFormatting sqref="D2281:D2285">
    <cfRule type="expression" dxfId="6320" priority="3149">
      <formula>D2281&lt;&gt;""</formula>
    </cfRule>
  </conditionalFormatting>
  <conditionalFormatting sqref="D2281">
    <cfRule type="expression" dxfId="6319" priority="3148">
      <formula>D2281&lt;&gt;""</formula>
    </cfRule>
  </conditionalFormatting>
  <conditionalFormatting sqref="D2285">
    <cfRule type="expression" dxfId="6318" priority="3147">
      <formula>D2281&lt;&gt;""</formula>
    </cfRule>
  </conditionalFormatting>
  <conditionalFormatting sqref="I2270:I2271 C2271:H2271 B2271:B2272">
    <cfRule type="expression" dxfId="6317" priority="3137">
      <formula>$B2273&lt;&gt;""</formula>
    </cfRule>
  </conditionalFormatting>
  <conditionalFormatting sqref="D2273:D2277">
    <cfRule type="expression" dxfId="6316" priority="3171">
      <formula>D2273&lt;&gt;""</formula>
    </cfRule>
  </conditionalFormatting>
  <conditionalFormatting sqref="D2273">
    <cfRule type="expression" dxfId="6315" priority="3170">
      <formula>D2273&lt;&gt;""</formula>
    </cfRule>
  </conditionalFormatting>
  <conditionalFormatting sqref="D2277">
    <cfRule type="expression" dxfId="6314" priority="3169">
      <formula>D2273&lt;&gt;""</formula>
    </cfRule>
  </conditionalFormatting>
  <conditionalFormatting sqref="C2273:C2277">
    <cfRule type="expression" dxfId="6313" priority="3178">
      <formula>D2273&lt;&gt;""</formula>
    </cfRule>
  </conditionalFormatting>
  <conditionalFormatting sqref="E2273:E2277">
    <cfRule type="expression" dxfId="6312" priority="3177">
      <formula>F2273&lt;&gt;""</formula>
    </cfRule>
  </conditionalFormatting>
  <conditionalFormatting sqref="G2273:G2277">
    <cfRule type="expression" dxfId="6311" priority="3176">
      <formula>H2273&lt;&gt;""</formula>
    </cfRule>
  </conditionalFormatting>
  <conditionalFormatting sqref="I2273:I2277">
    <cfRule type="expression" dxfId="6310" priority="3175">
      <formula>B2281&lt;&gt;""</formula>
    </cfRule>
  </conditionalFormatting>
  <conditionalFormatting sqref="B2273:B2277">
    <cfRule type="expression" dxfId="6309" priority="3174">
      <formula>B2273&lt;&gt;""</formula>
    </cfRule>
  </conditionalFormatting>
  <conditionalFormatting sqref="B2273">
    <cfRule type="expression" dxfId="6308" priority="3173">
      <formula>B2273&lt;&gt;""</formula>
    </cfRule>
  </conditionalFormatting>
  <conditionalFormatting sqref="B2277">
    <cfRule type="expression" dxfId="6307" priority="3172">
      <formula>B2273&lt;&gt;""</formula>
    </cfRule>
  </conditionalFormatting>
  <conditionalFormatting sqref="F2273:F2277">
    <cfRule type="expression" dxfId="6306" priority="3168">
      <formula>F2273&lt;&gt;""</formula>
    </cfRule>
  </conditionalFormatting>
  <conditionalFormatting sqref="F2273">
    <cfRule type="expression" dxfId="6305" priority="3167">
      <formula>F2273&lt;&gt;""</formula>
    </cfRule>
  </conditionalFormatting>
  <conditionalFormatting sqref="F2277">
    <cfRule type="expression" dxfId="6304" priority="3166">
      <formula>F2273&lt;&gt;""</formula>
    </cfRule>
  </conditionalFormatting>
  <conditionalFormatting sqref="H2273:H2277">
    <cfRule type="expression" dxfId="6303" priority="3165">
      <formula>H2273&lt;&gt;""</formula>
    </cfRule>
  </conditionalFormatting>
  <conditionalFormatting sqref="H2273">
    <cfRule type="expression" dxfId="6302" priority="3164">
      <formula>H2273&lt;&gt;""</formula>
    </cfRule>
  </conditionalFormatting>
  <conditionalFormatting sqref="H2277">
    <cfRule type="expression" dxfId="6301" priority="3163">
      <formula>H2273&lt;&gt;""</formula>
    </cfRule>
  </conditionalFormatting>
  <conditionalFormatting sqref="F2265:F2269">
    <cfRule type="expression" dxfId="6300" priority="3162">
      <formula>F2265&lt;&gt;""</formula>
    </cfRule>
  </conditionalFormatting>
  <conditionalFormatting sqref="F2265">
    <cfRule type="expression" dxfId="6299" priority="3161">
      <formula>F2265&lt;&gt;""</formula>
    </cfRule>
  </conditionalFormatting>
  <conditionalFormatting sqref="F2269">
    <cfRule type="expression" dxfId="6298" priority="3160">
      <formula>F2265&lt;&gt;""</formula>
    </cfRule>
  </conditionalFormatting>
  <conditionalFormatting sqref="E2265:E2269">
    <cfRule type="expression" dxfId="6297" priority="3159">
      <formula>F2265&lt;&gt;""</formula>
    </cfRule>
  </conditionalFormatting>
  <conditionalFormatting sqref="G2265:G2269">
    <cfRule type="expression" dxfId="6296" priority="3158">
      <formula>H2265&lt;&gt;""</formula>
    </cfRule>
  </conditionalFormatting>
  <conditionalFormatting sqref="I2265:I2269">
    <cfRule type="expression" dxfId="6295" priority="3157">
      <formula>B2273&lt;&gt;""</formula>
    </cfRule>
  </conditionalFormatting>
  <conditionalFormatting sqref="H2265:H2269">
    <cfRule type="expression" dxfId="6294" priority="3156">
      <formula>H2265&lt;&gt;""</formula>
    </cfRule>
  </conditionalFormatting>
  <conditionalFormatting sqref="H2265">
    <cfRule type="expression" dxfId="6293" priority="3155">
      <formula>H2265&lt;&gt;""</formula>
    </cfRule>
  </conditionalFormatting>
  <conditionalFormatting sqref="H2269">
    <cfRule type="expression" dxfId="6292" priority="3154">
      <formula>H2265&lt;&gt;""</formula>
    </cfRule>
  </conditionalFormatting>
  <conditionalFormatting sqref="I2278:I2279 C2279:H2279 B2279:B2280">
    <cfRule type="expression" dxfId="6291" priority="3153">
      <formula>$B2281&lt;&gt;""</formula>
    </cfRule>
  </conditionalFormatting>
  <conditionalFormatting sqref="B2281:B2285">
    <cfRule type="expression" dxfId="6290" priority="3152">
      <formula>B2281&lt;&gt;""</formula>
    </cfRule>
  </conditionalFormatting>
  <conditionalFormatting sqref="B2281">
    <cfRule type="expression" dxfId="6289" priority="3151">
      <formula>B2281&lt;&gt;""</formula>
    </cfRule>
  </conditionalFormatting>
  <conditionalFormatting sqref="B2285">
    <cfRule type="expression" dxfId="6288" priority="3150">
      <formula>B2281&lt;&gt;""</formula>
    </cfRule>
  </conditionalFormatting>
  <conditionalFormatting sqref="F2281:F2285">
    <cfRule type="expression" dxfId="6287" priority="3146">
      <formula>F2281&lt;&gt;""</formula>
    </cfRule>
  </conditionalFormatting>
  <conditionalFormatting sqref="F2281">
    <cfRule type="expression" dxfId="6286" priority="3145">
      <formula>F2281&lt;&gt;""</formula>
    </cfRule>
  </conditionalFormatting>
  <conditionalFormatting sqref="F2285">
    <cfRule type="expression" dxfId="6285" priority="3144">
      <formula>F2281&lt;&gt;""</formula>
    </cfRule>
  </conditionalFormatting>
  <conditionalFormatting sqref="C2281:C2285">
    <cfRule type="expression" dxfId="6284" priority="3143">
      <formula>D2281&lt;&gt;""</formula>
    </cfRule>
  </conditionalFormatting>
  <conditionalFormatting sqref="E2281:E2285">
    <cfRule type="expression" dxfId="6283" priority="3142">
      <formula>F2281&lt;&gt;""</formula>
    </cfRule>
  </conditionalFormatting>
  <conditionalFormatting sqref="G2281:G2285">
    <cfRule type="expression" dxfId="6282" priority="3141">
      <formula>H2281&lt;&gt;""</formula>
    </cfRule>
  </conditionalFormatting>
  <conditionalFormatting sqref="H2281:H2285">
    <cfRule type="expression" dxfId="6281" priority="3140">
      <formula>H2281&lt;&gt;""</formula>
    </cfRule>
  </conditionalFormatting>
  <conditionalFormatting sqref="H2281">
    <cfRule type="expression" dxfId="6280" priority="3139">
      <formula>H2281&lt;&gt;""</formula>
    </cfRule>
  </conditionalFormatting>
  <conditionalFormatting sqref="H2285">
    <cfRule type="expression" dxfId="6279" priority="3138">
      <formula>H2281&lt;&gt;""</formula>
    </cfRule>
  </conditionalFormatting>
  <conditionalFormatting sqref="B2265:B2269">
    <cfRule type="expression" dxfId="6278" priority="3136">
      <formula>B2265&lt;&gt;""</formula>
    </cfRule>
  </conditionalFormatting>
  <conditionalFormatting sqref="B2265">
    <cfRule type="expression" dxfId="6277" priority="3135">
      <formula>B2265&lt;&gt;""</formula>
    </cfRule>
  </conditionalFormatting>
  <conditionalFormatting sqref="B2269">
    <cfRule type="expression" dxfId="6276" priority="3134">
      <formula>B2265&lt;&gt;""</formula>
    </cfRule>
  </conditionalFormatting>
  <conditionalFormatting sqref="C2265:C2269">
    <cfRule type="expression" dxfId="6275" priority="3133">
      <formula>D2265&lt;&gt;""</formula>
    </cfRule>
  </conditionalFormatting>
  <conditionalFormatting sqref="D2265:D2269">
    <cfRule type="expression" dxfId="6274" priority="3132">
      <formula>D2265&lt;&gt;""</formula>
    </cfRule>
  </conditionalFormatting>
  <conditionalFormatting sqref="D2265">
    <cfRule type="expression" dxfId="6273" priority="3131">
      <formula>D2265&lt;&gt;""</formula>
    </cfRule>
  </conditionalFormatting>
  <conditionalFormatting sqref="D2269">
    <cfRule type="expression" dxfId="6272" priority="3130">
      <formula>D2265&lt;&gt;""</formula>
    </cfRule>
  </conditionalFormatting>
  <conditionalFormatting sqref="B2293:B2297">
    <cfRule type="expression" dxfId="6271" priority="3129">
      <formula>B2293&lt;&gt;""</formula>
    </cfRule>
  </conditionalFormatting>
  <conditionalFormatting sqref="B2293">
    <cfRule type="expression" dxfId="6270" priority="3128">
      <formula>B2293&lt;&gt;""</formula>
    </cfRule>
  </conditionalFormatting>
  <conditionalFormatting sqref="B2297">
    <cfRule type="expression" dxfId="6269" priority="3127">
      <formula>B2293&lt;&gt;""</formula>
    </cfRule>
  </conditionalFormatting>
  <conditionalFormatting sqref="C2293:C2297">
    <cfRule type="expression" dxfId="6268" priority="3126">
      <formula>D2293&lt;&gt;""</formula>
    </cfRule>
  </conditionalFormatting>
  <conditionalFormatting sqref="D2293:D2297">
    <cfRule type="expression" dxfId="6267" priority="3125">
      <formula>D2293&lt;&gt;""</formula>
    </cfRule>
  </conditionalFormatting>
  <conditionalFormatting sqref="D2293">
    <cfRule type="expression" dxfId="6266" priority="3124">
      <formula>D2293&lt;&gt;""</formula>
    </cfRule>
  </conditionalFormatting>
  <conditionalFormatting sqref="D2297">
    <cfRule type="expression" dxfId="6265" priority="3123">
      <formula>D2293&lt;&gt;""</formula>
    </cfRule>
  </conditionalFormatting>
  <conditionalFormatting sqref="B2321:B2325">
    <cfRule type="expression" dxfId="6264" priority="3122">
      <formula>B2321&lt;&gt;""</formula>
    </cfRule>
  </conditionalFormatting>
  <conditionalFormatting sqref="B2321">
    <cfRule type="expression" dxfId="6263" priority="3121">
      <formula>B2321&lt;&gt;""</formula>
    </cfRule>
  </conditionalFormatting>
  <conditionalFormatting sqref="B2325">
    <cfRule type="expression" dxfId="6262" priority="3120">
      <formula>B2321&lt;&gt;""</formula>
    </cfRule>
  </conditionalFormatting>
  <conditionalFormatting sqref="C2321:C2325">
    <cfRule type="expression" dxfId="6261" priority="3119">
      <formula>D2321&lt;&gt;""</formula>
    </cfRule>
  </conditionalFormatting>
  <conditionalFormatting sqref="D2321:D2325">
    <cfRule type="expression" dxfId="6260" priority="3118">
      <formula>D2321&lt;&gt;""</formula>
    </cfRule>
  </conditionalFormatting>
  <conditionalFormatting sqref="D2321">
    <cfRule type="expression" dxfId="6259" priority="3117">
      <formula>D2321&lt;&gt;""</formula>
    </cfRule>
  </conditionalFormatting>
  <conditionalFormatting sqref="D2325">
    <cfRule type="expression" dxfId="6258" priority="3116">
      <formula>D2321&lt;&gt;""</formula>
    </cfRule>
  </conditionalFormatting>
  <conditionalFormatting sqref="B2349:B2353">
    <cfRule type="expression" dxfId="6257" priority="3115">
      <formula>B2349&lt;&gt;""</formula>
    </cfRule>
  </conditionalFormatting>
  <conditionalFormatting sqref="B2349">
    <cfRule type="expression" dxfId="6256" priority="3114">
      <formula>B2349&lt;&gt;""</formula>
    </cfRule>
  </conditionalFormatting>
  <conditionalFormatting sqref="B2353">
    <cfRule type="expression" dxfId="6255" priority="3113">
      <formula>B2349&lt;&gt;""</formula>
    </cfRule>
  </conditionalFormatting>
  <conditionalFormatting sqref="C2349:C2353">
    <cfRule type="expression" dxfId="6254" priority="3112">
      <formula>D2349&lt;&gt;""</formula>
    </cfRule>
  </conditionalFormatting>
  <conditionalFormatting sqref="D2349:D2353">
    <cfRule type="expression" dxfId="6253" priority="3111">
      <formula>D2349&lt;&gt;""</formula>
    </cfRule>
  </conditionalFormatting>
  <conditionalFormatting sqref="D2349">
    <cfRule type="expression" dxfId="6252" priority="3110">
      <formula>D2349&lt;&gt;""</formula>
    </cfRule>
  </conditionalFormatting>
  <conditionalFormatting sqref="D2353">
    <cfRule type="expression" dxfId="6251" priority="3109">
      <formula>D2349&lt;&gt;""</formula>
    </cfRule>
  </conditionalFormatting>
  <conditionalFormatting sqref="B2377:B2381">
    <cfRule type="expression" dxfId="6250" priority="3108">
      <formula>B2377&lt;&gt;""</formula>
    </cfRule>
  </conditionalFormatting>
  <conditionalFormatting sqref="B2377">
    <cfRule type="expression" dxfId="6249" priority="3107">
      <formula>B2377&lt;&gt;""</formula>
    </cfRule>
  </conditionalFormatting>
  <conditionalFormatting sqref="B2381">
    <cfRule type="expression" dxfId="6248" priority="3106">
      <formula>B2377&lt;&gt;""</formula>
    </cfRule>
  </conditionalFormatting>
  <conditionalFormatting sqref="C2377:C2381">
    <cfRule type="expression" dxfId="6247" priority="3105">
      <formula>D2377&lt;&gt;""</formula>
    </cfRule>
  </conditionalFormatting>
  <conditionalFormatting sqref="D2377:D2381">
    <cfRule type="expression" dxfId="6246" priority="3104">
      <formula>D2377&lt;&gt;""</formula>
    </cfRule>
  </conditionalFormatting>
  <conditionalFormatting sqref="D2377">
    <cfRule type="expression" dxfId="6245" priority="3103">
      <formula>D2377&lt;&gt;""</formula>
    </cfRule>
  </conditionalFormatting>
  <conditionalFormatting sqref="D2381">
    <cfRule type="expression" dxfId="6244" priority="3102">
      <formula>D2377&lt;&gt;""</formula>
    </cfRule>
  </conditionalFormatting>
  <conditionalFormatting sqref="B2405:B2409">
    <cfRule type="expression" dxfId="6243" priority="3101">
      <formula>B2405&lt;&gt;""</formula>
    </cfRule>
  </conditionalFormatting>
  <conditionalFormatting sqref="B2405">
    <cfRule type="expression" dxfId="6242" priority="3100">
      <formula>B2405&lt;&gt;""</formula>
    </cfRule>
  </conditionalFormatting>
  <conditionalFormatting sqref="B2409">
    <cfRule type="expression" dxfId="6241" priority="3099">
      <formula>B2405&lt;&gt;""</formula>
    </cfRule>
  </conditionalFormatting>
  <conditionalFormatting sqref="C2405:C2409">
    <cfRule type="expression" dxfId="6240" priority="3098">
      <formula>D2405&lt;&gt;""</formula>
    </cfRule>
  </conditionalFormatting>
  <conditionalFormatting sqref="D2405:D2409">
    <cfRule type="expression" dxfId="6239" priority="3097">
      <formula>D2405&lt;&gt;""</formula>
    </cfRule>
  </conditionalFormatting>
  <conditionalFormatting sqref="D2405">
    <cfRule type="expression" dxfId="6238" priority="3096">
      <formula>D2405&lt;&gt;""</formula>
    </cfRule>
  </conditionalFormatting>
  <conditionalFormatting sqref="D2409">
    <cfRule type="expression" dxfId="6237" priority="3095">
      <formula>D2405&lt;&gt;""</formula>
    </cfRule>
  </conditionalFormatting>
  <conditionalFormatting sqref="B2433:B2437">
    <cfRule type="expression" dxfId="6236" priority="3094">
      <formula>B2433&lt;&gt;""</formula>
    </cfRule>
  </conditionalFormatting>
  <conditionalFormatting sqref="B2433">
    <cfRule type="expression" dxfId="6235" priority="3093">
      <formula>B2433&lt;&gt;""</formula>
    </cfRule>
  </conditionalFormatting>
  <conditionalFormatting sqref="B2437">
    <cfRule type="expression" dxfId="6234" priority="3092">
      <formula>B2433&lt;&gt;""</formula>
    </cfRule>
  </conditionalFormatting>
  <conditionalFormatting sqref="C2433:C2437">
    <cfRule type="expression" dxfId="6233" priority="3091">
      <formula>D2433&lt;&gt;""</formula>
    </cfRule>
  </conditionalFormatting>
  <conditionalFormatting sqref="D2433:D2437">
    <cfRule type="expression" dxfId="6232" priority="3090">
      <formula>D2433&lt;&gt;""</formula>
    </cfRule>
  </conditionalFormatting>
  <conditionalFormatting sqref="D2433">
    <cfRule type="expression" dxfId="6231" priority="3089">
      <formula>D2433&lt;&gt;""</formula>
    </cfRule>
  </conditionalFormatting>
  <conditionalFormatting sqref="D2437">
    <cfRule type="expression" dxfId="6230" priority="3088">
      <formula>D2433&lt;&gt;""</formula>
    </cfRule>
  </conditionalFormatting>
  <conditionalFormatting sqref="D2477:D2481">
    <cfRule type="expression" dxfId="6229" priority="3059">
      <formula>D2477&lt;&gt;""</formula>
    </cfRule>
  </conditionalFormatting>
  <conditionalFormatting sqref="D2477">
    <cfRule type="expression" dxfId="6228" priority="3058">
      <formula>D2477&lt;&gt;""</formula>
    </cfRule>
  </conditionalFormatting>
  <conditionalFormatting sqref="D2481">
    <cfRule type="expression" dxfId="6227" priority="3057">
      <formula>D2477&lt;&gt;""</formula>
    </cfRule>
  </conditionalFormatting>
  <conditionalFormatting sqref="D2469:D2473">
    <cfRule type="expression" dxfId="6226" priority="3080">
      <formula>D2469&lt;&gt;""</formula>
    </cfRule>
  </conditionalFormatting>
  <conditionalFormatting sqref="D2469">
    <cfRule type="expression" dxfId="6225" priority="3079">
      <formula>D2469&lt;&gt;""</formula>
    </cfRule>
  </conditionalFormatting>
  <conditionalFormatting sqref="D2473">
    <cfRule type="expression" dxfId="6224" priority="3078">
      <formula>D2469&lt;&gt;""</formula>
    </cfRule>
  </conditionalFormatting>
  <conditionalFormatting sqref="C2469:C2473">
    <cfRule type="expression" dxfId="6223" priority="3087">
      <formula>D2469&lt;&gt;""</formula>
    </cfRule>
  </conditionalFormatting>
  <conditionalFormatting sqref="E2469:E2473">
    <cfRule type="expression" dxfId="6222" priority="3086">
      <formula>F2469&lt;&gt;""</formula>
    </cfRule>
  </conditionalFormatting>
  <conditionalFormatting sqref="G2469:G2473">
    <cfRule type="expression" dxfId="6221" priority="3085">
      <formula>H2469&lt;&gt;""</formula>
    </cfRule>
  </conditionalFormatting>
  <conditionalFormatting sqref="I2469:I2473">
    <cfRule type="expression" dxfId="6220" priority="3084">
      <formula>B2477&lt;&gt;""</formula>
    </cfRule>
  </conditionalFormatting>
  <conditionalFormatting sqref="B2469:B2473">
    <cfRule type="expression" dxfId="6219" priority="3083">
      <formula>B2469&lt;&gt;""</formula>
    </cfRule>
  </conditionalFormatting>
  <conditionalFormatting sqref="B2469">
    <cfRule type="expression" dxfId="6218" priority="3082">
      <formula>B2469&lt;&gt;""</formula>
    </cfRule>
  </conditionalFormatting>
  <conditionalFormatting sqref="B2473">
    <cfRule type="expression" dxfId="6217" priority="3081">
      <formula>B2469&lt;&gt;""</formula>
    </cfRule>
  </conditionalFormatting>
  <conditionalFormatting sqref="F2469:F2473">
    <cfRule type="expression" dxfId="6216" priority="3077">
      <formula>F2469&lt;&gt;""</formula>
    </cfRule>
  </conditionalFormatting>
  <conditionalFormatting sqref="F2469">
    <cfRule type="expression" dxfId="6215" priority="3076">
      <formula>F2469&lt;&gt;""</formula>
    </cfRule>
  </conditionalFormatting>
  <conditionalFormatting sqref="F2473">
    <cfRule type="expression" dxfId="6214" priority="3075">
      <formula>F2469&lt;&gt;""</formula>
    </cfRule>
  </conditionalFormatting>
  <conditionalFormatting sqref="H2469:H2473">
    <cfRule type="expression" dxfId="6213" priority="3074">
      <formula>H2469&lt;&gt;""</formula>
    </cfRule>
  </conditionalFormatting>
  <conditionalFormatting sqref="H2469">
    <cfRule type="expression" dxfId="6212" priority="3073">
      <formula>H2469&lt;&gt;""</formula>
    </cfRule>
  </conditionalFormatting>
  <conditionalFormatting sqref="H2473">
    <cfRule type="expression" dxfId="6211" priority="3072">
      <formula>H2469&lt;&gt;""</formula>
    </cfRule>
  </conditionalFormatting>
  <conditionalFormatting sqref="F2461:F2465">
    <cfRule type="expression" dxfId="6210" priority="3071">
      <formula>F2461&lt;&gt;""</formula>
    </cfRule>
  </conditionalFormatting>
  <conditionalFormatting sqref="F2461">
    <cfRule type="expression" dxfId="6209" priority="3070">
      <formula>F2461&lt;&gt;""</formula>
    </cfRule>
  </conditionalFormatting>
  <conditionalFormatting sqref="F2465">
    <cfRule type="expression" dxfId="6208" priority="3069">
      <formula>F2461&lt;&gt;""</formula>
    </cfRule>
  </conditionalFormatting>
  <conditionalFormatting sqref="E2461:E2465">
    <cfRule type="expression" dxfId="6207" priority="3068">
      <formula>F2461&lt;&gt;""</formula>
    </cfRule>
  </conditionalFormatting>
  <conditionalFormatting sqref="G2461:G2465">
    <cfRule type="expression" dxfId="6206" priority="3067">
      <formula>H2461&lt;&gt;""</formula>
    </cfRule>
  </conditionalFormatting>
  <conditionalFormatting sqref="I2461:I2465">
    <cfRule type="expression" dxfId="6205" priority="3066">
      <formula>B2469&lt;&gt;""</formula>
    </cfRule>
  </conditionalFormatting>
  <conditionalFormatting sqref="H2461:H2465">
    <cfRule type="expression" dxfId="6204" priority="3065">
      <formula>H2461&lt;&gt;""</formula>
    </cfRule>
  </conditionalFormatting>
  <conditionalFormatting sqref="H2461">
    <cfRule type="expression" dxfId="6203" priority="3064">
      <formula>H2461&lt;&gt;""</formula>
    </cfRule>
  </conditionalFormatting>
  <conditionalFormatting sqref="H2465">
    <cfRule type="expression" dxfId="6202" priority="3063">
      <formula>H2461&lt;&gt;""</formula>
    </cfRule>
  </conditionalFormatting>
  <conditionalFormatting sqref="B2477:B2481">
    <cfRule type="expression" dxfId="6201" priority="3062">
      <formula>B2477&lt;&gt;""</formula>
    </cfRule>
  </conditionalFormatting>
  <conditionalFormatting sqref="B2477">
    <cfRule type="expression" dxfId="6200" priority="3061">
      <formula>B2477&lt;&gt;""</formula>
    </cfRule>
  </conditionalFormatting>
  <conditionalFormatting sqref="B2481">
    <cfRule type="expression" dxfId="6199" priority="3060">
      <formula>B2477&lt;&gt;""</formula>
    </cfRule>
  </conditionalFormatting>
  <conditionalFormatting sqref="F2477:F2481">
    <cfRule type="expression" dxfId="6198" priority="3056">
      <formula>F2477&lt;&gt;""</formula>
    </cfRule>
  </conditionalFormatting>
  <conditionalFormatting sqref="F2477">
    <cfRule type="expression" dxfId="6197" priority="3055">
      <formula>F2477&lt;&gt;""</formula>
    </cfRule>
  </conditionalFormatting>
  <conditionalFormatting sqref="F2481">
    <cfRule type="expression" dxfId="6196" priority="3054">
      <formula>F2477&lt;&gt;""</formula>
    </cfRule>
  </conditionalFormatting>
  <conditionalFormatting sqref="C2477:C2481">
    <cfRule type="expression" dxfId="6195" priority="3053">
      <formula>D2477&lt;&gt;""</formula>
    </cfRule>
  </conditionalFormatting>
  <conditionalFormatting sqref="E2477:E2481">
    <cfRule type="expression" dxfId="6194" priority="3052">
      <formula>F2477&lt;&gt;""</formula>
    </cfRule>
  </conditionalFormatting>
  <conditionalFormatting sqref="G2477:G2481">
    <cfRule type="expression" dxfId="6193" priority="3051">
      <formula>H2477&lt;&gt;""</formula>
    </cfRule>
  </conditionalFormatting>
  <conditionalFormatting sqref="H2477:H2481">
    <cfRule type="expression" dxfId="6192" priority="3050">
      <formula>H2477&lt;&gt;""</formula>
    </cfRule>
  </conditionalFormatting>
  <conditionalFormatting sqref="H2477">
    <cfRule type="expression" dxfId="6191" priority="3049">
      <formula>H2477&lt;&gt;""</formula>
    </cfRule>
  </conditionalFormatting>
  <conditionalFormatting sqref="H2481">
    <cfRule type="expression" dxfId="6190" priority="3048">
      <formula>H2477&lt;&gt;""</formula>
    </cfRule>
  </conditionalFormatting>
  <conditionalFormatting sqref="D2505:D2509">
    <cfRule type="expression" dxfId="6189" priority="3019">
      <formula>D2505&lt;&gt;""</formula>
    </cfRule>
  </conditionalFormatting>
  <conditionalFormatting sqref="D2505">
    <cfRule type="expression" dxfId="6188" priority="3018">
      <formula>D2505&lt;&gt;""</formula>
    </cfRule>
  </conditionalFormatting>
  <conditionalFormatting sqref="D2509">
    <cfRule type="expression" dxfId="6187" priority="3017">
      <formula>D2505&lt;&gt;""</formula>
    </cfRule>
  </conditionalFormatting>
  <conditionalFormatting sqref="D2497:D2501">
    <cfRule type="expression" dxfId="6186" priority="3040">
      <formula>D2497&lt;&gt;""</formula>
    </cfRule>
  </conditionalFormatting>
  <conditionalFormatting sqref="D2497">
    <cfRule type="expression" dxfId="6185" priority="3039">
      <formula>D2497&lt;&gt;""</formula>
    </cfRule>
  </conditionalFormatting>
  <conditionalFormatting sqref="D2501">
    <cfRule type="expression" dxfId="6184" priority="3038">
      <formula>D2497&lt;&gt;""</formula>
    </cfRule>
  </conditionalFormatting>
  <conditionalFormatting sqref="C2497:C2501">
    <cfRule type="expression" dxfId="6183" priority="3047">
      <formula>D2497&lt;&gt;""</formula>
    </cfRule>
  </conditionalFormatting>
  <conditionalFormatting sqref="E2497:E2501">
    <cfRule type="expression" dxfId="6182" priority="3046">
      <formula>F2497&lt;&gt;""</formula>
    </cfRule>
  </conditionalFormatting>
  <conditionalFormatting sqref="G2497:G2501">
    <cfRule type="expression" dxfId="6181" priority="3045">
      <formula>H2497&lt;&gt;""</formula>
    </cfRule>
  </conditionalFormatting>
  <conditionalFormatting sqref="I2497:I2501">
    <cfRule type="expression" dxfId="6180" priority="3044">
      <formula>B2505&lt;&gt;""</formula>
    </cfRule>
  </conditionalFormatting>
  <conditionalFormatting sqref="B2497:B2501">
    <cfRule type="expression" dxfId="6179" priority="3043">
      <formula>B2497&lt;&gt;""</formula>
    </cfRule>
  </conditionalFormatting>
  <conditionalFormatting sqref="B2497">
    <cfRule type="expression" dxfId="6178" priority="3042">
      <formula>B2497&lt;&gt;""</formula>
    </cfRule>
  </conditionalFormatting>
  <conditionalFormatting sqref="B2501">
    <cfRule type="expression" dxfId="6177" priority="3041">
      <formula>B2497&lt;&gt;""</formula>
    </cfRule>
  </conditionalFormatting>
  <conditionalFormatting sqref="F2497:F2501">
    <cfRule type="expression" dxfId="6176" priority="3037">
      <formula>F2497&lt;&gt;""</formula>
    </cfRule>
  </conditionalFormatting>
  <conditionalFormatting sqref="F2497">
    <cfRule type="expression" dxfId="6175" priority="3036">
      <formula>F2497&lt;&gt;""</formula>
    </cfRule>
  </conditionalFormatting>
  <conditionalFormatting sqref="F2501">
    <cfRule type="expression" dxfId="6174" priority="3035">
      <formula>F2497&lt;&gt;""</formula>
    </cfRule>
  </conditionalFormatting>
  <conditionalFormatting sqref="H2497:H2501">
    <cfRule type="expression" dxfId="6173" priority="3034">
      <formula>H2497&lt;&gt;""</formula>
    </cfRule>
  </conditionalFormatting>
  <conditionalFormatting sqref="H2497">
    <cfRule type="expression" dxfId="6172" priority="3033">
      <formula>H2497&lt;&gt;""</formula>
    </cfRule>
  </conditionalFormatting>
  <conditionalFormatting sqref="H2501">
    <cfRule type="expression" dxfId="6171" priority="3032">
      <formula>H2497&lt;&gt;""</formula>
    </cfRule>
  </conditionalFormatting>
  <conditionalFormatting sqref="F2489:F2493">
    <cfRule type="expression" dxfId="6170" priority="3031">
      <formula>F2489&lt;&gt;""</formula>
    </cfRule>
  </conditionalFormatting>
  <conditionalFormatting sqref="F2489">
    <cfRule type="expression" dxfId="6169" priority="3030">
      <formula>F2489&lt;&gt;""</formula>
    </cfRule>
  </conditionalFormatting>
  <conditionalFormatting sqref="F2493">
    <cfRule type="expression" dxfId="6168" priority="3029">
      <formula>F2489&lt;&gt;""</formula>
    </cfRule>
  </conditionalFormatting>
  <conditionalFormatting sqref="E2489:E2493">
    <cfRule type="expression" dxfId="6167" priority="3028">
      <formula>F2489&lt;&gt;""</formula>
    </cfRule>
  </conditionalFormatting>
  <conditionalFormatting sqref="G2489:G2493">
    <cfRule type="expression" dxfId="6166" priority="3027">
      <formula>H2489&lt;&gt;""</formula>
    </cfRule>
  </conditionalFormatting>
  <conditionalFormatting sqref="I2489:I2493">
    <cfRule type="expression" dxfId="6165" priority="3026">
      <formula>B2497&lt;&gt;""</formula>
    </cfRule>
  </conditionalFormatting>
  <conditionalFormatting sqref="H2489:H2493">
    <cfRule type="expression" dxfId="6164" priority="3025">
      <formula>H2489&lt;&gt;""</formula>
    </cfRule>
  </conditionalFormatting>
  <conditionalFormatting sqref="H2489">
    <cfRule type="expression" dxfId="6163" priority="3024">
      <formula>H2489&lt;&gt;""</formula>
    </cfRule>
  </conditionalFormatting>
  <conditionalFormatting sqref="H2493">
    <cfRule type="expression" dxfId="6162" priority="3023">
      <formula>H2489&lt;&gt;""</formula>
    </cfRule>
  </conditionalFormatting>
  <conditionalFormatting sqref="B2505:B2509">
    <cfRule type="expression" dxfId="6161" priority="3022">
      <formula>B2505&lt;&gt;""</formula>
    </cfRule>
  </conditionalFormatting>
  <conditionalFormatting sqref="B2505">
    <cfRule type="expression" dxfId="6160" priority="3021">
      <formula>B2505&lt;&gt;""</formula>
    </cfRule>
  </conditionalFormatting>
  <conditionalFormatting sqref="B2509">
    <cfRule type="expression" dxfId="6159" priority="3020">
      <formula>B2505&lt;&gt;""</formula>
    </cfRule>
  </conditionalFormatting>
  <conditionalFormatting sqref="F2505:F2509">
    <cfRule type="expression" dxfId="6158" priority="3016">
      <formula>F2505&lt;&gt;""</formula>
    </cfRule>
  </conditionalFormatting>
  <conditionalFormatting sqref="F2505">
    <cfRule type="expression" dxfId="6157" priority="3015">
      <formula>F2505&lt;&gt;""</formula>
    </cfRule>
  </conditionalFormatting>
  <conditionalFormatting sqref="F2509">
    <cfRule type="expression" dxfId="6156" priority="3014">
      <formula>F2505&lt;&gt;""</formula>
    </cfRule>
  </conditionalFormatting>
  <conditionalFormatting sqref="C2505:C2509">
    <cfRule type="expression" dxfId="6155" priority="3013">
      <formula>D2505&lt;&gt;""</formula>
    </cfRule>
  </conditionalFormatting>
  <conditionalFormatting sqref="E2505:E2509">
    <cfRule type="expression" dxfId="6154" priority="3012">
      <formula>F2505&lt;&gt;""</formula>
    </cfRule>
  </conditionalFormatting>
  <conditionalFormatting sqref="G2505:G2509">
    <cfRule type="expression" dxfId="6153" priority="3011">
      <formula>H2505&lt;&gt;""</formula>
    </cfRule>
  </conditionalFormatting>
  <conditionalFormatting sqref="H2505:H2509">
    <cfRule type="expression" dxfId="6152" priority="3010">
      <formula>H2505&lt;&gt;""</formula>
    </cfRule>
  </conditionalFormatting>
  <conditionalFormatting sqref="H2505">
    <cfRule type="expression" dxfId="6151" priority="3009">
      <formula>H2505&lt;&gt;""</formula>
    </cfRule>
  </conditionalFormatting>
  <conditionalFormatting sqref="H2509">
    <cfRule type="expression" dxfId="6150" priority="3008">
      <formula>H2505&lt;&gt;""</formula>
    </cfRule>
  </conditionalFormatting>
  <conditionalFormatting sqref="B2489:B2493">
    <cfRule type="expression" dxfId="6149" priority="2956">
      <formula>B2489&lt;&gt;""</formula>
    </cfRule>
  </conditionalFormatting>
  <conditionalFormatting sqref="B2495:B2496 C2495:I2495 I2494">
    <cfRule type="expression" dxfId="6148" priority="3007">
      <formula>$B2497&lt;&gt;""</formula>
    </cfRule>
  </conditionalFormatting>
  <conditionalFormatting sqref="B2503:B2504 C2503:I2503 I2502">
    <cfRule type="expression" dxfId="6147" priority="3006">
      <formula>$B2505&lt;&gt;""</formula>
    </cfRule>
  </conditionalFormatting>
  <conditionalFormatting sqref="D2533:D2537">
    <cfRule type="expression" dxfId="6146" priority="2977">
      <formula>D2533&lt;&gt;""</formula>
    </cfRule>
  </conditionalFormatting>
  <conditionalFormatting sqref="D2533">
    <cfRule type="expression" dxfId="6145" priority="2976">
      <formula>D2533&lt;&gt;""</formula>
    </cfRule>
  </conditionalFormatting>
  <conditionalFormatting sqref="D2537">
    <cfRule type="expression" dxfId="6144" priority="2975">
      <formula>D2533&lt;&gt;""</formula>
    </cfRule>
  </conditionalFormatting>
  <conditionalFormatting sqref="D2525:D2529">
    <cfRule type="expression" dxfId="6143" priority="2998">
      <formula>D2525&lt;&gt;""</formula>
    </cfRule>
  </conditionalFormatting>
  <conditionalFormatting sqref="D2525">
    <cfRule type="expression" dxfId="6142" priority="2997">
      <formula>D2525&lt;&gt;""</formula>
    </cfRule>
  </conditionalFormatting>
  <conditionalFormatting sqref="D2529">
    <cfRule type="expression" dxfId="6141" priority="2996">
      <formula>D2525&lt;&gt;""</formula>
    </cfRule>
  </conditionalFormatting>
  <conditionalFormatting sqref="C2525:C2529">
    <cfRule type="expression" dxfId="6140" priority="3005">
      <formula>D2525&lt;&gt;""</formula>
    </cfRule>
  </conditionalFormatting>
  <conditionalFormatting sqref="E2525:E2529">
    <cfRule type="expression" dxfId="6139" priority="3004">
      <formula>F2525&lt;&gt;""</formula>
    </cfRule>
  </conditionalFormatting>
  <conditionalFormatting sqref="G2525:G2529">
    <cfRule type="expression" dxfId="6138" priority="3003">
      <formula>H2525&lt;&gt;""</formula>
    </cfRule>
  </conditionalFormatting>
  <conditionalFormatting sqref="I2525:I2529">
    <cfRule type="expression" dxfId="6137" priority="3002">
      <formula>B2533&lt;&gt;""</formula>
    </cfRule>
  </conditionalFormatting>
  <conditionalFormatting sqref="B2525:B2529">
    <cfRule type="expression" dxfId="6136" priority="3001">
      <formula>B2525&lt;&gt;""</formula>
    </cfRule>
  </conditionalFormatting>
  <conditionalFormatting sqref="B2525">
    <cfRule type="expression" dxfId="6135" priority="3000">
      <formula>B2525&lt;&gt;""</formula>
    </cfRule>
  </conditionalFormatting>
  <conditionalFormatting sqref="B2529">
    <cfRule type="expression" dxfId="6134" priority="2999">
      <formula>B2525&lt;&gt;""</formula>
    </cfRule>
  </conditionalFormatting>
  <conditionalFormatting sqref="F2525:F2529">
    <cfRule type="expression" dxfId="6133" priority="2995">
      <formula>F2525&lt;&gt;""</formula>
    </cfRule>
  </conditionalFormatting>
  <conditionalFormatting sqref="F2525">
    <cfRule type="expression" dxfId="6132" priority="2994">
      <formula>F2525&lt;&gt;""</formula>
    </cfRule>
  </conditionalFormatting>
  <conditionalFormatting sqref="F2529">
    <cfRule type="expression" dxfId="6131" priority="2993">
      <formula>F2525&lt;&gt;""</formula>
    </cfRule>
  </conditionalFormatting>
  <conditionalFormatting sqref="H2525:H2529">
    <cfRule type="expression" dxfId="6130" priority="2992">
      <formula>H2525&lt;&gt;""</formula>
    </cfRule>
  </conditionalFormatting>
  <conditionalFormatting sqref="H2525">
    <cfRule type="expression" dxfId="6129" priority="2991">
      <formula>H2525&lt;&gt;""</formula>
    </cfRule>
  </conditionalFormatting>
  <conditionalFormatting sqref="H2529">
    <cfRule type="expression" dxfId="6128" priority="2990">
      <formula>H2525&lt;&gt;""</formula>
    </cfRule>
  </conditionalFormatting>
  <conditionalFormatting sqref="F2517:F2521">
    <cfRule type="expression" dxfId="6127" priority="2989">
      <formula>F2517&lt;&gt;""</formula>
    </cfRule>
  </conditionalFormatting>
  <conditionalFormatting sqref="F2517">
    <cfRule type="expression" dxfId="6126" priority="2988">
      <formula>F2517&lt;&gt;""</formula>
    </cfRule>
  </conditionalFormatting>
  <conditionalFormatting sqref="F2521">
    <cfRule type="expression" dxfId="6125" priority="2987">
      <formula>F2517&lt;&gt;""</formula>
    </cfRule>
  </conditionalFormatting>
  <conditionalFormatting sqref="E2517:E2521">
    <cfRule type="expression" dxfId="6124" priority="2986">
      <formula>F2517&lt;&gt;""</formula>
    </cfRule>
  </conditionalFormatting>
  <conditionalFormatting sqref="G2517:G2521">
    <cfRule type="expression" dxfId="6123" priority="2985">
      <formula>H2517&lt;&gt;""</formula>
    </cfRule>
  </conditionalFormatting>
  <conditionalFormatting sqref="I2517:I2521">
    <cfRule type="expression" dxfId="6122" priority="2984">
      <formula>B2525&lt;&gt;""</formula>
    </cfRule>
  </conditionalFormatting>
  <conditionalFormatting sqref="H2517:H2521">
    <cfRule type="expression" dxfId="6121" priority="2983">
      <formula>H2517&lt;&gt;""</formula>
    </cfRule>
  </conditionalFormatting>
  <conditionalFormatting sqref="H2517">
    <cfRule type="expression" dxfId="6120" priority="2982">
      <formula>H2517&lt;&gt;""</formula>
    </cfRule>
  </conditionalFormatting>
  <conditionalFormatting sqref="H2521">
    <cfRule type="expression" dxfId="6119" priority="2981">
      <formula>H2517&lt;&gt;""</formula>
    </cfRule>
  </conditionalFormatting>
  <conditionalFormatting sqref="B2533:B2537">
    <cfRule type="expression" dxfId="6118" priority="2980">
      <formula>B2533&lt;&gt;""</formula>
    </cfRule>
  </conditionalFormatting>
  <conditionalFormatting sqref="B2533">
    <cfRule type="expression" dxfId="6117" priority="2979">
      <formula>B2533&lt;&gt;""</formula>
    </cfRule>
  </conditionalFormatting>
  <conditionalFormatting sqref="B2537">
    <cfRule type="expression" dxfId="6116" priority="2978">
      <formula>B2533&lt;&gt;""</formula>
    </cfRule>
  </conditionalFormatting>
  <conditionalFormatting sqref="F2533:F2537">
    <cfRule type="expression" dxfId="6115" priority="2974">
      <formula>F2533&lt;&gt;""</formula>
    </cfRule>
  </conditionalFormatting>
  <conditionalFormatting sqref="F2533">
    <cfRule type="expression" dxfId="6114" priority="2973">
      <formula>F2533&lt;&gt;""</formula>
    </cfRule>
  </conditionalFormatting>
  <conditionalFormatting sqref="F2537">
    <cfRule type="expression" dxfId="6113" priority="2972">
      <formula>F2533&lt;&gt;""</formula>
    </cfRule>
  </conditionalFormatting>
  <conditionalFormatting sqref="C2533:C2537">
    <cfRule type="expression" dxfId="6112" priority="2971">
      <formula>D2533&lt;&gt;""</formula>
    </cfRule>
  </conditionalFormatting>
  <conditionalFormatting sqref="E2533:E2537">
    <cfRule type="expression" dxfId="6111" priority="2970">
      <formula>F2533&lt;&gt;""</formula>
    </cfRule>
  </conditionalFormatting>
  <conditionalFormatting sqref="G2533:G2537">
    <cfRule type="expression" dxfId="6110" priority="2969">
      <formula>H2533&lt;&gt;""</formula>
    </cfRule>
  </conditionalFormatting>
  <conditionalFormatting sqref="H2533:H2537">
    <cfRule type="expression" dxfId="6109" priority="2968">
      <formula>H2533&lt;&gt;""</formula>
    </cfRule>
  </conditionalFormatting>
  <conditionalFormatting sqref="H2533">
    <cfRule type="expression" dxfId="6108" priority="2967">
      <formula>H2533&lt;&gt;""</formula>
    </cfRule>
  </conditionalFormatting>
  <conditionalFormatting sqref="H2537">
    <cfRule type="expression" dxfId="6107" priority="2966">
      <formula>H2533&lt;&gt;""</formula>
    </cfRule>
  </conditionalFormatting>
  <conditionalFormatting sqref="B2517:B2521">
    <cfRule type="expression" dxfId="6106" priority="2949">
      <formula>B2517&lt;&gt;""</formula>
    </cfRule>
  </conditionalFormatting>
  <conditionalFormatting sqref="B2523:B2524 C2523:I2523 I2522">
    <cfRule type="expression" dxfId="6105" priority="2965">
      <formula>$B2525&lt;&gt;""</formula>
    </cfRule>
  </conditionalFormatting>
  <conditionalFormatting sqref="B2531:B2532 C2531:I2531 I2530">
    <cfRule type="expression" dxfId="6104" priority="2964">
      <formula>$B2533&lt;&gt;""</formula>
    </cfRule>
  </conditionalFormatting>
  <conditionalFormatting sqref="B2461:B2465">
    <cfRule type="expression" dxfId="6103" priority="2963">
      <formula>B2461&lt;&gt;""</formula>
    </cfRule>
  </conditionalFormatting>
  <conditionalFormatting sqref="B2461">
    <cfRule type="expression" dxfId="6102" priority="2962">
      <formula>B2461&lt;&gt;""</formula>
    </cfRule>
  </conditionalFormatting>
  <conditionalFormatting sqref="B2465">
    <cfRule type="expression" dxfId="6101" priority="2961">
      <formula>B2461&lt;&gt;""</formula>
    </cfRule>
  </conditionalFormatting>
  <conditionalFormatting sqref="C2461:C2465">
    <cfRule type="expression" dxfId="6100" priority="2960">
      <formula>D2461&lt;&gt;""</formula>
    </cfRule>
  </conditionalFormatting>
  <conditionalFormatting sqref="D2461:D2465">
    <cfRule type="expression" dxfId="6099" priority="2959">
      <formula>D2461&lt;&gt;""</formula>
    </cfRule>
  </conditionalFormatting>
  <conditionalFormatting sqref="D2461">
    <cfRule type="expression" dxfId="6098" priority="2958">
      <formula>D2461&lt;&gt;""</formula>
    </cfRule>
  </conditionalFormatting>
  <conditionalFormatting sqref="D2465">
    <cfRule type="expression" dxfId="6097" priority="2957">
      <formula>D2461&lt;&gt;""</formula>
    </cfRule>
  </conditionalFormatting>
  <conditionalFormatting sqref="B2489">
    <cfRule type="expression" dxfId="6096" priority="2955">
      <formula>B2489&lt;&gt;""</formula>
    </cfRule>
  </conditionalFormatting>
  <conditionalFormatting sqref="B2493">
    <cfRule type="expression" dxfId="6095" priority="2954">
      <formula>B2489&lt;&gt;""</formula>
    </cfRule>
  </conditionalFormatting>
  <conditionalFormatting sqref="C2489:C2493">
    <cfRule type="expression" dxfId="6094" priority="2953">
      <formula>D2489&lt;&gt;""</formula>
    </cfRule>
  </conditionalFormatting>
  <conditionalFormatting sqref="D2489:D2493">
    <cfRule type="expression" dxfId="6093" priority="2952">
      <formula>D2489&lt;&gt;""</formula>
    </cfRule>
  </conditionalFormatting>
  <conditionalFormatting sqref="D2489">
    <cfRule type="expression" dxfId="6092" priority="2951">
      <formula>D2489&lt;&gt;""</formula>
    </cfRule>
  </conditionalFormatting>
  <conditionalFormatting sqref="D2493">
    <cfRule type="expression" dxfId="6091" priority="2950">
      <formula>D2489&lt;&gt;""</formula>
    </cfRule>
  </conditionalFormatting>
  <conditionalFormatting sqref="B2517">
    <cfRule type="expression" dxfId="6090" priority="2948">
      <formula>B2517&lt;&gt;""</formula>
    </cfRule>
  </conditionalFormatting>
  <conditionalFormatting sqref="B2521">
    <cfRule type="expression" dxfId="6089" priority="2947">
      <formula>B2517&lt;&gt;""</formula>
    </cfRule>
  </conditionalFormatting>
  <conditionalFormatting sqref="C2517:C2521">
    <cfRule type="expression" dxfId="6088" priority="2946">
      <formula>D2517&lt;&gt;""</formula>
    </cfRule>
  </conditionalFormatting>
  <conditionalFormatting sqref="D2517:D2521">
    <cfRule type="expression" dxfId="6087" priority="2945">
      <formula>D2517&lt;&gt;""</formula>
    </cfRule>
  </conditionalFormatting>
  <conditionalFormatting sqref="D2517">
    <cfRule type="expression" dxfId="6086" priority="2944">
      <formula>D2517&lt;&gt;""</formula>
    </cfRule>
  </conditionalFormatting>
  <conditionalFormatting sqref="D2521">
    <cfRule type="expression" dxfId="6085" priority="2943">
      <formula>D2517&lt;&gt;""</formula>
    </cfRule>
  </conditionalFormatting>
  <conditionalFormatting sqref="B2475:B2476 C2475:I2475 I2474">
    <cfRule type="expression" dxfId="6084" priority="2942">
      <formula>$B2477&lt;&gt;""</formula>
    </cfRule>
  </conditionalFormatting>
  <conditionalFormatting sqref="B2467:B2468 C2467:I2467 I2466">
    <cfRule type="expression" dxfId="6083" priority="2941">
      <formula>$B2469&lt;&gt;""</formula>
    </cfRule>
  </conditionalFormatting>
  <conditionalFormatting sqref="D2731:D2735">
    <cfRule type="expression" dxfId="6082" priority="2911">
      <formula>D2731&lt;&gt;""</formula>
    </cfRule>
  </conditionalFormatting>
  <conditionalFormatting sqref="D2731">
    <cfRule type="expression" dxfId="6081" priority="2910">
      <formula>D2731&lt;&gt;""</formula>
    </cfRule>
  </conditionalFormatting>
  <conditionalFormatting sqref="D2735">
    <cfRule type="expression" dxfId="6080" priority="2909">
      <formula>D2731&lt;&gt;""</formula>
    </cfRule>
  </conditionalFormatting>
  <conditionalFormatting sqref="I2720:I2721 C2721:H2721 B2721:B2722">
    <cfRule type="expression" dxfId="6079" priority="2899">
      <formula>$B2723&lt;&gt;""</formula>
    </cfRule>
  </conditionalFormatting>
  <conditionalFormatting sqref="D2723:D2727">
    <cfRule type="expression" dxfId="6078" priority="2933">
      <formula>D2723&lt;&gt;""</formula>
    </cfRule>
  </conditionalFormatting>
  <conditionalFormatting sqref="D2723">
    <cfRule type="expression" dxfId="6077" priority="2932">
      <formula>D2723&lt;&gt;""</formula>
    </cfRule>
  </conditionalFormatting>
  <conditionalFormatting sqref="D2727">
    <cfRule type="expression" dxfId="6076" priority="2931">
      <formula>D2723&lt;&gt;""</formula>
    </cfRule>
  </conditionalFormatting>
  <conditionalFormatting sqref="C2723:C2727">
    <cfRule type="expression" dxfId="6075" priority="2940">
      <formula>D2723&lt;&gt;""</formula>
    </cfRule>
  </conditionalFormatting>
  <conditionalFormatting sqref="E2723:E2727">
    <cfRule type="expression" dxfId="6074" priority="2939">
      <formula>F2723&lt;&gt;""</formula>
    </cfRule>
  </conditionalFormatting>
  <conditionalFormatting sqref="G2723:G2727">
    <cfRule type="expression" dxfId="6073" priority="2938">
      <formula>H2723&lt;&gt;""</formula>
    </cfRule>
  </conditionalFormatting>
  <conditionalFormatting sqref="I2723:I2727">
    <cfRule type="expression" dxfId="6072" priority="2937">
      <formula>B2731&lt;&gt;""</formula>
    </cfRule>
  </conditionalFormatting>
  <conditionalFormatting sqref="B2723:B2727">
    <cfRule type="expression" dxfId="6071" priority="2936">
      <formula>B2723&lt;&gt;""</formula>
    </cfRule>
  </conditionalFormatting>
  <conditionalFormatting sqref="B2723">
    <cfRule type="expression" dxfId="6070" priority="2935">
      <formula>B2723&lt;&gt;""</formula>
    </cfRule>
  </conditionalFormatting>
  <conditionalFormatting sqref="B2727">
    <cfRule type="expression" dxfId="6069" priority="2934">
      <formula>B2723&lt;&gt;""</formula>
    </cfRule>
  </conditionalFormatting>
  <conditionalFormatting sqref="F2723:F2727">
    <cfRule type="expression" dxfId="6068" priority="2930">
      <formula>F2723&lt;&gt;""</formula>
    </cfRule>
  </conditionalFormatting>
  <conditionalFormatting sqref="F2723">
    <cfRule type="expression" dxfId="6067" priority="2929">
      <formula>F2723&lt;&gt;""</formula>
    </cfRule>
  </conditionalFormatting>
  <conditionalFormatting sqref="F2727">
    <cfRule type="expression" dxfId="6066" priority="2928">
      <formula>F2723&lt;&gt;""</formula>
    </cfRule>
  </conditionalFormatting>
  <conditionalFormatting sqref="H2723:H2727">
    <cfRule type="expression" dxfId="6065" priority="2927">
      <formula>H2723&lt;&gt;""</formula>
    </cfRule>
  </conditionalFormatting>
  <conditionalFormatting sqref="H2723">
    <cfRule type="expression" dxfId="6064" priority="2926">
      <formula>H2723&lt;&gt;""</formula>
    </cfRule>
  </conditionalFormatting>
  <conditionalFormatting sqref="H2727">
    <cfRule type="expression" dxfId="6063" priority="2925">
      <formula>H2723&lt;&gt;""</formula>
    </cfRule>
  </conditionalFormatting>
  <conditionalFormatting sqref="F2715:F2719">
    <cfRule type="expression" dxfId="6062" priority="2924">
      <formula>F2715&lt;&gt;""</formula>
    </cfRule>
  </conditionalFormatting>
  <conditionalFormatting sqref="F2715">
    <cfRule type="expression" dxfId="6061" priority="2923">
      <formula>F2715&lt;&gt;""</formula>
    </cfRule>
  </conditionalFormatting>
  <conditionalFormatting sqref="F2719">
    <cfRule type="expression" dxfId="6060" priority="2922">
      <formula>F2715&lt;&gt;""</formula>
    </cfRule>
  </conditionalFormatting>
  <conditionalFormatting sqref="E2715:E2719">
    <cfRule type="expression" dxfId="6059" priority="2921">
      <formula>F2715&lt;&gt;""</formula>
    </cfRule>
  </conditionalFormatting>
  <conditionalFormatting sqref="G2715:G2719">
    <cfRule type="expression" dxfId="6058" priority="2920">
      <formula>H2715&lt;&gt;""</formula>
    </cfRule>
  </conditionalFormatting>
  <conditionalFormatting sqref="I2715:I2719">
    <cfRule type="expression" dxfId="6057" priority="2919">
      <formula>B2723&lt;&gt;""</formula>
    </cfRule>
  </conditionalFormatting>
  <conditionalFormatting sqref="H2715:H2719">
    <cfRule type="expression" dxfId="6056" priority="2918">
      <formula>H2715&lt;&gt;""</formula>
    </cfRule>
  </conditionalFormatting>
  <conditionalFormatting sqref="H2715">
    <cfRule type="expression" dxfId="6055" priority="2917">
      <formula>H2715&lt;&gt;""</formula>
    </cfRule>
  </conditionalFormatting>
  <conditionalFormatting sqref="H2719">
    <cfRule type="expression" dxfId="6054" priority="2916">
      <formula>H2715&lt;&gt;""</formula>
    </cfRule>
  </conditionalFormatting>
  <conditionalFormatting sqref="I2728:I2729 C2729:H2729 B2729:B2730">
    <cfRule type="expression" dxfId="6053" priority="2915">
      <formula>$B2731&lt;&gt;""</formula>
    </cfRule>
  </conditionalFormatting>
  <conditionalFormatting sqref="B2731:B2735">
    <cfRule type="expression" dxfId="6052" priority="2914">
      <formula>B2731&lt;&gt;""</formula>
    </cfRule>
  </conditionalFormatting>
  <conditionalFormatting sqref="B2731">
    <cfRule type="expression" dxfId="6051" priority="2913">
      <formula>B2731&lt;&gt;""</formula>
    </cfRule>
  </conditionalFormatting>
  <conditionalFormatting sqref="B2735">
    <cfRule type="expression" dxfId="6050" priority="2912">
      <formula>B2731&lt;&gt;""</formula>
    </cfRule>
  </conditionalFormatting>
  <conditionalFormatting sqref="F2731:F2735">
    <cfRule type="expression" dxfId="6049" priority="2908">
      <formula>F2731&lt;&gt;""</formula>
    </cfRule>
  </conditionalFormatting>
  <conditionalFormatting sqref="F2731">
    <cfRule type="expression" dxfId="6048" priority="2907">
      <formula>F2731&lt;&gt;""</formula>
    </cfRule>
  </conditionalFormatting>
  <conditionalFormatting sqref="F2735">
    <cfRule type="expression" dxfId="6047" priority="2906">
      <formula>F2731&lt;&gt;""</formula>
    </cfRule>
  </conditionalFormatting>
  <conditionalFormatting sqref="C2731:C2735">
    <cfRule type="expression" dxfId="6046" priority="2905">
      <formula>D2731&lt;&gt;""</formula>
    </cfRule>
  </conditionalFormatting>
  <conditionalFormatting sqref="E2731:E2735">
    <cfRule type="expression" dxfId="6045" priority="2904">
      <formula>F2731&lt;&gt;""</formula>
    </cfRule>
  </conditionalFormatting>
  <conditionalFormatting sqref="G2731:G2735">
    <cfRule type="expression" dxfId="6044" priority="2903">
      <formula>H2731&lt;&gt;""</formula>
    </cfRule>
  </conditionalFormatting>
  <conditionalFormatting sqref="H2731:H2735">
    <cfRule type="expression" dxfId="6043" priority="2902">
      <formula>H2731&lt;&gt;""</formula>
    </cfRule>
  </conditionalFormatting>
  <conditionalFormatting sqref="H2731">
    <cfRule type="expression" dxfId="6042" priority="2901">
      <formula>H2731&lt;&gt;""</formula>
    </cfRule>
  </conditionalFormatting>
  <conditionalFormatting sqref="H2735">
    <cfRule type="expression" dxfId="6041" priority="2900">
      <formula>H2731&lt;&gt;""</formula>
    </cfRule>
  </conditionalFormatting>
  <conditionalFormatting sqref="D2703:D2707">
    <cfRule type="expression" dxfId="6040" priority="2869">
      <formula>D2703&lt;&gt;""</formula>
    </cfRule>
  </conditionalFormatting>
  <conditionalFormatting sqref="D2703">
    <cfRule type="expression" dxfId="6039" priority="2868">
      <formula>D2703&lt;&gt;""</formula>
    </cfRule>
  </conditionalFormatting>
  <conditionalFormatting sqref="D2707">
    <cfRule type="expression" dxfId="6038" priority="2867">
      <formula>D2703&lt;&gt;""</formula>
    </cfRule>
  </conditionalFormatting>
  <conditionalFormatting sqref="I2692:I2693 C2693:H2693 B2693:B2694">
    <cfRule type="expression" dxfId="6037" priority="2857">
      <formula>$B2695&lt;&gt;""</formula>
    </cfRule>
  </conditionalFormatting>
  <conditionalFormatting sqref="D2695:D2699">
    <cfRule type="expression" dxfId="6036" priority="2891">
      <formula>D2695&lt;&gt;""</formula>
    </cfRule>
  </conditionalFormatting>
  <conditionalFormatting sqref="D2695">
    <cfRule type="expression" dxfId="6035" priority="2890">
      <formula>D2695&lt;&gt;""</formula>
    </cfRule>
  </conditionalFormatting>
  <conditionalFormatting sqref="D2699">
    <cfRule type="expression" dxfId="6034" priority="2889">
      <formula>D2695&lt;&gt;""</formula>
    </cfRule>
  </conditionalFormatting>
  <conditionalFormatting sqref="C2695:C2699">
    <cfRule type="expression" dxfId="6033" priority="2898">
      <formula>D2695&lt;&gt;""</formula>
    </cfRule>
  </conditionalFormatting>
  <conditionalFormatting sqref="E2695:E2699">
    <cfRule type="expression" dxfId="6032" priority="2897">
      <formula>F2695&lt;&gt;""</formula>
    </cfRule>
  </conditionalFormatting>
  <conditionalFormatting sqref="G2695:G2699">
    <cfRule type="expression" dxfId="6031" priority="2896">
      <formula>H2695&lt;&gt;""</formula>
    </cfRule>
  </conditionalFormatting>
  <conditionalFormatting sqref="I2695:I2699">
    <cfRule type="expression" dxfId="6030" priority="2895">
      <formula>B2703&lt;&gt;""</formula>
    </cfRule>
  </conditionalFormatting>
  <conditionalFormatting sqref="B2695:B2699">
    <cfRule type="expression" dxfId="6029" priority="2894">
      <formula>B2695&lt;&gt;""</formula>
    </cfRule>
  </conditionalFormatting>
  <conditionalFormatting sqref="B2695">
    <cfRule type="expression" dxfId="6028" priority="2893">
      <formula>B2695&lt;&gt;""</formula>
    </cfRule>
  </conditionalFormatting>
  <conditionalFormatting sqref="B2699">
    <cfRule type="expression" dxfId="6027" priority="2892">
      <formula>B2695&lt;&gt;""</formula>
    </cfRule>
  </conditionalFormatting>
  <conditionalFormatting sqref="F2695:F2699">
    <cfRule type="expression" dxfId="6026" priority="2888">
      <formula>F2695&lt;&gt;""</formula>
    </cfRule>
  </conditionalFormatting>
  <conditionalFormatting sqref="F2695">
    <cfRule type="expression" dxfId="6025" priority="2887">
      <formula>F2695&lt;&gt;""</formula>
    </cfRule>
  </conditionalFormatting>
  <conditionalFormatting sqref="F2699">
    <cfRule type="expression" dxfId="6024" priority="2886">
      <formula>F2695&lt;&gt;""</formula>
    </cfRule>
  </conditionalFormatting>
  <conditionalFormatting sqref="H2695:H2699">
    <cfRule type="expression" dxfId="6023" priority="2885">
      <formula>H2695&lt;&gt;""</formula>
    </cfRule>
  </conditionalFormatting>
  <conditionalFormatting sqref="H2695">
    <cfRule type="expression" dxfId="6022" priority="2884">
      <formula>H2695&lt;&gt;""</formula>
    </cfRule>
  </conditionalFormatting>
  <conditionalFormatting sqref="H2699">
    <cfRule type="expression" dxfId="6021" priority="2883">
      <formula>H2695&lt;&gt;""</formula>
    </cfRule>
  </conditionalFormatting>
  <conditionalFormatting sqref="F2687:F2691">
    <cfRule type="expression" dxfId="6020" priority="2882">
      <formula>F2687&lt;&gt;""</formula>
    </cfRule>
  </conditionalFormatting>
  <conditionalFormatting sqref="F2687">
    <cfRule type="expression" dxfId="6019" priority="2881">
      <formula>F2687&lt;&gt;""</formula>
    </cfRule>
  </conditionalFormatting>
  <conditionalFormatting sqref="F2691">
    <cfRule type="expression" dxfId="6018" priority="2880">
      <formula>F2687&lt;&gt;""</formula>
    </cfRule>
  </conditionalFormatting>
  <conditionalFormatting sqref="E2687:E2691">
    <cfRule type="expression" dxfId="6017" priority="2879">
      <formula>F2687&lt;&gt;""</formula>
    </cfRule>
  </conditionalFormatting>
  <conditionalFormatting sqref="G2687:G2691">
    <cfRule type="expression" dxfId="6016" priority="2878">
      <formula>H2687&lt;&gt;""</formula>
    </cfRule>
  </conditionalFormatting>
  <conditionalFormatting sqref="I2687:I2691">
    <cfRule type="expression" dxfId="6015" priority="2877">
      <formula>B2695&lt;&gt;""</formula>
    </cfRule>
  </conditionalFormatting>
  <conditionalFormatting sqref="H2687:H2691">
    <cfRule type="expression" dxfId="6014" priority="2876">
      <formula>H2687&lt;&gt;""</formula>
    </cfRule>
  </conditionalFormatting>
  <conditionalFormatting sqref="H2687">
    <cfRule type="expression" dxfId="6013" priority="2875">
      <formula>H2687&lt;&gt;""</formula>
    </cfRule>
  </conditionalFormatting>
  <conditionalFormatting sqref="H2691">
    <cfRule type="expression" dxfId="6012" priority="2874">
      <formula>H2687&lt;&gt;""</formula>
    </cfRule>
  </conditionalFormatting>
  <conditionalFormatting sqref="I2700:I2701 C2701:H2701 B2701:B2702">
    <cfRule type="expression" dxfId="6011" priority="2873">
      <formula>$B2703&lt;&gt;""</formula>
    </cfRule>
  </conditionalFormatting>
  <conditionalFormatting sqref="B2703:B2707">
    <cfRule type="expression" dxfId="6010" priority="2872">
      <formula>B2703&lt;&gt;""</formula>
    </cfRule>
  </conditionalFormatting>
  <conditionalFormatting sqref="B2703">
    <cfRule type="expression" dxfId="6009" priority="2871">
      <formula>B2703&lt;&gt;""</formula>
    </cfRule>
  </conditionalFormatting>
  <conditionalFormatting sqref="B2707">
    <cfRule type="expression" dxfId="6008" priority="2870">
      <formula>B2703&lt;&gt;""</formula>
    </cfRule>
  </conditionalFormatting>
  <conditionalFormatting sqref="F2703:F2707">
    <cfRule type="expression" dxfId="6007" priority="2866">
      <formula>F2703&lt;&gt;""</formula>
    </cfRule>
  </conditionalFormatting>
  <conditionalFormatting sqref="F2703">
    <cfRule type="expression" dxfId="6006" priority="2865">
      <formula>F2703&lt;&gt;""</formula>
    </cfRule>
  </conditionalFormatting>
  <conditionalFormatting sqref="F2707">
    <cfRule type="expression" dxfId="6005" priority="2864">
      <formula>F2703&lt;&gt;""</formula>
    </cfRule>
  </conditionalFormatting>
  <conditionalFormatting sqref="C2703:C2707">
    <cfRule type="expression" dxfId="6004" priority="2863">
      <formula>D2703&lt;&gt;""</formula>
    </cfRule>
  </conditionalFormatting>
  <conditionalFormatting sqref="E2703:E2707">
    <cfRule type="expression" dxfId="6003" priority="2862">
      <formula>F2703&lt;&gt;""</formula>
    </cfRule>
  </conditionalFormatting>
  <conditionalFormatting sqref="G2703:G2707">
    <cfRule type="expression" dxfId="6002" priority="2861">
      <formula>H2703&lt;&gt;""</formula>
    </cfRule>
  </conditionalFormatting>
  <conditionalFormatting sqref="H2703:H2707">
    <cfRule type="expression" dxfId="6001" priority="2860">
      <formula>H2703&lt;&gt;""</formula>
    </cfRule>
  </conditionalFormatting>
  <conditionalFormatting sqref="H2703">
    <cfRule type="expression" dxfId="6000" priority="2859">
      <formula>H2703&lt;&gt;""</formula>
    </cfRule>
  </conditionalFormatting>
  <conditionalFormatting sqref="H2707">
    <cfRule type="expression" dxfId="5999" priority="2858">
      <formula>H2703&lt;&gt;""</formula>
    </cfRule>
  </conditionalFormatting>
  <conditionalFormatting sqref="D2675:D2679">
    <cfRule type="expression" dxfId="5998" priority="2827">
      <formula>D2675&lt;&gt;""</formula>
    </cfRule>
  </conditionalFormatting>
  <conditionalFormatting sqref="D2675">
    <cfRule type="expression" dxfId="5997" priority="2826">
      <formula>D2675&lt;&gt;""</formula>
    </cfRule>
  </conditionalFormatting>
  <conditionalFormatting sqref="D2679">
    <cfRule type="expression" dxfId="5996" priority="2825">
      <formula>D2675&lt;&gt;""</formula>
    </cfRule>
  </conditionalFormatting>
  <conditionalFormatting sqref="I2664:I2665 C2665:H2665 B2665:B2666">
    <cfRule type="expression" dxfId="5995" priority="2815">
      <formula>$B2667&lt;&gt;""</formula>
    </cfRule>
  </conditionalFormatting>
  <conditionalFormatting sqref="D2667:D2671">
    <cfRule type="expression" dxfId="5994" priority="2849">
      <formula>D2667&lt;&gt;""</formula>
    </cfRule>
  </conditionalFormatting>
  <conditionalFormatting sqref="D2667">
    <cfRule type="expression" dxfId="5993" priority="2848">
      <formula>D2667&lt;&gt;""</formula>
    </cfRule>
  </conditionalFormatting>
  <conditionalFormatting sqref="D2671">
    <cfRule type="expression" dxfId="5992" priority="2847">
      <formula>D2667&lt;&gt;""</formula>
    </cfRule>
  </conditionalFormatting>
  <conditionalFormatting sqref="C2667:C2671">
    <cfRule type="expression" dxfId="5991" priority="2856">
      <formula>D2667&lt;&gt;""</formula>
    </cfRule>
  </conditionalFormatting>
  <conditionalFormatting sqref="E2667:E2671">
    <cfRule type="expression" dxfId="5990" priority="2855">
      <formula>F2667&lt;&gt;""</formula>
    </cfRule>
  </conditionalFormatting>
  <conditionalFormatting sqref="G2667:G2671">
    <cfRule type="expression" dxfId="5989" priority="2854">
      <formula>H2667&lt;&gt;""</formula>
    </cfRule>
  </conditionalFormatting>
  <conditionalFormatting sqref="I2667:I2671">
    <cfRule type="expression" dxfId="5988" priority="2853">
      <formula>B2675&lt;&gt;""</formula>
    </cfRule>
  </conditionalFormatting>
  <conditionalFormatting sqref="B2667:B2671">
    <cfRule type="expression" dxfId="5987" priority="2852">
      <formula>B2667&lt;&gt;""</formula>
    </cfRule>
  </conditionalFormatting>
  <conditionalFormatting sqref="B2667">
    <cfRule type="expression" dxfId="5986" priority="2851">
      <formula>B2667&lt;&gt;""</formula>
    </cfRule>
  </conditionalFormatting>
  <conditionalFormatting sqref="B2671">
    <cfRule type="expression" dxfId="5985" priority="2850">
      <formula>B2667&lt;&gt;""</formula>
    </cfRule>
  </conditionalFormatting>
  <conditionalFormatting sqref="F2667:F2671">
    <cfRule type="expression" dxfId="5984" priority="2846">
      <formula>F2667&lt;&gt;""</formula>
    </cfRule>
  </conditionalFormatting>
  <conditionalFormatting sqref="F2667">
    <cfRule type="expression" dxfId="5983" priority="2845">
      <formula>F2667&lt;&gt;""</formula>
    </cfRule>
  </conditionalFormatting>
  <conditionalFormatting sqref="F2671">
    <cfRule type="expression" dxfId="5982" priority="2844">
      <formula>F2667&lt;&gt;""</formula>
    </cfRule>
  </conditionalFormatting>
  <conditionalFormatting sqref="H2667:H2671">
    <cfRule type="expression" dxfId="5981" priority="2843">
      <formula>H2667&lt;&gt;""</formula>
    </cfRule>
  </conditionalFormatting>
  <conditionalFormatting sqref="H2667">
    <cfRule type="expression" dxfId="5980" priority="2842">
      <formula>H2667&lt;&gt;""</formula>
    </cfRule>
  </conditionalFormatting>
  <conditionalFormatting sqref="H2671">
    <cfRule type="expression" dxfId="5979" priority="2841">
      <formula>H2667&lt;&gt;""</formula>
    </cfRule>
  </conditionalFormatting>
  <conditionalFormatting sqref="F2659:F2663">
    <cfRule type="expression" dxfId="5978" priority="2840">
      <formula>F2659&lt;&gt;""</formula>
    </cfRule>
  </conditionalFormatting>
  <conditionalFormatting sqref="F2659">
    <cfRule type="expression" dxfId="5977" priority="2839">
      <formula>F2659&lt;&gt;""</formula>
    </cfRule>
  </conditionalFormatting>
  <conditionalFormatting sqref="F2663">
    <cfRule type="expression" dxfId="5976" priority="2838">
      <formula>F2659&lt;&gt;""</formula>
    </cfRule>
  </conditionalFormatting>
  <conditionalFormatting sqref="E2659:E2663">
    <cfRule type="expression" dxfId="5975" priority="2837">
      <formula>F2659&lt;&gt;""</formula>
    </cfRule>
  </conditionalFormatting>
  <conditionalFormatting sqref="G2659:G2663">
    <cfRule type="expression" dxfId="5974" priority="2836">
      <formula>H2659&lt;&gt;""</formula>
    </cfRule>
  </conditionalFormatting>
  <conditionalFormatting sqref="I2659:I2663">
    <cfRule type="expression" dxfId="5973" priority="2835">
      <formula>B2667&lt;&gt;""</formula>
    </cfRule>
  </conditionalFormatting>
  <conditionalFormatting sqref="H2659:H2663">
    <cfRule type="expression" dxfId="5972" priority="2834">
      <formula>H2659&lt;&gt;""</formula>
    </cfRule>
  </conditionalFormatting>
  <conditionalFormatting sqref="H2659">
    <cfRule type="expression" dxfId="5971" priority="2833">
      <formula>H2659&lt;&gt;""</formula>
    </cfRule>
  </conditionalFormatting>
  <conditionalFormatting sqref="H2663">
    <cfRule type="expression" dxfId="5970" priority="2832">
      <formula>H2659&lt;&gt;""</formula>
    </cfRule>
  </conditionalFormatting>
  <conditionalFormatting sqref="I2672:I2673 C2673:H2673 B2673:B2674">
    <cfRule type="expression" dxfId="5969" priority="2831">
      <formula>$B2675&lt;&gt;""</formula>
    </cfRule>
  </conditionalFormatting>
  <conditionalFormatting sqref="B2675:B2679">
    <cfRule type="expression" dxfId="5968" priority="2830">
      <formula>B2675&lt;&gt;""</formula>
    </cfRule>
  </conditionalFormatting>
  <conditionalFormatting sqref="B2675">
    <cfRule type="expression" dxfId="5967" priority="2829">
      <formula>B2675&lt;&gt;""</formula>
    </cfRule>
  </conditionalFormatting>
  <conditionalFormatting sqref="B2679">
    <cfRule type="expression" dxfId="5966" priority="2828">
      <formula>B2675&lt;&gt;""</formula>
    </cfRule>
  </conditionalFormatting>
  <conditionalFormatting sqref="F2675:F2679">
    <cfRule type="expression" dxfId="5965" priority="2824">
      <formula>F2675&lt;&gt;""</formula>
    </cfRule>
  </conditionalFormatting>
  <conditionalFormatting sqref="F2675">
    <cfRule type="expression" dxfId="5964" priority="2823">
      <formula>F2675&lt;&gt;""</formula>
    </cfRule>
  </conditionalFormatting>
  <conditionalFormatting sqref="F2679">
    <cfRule type="expression" dxfId="5963" priority="2822">
      <formula>F2675&lt;&gt;""</formula>
    </cfRule>
  </conditionalFormatting>
  <conditionalFormatting sqref="C2675:C2679">
    <cfRule type="expression" dxfId="5962" priority="2821">
      <formula>D2675&lt;&gt;""</formula>
    </cfRule>
  </conditionalFormatting>
  <conditionalFormatting sqref="E2675:E2679">
    <cfRule type="expression" dxfId="5961" priority="2820">
      <formula>F2675&lt;&gt;""</formula>
    </cfRule>
  </conditionalFormatting>
  <conditionalFormatting sqref="G2675:G2679">
    <cfRule type="expression" dxfId="5960" priority="2819">
      <formula>H2675&lt;&gt;""</formula>
    </cfRule>
  </conditionalFormatting>
  <conditionalFormatting sqref="H2675:H2679">
    <cfRule type="expression" dxfId="5959" priority="2818">
      <formula>H2675&lt;&gt;""</formula>
    </cfRule>
  </conditionalFormatting>
  <conditionalFormatting sqref="H2675">
    <cfRule type="expression" dxfId="5958" priority="2817">
      <formula>H2675&lt;&gt;""</formula>
    </cfRule>
  </conditionalFormatting>
  <conditionalFormatting sqref="H2679">
    <cfRule type="expression" dxfId="5957" priority="2816">
      <formula>H2675&lt;&gt;""</formula>
    </cfRule>
  </conditionalFormatting>
  <conditionalFormatting sqref="D2647:D2651">
    <cfRule type="expression" dxfId="5956" priority="2785">
      <formula>D2647&lt;&gt;""</formula>
    </cfRule>
  </conditionalFormatting>
  <conditionalFormatting sqref="D2647">
    <cfRule type="expression" dxfId="5955" priority="2784">
      <formula>D2647&lt;&gt;""</formula>
    </cfRule>
  </conditionalFormatting>
  <conditionalFormatting sqref="D2651">
    <cfRule type="expression" dxfId="5954" priority="2783">
      <formula>D2647&lt;&gt;""</formula>
    </cfRule>
  </conditionalFormatting>
  <conditionalFormatting sqref="I2636:I2637 C2637:H2637 B2637:B2638">
    <cfRule type="expression" dxfId="5953" priority="2773">
      <formula>$B2639&lt;&gt;""</formula>
    </cfRule>
  </conditionalFormatting>
  <conditionalFormatting sqref="D2639:D2643">
    <cfRule type="expression" dxfId="5952" priority="2807">
      <formula>D2639&lt;&gt;""</formula>
    </cfRule>
  </conditionalFormatting>
  <conditionalFormatting sqref="D2639">
    <cfRule type="expression" dxfId="5951" priority="2806">
      <formula>D2639&lt;&gt;""</formula>
    </cfRule>
  </conditionalFormatting>
  <conditionalFormatting sqref="D2643">
    <cfRule type="expression" dxfId="5950" priority="2805">
      <formula>D2639&lt;&gt;""</formula>
    </cfRule>
  </conditionalFormatting>
  <conditionalFormatting sqref="C2639:C2643">
    <cfRule type="expression" dxfId="5949" priority="2814">
      <formula>D2639&lt;&gt;""</formula>
    </cfRule>
  </conditionalFormatting>
  <conditionalFormatting sqref="E2639:E2643">
    <cfRule type="expression" dxfId="5948" priority="2813">
      <formula>F2639&lt;&gt;""</formula>
    </cfRule>
  </conditionalFormatting>
  <conditionalFormatting sqref="G2639:G2643">
    <cfRule type="expression" dxfId="5947" priority="2812">
      <formula>H2639&lt;&gt;""</formula>
    </cfRule>
  </conditionalFormatting>
  <conditionalFormatting sqref="I2639:I2643">
    <cfRule type="expression" dxfId="5946" priority="2811">
      <formula>B2647&lt;&gt;""</formula>
    </cfRule>
  </conditionalFormatting>
  <conditionalFormatting sqref="B2639:B2643">
    <cfRule type="expression" dxfId="5945" priority="2810">
      <formula>B2639&lt;&gt;""</formula>
    </cfRule>
  </conditionalFormatting>
  <conditionalFormatting sqref="B2639">
    <cfRule type="expression" dxfId="5944" priority="2809">
      <formula>B2639&lt;&gt;""</formula>
    </cfRule>
  </conditionalFormatting>
  <conditionalFormatting sqref="B2643">
    <cfRule type="expression" dxfId="5943" priority="2808">
      <formula>B2639&lt;&gt;""</formula>
    </cfRule>
  </conditionalFormatting>
  <conditionalFormatting sqref="F2639:F2643">
    <cfRule type="expression" dxfId="5942" priority="2804">
      <formula>F2639&lt;&gt;""</formula>
    </cfRule>
  </conditionalFormatting>
  <conditionalFormatting sqref="F2639">
    <cfRule type="expression" dxfId="5941" priority="2803">
      <formula>F2639&lt;&gt;""</formula>
    </cfRule>
  </conditionalFormatting>
  <conditionalFormatting sqref="F2643">
    <cfRule type="expression" dxfId="5940" priority="2802">
      <formula>F2639&lt;&gt;""</formula>
    </cfRule>
  </conditionalFormatting>
  <conditionalFormatting sqref="H2639:H2643">
    <cfRule type="expression" dxfId="5939" priority="2801">
      <formula>H2639&lt;&gt;""</formula>
    </cfRule>
  </conditionalFormatting>
  <conditionalFormatting sqref="H2639">
    <cfRule type="expression" dxfId="5938" priority="2800">
      <formula>H2639&lt;&gt;""</formula>
    </cfRule>
  </conditionalFormatting>
  <conditionalFormatting sqref="H2643">
    <cfRule type="expression" dxfId="5937" priority="2799">
      <formula>H2639&lt;&gt;""</formula>
    </cfRule>
  </conditionalFormatting>
  <conditionalFormatting sqref="F2631:F2635">
    <cfRule type="expression" dxfId="5936" priority="2798">
      <formula>F2631&lt;&gt;""</formula>
    </cfRule>
  </conditionalFormatting>
  <conditionalFormatting sqref="F2631">
    <cfRule type="expression" dxfId="5935" priority="2797">
      <formula>F2631&lt;&gt;""</formula>
    </cfRule>
  </conditionalFormatting>
  <conditionalFormatting sqref="F2635">
    <cfRule type="expression" dxfId="5934" priority="2796">
      <formula>F2631&lt;&gt;""</formula>
    </cfRule>
  </conditionalFormatting>
  <conditionalFormatting sqref="E2631:E2635">
    <cfRule type="expression" dxfId="5933" priority="2795">
      <formula>F2631&lt;&gt;""</formula>
    </cfRule>
  </conditionalFormatting>
  <conditionalFormatting sqref="G2631:G2635">
    <cfRule type="expression" dxfId="5932" priority="2794">
      <formula>H2631&lt;&gt;""</formula>
    </cfRule>
  </conditionalFormatting>
  <conditionalFormatting sqref="I2631:I2635">
    <cfRule type="expression" dxfId="5931" priority="2793">
      <formula>B2639&lt;&gt;""</formula>
    </cfRule>
  </conditionalFormatting>
  <conditionalFormatting sqref="H2631:H2635">
    <cfRule type="expression" dxfId="5930" priority="2792">
      <formula>H2631&lt;&gt;""</formula>
    </cfRule>
  </conditionalFormatting>
  <conditionalFormatting sqref="H2631">
    <cfRule type="expression" dxfId="5929" priority="2791">
      <formula>H2631&lt;&gt;""</formula>
    </cfRule>
  </conditionalFormatting>
  <conditionalFormatting sqref="H2635">
    <cfRule type="expression" dxfId="5928" priority="2790">
      <formula>H2631&lt;&gt;""</formula>
    </cfRule>
  </conditionalFormatting>
  <conditionalFormatting sqref="I2644:I2645 C2645:H2645 B2645:B2646">
    <cfRule type="expression" dxfId="5927" priority="2789">
      <formula>$B2647&lt;&gt;""</formula>
    </cfRule>
  </conditionalFormatting>
  <conditionalFormatting sqref="B2647:B2651">
    <cfRule type="expression" dxfId="5926" priority="2788">
      <formula>B2647&lt;&gt;""</formula>
    </cfRule>
  </conditionalFormatting>
  <conditionalFormatting sqref="B2647">
    <cfRule type="expression" dxfId="5925" priority="2787">
      <formula>B2647&lt;&gt;""</formula>
    </cfRule>
  </conditionalFormatting>
  <conditionalFormatting sqref="B2651">
    <cfRule type="expression" dxfId="5924" priority="2786">
      <formula>B2647&lt;&gt;""</formula>
    </cfRule>
  </conditionalFormatting>
  <conditionalFormatting sqref="F2647:F2651">
    <cfRule type="expression" dxfId="5923" priority="2782">
      <formula>F2647&lt;&gt;""</formula>
    </cfRule>
  </conditionalFormatting>
  <conditionalFormatting sqref="F2647">
    <cfRule type="expression" dxfId="5922" priority="2781">
      <formula>F2647&lt;&gt;""</formula>
    </cfRule>
  </conditionalFormatting>
  <conditionalFormatting sqref="F2651">
    <cfRule type="expression" dxfId="5921" priority="2780">
      <formula>F2647&lt;&gt;""</formula>
    </cfRule>
  </conditionalFormatting>
  <conditionalFormatting sqref="C2647:C2651">
    <cfRule type="expression" dxfId="5920" priority="2779">
      <formula>D2647&lt;&gt;""</formula>
    </cfRule>
  </conditionalFormatting>
  <conditionalFormatting sqref="E2647:E2651">
    <cfRule type="expression" dxfId="5919" priority="2778">
      <formula>F2647&lt;&gt;""</formula>
    </cfRule>
  </conditionalFormatting>
  <conditionalFormatting sqref="G2647:G2651">
    <cfRule type="expression" dxfId="5918" priority="2777">
      <formula>H2647&lt;&gt;""</formula>
    </cfRule>
  </conditionalFormatting>
  <conditionalFormatting sqref="H2647:H2651">
    <cfRule type="expression" dxfId="5917" priority="2776">
      <formula>H2647&lt;&gt;""</formula>
    </cfRule>
  </conditionalFormatting>
  <conditionalFormatting sqref="H2647">
    <cfRule type="expression" dxfId="5916" priority="2775">
      <formula>H2647&lt;&gt;""</formula>
    </cfRule>
  </conditionalFormatting>
  <conditionalFormatting sqref="H2651">
    <cfRule type="expression" dxfId="5915" priority="2774">
      <formula>H2647&lt;&gt;""</formula>
    </cfRule>
  </conditionalFormatting>
  <conditionalFormatting sqref="D2619:D2623">
    <cfRule type="expression" dxfId="5914" priority="2743">
      <formula>D2619&lt;&gt;""</formula>
    </cfRule>
  </conditionalFormatting>
  <conditionalFormatting sqref="D2619">
    <cfRule type="expression" dxfId="5913" priority="2742">
      <formula>D2619&lt;&gt;""</formula>
    </cfRule>
  </conditionalFormatting>
  <conditionalFormatting sqref="D2623">
    <cfRule type="expression" dxfId="5912" priority="2741">
      <formula>D2619&lt;&gt;""</formula>
    </cfRule>
  </conditionalFormatting>
  <conditionalFormatting sqref="I2608:I2609 C2609:H2609 B2609:B2610">
    <cfRule type="expression" dxfId="5911" priority="2731">
      <formula>$B2611&lt;&gt;""</formula>
    </cfRule>
  </conditionalFormatting>
  <conditionalFormatting sqref="D2611:D2615">
    <cfRule type="expression" dxfId="5910" priority="2765">
      <formula>D2611&lt;&gt;""</formula>
    </cfRule>
  </conditionalFormatting>
  <conditionalFormatting sqref="D2611">
    <cfRule type="expression" dxfId="5909" priority="2764">
      <formula>D2611&lt;&gt;""</formula>
    </cfRule>
  </conditionalFormatting>
  <conditionalFormatting sqref="D2615">
    <cfRule type="expression" dxfId="5908" priority="2763">
      <formula>D2611&lt;&gt;""</formula>
    </cfRule>
  </conditionalFormatting>
  <conditionalFormatting sqref="C2611:C2615">
    <cfRule type="expression" dxfId="5907" priority="2772">
      <formula>D2611&lt;&gt;""</formula>
    </cfRule>
  </conditionalFormatting>
  <conditionalFormatting sqref="E2611:E2615">
    <cfRule type="expression" dxfId="5906" priority="2771">
      <formula>F2611&lt;&gt;""</formula>
    </cfRule>
  </conditionalFormatting>
  <conditionalFormatting sqref="G2611:G2615">
    <cfRule type="expression" dxfId="5905" priority="2770">
      <formula>H2611&lt;&gt;""</formula>
    </cfRule>
  </conditionalFormatting>
  <conditionalFormatting sqref="I2611:I2615">
    <cfRule type="expression" dxfId="5904" priority="2769">
      <formula>B2619&lt;&gt;""</formula>
    </cfRule>
  </conditionalFormatting>
  <conditionalFormatting sqref="B2611:B2615">
    <cfRule type="expression" dxfId="5903" priority="2768">
      <formula>B2611&lt;&gt;""</formula>
    </cfRule>
  </conditionalFormatting>
  <conditionalFormatting sqref="B2611">
    <cfRule type="expression" dxfId="5902" priority="2767">
      <formula>B2611&lt;&gt;""</formula>
    </cfRule>
  </conditionalFormatting>
  <conditionalFormatting sqref="B2615">
    <cfRule type="expression" dxfId="5901" priority="2766">
      <formula>B2611&lt;&gt;""</formula>
    </cfRule>
  </conditionalFormatting>
  <conditionalFormatting sqref="F2611:F2615">
    <cfRule type="expression" dxfId="5900" priority="2762">
      <formula>F2611&lt;&gt;""</formula>
    </cfRule>
  </conditionalFormatting>
  <conditionalFormatting sqref="F2611">
    <cfRule type="expression" dxfId="5899" priority="2761">
      <formula>F2611&lt;&gt;""</formula>
    </cfRule>
  </conditionalFormatting>
  <conditionalFormatting sqref="F2615">
    <cfRule type="expression" dxfId="5898" priority="2760">
      <formula>F2611&lt;&gt;""</formula>
    </cfRule>
  </conditionalFormatting>
  <conditionalFormatting sqref="H2611:H2615">
    <cfRule type="expression" dxfId="5897" priority="2759">
      <formula>H2611&lt;&gt;""</formula>
    </cfRule>
  </conditionalFormatting>
  <conditionalFormatting sqref="H2611">
    <cfRule type="expression" dxfId="5896" priority="2758">
      <formula>H2611&lt;&gt;""</formula>
    </cfRule>
  </conditionalFormatting>
  <conditionalFormatting sqref="H2615">
    <cfRule type="expression" dxfId="5895" priority="2757">
      <formula>H2611&lt;&gt;""</formula>
    </cfRule>
  </conditionalFormatting>
  <conditionalFormatting sqref="F2603:F2607">
    <cfRule type="expression" dxfId="5894" priority="2756">
      <formula>F2603&lt;&gt;""</formula>
    </cfRule>
  </conditionalFormatting>
  <conditionalFormatting sqref="F2603">
    <cfRule type="expression" dxfId="5893" priority="2755">
      <formula>F2603&lt;&gt;""</formula>
    </cfRule>
  </conditionalFormatting>
  <conditionalFormatting sqref="F2607">
    <cfRule type="expression" dxfId="5892" priority="2754">
      <formula>F2603&lt;&gt;""</formula>
    </cfRule>
  </conditionalFormatting>
  <conditionalFormatting sqref="E2603:E2607">
    <cfRule type="expression" dxfId="5891" priority="2753">
      <formula>F2603&lt;&gt;""</formula>
    </cfRule>
  </conditionalFormatting>
  <conditionalFormatting sqref="G2603:G2607">
    <cfRule type="expression" dxfId="5890" priority="2752">
      <formula>H2603&lt;&gt;""</formula>
    </cfRule>
  </conditionalFormatting>
  <conditionalFormatting sqref="I2603:I2607">
    <cfRule type="expression" dxfId="5889" priority="2751">
      <formula>B2611&lt;&gt;""</formula>
    </cfRule>
  </conditionalFormatting>
  <conditionalFormatting sqref="H2603:H2607">
    <cfRule type="expression" dxfId="5888" priority="2750">
      <formula>H2603&lt;&gt;""</formula>
    </cfRule>
  </conditionalFormatting>
  <conditionalFormatting sqref="H2603">
    <cfRule type="expression" dxfId="5887" priority="2749">
      <formula>H2603&lt;&gt;""</formula>
    </cfRule>
  </conditionalFormatting>
  <conditionalFormatting sqref="H2607">
    <cfRule type="expression" dxfId="5886" priority="2748">
      <formula>H2603&lt;&gt;""</formula>
    </cfRule>
  </conditionalFormatting>
  <conditionalFormatting sqref="I2616:I2617 C2617:H2617 B2617:B2618">
    <cfRule type="expression" dxfId="5885" priority="2747">
      <formula>$B2619&lt;&gt;""</formula>
    </cfRule>
  </conditionalFormatting>
  <conditionalFormatting sqref="B2619:B2623">
    <cfRule type="expression" dxfId="5884" priority="2746">
      <formula>B2619&lt;&gt;""</formula>
    </cfRule>
  </conditionalFormatting>
  <conditionalFormatting sqref="B2619">
    <cfRule type="expression" dxfId="5883" priority="2745">
      <formula>B2619&lt;&gt;""</formula>
    </cfRule>
  </conditionalFormatting>
  <conditionalFormatting sqref="B2623">
    <cfRule type="expression" dxfId="5882" priority="2744">
      <formula>B2619&lt;&gt;""</formula>
    </cfRule>
  </conditionalFormatting>
  <conditionalFormatting sqref="F2619:F2623">
    <cfRule type="expression" dxfId="5881" priority="2740">
      <formula>F2619&lt;&gt;""</formula>
    </cfRule>
  </conditionalFormatting>
  <conditionalFormatting sqref="F2619">
    <cfRule type="expression" dxfId="5880" priority="2739">
      <formula>F2619&lt;&gt;""</formula>
    </cfRule>
  </conditionalFormatting>
  <conditionalFormatting sqref="F2623">
    <cfRule type="expression" dxfId="5879" priority="2738">
      <formula>F2619&lt;&gt;""</formula>
    </cfRule>
  </conditionalFormatting>
  <conditionalFormatting sqref="C2619:C2623">
    <cfRule type="expression" dxfId="5878" priority="2737">
      <formula>D2619&lt;&gt;""</formula>
    </cfRule>
  </conditionalFormatting>
  <conditionalFormatting sqref="E2619:E2623">
    <cfRule type="expression" dxfId="5877" priority="2736">
      <formula>F2619&lt;&gt;""</formula>
    </cfRule>
  </conditionalFormatting>
  <conditionalFormatting sqref="G2619:G2623">
    <cfRule type="expression" dxfId="5876" priority="2735">
      <formula>H2619&lt;&gt;""</formula>
    </cfRule>
  </conditionalFormatting>
  <conditionalFormatting sqref="H2619:H2623">
    <cfRule type="expression" dxfId="5875" priority="2734">
      <formula>H2619&lt;&gt;""</formula>
    </cfRule>
  </conditionalFormatting>
  <conditionalFormatting sqref="H2619">
    <cfRule type="expression" dxfId="5874" priority="2733">
      <formula>H2619&lt;&gt;""</formula>
    </cfRule>
  </conditionalFormatting>
  <conditionalFormatting sqref="H2623">
    <cfRule type="expression" dxfId="5873" priority="2732">
      <formula>H2619&lt;&gt;""</formula>
    </cfRule>
  </conditionalFormatting>
  <conditionalFormatting sqref="D2591:D2595">
    <cfRule type="expression" dxfId="5872" priority="2701">
      <formula>D2591&lt;&gt;""</formula>
    </cfRule>
  </conditionalFormatting>
  <conditionalFormatting sqref="D2591">
    <cfRule type="expression" dxfId="5871" priority="2700">
      <formula>D2591&lt;&gt;""</formula>
    </cfRule>
  </conditionalFormatting>
  <conditionalFormatting sqref="D2595">
    <cfRule type="expression" dxfId="5870" priority="2699">
      <formula>D2591&lt;&gt;""</formula>
    </cfRule>
  </conditionalFormatting>
  <conditionalFormatting sqref="I2580:I2581 C2581:H2581 B2581:B2582">
    <cfRule type="expression" dxfId="5869" priority="2689">
      <formula>$B2583&lt;&gt;""</formula>
    </cfRule>
  </conditionalFormatting>
  <conditionalFormatting sqref="D2583:D2587">
    <cfRule type="expression" dxfId="5868" priority="2723">
      <formula>D2583&lt;&gt;""</formula>
    </cfRule>
  </conditionalFormatting>
  <conditionalFormatting sqref="D2583">
    <cfRule type="expression" dxfId="5867" priority="2722">
      <formula>D2583&lt;&gt;""</formula>
    </cfRule>
  </conditionalFormatting>
  <conditionalFormatting sqref="D2587">
    <cfRule type="expression" dxfId="5866" priority="2721">
      <formula>D2583&lt;&gt;""</formula>
    </cfRule>
  </conditionalFormatting>
  <conditionalFormatting sqref="C2583:C2587">
    <cfRule type="expression" dxfId="5865" priority="2730">
      <formula>D2583&lt;&gt;""</formula>
    </cfRule>
  </conditionalFormatting>
  <conditionalFormatting sqref="E2583:E2587">
    <cfRule type="expression" dxfId="5864" priority="2729">
      <formula>F2583&lt;&gt;""</formula>
    </cfRule>
  </conditionalFormatting>
  <conditionalFormatting sqref="G2583:G2587">
    <cfRule type="expression" dxfId="5863" priority="2728">
      <formula>H2583&lt;&gt;""</formula>
    </cfRule>
  </conditionalFormatting>
  <conditionalFormatting sqref="I2583:I2587">
    <cfRule type="expression" dxfId="5862" priority="2727">
      <formula>B2591&lt;&gt;""</formula>
    </cfRule>
  </conditionalFormatting>
  <conditionalFormatting sqref="B2583:B2587">
    <cfRule type="expression" dxfId="5861" priority="2726">
      <formula>B2583&lt;&gt;""</formula>
    </cfRule>
  </conditionalFormatting>
  <conditionalFormatting sqref="B2583">
    <cfRule type="expression" dxfId="5860" priority="2725">
      <formula>B2583&lt;&gt;""</formula>
    </cfRule>
  </conditionalFormatting>
  <conditionalFormatting sqref="B2587">
    <cfRule type="expression" dxfId="5859" priority="2724">
      <formula>B2583&lt;&gt;""</formula>
    </cfRule>
  </conditionalFormatting>
  <conditionalFormatting sqref="F2583:F2587">
    <cfRule type="expression" dxfId="5858" priority="2720">
      <formula>F2583&lt;&gt;""</formula>
    </cfRule>
  </conditionalFormatting>
  <conditionalFormatting sqref="F2583">
    <cfRule type="expression" dxfId="5857" priority="2719">
      <formula>F2583&lt;&gt;""</formula>
    </cfRule>
  </conditionalFormatting>
  <conditionalFormatting sqref="F2587">
    <cfRule type="expression" dxfId="5856" priority="2718">
      <formula>F2583&lt;&gt;""</formula>
    </cfRule>
  </conditionalFormatting>
  <conditionalFormatting sqref="H2583:H2587">
    <cfRule type="expression" dxfId="5855" priority="2717">
      <formula>H2583&lt;&gt;""</formula>
    </cfRule>
  </conditionalFormatting>
  <conditionalFormatting sqref="H2583">
    <cfRule type="expression" dxfId="5854" priority="2716">
      <formula>H2583&lt;&gt;""</formula>
    </cfRule>
  </conditionalFormatting>
  <conditionalFormatting sqref="H2587">
    <cfRule type="expression" dxfId="5853" priority="2715">
      <formula>H2583&lt;&gt;""</formula>
    </cfRule>
  </conditionalFormatting>
  <conditionalFormatting sqref="F2575:F2579">
    <cfRule type="expression" dxfId="5852" priority="2714">
      <formula>F2575&lt;&gt;""</formula>
    </cfRule>
  </conditionalFormatting>
  <conditionalFormatting sqref="F2575">
    <cfRule type="expression" dxfId="5851" priority="2713">
      <formula>F2575&lt;&gt;""</formula>
    </cfRule>
  </conditionalFormatting>
  <conditionalFormatting sqref="F2579">
    <cfRule type="expression" dxfId="5850" priority="2712">
      <formula>F2575&lt;&gt;""</formula>
    </cfRule>
  </conditionalFormatting>
  <conditionalFormatting sqref="E2575:E2579">
    <cfRule type="expression" dxfId="5849" priority="2711">
      <formula>F2575&lt;&gt;""</formula>
    </cfRule>
  </conditionalFormatting>
  <conditionalFormatting sqref="G2575:G2579">
    <cfRule type="expression" dxfId="5848" priority="2710">
      <formula>H2575&lt;&gt;""</formula>
    </cfRule>
  </conditionalFormatting>
  <conditionalFormatting sqref="I2575:I2579">
    <cfRule type="expression" dxfId="5847" priority="2709">
      <formula>B2583&lt;&gt;""</formula>
    </cfRule>
  </conditionalFormatting>
  <conditionalFormatting sqref="H2575:H2579">
    <cfRule type="expression" dxfId="5846" priority="2708">
      <formula>H2575&lt;&gt;""</formula>
    </cfRule>
  </conditionalFormatting>
  <conditionalFormatting sqref="H2575">
    <cfRule type="expression" dxfId="5845" priority="2707">
      <formula>H2575&lt;&gt;""</formula>
    </cfRule>
  </conditionalFormatting>
  <conditionalFormatting sqref="H2579">
    <cfRule type="expression" dxfId="5844" priority="2706">
      <formula>H2575&lt;&gt;""</formula>
    </cfRule>
  </conditionalFormatting>
  <conditionalFormatting sqref="I2588:I2589 C2589:H2589 B2589:B2590">
    <cfRule type="expression" dxfId="5843" priority="2705">
      <formula>$B2591&lt;&gt;""</formula>
    </cfRule>
  </conditionalFormatting>
  <conditionalFormatting sqref="B2591:B2595">
    <cfRule type="expression" dxfId="5842" priority="2704">
      <formula>B2591&lt;&gt;""</formula>
    </cfRule>
  </conditionalFormatting>
  <conditionalFormatting sqref="B2591">
    <cfRule type="expression" dxfId="5841" priority="2703">
      <formula>B2591&lt;&gt;""</formula>
    </cfRule>
  </conditionalFormatting>
  <conditionalFormatting sqref="B2595">
    <cfRule type="expression" dxfId="5840" priority="2702">
      <formula>B2591&lt;&gt;""</formula>
    </cfRule>
  </conditionalFormatting>
  <conditionalFormatting sqref="F2591:F2595">
    <cfRule type="expression" dxfId="5839" priority="2698">
      <formula>F2591&lt;&gt;""</formula>
    </cfRule>
  </conditionalFormatting>
  <conditionalFormatting sqref="F2591">
    <cfRule type="expression" dxfId="5838" priority="2697">
      <formula>F2591&lt;&gt;""</formula>
    </cfRule>
  </conditionalFormatting>
  <conditionalFormatting sqref="F2595">
    <cfRule type="expression" dxfId="5837" priority="2696">
      <formula>F2591&lt;&gt;""</formula>
    </cfRule>
  </conditionalFormatting>
  <conditionalFormatting sqref="C2591:C2595">
    <cfRule type="expression" dxfId="5836" priority="2695">
      <formula>D2591&lt;&gt;""</formula>
    </cfRule>
  </conditionalFormatting>
  <conditionalFormatting sqref="E2591:E2595">
    <cfRule type="expression" dxfId="5835" priority="2694">
      <formula>F2591&lt;&gt;""</formula>
    </cfRule>
  </conditionalFormatting>
  <conditionalFormatting sqref="G2591:G2595">
    <cfRule type="expression" dxfId="5834" priority="2693">
      <formula>H2591&lt;&gt;""</formula>
    </cfRule>
  </conditionalFormatting>
  <conditionalFormatting sqref="H2591:H2595">
    <cfRule type="expression" dxfId="5833" priority="2692">
      <formula>H2591&lt;&gt;""</formula>
    </cfRule>
  </conditionalFormatting>
  <conditionalFormatting sqref="H2591">
    <cfRule type="expression" dxfId="5832" priority="2691">
      <formula>H2591&lt;&gt;""</formula>
    </cfRule>
  </conditionalFormatting>
  <conditionalFormatting sqref="H2595">
    <cfRule type="expression" dxfId="5831" priority="2690">
      <formula>H2591&lt;&gt;""</formula>
    </cfRule>
  </conditionalFormatting>
  <conditionalFormatting sqref="D2563:D2567">
    <cfRule type="expression" dxfId="5830" priority="2659">
      <formula>D2563&lt;&gt;""</formula>
    </cfRule>
  </conditionalFormatting>
  <conditionalFormatting sqref="D2563">
    <cfRule type="expression" dxfId="5829" priority="2658">
      <formula>D2563&lt;&gt;""</formula>
    </cfRule>
  </conditionalFormatting>
  <conditionalFormatting sqref="D2567">
    <cfRule type="expression" dxfId="5828" priority="2657">
      <formula>D2563&lt;&gt;""</formula>
    </cfRule>
  </conditionalFormatting>
  <conditionalFormatting sqref="I2552:I2553 C2553:H2553 B2553:B2554">
    <cfRule type="expression" dxfId="5827" priority="2647">
      <formula>$B2555&lt;&gt;""</formula>
    </cfRule>
  </conditionalFormatting>
  <conditionalFormatting sqref="D2555:D2559">
    <cfRule type="expression" dxfId="5826" priority="2681">
      <formula>D2555&lt;&gt;""</formula>
    </cfRule>
  </conditionalFormatting>
  <conditionalFormatting sqref="D2555">
    <cfRule type="expression" dxfId="5825" priority="2680">
      <formula>D2555&lt;&gt;""</formula>
    </cfRule>
  </conditionalFormatting>
  <conditionalFormatting sqref="D2559">
    <cfRule type="expression" dxfId="5824" priority="2679">
      <formula>D2555&lt;&gt;""</formula>
    </cfRule>
  </conditionalFormatting>
  <conditionalFormatting sqref="C2555:C2559">
    <cfRule type="expression" dxfId="5823" priority="2688">
      <formula>D2555&lt;&gt;""</formula>
    </cfRule>
  </conditionalFormatting>
  <conditionalFormatting sqref="E2555:E2559">
    <cfRule type="expression" dxfId="5822" priority="2687">
      <formula>F2555&lt;&gt;""</formula>
    </cfRule>
  </conditionalFormatting>
  <conditionalFormatting sqref="G2555:G2559">
    <cfRule type="expression" dxfId="5821" priority="2686">
      <formula>H2555&lt;&gt;""</formula>
    </cfRule>
  </conditionalFormatting>
  <conditionalFormatting sqref="I2555:I2559">
    <cfRule type="expression" dxfId="5820" priority="2685">
      <formula>B2563&lt;&gt;""</formula>
    </cfRule>
  </conditionalFormatting>
  <conditionalFormatting sqref="B2555:B2559">
    <cfRule type="expression" dxfId="5819" priority="2684">
      <formula>B2555&lt;&gt;""</formula>
    </cfRule>
  </conditionalFormatting>
  <conditionalFormatting sqref="B2555">
    <cfRule type="expression" dxfId="5818" priority="2683">
      <formula>B2555&lt;&gt;""</formula>
    </cfRule>
  </conditionalFormatting>
  <conditionalFormatting sqref="B2559">
    <cfRule type="expression" dxfId="5817" priority="2682">
      <formula>B2555&lt;&gt;""</formula>
    </cfRule>
  </conditionalFormatting>
  <conditionalFormatting sqref="F2555:F2559">
    <cfRule type="expression" dxfId="5816" priority="2678">
      <formula>F2555&lt;&gt;""</formula>
    </cfRule>
  </conditionalFormatting>
  <conditionalFormatting sqref="F2555">
    <cfRule type="expression" dxfId="5815" priority="2677">
      <formula>F2555&lt;&gt;""</formula>
    </cfRule>
  </conditionalFormatting>
  <conditionalFormatting sqref="F2559">
    <cfRule type="expression" dxfId="5814" priority="2676">
      <formula>F2555&lt;&gt;""</formula>
    </cfRule>
  </conditionalFormatting>
  <conditionalFormatting sqref="H2555:H2559">
    <cfRule type="expression" dxfId="5813" priority="2675">
      <formula>H2555&lt;&gt;""</formula>
    </cfRule>
  </conditionalFormatting>
  <conditionalFormatting sqref="H2555">
    <cfRule type="expression" dxfId="5812" priority="2674">
      <formula>H2555&lt;&gt;""</formula>
    </cfRule>
  </conditionalFormatting>
  <conditionalFormatting sqref="H2559">
    <cfRule type="expression" dxfId="5811" priority="2673">
      <formula>H2555&lt;&gt;""</formula>
    </cfRule>
  </conditionalFormatting>
  <conditionalFormatting sqref="F2547:F2551">
    <cfRule type="expression" dxfId="5810" priority="2672">
      <formula>F2547&lt;&gt;""</formula>
    </cfRule>
  </conditionalFormatting>
  <conditionalFormatting sqref="F2547">
    <cfRule type="expression" dxfId="5809" priority="2671">
      <formula>F2547&lt;&gt;""</formula>
    </cfRule>
  </conditionalFormatting>
  <conditionalFormatting sqref="F2551">
    <cfRule type="expression" dxfId="5808" priority="2670">
      <formula>F2547&lt;&gt;""</formula>
    </cfRule>
  </conditionalFormatting>
  <conditionalFormatting sqref="E2547:E2551">
    <cfRule type="expression" dxfId="5807" priority="2669">
      <formula>F2547&lt;&gt;""</formula>
    </cfRule>
  </conditionalFormatting>
  <conditionalFormatting sqref="G2547:G2551">
    <cfRule type="expression" dxfId="5806" priority="2668">
      <formula>H2547&lt;&gt;""</formula>
    </cfRule>
  </conditionalFormatting>
  <conditionalFormatting sqref="I2547:I2551">
    <cfRule type="expression" dxfId="5805" priority="2667">
      <formula>B2555&lt;&gt;""</formula>
    </cfRule>
  </conditionalFormatting>
  <conditionalFormatting sqref="H2547:H2551">
    <cfRule type="expression" dxfId="5804" priority="2666">
      <formula>H2547&lt;&gt;""</formula>
    </cfRule>
  </conditionalFormatting>
  <conditionalFormatting sqref="H2547">
    <cfRule type="expression" dxfId="5803" priority="2665">
      <formula>H2547&lt;&gt;""</formula>
    </cfRule>
  </conditionalFormatting>
  <conditionalFormatting sqref="H2551">
    <cfRule type="expression" dxfId="5802" priority="2664">
      <formula>H2547&lt;&gt;""</formula>
    </cfRule>
  </conditionalFormatting>
  <conditionalFormatting sqref="I2560:I2561 C2561:H2561 B2561:B2562">
    <cfRule type="expression" dxfId="5801" priority="2663">
      <formula>$B2563&lt;&gt;""</formula>
    </cfRule>
  </conditionalFormatting>
  <conditionalFormatting sqref="B2563:B2567">
    <cfRule type="expression" dxfId="5800" priority="2662">
      <formula>B2563&lt;&gt;""</formula>
    </cfRule>
  </conditionalFormatting>
  <conditionalFormatting sqref="B2563">
    <cfRule type="expression" dxfId="5799" priority="2661">
      <formula>B2563&lt;&gt;""</formula>
    </cfRule>
  </conditionalFormatting>
  <conditionalFormatting sqref="B2567">
    <cfRule type="expression" dxfId="5798" priority="2660">
      <formula>B2563&lt;&gt;""</formula>
    </cfRule>
  </conditionalFormatting>
  <conditionalFormatting sqref="F2563:F2567">
    <cfRule type="expression" dxfId="5797" priority="2656">
      <formula>F2563&lt;&gt;""</formula>
    </cfRule>
  </conditionalFormatting>
  <conditionalFormatting sqref="F2563">
    <cfRule type="expression" dxfId="5796" priority="2655">
      <formula>F2563&lt;&gt;""</formula>
    </cfRule>
  </conditionalFormatting>
  <conditionalFormatting sqref="F2567">
    <cfRule type="expression" dxfId="5795" priority="2654">
      <formula>F2563&lt;&gt;""</formula>
    </cfRule>
  </conditionalFormatting>
  <conditionalFormatting sqref="C2563:C2567">
    <cfRule type="expression" dxfId="5794" priority="2653">
      <formula>D2563&lt;&gt;""</formula>
    </cfRule>
  </conditionalFormatting>
  <conditionalFormatting sqref="E2563:E2567">
    <cfRule type="expression" dxfId="5793" priority="2652">
      <formula>F2563&lt;&gt;""</formula>
    </cfRule>
  </conditionalFormatting>
  <conditionalFormatting sqref="G2563:G2567">
    <cfRule type="expression" dxfId="5792" priority="2651">
      <formula>H2563&lt;&gt;""</formula>
    </cfRule>
  </conditionalFormatting>
  <conditionalFormatting sqref="H2563:H2567">
    <cfRule type="expression" dxfId="5791" priority="2650">
      <formula>H2563&lt;&gt;""</formula>
    </cfRule>
  </conditionalFormatting>
  <conditionalFormatting sqref="H2563">
    <cfRule type="expression" dxfId="5790" priority="2649">
      <formula>H2563&lt;&gt;""</formula>
    </cfRule>
  </conditionalFormatting>
  <conditionalFormatting sqref="H2567">
    <cfRule type="expression" dxfId="5789" priority="2648">
      <formula>H2563&lt;&gt;""</formula>
    </cfRule>
  </conditionalFormatting>
  <conditionalFormatting sqref="B2547:B2551">
    <cfRule type="expression" dxfId="5788" priority="2646">
      <formula>B2547&lt;&gt;""</formula>
    </cfRule>
  </conditionalFormatting>
  <conditionalFormatting sqref="B2547">
    <cfRule type="expression" dxfId="5787" priority="2645">
      <formula>B2547&lt;&gt;""</formula>
    </cfRule>
  </conditionalFormatting>
  <conditionalFormatting sqref="B2551">
    <cfRule type="expression" dxfId="5786" priority="2644">
      <formula>B2547&lt;&gt;""</formula>
    </cfRule>
  </conditionalFormatting>
  <conditionalFormatting sqref="C2547:C2551">
    <cfRule type="expression" dxfId="5785" priority="2643">
      <formula>D2547&lt;&gt;""</formula>
    </cfRule>
  </conditionalFormatting>
  <conditionalFormatting sqref="D2547:D2551">
    <cfRule type="expression" dxfId="5784" priority="2642">
      <formula>D2547&lt;&gt;""</formula>
    </cfRule>
  </conditionalFormatting>
  <conditionalFormatting sqref="D2547">
    <cfRule type="expression" dxfId="5783" priority="2641">
      <formula>D2547&lt;&gt;""</formula>
    </cfRule>
  </conditionalFormatting>
  <conditionalFormatting sqref="D2551">
    <cfRule type="expression" dxfId="5782" priority="2640">
      <formula>D2547&lt;&gt;""</formula>
    </cfRule>
  </conditionalFormatting>
  <conditionalFormatting sqref="B2575:B2579">
    <cfRule type="expression" dxfId="5781" priority="2639">
      <formula>B2575&lt;&gt;""</formula>
    </cfRule>
  </conditionalFormatting>
  <conditionalFormatting sqref="B2575">
    <cfRule type="expression" dxfId="5780" priority="2638">
      <formula>B2575&lt;&gt;""</formula>
    </cfRule>
  </conditionalFormatting>
  <conditionalFormatting sqref="B2579">
    <cfRule type="expression" dxfId="5779" priority="2637">
      <formula>B2575&lt;&gt;""</formula>
    </cfRule>
  </conditionalFormatting>
  <conditionalFormatting sqref="C2575:C2579">
    <cfRule type="expression" dxfId="5778" priority="2636">
      <formula>D2575&lt;&gt;""</formula>
    </cfRule>
  </conditionalFormatting>
  <conditionalFormatting sqref="D2575:D2579">
    <cfRule type="expression" dxfId="5777" priority="2635">
      <formula>D2575&lt;&gt;""</formula>
    </cfRule>
  </conditionalFormatting>
  <conditionalFormatting sqref="D2575">
    <cfRule type="expression" dxfId="5776" priority="2634">
      <formula>D2575&lt;&gt;""</formula>
    </cfRule>
  </conditionalFormatting>
  <conditionalFormatting sqref="D2579">
    <cfRule type="expression" dxfId="5775" priority="2633">
      <formula>D2575&lt;&gt;""</formula>
    </cfRule>
  </conditionalFormatting>
  <conditionalFormatting sqref="B2603:B2607">
    <cfRule type="expression" dxfId="5774" priority="2632">
      <formula>B2603&lt;&gt;""</formula>
    </cfRule>
  </conditionalFormatting>
  <conditionalFormatting sqref="B2603">
    <cfRule type="expression" dxfId="5773" priority="2631">
      <formula>B2603&lt;&gt;""</formula>
    </cfRule>
  </conditionalFormatting>
  <conditionalFormatting sqref="B2607">
    <cfRule type="expression" dxfId="5772" priority="2630">
      <formula>B2603&lt;&gt;""</formula>
    </cfRule>
  </conditionalFormatting>
  <conditionalFormatting sqref="C2603:C2607">
    <cfRule type="expression" dxfId="5771" priority="2629">
      <formula>D2603&lt;&gt;""</formula>
    </cfRule>
  </conditionalFormatting>
  <conditionalFormatting sqref="D2603:D2607">
    <cfRule type="expression" dxfId="5770" priority="2628">
      <formula>D2603&lt;&gt;""</formula>
    </cfRule>
  </conditionalFormatting>
  <conditionalFormatting sqref="D2603">
    <cfRule type="expression" dxfId="5769" priority="2627">
      <formula>D2603&lt;&gt;""</formula>
    </cfRule>
  </conditionalFormatting>
  <conditionalFormatting sqref="D2607">
    <cfRule type="expression" dxfId="5768" priority="2626">
      <formula>D2603&lt;&gt;""</formula>
    </cfRule>
  </conditionalFormatting>
  <conditionalFormatting sqref="B2631:B2635">
    <cfRule type="expression" dxfId="5767" priority="2625">
      <formula>B2631&lt;&gt;""</formula>
    </cfRule>
  </conditionalFormatting>
  <conditionalFormatting sqref="B2631">
    <cfRule type="expression" dxfId="5766" priority="2624">
      <formula>B2631&lt;&gt;""</formula>
    </cfRule>
  </conditionalFormatting>
  <conditionalFormatting sqref="B2635">
    <cfRule type="expression" dxfId="5765" priority="2623">
      <formula>B2631&lt;&gt;""</formula>
    </cfRule>
  </conditionalFormatting>
  <conditionalFormatting sqref="C2631:C2635">
    <cfRule type="expression" dxfId="5764" priority="2622">
      <formula>D2631&lt;&gt;""</formula>
    </cfRule>
  </conditionalFormatting>
  <conditionalFormatting sqref="D2631:D2635">
    <cfRule type="expression" dxfId="5763" priority="2621">
      <formula>D2631&lt;&gt;""</formula>
    </cfRule>
  </conditionalFormatting>
  <conditionalFormatting sqref="D2631">
    <cfRule type="expression" dxfId="5762" priority="2620">
      <formula>D2631&lt;&gt;""</formula>
    </cfRule>
  </conditionalFormatting>
  <conditionalFormatting sqref="D2635">
    <cfRule type="expression" dxfId="5761" priority="2619">
      <formula>D2631&lt;&gt;""</formula>
    </cfRule>
  </conditionalFormatting>
  <conditionalFormatting sqref="B2659:B2663">
    <cfRule type="expression" dxfId="5760" priority="2618">
      <formula>B2659&lt;&gt;""</formula>
    </cfRule>
  </conditionalFormatting>
  <conditionalFormatting sqref="B2659">
    <cfRule type="expression" dxfId="5759" priority="2617">
      <formula>B2659&lt;&gt;""</formula>
    </cfRule>
  </conditionalFormatting>
  <conditionalFormatting sqref="B2663">
    <cfRule type="expression" dxfId="5758" priority="2616">
      <formula>B2659&lt;&gt;""</formula>
    </cfRule>
  </conditionalFormatting>
  <conditionalFormatting sqref="C2659:C2663">
    <cfRule type="expression" dxfId="5757" priority="2615">
      <formula>D2659&lt;&gt;""</formula>
    </cfRule>
  </conditionalFormatting>
  <conditionalFormatting sqref="D2659:D2663">
    <cfRule type="expression" dxfId="5756" priority="2614">
      <formula>D2659&lt;&gt;""</formula>
    </cfRule>
  </conditionalFormatting>
  <conditionalFormatting sqref="D2659">
    <cfRule type="expression" dxfId="5755" priority="2613">
      <formula>D2659&lt;&gt;""</formula>
    </cfRule>
  </conditionalFormatting>
  <conditionalFormatting sqref="D2663">
    <cfRule type="expression" dxfId="5754" priority="2612">
      <formula>D2659&lt;&gt;""</formula>
    </cfRule>
  </conditionalFormatting>
  <conditionalFormatting sqref="B2687:B2691">
    <cfRule type="expression" dxfId="5753" priority="2611">
      <formula>B2687&lt;&gt;""</formula>
    </cfRule>
  </conditionalFormatting>
  <conditionalFormatting sqref="B2687">
    <cfRule type="expression" dxfId="5752" priority="2610">
      <formula>B2687&lt;&gt;""</formula>
    </cfRule>
  </conditionalFormatting>
  <conditionalFormatting sqref="B2691">
    <cfRule type="expression" dxfId="5751" priority="2609">
      <formula>B2687&lt;&gt;""</formula>
    </cfRule>
  </conditionalFormatting>
  <conditionalFormatting sqref="C2687:C2691">
    <cfRule type="expression" dxfId="5750" priority="2608">
      <formula>D2687&lt;&gt;""</formula>
    </cfRule>
  </conditionalFormatting>
  <conditionalFormatting sqref="D2687:D2691">
    <cfRule type="expression" dxfId="5749" priority="2607">
      <formula>D2687&lt;&gt;""</formula>
    </cfRule>
  </conditionalFormatting>
  <conditionalFormatting sqref="D2687">
    <cfRule type="expression" dxfId="5748" priority="2606">
      <formula>D2687&lt;&gt;""</formula>
    </cfRule>
  </conditionalFormatting>
  <conditionalFormatting sqref="D2691">
    <cfRule type="expression" dxfId="5747" priority="2605">
      <formula>D2687&lt;&gt;""</formula>
    </cfRule>
  </conditionalFormatting>
  <conditionalFormatting sqref="B2715:B2719">
    <cfRule type="expression" dxfId="5746" priority="2604">
      <formula>B2715&lt;&gt;""</formula>
    </cfRule>
  </conditionalFormatting>
  <conditionalFormatting sqref="B2715">
    <cfRule type="expression" dxfId="5745" priority="2603">
      <formula>B2715&lt;&gt;""</formula>
    </cfRule>
  </conditionalFormatting>
  <conditionalFormatting sqref="B2719">
    <cfRule type="expression" dxfId="5744" priority="2602">
      <formula>B2715&lt;&gt;""</formula>
    </cfRule>
  </conditionalFormatting>
  <conditionalFormatting sqref="C2715:C2719">
    <cfRule type="expression" dxfId="5743" priority="2601">
      <formula>D2715&lt;&gt;""</formula>
    </cfRule>
  </conditionalFormatting>
  <conditionalFormatting sqref="D2715:D2719">
    <cfRule type="expression" dxfId="5742" priority="2600">
      <formula>D2715&lt;&gt;""</formula>
    </cfRule>
  </conditionalFormatting>
  <conditionalFormatting sqref="D2715">
    <cfRule type="expression" dxfId="5741" priority="2599">
      <formula>D2715&lt;&gt;""</formula>
    </cfRule>
  </conditionalFormatting>
  <conditionalFormatting sqref="D2719">
    <cfRule type="expression" dxfId="5740" priority="2598">
      <formula>D2715&lt;&gt;""</formula>
    </cfRule>
  </conditionalFormatting>
  <conditionalFormatting sqref="D2759:D2763">
    <cfRule type="expression" dxfId="5739" priority="2569">
      <formula>D2759&lt;&gt;""</formula>
    </cfRule>
  </conditionalFormatting>
  <conditionalFormatting sqref="D2759">
    <cfRule type="expression" dxfId="5738" priority="2568">
      <formula>D2759&lt;&gt;""</formula>
    </cfRule>
  </conditionalFormatting>
  <conditionalFormatting sqref="D2763">
    <cfRule type="expression" dxfId="5737" priority="2567">
      <formula>D2759&lt;&gt;""</formula>
    </cfRule>
  </conditionalFormatting>
  <conditionalFormatting sqref="D2751:D2755">
    <cfRule type="expression" dxfId="5736" priority="2590">
      <formula>D2751&lt;&gt;""</formula>
    </cfRule>
  </conditionalFormatting>
  <conditionalFormatting sqref="D2751">
    <cfRule type="expression" dxfId="5735" priority="2589">
      <formula>D2751&lt;&gt;""</formula>
    </cfRule>
  </conditionalFormatting>
  <conditionalFormatting sqref="D2755">
    <cfRule type="expression" dxfId="5734" priority="2588">
      <formula>D2751&lt;&gt;""</formula>
    </cfRule>
  </conditionalFormatting>
  <conditionalFormatting sqref="C2751:C2755">
    <cfRule type="expression" dxfId="5733" priority="2597">
      <formula>D2751&lt;&gt;""</formula>
    </cfRule>
  </conditionalFormatting>
  <conditionalFormatting sqref="E2751:E2755">
    <cfRule type="expression" dxfId="5732" priority="2596">
      <formula>F2751&lt;&gt;""</formula>
    </cfRule>
  </conditionalFormatting>
  <conditionalFormatting sqref="G2751:G2755">
    <cfRule type="expression" dxfId="5731" priority="2595">
      <formula>H2751&lt;&gt;""</formula>
    </cfRule>
  </conditionalFormatting>
  <conditionalFormatting sqref="I2751:I2755">
    <cfRule type="expression" dxfId="5730" priority="2594">
      <formula>B2759&lt;&gt;""</formula>
    </cfRule>
  </conditionalFormatting>
  <conditionalFormatting sqref="B2751:B2755">
    <cfRule type="expression" dxfId="5729" priority="2593">
      <formula>B2751&lt;&gt;""</formula>
    </cfRule>
  </conditionalFormatting>
  <conditionalFormatting sqref="B2751">
    <cfRule type="expression" dxfId="5728" priority="2592">
      <formula>B2751&lt;&gt;""</formula>
    </cfRule>
  </conditionalFormatting>
  <conditionalFormatting sqref="B2755">
    <cfRule type="expression" dxfId="5727" priority="2591">
      <formula>B2751&lt;&gt;""</formula>
    </cfRule>
  </conditionalFormatting>
  <conditionalFormatting sqref="F2751:F2755">
    <cfRule type="expression" dxfId="5726" priority="2587">
      <formula>F2751&lt;&gt;""</formula>
    </cfRule>
  </conditionalFormatting>
  <conditionalFormatting sqref="F2751">
    <cfRule type="expression" dxfId="5725" priority="2586">
      <formula>F2751&lt;&gt;""</formula>
    </cfRule>
  </conditionalFormatting>
  <conditionalFormatting sqref="F2755">
    <cfRule type="expression" dxfId="5724" priority="2585">
      <formula>F2751&lt;&gt;""</formula>
    </cfRule>
  </conditionalFormatting>
  <conditionalFormatting sqref="H2751:H2755">
    <cfRule type="expression" dxfId="5723" priority="2584">
      <formula>H2751&lt;&gt;""</formula>
    </cfRule>
  </conditionalFormatting>
  <conditionalFormatting sqref="H2751">
    <cfRule type="expression" dxfId="5722" priority="2583">
      <formula>H2751&lt;&gt;""</formula>
    </cfRule>
  </conditionalFormatting>
  <conditionalFormatting sqref="H2755">
    <cfRule type="expression" dxfId="5721" priority="2582">
      <formula>H2751&lt;&gt;""</formula>
    </cfRule>
  </conditionalFormatting>
  <conditionalFormatting sqref="F2743:F2747">
    <cfRule type="expression" dxfId="5720" priority="2581">
      <formula>F2743&lt;&gt;""</formula>
    </cfRule>
  </conditionalFormatting>
  <conditionalFormatting sqref="F2743">
    <cfRule type="expression" dxfId="5719" priority="2580">
      <formula>F2743&lt;&gt;""</formula>
    </cfRule>
  </conditionalFormatting>
  <conditionalFormatting sqref="F2747">
    <cfRule type="expression" dxfId="5718" priority="2579">
      <formula>F2743&lt;&gt;""</formula>
    </cfRule>
  </conditionalFormatting>
  <conditionalFormatting sqref="E2743:E2747">
    <cfRule type="expression" dxfId="5717" priority="2578">
      <formula>F2743&lt;&gt;""</formula>
    </cfRule>
  </conditionalFormatting>
  <conditionalFormatting sqref="G2743:G2747">
    <cfRule type="expression" dxfId="5716" priority="2577">
      <formula>H2743&lt;&gt;""</formula>
    </cfRule>
  </conditionalFormatting>
  <conditionalFormatting sqref="I2743:I2747">
    <cfRule type="expression" dxfId="5715" priority="2576">
      <formula>B2751&lt;&gt;""</formula>
    </cfRule>
  </conditionalFormatting>
  <conditionalFormatting sqref="H2743:H2747">
    <cfRule type="expression" dxfId="5714" priority="2575">
      <formula>H2743&lt;&gt;""</formula>
    </cfRule>
  </conditionalFormatting>
  <conditionalFormatting sqref="H2743">
    <cfRule type="expression" dxfId="5713" priority="2574">
      <formula>H2743&lt;&gt;""</formula>
    </cfRule>
  </conditionalFormatting>
  <conditionalFormatting sqref="H2747">
    <cfRule type="expression" dxfId="5712" priority="2573">
      <formula>H2743&lt;&gt;""</formula>
    </cfRule>
  </conditionalFormatting>
  <conditionalFormatting sqref="B2759:B2763">
    <cfRule type="expression" dxfId="5711" priority="2572">
      <formula>B2759&lt;&gt;""</formula>
    </cfRule>
  </conditionalFormatting>
  <conditionalFormatting sqref="B2759">
    <cfRule type="expression" dxfId="5710" priority="2571">
      <formula>B2759&lt;&gt;""</formula>
    </cfRule>
  </conditionalFormatting>
  <conditionalFormatting sqref="B2763">
    <cfRule type="expression" dxfId="5709" priority="2570">
      <formula>B2759&lt;&gt;""</formula>
    </cfRule>
  </conditionalFormatting>
  <conditionalFormatting sqref="F2759:F2763">
    <cfRule type="expression" dxfId="5708" priority="2566">
      <formula>F2759&lt;&gt;""</formula>
    </cfRule>
  </conditionalFormatting>
  <conditionalFormatting sqref="F2759">
    <cfRule type="expression" dxfId="5707" priority="2565">
      <formula>F2759&lt;&gt;""</formula>
    </cfRule>
  </conditionalFormatting>
  <conditionalFormatting sqref="F2763">
    <cfRule type="expression" dxfId="5706" priority="2564">
      <formula>F2759&lt;&gt;""</formula>
    </cfRule>
  </conditionalFormatting>
  <conditionalFormatting sqref="C2759:C2763">
    <cfRule type="expression" dxfId="5705" priority="2563">
      <formula>D2759&lt;&gt;""</formula>
    </cfRule>
  </conditionalFormatting>
  <conditionalFormatting sqref="E2759:E2763">
    <cfRule type="expression" dxfId="5704" priority="2562">
      <formula>F2759&lt;&gt;""</formula>
    </cfRule>
  </conditionalFormatting>
  <conditionalFormatting sqref="G2759:G2763">
    <cfRule type="expression" dxfId="5703" priority="2561">
      <formula>H2759&lt;&gt;""</formula>
    </cfRule>
  </conditionalFormatting>
  <conditionalFormatting sqref="H2759:H2763">
    <cfRule type="expression" dxfId="5702" priority="2560">
      <formula>H2759&lt;&gt;""</formula>
    </cfRule>
  </conditionalFormatting>
  <conditionalFormatting sqref="H2759">
    <cfRule type="expression" dxfId="5701" priority="2559">
      <formula>H2759&lt;&gt;""</formula>
    </cfRule>
  </conditionalFormatting>
  <conditionalFormatting sqref="H2763">
    <cfRule type="expression" dxfId="5700" priority="2558">
      <formula>H2759&lt;&gt;""</formula>
    </cfRule>
  </conditionalFormatting>
  <conditionalFormatting sqref="D2787:D2791">
    <cfRule type="expression" dxfId="5699" priority="2529">
      <formula>D2787&lt;&gt;""</formula>
    </cfRule>
  </conditionalFormatting>
  <conditionalFormatting sqref="D2787">
    <cfRule type="expression" dxfId="5698" priority="2528">
      <formula>D2787&lt;&gt;""</formula>
    </cfRule>
  </conditionalFormatting>
  <conditionalFormatting sqref="D2791">
    <cfRule type="expression" dxfId="5697" priority="2527">
      <formula>D2787&lt;&gt;""</formula>
    </cfRule>
  </conditionalFormatting>
  <conditionalFormatting sqref="D2779:D2783">
    <cfRule type="expression" dxfId="5696" priority="2550">
      <formula>D2779&lt;&gt;""</formula>
    </cfRule>
  </conditionalFormatting>
  <conditionalFormatting sqref="D2779">
    <cfRule type="expression" dxfId="5695" priority="2549">
      <formula>D2779&lt;&gt;""</formula>
    </cfRule>
  </conditionalFormatting>
  <conditionalFormatting sqref="D2783">
    <cfRule type="expression" dxfId="5694" priority="2548">
      <formula>D2779&lt;&gt;""</formula>
    </cfRule>
  </conditionalFormatting>
  <conditionalFormatting sqref="C2779:C2783">
    <cfRule type="expression" dxfId="5693" priority="2557">
      <formula>D2779&lt;&gt;""</formula>
    </cfRule>
  </conditionalFormatting>
  <conditionalFormatting sqref="E2779:E2783">
    <cfRule type="expression" dxfId="5692" priority="2556">
      <formula>F2779&lt;&gt;""</formula>
    </cfRule>
  </conditionalFormatting>
  <conditionalFormatting sqref="G2779:G2783">
    <cfRule type="expression" dxfId="5691" priority="2555">
      <formula>H2779&lt;&gt;""</formula>
    </cfRule>
  </conditionalFormatting>
  <conditionalFormatting sqref="I2779:I2783">
    <cfRule type="expression" dxfId="5690" priority="2554">
      <formula>B2787&lt;&gt;""</formula>
    </cfRule>
  </conditionalFormatting>
  <conditionalFormatting sqref="B2779:B2783">
    <cfRule type="expression" dxfId="5689" priority="2553">
      <formula>B2779&lt;&gt;""</formula>
    </cfRule>
  </conditionalFormatting>
  <conditionalFormatting sqref="B2779">
    <cfRule type="expression" dxfId="5688" priority="2552">
      <formula>B2779&lt;&gt;""</formula>
    </cfRule>
  </conditionalFormatting>
  <conditionalFormatting sqref="B2783">
    <cfRule type="expression" dxfId="5687" priority="2551">
      <formula>B2779&lt;&gt;""</formula>
    </cfRule>
  </conditionalFormatting>
  <conditionalFormatting sqref="F2779:F2783">
    <cfRule type="expression" dxfId="5686" priority="2547">
      <formula>F2779&lt;&gt;""</formula>
    </cfRule>
  </conditionalFormatting>
  <conditionalFormatting sqref="F2779">
    <cfRule type="expression" dxfId="5685" priority="2546">
      <formula>F2779&lt;&gt;""</formula>
    </cfRule>
  </conditionalFormatting>
  <conditionalFormatting sqref="F2783">
    <cfRule type="expression" dxfId="5684" priority="2545">
      <formula>F2779&lt;&gt;""</formula>
    </cfRule>
  </conditionalFormatting>
  <conditionalFormatting sqref="H2779:H2783">
    <cfRule type="expression" dxfId="5683" priority="2544">
      <formula>H2779&lt;&gt;""</formula>
    </cfRule>
  </conditionalFormatting>
  <conditionalFormatting sqref="H2779">
    <cfRule type="expression" dxfId="5682" priority="2543">
      <formula>H2779&lt;&gt;""</formula>
    </cfRule>
  </conditionalFormatting>
  <conditionalFormatting sqref="H2783">
    <cfRule type="expression" dxfId="5681" priority="2542">
      <formula>H2779&lt;&gt;""</formula>
    </cfRule>
  </conditionalFormatting>
  <conditionalFormatting sqref="F2771:F2775">
    <cfRule type="expression" dxfId="5680" priority="2541">
      <formula>F2771&lt;&gt;""</formula>
    </cfRule>
  </conditionalFormatting>
  <conditionalFormatting sqref="F2771">
    <cfRule type="expression" dxfId="5679" priority="2540">
      <formula>F2771&lt;&gt;""</formula>
    </cfRule>
  </conditionalFormatting>
  <conditionalFormatting sqref="F2775">
    <cfRule type="expression" dxfId="5678" priority="2539">
      <formula>F2771&lt;&gt;""</formula>
    </cfRule>
  </conditionalFormatting>
  <conditionalFormatting sqref="E2771:E2775">
    <cfRule type="expression" dxfId="5677" priority="2538">
      <formula>F2771&lt;&gt;""</formula>
    </cfRule>
  </conditionalFormatting>
  <conditionalFormatting sqref="G2771:G2775">
    <cfRule type="expression" dxfId="5676" priority="2537">
      <formula>H2771&lt;&gt;""</formula>
    </cfRule>
  </conditionalFormatting>
  <conditionalFormatting sqref="I2771:I2775">
    <cfRule type="expression" dxfId="5675" priority="2536">
      <formula>B2779&lt;&gt;""</formula>
    </cfRule>
  </conditionalFormatting>
  <conditionalFormatting sqref="H2771:H2775">
    <cfRule type="expression" dxfId="5674" priority="2535">
      <formula>H2771&lt;&gt;""</formula>
    </cfRule>
  </conditionalFormatting>
  <conditionalFormatting sqref="H2771">
    <cfRule type="expression" dxfId="5673" priority="2534">
      <formula>H2771&lt;&gt;""</formula>
    </cfRule>
  </conditionalFormatting>
  <conditionalFormatting sqref="H2775">
    <cfRule type="expression" dxfId="5672" priority="2533">
      <formula>H2771&lt;&gt;""</formula>
    </cfRule>
  </conditionalFormatting>
  <conditionalFormatting sqref="B2787:B2791">
    <cfRule type="expression" dxfId="5671" priority="2532">
      <formula>B2787&lt;&gt;""</formula>
    </cfRule>
  </conditionalFormatting>
  <conditionalFormatting sqref="B2787">
    <cfRule type="expression" dxfId="5670" priority="2531">
      <formula>B2787&lt;&gt;""</formula>
    </cfRule>
  </conditionalFormatting>
  <conditionalFormatting sqref="B2791">
    <cfRule type="expression" dxfId="5669" priority="2530">
      <formula>B2787&lt;&gt;""</formula>
    </cfRule>
  </conditionalFormatting>
  <conditionalFormatting sqref="F2787:F2791">
    <cfRule type="expression" dxfId="5668" priority="2526">
      <formula>F2787&lt;&gt;""</formula>
    </cfRule>
  </conditionalFormatting>
  <conditionalFormatting sqref="F2787">
    <cfRule type="expression" dxfId="5667" priority="2525">
      <formula>F2787&lt;&gt;""</formula>
    </cfRule>
  </conditionalFormatting>
  <conditionalFormatting sqref="F2791">
    <cfRule type="expression" dxfId="5666" priority="2524">
      <formula>F2787&lt;&gt;""</formula>
    </cfRule>
  </conditionalFormatting>
  <conditionalFormatting sqref="C2787:C2791">
    <cfRule type="expression" dxfId="5665" priority="2523">
      <formula>D2787&lt;&gt;""</formula>
    </cfRule>
  </conditionalFormatting>
  <conditionalFormatting sqref="E2787:E2791">
    <cfRule type="expression" dxfId="5664" priority="2522">
      <formula>F2787&lt;&gt;""</formula>
    </cfRule>
  </conditionalFormatting>
  <conditionalFormatting sqref="G2787:G2791">
    <cfRule type="expression" dxfId="5663" priority="2521">
      <formula>H2787&lt;&gt;""</formula>
    </cfRule>
  </conditionalFormatting>
  <conditionalFormatting sqref="H2787:H2791">
    <cfRule type="expression" dxfId="5662" priority="2520">
      <formula>H2787&lt;&gt;""</formula>
    </cfRule>
  </conditionalFormatting>
  <conditionalFormatting sqref="H2787">
    <cfRule type="expression" dxfId="5661" priority="2519">
      <formula>H2787&lt;&gt;""</formula>
    </cfRule>
  </conditionalFormatting>
  <conditionalFormatting sqref="H2791">
    <cfRule type="expression" dxfId="5660" priority="2518">
      <formula>H2787&lt;&gt;""</formula>
    </cfRule>
  </conditionalFormatting>
  <conditionalFormatting sqref="B2771:B2775">
    <cfRule type="expression" dxfId="5659" priority="2466">
      <formula>B2771&lt;&gt;""</formula>
    </cfRule>
  </conditionalFormatting>
  <conditionalFormatting sqref="B2777:B2778 C2777:I2777 I2776">
    <cfRule type="expression" dxfId="5658" priority="2517">
      <formula>$B2779&lt;&gt;""</formula>
    </cfRule>
  </conditionalFormatting>
  <conditionalFormatting sqref="B2785:B2786 C2785:I2785 I2784">
    <cfRule type="expression" dxfId="5657" priority="2516">
      <formula>$B2787&lt;&gt;""</formula>
    </cfRule>
  </conditionalFormatting>
  <conditionalFormatting sqref="D2815:D2819">
    <cfRule type="expression" dxfId="5656" priority="2487">
      <formula>D2815&lt;&gt;""</formula>
    </cfRule>
  </conditionalFormatting>
  <conditionalFormatting sqref="D2815">
    <cfRule type="expression" dxfId="5655" priority="2486">
      <formula>D2815&lt;&gt;""</formula>
    </cfRule>
  </conditionalFormatting>
  <conditionalFormatting sqref="D2819">
    <cfRule type="expression" dxfId="5654" priority="2485">
      <formula>D2815&lt;&gt;""</formula>
    </cfRule>
  </conditionalFormatting>
  <conditionalFormatting sqref="D2807:D2811">
    <cfRule type="expression" dxfId="5653" priority="2508">
      <formula>D2807&lt;&gt;""</formula>
    </cfRule>
  </conditionalFormatting>
  <conditionalFormatting sqref="D2807">
    <cfRule type="expression" dxfId="5652" priority="2507">
      <formula>D2807&lt;&gt;""</formula>
    </cfRule>
  </conditionalFormatting>
  <conditionalFormatting sqref="D2811">
    <cfRule type="expression" dxfId="5651" priority="2506">
      <formula>D2807&lt;&gt;""</formula>
    </cfRule>
  </conditionalFormatting>
  <conditionalFormatting sqref="C2807:C2811">
    <cfRule type="expression" dxfId="5650" priority="2515">
      <formula>D2807&lt;&gt;""</formula>
    </cfRule>
  </conditionalFormatting>
  <conditionalFormatting sqref="E2807:E2811">
    <cfRule type="expression" dxfId="5649" priority="2514">
      <formula>F2807&lt;&gt;""</formula>
    </cfRule>
  </conditionalFormatting>
  <conditionalFormatting sqref="G2807:G2811">
    <cfRule type="expression" dxfId="5648" priority="2513">
      <formula>H2807&lt;&gt;""</formula>
    </cfRule>
  </conditionalFormatting>
  <conditionalFormatting sqref="I2807:I2811">
    <cfRule type="expression" dxfId="5647" priority="2512">
      <formula>B2815&lt;&gt;""</formula>
    </cfRule>
  </conditionalFormatting>
  <conditionalFormatting sqref="B2807:B2811">
    <cfRule type="expression" dxfId="5646" priority="2511">
      <formula>B2807&lt;&gt;""</formula>
    </cfRule>
  </conditionalFormatting>
  <conditionalFormatting sqref="B2807">
    <cfRule type="expression" dxfId="5645" priority="2510">
      <formula>B2807&lt;&gt;""</formula>
    </cfRule>
  </conditionalFormatting>
  <conditionalFormatting sqref="B2811">
    <cfRule type="expression" dxfId="5644" priority="2509">
      <formula>B2807&lt;&gt;""</formula>
    </cfRule>
  </conditionalFormatting>
  <conditionalFormatting sqref="F2807:F2811">
    <cfRule type="expression" dxfId="5643" priority="2505">
      <formula>F2807&lt;&gt;""</formula>
    </cfRule>
  </conditionalFormatting>
  <conditionalFormatting sqref="F2807">
    <cfRule type="expression" dxfId="5642" priority="2504">
      <formula>F2807&lt;&gt;""</formula>
    </cfRule>
  </conditionalFormatting>
  <conditionalFormatting sqref="F2811">
    <cfRule type="expression" dxfId="5641" priority="2503">
      <formula>F2807&lt;&gt;""</formula>
    </cfRule>
  </conditionalFormatting>
  <conditionalFormatting sqref="H2807:H2811">
    <cfRule type="expression" dxfId="5640" priority="2502">
      <formula>H2807&lt;&gt;""</formula>
    </cfRule>
  </conditionalFormatting>
  <conditionalFormatting sqref="H2807">
    <cfRule type="expression" dxfId="5639" priority="2501">
      <formula>H2807&lt;&gt;""</formula>
    </cfRule>
  </conditionalFormatting>
  <conditionalFormatting sqref="H2811">
    <cfRule type="expression" dxfId="5638" priority="2500">
      <formula>H2807&lt;&gt;""</formula>
    </cfRule>
  </conditionalFormatting>
  <conditionalFormatting sqref="F2799:F2803">
    <cfRule type="expression" dxfId="5637" priority="2499">
      <formula>F2799&lt;&gt;""</formula>
    </cfRule>
  </conditionalFormatting>
  <conditionalFormatting sqref="F2799">
    <cfRule type="expression" dxfId="5636" priority="2498">
      <formula>F2799&lt;&gt;""</formula>
    </cfRule>
  </conditionalFormatting>
  <conditionalFormatting sqref="F2803">
    <cfRule type="expression" dxfId="5635" priority="2497">
      <formula>F2799&lt;&gt;""</formula>
    </cfRule>
  </conditionalFormatting>
  <conditionalFormatting sqref="E2799:E2803">
    <cfRule type="expression" dxfId="5634" priority="2496">
      <formula>F2799&lt;&gt;""</formula>
    </cfRule>
  </conditionalFormatting>
  <conditionalFormatting sqref="G2799:G2803">
    <cfRule type="expression" dxfId="5633" priority="2495">
      <formula>H2799&lt;&gt;""</formula>
    </cfRule>
  </conditionalFormatting>
  <conditionalFormatting sqref="I2799:I2803">
    <cfRule type="expression" dxfId="5632" priority="2494">
      <formula>B2807&lt;&gt;""</formula>
    </cfRule>
  </conditionalFormatting>
  <conditionalFormatting sqref="H2799:H2803">
    <cfRule type="expression" dxfId="5631" priority="2493">
      <formula>H2799&lt;&gt;""</formula>
    </cfRule>
  </conditionalFormatting>
  <conditionalFormatting sqref="H2799">
    <cfRule type="expression" dxfId="5630" priority="2492">
      <formula>H2799&lt;&gt;""</formula>
    </cfRule>
  </conditionalFormatting>
  <conditionalFormatting sqref="H2803">
    <cfRule type="expression" dxfId="5629" priority="2491">
      <formula>H2799&lt;&gt;""</formula>
    </cfRule>
  </conditionalFormatting>
  <conditionalFormatting sqref="B2815:B2819">
    <cfRule type="expression" dxfId="5628" priority="2490">
      <formula>B2815&lt;&gt;""</formula>
    </cfRule>
  </conditionalFormatting>
  <conditionalFormatting sqref="B2815">
    <cfRule type="expression" dxfId="5627" priority="2489">
      <formula>B2815&lt;&gt;""</formula>
    </cfRule>
  </conditionalFormatting>
  <conditionalFormatting sqref="B2819">
    <cfRule type="expression" dxfId="5626" priority="2488">
      <formula>B2815&lt;&gt;""</formula>
    </cfRule>
  </conditionalFormatting>
  <conditionalFormatting sqref="F2815:F2819">
    <cfRule type="expression" dxfId="5625" priority="2484">
      <formula>F2815&lt;&gt;""</formula>
    </cfRule>
  </conditionalFormatting>
  <conditionalFormatting sqref="F2815">
    <cfRule type="expression" dxfId="5624" priority="2483">
      <formula>F2815&lt;&gt;""</formula>
    </cfRule>
  </conditionalFormatting>
  <conditionalFormatting sqref="F2819">
    <cfRule type="expression" dxfId="5623" priority="2482">
      <formula>F2815&lt;&gt;""</formula>
    </cfRule>
  </conditionalFormatting>
  <conditionalFormatting sqref="C2815:C2819">
    <cfRule type="expression" dxfId="5622" priority="2481">
      <formula>D2815&lt;&gt;""</formula>
    </cfRule>
  </conditionalFormatting>
  <conditionalFormatting sqref="E2815:E2819">
    <cfRule type="expression" dxfId="5621" priority="2480">
      <formula>F2815&lt;&gt;""</formula>
    </cfRule>
  </conditionalFormatting>
  <conditionalFormatting sqref="G2815:G2819">
    <cfRule type="expression" dxfId="5620" priority="2479">
      <formula>H2815&lt;&gt;""</formula>
    </cfRule>
  </conditionalFormatting>
  <conditionalFormatting sqref="H2815:H2819">
    <cfRule type="expression" dxfId="5619" priority="2478">
      <formula>H2815&lt;&gt;""</formula>
    </cfRule>
  </conditionalFormatting>
  <conditionalFormatting sqref="H2815">
    <cfRule type="expression" dxfId="5618" priority="2477">
      <formula>H2815&lt;&gt;""</formula>
    </cfRule>
  </conditionalFormatting>
  <conditionalFormatting sqref="H2819">
    <cfRule type="expression" dxfId="5617" priority="2476">
      <formula>H2815&lt;&gt;""</formula>
    </cfRule>
  </conditionalFormatting>
  <conditionalFormatting sqref="B2799:B2803">
    <cfRule type="expression" dxfId="5616" priority="2459">
      <formula>B2799&lt;&gt;""</formula>
    </cfRule>
  </conditionalFormatting>
  <conditionalFormatting sqref="B2805:B2806 C2805:I2805 I2804">
    <cfRule type="expression" dxfId="5615" priority="2475">
      <formula>$B2807&lt;&gt;""</formula>
    </cfRule>
  </conditionalFormatting>
  <conditionalFormatting sqref="B2813:B2814 C2813:I2813 I2812">
    <cfRule type="expression" dxfId="5614" priority="2474">
      <formula>$B2815&lt;&gt;""</formula>
    </cfRule>
  </conditionalFormatting>
  <conditionalFormatting sqref="B2743:B2747">
    <cfRule type="expression" dxfId="5613" priority="2473">
      <formula>B2743&lt;&gt;""</formula>
    </cfRule>
  </conditionalFormatting>
  <conditionalFormatting sqref="B2743">
    <cfRule type="expression" dxfId="5612" priority="2472">
      <formula>B2743&lt;&gt;""</formula>
    </cfRule>
  </conditionalFormatting>
  <conditionalFormatting sqref="B2747">
    <cfRule type="expression" dxfId="5611" priority="2471">
      <formula>B2743&lt;&gt;""</formula>
    </cfRule>
  </conditionalFormatting>
  <conditionalFormatting sqref="C2743:C2747">
    <cfRule type="expression" dxfId="5610" priority="2470">
      <formula>D2743&lt;&gt;""</formula>
    </cfRule>
  </conditionalFormatting>
  <conditionalFormatting sqref="D2743:D2747">
    <cfRule type="expression" dxfId="5609" priority="2469">
      <formula>D2743&lt;&gt;""</formula>
    </cfRule>
  </conditionalFormatting>
  <conditionalFormatting sqref="D2743">
    <cfRule type="expression" dxfId="5608" priority="2468">
      <formula>D2743&lt;&gt;""</formula>
    </cfRule>
  </conditionalFormatting>
  <conditionalFormatting sqref="D2747">
    <cfRule type="expression" dxfId="5607" priority="2467">
      <formula>D2743&lt;&gt;""</formula>
    </cfRule>
  </conditionalFormatting>
  <conditionalFormatting sqref="B2771">
    <cfRule type="expression" dxfId="5606" priority="2465">
      <formula>B2771&lt;&gt;""</formula>
    </cfRule>
  </conditionalFormatting>
  <conditionalFormatting sqref="B2775">
    <cfRule type="expression" dxfId="5605" priority="2464">
      <formula>B2771&lt;&gt;""</formula>
    </cfRule>
  </conditionalFormatting>
  <conditionalFormatting sqref="C2771:C2775">
    <cfRule type="expression" dxfId="5604" priority="2463">
      <formula>D2771&lt;&gt;""</formula>
    </cfRule>
  </conditionalFormatting>
  <conditionalFormatting sqref="D2771:D2775">
    <cfRule type="expression" dxfId="5603" priority="2462">
      <formula>D2771&lt;&gt;""</formula>
    </cfRule>
  </conditionalFormatting>
  <conditionalFormatting sqref="D2771">
    <cfRule type="expression" dxfId="5602" priority="2461">
      <formula>D2771&lt;&gt;""</formula>
    </cfRule>
  </conditionalFormatting>
  <conditionalFormatting sqref="D2775">
    <cfRule type="expression" dxfId="5601" priority="2460">
      <formula>D2771&lt;&gt;""</formula>
    </cfRule>
  </conditionalFormatting>
  <conditionalFormatting sqref="B2799">
    <cfRule type="expression" dxfId="5600" priority="2458">
      <formula>B2799&lt;&gt;""</formula>
    </cfRule>
  </conditionalFormatting>
  <conditionalFormatting sqref="B2803">
    <cfRule type="expression" dxfId="5599" priority="2457">
      <formula>B2799&lt;&gt;""</formula>
    </cfRule>
  </conditionalFormatting>
  <conditionalFormatting sqref="C2799:C2803">
    <cfRule type="expression" dxfId="5598" priority="2456">
      <formula>D2799&lt;&gt;""</formula>
    </cfRule>
  </conditionalFormatting>
  <conditionalFormatting sqref="D2799:D2803">
    <cfRule type="expression" dxfId="5597" priority="2455">
      <formula>D2799&lt;&gt;""</formula>
    </cfRule>
  </conditionalFormatting>
  <conditionalFormatting sqref="D2799">
    <cfRule type="expression" dxfId="5596" priority="2454">
      <formula>D2799&lt;&gt;""</formula>
    </cfRule>
  </conditionalFormatting>
  <conditionalFormatting sqref="D2803">
    <cfRule type="expression" dxfId="5595" priority="2453">
      <formula>D2799&lt;&gt;""</formula>
    </cfRule>
  </conditionalFormatting>
  <conditionalFormatting sqref="B2757:B2758 C2757:I2757 I2756">
    <cfRule type="expression" dxfId="5594" priority="2452">
      <formula>$B2759&lt;&gt;""</formula>
    </cfRule>
  </conditionalFormatting>
  <conditionalFormatting sqref="B2749:B2750 C2749:I2749 I2748">
    <cfRule type="expression" dxfId="5593" priority="2451">
      <formula>$B2751&lt;&gt;""</formula>
    </cfRule>
  </conditionalFormatting>
  <conditionalFormatting sqref="D3013:D3017">
    <cfRule type="expression" dxfId="5592" priority="2421">
      <formula>D3013&lt;&gt;""</formula>
    </cfRule>
  </conditionalFormatting>
  <conditionalFormatting sqref="D3013">
    <cfRule type="expression" dxfId="5591" priority="2420">
      <formula>D3013&lt;&gt;""</formula>
    </cfRule>
  </conditionalFormatting>
  <conditionalFormatting sqref="D3017">
    <cfRule type="expression" dxfId="5590" priority="2419">
      <formula>D3013&lt;&gt;""</formula>
    </cfRule>
  </conditionalFormatting>
  <conditionalFormatting sqref="I3002:I3003 C3003:H3003 B3003:B3004">
    <cfRule type="expression" dxfId="5589" priority="2409">
      <formula>$B3005&lt;&gt;""</formula>
    </cfRule>
  </conditionalFormatting>
  <conditionalFormatting sqref="D3005:D3009">
    <cfRule type="expression" dxfId="5588" priority="2443">
      <formula>D3005&lt;&gt;""</formula>
    </cfRule>
  </conditionalFormatting>
  <conditionalFormatting sqref="D3005">
    <cfRule type="expression" dxfId="5587" priority="2442">
      <formula>D3005&lt;&gt;""</formula>
    </cfRule>
  </conditionalFormatting>
  <conditionalFormatting sqref="D3009">
    <cfRule type="expression" dxfId="5586" priority="2441">
      <formula>D3005&lt;&gt;""</formula>
    </cfRule>
  </conditionalFormatting>
  <conditionalFormatting sqref="C3005:C3009">
    <cfRule type="expression" dxfId="5585" priority="2450">
      <formula>D3005&lt;&gt;""</formula>
    </cfRule>
  </conditionalFormatting>
  <conditionalFormatting sqref="E3005:E3009">
    <cfRule type="expression" dxfId="5584" priority="2449">
      <formula>F3005&lt;&gt;""</formula>
    </cfRule>
  </conditionalFormatting>
  <conditionalFormatting sqref="G3005:G3009">
    <cfRule type="expression" dxfId="5583" priority="2448">
      <formula>H3005&lt;&gt;""</formula>
    </cfRule>
  </conditionalFormatting>
  <conditionalFormatting sqref="I3005:I3009">
    <cfRule type="expression" dxfId="5582" priority="2447">
      <formula>B3013&lt;&gt;""</formula>
    </cfRule>
  </conditionalFormatting>
  <conditionalFormatting sqref="B3005:B3009">
    <cfRule type="expression" dxfId="5581" priority="2446">
      <formula>B3005&lt;&gt;""</formula>
    </cfRule>
  </conditionalFormatting>
  <conditionalFormatting sqref="B3005">
    <cfRule type="expression" dxfId="5580" priority="2445">
      <formula>B3005&lt;&gt;""</formula>
    </cfRule>
  </conditionalFormatting>
  <conditionalFormatting sqref="B3009">
    <cfRule type="expression" dxfId="5579" priority="2444">
      <formula>B3005&lt;&gt;""</formula>
    </cfRule>
  </conditionalFormatting>
  <conditionalFormatting sqref="F3005:F3009">
    <cfRule type="expression" dxfId="5578" priority="2440">
      <formula>F3005&lt;&gt;""</formula>
    </cfRule>
  </conditionalFormatting>
  <conditionalFormatting sqref="F3005">
    <cfRule type="expression" dxfId="5577" priority="2439">
      <formula>F3005&lt;&gt;""</formula>
    </cfRule>
  </conditionalFormatting>
  <conditionalFormatting sqref="F3009">
    <cfRule type="expression" dxfId="5576" priority="2438">
      <formula>F3005&lt;&gt;""</formula>
    </cfRule>
  </conditionalFormatting>
  <conditionalFormatting sqref="H3005:H3009">
    <cfRule type="expression" dxfId="5575" priority="2437">
      <formula>H3005&lt;&gt;""</formula>
    </cfRule>
  </conditionalFormatting>
  <conditionalFormatting sqref="H3005">
    <cfRule type="expression" dxfId="5574" priority="2436">
      <formula>H3005&lt;&gt;""</formula>
    </cfRule>
  </conditionalFormatting>
  <conditionalFormatting sqref="H3009">
    <cfRule type="expression" dxfId="5573" priority="2435">
      <formula>H3005&lt;&gt;""</formula>
    </cfRule>
  </conditionalFormatting>
  <conditionalFormatting sqref="F2997:F3001">
    <cfRule type="expression" dxfId="5572" priority="2434">
      <formula>F2997&lt;&gt;""</formula>
    </cfRule>
  </conditionalFormatting>
  <conditionalFormatting sqref="F2997">
    <cfRule type="expression" dxfId="5571" priority="2433">
      <formula>F2997&lt;&gt;""</formula>
    </cfRule>
  </conditionalFormatting>
  <conditionalFormatting sqref="F3001">
    <cfRule type="expression" dxfId="5570" priority="2432">
      <formula>F2997&lt;&gt;""</formula>
    </cfRule>
  </conditionalFormatting>
  <conditionalFormatting sqref="E2997:E3001">
    <cfRule type="expression" dxfId="5569" priority="2431">
      <formula>F2997&lt;&gt;""</formula>
    </cfRule>
  </conditionalFormatting>
  <conditionalFormatting sqref="G2997:G3001">
    <cfRule type="expression" dxfId="5568" priority="2430">
      <formula>H2997&lt;&gt;""</formula>
    </cfRule>
  </conditionalFormatting>
  <conditionalFormatting sqref="I2997:I3001">
    <cfRule type="expression" dxfId="5567" priority="2429">
      <formula>B3005&lt;&gt;""</formula>
    </cfRule>
  </conditionalFormatting>
  <conditionalFormatting sqref="H2997:H3001">
    <cfRule type="expression" dxfId="5566" priority="2428">
      <formula>H2997&lt;&gt;""</formula>
    </cfRule>
  </conditionalFormatting>
  <conditionalFormatting sqref="H2997">
    <cfRule type="expression" dxfId="5565" priority="2427">
      <formula>H2997&lt;&gt;""</formula>
    </cfRule>
  </conditionalFormatting>
  <conditionalFormatting sqref="H3001">
    <cfRule type="expression" dxfId="5564" priority="2426">
      <formula>H2997&lt;&gt;""</formula>
    </cfRule>
  </conditionalFormatting>
  <conditionalFormatting sqref="I3010:I3011 C3011:H3011 B3011:B3012">
    <cfRule type="expression" dxfId="5563" priority="2425">
      <formula>$B3013&lt;&gt;""</formula>
    </cfRule>
  </conditionalFormatting>
  <conditionalFormatting sqref="B3013:B3017">
    <cfRule type="expression" dxfId="5562" priority="2424">
      <formula>B3013&lt;&gt;""</formula>
    </cfRule>
  </conditionalFormatting>
  <conditionalFormatting sqref="B3013">
    <cfRule type="expression" dxfId="5561" priority="2423">
      <formula>B3013&lt;&gt;""</formula>
    </cfRule>
  </conditionalFormatting>
  <conditionalFormatting sqref="B3017">
    <cfRule type="expression" dxfId="5560" priority="2422">
      <formula>B3013&lt;&gt;""</formula>
    </cfRule>
  </conditionalFormatting>
  <conditionalFormatting sqref="F3013:F3017">
    <cfRule type="expression" dxfId="5559" priority="2418">
      <formula>F3013&lt;&gt;""</formula>
    </cfRule>
  </conditionalFormatting>
  <conditionalFormatting sqref="F3013">
    <cfRule type="expression" dxfId="5558" priority="2417">
      <formula>F3013&lt;&gt;""</formula>
    </cfRule>
  </conditionalFormatting>
  <conditionalFormatting sqref="F3017">
    <cfRule type="expression" dxfId="5557" priority="2416">
      <formula>F3013&lt;&gt;""</formula>
    </cfRule>
  </conditionalFormatting>
  <conditionalFormatting sqref="C3013:C3017">
    <cfRule type="expression" dxfId="5556" priority="2415">
      <formula>D3013&lt;&gt;""</formula>
    </cfRule>
  </conditionalFormatting>
  <conditionalFormatting sqref="E3013:E3017">
    <cfRule type="expression" dxfId="5555" priority="2414">
      <formula>F3013&lt;&gt;""</formula>
    </cfRule>
  </conditionalFormatting>
  <conditionalFormatting sqref="G3013:G3017">
    <cfRule type="expression" dxfId="5554" priority="2413">
      <formula>H3013&lt;&gt;""</formula>
    </cfRule>
  </conditionalFormatting>
  <conditionalFormatting sqref="H3013:H3017">
    <cfRule type="expression" dxfId="5553" priority="2412">
      <formula>H3013&lt;&gt;""</formula>
    </cfRule>
  </conditionalFormatting>
  <conditionalFormatting sqref="H3013">
    <cfRule type="expression" dxfId="5552" priority="2411">
      <formula>H3013&lt;&gt;""</formula>
    </cfRule>
  </conditionalFormatting>
  <conditionalFormatting sqref="H3017">
    <cfRule type="expression" dxfId="5551" priority="2410">
      <formula>H3013&lt;&gt;""</formula>
    </cfRule>
  </conditionalFormatting>
  <conditionalFormatting sqref="D2985:D2989">
    <cfRule type="expression" dxfId="5550" priority="2379">
      <formula>D2985&lt;&gt;""</formula>
    </cfRule>
  </conditionalFormatting>
  <conditionalFormatting sqref="D2985">
    <cfRule type="expression" dxfId="5549" priority="2378">
      <formula>D2985&lt;&gt;""</formula>
    </cfRule>
  </conditionalFormatting>
  <conditionalFormatting sqref="D2989">
    <cfRule type="expression" dxfId="5548" priority="2377">
      <formula>D2985&lt;&gt;""</formula>
    </cfRule>
  </conditionalFormatting>
  <conditionalFormatting sqref="I2974:I2975 C2975:H2975 B2975:B2976">
    <cfRule type="expression" dxfId="5547" priority="2367">
      <formula>$B2977&lt;&gt;""</formula>
    </cfRule>
  </conditionalFormatting>
  <conditionalFormatting sqref="D2977:D2981">
    <cfRule type="expression" dxfId="5546" priority="2401">
      <formula>D2977&lt;&gt;""</formula>
    </cfRule>
  </conditionalFormatting>
  <conditionalFormatting sqref="D2977">
    <cfRule type="expression" dxfId="5545" priority="2400">
      <formula>D2977&lt;&gt;""</formula>
    </cfRule>
  </conditionalFormatting>
  <conditionalFormatting sqref="D2981">
    <cfRule type="expression" dxfId="5544" priority="2399">
      <formula>D2977&lt;&gt;""</formula>
    </cfRule>
  </conditionalFormatting>
  <conditionalFormatting sqref="C2977:C2981">
    <cfRule type="expression" dxfId="5543" priority="2408">
      <formula>D2977&lt;&gt;""</formula>
    </cfRule>
  </conditionalFormatting>
  <conditionalFormatting sqref="E2977:E2981">
    <cfRule type="expression" dxfId="5542" priority="2407">
      <formula>F2977&lt;&gt;""</formula>
    </cfRule>
  </conditionalFormatting>
  <conditionalFormatting sqref="G2977:G2981">
    <cfRule type="expression" dxfId="5541" priority="2406">
      <formula>H2977&lt;&gt;""</formula>
    </cfRule>
  </conditionalFormatting>
  <conditionalFormatting sqref="I2977:I2981">
    <cfRule type="expression" dxfId="5540" priority="2405">
      <formula>B2985&lt;&gt;""</formula>
    </cfRule>
  </conditionalFormatting>
  <conditionalFormatting sqref="B2977:B2981">
    <cfRule type="expression" dxfId="5539" priority="2404">
      <formula>B2977&lt;&gt;""</formula>
    </cfRule>
  </conditionalFormatting>
  <conditionalFormatting sqref="B2977">
    <cfRule type="expression" dxfId="5538" priority="2403">
      <formula>B2977&lt;&gt;""</formula>
    </cfRule>
  </conditionalFormatting>
  <conditionalFormatting sqref="B2981">
    <cfRule type="expression" dxfId="5537" priority="2402">
      <formula>B2977&lt;&gt;""</formula>
    </cfRule>
  </conditionalFormatting>
  <conditionalFormatting sqref="F2977:F2981">
    <cfRule type="expression" dxfId="5536" priority="2398">
      <formula>F2977&lt;&gt;""</formula>
    </cfRule>
  </conditionalFormatting>
  <conditionalFormatting sqref="F2977">
    <cfRule type="expression" dxfId="5535" priority="2397">
      <formula>F2977&lt;&gt;""</formula>
    </cfRule>
  </conditionalFormatting>
  <conditionalFormatting sqref="F2981">
    <cfRule type="expression" dxfId="5534" priority="2396">
      <formula>F2977&lt;&gt;""</formula>
    </cfRule>
  </conditionalFormatting>
  <conditionalFormatting sqref="H2977:H2981">
    <cfRule type="expression" dxfId="5533" priority="2395">
      <formula>H2977&lt;&gt;""</formula>
    </cfRule>
  </conditionalFormatting>
  <conditionalFormatting sqref="H2977">
    <cfRule type="expression" dxfId="5532" priority="2394">
      <formula>H2977&lt;&gt;""</formula>
    </cfRule>
  </conditionalFormatting>
  <conditionalFormatting sqref="H2981">
    <cfRule type="expression" dxfId="5531" priority="2393">
      <formula>H2977&lt;&gt;""</formula>
    </cfRule>
  </conditionalFormatting>
  <conditionalFormatting sqref="F2969:F2973">
    <cfRule type="expression" dxfId="5530" priority="2392">
      <formula>F2969&lt;&gt;""</formula>
    </cfRule>
  </conditionalFormatting>
  <conditionalFormatting sqref="F2969">
    <cfRule type="expression" dxfId="5529" priority="2391">
      <formula>F2969&lt;&gt;""</formula>
    </cfRule>
  </conditionalFormatting>
  <conditionalFormatting sqref="F2973">
    <cfRule type="expression" dxfId="5528" priority="2390">
      <formula>F2969&lt;&gt;""</formula>
    </cfRule>
  </conditionalFormatting>
  <conditionalFormatting sqref="E2969:E2973">
    <cfRule type="expression" dxfId="5527" priority="2389">
      <formula>F2969&lt;&gt;""</formula>
    </cfRule>
  </conditionalFormatting>
  <conditionalFormatting sqref="G2969:G2973">
    <cfRule type="expression" dxfId="5526" priority="2388">
      <formula>H2969&lt;&gt;""</formula>
    </cfRule>
  </conditionalFormatting>
  <conditionalFormatting sqref="I2969:I2973">
    <cfRule type="expression" dxfId="5525" priority="2387">
      <formula>B2977&lt;&gt;""</formula>
    </cfRule>
  </conditionalFormatting>
  <conditionalFormatting sqref="H2969:H2973">
    <cfRule type="expression" dxfId="5524" priority="2386">
      <formula>H2969&lt;&gt;""</formula>
    </cfRule>
  </conditionalFormatting>
  <conditionalFormatting sqref="H2969">
    <cfRule type="expression" dxfId="5523" priority="2385">
      <formula>H2969&lt;&gt;""</formula>
    </cfRule>
  </conditionalFormatting>
  <conditionalFormatting sqref="H2973">
    <cfRule type="expression" dxfId="5522" priority="2384">
      <formula>H2969&lt;&gt;""</formula>
    </cfRule>
  </conditionalFormatting>
  <conditionalFormatting sqref="I2982:I2983 C2983:H2983 B2983:B2984">
    <cfRule type="expression" dxfId="5521" priority="2383">
      <formula>$B2985&lt;&gt;""</formula>
    </cfRule>
  </conditionalFormatting>
  <conditionalFormatting sqref="B2985:B2989">
    <cfRule type="expression" dxfId="5520" priority="2382">
      <formula>B2985&lt;&gt;""</formula>
    </cfRule>
  </conditionalFormatting>
  <conditionalFormatting sqref="B2985">
    <cfRule type="expression" dxfId="5519" priority="2381">
      <formula>B2985&lt;&gt;""</formula>
    </cfRule>
  </conditionalFormatting>
  <conditionalFormatting sqref="B2989">
    <cfRule type="expression" dxfId="5518" priority="2380">
      <formula>B2985&lt;&gt;""</formula>
    </cfRule>
  </conditionalFormatting>
  <conditionalFormatting sqref="F2985:F2989">
    <cfRule type="expression" dxfId="5517" priority="2376">
      <formula>F2985&lt;&gt;""</formula>
    </cfRule>
  </conditionalFormatting>
  <conditionalFormatting sqref="F2985">
    <cfRule type="expression" dxfId="5516" priority="2375">
      <formula>F2985&lt;&gt;""</formula>
    </cfRule>
  </conditionalFormatting>
  <conditionalFormatting sqref="F2989">
    <cfRule type="expression" dxfId="5515" priority="2374">
      <formula>F2985&lt;&gt;""</formula>
    </cfRule>
  </conditionalFormatting>
  <conditionalFormatting sqref="C2985:C2989">
    <cfRule type="expression" dxfId="5514" priority="2373">
      <formula>D2985&lt;&gt;""</formula>
    </cfRule>
  </conditionalFormatting>
  <conditionalFormatting sqref="E2985:E2989">
    <cfRule type="expression" dxfId="5513" priority="2372">
      <formula>F2985&lt;&gt;""</formula>
    </cfRule>
  </conditionalFormatting>
  <conditionalFormatting sqref="G2985:G2989">
    <cfRule type="expression" dxfId="5512" priority="2371">
      <formula>H2985&lt;&gt;""</formula>
    </cfRule>
  </conditionalFormatting>
  <conditionalFormatting sqref="H2985:H2989">
    <cfRule type="expression" dxfId="5511" priority="2370">
      <formula>H2985&lt;&gt;""</formula>
    </cfRule>
  </conditionalFormatting>
  <conditionalFormatting sqref="H2985">
    <cfRule type="expression" dxfId="5510" priority="2369">
      <formula>H2985&lt;&gt;""</formula>
    </cfRule>
  </conditionalFormatting>
  <conditionalFormatting sqref="H2989">
    <cfRule type="expression" dxfId="5509" priority="2368">
      <formula>H2985&lt;&gt;""</formula>
    </cfRule>
  </conditionalFormatting>
  <conditionalFormatting sqref="D2957:D2961">
    <cfRule type="expression" dxfId="5508" priority="2337">
      <formula>D2957&lt;&gt;""</formula>
    </cfRule>
  </conditionalFormatting>
  <conditionalFormatting sqref="D2957">
    <cfRule type="expression" dxfId="5507" priority="2336">
      <formula>D2957&lt;&gt;""</formula>
    </cfRule>
  </conditionalFormatting>
  <conditionalFormatting sqref="D2961">
    <cfRule type="expression" dxfId="5506" priority="2335">
      <formula>D2957&lt;&gt;""</formula>
    </cfRule>
  </conditionalFormatting>
  <conditionalFormatting sqref="I2946:I2947 C2947:H2947 B2947:B2948">
    <cfRule type="expression" dxfId="5505" priority="2325">
      <formula>$B2949&lt;&gt;""</formula>
    </cfRule>
  </conditionalFormatting>
  <conditionalFormatting sqref="D2949:D2953">
    <cfRule type="expression" dxfId="5504" priority="2359">
      <formula>D2949&lt;&gt;""</formula>
    </cfRule>
  </conditionalFormatting>
  <conditionalFormatting sqref="D2949">
    <cfRule type="expression" dxfId="5503" priority="2358">
      <formula>D2949&lt;&gt;""</formula>
    </cfRule>
  </conditionalFormatting>
  <conditionalFormatting sqref="D2953">
    <cfRule type="expression" dxfId="5502" priority="2357">
      <formula>D2949&lt;&gt;""</formula>
    </cfRule>
  </conditionalFormatting>
  <conditionalFormatting sqref="C2949:C2953">
    <cfRule type="expression" dxfId="5501" priority="2366">
      <formula>D2949&lt;&gt;""</formula>
    </cfRule>
  </conditionalFormatting>
  <conditionalFormatting sqref="E2949:E2953">
    <cfRule type="expression" dxfId="5500" priority="2365">
      <formula>F2949&lt;&gt;""</formula>
    </cfRule>
  </conditionalFormatting>
  <conditionalFormatting sqref="G2949:G2953">
    <cfRule type="expression" dxfId="5499" priority="2364">
      <formula>H2949&lt;&gt;""</formula>
    </cfRule>
  </conditionalFormatting>
  <conditionalFormatting sqref="I2949:I2953">
    <cfRule type="expression" dxfId="5498" priority="2363">
      <formula>B2957&lt;&gt;""</formula>
    </cfRule>
  </conditionalFormatting>
  <conditionalFormatting sqref="B2949:B2953">
    <cfRule type="expression" dxfId="5497" priority="2362">
      <formula>B2949&lt;&gt;""</formula>
    </cfRule>
  </conditionalFormatting>
  <conditionalFormatting sqref="B2949">
    <cfRule type="expression" dxfId="5496" priority="2361">
      <formula>B2949&lt;&gt;""</formula>
    </cfRule>
  </conditionalFormatting>
  <conditionalFormatting sqref="B2953">
    <cfRule type="expression" dxfId="5495" priority="2360">
      <formula>B2949&lt;&gt;""</formula>
    </cfRule>
  </conditionalFormatting>
  <conditionalFormatting sqref="F2949:F2953">
    <cfRule type="expression" dxfId="5494" priority="2356">
      <formula>F2949&lt;&gt;""</formula>
    </cfRule>
  </conditionalFormatting>
  <conditionalFormatting sqref="F2949">
    <cfRule type="expression" dxfId="5493" priority="2355">
      <formula>F2949&lt;&gt;""</formula>
    </cfRule>
  </conditionalFormatting>
  <conditionalFormatting sqref="F2953">
    <cfRule type="expression" dxfId="5492" priority="2354">
      <formula>F2949&lt;&gt;""</formula>
    </cfRule>
  </conditionalFormatting>
  <conditionalFormatting sqref="H2949:H2953">
    <cfRule type="expression" dxfId="5491" priority="2353">
      <formula>H2949&lt;&gt;""</formula>
    </cfRule>
  </conditionalFormatting>
  <conditionalFormatting sqref="H2949">
    <cfRule type="expression" dxfId="5490" priority="2352">
      <formula>H2949&lt;&gt;""</formula>
    </cfRule>
  </conditionalFormatting>
  <conditionalFormatting sqref="H2953">
    <cfRule type="expression" dxfId="5489" priority="2351">
      <formula>H2949&lt;&gt;""</formula>
    </cfRule>
  </conditionalFormatting>
  <conditionalFormatting sqref="F2941:F2945">
    <cfRule type="expression" dxfId="5488" priority="2350">
      <formula>F2941&lt;&gt;""</formula>
    </cfRule>
  </conditionalFormatting>
  <conditionalFormatting sqref="F2941">
    <cfRule type="expression" dxfId="5487" priority="2349">
      <formula>F2941&lt;&gt;""</formula>
    </cfRule>
  </conditionalFormatting>
  <conditionalFormatting sqref="F2945">
    <cfRule type="expression" dxfId="5486" priority="2348">
      <formula>F2941&lt;&gt;""</formula>
    </cfRule>
  </conditionalFormatting>
  <conditionalFormatting sqref="E2941:E2945">
    <cfRule type="expression" dxfId="5485" priority="2347">
      <formula>F2941&lt;&gt;""</formula>
    </cfRule>
  </conditionalFormatting>
  <conditionalFormatting sqref="G2941:G2945">
    <cfRule type="expression" dxfId="5484" priority="2346">
      <formula>H2941&lt;&gt;""</formula>
    </cfRule>
  </conditionalFormatting>
  <conditionalFormatting sqref="I2941:I2945">
    <cfRule type="expression" dxfId="5483" priority="2345">
      <formula>B2949&lt;&gt;""</formula>
    </cfRule>
  </conditionalFormatting>
  <conditionalFormatting sqref="H2941:H2945">
    <cfRule type="expression" dxfId="5482" priority="2344">
      <formula>H2941&lt;&gt;""</formula>
    </cfRule>
  </conditionalFormatting>
  <conditionalFormatting sqref="H2941">
    <cfRule type="expression" dxfId="5481" priority="2343">
      <formula>H2941&lt;&gt;""</formula>
    </cfRule>
  </conditionalFormatting>
  <conditionalFormatting sqref="H2945">
    <cfRule type="expression" dxfId="5480" priority="2342">
      <formula>H2941&lt;&gt;""</formula>
    </cfRule>
  </conditionalFormatting>
  <conditionalFormatting sqref="I2954:I2955 C2955:H2955 B2955:B2956">
    <cfRule type="expression" dxfId="5479" priority="2341">
      <formula>$B2957&lt;&gt;""</formula>
    </cfRule>
  </conditionalFormatting>
  <conditionalFormatting sqref="B2957:B2961">
    <cfRule type="expression" dxfId="5478" priority="2340">
      <formula>B2957&lt;&gt;""</formula>
    </cfRule>
  </conditionalFormatting>
  <conditionalFormatting sqref="B2957">
    <cfRule type="expression" dxfId="5477" priority="2339">
      <formula>B2957&lt;&gt;""</formula>
    </cfRule>
  </conditionalFormatting>
  <conditionalFormatting sqref="B2961">
    <cfRule type="expression" dxfId="5476" priority="2338">
      <formula>B2957&lt;&gt;""</formula>
    </cfRule>
  </conditionalFormatting>
  <conditionalFormatting sqref="F2957:F2961">
    <cfRule type="expression" dxfId="5475" priority="2334">
      <formula>F2957&lt;&gt;""</formula>
    </cfRule>
  </conditionalFormatting>
  <conditionalFormatting sqref="F2957">
    <cfRule type="expression" dxfId="5474" priority="2333">
      <formula>F2957&lt;&gt;""</formula>
    </cfRule>
  </conditionalFormatting>
  <conditionalFormatting sqref="F2961">
    <cfRule type="expression" dxfId="5473" priority="2332">
      <formula>F2957&lt;&gt;""</formula>
    </cfRule>
  </conditionalFormatting>
  <conditionalFormatting sqref="C2957:C2961">
    <cfRule type="expression" dxfId="5472" priority="2331">
      <formula>D2957&lt;&gt;""</formula>
    </cfRule>
  </conditionalFormatting>
  <conditionalFormatting sqref="E2957:E2961">
    <cfRule type="expression" dxfId="5471" priority="2330">
      <formula>F2957&lt;&gt;""</formula>
    </cfRule>
  </conditionalFormatting>
  <conditionalFormatting sqref="G2957:G2961">
    <cfRule type="expression" dxfId="5470" priority="2329">
      <formula>H2957&lt;&gt;""</formula>
    </cfRule>
  </conditionalFormatting>
  <conditionalFormatting sqref="H2957:H2961">
    <cfRule type="expression" dxfId="5469" priority="2328">
      <formula>H2957&lt;&gt;""</formula>
    </cfRule>
  </conditionalFormatting>
  <conditionalFormatting sqref="H2957">
    <cfRule type="expression" dxfId="5468" priority="2327">
      <formula>H2957&lt;&gt;""</formula>
    </cfRule>
  </conditionalFormatting>
  <conditionalFormatting sqref="H2961">
    <cfRule type="expression" dxfId="5467" priority="2326">
      <formula>H2957&lt;&gt;""</formula>
    </cfRule>
  </conditionalFormatting>
  <conditionalFormatting sqref="D2929:D2933">
    <cfRule type="expression" dxfId="5466" priority="2295">
      <formula>D2929&lt;&gt;""</formula>
    </cfRule>
  </conditionalFormatting>
  <conditionalFormatting sqref="D2929">
    <cfRule type="expression" dxfId="5465" priority="2294">
      <formula>D2929&lt;&gt;""</formula>
    </cfRule>
  </conditionalFormatting>
  <conditionalFormatting sqref="D2933">
    <cfRule type="expression" dxfId="5464" priority="2293">
      <formula>D2929&lt;&gt;""</formula>
    </cfRule>
  </conditionalFormatting>
  <conditionalFormatting sqref="I2918:I2919 C2919:H2919 B2919:B2920">
    <cfRule type="expression" dxfId="5463" priority="2283">
      <formula>$B2921&lt;&gt;""</formula>
    </cfRule>
  </conditionalFormatting>
  <conditionalFormatting sqref="D2921:D2925">
    <cfRule type="expression" dxfId="5462" priority="2317">
      <formula>D2921&lt;&gt;""</formula>
    </cfRule>
  </conditionalFormatting>
  <conditionalFormatting sqref="D2921">
    <cfRule type="expression" dxfId="5461" priority="2316">
      <formula>D2921&lt;&gt;""</formula>
    </cfRule>
  </conditionalFormatting>
  <conditionalFormatting sqref="D2925">
    <cfRule type="expression" dxfId="5460" priority="2315">
      <formula>D2921&lt;&gt;""</formula>
    </cfRule>
  </conditionalFormatting>
  <conditionalFormatting sqref="C2921:C2925">
    <cfRule type="expression" dxfId="5459" priority="2324">
      <formula>D2921&lt;&gt;""</formula>
    </cfRule>
  </conditionalFormatting>
  <conditionalFormatting sqref="E2921:E2925">
    <cfRule type="expression" dxfId="5458" priority="2323">
      <formula>F2921&lt;&gt;""</formula>
    </cfRule>
  </conditionalFormatting>
  <conditionalFormatting sqref="G2921:G2925">
    <cfRule type="expression" dxfId="5457" priority="2322">
      <formula>H2921&lt;&gt;""</formula>
    </cfRule>
  </conditionalFormatting>
  <conditionalFormatting sqref="I2921:I2925">
    <cfRule type="expression" dxfId="5456" priority="2321">
      <formula>B2929&lt;&gt;""</formula>
    </cfRule>
  </conditionalFormatting>
  <conditionalFormatting sqref="B2921:B2925">
    <cfRule type="expression" dxfId="5455" priority="2320">
      <formula>B2921&lt;&gt;""</formula>
    </cfRule>
  </conditionalFormatting>
  <conditionalFormatting sqref="B2921">
    <cfRule type="expression" dxfId="5454" priority="2319">
      <formula>B2921&lt;&gt;""</formula>
    </cfRule>
  </conditionalFormatting>
  <conditionalFormatting sqref="B2925">
    <cfRule type="expression" dxfId="5453" priority="2318">
      <formula>B2921&lt;&gt;""</formula>
    </cfRule>
  </conditionalFormatting>
  <conditionalFormatting sqref="F2921:F2925">
    <cfRule type="expression" dxfId="5452" priority="2314">
      <formula>F2921&lt;&gt;""</formula>
    </cfRule>
  </conditionalFormatting>
  <conditionalFormatting sqref="F2921">
    <cfRule type="expression" dxfId="5451" priority="2313">
      <formula>F2921&lt;&gt;""</formula>
    </cfRule>
  </conditionalFormatting>
  <conditionalFormatting sqref="F2925">
    <cfRule type="expression" dxfId="5450" priority="2312">
      <formula>F2921&lt;&gt;""</formula>
    </cfRule>
  </conditionalFormatting>
  <conditionalFormatting sqref="H2921:H2925">
    <cfRule type="expression" dxfId="5449" priority="2311">
      <formula>H2921&lt;&gt;""</formula>
    </cfRule>
  </conditionalFormatting>
  <conditionalFormatting sqref="H2921">
    <cfRule type="expression" dxfId="5448" priority="2310">
      <formula>H2921&lt;&gt;""</formula>
    </cfRule>
  </conditionalFormatting>
  <conditionalFormatting sqref="H2925">
    <cfRule type="expression" dxfId="5447" priority="2309">
      <formula>H2921&lt;&gt;""</formula>
    </cfRule>
  </conditionalFormatting>
  <conditionalFormatting sqref="F2913:F2917">
    <cfRule type="expression" dxfId="5446" priority="2308">
      <formula>F2913&lt;&gt;""</formula>
    </cfRule>
  </conditionalFormatting>
  <conditionalFormatting sqref="F2913">
    <cfRule type="expression" dxfId="5445" priority="2307">
      <formula>F2913&lt;&gt;""</formula>
    </cfRule>
  </conditionalFormatting>
  <conditionalFormatting sqref="F2917">
    <cfRule type="expression" dxfId="5444" priority="2306">
      <formula>F2913&lt;&gt;""</formula>
    </cfRule>
  </conditionalFormatting>
  <conditionalFormatting sqref="E2913:E2917">
    <cfRule type="expression" dxfId="5443" priority="2305">
      <formula>F2913&lt;&gt;""</formula>
    </cfRule>
  </conditionalFormatting>
  <conditionalFormatting sqref="G2913:G2917">
    <cfRule type="expression" dxfId="5442" priority="2304">
      <formula>H2913&lt;&gt;""</formula>
    </cfRule>
  </conditionalFormatting>
  <conditionalFormatting sqref="I2913:I2917">
    <cfRule type="expression" dxfId="5441" priority="2303">
      <formula>B2921&lt;&gt;""</formula>
    </cfRule>
  </conditionalFormatting>
  <conditionalFormatting sqref="H2913:H2917">
    <cfRule type="expression" dxfId="5440" priority="2302">
      <formula>H2913&lt;&gt;""</formula>
    </cfRule>
  </conditionalFormatting>
  <conditionalFormatting sqref="H2913">
    <cfRule type="expression" dxfId="5439" priority="2301">
      <formula>H2913&lt;&gt;""</formula>
    </cfRule>
  </conditionalFormatting>
  <conditionalFormatting sqref="H2917">
    <cfRule type="expression" dxfId="5438" priority="2300">
      <formula>H2913&lt;&gt;""</formula>
    </cfRule>
  </conditionalFormatting>
  <conditionalFormatting sqref="I2926:I2927 C2927:H2927 B2927:B2928">
    <cfRule type="expression" dxfId="5437" priority="2299">
      <formula>$B2929&lt;&gt;""</formula>
    </cfRule>
  </conditionalFormatting>
  <conditionalFormatting sqref="B2929:B2933">
    <cfRule type="expression" dxfId="5436" priority="2298">
      <formula>B2929&lt;&gt;""</formula>
    </cfRule>
  </conditionalFormatting>
  <conditionalFormatting sqref="B2929">
    <cfRule type="expression" dxfId="5435" priority="2297">
      <formula>B2929&lt;&gt;""</formula>
    </cfRule>
  </conditionalFormatting>
  <conditionalFormatting sqref="B2933">
    <cfRule type="expression" dxfId="5434" priority="2296">
      <formula>B2929&lt;&gt;""</formula>
    </cfRule>
  </conditionalFormatting>
  <conditionalFormatting sqref="F2929:F2933">
    <cfRule type="expression" dxfId="5433" priority="2292">
      <formula>F2929&lt;&gt;""</formula>
    </cfRule>
  </conditionalFormatting>
  <conditionalFormatting sqref="F2929">
    <cfRule type="expression" dxfId="5432" priority="2291">
      <formula>F2929&lt;&gt;""</formula>
    </cfRule>
  </conditionalFormatting>
  <conditionalFormatting sqref="F2933">
    <cfRule type="expression" dxfId="5431" priority="2290">
      <formula>F2929&lt;&gt;""</formula>
    </cfRule>
  </conditionalFormatting>
  <conditionalFormatting sqref="C2929:C2933">
    <cfRule type="expression" dxfId="5430" priority="2289">
      <formula>D2929&lt;&gt;""</formula>
    </cfRule>
  </conditionalFormatting>
  <conditionalFormatting sqref="E2929:E2933">
    <cfRule type="expression" dxfId="5429" priority="2288">
      <formula>F2929&lt;&gt;""</formula>
    </cfRule>
  </conditionalFormatting>
  <conditionalFormatting sqref="G2929:G2933">
    <cfRule type="expression" dxfId="5428" priority="2287">
      <formula>H2929&lt;&gt;""</formula>
    </cfRule>
  </conditionalFormatting>
  <conditionalFormatting sqref="H2929:H2933">
    <cfRule type="expression" dxfId="5427" priority="2286">
      <formula>H2929&lt;&gt;""</formula>
    </cfRule>
  </conditionalFormatting>
  <conditionalFormatting sqref="H2929">
    <cfRule type="expression" dxfId="5426" priority="2285">
      <formula>H2929&lt;&gt;""</formula>
    </cfRule>
  </conditionalFormatting>
  <conditionalFormatting sqref="H2933">
    <cfRule type="expression" dxfId="5425" priority="2284">
      <formula>H2929&lt;&gt;""</formula>
    </cfRule>
  </conditionalFormatting>
  <conditionalFormatting sqref="D2901:D2905">
    <cfRule type="expression" dxfId="5424" priority="2253">
      <formula>D2901&lt;&gt;""</formula>
    </cfRule>
  </conditionalFormatting>
  <conditionalFormatting sqref="D2901">
    <cfRule type="expression" dxfId="5423" priority="2252">
      <formula>D2901&lt;&gt;""</formula>
    </cfRule>
  </conditionalFormatting>
  <conditionalFormatting sqref="D2905">
    <cfRule type="expression" dxfId="5422" priority="2251">
      <formula>D2901&lt;&gt;""</formula>
    </cfRule>
  </conditionalFormatting>
  <conditionalFormatting sqref="I2890:I2891 C2891:H2891 B2891:B2892">
    <cfRule type="expression" dxfId="5421" priority="2241">
      <formula>$B2893&lt;&gt;""</formula>
    </cfRule>
  </conditionalFormatting>
  <conditionalFormatting sqref="D2893:D2897">
    <cfRule type="expression" dxfId="5420" priority="2275">
      <formula>D2893&lt;&gt;""</formula>
    </cfRule>
  </conditionalFormatting>
  <conditionalFormatting sqref="D2893">
    <cfRule type="expression" dxfId="5419" priority="2274">
      <formula>D2893&lt;&gt;""</formula>
    </cfRule>
  </conditionalFormatting>
  <conditionalFormatting sqref="D2897">
    <cfRule type="expression" dxfId="5418" priority="2273">
      <formula>D2893&lt;&gt;""</formula>
    </cfRule>
  </conditionalFormatting>
  <conditionalFormatting sqref="C2893:C2897">
    <cfRule type="expression" dxfId="5417" priority="2282">
      <formula>D2893&lt;&gt;""</formula>
    </cfRule>
  </conditionalFormatting>
  <conditionalFormatting sqref="E2893:E2897">
    <cfRule type="expression" dxfId="5416" priority="2281">
      <formula>F2893&lt;&gt;""</formula>
    </cfRule>
  </conditionalFormatting>
  <conditionalFormatting sqref="G2893:G2897">
    <cfRule type="expression" dxfId="5415" priority="2280">
      <formula>H2893&lt;&gt;""</formula>
    </cfRule>
  </conditionalFormatting>
  <conditionalFormatting sqref="I2893:I2897">
    <cfRule type="expression" dxfId="5414" priority="2279">
      <formula>B2901&lt;&gt;""</formula>
    </cfRule>
  </conditionalFormatting>
  <conditionalFormatting sqref="B2893:B2897">
    <cfRule type="expression" dxfId="5413" priority="2278">
      <formula>B2893&lt;&gt;""</formula>
    </cfRule>
  </conditionalFormatting>
  <conditionalFormatting sqref="B2893">
    <cfRule type="expression" dxfId="5412" priority="2277">
      <formula>B2893&lt;&gt;""</formula>
    </cfRule>
  </conditionalFormatting>
  <conditionalFormatting sqref="B2897">
    <cfRule type="expression" dxfId="5411" priority="2276">
      <formula>B2893&lt;&gt;""</formula>
    </cfRule>
  </conditionalFormatting>
  <conditionalFormatting sqref="F2893:F2897">
    <cfRule type="expression" dxfId="5410" priority="2272">
      <formula>F2893&lt;&gt;""</formula>
    </cfRule>
  </conditionalFormatting>
  <conditionalFormatting sqref="F2893">
    <cfRule type="expression" dxfId="5409" priority="2271">
      <formula>F2893&lt;&gt;""</formula>
    </cfRule>
  </conditionalFormatting>
  <conditionalFormatting sqref="F2897">
    <cfRule type="expression" dxfId="5408" priority="2270">
      <formula>F2893&lt;&gt;""</formula>
    </cfRule>
  </conditionalFormatting>
  <conditionalFormatting sqref="H2893:H2897">
    <cfRule type="expression" dxfId="5407" priority="2269">
      <formula>H2893&lt;&gt;""</formula>
    </cfRule>
  </conditionalFormatting>
  <conditionalFormatting sqref="H2893">
    <cfRule type="expression" dxfId="5406" priority="2268">
      <formula>H2893&lt;&gt;""</formula>
    </cfRule>
  </conditionalFormatting>
  <conditionalFormatting sqref="H2897">
    <cfRule type="expression" dxfId="5405" priority="2267">
      <formula>H2893&lt;&gt;""</formula>
    </cfRule>
  </conditionalFormatting>
  <conditionalFormatting sqref="F2885:F2889">
    <cfRule type="expression" dxfId="5404" priority="2266">
      <formula>F2885&lt;&gt;""</formula>
    </cfRule>
  </conditionalFormatting>
  <conditionalFormatting sqref="F2885">
    <cfRule type="expression" dxfId="5403" priority="2265">
      <formula>F2885&lt;&gt;""</formula>
    </cfRule>
  </conditionalFormatting>
  <conditionalFormatting sqref="F2889">
    <cfRule type="expression" dxfId="5402" priority="2264">
      <formula>F2885&lt;&gt;""</formula>
    </cfRule>
  </conditionalFormatting>
  <conditionalFormatting sqref="E2885:E2889">
    <cfRule type="expression" dxfId="5401" priority="2263">
      <formula>F2885&lt;&gt;""</formula>
    </cfRule>
  </conditionalFormatting>
  <conditionalFormatting sqref="G2885:G2889">
    <cfRule type="expression" dxfId="5400" priority="2262">
      <formula>H2885&lt;&gt;""</formula>
    </cfRule>
  </conditionalFormatting>
  <conditionalFormatting sqref="I2885:I2889">
    <cfRule type="expression" dxfId="5399" priority="2261">
      <formula>B2893&lt;&gt;""</formula>
    </cfRule>
  </conditionalFormatting>
  <conditionalFormatting sqref="H2885:H2889">
    <cfRule type="expression" dxfId="5398" priority="2260">
      <formula>H2885&lt;&gt;""</formula>
    </cfRule>
  </conditionalFormatting>
  <conditionalFormatting sqref="H2885">
    <cfRule type="expression" dxfId="5397" priority="2259">
      <formula>H2885&lt;&gt;""</formula>
    </cfRule>
  </conditionalFormatting>
  <conditionalFormatting sqref="H2889">
    <cfRule type="expression" dxfId="5396" priority="2258">
      <formula>H2885&lt;&gt;""</formula>
    </cfRule>
  </conditionalFormatting>
  <conditionalFormatting sqref="I2898:I2899 C2899:H2899 B2899:B2900">
    <cfRule type="expression" dxfId="5395" priority="2257">
      <formula>$B2901&lt;&gt;""</formula>
    </cfRule>
  </conditionalFormatting>
  <conditionalFormatting sqref="B2901:B2905">
    <cfRule type="expression" dxfId="5394" priority="2256">
      <formula>B2901&lt;&gt;""</formula>
    </cfRule>
  </conditionalFormatting>
  <conditionalFormatting sqref="B2901">
    <cfRule type="expression" dxfId="5393" priority="2255">
      <formula>B2901&lt;&gt;""</formula>
    </cfRule>
  </conditionalFormatting>
  <conditionalFormatting sqref="B2905">
    <cfRule type="expression" dxfId="5392" priority="2254">
      <formula>B2901&lt;&gt;""</formula>
    </cfRule>
  </conditionalFormatting>
  <conditionalFormatting sqref="F2901:F2905">
    <cfRule type="expression" dxfId="5391" priority="2250">
      <formula>F2901&lt;&gt;""</formula>
    </cfRule>
  </conditionalFormatting>
  <conditionalFormatting sqref="F2901">
    <cfRule type="expression" dxfId="5390" priority="2249">
      <formula>F2901&lt;&gt;""</formula>
    </cfRule>
  </conditionalFormatting>
  <conditionalFormatting sqref="F2905">
    <cfRule type="expression" dxfId="5389" priority="2248">
      <formula>F2901&lt;&gt;""</formula>
    </cfRule>
  </conditionalFormatting>
  <conditionalFormatting sqref="C2901:C2905">
    <cfRule type="expression" dxfId="5388" priority="2247">
      <formula>D2901&lt;&gt;""</formula>
    </cfRule>
  </conditionalFormatting>
  <conditionalFormatting sqref="E2901:E2905">
    <cfRule type="expression" dxfId="5387" priority="2246">
      <formula>F2901&lt;&gt;""</formula>
    </cfRule>
  </conditionalFormatting>
  <conditionalFormatting sqref="G2901:G2905">
    <cfRule type="expression" dxfId="5386" priority="2245">
      <formula>H2901&lt;&gt;""</formula>
    </cfRule>
  </conditionalFormatting>
  <conditionalFormatting sqref="H2901:H2905">
    <cfRule type="expression" dxfId="5385" priority="2244">
      <formula>H2901&lt;&gt;""</formula>
    </cfRule>
  </conditionalFormatting>
  <conditionalFormatting sqref="H2901">
    <cfRule type="expression" dxfId="5384" priority="2243">
      <formula>H2901&lt;&gt;""</formula>
    </cfRule>
  </conditionalFormatting>
  <conditionalFormatting sqref="H2905">
    <cfRule type="expression" dxfId="5383" priority="2242">
      <formula>H2901&lt;&gt;""</formula>
    </cfRule>
  </conditionalFormatting>
  <conditionalFormatting sqref="D2873:D2877">
    <cfRule type="expression" dxfId="5382" priority="2211">
      <formula>D2873&lt;&gt;""</formula>
    </cfRule>
  </conditionalFormatting>
  <conditionalFormatting sqref="D2873">
    <cfRule type="expression" dxfId="5381" priority="2210">
      <formula>D2873&lt;&gt;""</formula>
    </cfRule>
  </conditionalFormatting>
  <conditionalFormatting sqref="D2877">
    <cfRule type="expression" dxfId="5380" priority="2209">
      <formula>D2873&lt;&gt;""</formula>
    </cfRule>
  </conditionalFormatting>
  <conditionalFormatting sqref="I2862:I2863 C2863:H2863 B2863:B2864">
    <cfRule type="expression" dxfId="5379" priority="2199">
      <formula>$B2865&lt;&gt;""</formula>
    </cfRule>
  </conditionalFormatting>
  <conditionalFormatting sqref="D2865:D2869">
    <cfRule type="expression" dxfId="5378" priority="2233">
      <formula>D2865&lt;&gt;""</formula>
    </cfRule>
  </conditionalFormatting>
  <conditionalFormatting sqref="D2865">
    <cfRule type="expression" dxfId="5377" priority="2232">
      <formula>D2865&lt;&gt;""</formula>
    </cfRule>
  </conditionalFormatting>
  <conditionalFormatting sqref="D2869">
    <cfRule type="expression" dxfId="5376" priority="2231">
      <formula>D2865&lt;&gt;""</formula>
    </cfRule>
  </conditionalFormatting>
  <conditionalFormatting sqref="C2865:C2869">
    <cfRule type="expression" dxfId="5375" priority="2240">
      <formula>D2865&lt;&gt;""</formula>
    </cfRule>
  </conditionalFormatting>
  <conditionalFormatting sqref="E2865:E2869">
    <cfRule type="expression" dxfId="5374" priority="2239">
      <formula>F2865&lt;&gt;""</formula>
    </cfRule>
  </conditionalFormatting>
  <conditionalFormatting sqref="G2865:G2869">
    <cfRule type="expression" dxfId="5373" priority="2238">
      <formula>H2865&lt;&gt;""</formula>
    </cfRule>
  </conditionalFormatting>
  <conditionalFormatting sqref="I2865:I2869">
    <cfRule type="expression" dxfId="5372" priority="2237">
      <formula>B2873&lt;&gt;""</formula>
    </cfRule>
  </conditionalFormatting>
  <conditionalFormatting sqref="B2865:B2869">
    <cfRule type="expression" dxfId="5371" priority="2236">
      <formula>B2865&lt;&gt;""</formula>
    </cfRule>
  </conditionalFormatting>
  <conditionalFormatting sqref="B2865">
    <cfRule type="expression" dxfId="5370" priority="2235">
      <formula>B2865&lt;&gt;""</formula>
    </cfRule>
  </conditionalFormatting>
  <conditionalFormatting sqref="B2869">
    <cfRule type="expression" dxfId="5369" priority="2234">
      <formula>B2865&lt;&gt;""</formula>
    </cfRule>
  </conditionalFormatting>
  <conditionalFormatting sqref="F2865:F2869">
    <cfRule type="expression" dxfId="5368" priority="2230">
      <formula>F2865&lt;&gt;""</formula>
    </cfRule>
  </conditionalFormatting>
  <conditionalFormatting sqref="F2865">
    <cfRule type="expression" dxfId="5367" priority="2229">
      <formula>F2865&lt;&gt;""</formula>
    </cfRule>
  </conditionalFormatting>
  <conditionalFormatting sqref="F2869">
    <cfRule type="expression" dxfId="5366" priority="2228">
      <formula>F2865&lt;&gt;""</formula>
    </cfRule>
  </conditionalFormatting>
  <conditionalFormatting sqref="H2865:H2869">
    <cfRule type="expression" dxfId="5365" priority="2227">
      <formula>H2865&lt;&gt;""</formula>
    </cfRule>
  </conditionalFormatting>
  <conditionalFormatting sqref="H2865">
    <cfRule type="expression" dxfId="5364" priority="2226">
      <formula>H2865&lt;&gt;""</formula>
    </cfRule>
  </conditionalFormatting>
  <conditionalFormatting sqref="H2869">
    <cfRule type="expression" dxfId="5363" priority="2225">
      <formula>H2865&lt;&gt;""</formula>
    </cfRule>
  </conditionalFormatting>
  <conditionalFormatting sqref="F2857:F2861">
    <cfRule type="expression" dxfId="5362" priority="2224">
      <formula>F2857&lt;&gt;""</formula>
    </cfRule>
  </conditionalFormatting>
  <conditionalFormatting sqref="F2857">
    <cfRule type="expression" dxfId="5361" priority="2223">
      <formula>F2857&lt;&gt;""</formula>
    </cfRule>
  </conditionalFormatting>
  <conditionalFormatting sqref="F2861">
    <cfRule type="expression" dxfId="5360" priority="2222">
      <formula>F2857&lt;&gt;""</formula>
    </cfRule>
  </conditionalFormatting>
  <conditionalFormatting sqref="E2857:E2861">
    <cfRule type="expression" dxfId="5359" priority="2221">
      <formula>F2857&lt;&gt;""</formula>
    </cfRule>
  </conditionalFormatting>
  <conditionalFormatting sqref="G2857:G2861">
    <cfRule type="expression" dxfId="5358" priority="2220">
      <formula>H2857&lt;&gt;""</formula>
    </cfRule>
  </conditionalFormatting>
  <conditionalFormatting sqref="I2857:I2861">
    <cfRule type="expression" dxfId="5357" priority="2219">
      <formula>B2865&lt;&gt;""</formula>
    </cfRule>
  </conditionalFormatting>
  <conditionalFormatting sqref="H2857:H2861">
    <cfRule type="expression" dxfId="5356" priority="2218">
      <formula>H2857&lt;&gt;""</formula>
    </cfRule>
  </conditionalFormatting>
  <conditionalFormatting sqref="H2857">
    <cfRule type="expression" dxfId="5355" priority="2217">
      <formula>H2857&lt;&gt;""</formula>
    </cfRule>
  </conditionalFormatting>
  <conditionalFormatting sqref="H2861">
    <cfRule type="expression" dxfId="5354" priority="2216">
      <formula>H2857&lt;&gt;""</formula>
    </cfRule>
  </conditionalFormatting>
  <conditionalFormatting sqref="I2870:I2871 C2871:H2871 B2871:B2872">
    <cfRule type="expression" dxfId="5353" priority="2215">
      <formula>$B2873&lt;&gt;""</formula>
    </cfRule>
  </conditionalFormatting>
  <conditionalFormatting sqref="B2873:B2877">
    <cfRule type="expression" dxfId="5352" priority="2214">
      <formula>B2873&lt;&gt;""</formula>
    </cfRule>
  </conditionalFormatting>
  <conditionalFormatting sqref="B2873">
    <cfRule type="expression" dxfId="5351" priority="2213">
      <formula>B2873&lt;&gt;""</formula>
    </cfRule>
  </conditionalFormatting>
  <conditionalFormatting sqref="B2877">
    <cfRule type="expression" dxfId="5350" priority="2212">
      <formula>B2873&lt;&gt;""</formula>
    </cfRule>
  </conditionalFormatting>
  <conditionalFormatting sqref="F2873:F2877">
    <cfRule type="expression" dxfId="5349" priority="2208">
      <formula>F2873&lt;&gt;""</formula>
    </cfRule>
  </conditionalFormatting>
  <conditionalFormatting sqref="F2873">
    <cfRule type="expression" dxfId="5348" priority="2207">
      <formula>F2873&lt;&gt;""</formula>
    </cfRule>
  </conditionalFormatting>
  <conditionalFormatting sqref="F2877">
    <cfRule type="expression" dxfId="5347" priority="2206">
      <formula>F2873&lt;&gt;""</formula>
    </cfRule>
  </conditionalFormatting>
  <conditionalFormatting sqref="C2873:C2877">
    <cfRule type="expression" dxfId="5346" priority="2205">
      <formula>D2873&lt;&gt;""</formula>
    </cfRule>
  </conditionalFormatting>
  <conditionalFormatting sqref="E2873:E2877">
    <cfRule type="expression" dxfId="5345" priority="2204">
      <formula>F2873&lt;&gt;""</formula>
    </cfRule>
  </conditionalFormatting>
  <conditionalFormatting sqref="G2873:G2877">
    <cfRule type="expression" dxfId="5344" priority="2203">
      <formula>H2873&lt;&gt;""</formula>
    </cfRule>
  </conditionalFormatting>
  <conditionalFormatting sqref="H2873:H2877">
    <cfRule type="expression" dxfId="5343" priority="2202">
      <formula>H2873&lt;&gt;""</formula>
    </cfRule>
  </conditionalFormatting>
  <conditionalFormatting sqref="H2873">
    <cfRule type="expression" dxfId="5342" priority="2201">
      <formula>H2873&lt;&gt;""</formula>
    </cfRule>
  </conditionalFormatting>
  <conditionalFormatting sqref="H2877">
    <cfRule type="expression" dxfId="5341" priority="2200">
      <formula>H2873&lt;&gt;""</formula>
    </cfRule>
  </conditionalFormatting>
  <conditionalFormatting sqref="D2845:D2849">
    <cfRule type="expression" dxfId="5340" priority="2169">
      <formula>D2845&lt;&gt;""</formula>
    </cfRule>
  </conditionalFormatting>
  <conditionalFormatting sqref="D2845">
    <cfRule type="expression" dxfId="5339" priority="2168">
      <formula>D2845&lt;&gt;""</formula>
    </cfRule>
  </conditionalFormatting>
  <conditionalFormatting sqref="D2849">
    <cfRule type="expression" dxfId="5338" priority="2167">
      <formula>D2845&lt;&gt;""</formula>
    </cfRule>
  </conditionalFormatting>
  <conditionalFormatting sqref="I2834:I2835 C2835:H2835 B2835:B2836">
    <cfRule type="expression" dxfId="5337" priority="2157">
      <formula>$B2837&lt;&gt;""</formula>
    </cfRule>
  </conditionalFormatting>
  <conditionalFormatting sqref="D2837:D2841">
    <cfRule type="expression" dxfId="5336" priority="2191">
      <formula>D2837&lt;&gt;""</formula>
    </cfRule>
  </conditionalFormatting>
  <conditionalFormatting sqref="D2837">
    <cfRule type="expression" dxfId="5335" priority="2190">
      <formula>D2837&lt;&gt;""</formula>
    </cfRule>
  </conditionalFormatting>
  <conditionalFormatting sqref="D2841">
    <cfRule type="expression" dxfId="5334" priority="2189">
      <formula>D2837&lt;&gt;""</formula>
    </cfRule>
  </conditionalFormatting>
  <conditionalFormatting sqref="C2837:C2841">
    <cfRule type="expression" dxfId="5333" priority="2198">
      <formula>D2837&lt;&gt;""</formula>
    </cfRule>
  </conditionalFormatting>
  <conditionalFormatting sqref="E2837:E2841">
    <cfRule type="expression" dxfId="5332" priority="2197">
      <formula>F2837&lt;&gt;""</formula>
    </cfRule>
  </conditionalFormatting>
  <conditionalFormatting sqref="G2837:G2841">
    <cfRule type="expression" dxfId="5331" priority="2196">
      <formula>H2837&lt;&gt;""</formula>
    </cfRule>
  </conditionalFormatting>
  <conditionalFormatting sqref="I2837:I2841">
    <cfRule type="expression" dxfId="5330" priority="2195">
      <formula>B2845&lt;&gt;""</formula>
    </cfRule>
  </conditionalFormatting>
  <conditionalFormatting sqref="B2837:B2841">
    <cfRule type="expression" dxfId="5329" priority="2194">
      <formula>B2837&lt;&gt;""</formula>
    </cfRule>
  </conditionalFormatting>
  <conditionalFormatting sqref="B2837">
    <cfRule type="expression" dxfId="5328" priority="2193">
      <formula>B2837&lt;&gt;""</formula>
    </cfRule>
  </conditionalFormatting>
  <conditionalFormatting sqref="B2841">
    <cfRule type="expression" dxfId="5327" priority="2192">
      <formula>B2837&lt;&gt;""</formula>
    </cfRule>
  </conditionalFormatting>
  <conditionalFormatting sqref="F2837:F2841">
    <cfRule type="expression" dxfId="5326" priority="2188">
      <formula>F2837&lt;&gt;""</formula>
    </cfRule>
  </conditionalFormatting>
  <conditionalFormatting sqref="F2837">
    <cfRule type="expression" dxfId="5325" priority="2187">
      <formula>F2837&lt;&gt;""</formula>
    </cfRule>
  </conditionalFormatting>
  <conditionalFormatting sqref="F2841">
    <cfRule type="expression" dxfId="5324" priority="2186">
      <formula>F2837&lt;&gt;""</formula>
    </cfRule>
  </conditionalFormatting>
  <conditionalFormatting sqref="H2837:H2841">
    <cfRule type="expression" dxfId="5323" priority="2185">
      <formula>H2837&lt;&gt;""</formula>
    </cfRule>
  </conditionalFormatting>
  <conditionalFormatting sqref="H2837">
    <cfRule type="expression" dxfId="5322" priority="2184">
      <formula>H2837&lt;&gt;""</formula>
    </cfRule>
  </conditionalFormatting>
  <conditionalFormatting sqref="H2841">
    <cfRule type="expression" dxfId="5321" priority="2183">
      <formula>H2837&lt;&gt;""</formula>
    </cfRule>
  </conditionalFormatting>
  <conditionalFormatting sqref="F2829:F2833">
    <cfRule type="expression" dxfId="5320" priority="2182">
      <formula>F2829&lt;&gt;""</formula>
    </cfRule>
  </conditionalFormatting>
  <conditionalFormatting sqref="F2829">
    <cfRule type="expression" dxfId="5319" priority="2181">
      <formula>F2829&lt;&gt;""</formula>
    </cfRule>
  </conditionalFormatting>
  <conditionalFormatting sqref="F2833">
    <cfRule type="expression" dxfId="5318" priority="2180">
      <formula>F2829&lt;&gt;""</formula>
    </cfRule>
  </conditionalFormatting>
  <conditionalFormatting sqref="E2829:E2833">
    <cfRule type="expression" dxfId="5317" priority="2179">
      <formula>F2829&lt;&gt;""</formula>
    </cfRule>
  </conditionalFormatting>
  <conditionalFormatting sqref="G2829:G2833">
    <cfRule type="expression" dxfId="5316" priority="2178">
      <formula>H2829&lt;&gt;""</formula>
    </cfRule>
  </conditionalFormatting>
  <conditionalFormatting sqref="I2829:I2833">
    <cfRule type="expression" dxfId="5315" priority="2177">
      <formula>B2837&lt;&gt;""</formula>
    </cfRule>
  </conditionalFormatting>
  <conditionalFormatting sqref="H2829:H2833">
    <cfRule type="expression" dxfId="5314" priority="2176">
      <formula>H2829&lt;&gt;""</formula>
    </cfRule>
  </conditionalFormatting>
  <conditionalFormatting sqref="H2829">
    <cfRule type="expression" dxfId="5313" priority="2175">
      <formula>H2829&lt;&gt;""</formula>
    </cfRule>
  </conditionalFormatting>
  <conditionalFormatting sqref="H2833">
    <cfRule type="expression" dxfId="5312" priority="2174">
      <formula>H2829&lt;&gt;""</formula>
    </cfRule>
  </conditionalFormatting>
  <conditionalFormatting sqref="I2842:I2843 C2843:H2843 B2843:B2844">
    <cfRule type="expression" dxfId="5311" priority="2173">
      <formula>$B2845&lt;&gt;""</formula>
    </cfRule>
  </conditionalFormatting>
  <conditionalFormatting sqref="B2845:B2849">
    <cfRule type="expression" dxfId="5310" priority="2172">
      <formula>B2845&lt;&gt;""</formula>
    </cfRule>
  </conditionalFormatting>
  <conditionalFormatting sqref="B2845">
    <cfRule type="expression" dxfId="5309" priority="2171">
      <formula>B2845&lt;&gt;""</formula>
    </cfRule>
  </conditionalFormatting>
  <conditionalFormatting sqref="B2849">
    <cfRule type="expression" dxfId="5308" priority="2170">
      <formula>B2845&lt;&gt;""</formula>
    </cfRule>
  </conditionalFormatting>
  <conditionalFormatting sqref="F2845:F2849">
    <cfRule type="expression" dxfId="5307" priority="2166">
      <formula>F2845&lt;&gt;""</formula>
    </cfRule>
  </conditionalFormatting>
  <conditionalFormatting sqref="F2845">
    <cfRule type="expression" dxfId="5306" priority="2165">
      <formula>F2845&lt;&gt;""</formula>
    </cfRule>
  </conditionalFormatting>
  <conditionalFormatting sqref="F2849">
    <cfRule type="expression" dxfId="5305" priority="2164">
      <formula>F2845&lt;&gt;""</formula>
    </cfRule>
  </conditionalFormatting>
  <conditionalFormatting sqref="C2845:C2849">
    <cfRule type="expression" dxfId="5304" priority="2163">
      <formula>D2845&lt;&gt;""</formula>
    </cfRule>
  </conditionalFormatting>
  <conditionalFormatting sqref="E2845:E2849">
    <cfRule type="expression" dxfId="5303" priority="2162">
      <formula>F2845&lt;&gt;""</formula>
    </cfRule>
  </conditionalFormatting>
  <conditionalFormatting sqref="G2845:G2849">
    <cfRule type="expression" dxfId="5302" priority="2161">
      <formula>H2845&lt;&gt;""</formula>
    </cfRule>
  </conditionalFormatting>
  <conditionalFormatting sqref="H2845:H2849">
    <cfRule type="expression" dxfId="5301" priority="2160">
      <formula>H2845&lt;&gt;""</formula>
    </cfRule>
  </conditionalFormatting>
  <conditionalFormatting sqref="H2845">
    <cfRule type="expression" dxfId="5300" priority="2159">
      <formula>H2845&lt;&gt;""</formula>
    </cfRule>
  </conditionalFormatting>
  <conditionalFormatting sqref="H2849">
    <cfRule type="expression" dxfId="5299" priority="2158">
      <formula>H2845&lt;&gt;""</formula>
    </cfRule>
  </conditionalFormatting>
  <conditionalFormatting sqref="B2829:B2833">
    <cfRule type="expression" dxfId="5298" priority="2156">
      <formula>B2829&lt;&gt;""</formula>
    </cfRule>
  </conditionalFormatting>
  <conditionalFormatting sqref="B2829">
    <cfRule type="expression" dxfId="5297" priority="2155">
      <formula>B2829&lt;&gt;""</formula>
    </cfRule>
  </conditionalFormatting>
  <conditionalFormatting sqref="B2833">
    <cfRule type="expression" dxfId="5296" priority="2154">
      <formula>B2829&lt;&gt;""</formula>
    </cfRule>
  </conditionalFormatting>
  <conditionalFormatting sqref="C2829:C2833">
    <cfRule type="expression" dxfId="5295" priority="2153">
      <formula>D2829&lt;&gt;""</formula>
    </cfRule>
  </conditionalFormatting>
  <conditionalFormatting sqref="D2829:D2833">
    <cfRule type="expression" dxfId="5294" priority="2152">
      <formula>D2829&lt;&gt;""</formula>
    </cfRule>
  </conditionalFormatting>
  <conditionalFormatting sqref="D2829">
    <cfRule type="expression" dxfId="5293" priority="2151">
      <formula>D2829&lt;&gt;""</formula>
    </cfRule>
  </conditionalFormatting>
  <conditionalFormatting sqref="D2833">
    <cfRule type="expression" dxfId="5292" priority="2150">
      <formula>D2829&lt;&gt;""</formula>
    </cfRule>
  </conditionalFormatting>
  <conditionalFormatting sqref="B2857:B2861">
    <cfRule type="expression" dxfId="5291" priority="2149">
      <formula>B2857&lt;&gt;""</formula>
    </cfRule>
  </conditionalFormatting>
  <conditionalFormatting sqref="B2857">
    <cfRule type="expression" dxfId="5290" priority="2148">
      <formula>B2857&lt;&gt;""</formula>
    </cfRule>
  </conditionalFormatting>
  <conditionalFormatting sqref="B2861">
    <cfRule type="expression" dxfId="5289" priority="2147">
      <formula>B2857&lt;&gt;""</formula>
    </cfRule>
  </conditionalFormatting>
  <conditionalFormatting sqref="C2857:C2861">
    <cfRule type="expression" dxfId="5288" priority="2146">
      <formula>D2857&lt;&gt;""</formula>
    </cfRule>
  </conditionalFormatting>
  <conditionalFormatting sqref="D2857:D2861">
    <cfRule type="expression" dxfId="5287" priority="2145">
      <formula>D2857&lt;&gt;""</formula>
    </cfRule>
  </conditionalFormatting>
  <conditionalFormatting sqref="D2857">
    <cfRule type="expression" dxfId="5286" priority="2144">
      <formula>D2857&lt;&gt;""</formula>
    </cfRule>
  </conditionalFormatting>
  <conditionalFormatting sqref="D2861">
    <cfRule type="expression" dxfId="5285" priority="2143">
      <formula>D2857&lt;&gt;""</formula>
    </cfRule>
  </conditionalFormatting>
  <conditionalFormatting sqref="B2885:B2889">
    <cfRule type="expression" dxfId="5284" priority="2142">
      <formula>B2885&lt;&gt;""</formula>
    </cfRule>
  </conditionalFormatting>
  <conditionalFormatting sqref="B2885">
    <cfRule type="expression" dxfId="5283" priority="2141">
      <formula>B2885&lt;&gt;""</formula>
    </cfRule>
  </conditionalFormatting>
  <conditionalFormatting sqref="B2889">
    <cfRule type="expression" dxfId="5282" priority="2140">
      <formula>B2885&lt;&gt;""</formula>
    </cfRule>
  </conditionalFormatting>
  <conditionalFormatting sqref="C2885:C2889">
    <cfRule type="expression" dxfId="5281" priority="2139">
      <formula>D2885&lt;&gt;""</formula>
    </cfRule>
  </conditionalFormatting>
  <conditionalFormatting sqref="D2885:D2889">
    <cfRule type="expression" dxfId="5280" priority="2138">
      <formula>D2885&lt;&gt;""</formula>
    </cfRule>
  </conditionalFormatting>
  <conditionalFormatting sqref="D2885">
    <cfRule type="expression" dxfId="5279" priority="2137">
      <formula>D2885&lt;&gt;""</formula>
    </cfRule>
  </conditionalFormatting>
  <conditionalFormatting sqref="D2889">
    <cfRule type="expression" dxfId="5278" priority="2136">
      <formula>D2885&lt;&gt;""</formula>
    </cfRule>
  </conditionalFormatting>
  <conditionalFormatting sqref="B2913:B2917">
    <cfRule type="expression" dxfId="5277" priority="2135">
      <formula>B2913&lt;&gt;""</formula>
    </cfRule>
  </conditionalFormatting>
  <conditionalFormatting sqref="B2913">
    <cfRule type="expression" dxfId="5276" priority="2134">
      <formula>B2913&lt;&gt;""</formula>
    </cfRule>
  </conditionalFormatting>
  <conditionalFormatting sqref="B2917">
    <cfRule type="expression" dxfId="5275" priority="2133">
      <formula>B2913&lt;&gt;""</formula>
    </cfRule>
  </conditionalFormatting>
  <conditionalFormatting sqref="C2913:C2917">
    <cfRule type="expression" dxfId="5274" priority="2132">
      <formula>D2913&lt;&gt;""</formula>
    </cfRule>
  </conditionalFormatting>
  <conditionalFormatting sqref="D2913:D2917">
    <cfRule type="expression" dxfId="5273" priority="2131">
      <formula>D2913&lt;&gt;""</formula>
    </cfRule>
  </conditionalFormatting>
  <conditionalFormatting sqref="D2913">
    <cfRule type="expression" dxfId="5272" priority="2130">
      <formula>D2913&lt;&gt;""</formula>
    </cfRule>
  </conditionalFormatting>
  <conditionalFormatting sqref="D2917">
    <cfRule type="expression" dxfId="5271" priority="2129">
      <formula>D2913&lt;&gt;""</formula>
    </cfRule>
  </conditionalFormatting>
  <conditionalFormatting sqref="B2941:B2945">
    <cfRule type="expression" dxfId="5270" priority="2128">
      <formula>B2941&lt;&gt;""</formula>
    </cfRule>
  </conditionalFormatting>
  <conditionalFormatting sqref="B2941">
    <cfRule type="expression" dxfId="5269" priority="2127">
      <formula>B2941&lt;&gt;""</formula>
    </cfRule>
  </conditionalFormatting>
  <conditionalFormatting sqref="B2945">
    <cfRule type="expression" dxfId="5268" priority="2126">
      <formula>B2941&lt;&gt;""</formula>
    </cfRule>
  </conditionalFormatting>
  <conditionalFormatting sqref="C2941:C2945">
    <cfRule type="expression" dxfId="5267" priority="2125">
      <formula>D2941&lt;&gt;""</formula>
    </cfRule>
  </conditionalFormatting>
  <conditionalFormatting sqref="D2941:D2945">
    <cfRule type="expression" dxfId="5266" priority="2124">
      <formula>D2941&lt;&gt;""</formula>
    </cfRule>
  </conditionalFormatting>
  <conditionalFormatting sqref="D2941">
    <cfRule type="expression" dxfId="5265" priority="2123">
      <formula>D2941&lt;&gt;""</formula>
    </cfRule>
  </conditionalFormatting>
  <conditionalFormatting sqref="D2945">
    <cfRule type="expression" dxfId="5264" priority="2122">
      <formula>D2941&lt;&gt;""</formula>
    </cfRule>
  </conditionalFormatting>
  <conditionalFormatting sqref="B2969:B2973">
    <cfRule type="expression" dxfId="5263" priority="2121">
      <formula>B2969&lt;&gt;""</formula>
    </cfRule>
  </conditionalFormatting>
  <conditionalFormatting sqref="B2969">
    <cfRule type="expression" dxfId="5262" priority="2120">
      <formula>B2969&lt;&gt;""</formula>
    </cfRule>
  </conditionalFormatting>
  <conditionalFormatting sqref="B2973">
    <cfRule type="expression" dxfId="5261" priority="2119">
      <formula>B2969&lt;&gt;""</formula>
    </cfRule>
  </conditionalFormatting>
  <conditionalFormatting sqref="C2969:C2973">
    <cfRule type="expression" dxfId="5260" priority="2118">
      <formula>D2969&lt;&gt;""</formula>
    </cfRule>
  </conditionalFormatting>
  <conditionalFormatting sqref="D2969:D2973">
    <cfRule type="expression" dxfId="5259" priority="2117">
      <formula>D2969&lt;&gt;""</formula>
    </cfRule>
  </conditionalFormatting>
  <conditionalFormatting sqref="D2969">
    <cfRule type="expression" dxfId="5258" priority="2116">
      <formula>D2969&lt;&gt;""</formula>
    </cfRule>
  </conditionalFormatting>
  <conditionalFormatting sqref="D2973">
    <cfRule type="expression" dxfId="5257" priority="2115">
      <formula>D2969&lt;&gt;""</formula>
    </cfRule>
  </conditionalFormatting>
  <conditionalFormatting sqref="B2997:B3001">
    <cfRule type="expression" dxfId="5256" priority="2114">
      <formula>B2997&lt;&gt;""</formula>
    </cfRule>
  </conditionalFormatting>
  <conditionalFormatting sqref="B2997">
    <cfRule type="expression" dxfId="5255" priority="2113">
      <formula>B2997&lt;&gt;""</formula>
    </cfRule>
  </conditionalFormatting>
  <conditionalFormatting sqref="B3001">
    <cfRule type="expression" dxfId="5254" priority="2112">
      <formula>B2997&lt;&gt;""</formula>
    </cfRule>
  </conditionalFormatting>
  <conditionalFormatting sqref="C2997:C3001">
    <cfRule type="expression" dxfId="5253" priority="2111">
      <formula>D2997&lt;&gt;""</formula>
    </cfRule>
  </conditionalFormatting>
  <conditionalFormatting sqref="D2997:D3001">
    <cfRule type="expression" dxfId="5252" priority="2110">
      <formula>D2997&lt;&gt;""</formula>
    </cfRule>
  </conditionalFormatting>
  <conditionalFormatting sqref="D2997">
    <cfRule type="expression" dxfId="5251" priority="2109">
      <formula>D2997&lt;&gt;""</formula>
    </cfRule>
  </conditionalFormatting>
  <conditionalFormatting sqref="D3001">
    <cfRule type="expression" dxfId="5250" priority="2108">
      <formula>D2997&lt;&gt;""</formula>
    </cfRule>
  </conditionalFormatting>
  <conditionalFormatting sqref="D3041:D3045">
    <cfRule type="expression" dxfId="5249" priority="2079">
      <formula>D3041&lt;&gt;""</formula>
    </cfRule>
  </conditionalFormatting>
  <conditionalFormatting sqref="D3041">
    <cfRule type="expression" dxfId="5248" priority="2078">
      <formula>D3041&lt;&gt;""</formula>
    </cfRule>
  </conditionalFormatting>
  <conditionalFormatting sqref="D3045">
    <cfRule type="expression" dxfId="5247" priority="2077">
      <formula>D3041&lt;&gt;""</formula>
    </cfRule>
  </conditionalFormatting>
  <conditionalFormatting sqref="D3033:D3037">
    <cfRule type="expression" dxfId="5246" priority="2100">
      <formula>D3033&lt;&gt;""</formula>
    </cfRule>
  </conditionalFormatting>
  <conditionalFormatting sqref="D3033">
    <cfRule type="expression" dxfId="5245" priority="2099">
      <formula>D3033&lt;&gt;""</formula>
    </cfRule>
  </conditionalFormatting>
  <conditionalFormatting sqref="D3037">
    <cfRule type="expression" dxfId="5244" priority="2098">
      <formula>D3033&lt;&gt;""</formula>
    </cfRule>
  </conditionalFormatting>
  <conditionalFormatting sqref="C3033:C3037">
    <cfRule type="expression" dxfId="5243" priority="2107">
      <formula>D3033&lt;&gt;""</formula>
    </cfRule>
  </conditionalFormatting>
  <conditionalFormatting sqref="E3033:E3037">
    <cfRule type="expression" dxfId="5242" priority="2106">
      <formula>F3033&lt;&gt;""</formula>
    </cfRule>
  </conditionalFormatting>
  <conditionalFormatting sqref="G3033:G3037">
    <cfRule type="expression" dxfId="5241" priority="2105">
      <formula>H3033&lt;&gt;""</formula>
    </cfRule>
  </conditionalFormatting>
  <conditionalFormatting sqref="I3033:I3037">
    <cfRule type="expression" dxfId="5240" priority="2104">
      <formula>B3041&lt;&gt;""</formula>
    </cfRule>
  </conditionalFormatting>
  <conditionalFormatting sqref="B3033:B3037">
    <cfRule type="expression" dxfId="5239" priority="2103">
      <formula>B3033&lt;&gt;""</formula>
    </cfRule>
  </conditionalFormatting>
  <conditionalFormatting sqref="B3033">
    <cfRule type="expression" dxfId="5238" priority="2102">
      <formula>B3033&lt;&gt;""</formula>
    </cfRule>
  </conditionalFormatting>
  <conditionalFormatting sqref="B3037">
    <cfRule type="expression" dxfId="5237" priority="2101">
      <formula>B3033&lt;&gt;""</formula>
    </cfRule>
  </conditionalFormatting>
  <conditionalFormatting sqref="F3033:F3037">
    <cfRule type="expression" dxfId="5236" priority="2097">
      <formula>F3033&lt;&gt;""</formula>
    </cfRule>
  </conditionalFormatting>
  <conditionalFormatting sqref="F3033">
    <cfRule type="expression" dxfId="5235" priority="2096">
      <formula>F3033&lt;&gt;""</formula>
    </cfRule>
  </conditionalFormatting>
  <conditionalFormatting sqref="F3037">
    <cfRule type="expression" dxfId="5234" priority="2095">
      <formula>F3033&lt;&gt;""</formula>
    </cfRule>
  </conditionalFormatting>
  <conditionalFormatting sqref="H3033:H3037">
    <cfRule type="expression" dxfId="5233" priority="2094">
      <formula>H3033&lt;&gt;""</formula>
    </cfRule>
  </conditionalFormatting>
  <conditionalFormatting sqref="H3033">
    <cfRule type="expression" dxfId="5232" priority="2093">
      <formula>H3033&lt;&gt;""</formula>
    </cfRule>
  </conditionalFormatting>
  <conditionalFormatting sqref="H3037">
    <cfRule type="expression" dxfId="5231" priority="2092">
      <formula>H3033&lt;&gt;""</formula>
    </cfRule>
  </conditionalFormatting>
  <conditionalFormatting sqref="F3025:F3029">
    <cfRule type="expression" dxfId="5230" priority="2091">
      <formula>F3025&lt;&gt;""</formula>
    </cfRule>
  </conditionalFormatting>
  <conditionalFormatting sqref="F3025">
    <cfRule type="expression" dxfId="5229" priority="2090">
      <formula>F3025&lt;&gt;""</formula>
    </cfRule>
  </conditionalFormatting>
  <conditionalFormatting sqref="F3029">
    <cfRule type="expression" dxfId="5228" priority="2089">
      <formula>F3025&lt;&gt;""</formula>
    </cfRule>
  </conditionalFormatting>
  <conditionalFormatting sqref="E3025:E3029">
    <cfRule type="expression" dxfId="5227" priority="2088">
      <formula>F3025&lt;&gt;""</formula>
    </cfRule>
  </conditionalFormatting>
  <conditionalFormatting sqref="G3025:G3029">
    <cfRule type="expression" dxfId="5226" priority="2087">
      <formula>H3025&lt;&gt;""</formula>
    </cfRule>
  </conditionalFormatting>
  <conditionalFormatting sqref="I3025:I3029">
    <cfRule type="expression" dxfId="5225" priority="2086">
      <formula>B3033&lt;&gt;""</formula>
    </cfRule>
  </conditionalFormatting>
  <conditionalFormatting sqref="H3025:H3029">
    <cfRule type="expression" dxfId="5224" priority="2085">
      <formula>H3025&lt;&gt;""</formula>
    </cfRule>
  </conditionalFormatting>
  <conditionalFormatting sqref="H3025">
    <cfRule type="expression" dxfId="5223" priority="2084">
      <formula>H3025&lt;&gt;""</formula>
    </cfRule>
  </conditionalFormatting>
  <conditionalFormatting sqref="H3029">
    <cfRule type="expression" dxfId="5222" priority="2083">
      <formula>H3025&lt;&gt;""</formula>
    </cfRule>
  </conditionalFormatting>
  <conditionalFormatting sqref="B3041:B3045">
    <cfRule type="expression" dxfId="5221" priority="2082">
      <formula>B3041&lt;&gt;""</formula>
    </cfRule>
  </conditionalFormatting>
  <conditionalFormatting sqref="B3041">
    <cfRule type="expression" dxfId="5220" priority="2081">
      <formula>B3041&lt;&gt;""</formula>
    </cfRule>
  </conditionalFormatting>
  <conditionalFormatting sqref="B3045">
    <cfRule type="expression" dxfId="5219" priority="2080">
      <formula>B3041&lt;&gt;""</formula>
    </cfRule>
  </conditionalFormatting>
  <conditionalFormatting sqref="F3041:F3045">
    <cfRule type="expression" dxfId="5218" priority="2076">
      <formula>F3041&lt;&gt;""</formula>
    </cfRule>
  </conditionalFormatting>
  <conditionalFormatting sqref="F3041">
    <cfRule type="expression" dxfId="5217" priority="2075">
      <formula>F3041&lt;&gt;""</formula>
    </cfRule>
  </conditionalFormatting>
  <conditionalFormatting sqref="F3045">
    <cfRule type="expression" dxfId="5216" priority="2074">
      <formula>F3041&lt;&gt;""</formula>
    </cfRule>
  </conditionalFormatting>
  <conditionalFormatting sqref="C3041:C3045">
    <cfRule type="expression" dxfId="5215" priority="2073">
      <formula>D3041&lt;&gt;""</formula>
    </cfRule>
  </conditionalFormatting>
  <conditionalFormatting sqref="E3041:E3045">
    <cfRule type="expression" dxfId="5214" priority="2072">
      <formula>F3041&lt;&gt;""</formula>
    </cfRule>
  </conditionalFormatting>
  <conditionalFormatting sqref="G3041:G3045">
    <cfRule type="expression" dxfId="5213" priority="2071">
      <formula>H3041&lt;&gt;""</formula>
    </cfRule>
  </conditionalFormatting>
  <conditionalFormatting sqref="H3041:H3045">
    <cfRule type="expression" dxfId="5212" priority="2070">
      <formula>H3041&lt;&gt;""</formula>
    </cfRule>
  </conditionalFormatting>
  <conditionalFormatting sqref="H3041">
    <cfRule type="expression" dxfId="5211" priority="2069">
      <formula>H3041&lt;&gt;""</formula>
    </cfRule>
  </conditionalFormatting>
  <conditionalFormatting sqref="H3045">
    <cfRule type="expression" dxfId="5210" priority="2068">
      <formula>H3041&lt;&gt;""</formula>
    </cfRule>
  </conditionalFormatting>
  <conditionalFormatting sqref="D3069:D3073">
    <cfRule type="expression" dxfId="5209" priority="2039">
      <formula>D3069&lt;&gt;""</formula>
    </cfRule>
  </conditionalFormatting>
  <conditionalFormatting sqref="D3069">
    <cfRule type="expression" dxfId="5208" priority="2038">
      <formula>D3069&lt;&gt;""</formula>
    </cfRule>
  </conditionalFormatting>
  <conditionalFormatting sqref="D3073">
    <cfRule type="expression" dxfId="5207" priority="2037">
      <formula>D3069&lt;&gt;""</formula>
    </cfRule>
  </conditionalFormatting>
  <conditionalFormatting sqref="D3061:D3065">
    <cfRule type="expression" dxfId="5206" priority="2060">
      <formula>D3061&lt;&gt;""</formula>
    </cfRule>
  </conditionalFormatting>
  <conditionalFormatting sqref="D3061">
    <cfRule type="expression" dxfId="5205" priority="2059">
      <formula>D3061&lt;&gt;""</formula>
    </cfRule>
  </conditionalFormatting>
  <conditionalFormatting sqref="D3065">
    <cfRule type="expression" dxfId="5204" priority="2058">
      <formula>D3061&lt;&gt;""</formula>
    </cfRule>
  </conditionalFormatting>
  <conditionalFormatting sqref="C3061:C3065">
    <cfRule type="expression" dxfId="5203" priority="2067">
      <formula>D3061&lt;&gt;""</formula>
    </cfRule>
  </conditionalFormatting>
  <conditionalFormatting sqref="E3061:E3065">
    <cfRule type="expression" dxfId="5202" priority="2066">
      <formula>F3061&lt;&gt;""</formula>
    </cfRule>
  </conditionalFormatting>
  <conditionalFormatting sqref="G3061:G3065">
    <cfRule type="expression" dxfId="5201" priority="2065">
      <formula>H3061&lt;&gt;""</formula>
    </cfRule>
  </conditionalFormatting>
  <conditionalFormatting sqref="I3061:I3065">
    <cfRule type="expression" dxfId="5200" priority="2064">
      <formula>B3069&lt;&gt;""</formula>
    </cfRule>
  </conditionalFormatting>
  <conditionalFormatting sqref="B3061:B3065">
    <cfRule type="expression" dxfId="5199" priority="2063">
      <formula>B3061&lt;&gt;""</formula>
    </cfRule>
  </conditionalFormatting>
  <conditionalFormatting sqref="B3061">
    <cfRule type="expression" dxfId="5198" priority="2062">
      <formula>B3061&lt;&gt;""</formula>
    </cfRule>
  </conditionalFormatting>
  <conditionalFormatting sqref="B3065">
    <cfRule type="expression" dxfId="5197" priority="2061">
      <formula>B3061&lt;&gt;""</formula>
    </cfRule>
  </conditionalFormatting>
  <conditionalFormatting sqref="F3061:F3065">
    <cfRule type="expression" dxfId="5196" priority="2057">
      <formula>F3061&lt;&gt;""</formula>
    </cfRule>
  </conditionalFormatting>
  <conditionalFormatting sqref="F3061">
    <cfRule type="expression" dxfId="5195" priority="2056">
      <formula>F3061&lt;&gt;""</formula>
    </cfRule>
  </conditionalFormatting>
  <conditionalFormatting sqref="F3065">
    <cfRule type="expression" dxfId="5194" priority="2055">
      <formula>F3061&lt;&gt;""</formula>
    </cfRule>
  </conditionalFormatting>
  <conditionalFormatting sqref="H3061:H3065">
    <cfRule type="expression" dxfId="5193" priority="2054">
      <formula>H3061&lt;&gt;""</formula>
    </cfRule>
  </conditionalFormatting>
  <conditionalFormatting sqref="H3061">
    <cfRule type="expression" dxfId="5192" priority="2053">
      <formula>H3061&lt;&gt;""</formula>
    </cfRule>
  </conditionalFormatting>
  <conditionalFormatting sqref="H3065">
    <cfRule type="expression" dxfId="5191" priority="2052">
      <formula>H3061&lt;&gt;""</formula>
    </cfRule>
  </conditionalFormatting>
  <conditionalFormatting sqref="F3053:F3057">
    <cfRule type="expression" dxfId="5190" priority="2051">
      <formula>F3053&lt;&gt;""</formula>
    </cfRule>
  </conditionalFormatting>
  <conditionalFormatting sqref="F3053">
    <cfRule type="expression" dxfId="5189" priority="2050">
      <formula>F3053&lt;&gt;""</formula>
    </cfRule>
  </conditionalFormatting>
  <conditionalFormatting sqref="F3057">
    <cfRule type="expression" dxfId="5188" priority="2049">
      <formula>F3053&lt;&gt;""</formula>
    </cfRule>
  </conditionalFormatting>
  <conditionalFormatting sqref="E3053:E3057">
    <cfRule type="expression" dxfId="5187" priority="2048">
      <formula>F3053&lt;&gt;""</formula>
    </cfRule>
  </conditionalFormatting>
  <conditionalFormatting sqref="G3053:G3057">
    <cfRule type="expression" dxfId="5186" priority="2047">
      <formula>H3053&lt;&gt;""</formula>
    </cfRule>
  </conditionalFormatting>
  <conditionalFormatting sqref="I3053:I3057">
    <cfRule type="expression" dxfId="5185" priority="2046">
      <formula>B3061&lt;&gt;""</formula>
    </cfRule>
  </conditionalFormatting>
  <conditionalFormatting sqref="H3053:H3057">
    <cfRule type="expression" dxfId="5184" priority="2045">
      <formula>H3053&lt;&gt;""</formula>
    </cfRule>
  </conditionalFormatting>
  <conditionalFormatting sqref="H3053">
    <cfRule type="expression" dxfId="5183" priority="2044">
      <formula>H3053&lt;&gt;""</formula>
    </cfRule>
  </conditionalFormatting>
  <conditionalFormatting sqref="H3057">
    <cfRule type="expression" dxfId="5182" priority="2043">
      <formula>H3053&lt;&gt;""</formula>
    </cfRule>
  </conditionalFormatting>
  <conditionalFormatting sqref="B3069:B3073">
    <cfRule type="expression" dxfId="5181" priority="2042">
      <formula>B3069&lt;&gt;""</formula>
    </cfRule>
  </conditionalFormatting>
  <conditionalFormatting sqref="B3069">
    <cfRule type="expression" dxfId="5180" priority="2041">
      <formula>B3069&lt;&gt;""</formula>
    </cfRule>
  </conditionalFormatting>
  <conditionalFormatting sqref="B3073">
    <cfRule type="expression" dxfId="5179" priority="2040">
      <formula>B3069&lt;&gt;""</formula>
    </cfRule>
  </conditionalFormatting>
  <conditionalFormatting sqref="F3069:F3073">
    <cfRule type="expression" dxfId="5178" priority="2036">
      <formula>F3069&lt;&gt;""</formula>
    </cfRule>
  </conditionalFormatting>
  <conditionalFormatting sqref="F3069">
    <cfRule type="expression" dxfId="5177" priority="2035">
      <formula>F3069&lt;&gt;""</formula>
    </cfRule>
  </conditionalFormatting>
  <conditionalFormatting sqref="F3073">
    <cfRule type="expression" dxfId="5176" priority="2034">
      <formula>F3069&lt;&gt;""</formula>
    </cfRule>
  </conditionalFormatting>
  <conditionalFormatting sqref="C3069:C3073">
    <cfRule type="expression" dxfId="5175" priority="2033">
      <formula>D3069&lt;&gt;""</formula>
    </cfRule>
  </conditionalFormatting>
  <conditionalFormatting sqref="E3069:E3073">
    <cfRule type="expression" dxfId="5174" priority="2032">
      <formula>F3069&lt;&gt;""</formula>
    </cfRule>
  </conditionalFormatting>
  <conditionalFormatting sqref="G3069:G3073">
    <cfRule type="expression" dxfId="5173" priority="2031">
      <formula>H3069&lt;&gt;""</formula>
    </cfRule>
  </conditionalFormatting>
  <conditionalFormatting sqref="H3069:H3073">
    <cfRule type="expression" dxfId="5172" priority="2030">
      <formula>H3069&lt;&gt;""</formula>
    </cfRule>
  </conditionalFormatting>
  <conditionalFormatting sqref="H3069">
    <cfRule type="expression" dxfId="5171" priority="2029">
      <formula>H3069&lt;&gt;""</formula>
    </cfRule>
  </conditionalFormatting>
  <conditionalFormatting sqref="H3073">
    <cfRule type="expression" dxfId="5170" priority="2028">
      <formula>H3069&lt;&gt;""</formula>
    </cfRule>
  </conditionalFormatting>
  <conditionalFormatting sqref="B3053:B3057">
    <cfRule type="expression" dxfId="5169" priority="1976">
      <formula>B3053&lt;&gt;""</formula>
    </cfRule>
  </conditionalFormatting>
  <conditionalFormatting sqref="B3059:B3060 C3059:I3059 I3058">
    <cfRule type="expression" dxfId="5168" priority="2027">
      <formula>$B3061&lt;&gt;""</formula>
    </cfRule>
  </conditionalFormatting>
  <conditionalFormatting sqref="B3067:B3068 C3067:I3067 I3066">
    <cfRule type="expression" dxfId="5167" priority="2026">
      <formula>$B3069&lt;&gt;""</formula>
    </cfRule>
  </conditionalFormatting>
  <conditionalFormatting sqref="D3097:D3101">
    <cfRule type="expression" dxfId="5166" priority="1997">
      <formula>D3097&lt;&gt;""</formula>
    </cfRule>
  </conditionalFormatting>
  <conditionalFormatting sqref="D3097">
    <cfRule type="expression" dxfId="5165" priority="1996">
      <formula>D3097&lt;&gt;""</formula>
    </cfRule>
  </conditionalFormatting>
  <conditionalFormatting sqref="D3101">
    <cfRule type="expression" dxfId="5164" priority="1995">
      <formula>D3097&lt;&gt;""</formula>
    </cfRule>
  </conditionalFormatting>
  <conditionalFormatting sqref="D3089:D3093">
    <cfRule type="expression" dxfId="5163" priority="2018">
      <formula>D3089&lt;&gt;""</formula>
    </cfRule>
  </conditionalFormatting>
  <conditionalFormatting sqref="D3089">
    <cfRule type="expression" dxfId="5162" priority="2017">
      <formula>D3089&lt;&gt;""</formula>
    </cfRule>
  </conditionalFormatting>
  <conditionalFormatting sqref="D3093">
    <cfRule type="expression" dxfId="5161" priority="2016">
      <formula>D3089&lt;&gt;""</formula>
    </cfRule>
  </conditionalFormatting>
  <conditionalFormatting sqref="C3089:C3093">
    <cfRule type="expression" dxfId="5160" priority="2025">
      <formula>D3089&lt;&gt;""</formula>
    </cfRule>
  </conditionalFormatting>
  <conditionalFormatting sqref="E3089:E3093">
    <cfRule type="expression" dxfId="5159" priority="2024">
      <formula>F3089&lt;&gt;""</formula>
    </cfRule>
  </conditionalFormatting>
  <conditionalFormatting sqref="G3089:G3093">
    <cfRule type="expression" dxfId="5158" priority="2023">
      <formula>H3089&lt;&gt;""</formula>
    </cfRule>
  </conditionalFormatting>
  <conditionalFormatting sqref="I3089:I3093">
    <cfRule type="expression" dxfId="5157" priority="2022">
      <formula>B3097&lt;&gt;""</formula>
    </cfRule>
  </conditionalFormatting>
  <conditionalFormatting sqref="B3089:B3093">
    <cfRule type="expression" dxfId="5156" priority="2021">
      <formula>B3089&lt;&gt;""</formula>
    </cfRule>
  </conditionalFormatting>
  <conditionalFormatting sqref="B3089">
    <cfRule type="expression" dxfId="5155" priority="2020">
      <formula>B3089&lt;&gt;""</formula>
    </cfRule>
  </conditionalFormatting>
  <conditionalFormatting sqref="B3093">
    <cfRule type="expression" dxfId="5154" priority="2019">
      <formula>B3089&lt;&gt;""</formula>
    </cfRule>
  </conditionalFormatting>
  <conditionalFormatting sqref="F3089:F3093">
    <cfRule type="expression" dxfId="5153" priority="2015">
      <formula>F3089&lt;&gt;""</formula>
    </cfRule>
  </conditionalFormatting>
  <conditionalFormatting sqref="F3089">
    <cfRule type="expression" dxfId="5152" priority="2014">
      <formula>F3089&lt;&gt;""</formula>
    </cfRule>
  </conditionalFormatting>
  <conditionalFormatting sqref="F3093">
    <cfRule type="expression" dxfId="5151" priority="2013">
      <formula>F3089&lt;&gt;""</formula>
    </cfRule>
  </conditionalFormatting>
  <conditionalFormatting sqref="H3089:H3093">
    <cfRule type="expression" dxfId="5150" priority="2012">
      <formula>H3089&lt;&gt;""</formula>
    </cfRule>
  </conditionalFormatting>
  <conditionalFormatting sqref="H3089">
    <cfRule type="expression" dxfId="5149" priority="2011">
      <formula>H3089&lt;&gt;""</formula>
    </cfRule>
  </conditionalFormatting>
  <conditionalFormatting sqref="H3093">
    <cfRule type="expression" dxfId="5148" priority="2010">
      <formula>H3089&lt;&gt;""</formula>
    </cfRule>
  </conditionalFormatting>
  <conditionalFormatting sqref="F3081:F3085">
    <cfRule type="expression" dxfId="5147" priority="2009">
      <formula>F3081&lt;&gt;""</formula>
    </cfRule>
  </conditionalFormatting>
  <conditionalFormatting sqref="F3081">
    <cfRule type="expression" dxfId="5146" priority="2008">
      <formula>F3081&lt;&gt;""</formula>
    </cfRule>
  </conditionalFormatting>
  <conditionalFormatting sqref="F3085">
    <cfRule type="expression" dxfId="5145" priority="2007">
      <formula>F3081&lt;&gt;""</formula>
    </cfRule>
  </conditionalFormatting>
  <conditionalFormatting sqref="E3081:E3085">
    <cfRule type="expression" dxfId="5144" priority="2006">
      <formula>F3081&lt;&gt;""</formula>
    </cfRule>
  </conditionalFormatting>
  <conditionalFormatting sqref="G3081:G3085">
    <cfRule type="expression" dxfId="5143" priority="2005">
      <formula>H3081&lt;&gt;""</formula>
    </cfRule>
  </conditionalFormatting>
  <conditionalFormatting sqref="I3081:I3085">
    <cfRule type="expression" dxfId="5142" priority="2004">
      <formula>B3089&lt;&gt;""</formula>
    </cfRule>
  </conditionalFormatting>
  <conditionalFormatting sqref="H3081:H3085">
    <cfRule type="expression" dxfId="5141" priority="2003">
      <formula>H3081&lt;&gt;""</formula>
    </cfRule>
  </conditionalFormatting>
  <conditionalFormatting sqref="H3081">
    <cfRule type="expression" dxfId="5140" priority="2002">
      <formula>H3081&lt;&gt;""</formula>
    </cfRule>
  </conditionalFormatting>
  <conditionalFormatting sqref="H3085">
    <cfRule type="expression" dxfId="5139" priority="2001">
      <formula>H3081&lt;&gt;""</formula>
    </cfRule>
  </conditionalFormatting>
  <conditionalFormatting sqref="B3097:B3101">
    <cfRule type="expression" dxfId="5138" priority="2000">
      <formula>B3097&lt;&gt;""</formula>
    </cfRule>
  </conditionalFormatting>
  <conditionalFormatting sqref="B3097">
    <cfRule type="expression" dxfId="5137" priority="1999">
      <formula>B3097&lt;&gt;""</formula>
    </cfRule>
  </conditionalFormatting>
  <conditionalFormatting sqref="B3101">
    <cfRule type="expression" dxfId="5136" priority="1998">
      <formula>B3097&lt;&gt;""</formula>
    </cfRule>
  </conditionalFormatting>
  <conditionalFormatting sqref="F3097:F3101">
    <cfRule type="expression" dxfId="5135" priority="1994">
      <formula>F3097&lt;&gt;""</formula>
    </cfRule>
  </conditionalFormatting>
  <conditionalFormatting sqref="F3097">
    <cfRule type="expression" dxfId="5134" priority="1993">
      <formula>F3097&lt;&gt;""</formula>
    </cfRule>
  </conditionalFormatting>
  <conditionalFormatting sqref="F3101">
    <cfRule type="expression" dxfId="5133" priority="1992">
      <formula>F3097&lt;&gt;""</formula>
    </cfRule>
  </conditionalFormatting>
  <conditionalFormatting sqref="C3097:C3101">
    <cfRule type="expression" dxfId="5132" priority="1991">
      <formula>D3097&lt;&gt;""</formula>
    </cfRule>
  </conditionalFormatting>
  <conditionalFormatting sqref="E3097:E3101">
    <cfRule type="expression" dxfId="5131" priority="1990">
      <formula>F3097&lt;&gt;""</formula>
    </cfRule>
  </conditionalFormatting>
  <conditionalFormatting sqref="G3097:G3101">
    <cfRule type="expression" dxfId="5130" priority="1989">
      <formula>H3097&lt;&gt;""</formula>
    </cfRule>
  </conditionalFormatting>
  <conditionalFormatting sqref="H3097:H3101">
    <cfRule type="expression" dxfId="5129" priority="1988">
      <formula>H3097&lt;&gt;""</formula>
    </cfRule>
  </conditionalFormatting>
  <conditionalFormatting sqref="H3097">
    <cfRule type="expression" dxfId="5128" priority="1987">
      <formula>H3097&lt;&gt;""</formula>
    </cfRule>
  </conditionalFormatting>
  <conditionalFormatting sqref="H3101">
    <cfRule type="expression" dxfId="5127" priority="1986">
      <formula>H3097&lt;&gt;""</formula>
    </cfRule>
  </conditionalFormatting>
  <conditionalFormatting sqref="B3081:B3085">
    <cfRule type="expression" dxfId="5126" priority="1969">
      <formula>B3081&lt;&gt;""</formula>
    </cfRule>
  </conditionalFormatting>
  <conditionalFormatting sqref="B3087:B3088 C3087:I3087 I3086">
    <cfRule type="expression" dxfId="5125" priority="1985">
      <formula>$B3089&lt;&gt;""</formula>
    </cfRule>
  </conditionalFormatting>
  <conditionalFormatting sqref="B3095:B3096 C3095:I3095 I3094">
    <cfRule type="expression" dxfId="5124" priority="1984">
      <formula>$B3097&lt;&gt;""</formula>
    </cfRule>
  </conditionalFormatting>
  <conditionalFormatting sqref="B3025:B3029">
    <cfRule type="expression" dxfId="5123" priority="1983">
      <formula>B3025&lt;&gt;""</formula>
    </cfRule>
  </conditionalFormatting>
  <conditionalFormatting sqref="B3025">
    <cfRule type="expression" dxfId="5122" priority="1982">
      <formula>B3025&lt;&gt;""</formula>
    </cfRule>
  </conditionalFormatting>
  <conditionalFormatting sqref="B3029">
    <cfRule type="expression" dxfId="5121" priority="1981">
      <formula>B3025&lt;&gt;""</formula>
    </cfRule>
  </conditionalFormatting>
  <conditionalFormatting sqref="C3025:C3029">
    <cfRule type="expression" dxfId="5120" priority="1980">
      <formula>D3025&lt;&gt;""</formula>
    </cfRule>
  </conditionalFormatting>
  <conditionalFormatting sqref="D3025:D3029">
    <cfRule type="expression" dxfId="5119" priority="1979">
      <formula>D3025&lt;&gt;""</formula>
    </cfRule>
  </conditionalFormatting>
  <conditionalFormatting sqref="D3025">
    <cfRule type="expression" dxfId="5118" priority="1978">
      <formula>D3025&lt;&gt;""</formula>
    </cfRule>
  </conditionalFormatting>
  <conditionalFormatting sqref="D3029">
    <cfRule type="expression" dxfId="5117" priority="1977">
      <formula>D3025&lt;&gt;""</formula>
    </cfRule>
  </conditionalFormatting>
  <conditionalFormatting sqref="B3053">
    <cfRule type="expression" dxfId="5116" priority="1975">
      <formula>B3053&lt;&gt;""</formula>
    </cfRule>
  </conditionalFormatting>
  <conditionalFormatting sqref="B3057">
    <cfRule type="expression" dxfId="5115" priority="1974">
      <formula>B3053&lt;&gt;""</formula>
    </cfRule>
  </conditionalFormatting>
  <conditionalFormatting sqref="C3053:C3057">
    <cfRule type="expression" dxfId="5114" priority="1973">
      <formula>D3053&lt;&gt;""</formula>
    </cfRule>
  </conditionalFormatting>
  <conditionalFormatting sqref="D3053:D3057">
    <cfRule type="expression" dxfId="5113" priority="1972">
      <formula>D3053&lt;&gt;""</formula>
    </cfRule>
  </conditionalFormatting>
  <conditionalFormatting sqref="D3053">
    <cfRule type="expression" dxfId="5112" priority="1971">
      <formula>D3053&lt;&gt;""</formula>
    </cfRule>
  </conditionalFormatting>
  <conditionalFormatting sqref="D3057">
    <cfRule type="expression" dxfId="5111" priority="1970">
      <formula>D3053&lt;&gt;""</formula>
    </cfRule>
  </conditionalFormatting>
  <conditionalFormatting sqref="B3081">
    <cfRule type="expression" dxfId="5110" priority="1968">
      <formula>B3081&lt;&gt;""</formula>
    </cfRule>
  </conditionalFormatting>
  <conditionalFormatting sqref="B3085">
    <cfRule type="expression" dxfId="5109" priority="1967">
      <formula>B3081&lt;&gt;""</formula>
    </cfRule>
  </conditionalFormatting>
  <conditionalFormatting sqref="C3081:C3085">
    <cfRule type="expression" dxfId="5108" priority="1966">
      <formula>D3081&lt;&gt;""</formula>
    </cfRule>
  </conditionalFormatting>
  <conditionalFormatting sqref="D3081:D3085">
    <cfRule type="expression" dxfId="5107" priority="1965">
      <formula>D3081&lt;&gt;""</formula>
    </cfRule>
  </conditionalFormatting>
  <conditionalFormatting sqref="D3081">
    <cfRule type="expression" dxfId="5106" priority="1964">
      <formula>D3081&lt;&gt;""</formula>
    </cfRule>
  </conditionalFormatting>
  <conditionalFormatting sqref="D3085">
    <cfRule type="expression" dxfId="5105" priority="1963">
      <formula>D3081&lt;&gt;""</formula>
    </cfRule>
  </conditionalFormatting>
  <conditionalFormatting sqref="B3039:B3040 C3039:I3039 I3038">
    <cfRule type="expression" dxfId="5104" priority="1962">
      <formula>$B3041&lt;&gt;""</formula>
    </cfRule>
  </conditionalFormatting>
  <conditionalFormatting sqref="B3031:B3032 C3031:I3031 I3030">
    <cfRule type="expression" dxfId="5103" priority="1961">
      <formula>$B3033&lt;&gt;""</formula>
    </cfRule>
  </conditionalFormatting>
  <conditionalFormatting sqref="D3295:D3299">
    <cfRule type="expression" dxfId="5102" priority="1931">
      <formula>D3295&lt;&gt;""</formula>
    </cfRule>
  </conditionalFormatting>
  <conditionalFormatting sqref="D3295">
    <cfRule type="expression" dxfId="5101" priority="1930">
      <formula>D3295&lt;&gt;""</formula>
    </cfRule>
  </conditionalFormatting>
  <conditionalFormatting sqref="D3299">
    <cfRule type="expression" dxfId="5100" priority="1929">
      <formula>D3295&lt;&gt;""</formula>
    </cfRule>
  </conditionalFormatting>
  <conditionalFormatting sqref="I3284:I3285 C3285:H3285 B3285:B3286">
    <cfRule type="expression" dxfId="5099" priority="1919">
      <formula>$B3287&lt;&gt;""</formula>
    </cfRule>
  </conditionalFormatting>
  <conditionalFormatting sqref="D3287:D3291">
    <cfRule type="expression" dxfId="5098" priority="1953">
      <formula>D3287&lt;&gt;""</formula>
    </cfRule>
  </conditionalFormatting>
  <conditionalFormatting sqref="D3287">
    <cfRule type="expression" dxfId="5097" priority="1952">
      <formula>D3287&lt;&gt;""</formula>
    </cfRule>
  </conditionalFormatting>
  <conditionalFormatting sqref="D3291">
    <cfRule type="expression" dxfId="5096" priority="1951">
      <formula>D3287&lt;&gt;""</formula>
    </cfRule>
  </conditionalFormatting>
  <conditionalFormatting sqref="C3287:C3291">
    <cfRule type="expression" dxfId="5095" priority="1960">
      <formula>D3287&lt;&gt;""</formula>
    </cfRule>
  </conditionalFormatting>
  <conditionalFormatting sqref="E3287:E3291">
    <cfRule type="expression" dxfId="5094" priority="1959">
      <formula>F3287&lt;&gt;""</formula>
    </cfRule>
  </conditionalFormatting>
  <conditionalFormatting sqref="G3287:G3291">
    <cfRule type="expression" dxfId="5093" priority="1958">
      <formula>H3287&lt;&gt;""</formula>
    </cfRule>
  </conditionalFormatting>
  <conditionalFormatting sqref="I3287:I3291">
    <cfRule type="expression" dxfId="5092" priority="1957">
      <formula>B3295&lt;&gt;""</formula>
    </cfRule>
  </conditionalFormatting>
  <conditionalFormatting sqref="B3287:B3291">
    <cfRule type="expression" dxfId="5091" priority="1956">
      <formula>B3287&lt;&gt;""</formula>
    </cfRule>
  </conditionalFormatting>
  <conditionalFormatting sqref="B3287">
    <cfRule type="expression" dxfId="5090" priority="1955">
      <formula>B3287&lt;&gt;""</formula>
    </cfRule>
  </conditionalFormatting>
  <conditionalFormatting sqref="B3291">
    <cfRule type="expression" dxfId="5089" priority="1954">
      <formula>B3287&lt;&gt;""</formula>
    </cfRule>
  </conditionalFormatting>
  <conditionalFormatting sqref="F3287:F3291">
    <cfRule type="expression" dxfId="5088" priority="1950">
      <formula>F3287&lt;&gt;""</formula>
    </cfRule>
  </conditionalFormatting>
  <conditionalFormatting sqref="F3287">
    <cfRule type="expression" dxfId="5087" priority="1949">
      <formula>F3287&lt;&gt;""</formula>
    </cfRule>
  </conditionalFormatting>
  <conditionalFormatting sqref="F3291">
    <cfRule type="expression" dxfId="5086" priority="1948">
      <formula>F3287&lt;&gt;""</formula>
    </cfRule>
  </conditionalFormatting>
  <conditionalFormatting sqref="H3287:H3291">
    <cfRule type="expression" dxfId="5085" priority="1947">
      <formula>H3287&lt;&gt;""</formula>
    </cfRule>
  </conditionalFormatting>
  <conditionalFormatting sqref="H3287">
    <cfRule type="expression" dxfId="5084" priority="1946">
      <formula>H3287&lt;&gt;""</formula>
    </cfRule>
  </conditionalFormatting>
  <conditionalFormatting sqref="H3291">
    <cfRule type="expression" dxfId="5083" priority="1945">
      <formula>H3287&lt;&gt;""</formula>
    </cfRule>
  </conditionalFormatting>
  <conditionalFormatting sqref="F3279:F3283">
    <cfRule type="expression" dxfId="5082" priority="1944">
      <formula>F3279&lt;&gt;""</formula>
    </cfRule>
  </conditionalFormatting>
  <conditionalFormatting sqref="F3279">
    <cfRule type="expression" dxfId="5081" priority="1943">
      <formula>F3279&lt;&gt;""</formula>
    </cfRule>
  </conditionalFormatting>
  <conditionalFormatting sqref="F3283">
    <cfRule type="expression" dxfId="5080" priority="1942">
      <formula>F3279&lt;&gt;""</formula>
    </cfRule>
  </conditionalFormatting>
  <conditionalFormatting sqref="E3279:E3283">
    <cfRule type="expression" dxfId="5079" priority="1941">
      <formula>F3279&lt;&gt;""</formula>
    </cfRule>
  </conditionalFormatting>
  <conditionalFormatting sqref="G3279:G3283">
    <cfRule type="expression" dxfId="5078" priority="1940">
      <formula>H3279&lt;&gt;""</formula>
    </cfRule>
  </conditionalFormatting>
  <conditionalFormatting sqref="I3279:I3283">
    <cfRule type="expression" dxfId="5077" priority="1939">
      <formula>B3287&lt;&gt;""</formula>
    </cfRule>
  </conditionalFormatting>
  <conditionalFormatting sqref="H3279:H3283">
    <cfRule type="expression" dxfId="5076" priority="1938">
      <formula>H3279&lt;&gt;""</formula>
    </cfRule>
  </conditionalFormatting>
  <conditionalFormatting sqref="H3279">
    <cfRule type="expression" dxfId="5075" priority="1937">
      <formula>H3279&lt;&gt;""</formula>
    </cfRule>
  </conditionalFormatting>
  <conditionalFormatting sqref="H3283">
    <cfRule type="expression" dxfId="5074" priority="1936">
      <formula>H3279&lt;&gt;""</formula>
    </cfRule>
  </conditionalFormatting>
  <conditionalFormatting sqref="I3292:I3293 C3293:H3293 B3293:B3294">
    <cfRule type="expression" dxfId="5073" priority="1935">
      <formula>$B3295&lt;&gt;""</formula>
    </cfRule>
  </conditionalFormatting>
  <conditionalFormatting sqref="B3295:B3299">
    <cfRule type="expression" dxfId="5072" priority="1934">
      <formula>B3295&lt;&gt;""</formula>
    </cfRule>
  </conditionalFormatting>
  <conditionalFormatting sqref="B3295">
    <cfRule type="expression" dxfId="5071" priority="1933">
      <formula>B3295&lt;&gt;""</formula>
    </cfRule>
  </conditionalFormatting>
  <conditionalFormatting sqref="B3299">
    <cfRule type="expression" dxfId="5070" priority="1932">
      <formula>B3295&lt;&gt;""</formula>
    </cfRule>
  </conditionalFormatting>
  <conditionalFormatting sqref="F3295:F3299">
    <cfRule type="expression" dxfId="5069" priority="1928">
      <formula>F3295&lt;&gt;""</formula>
    </cfRule>
  </conditionalFormatting>
  <conditionalFormatting sqref="F3295">
    <cfRule type="expression" dxfId="5068" priority="1927">
      <formula>F3295&lt;&gt;""</formula>
    </cfRule>
  </conditionalFormatting>
  <conditionalFormatting sqref="F3299">
    <cfRule type="expression" dxfId="5067" priority="1926">
      <formula>F3295&lt;&gt;""</formula>
    </cfRule>
  </conditionalFormatting>
  <conditionalFormatting sqref="C3295:C3299">
    <cfRule type="expression" dxfId="5066" priority="1925">
      <formula>D3295&lt;&gt;""</formula>
    </cfRule>
  </conditionalFormatting>
  <conditionalFormatting sqref="E3295:E3299">
    <cfRule type="expression" dxfId="5065" priority="1924">
      <formula>F3295&lt;&gt;""</formula>
    </cfRule>
  </conditionalFormatting>
  <conditionalFormatting sqref="G3295:G3299">
    <cfRule type="expression" dxfId="5064" priority="1923">
      <formula>H3295&lt;&gt;""</formula>
    </cfRule>
  </conditionalFormatting>
  <conditionalFormatting sqref="H3295:H3299">
    <cfRule type="expression" dxfId="5063" priority="1922">
      <formula>H3295&lt;&gt;""</formula>
    </cfRule>
  </conditionalFormatting>
  <conditionalFormatting sqref="H3295">
    <cfRule type="expression" dxfId="5062" priority="1921">
      <formula>H3295&lt;&gt;""</formula>
    </cfRule>
  </conditionalFormatting>
  <conditionalFormatting sqref="H3299">
    <cfRule type="expression" dxfId="5061" priority="1920">
      <formula>H3295&lt;&gt;""</formula>
    </cfRule>
  </conditionalFormatting>
  <conditionalFormatting sqref="D3267:D3271">
    <cfRule type="expression" dxfId="5060" priority="1889">
      <formula>D3267&lt;&gt;""</formula>
    </cfRule>
  </conditionalFormatting>
  <conditionalFormatting sqref="D3267">
    <cfRule type="expression" dxfId="5059" priority="1888">
      <formula>D3267&lt;&gt;""</formula>
    </cfRule>
  </conditionalFormatting>
  <conditionalFormatting sqref="D3271">
    <cfRule type="expression" dxfId="5058" priority="1887">
      <formula>D3267&lt;&gt;""</formula>
    </cfRule>
  </conditionalFormatting>
  <conditionalFormatting sqref="I3256:I3257 C3257:H3257 B3257:B3258">
    <cfRule type="expression" dxfId="5057" priority="1877">
      <formula>$B3259&lt;&gt;""</formula>
    </cfRule>
  </conditionalFormatting>
  <conditionalFormatting sqref="D3259:D3263">
    <cfRule type="expression" dxfId="5056" priority="1911">
      <formula>D3259&lt;&gt;""</formula>
    </cfRule>
  </conditionalFormatting>
  <conditionalFormatting sqref="D3259">
    <cfRule type="expression" dxfId="5055" priority="1910">
      <formula>D3259&lt;&gt;""</formula>
    </cfRule>
  </conditionalFormatting>
  <conditionalFormatting sqref="D3263">
    <cfRule type="expression" dxfId="5054" priority="1909">
      <formula>D3259&lt;&gt;""</formula>
    </cfRule>
  </conditionalFormatting>
  <conditionalFormatting sqref="C3259:C3263">
    <cfRule type="expression" dxfId="5053" priority="1918">
      <formula>D3259&lt;&gt;""</formula>
    </cfRule>
  </conditionalFormatting>
  <conditionalFormatting sqref="E3259:E3263">
    <cfRule type="expression" dxfId="5052" priority="1917">
      <formula>F3259&lt;&gt;""</formula>
    </cfRule>
  </conditionalFormatting>
  <conditionalFormatting sqref="G3259:G3263">
    <cfRule type="expression" dxfId="5051" priority="1916">
      <formula>H3259&lt;&gt;""</formula>
    </cfRule>
  </conditionalFormatting>
  <conditionalFormatting sqref="I3259:I3263">
    <cfRule type="expression" dxfId="5050" priority="1915">
      <formula>B3267&lt;&gt;""</formula>
    </cfRule>
  </conditionalFormatting>
  <conditionalFormatting sqref="B3259:B3263">
    <cfRule type="expression" dxfId="5049" priority="1914">
      <formula>B3259&lt;&gt;""</formula>
    </cfRule>
  </conditionalFormatting>
  <conditionalFormatting sqref="B3259">
    <cfRule type="expression" dxfId="5048" priority="1913">
      <formula>B3259&lt;&gt;""</formula>
    </cfRule>
  </conditionalFormatting>
  <conditionalFormatting sqref="B3263">
    <cfRule type="expression" dxfId="5047" priority="1912">
      <formula>B3259&lt;&gt;""</formula>
    </cfRule>
  </conditionalFormatting>
  <conditionalFormatting sqref="F3259:F3263">
    <cfRule type="expression" dxfId="5046" priority="1908">
      <formula>F3259&lt;&gt;""</formula>
    </cfRule>
  </conditionalFormatting>
  <conditionalFormatting sqref="F3259">
    <cfRule type="expression" dxfId="5045" priority="1907">
      <formula>F3259&lt;&gt;""</formula>
    </cfRule>
  </conditionalFormatting>
  <conditionalFormatting sqref="F3263">
    <cfRule type="expression" dxfId="5044" priority="1906">
      <formula>F3259&lt;&gt;""</formula>
    </cfRule>
  </conditionalFormatting>
  <conditionalFormatting sqref="H3259:H3263">
    <cfRule type="expression" dxfId="5043" priority="1905">
      <formula>H3259&lt;&gt;""</formula>
    </cfRule>
  </conditionalFormatting>
  <conditionalFormatting sqref="H3259">
    <cfRule type="expression" dxfId="5042" priority="1904">
      <formula>H3259&lt;&gt;""</formula>
    </cfRule>
  </conditionalFormatting>
  <conditionalFormatting sqref="H3263">
    <cfRule type="expression" dxfId="5041" priority="1903">
      <formula>H3259&lt;&gt;""</formula>
    </cfRule>
  </conditionalFormatting>
  <conditionalFormatting sqref="F3251:F3255">
    <cfRule type="expression" dxfId="5040" priority="1902">
      <formula>F3251&lt;&gt;""</formula>
    </cfRule>
  </conditionalFormatting>
  <conditionalFormatting sqref="F3251">
    <cfRule type="expression" dxfId="5039" priority="1901">
      <formula>F3251&lt;&gt;""</formula>
    </cfRule>
  </conditionalFormatting>
  <conditionalFormatting sqref="F3255">
    <cfRule type="expression" dxfId="5038" priority="1900">
      <formula>F3251&lt;&gt;""</formula>
    </cfRule>
  </conditionalFormatting>
  <conditionalFormatting sqref="E3251:E3255">
    <cfRule type="expression" dxfId="5037" priority="1899">
      <formula>F3251&lt;&gt;""</formula>
    </cfRule>
  </conditionalFormatting>
  <conditionalFormatting sqref="G3251:G3255">
    <cfRule type="expression" dxfId="5036" priority="1898">
      <formula>H3251&lt;&gt;""</formula>
    </cfRule>
  </conditionalFormatting>
  <conditionalFormatting sqref="I3251:I3255">
    <cfRule type="expression" dxfId="5035" priority="1897">
      <formula>B3259&lt;&gt;""</formula>
    </cfRule>
  </conditionalFormatting>
  <conditionalFormatting sqref="H3251:H3255">
    <cfRule type="expression" dxfId="5034" priority="1896">
      <formula>H3251&lt;&gt;""</formula>
    </cfRule>
  </conditionalFormatting>
  <conditionalFormatting sqref="H3251">
    <cfRule type="expression" dxfId="5033" priority="1895">
      <formula>H3251&lt;&gt;""</formula>
    </cfRule>
  </conditionalFormatting>
  <conditionalFormatting sqref="H3255">
    <cfRule type="expression" dxfId="5032" priority="1894">
      <formula>H3251&lt;&gt;""</formula>
    </cfRule>
  </conditionalFormatting>
  <conditionalFormatting sqref="I3264:I3265 C3265:H3265 B3265:B3266">
    <cfRule type="expression" dxfId="5031" priority="1893">
      <formula>$B3267&lt;&gt;""</formula>
    </cfRule>
  </conditionalFormatting>
  <conditionalFormatting sqref="B3267:B3271">
    <cfRule type="expression" dxfId="5030" priority="1892">
      <formula>B3267&lt;&gt;""</formula>
    </cfRule>
  </conditionalFormatting>
  <conditionalFormatting sqref="B3267">
    <cfRule type="expression" dxfId="5029" priority="1891">
      <formula>B3267&lt;&gt;""</formula>
    </cfRule>
  </conditionalFormatting>
  <conditionalFormatting sqref="B3271">
    <cfRule type="expression" dxfId="5028" priority="1890">
      <formula>B3267&lt;&gt;""</formula>
    </cfRule>
  </conditionalFormatting>
  <conditionalFormatting sqref="F3267:F3271">
    <cfRule type="expression" dxfId="5027" priority="1886">
      <formula>F3267&lt;&gt;""</formula>
    </cfRule>
  </conditionalFormatting>
  <conditionalFormatting sqref="F3267">
    <cfRule type="expression" dxfId="5026" priority="1885">
      <formula>F3267&lt;&gt;""</formula>
    </cfRule>
  </conditionalFormatting>
  <conditionalFormatting sqref="F3271">
    <cfRule type="expression" dxfId="5025" priority="1884">
      <formula>F3267&lt;&gt;""</formula>
    </cfRule>
  </conditionalFormatting>
  <conditionalFormatting sqref="C3267:C3271">
    <cfRule type="expression" dxfId="5024" priority="1883">
      <formula>D3267&lt;&gt;""</formula>
    </cfRule>
  </conditionalFormatting>
  <conditionalFormatting sqref="E3267:E3271">
    <cfRule type="expression" dxfId="5023" priority="1882">
      <formula>F3267&lt;&gt;""</formula>
    </cfRule>
  </conditionalFormatting>
  <conditionalFormatting sqref="G3267:G3271">
    <cfRule type="expression" dxfId="5022" priority="1881">
      <formula>H3267&lt;&gt;""</formula>
    </cfRule>
  </conditionalFormatting>
  <conditionalFormatting sqref="H3267:H3271">
    <cfRule type="expression" dxfId="5021" priority="1880">
      <formula>H3267&lt;&gt;""</formula>
    </cfRule>
  </conditionalFormatting>
  <conditionalFormatting sqref="H3267">
    <cfRule type="expression" dxfId="5020" priority="1879">
      <formula>H3267&lt;&gt;""</formula>
    </cfRule>
  </conditionalFormatting>
  <conditionalFormatting sqref="H3271">
    <cfRule type="expression" dxfId="5019" priority="1878">
      <formula>H3267&lt;&gt;""</formula>
    </cfRule>
  </conditionalFormatting>
  <conditionalFormatting sqref="D3239:D3243">
    <cfRule type="expression" dxfId="5018" priority="1847">
      <formula>D3239&lt;&gt;""</formula>
    </cfRule>
  </conditionalFormatting>
  <conditionalFormatting sqref="D3239">
    <cfRule type="expression" dxfId="5017" priority="1846">
      <formula>D3239&lt;&gt;""</formula>
    </cfRule>
  </conditionalFormatting>
  <conditionalFormatting sqref="D3243">
    <cfRule type="expression" dxfId="5016" priority="1845">
      <formula>D3239&lt;&gt;""</formula>
    </cfRule>
  </conditionalFormatting>
  <conditionalFormatting sqref="I3228:I3229 C3229:H3229 B3229:B3230">
    <cfRule type="expression" dxfId="5015" priority="1835">
      <formula>$B3231&lt;&gt;""</formula>
    </cfRule>
  </conditionalFormatting>
  <conditionalFormatting sqref="D3231:D3235">
    <cfRule type="expression" dxfId="5014" priority="1869">
      <formula>D3231&lt;&gt;""</formula>
    </cfRule>
  </conditionalFormatting>
  <conditionalFormatting sqref="D3231">
    <cfRule type="expression" dxfId="5013" priority="1868">
      <formula>D3231&lt;&gt;""</formula>
    </cfRule>
  </conditionalFormatting>
  <conditionalFormatting sqref="D3235">
    <cfRule type="expression" dxfId="5012" priority="1867">
      <formula>D3231&lt;&gt;""</formula>
    </cfRule>
  </conditionalFormatting>
  <conditionalFormatting sqref="C3231:C3235">
    <cfRule type="expression" dxfId="5011" priority="1876">
      <formula>D3231&lt;&gt;""</formula>
    </cfRule>
  </conditionalFormatting>
  <conditionalFormatting sqref="E3231:E3235">
    <cfRule type="expression" dxfId="5010" priority="1875">
      <formula>F3231&lt;&gt;""</formula>
    </cfRule>
  </conditionalFormatting>
  <conditionalFormatting sqref="G3231:G3235">
    <cfRule type="expression" dxfId="5009" priority="1874">
      <formula>H3231&lt;&gt;""</formula>
    </cfRule>
  </conditionalFormatting>
  <conditionalFormatting sqref="I3231:I3235">
    <cfRule type="expression" dxfId="5008" priority="1873">
      <formula>B3239&lt;&gt;""</formula>
    </cfRule>
  </conditionalFormatting>
  <conditionalFormatting sqref="B3231:B3235">
    <cfRule type="expression" dxfId="5007" priority="1872">
      <formula>B3231&lt;&gt;""</formula>
    </cfRule>
  </conditionalFormatting>
  <conditionalFormatting sqref="B3231">
    <cfRule type="expression" dxfId="5006" priority="1871">
      <formula>B3231&lt;&gt;""</formula>
    </cfRule>
  </conditionalFormatting>
  <conditionalFormatting sqref="B3235">
    <cfRule type="expression" dxfId="5005" priority="1870">
      <formula>B3231&lt;&gt;""</formula>
    </cfRule>
  </conditionalFormatting>
  <conditionalFormatting sqref="F3231:F3235">
    <cfRule type="expression" dxfId="5004" priority="1866">
      <formula>F3231&lt;&gt;""</formula>
    </cfRule>
  </conditionalFormatting>
  <conditionalFormatting sqref="F3231">
    <cfRule type="expression" dxfId="5003" priority="1865">
      <formula>F3231&lt;&gt;""</formula>
    </cfRule>
  </conditionalFormatting>
  <conditionalFormatting sqref="F3235">
    <cfRule type="expression" dxfId="5002" priority="1864">
      <formula>F3231&lt;&gt;""</formula>
    </cfRule>
  </conditionalFormatting>
  <conditionalFormatting sqref="H3231:H3235">
    <cfRule type="expression" dxfId="5001" priority="1863">
      <formula>H3231&lt;&gt;""</formula>
    </cfRule>
  </conditionalFormatting>
  <conditionalFormatting sqref="H3231">
    <cfRule type="expression" dxfId="5000" priority="1862">
      <formula>H3231&lt;&gt;""</formula>
    </cfRule>
  </conditionalFormatting>
  <conditionalFormatting sqref="H3235">
    <cfRule type="expression" dxfId="4999" priority="1861">
      <formula>H3231&lt;&gt;""</formula>
    </cfRule>
  </conditionalFormatting>
  <conditionalFormatting sqref="F3223:F3227">
    <cfRule type="expression" dxfId="4998" priority="1860">
      <formula>F3223&lt;&gt;""</formula>
    </cfRule>
  </conditionalFormatting>
  <conditionalFormatting sqref="F3223">
    <cfRule type="expression" dxfId="4997" priority="1859">
      <formula>F3223&lt;&gt;""</formula>
    </cfRule>
  </conditionalFormatting>
  <conditionalFormatting sqref="F3227">
    <cfRule type="expression" dxfId="4996" priority="1858">
      <formula>F3223&lt;&gt;""</formula>
    </cfRule>
  </conditionalFormatting>
  <conditionalFormatting sqref="E3223:E3227">
    <cfRule type="expression" dxfId="4995" priority="1857">
      <formula>F3223&lt;&gt;""</formula>
    </cfRule>
  </conditionalFormatting>
  <conditionalFormatting sqref="G3223:G3227">
    <cfRule type="expression" dxfId="4994" priority="1856">
      <formula>H3223&lt;&gt;""</formula>
    </cfRule>
  </conditionalFormatting>
  <conditionalFormatting sqref="I3223:I3227">
    <cfRule type="expression" dxfId="4993" priority="1855">
      <formula>B3231&lt;&gt;""</formula>
    </cfRule>
  </conditionalFormatting>
  <conditionalFormatting sqref="H3223:H3227">
    <cfRule type="expression" dxfId="4992" priority="1854">
      <formula>H3223&lt;&gt;""</formula>
    </cfRule>
  </conditionalFormatting>
  <conditionalFormatting sqref="H3223">
    <cfRule type="expression" dxfId="4991" priority="1853">
      <formula>H3223&lt;&gt;""</formula>
    </cfRule>
  </conditionalFormatting>
  <conditionalFormatting sqref="H3227">
    <cfRule type="expression" dxfId="4990" priority="1852">
      <formula>H3223&lt;&gt;""</formula>
    </cfRule>
  </conditionalFormatting>
  <conditionalFormatting sqref="I3236:I3237 C3237:H3237 B3237:B3238">
    <cfRule type="expression" dxfId="4989" priority="1851">
      <formula>$B3239&lt;&gt;""</formula>
    </cfRule>
  </conditionalFormatting>
  <conditionalFormatting sqref="B3239:B3243">
    <cfRule type="expression" dxfId="4988" priority="1850">
      <formula>B3239&lt;&gt;""</formula>
    </cfRule>
  </conditionalFormatting>
  <conditionalFormatting sqref="B3239">
    <cfRule type="expression" dxfId="4987" priority="1849">
      <formula>B3239&lt;&gt;""</formula>
    </cfRule>
  </conditionalFormatting>
  <conditionalFormatting sqref="B3243">
    <cfRule type="expression" dxfId="4986" priority="1848">
      <formula>B3239&lt;&gt;""</formula>
    </cfRule>
  </conditionalFormatting>
  <conditionalFormatting sqref="F3239:F3243">
    <cfRule type="expression" dxfId="4985" priority="1844">
      <formula>F3239&lt;&gt;""</formula>
    </cfRule>
  </conditionalFormatting>
  <conditionalFormatting sqref="F3239">
    <cfRule type="expression" dxfId="4984" priority="1843">
      <formula>F3239&lt;&gt;""</formula>
    </cfRule>
  </conditionalFormatting>
  <conditionalFormatting sqref="F3243">
    <cfRule type="expression" dxfId="4983" priority="1842">
      <formula>F3239&lt;&gt;""</formula>
    </cfRule>
  </conditionalFormatting>
  <conditionalFormatting sqref="C3239:C3243">
    <cfRule type="expression" dxfId="4982" priority="1841">
      <formula>D3239&lt;&gt;""</formula>
    </cfRule>
  </conditionalFormatting>
  <conditionalFormatting sqref="E3239:E3243">
    <cfRule type="expression" dxfId="4981" priority="1840">
      <formula>F3239&lt;&gt;""</formula>
    </cfRule>
  </conditionalFormatting>
  <conditionalFormatting sqref="G3239:G3243">
    <cfRule type="expression" dxfId="4980" priority="1839">
      <formula>H3239&lt;&gt;""</formula>
    </cfRule>
  </conditionalFormatting>
  <conditionalFormatting sqref="H3239:H3243">
    <cfRule type="expression" dxfId="4979" priority="1838">
      <formula>H3239&lt;&gt;""</formula>
    </cfRule>
  </conditionalFormatting>
  <conditionalFormatting sqref="H3239">
    <cfRule type="expression" dxfId="4978" priority="1837">
      <formula>H3239&lt;&gt;""</formula>
    </cfRule>
  </conditionalFormatting>
  <conditionalFormatting sqref="H3243">
    <cfRule type="expression" dxfId="4977" priority="1836">
      <formula>H3239&lt;&gt;""</formula>
    </cfRule>
  </conditionalFormatting>
  <conditionalFormatting sqref="D3211:D3215">
    <cfRule type="expression" dxfId="4976" priority="1805">
      <formula>D3211&lt;&gt;""</formula>
    </cfRule>
  </conditionalFormatting>
  <conditionalFormatting sqref="D3211">
    <cfRule type="expression" dxfId="4975" priority="1804">
      <formula>D3211&lt;&gt;""</formula>
    </cfRule>
  </conditionalFormatting>
  <conditionalFormatting sqref="D3215">
    <cfRule type="expression" dxfId="4974" priority="1803">
      <formula>D3211&lt;&gt;""</formula>
    </cfRule>
  </conditionalFormatting>
  <conditionalFormatting sqref="I3200:I3201 C3201:H3201 B3201:B3202">
    <cfRule type="expression" dxfId="4973" priority="1793">
      <formula>$B3203&lt;&gt;""</formula>
    </cfRule>
  </conditionalFormatting>
  <conditionalFormatting sqref="D3203:D3207">
    <cfRule type="expression" dxfId="4972" priority="1827">
      <formula>D3203&lt;&gt;""</formula>
    </cfRule>
  </conditionalFormatting>
  <conditionalFormatting sqref="D3203">
    <cfRule type="expression" dxfId="4971" priority="1826">
      <formula>D3203&lt;&gt;""</formula>
    </cfRule>
  </conditionalFormatting>
  <conditionalFormatting sqref="D3207">
    <cfRule type="expression" dxfId="4970" priority="1825">
      <formula>D3203&lt;&gt;""</formula>
    </cfRule>
  </conditionalFormatting>
  <conditionalFormatting sqref="C3203:C3207">
    <cfRule type="expression" dxfId="4969" priority="1834">
      <formula>D3203&lt;&gt;""</formula>
    </cfRule>
  </conditionalFormatting>
  <conditionalFormatting sqref="E3203:E3207">
    <cfRule type="expression" dxfId="4968" priority="1833">
      <formula>F3203&lt;&gt;""</formula>
    </cfRule>
  </conditionalFormatting>
  <conditionalFormatting sqref="G3203:G3207">
    <cfRule type="expression" dxfId="4967" priority="1832">
      <formula>H3203&lt;&gt;""</formula>
    </cfRule>
  </conditionalFormatting>
  <conditionalFormatting sqref="I3203:I3207">
    <cfRule type="expression" dxfId="4966" priority="1831">
      <formula>B3211&lt;&gt;""</formula>
    </cfRule>
  </conditionalFormatting>
  <conditionalFormatting sqref="B3203:B3207">
    <cfRule type="expression" dxfId="4965" priority="1830">
      <formula>B3203&lt;&gt;""</formula>
    </cfRule>
  </conditionalFormatting>
  <conditionalFormatting sqref="B3203">
    <cfRule type="expression" dxfId="4964" priority="1829">
      <formula>B3203&lt;&gt;""</formula>
    </cfRule>
  </conditionalFormatting>
  <conditionalFormatting sqref="B3207">
    <cfRule type="expression" dxfId="4963" priority="1828">
      <formula>B3203&lt;&gt;""</formula>
    </cfRule>
  </conditionalFormatting>
  <conditionalFormatting sqref="F3203:F3207">
    <cfRule type="expression" dxfId="4962" priority="1824">
      <formula>F3203&lt;&gt;""</formula>
    </cfRule>
  </conditionalFormatting>
  <conditionalFormatting sqref="F3203">
    <cfRule type="expression" dxfId="4961" priority="1823">
      <formula>F3203&lt;&gt;""</formula>
    </cfRule>
  </conditionalFormatting>
  <conditionalFormatting sqref="F3207">
    <cfRule type="expression" dxfId="4960" priority="1822">
      <formula>F3203&lt;&gt;""</formula>
    </cfRule>
  </conditionalFormatting>
  <conditionalFormatting sqref="H3203:H3207">
    <cfRule type="expression" dxfId="4959" priority="1821">
      <formula>H3203&lt;&gt;""</formula>
    </cfRule>
  </conditionalFormatting>
  <conditionalFormatting sqref="H3203">
    <cfRule type="expression" dxfId="4958" priority="1820">
      <formula>H3203&lt;&gt;""</formula>
    </cfRule>
  </conditionalFormatting>
  <conditionalFormatting sqref="H3207">
    <cfRule type="expression" dxfId="4957" priority="1819">
      <formula>H3203&lt;&gt;""</formula>
    </cfRule>
  </conditionalFormatting>
  <conditionalFormatting sqref="F3195:F3199">
    <cfRule type="expression" dxfId="4956" priority="1818">
      <formula>F3195&lt;&gt;""</formula>
    </cfRule>
  </conditionalFormatting>
  <conditionalFormatting sqref="F3195">
    <cfRule type="expression" dxfId="4955" priority="1817">
      <formula>F3195&lt;&gt;""</formula>
    </cfRule>
  </conditionalFormatting>
  <conditionalFormatting sqref="F3199">
    <cfRule type="expression" dxfId="4954" priority="1816">
      <formula>F3195&lt;&gt;""</formula>
    </cfRule>
  </conditionalFormatting>
  <conditionalFormatting sqref="E3195:E3199">
    <cfRule type="expression" dxfId="4953" priority="1815">
      <formula>F3195&lt;&gt;""</formula>
    </cfRule>
  </conditionalFormatting>
  <conditionalFormatting sqref="G3195:G3199">
    <cfRule type="expression" dxfId="4952" priority="1814">
      <formula>H3195&lt;&gt;""</formula>
    </cfRule>
  </conditionalFormatting>
  <conditionalFormatting sqref="I3195:I3199">
    <cfRule type="expression" dxfId="4951" priority="1813">
      <formula>B3203&lt;&gt;""</formula>
    </cfRule>
  </conditionalFormatting>
  <conditionalFormatting sqref="H3195:H3199">
    <cfRule type="expression" dxfId="4950" priority="1812">
      <formula>H3195&lt;&gt;""</formula>
    </cfRule>
  </conditionalFormatting>
  <conditionalFormatting sqref="H3195">
    <cfRule type="expression" dxfId="4949" priority="1811">
      <formula>H3195&lt;&gt;""</formula>
    </cfRule>
  </conditionalFormatting>
  <conditionalFormatting sqref="H3199">
    <cfRule type="expression" dxfId="4948" priority="1810">
      <formula>H3195&lt;&gt;""</formula>
    </cfRule>
  </conditionalFormatting>
  <conditionalFormatting sqref="I3208:I3209 C3209:H3209 B3209:B3210">
    <cfRule type="expression" dxfId="4947" priority="1809">
      <formula>$B3211&lt;&gt;""</formula>
    </cfRule>
  </conditionalFormatting>
  <conditionalFormatting sqref="B3211:B3215">
    <cfRule type="expression" dxfId="4946" priority="1808">
      <formula>B3211&lt;&gt;""</formula>
    </cfRule>
  </conditionalFormatting>
  <conditionalFormatting sqref="B3211">
    <cfRule type="expression" dxfId="4945" priority="1807">
      <formula>B3211&lt;&gt;""</formula>
    </cfRule>
  </conditionalFormatting>
  <conditionalFormatting sqref="B3215">
    <cfRule type="expression" dxfId="4944" priority="1806">
      <formula>B3211&lt;&gt;""</formula>
    </cfRule>
  </conditionalFormatting>
  <conditionalFormatting sqref="F3211:F3215">
    <cfRule type="expression" dxfId="4943" priority="1802">
      <formula>F3211&lt;&gt;""</formula>
    </cfRule>
  </conditionalFormatting>
  <conditionalFormatting sqref="F3211">
    <cfRule type="expression" dxfId="4942" priority="1801">
      <formula>F3211&lt;&gt;""</formula>
    </cfRule>
  </conditionalFormatting>
  <conditionalFormatting sqref="F3215">
    <cfRule type="expression" dxfId="4941" priority="1800">
      <formula>F3211&lt;&gt;""</formula>
    </cfRule>
  </conditionalFormatting>
  <conditionalFormatting sqref="C3211:C3215">
    <cfRule type="expression" dxfId="4940" priority="1799">
      <formula>D3211&lt;&gt;""</formula>
    </cfRule>
  </conditionalFormatting>
  <conditionalFormatting sqref="E3211:E3215">
    <cfRule type="expression" dxfId="4939" priority="1798">
      <formula>F3211&lt;&gt;""</formula>
    </cfRule>
  </conditionalFormatting>
  <conditionalFormatting sqref="G3211:G3215">
    <cfRule type="expression" dxfId="4938" priority="1797">
      <formula>H3211&lt;&gt;""</formula>
    </cfRule>
  </conditionalFormatting>
  <conditionalFormatting sqref="H3211:H3215">
    <cfRule type="expression" dxfId="4937" priority="1796">
      <formula>H3211&lt;&gt;""</formula>
    </cfRule>
  </conditionalFormatting>
  <conditionalFormatting sqref="H3211">
    <cfRule type="expression" dxfId="4936" priority="1795">
      <formula>H3211&lt;&gt;""</formula>
    </cfRule>
  </conditionalFormatting>
  <conditionalFormatting sqref="H3215">
    <cfRule type="expression" dxfId="4935" priority="1794">
      <formula>H3211&lt;&gt;""</formula>
    </cfRule>
  </conditionalFormatting>
  <conditionalFormatting sqref="D3183:D3187">
    <cfRule type="expression" dxfId="4934" priority="1763">
      <formula>D3183&lt;&gt;""</formula>
    </cfRule>
  </conditionalFormatting>
  <conditionalFormatting sqref="D3183">
    <cfRule type="expression" dxfId="4933" priority="1762">
      <formula>D3183&lt;&gt;""</formula>
    </cfRule>
  </conditionalFormatting>
  <conditionalFormatting sqref="D3187">
    <cfRule type="expression" dxfId="4932" priority="1761">
      <formula>D3183&lt;&gt;""</formula>
    </cfRule>
  </conditionalFormatting>
  <conditionalFormatting sqref="I3172:I3173 C3173:H3173 B3173:B3174">
    <cfRule type="expression" dxfId="4931" priority="1751">
      <formula>$B3175&lt;&gt;""</formula>
    </cfRule>
  </conditionalFormatting>
  <conditionalFormatting sqref="D3175:D3179">
    <cfRule type="expression" dxfId="4930" priority="1785">
      <formula>D3175&lt;&gt;""</formula>
    </cfRule>
  </conditionalFormatting>
  <conditionalFormatting sqref="D3175">
    <cfRule type="expression" dxfId="4929" priority="1784">
      <formula>D3175&lt;&gt;""</formula>
    </cfRule>
  </conditionalFormatting>
  <conditionalFormatting sqref="D3179">
    <cfRule type="expression" dxfId="4928" priority="1783">
      <formula>D3175&lt;&gt;""</formula>
    </cfRule>
  </conditionalFormatting>
  <conditionalFormatting sqref="C3175:C3179">
    <cfRule type="expression" dxfId="4927" priority="1792">
      <formula>D3175&lt;&gt;""</formula>
    </cfRule>
  </conditionalFormatting>
  <conditionalFormatting sqref="E3175:E3179">
    <cfRule type="expression" dxfId="4926" priority="1791">
      <formula>F3175&lt;&gt;""</formula>
    </cfRule>
  </conditionalFormatting>
  <conditionalFormatting sqref="G3175:G3179">
    <cfRule type="expression" dxfId="4925" priority="1790">
      <formula>H3175&lt;&gt;""</formula>
    </cfRule>
  </conditionalFormatting>
  <conditionalFormatting sqref="I3175:I3179">
    <cfRule type="expression" dxfId="4924" priority="1789">
      <formula>B3183&lt;&gt;""</formula>
    </cfRule>
  </conditionalFormatting>
  <conditionalFormatting sqref="B3175:B3179">
    <cfRule type="expression" dxfId="4923" priority="1788">
      <formula>B3175&lt;&gt;""</formula>
    </cfRule>
  </conditionalFormatting>
  <conditionalFormatting sqref="B3175">
    <cfRule type="expression" dxfId="4922" priority="1787">
      <formula>B3175&lt;&gt;""</formula>
    </cfRule>
  </conditionalFormatting>
  <conditionalFormatting sqref="B3179">
    <cfRule type="expression" dxfId="4921" priority="1786">
      <formula>B3175&lt;&gt;""</formula>
    </cfRule>
  </conditionalFormatting>
  <conditionalFormatting sqref="F3175:F3179">
    <cfRule type="expression" dxfId="4920" priority="1782">
      <formula>F3175&lt;&gt;""</formula>
    </cfRule>
  </conditionalFormatting>
  <conditionalFormatting sqref="F3175">
    <cfRule type="expression" dxfId="4919" priority="1781">
      <formula>F3175&lt;&gt;""</formula>
    </cfRule>
  </conditionalFormatting>
  <conditionalFormatting sqref="F3179">
    <cfRule type="expression" dxfId="4918" priority="1780">
      <formula>F3175&lt;&gt;""</formula>
    </cfRule>
  </conditionalFormatting>
  <conditionalFormatting sqref="H3175:H3179">
    <cfRule type="expression" dxfId="4917" priority="1779">
      <formula>H3175&lt;&gt;""</formula>
    </cfRule>
  </conditionalFormatting>
  <conditionalFormatting sqref="H3175">
    <cfRule type="expression" dxfId="4916" priority="1778">
      <formula>H3175&lt;&gt;""</formula>
    </cfRule>
  </conditionalFormatting>
  <conditionalFormatting sqref="H3179">
    <cfRule type="expression" dxfId="4915" priority="1777">
      <formula>H3175&lt;&gt;""</formula>
    </cfRule>
  </conditionalFormatting>
  <conditionalFormatting sqref="F3167:F3171">
    <cfRule type="expression" dxfId="4914" priority="1776">
      <formula>F3167&lt;&gt;""</formula>
    </cfRule>
  </conditionalFormatting>
  <conditionalFormatting sqref="F3167">
    <cfRule type="expression" dxfId="4913" priority="1775">
      <formula>F3167&lt;&gt;""</formula>
    </cfRule>
  </conditionalFormatting>
  <conditionalFormatting sqref="F3171">
    <cfRule type="expression" dxfId="4912" priority="1774">
      <formula>F3167&lt;&gt;""</formula>
    </cfRule>
  </conditionalFormatting>
  <conditionalFormatting sqref="E3167:E3171">
    <cfRule type="expression" dxfId="4911" priority="1773">
      <formula>F3167&lt;&gt;""</formula>
    </cfRule>
  </conditionalFormatting>
  <conditionalFormatting sqref="G3167:G3171">
    <cfRule type="expression" dxfId="4910" priority="1772">
      <formula>H3167&lt;&gt;""</formula>
    </cfRule>
  </conditionalFormatting>
  <conditionalFormatting sqref="I3167:I3171">
    <cfRule type="expression" dxfId="4909" priority="1771">
      <formula>B3175&lt;&gt;""</formula>
    </cfRule>
  </conditionalFormatting>
  <conditionalFormatting sqref="H3167:H3171">
    <cfRule type="expression" dxfId="4908" priority="1770">
      <formula>H3167&lt;&gt;""</formula>
    </cfRule>
  </conditionalFormatting>
  <conditionalFormatting sqref="H3167">
    <cfRule type="expression" dxfId="4907" priority="1769">
      <formula>H3167&lt;&gt;""</formula>
    </cfRule>
  </conditionalFormatting>
  <conditionalFormatting sqref="H3171">
    <cfRule type="expression" dxfId="4906" priority="1768">
      <formula>H3167&lt;&gt;""</formula>
    </cfRule>
  </conditionalFormatting>
  <conditionalFormatting sqref="I3180:I3181 C3181:H3181 B3181:B3182">
    <cfRule type="expression" dxfId="4905" priority="1767">
      <formula>$B3183&lt;&gt;""</formula>
    </cfRule>
  </conditionalFormatting>
  <conditionalFormatting sqref="B3183:B3187">
    <cfRule type="expression" dxfId="4904" priority="1766">
      <formula>B3183&lt;&gt;""</formula>
    </cfRule>
  </conditionalFormatting>
  <conditionalFormatting sqref="B3183">
    <cfRule type="expression" dxfId="4903" priority="1765">
      <formula>B3183&lt;&gt;""</formula>
    </cfRule>
  </conditionalFormatting>
  <conditionalFormatting sqref="B3187">
    <cfRule type="expression" dxfId="4902" priority="1764">
      <formula>B3183&lt;&gt;""</formula>
    </cfRule>
  </conditionalFormatting>
  <conditionalFormatting sqref="F3183:F3187">
    <cfRule type="expression" dxfId="4901" priority="1760">
      <formula>F3183&lt;&gt;""</formula>
    </cfRule>
  </conditionalFormatting>
  <conditionalFormatting sqref="F3183">
    <cfRule type="expression" dxfId="4900" priority="1759">
      <formula>F3183&lt;&gt;""</formula>
    </cfRule>
  </conditionalFormatting>
  <conditionalFormatting sqref="F3187">
    <cfRule type="expression" dxfId="4899" priority="1758">
      <formula>F3183&lt;&gt;""</formula>
    </cfRule>
  </conditionalFormatting>
  <conditionalFormatting sqref="C3183:C3187">
    <cfRule type="expression" dxfId="4898" priority="1757">
      <formula>D3183&lt;&gt;""</formula>
    </cfRule>
  </conditionalFormatting>
  <conditionalFormatting sqref="E3183:E3187">
    <cfRule type="expression" dxfId="4897" priority="1756">
      <formula>F3183&lt;&gt;""</formula>
    </cfRule>
  </conditionalFormatting>
  <conditionalFormatting sqref="G3183:G3187">
    <cfRule type="expression" dxfId="4896" priority="1755">
      <formula>H3183&lt;&gt;""</formula>
    </cfRule>
  </conditionalFormatting>
  <conditionalFormatting sqref="H3183:H3187">
    <cfRule type="expression" dxfId="4895" priority="1754">
      <formula>H3183&lt;&gt;""</formula>
    </cfRule>
  </conditionalFormatting>
  <conditionalFormatting sqref="H3183">
    <cfRule type="expression" dxfId="4894" priority="1753">
      <formula>H3183&lt;&gt;""</formula>
    </cfRule>
  </conditionalFormatting>
  <conditionalFormatting sqref="H3187">
    <cfRule type="expression" dxfId="4893" priority="1752">
      <formula>H3183&lt;&gt;""</formula>
    </cfRule>
  </conditionalFormatting>
  <conditionalFormatting sqref="D3155:D3159">
    <cfRule type="expression" dxfId="4892" priority="1721">
      <formula>D3155&lt;&gt;""</formula>
    </cfRule>
  </conditionalFormatting>
  <conditionalFormatting sqref="D3155">
    <cfRule type="expression" dxfId="4891" priority="1720">
      <formula>D3155&lt;&gt;""</formula>
    </cfRule>
  </conditionalFormatting>
  <conditionalFormatting sqref="D3159">
    <cfRule type="expression" dxfId="4890" priority="1719">
      <formula>D3155&lt;&gt;""</formula>
    </cfRule>
  </conditionalFormatting>
  <conditionalFormatting sqref="I3144:I3145 C3145:H3145 B3145:B3146">
    <cfRule type="expression" dxfId="4889" priority="1709">
      <formula>$B3147&lt;&gt;""</formula>
    </cfRule>
  </conditionalFormatting>
  <conditionalFormatting sqref="D3147:D3151">
    <cfRule type="expression" dxfId="4888" priority="1743">
      <formula>D3147&lt;&gt;""</formula>
    </cfRule>
  </conditionalFormatting>
  <conditionalFormatting sqref="D3147">
    <cfRule type="expression" dxfId="4887" priority="1742">
      <formula>D3147&lt;&gt;""</formula>
    </cfRule>
  </conditionalFormatting>
  <conditionalFormatting sqref="D3151">
    <cfRule type="expression" dxfId="4886" priority="1741">
      <formula>D3147&lt;&gt;""</formula>
    </cfRule>
  </conditionalFormatting>
  <conditionalFormatting sqref="C3147:C3151">
    <cfRule type="expression" dxfId="4885" priority="1750">
      <formula>D3147&lt;&gt;""</formula>
    </cfRule>
  </conditionalFormatting>
  <conditionalFormatting sqref="E3147:E3151">
    <cfRule type="expression" dxfId="4884" priority="1749">
      <formula>F3147&lt;&gt;""</formula>
    </cfRule>
  </conditionalFormatting>
  <conditionalFormatting sqref="G3147:G3151">
    <cfRule type="expression" dxfId="4883" priority="1748">
      <formula>H3147&lt;&gt;""</formula>
    </cfRule>
  </conditionalFormatting>
  <conditionalFormatting sqref="I3147:I3151">
    <cfRule type="expression" dxfId="4882" priority="1747">
      <formula>B3155&lt;&gt;""</formula>
    </cfRule>
  </conditionalFormatting>
  <conditionalFormatting sqref="B3147:B3151">
    <cfRule type="expression" dxfId="4881" priority="1746">
      <formula>B3147&lt;&gt;""</formula>
    </cfRule>
  </conditionalFormatting>
  <conditionalFormatting sqref="B3147">
    <cfRule type="expression" dxfId="4880" priority="1745">
      <formula>B3147&lt;&gt;""</formula>
    </cfRule>
  </conditionalFormatting>
  <conditionalFormatting sqref="B3151">
    <cfRule type="expression" dxfId="4879" priority="1744">
      <formula>B3147&lt;&gt;""</formula>
    </cfRule>
  </conditionalFormatting>
  <conditionalFormatting sqref="F3147:F3151">
    <cfRule type="expression" dxfId="4878" priority="1740">
      <formula>F3147&lt;&gt;""</formula>
    </cfRule>
  </conditionalFormatting>
  <conditionalFormatting sqref="F3147">
    <cfRule type="expression" dxfId="4877" priority="1739">
      <formula>F3147&lt;&gt;""</formula>
    </cfRule>
  </conditionalFormatting>
  <conditionalFormatting sqref="F3151">
    <cfRule type="expression" dxfId="4876" priority="1738">
      <formula>F3147&lt;&gt;""</formula>
    </cfRule>
  </conditionalFormatting>
  <conditionalFormatting sqref="H3147:H3151">
    <cfRule type="expression" dxfId="4875" priority="1737">
      <formula>H3147&lt;&gt;""</formula>
    </cfRule>
  </conditionalFormatting>
  <conditionalFormatting sqref="H3147">
    <cfRule type="expression" dxfId="4874" priority="1736">
      <formula>H3147&lt;&gt;""</formula>
    </cfRule>
  </conditionalFormatting>
  <conditionalFormatting sqref="H3151">
    <cfRule type="expression" dxfId="4873" priority="1735">
      <formula>H3147&lt;&gt;""</formula>
    </cfRule>
  </conditionalFormatting>
  <conditionalFormatting sqref="F3139:F3143">
    <cfRule type="expression" dxfId="4872" priority="1734">
      <formula>F3139&lt;&gt;""</formula>
    </cfRule>
  </conditionalFormatting>
  <conditionalFormatting sqref="F3139">
    <cfRule type="expression" dxfId="4871" priority="1733">
      <formula>F3139&lt;&gt;""</formula>
    </cfRule>
  </conditionalFormatting>
  <conditionalFormatting sqref="F3143">
    <cfRule type="expression" dxfId="4870" priority="1732">
      <formula>F3139&lt;&gt;""</formula>
    </cfRule>
  </conditionalFormatting>
  <conditionalFormatting sqref="E3139:E3143">
    <cfRule type="expression" dxfId="4869" priority="1731">
      <formula>F3139&lt;&gt;""</formula>
    </cfRule>
  </conditionalFormatting>
  <conditionalFormatting sqref="G3139:G3143">
    <cfRule type="expression" dxfId="4868" priority="1730">
      <formula>H3139&lt;&gt;""</formula>
    </cfRule>
  </conditionalFormatting>
  <conditionalFormatting sqref="I3139:I3143">
    <cfRule type="expression" dxfId="4867" priority="1729">
      <formula>B3147&lt;&gt;""</formula>
    </cfRule>
  </conditionalFormatting>
  <conditionalFormatting sqref="H3139:H3143">
    <cfRule type="expression" dxfId="4866" priority="1728">
      <formula>H3139&lt;&gt;""</formula>
    </cfRule>
  </conditionalFormatting>
  <conditionalFormatting sqref="H3139">
    <cfRule type="expression" dxfId="4865" priority="1727">
      <formula>H3139&lt;&gt;""</formula>
    </cfRule>
  </conditionalFormatting>
  <conditionalFormatting sqref="H3143">
    <cfRule type="expression" dxfId="4864" priority="1726">
      <formula>H3139&lt;&gt;""</formula>
    </cfRule>
  </conditionalFormatting>
  <conditionalFormatting sqref="I3152:I3153 C3153:H3153 B3153:B3154">
    <cfRule type="expression" dxfId="4863" priority="1725">
      <formula>$B3155&lt;&gt;""</formula>
    </cfRule>
  </conditionalFormatting>
  <conditionalFormatting sqref="B3155:B3159">
    <cfRule type="expression" dxfId="4862" priority="1724">
      <formula>B3155&lt;&gt;""</formula>
    </cfRule>
  </conditionalFormatting>
  <conditionalFormatting sqref="B3155">
    <cfRule type="expression" dxfId="4861" priority="1723">
      <formula>B3155&lt;&gt;""</formula>
    </cfRule>
  </conditionalFormatting>
  <conditionalFormatting sqref="B3159">
    <cfRule type="expression" dxfId="4860" priority="1722">
      <formula>B3155&lt;&gt;""</formula>
    </cfRule>
  </conditionalFormatting>
  <conditionalFormatting sqref="F3155:F3159">
    <cfRule type="expression" dxfId="4859" priority="1718">
      <formula>F3155&lt;&gt;""</formula>
    </cfRule>
  </conditionalFormatting>
  <conditionalFormatting sqref="F3155">
    <cfRule type="expression" dxfId="4858" priority="1717">
      <formula>F3155&lt;&gt;""</formula>
    </cfRule>
  </conditionalFormatting>
  <conditionalFormatting sqref="F3159">
    <cfRule type="expression" dxfId="4857" priority="1716">
      <formula>F3155&lt;&gt;""</formula>
    </cfRule>
  </conditionalFormatting>
  <conditionalFormatting sqref="C3155:C3159">
    <cfRule type="expression" dxfId="4856" priority="1715">
      <formula>D3155&lt;&gt;""</formula>
    </cfRule>
  </conditionalFormatting>
  <conditionalFormatting sqref="E3155:E3159">
    <cfRule type="expression" dxfId="4855" priority="1714">
      <formula>F3155&lt;&gt;""</formula>
    </cfRule>
  </conditionalFormatting>
  <conditionalFormatting sqref="G3155:G3159">
    <cfRule type="expression" dxfId="4854" priority="1713">
      <formula>H3155&lt;&gt;""</formula>
    </cfRule>
  </conditionalFormatting>
  <conditionalFormatting sqref="H3155:H3159">
    <cfRule type="expression" dxfId="4853" priority="1712">
      <formula>H3155&lt;&gt;""</formula>
    </cfRule>
  </conditionalFormatting>
  <conditionalFormatting sqref="H3155">
    <cfRule type="expression" dxfId="4852" priority="1711">
      <formula>H3155&lt;&gt;""</formula>
    </cfRule>
  </conditionalFormatting>
  <conditionalFormatting sqref="H3159">
    <cfRule type="expression" dxfId="4851" priority="1710">
      <formula>H3155&lt;&gt;""</formula>
    </cfRule>
  </conditionalFormatting>
  <conditionalFormatting sqref="D3127:D3131">
    <cfRule type="expression" dxfId="4850" priority="1679">
      <formula>D3127&lt;&gt;""</formula>
    </cfRule>
  </conditionalFormatting>
  <conditionalFormatting sqref="D3127">
    <cfRule type="expression" dxfId="4849" priority="1678">
      <formula>D3127&lt;&gt;""</formula>
    </cfRule>
  </conditionalFormatting>
  <conditionalFormatting sqref="D3131">
    <cfRule type="expression" dxfId="4848" priority="1677">
      <formula>D3127&lt;&gt;""</formula>
    </cfRule>
  </conditionalFormatting>
  <conditionalFormatting sqref="I3116:I3117 C3117:H3117 B3117:B3118">
    <cfRule type="expression" dxfId="4847" priority="1667">
      <formula>$B3119&lt;&gt;""</formula>
    </cfRule>
  </conditionalFormatting>
  <conditionalFormatting sqref="D3119:D3123">
    <cfRule type="expression" dxfId="4846" priority="1701">
      <formula>D3119&lt;&gt;""</formula>
    </cfRule>
  </conditionalFormatting>
  <conditionalFormatting sqref="D3119">
    <cfRule type="expression" dxfId="4845" priority="1700">
      <formula>D3119&lt;&gt;""</formula>
    </cfRule>
  </conditionalFormatting>
  <conditionalFormatting sqref="D3123">
    <cfRule type="expression" dxfId="4844" priority="1699">
      <formula>D3119&lt;&gt;""</formula>
    </cfRule>
  </conditionalFormatting>
  <conditionalFormatting sqref="C3119:C3123">
    <cfRule type="expression" dxfId="4843" priority="1708">
      <formula>D3119&lt;&gt;""</formula>
    </cfRule>
  </conditionalFormatting>
  <conditionalFormatting sqref="E3119:E3123">
    <cfRule type="expression" dxfId="4842" priority="1707">
      <formula>F3119&lt;&gt;""</formula>
    </cfRule>
  </conditionalFormatting>
  <conditionalFormatting sqref="G3119:G3123">
    <cfRule type="expression" dxfId="4841" priority="1706">
      <formula>H3119&lt;&gt;""</formula>
    </cfRule>
  </conditionalFormatting>
  <conditionalFormatting sqref="I3119:I3123">
    <cfRule type="expression" dxfId="4840" priority="1705">
      <formula>B3127&lt;&gt;""</formula>
    </cfRule>
  </conditionalFormatting>
  <conditionalFormatting sqref="B3119:B3123">
    <cfRule type="expression" dxfId="4839" priority="1704">
      <formula>B3119&lt;&gt;""</formula>
    </cfRule>
  </conditionalFormatting>
  <conditionalFormatting sqref="B3119">
    <cfRule type="expression" dxfId="4838" priority="1703">
      <formula>B3119&lt;&gt;""</formula>
    </cfRule>
  </conditionalFormatting>
  <conditionalFormatting sqref="B3123">
    <cfRule type="expression" dxfId="4837" priority="1702">
      <formula>B3119&lt;&gt;""</formula>
    </cfRule>
  </conditionalFormatting>
  <conditionalFormatting sqref="F3119:F3123">
    <cfRule type="expression" dxfId="4836" priority="1698">
      <formula>F3119&lt;&gt;""</formula>
    </cfRule>
  </conditionalFormatting>
  <conditionalFormatting sqref="F3119">
    <cfRule type="expression" dxfId="4835" priority="1697">
      <formula>F3119&lt;&gt;""</formula>
    </cfRule>
  </conditionalFormatting>
  <conditionalFormatting sqref="F3123">
    <cfRule type="expression" dxfId="4834" priority="1696">
      <formula>F3119&lt;&gt;""</formula>
    </cfRule>
  </conditionalFormatting>
  <conditionalFormatting sqref="H3119:H3123">
    <cfRule type="expression" dxfId="4833" priority="1695">
      <formula>H3119&lt;&gt;""</formula>
    </cfRule>
  </conditionalFormatting>
  <conditionalFormatting sqref="H3119">
    <cfRule type="expression" dxfId="4832" priority="1694">
      <formula>H3119&lt;&gt;""</formula>
    </cfRule>
  </conditionalFormatting>
  <conditionalFormatting sqref="H3123">
    <cfRule type="expression" dxfId="4831" priority="1693">
      <formula>H3119&lt;&gt;""</formula>
    </cfRule>
  </conditionalFormatting>
  <conditionalFormatting sqref="F3111:F3115">
    <cfRule type="expression" dxfId="4830" priority="1692">
      <formula>F3111&lt;&gt;""</formula>
    </cfRule>
  </conditionalFormatting>
  <conditionalFormatting sqref="F3111">
    <cfRule type="expression" dxfId="4829" priority="1691">
      <formula>F3111&lt;&gt;""</formula>
    </cfRule>
  </conditionalFormatting>
  <conditionalFormatting sqref="F3115">
    <cfRule type="expression" dxfId="4828" priority="1690">
      <formula>F3111&lt;&gt;""</formula>
    </cfRule>
  </conditionalFormatting>
  <conditionalFormatting sqref="E3111:E3115">
    <cfRule type="expression" dxfId="4827" priority="1689">
      <formula>F3111&lt;&gt;""</formula>
    </cfRule>
  </conditionalFormatting>
  <conditionalFormatting sqref="G3111:G3115">
    <cfRule type="expression" dxfId="4826" priority="1688">
      <formula>H3111&lt;&gt;""</formula>
    </cfRule>
  </conditionalFormatting>
  <conditionalFormatting sqref="I3111:I3115">
    <cfRule type="expression" dxfId="4825" priority="1687">
      <formula>B3119&lt;&gt;""</formula>
    </cfRule>
  </conditionalFormatting>
  <conditionalFormatting sqref="H3111:H3115">
    <cfRule type="expression" dxfId="4824" priority="1686">
      <formula>H3111&lt;&gt;""</formula>
    </cfRule>
  </conditionalFormatting>
  <conditionalFormatting sqref="H3111">
    <cfRule type="expression" dxfId="4823" priority="1685">
      <formula>H3111&lt;&gt;""</formula>
    </cfRule>
  </conditionalFormatting>
  <conditionalFormatting sqref="H3115">
    <cfRule type="expression" dxfId="4822" priority="1684">
      <formula>H3111&lt;&gt;""</formula>
    </cfRule>
  </conditionalFormatting>
  <conditionalFormatting sqref="I3124:I3125 C3125:H3125 B3125:B3126">
    <cfRule type="expression" dxfId="4821" priority="1683">
      <formula>$B3127&lt;&gt;""</formula>
    </cfRule>
  </conditionalFormatting>
  <conditionalFormatting sqref="B3127:B3131">
    <cfRule type="expression" dxfId="4820" priority="1682">
      <formula>B3127&lt;&gt;""</formula>
    </cfRule>
  </conditionalFormatting>
  <conditionalFormatting sqref="B3127">
    <cfRule type="expression" dxfId="4819" priority="1681">
      <formula>B3127&lt;&gt;""</formula>
    </cfRule>
  </conditionalFormatting>
  <conditionalFormatting sqref="B3131">
    <cfRule type="expression" dxfId="4818" priority="1680">
      <formula>B3127&lt;&gt;""</formula>
    </cfRule>
  </conditionalFormatting>
  <conditionalFormatting sqref="F3127:F3131">
    <cfRule type="expression" dxfId="4817" priority="1676">
      <formula>F3127&lt;&gt;""</formula>
    </cfRule>
  </conditionalFormatting>
  <conditionalFormatting sqref="F3127">
    <cfRule type="expression" dxfId="4816" priority="1675">
      <formula>F3127&lt;&gt;""</formula>
    </cfRule>
  </conditionalFormatting>
  <conditionalFormatting sqref="F3131">
    <cfRule type="expression" dxfId="4815" priority="1674">
      <formula>F3127&lt;&gt;""</formula>
    </cfRule>
  </conditionalFormatting>
  <conditionalFormatting sqref="C3127:C3131">
    <cfRule type="expression" dxfId="4814" priority="1673">
      <formula>D3127&lt;&gt;""</formula>
    </cfRule>
  </conditionalFormatting>
  <conditionalFormatting sqref="E3127:E3131">
    <cfRule type="expression" dxfId="4813" priority="1672">
      <formula>F3127&lt;&gt;""</formula>
    </cfRule>
  </conditionalFormatting>
  <conditionalFormatting sqref="G3127:G3131">
    <cfRule type="expression" dxfId="4812" priority="1671">
      <formula>H3127&lt;&gt;""</formula>
    </cfRule>
  </conditionalFormatting>
  <conditionalFormatting sqref="H3127:H3131">
    <cfRule type="expression" dxfId="4811" priority="1670">
      <formula>H3127&lt;&gt;""</formula>
    </cfRule>
  </conditionalFormatting>
  <conditionalFormatting sqref="H3127">
    <cfRule type="expression" dxfId="4810" priority="1669">
      <formula>H3127&lt;&gt;""</formula>
    </cfRule>
  </conditionalFormatting>
  <conditionalFormatting sqref="H3131">
    <cfRule type="expression" dxfId="4809" priority="1668">
      <formula>H3127&lt;&gt;""</formula>
    </cfRule>
  </conditionalFormatting>
  <conditionalFormatting sqref="B3111:B3115">
    <cfRule type="expression" dxfId="4808" priority="1666">
      <formula>B3111&lt;&gt;""</formula>
    </cfRule>
  </conditionalFormatting>
  <conditionalFormatting sqref="B3111">
    <cfRule type="expression" dxfId="4807" priority="1665">
      <formula>B3111&lt;&gt;""</formula>
    </cfRule>
  </conditionalFormatting>
  <conditionalFormatting sqref="B3115">
    <cfRule type="expression" dxfId="4806" priority="1664">
      <formula>B3111&lt;&gt;""</formula>
    </cfRule>
  </conditionalFormatting>
  <conditionalFormatting sqref="C3111:C3115">
    <cfRule type="expression" dxfId="4805" priority="1663">
      <formula>D3111&lt;&gt;""</formula>
    </cfRule>
  </conditionalFormatting>
  <conditionalFormatting sqref="D3111:D3115">
    <cfRule type="expression" dxfId="4804" priority="1662">
      <formula>D3111&lt;&gt;""</formula>
    </cfRule>
  </conditionalFormatting>
  <conditionalFormatting sqref="D3111">
    <cfRule type="expression" dxfId="4803" priority="1661">
      <formula>D3111&lt;&gt;""</formula>
    </cfRule>
  </conditionalFormatting>
  <conditionalFormatting sqref="D3115">
    <cfRule type="expression" dxfId="4802" priority="1660">
      <formula>D3111&lt;&gt;""</formula>
    </cfRule>
  </conditionalFormatting>
  <conditionalFormatting sqref="B3139:B3143">
    <cfRule type="expression" dxfId="4801" priority="1659">
      <formula>B3139&lt;&gt;""</formula>
    </cfRule>
  </conditionalFormatting>
  <conditionalFormatting sqref="B3139">
    <cfRule type="expression" dxfId="4800" priority="1658">
      <formula>B3139&lt;&gt;""</formula>
    </cfRule>
  </conditionalFormatting>
  <conditionalFormatting sqref="B3143">
    <cfRule type="expression" dxfId="4799" priority="1657">
      <formula>B3139&lt;&gt;""</formula>
    </cfRule>
  </conditionalFormatting>
  <conditionalFormatting sqref="C3139:C3143">
    <cfRule type="expression" dxfId="4798" priority="1656">
      <formula>D3139&lt;&gt;""</formula>
    </cfRule>
  </conditionalFormatting>
  <conditionalFormatting sqref="D3139:D3143">
    <cfRule type="expression" dxfId="4797" priority="1655">
      <formula>D3139&lt;&gt;""</formula>
    </cfRule>
  </conditionalFormatting>
  <conditionalFormatting sqref="D3139">
    <cfRule type="expression" dxfId="4796" priority="1654">
      <formula>D3139&lt;&gt;""</formula>
    </cfRule>
  </conditionalFormatting>
  <conditionalFormatting sqref="D3143">
    <cfRule type="expression" dxfId="4795" priority="1653">
      <formula>D3139&lt;&gt;""</formula>
    </cfRule>
  </conditionalFormatting>
  <conditionalFormatting sqref="B3167:B3171">
    <cfRule type="expression" dxfId="4794" priority="1652">
      <formula>B3167&lt;&gt;""</formula>
    </cfRule>
  </conditionalFormatting>
  <conditionalFormatting sqref="B3167">
    <cfRule type="expression" dxfId="4793" priority="1651">
      <formula>B3167&lt;&gt;""</formula>
    </cfRule>
  </conditionalFormatting>
  <conditionalFormatting sqref="B3171">
    <cfRule type="expression" dxfId="4792" priority="1650">
      <formula>B3167&lt;&gt;""</formula>
    </cfRule>
  </conditionalFormatting>
  <conditionalFormatting sqref="C3167:C3171">
    <cfRule type="expression" dxfId="4791" priority="1649">
      <formula>D3167&lt;&gt;""</formula>
    </cfRule>
  </conditionalFormatting>
  <conditionalFormatting sqref="D3167:D3171">
    <cfRule type="expression" dxfId="4790" priority="1648">
      <formula>D3167&lt;&gt;""</formula>
    </cfRule>
  </conditionalFormatting>
  <conditionalFormatting sqref="D3167">
    <cfRule type="expression" dxfId="4789" priority="1647">
      <formula>D3167&lt;&gt;""</formula>
    </cfRule>
  </conditionalFormatting>
  <conditionalFormatting sqref="D3171">
    <cfRule type="expression" dxfId="4788" priority="1646">
      <formula>D3167&lt;&gt;""</formula>
    </cfRule>
  </conditionalFormatting>
  <conditionalFormatting sqref="B3195:B3199">
    <cfRule type="expression" dxfId="4787" priority="1645">
      <formula>B3195&lt;&gt;""</formula>
    </cfRule>
  </conditionalFormatting>
  <conditionalFormatting sqref="B3195">
    <cfRule type="expression" dxfId="4786" priority="1644">
      <formula>B3195&lt;&gt;""</formula>
    </cfRule>
  </conditionalFormatting>
  <conditionalFormatting sqref="B3199">
    <cfRule type="expression" dxfId="4785" priority="1643">
      <formula>B3195&lt;&gt;""</formula>
    </cfRule>
  </conditionalFormatting>
  <conditionalFormatting sqref="C3195:C3199">
    <cfRule type="expression" dxfId="4784" priority="1642">
      <formula>D3195&lt;&gt;""</formula>
    </cfRule>
  </conditionalFormatting>
  <conditionalFormatting sqref="D3195:D3199">
    <cfRule type="expression" dxfId="4783" priority="1641">
      <formula>D3195&lt;&gt;""</formula>
    </cfRule>
  </conditionalFormatting>
  <conditionalFormatting sqref="D3195">
    <cfRule type="expression" dxfId="4782" priority="1640">
      <formula>D3195&lt;&gt;""</formula>
    </cfRule>
  </conditionalFormatting>
  <conditionalFormatting sqref="D3199">
    <cfRule type="expression" dxfId="4781" priority="1639">
      <formula>D3195&lt;&gt;""</formula>
    </cfRule>
  </conditionalFormatting>
  <conditionalFormatting sqref="B3223:B3227">
    <cfRule type="expression" dxfId="4780" priority="1638">
      <formula>B3223&lt;&gt;""</formula>
    </cfRule>
  </conditionalFormatting>
  <conditionalFormatting sqref="B3223">
    <cfRule type="expression" dxfId="4779" priority="1637">
      <formula>B3223&lt;&gt;""</formula>
    </cfRule>
  </conditionalFormatting>
  <conditionalFormatting sqref="B3227">
    <cfRule type="expression" dxfId="4778" priority="1636">
      <formula>B3223&lt;&gt;""</formula>
    </cfRule>
  </conditionalFormatting>
  <conditionalFormatting sqref="C3223:C3227">
    <cfRule type="expression" dxfId="4777" priority="1635">
      <formula>D3223&lt;&gt;""</formula>
    </cfRule>
  </conditionalFormatting>
  <conditionalFormatting sqref="D3223:D3227">
    <cfRule type="expression" dxfId="4776" priority="1634">
      <formula>D3223&lt;&gt;""</formula>
    </cfRule>
  </conditionalFormatting>
  <conditionalFormatting sqref="D3223">
    <cfRule type="expression" dxfId="4775" priority="1633">
      <formula>D3223&lt;&gt;""</formula>
    </cfRule>
  </conditionalFormatting>
  <conditionalFormatting sqref="D3227">
    <cfRule type="expression" dxfId="4774" priority="1632">
      <formula>D3223&lt;&gt;""</formula>
    </cfRule>
  </conditionalFormatting>
  <conditionalFormatting sqref="B3251:B3255">
    <cfRule type="expression" dxfId="4773" priority="1631">
      <formula>B3251&lt;&gt;""</formula>
    </cfRule>
  </conditionalFormatting>
  <conditionalFormatting sqref="B3251">
    <cfRule type="expression" dxfId="4772" priority="1630">
      <formula>B3251&lt;&gt;""</formula>
    </cfRule>
  </conditionalFormatting>
  <conditionalFormatting sqref="B3255">
    <cfRule type="expression" dxfId="4771" priority="1629">
      <formula>B3251&lt;&gt;""</formula>
    </cfRule>
  </conditionalFormatting>
  <conditionalFormatting sqref="C3251:C3255">
    <cfRule type="expression" dxfId="4770" priority="1628">
      <formula>D3251&lt;&gt;""</formula>
    </cfRule>
  </conditionalFormatting>
  <conditionalFormatting sqref="D3251:D3255">
    <cfRule type="expression" dxfId="4769" priority="1627">
      <formula>D3251&lt;&gt;""</formula>
    </cfRule>
  </conditionalFormatting>
  <conditionalFormatting sqref="D3251">
    <cfRule type="expression" dxfId="4768" priority="1626">
      <formula>D3251&lt;&gt;""</formula>
    </cfRule>
  </conditionalFormatting>
  <conditionalFormatting sqref="D3255">
    <cfRule type="expression" dxfId="4767" priority="1625">
      <formula>D3251&lt;&gt;""</formula>
    </cfRule>
  </conditionalFormatting>
  <conditionalFormatting sqref="B3279:B3283">
    <cfRule type="expression" dxfId="4766" priority="1624">
      <formula>B3279&lt;&gt;""</formula>
    </cfRule>
  </conditionalFormatting>
  <conditionalFormatting sqref="B3279">
    <cfRule type="expression" dxfId="4765" priority="1623">
      <formula>B3279&lt;&gt;""</formula>
    </cfRule>
  </conditionalFormatting>
  <conditionalFormatting sqref="B3283">
    <cfRule type="expression" dxfId="4764" priority="1622">
      <formula>B3279&lt;&gt;""</formula>
    </cfRule>
  </conditionalFormatting>
  <conditionalFormatting sqref="C3279:C3283">
    <cfRule type="expression" dxfId="4763" priority="1621">
      <formula>D3279&lt;&gt;""</formula>
    </cfRule>
  </conditionalFormatting>
  <conditionalFormatting sqref="D3279:D3283">
    <cfRule type="expression" dxfId="4762" priority="1620">
      <formula>D3279&lt;&gt;""</formula>
    </cfRule>
  </conditionalFormatting>
  <conditionalFormatting sqref="D3279">
    <cfRule type="expression" dxfId="4761" priority="1619">
      <formula>D3279&lt;&gt;""</formula>
    </cfRule>
  </conditionalFormatting>
  <conditionalFormatting sqref="D3283">
    <cfRule type="expression" dxfId="4760" priority="1618">
      <formula>D3279&lt;&gt;""</formula>
    </cfRule>
  </conditionalFormatting>
  <conditionalFormatting sqref="D3323:D3327">
    <cfRule type="expression" dxfId="4759" priority="1589">
      <formula>D3323&lt;&gt;""</formula>
    </cfRule>
  </conditionalFormatting>
  <conditionalFormatting sqref="D3323">
    <cfRule type="expression" dxfId="4758" priority="1588">
      <formula>D3323&lt;&gt;""</formula>
    </cfRule>
  </conditionalFormatting>
  <conditionalFormatting sqref="D3327">
    <cfRule type="expression" dxfId="4757" priority="1587">
      <formula>D3323&lt;&gt;""</formula>
    </cfRule>
  </conditionalFormatting>
  <conditionalFormatting sqref="D3315:D3319">
    <cfRule type="expression" dxfId="4756" priority="1610">
      <formula>D3315&lt;&gt;""</formula>
    </cfRule>
  </conditionalFormatting>
  <conditionalFormatting sqref="D3315">
    <cfRule type="expression" dxfId="4755" priority="1609">
      <formula>D3315&lt;&gt;""</formula>
    </cfRule>
  </conditionalFormatting>
  <conditionalFormatting sqref="D3319">
    <cfRule type="expression" dxfId="4754" priority="1608">
      <formula>D3315&lt;&gt;""</formula>
    </cfRule>
  </conditionalFormatting>
  <conditionalFormatting sqref="C3315:C3319">
    <cfRule type="expression" dxfId="4753" priority="1617">
      <formula>D3315&lt;&gt;""</formula>
    </cfRule>
  </conditionalFormatting>
  <conditionalFormatting sqref="E3315:E3319">
    <cfRule type="expression" dxfId="4752" priority="1616">
      <formula>F3315&lt;&gt;""</formula>
    </cfRule>
  </conditionalFormatting>
  <conditionalFormatting sqref="G3315:G3319">
    <cfRule type="expression" dxfId="4751" priority="1615">
      <formula>H3315&lt;&gt;""</formula>
    </cfRule>
  </conditionalFormatting>
  <conditionalFormatting sqref="I3315:I3319">
    <cfRule type="expression" dxfId="4750" priority="1614">
      <formula>B3323&lt;&gt;""</formula>
    </cfRule>
  </conditionalFormatting>
  <conditionalFormatting sqref="B3315:B3319">
    <cfRule type="expression" dxfId="4749" priority="1613">
      <formula>B3315&lt;&gt;""</formula>
    </cfRule>
  </conditionalFormatting>
  <conditionalFormatting sqref="B3315">
    <cfRule type="expression" dxfId="4748" priority="1612">
      <formula>B3315&lt;&gt;""</formula>
    </cfRule>
  </conditionalFormatting>
  <conditionalFormatting sqref="B3319">
    <cfRule type="expression" dxfId="4747" priority="1611">
      <formula>B3315&lt;&gt;""</formula>
    </cfRule>
  </conditionalFormatting>
  <conditionalFormatting sqref="F3315:F3319">
    <cfRule type="expression" dxfId="4746" priority="1607">
      <formula>F3315&lt;&gt;""</formula>
    </cfRule>
  </conditionalFormatting>
  <conditionalFormatting sqref="F3315">
    <cfRule type="expression" dxfId="4745" priority="1606">
      <formula>F3315&lt;&gt;""</formula>
    </cfRule>
  </conditionalFormatting>
  <conditionalFormatting sqref="F3319">
    <cfRule type="expression" dxfId="4744" priority="1605">
      <formula>F3315&lt;&gt;""</formula>
    </cfRule>
  </conditionalFormatting>
  <conditionalFormatting sqref="H3315:H3319">
    <cfRule type="expression" dxfId="4743" priority="1604">
      <formula>H3315&lt;&gt;""</formula>
    </cfRule>
  </conditionalFormatting>
  <conditionalFormatting sqref="H3315">
    <cfRule type="expression" dxfId="4742" priority="1603">
      <formula>H3315&lt;&gt;""</formula>
    </cfRule>
  </conditionalFormatting>
  <conditionalFormatting sqref="H3319">
    <cfRule type="expression" dxfId="4741" priority="1602">
      <formula>H3315&lt;&gt;""</formula>
    </cfRule>
  </conditionalFormatting>
  <conditionalFormatting sqref="F3307:F3311">
    <cfRule type="expression" dxfId="4740" priority="1601">
      <formula>F3307&lt;&gt;""</formula>
    </cfRule>
  </conditionalFormatting>
  <conditionalFormatting sqref="F3307">
    <cfRule type="expression" dxfId="4739" priority="1600">
      <formula>F3307&lt;&gt;""</formula>
    </cfRule>
  </conditionalFormatting>
  <conditionalFormatting sqref="F3311">
    <cfRule type="expression" dxfId="4738" priority="1599">
      <formula>F3307&lt;&gt;""</formula>
    </cfRule>
  </conditionalFormatting>
  <conditionalFormatting sqref="E3307:E3311">
    <cfRule type="expression" dxfId="4737" priority="1598">
      <formula>F3307&lt;&gt;""</formula>
    </cfRule>
  </conditionalFormatting>
  <conditionalFormatting sqref="G3307:G3311">
    <cfRule type="expression" dxfId="4736" priority="1597">
      <formula>H3307&lt;&gt;""</formula>
    </cfRule>
  </conditionalFormatting>
  <conditionalFormatting sqref="I3307:I3311">
    <cfRule type="expression" dxfId="4735" priority="1596">
      <formula>B3315&lt;&gt;""</formula>
    </cfRule>
  </conditionalFormatting>
  <conditionalFormatting sqref="H3307:H3311">
    <cfRule type="expression" dxfId="4734" priority="1595">
      <formula>H3307&lt;&gt;""</formula>
    </cfRule>
  </conditionalFormatting>
  <conditionalFormatting sqref="H3307">
    <cfRule type="expression" dxfId="4733" priority="1594">
      <formula>H3307&lt;&gt;""</formula>
    </cfRule>
  </conditionalFormatting>
  <conditionalFormatting sqref="H3311">
    <cfRule type="expression" dxfId="4732" priority="1593">
      <formula>H3307&lt;&gt;""</formula>
    </cfRule>
  </conditionalFormatting>
  <conditionalFormatting sqref="B3323:B3327">
    <cfRule type="expression" dxfId="4731" priority="1592">
      <formula>B3323&lt;&gt;""</formula>
    </cfRule>
  </conditionalFormatting>
  <conditionalFormatting sqref="B3323">
    <cfRule type="expression" dxfId="4730" priority="1591">
      <formula>B3323&lt;&gt;""</formula>
    </cfRule>
  </conditionalFormatting>
  <conditionalFormatting sqref="B3327">
    <cfRule type="expression" dxfId="4729" priority="1590">
      <formula>B3323&lt;&gt;""</formula>
    </cfRule>
  </conditionalFormatting>
  <conditionalFormatting sqref="F3323:F3327">
    <cfRule type="expression" dxfId="4728" priority="1586">
      <formula>F3323&lt;&gt;""</formula>
    </cfRule>
  </conditionalFormatting>
  <conditionalFormatting sqref="F3323">
    <cfRule type="expression" dxfId="4727" priority="1585">
      <formula>F3323&lt;&gt;""</formula>
    </cfRule>
  </conditionalFormatting>
  <conditionalFormatting sqref="F3327">
    <cfRule type="expression" dxfId="4726" priority="1584">
      <formula>F3323&lt;&gt;""</formula>
    </cfRule>
  </conditionalFormatting>
  <conditionalFormatting sqref="C3323:C3327">
    <cfRule type="expression" dxfId="4725" priority="1583">
      <formula>D3323&lt;&gt;""</formula>
    </cfRule>
  </conditionalFormatting>
  <conditionalFormatting sqref="E3323:E3327">
    <cfRule type="expression" dxfId="4724" priority="1582">
      <formula>F3323&lt;&gt;""</formula>
    </cfRule>
  </conditionalFormatting>
  <conditionalFormatting sqref="G3323:G3327">
    <cfRule type="expression" dxfId="4723" priority="1581">
      <formula>H3323&lt;&gt;""</formula>
    </cfRule>
  </conditionalFormatting>
  <conditionalFormatting sqref="H3323:H3327">
    <cfRule type="expression" dxfId="4722" priority="1580">
      <formula>H3323&lt;&gt;""</formula>
    </cfRule>
  </conditionalFormatting>
  <conditionalFormatting sqref="H3323">
    <cfRule type="expression" dxfId="4721" priority="1579">
      <formula>H3323&lt;&gt;""</formula>
    </cfRule>
  </conditionalFormatting>
  <conditionalFormatting sqref="H3327">
    <cfRule type="expression" dxfId="4720" priority="1578">
      <formula>H3323&lt;&gt;""</formula>
    </cfRule>
  </conditionalFormatting>
  <conditionalFormatting sqref="D3351:D3355">
    <cfRule type="expression" dxfId="4719" priority="1549">
      <formula>D3351&lt;&gt;""</formula>
    </cfRule>
  </conditionalFormatting>
  <conditionalFormatting sqref="D3351">
    <cfRule type="expression" dxfId="4718" priority="1548">
      <formula>D3351&lt;&gt;""</formula>
    </cfRule>
  </conditionalFormatting>
  <conditionalFormatting sqref="D3355">
    <cfRule type="expression" dxfId="4717" priority="1547">
      <formula>D3351&lt;&gt;""</formula>
    </cfRule>
  </conditionalFormatting>
  <conditionalFormatting sqref="D3343:D3347">
    <cfRule type="expression" dxfId="4716" priority="1570">
      <formula>D3343&lt;&gt;""</formula>
    </cfRule>
  </conditionalFormatting>
  <conditionalFormatting sqref="D3343">
    <cfRule type="expression" dxfId="4715" priority="1569">
      <formula>D3343&lt;&gt;""</formula>
    </cfRule>
  </conditionalFormatting>
  <conditionalFormatting sqref="D3347">
    <cfRule type="expression" dxfId="4714" priority="1568">
      <formula>D3343&lt;&gt;""</formula>
    </cfRule>
  </conditionalFormatting>
  <conditionalFormatting sqref="C3343:C3347">
    <cfRule type="expression" dxfId="4713" priority="1577">
      <formula>D3343&lt;&gt;""</formula>
    </cfRule>
  </conditionalFormatting>
  <conditionalFormatting sqref="E3343:E3347">
    <cfRule type="expression" dxfId="4712" priority="1576">
      <formula>F3343&lt;&gt;""</formula>
    </cfRule>
  </conditionalFormatting>
  <conditionalFormatting sqref="G3343:G3347">
    <cfRule type="expression" dxfId="4711" priority="1575">
      <formula>H3343&lt;&gt;""</formula>
    </cfRule>
  </conditionalFormatting>
  <conditionalFormatting sqref="I3343:I3347">
    <cfRule type="expression" dxfId="4710" priority="1574">
      <formula>B3351&lt;&gt;""</formula>
    </cfRule>
  </conditionalFormatting>
  <conditionalFormatting sqref="B3343:B3347">
    <cfRule type="expression" dxfId="4709" priority="1573">
      <formula>B3343&lt;&gt;""</formula>
    </cfRule>
  </conditionalFormatting>
  <conditionalFormatting sqref="B3343">
    <cfRule type="expression" dxfId="4708" priority="1572">
      <formula>B3343&lt;&gt;""</formula>
    </cfRule>
  </conditionalFormatting>
  <conditionalFormatting sqref="B3347">
    <cfRule type="expression" dxfId="4707" priority="1571">
      <formula>B3343&lt;&gt;""</formula>
    </cfRule>
  </conditionalFormatting>
  <conditionalFormatting sqref="F3343:F3347">
    <cfRule type="expression" dxfId="4706" priority="1567">
      <formula>F3343&lt;&gt;""</formula>
    </cfRule>
  </conditionalFormatting>
  <conditionalFormatting sqref="F3343">
    <cfRule type="expression" dxfId="4705" priority="1566">
      <formula>F3343&lt;&gt;""</formula>
    </cfRule>
  </conditionalFormatting>
  <conditionalFormatting sqref="F3347">
    <cfRule type="expression" dxfId="4704" priority="1565">
      <formula>F3343&lt;&gt;""</formula>
    </cfRule>
  </conditionalFormatting>
  <conditionalFormatting sqref="H3343:H3347">
    <cfRule type="expression" dxfId="4703" priority="1564">
      <formula>H3343&lt;&gt;""</formula>
    </cfRule>
  </conditionalFormatting>
  <conditionalFormatting sqref="H3343">
    <cfRule type="expression" dxfId="4702" priority="1563">
      <formula>H3343&lt;&gt;""</formula>
    </cfRule>
  </conditionalFormatting>
  <conditionalFormatting sqref="H3347">
    <cfRule type="expression" dxfId="4701" priority="1562">
      <formula>H3343&lt;&gt;""</formula>
    </cfRule>
  </conditionalFormatting>
  <conditionalFormatting sqref="F3335:F3339">
    <cfRule type="expression" dxfId="4700" priority="1561">
      <formula>F3335&lt;&gt;""</formula>
    </cfRule>
  </conditionalFormatting>
  <conditionalFormatting sqref="F3335">
    <cfRule type="expression" dxfId="4699" priority="1560">
      <formula>F3335&lt;&gt;""</formula>
    </cfRule>
  </conditionalFormatting>
  <conditionalFormatting sqref="F3339">
    <cfRule type="expression" dxfId="4698" priority="1559">
      <formula>F3335&lt;&gt;""</formula>
    </cfRule>
  </conditionalFormatting>
  <conditionalFormatting sqref="E3335:E3339">
    <cfRule type="expression" dxfId="4697" priority="1558">
      <formula>F3335&lt;&gt;""</formula>
    </cfRule>
  </conditionalFormatting>
  <conditionalFormatting sqref="G3335:G3339">
    <cfRule type="expression" dxfId="4696" priority="1557">
      <formula>H3335&lt;&gt;""</formula>
    </cfRule>
  </conditionalFormatting>
  <conditionalFormatting sqref="I3335:I3339">
    <cfRule type="expression" dxfId="4695" priority="1556">
      <formula>B3343&lt;&gt;""</formula>
    </cfRule>
  </conditionalFormatting>
  <conditionalFormatting sqref="H3335:H3339">
    <cfRule type="expression" dxfId="4694" priority="1555">
      <formula>H3335&lt;&gt;""</formula>
    </cfRule>
  </conditionalFormatting>
  <conditionalFormatting sqref="H3335">
    <cfRule type="expression" dxfId="4693" priority="1554">
      <formula>H3335&lt;&gt;""</formula>
    </cfRule>
  </conditionalFormatting>
  <conditionalFormatting sqref="H3339">
    <cfRule type="expression" dxfId="4692" priority="1553">
      <formula>H3335&lt;&gt;""</formula>
    </cfRule>
  </conditionalFormatting>
  <conditionalFormatting sqref="B3351:B3355">
    <cfRule type="expression" dxfId="4691" priority="1552">
      <formula>B3351&lt;&gt;""</formula>
    </cfRule>
  </conditionalFormatting>
  <conditionalFormatting sqref="B3351">
    <cfRule type="expression" dxfId="4690" priority="1551">
      <formula>B3351&lt;&gt;""</formula>
    </cfRule>
  </conditionalFormatting>
  <conditionalFormatting sqref="B3355">
    <cfRule type="expression" dxfId="4689" priority="1550">
      <formula>B3351&lt;&gt;""</formula>
    </cfRule>
  </conditionalFormatting>
  <conditionalFormatting sqref="F3351:F3355">
    <cfRule type="expression" dxfId="4688" priority="1546">
      <formula>F3351&lt;&gt;""</formula>
    </cfRule>
  </conditionalFormatting>
  <conditionalFormatting sqref="F3351">
    <cfRule type="expression" dxfId="4687" priority="1545">
      <formula>F3351&lt;&gt;""</formula>
    </cfRule>
  </conditionalFormatting>
  <conditionalFormatting sqref="F3355">
    <cfRule type="expression" dxfId="4686" priority="1544">
      <formula>F3351&lt;&gt;""</formula>
    </cfRule>
  </conditionalFormatting>
  <conditionalFormatting sqref="C3351:C3355">
    <cfRule type="expression" dxfId="4685" priority="1543">
      <formula>D3351&lt;&gt;""</formula>
    </cfRule>
  </conditionalFormatting>
  <conditionalFormatting sqref="E3351:E3355">
    <cfRule type="expression" dxfId="4684" priority="1542">
      <formula>F3351&lt;&gt;""</formula>
    </cfRule>
  </conditionalFormatting>
  <conditionalFormatting sqref="G3351:G3355">
    <cfRule type="expression" dxfId="4683" priority="1541">
      <formula>H3351&lt;&gt;""</formula>
    </cfRule>
  </conditionalFormatting>
  <conditionalFormatting sqref="H3351:H3355">
    <cfRule type="expression" dxfId="4682" priority="1540">
      <formula>H3351&lt;&gt;""</formula>
    </cfRule>
  </conditionalFormatting>
  <conditionalFormatting sqref="H3351">
    <cfRule type="expression" dxfId="4681" priority="1539">
      <formula>H3351&lt;&gt;""</formula>
    </cfRule>
  </conditionalFormatting>
  <conditionalFormatting sqref="H3355">
    <cfRule type="expression" dxfId="4680" priority="1538">
      <formula>H3351&lt;&gt;""</formula>
    </cfRule>
  </conditionalFormatting>
  <conditionalFormatting sqref="B3335:B3339">
    <cfRule type="expression" dxfId="4679" priority="1486">
      <formula>B3335&lt;&gt;""</formula>
    </cfRule>
  </conditionalFormatting>
  <conditionalFormatting sqref="B3341:B3342 C3341:I3341 I3340">
    <cfRule type="expression" dxfId="4678" priority="1537">
      <formula>$B3343&lt;&gt;""</formula>
    </cfRule>
  </conditionalFormatting>
  <conditionalFormatting sqref="B3349:B3350 C3349:I3349 I3348">
    <cfRule type="expression" dxfId="4677" priority="1536">
      <formula>$B3351&lt;&gt;""</formula>
    </cfRule>
  </conditionalFormatting>
  <conditionalFormatting sqref="D3379:D3383">
    <cfRule type="expression" dxfId="4676" priority="1507">
      <formula>D3379&lt;&gt;""</formula>
    </cfRule>
  </conditionalFormatting>
  <conditionalFormatting sqref="D3379">
    <cfRule type="expression" dxfId="4675" priority="1506">
      <formula>D3379&lt;&gt;""</formula>
    </cfRule>
  </conditionalFormatting>
  <conditionalFormatting sqref="D3383">
    <cfRule type="expression" dxfId="4674" priority="1505">
      <formula>D3379&lt;&gt;""</formula>
    </cfRule>
  </conditionalFormatting>
  <conditionalFormatting sqref="D3371:D3375">
    <cfRule type="expression" dxfId="4673" priority="1528">
      <formula>D3371&lt;&gt;""</formula>
    </cfRule>
  </conditionalFormatting>
  <conditionalFormatting sqref="D3371">
    <cfRule type="expression" dxfId="4672" priority="1527">
      <formula>D3371&lt;&gt;""</formula>
    </cfRule>
  </conditionalFormatting>
  <conditionalFormatting sqref="D3375">
    <cfRule type="expression" dxfId="4671" priority="1526">
      <formula>D3371&lt;&gt;""</formula>
    </cfRule>
  </conditionalFormatting>
  <conditionalFormatting sqref="C3371:C3375">
    <cfRule type="expression" dxfId="4670" priority="1535">
      <formula>D3371&lt;&gt;""</formula>
    </cfRule>
  </conditionalFormatting>
  <conditionalFormatting sqref="E3371:E3375">
    <cfRule type="expression" dxfId="4669" priority="1534">
      <formula>F3371&lt;&gt;""</formula>
    </cfRule>
  </conditionalFormatting>
  <conditionalFormatting sqref="G3371:G3375">
    <cfRule type="expression" dxfId="4668" priority="1533">
      <formula>H3371&lt;&gt;""</formula>
    </cfRule>
  </conditionalFormatting>
  <conditionalFormatting sqref="I3371:I3375">
    <cfRule type="expression" dxfId="4667" priority="1532">
      <formula>B3379&lt;&gt;""</formula>
    </cfRule>
  </conditionalFormatting>
  <conditionalFormatting sqref="B3371:B3375">
    <cfRule type="expression" dxfId="4666" priority="1531">
      <formula>B3371&lt;&gt;""</formula>
    </cfRule>
  </conditionalFormatting>
  <conditionalFormatting sqref="B3371">
    <cfRule type="expression" dxfId="4665" priority="1530">
      <formula>B3371&lt;&gt;""</formula>
    </cfRule>
  </conditionalFormatting>
  <conditionalFormatting sqref="B3375">
    <cfRule type="expression" dxfId="4664" priority="1529">
      <formula>B3371&lt;&gt;""</formula>
    </cfRule>
  </conditionalFormatting>
  <conditionalFormatting sqref="F3371:F3375">
    <cfRule type="expression" dxfId="4663" priority="1525">
      <formula>F3371&lt;&gt;""</formula>
    </cfRule>
  </conditionalFormatting>
  <conditionalFormatting sqref="F3371">
    <cfRule type="expression" dxfId="4662" priority="1524">
      <formula>F3371&lt;&gt;""</formula>
    </cfRule>
  </conditionalFormatting>
  <conditionalFormatting sqref="F3375">
    <cfRule type="expression" dxfId="4661" priority="1523">
      <formula>F3371&lt;&gt;""</formula>
    </cfRule>
  </conditionalFormatting>
  <conditionalFormatting sqref="H3371:H3375">
    <cfRule type="expression" dxfId="4660" priority="1522">
      <formula>H3371&lt;&gt;""</formula>
    </cfRule>
  </conditionalFormatting>
  <conditionalFormatting sqref="H3371">
    <cfRule type="expression" dxfId="4659" priority="1521">
      <formula>H3371&lt;&gt;""</formula>
    </cfRule>
  </conditionalFormatting>
  <conditionalFormatting sqref="H3375">
    <cfRule type="expression" dxfId="4658" priority="1520">
      <formula>H3371&lt;&gt;""</formula>
    </cfRule>
  </conditionalFormatting>
  <conditionalFormatting sqref="F3363:F3367">
    <cfRule type="expression" dxfId="4657" priority="1519">
      <formula>F3363&lt;&gt;""</formula>
    </cfRule>
  </conditionalFormatting>
  <conditionalFormatting sqref="F3363">
    <cfRule type="expression" dxfId="4656" priority="1518">
      <formula>F3363&lt;&gt;""</formula>
    </cfRule>
  </conditionalFormatting>
  <conditionalFormatting sqref="F3367">
    <cfRule type="expression" dxfId="4655" priority="1517">
      <formula>F3363&lt;&gt;""</formula>
    </cfRule>
  </conditionalFormatting>
  <conditionalFormatting sqref="E3363:E3367">
    <cfRule type="expression" dxfId="4654" priority="1516">
      <formula>F3363&lt;&gt;""</formula>
    </cfRule>
  </conditionalFormatting>
  <conditionalFormatting sqref="G3363:G3367">
    <cfRule type="expression" dxfId="4653" priority="1515">
      <formula>H3363&lt;&gt;""</formula>
    </cfRule>
  </conditionalFormatting>
  <conditionalFormatting sqref="I3363:I3367">
    <cfRule type="expression" dxfId="4652" priority="1514">
      <formula>B3371&lt;&gt;""</formula>
    </cfRule>
  </conditionalFormatting>
  <conditionalFormatting sqref="H3363:H3367">
    <cfRule type="expression" dxfId="4651" priority="1513">
      <formula>H3363&lt;&gt;""</formula>
    </cfRule>
  </conditionalFormatting>
  <conditionalFormatting sqref="H3363">
    <cfRule type="expression" dxfId="4650" priority="1512">
      <formula>H3363&lt;&gt;""</formula>
    </cfRule>
  </conditionalFormatting>
  <conditionalFormatting sqref="H3367">
    <cfRule type="expression" dxfId="4649" priority="1511">
      <formula>H3363&lt;&gt;""</formula>
    </cfRule>
  </conditionalFormatting>
  <conditionalFormatting sqref="B3379:B3383">
    <cfRule type="expression" dxfId="4648" priority="1510">
      <formula>B3379&lt;&gt;""</formula>
    </cfRule>
  </conditionalFormatting>
  <conditionalFormatting sqref="B3379">
    <cfRule type="expression" dxfId="4647" priority="1509">
      <formula>B3379&lt;&gt;""</formula>
    </cfRule>
  </conditionalFormatting>
  <conditionalFormatting sqref="B3383">
    <cfRule type="expression" dxfId="4646" priority="1508">
      <formula>B3379&lt;&gt;""</formula>
    </cfRule>
  </conditionalFormatting>
  <conditionalFormatting sqref="F3379:F3383">
    <cfRule type="expression" dxfId="4645" priority="1504">
      <formula>F3379&lt;&gt;""</formula>
    </cfRule>
  </conditionalFormatting>
  <conditionalFormatting sqref="F3379">
    <cfRule type="expression" dxfId="4644" priority="1503">
      <formula>F3379&lt;&gt;""</formula>
    </cfRule>
  </conditionalFormatting>
  <conditionalFormatting sqref="F3383">
    <cfRule type="expression" dxfId="4643" priority="1502">
      <formula>F3379&lt;&gt;""</formula>
    </cfRule>
  </conditionalFormatting>
  <conditionalFormatting sqref="C3379:C3383">
    <cfRule type="expression" dxfId="4642" priority="1501">
      <formula>D3379&lt;&gt;""</formula>
    </cfRule>
  </conditionalFormatting>
  <conditionalFormatting sqref="E3379:E3383">
    <cfRule type="expression" dxfId="4641" priority="1500">
      <formula>F3379&lt;&gt;""</formula>
    </cfRule>
  </conditionalFormatting>
  <conditionalFormatting sqref="G3379:G3383">
    <cfRule type="expression" dxfId="4640" priority="1499">
      <formula>H3379&lt;&gt;""</formula>
    </cfRule>
  </conditionalFormatting>
  <conditionalFormatting sqref="H3379:H3383">
    <cfRule type="expression" dxfId="4639" priority="1498">
      <formula>H3379&lt;&gt;""</formula>
    </cfRule>
  </conditionalFormatting>
  <conditionalFormatting sqref="H3379">
    <cfRule type="expression" dxfId="4638" priority="1497">
      <formula>H3379&lt;&gt;""</formula>
    </cfRule>
  </conditionalFormatting>
  <conditionalFormatting sqref="H3383">
    <cfRule type="expression" dxfId="4637" priority="1496">
      <formula>H3379&lt;&gt;""</formula>
    </cfRule>
  </conditionalFormatting>
  <conditionalFormatting sqref="B3363:B3367">
    <cfRule type="expression" dxfId="4636" priority="1479">
      <formula>B3363&lt;&gt;""</formula>
    </cfRule>
  </conditionalFormatting>
  <conditionalFormatting sqref="B3369:B3370 C3369:I3369 I3368">
    <cfRule type="expression" dxfId="4635" priority="1495">
      <formula>$B3371&lt;&gt;""</formula>
    </cfRule>
  </conditionalFormatting>
  <conditionalFormatting sqref="B3377:B3378 C3377:I3377 I3376">
    <cfRule type="expression" dxfId="4634" priority="1494">
      <formula>$B3379&lt;&gt;""</formula>
    </cfRule>
  </conditionalFormatting>
  <conditionalFormatting sqref="B3307:B3311">
    <cfRule type="expression" dxfId="4633" priority="1493">
      <formula>B3307&lt;&gt;""</formula>
    </cfRule>
  </conditionalFormatting>
  <conditionalFormatting sqref="B3307">
    <cfRule type="expression" dxfId="4632" priority="1492">
      <formula>B3307&lt;&gt;""</formula>
    </cfRule>
  </conditionalFormatting>
  <conditionalFormatting sqref="B3311">
    <cfRule type="expression" dxfId="4631" priority="1491">
      <formula>B3307&lt;&gt;""</formula>
    </cfRule>
  </conditionalFormatting>
  <conditionalFormatting sqref="C3307:C3311">
    <cfRule type="expression" dxfId="4630" priority="1490">
      <formula>D3307&lt;&gt;""</formula>
    </cfRule>
  </conditionalFormatting>
  <conditionalFormatting sqref="D3307:D3311">
    <cfRule type="expression" dxfId="4629" priority="1489">
      <formula>D3307&lt;&gt;""</formula>
    </cfRule>
  </conditionalFormatting>
  <conditionalFormatting sqref="D3307">
    <cfRule type="expression" dxfId="4628" priority="1488">
      <formula>D3307&lt;&gt;""</formula>
    </cfRule>
  </conditionalFormatting>
  <conditionalFormatting sqref="D3311">
    <cfRule type="expression" dxfId="4627" priority="1487">
      <formula>D3307&lt;&gt;""</formula>
    </cfRule>
  </conditionalFormatting>
  <conditionalFormatting sqref="B3335">
    <cfRule type="expression" dxfId="4626" priority="1485">
      <formula>B3335&lt;&gt;""</formula>
    </cfRule>
  </conditionalFormatting>
  <conditionalFormatting sqref="B3339">
    <cfRule type="expression" dxfId="4625" priority="1484">
      <formula>B3335&lt;&gt;""</formula>
    </cfRule>
  </conditionalFormatting>
  <conditionalFormatting sqref="C3335:C3339">
    <cfRule type="expression" dxfId="4624" priority="1483">
      <formula>D3335&lt;&gt;""</formula>
    </cfRule>
  </conditionalFormatting>
  <conditionalFormatting sqref="D3335:D3339">
    <cfRule type="expression" dxfId="4623" priority="1482">
      <formula>D3335&lt;&gt;""</formula>
    </cfRule>
  </conditionalFormatting>
  <conditionalFormatting sqref="D3335">
    <cfRule type="expression" dxfId="4622" priority="1481">
      <formula>D3335&lt;&gt;""</formula>
    </cfRule>
  </conditionalFormatting>
  <conditionalFormatting sqref="D3339">
    <cfRule type="expression" dxfId="4621" priority="1480">
      <formula>D3335&lt;&gt;""</formula>
    </cfRule>
  </conditionalFormatting>
  <conditionalFormatting sqref="B3363">
    <cfRule type="expression" dxfId="4620" priority="1478">
      <formula>B3363&lt;&gt;""</formula>
    </cfRule>
  </conditionalFormatting>
  <conditionalFormatting sqref="B3367">
    <cfRule type="expression" dxfId="4619" priority="1477">
      <formula>B3363&lt;&gt;""</formula>
    </cfRule>
  </conditionalFormatting>
  <conditionalFormatting sqref="C3363:C3367">
    <cfRule type="expression" dxfId="4618" priority="1476">
      <formula>D3363&lt;&gt;""</formula>
    </cfRule>
  </conditionalFormatting>
  <conditionalFormatting sqref="D3363:D3367">
    <cfRule type="expression" dxfId="4617" priority="1475">
      <formula>D3363&lt;&gt;""</formula>
    </cfRule>
  </conditionalFormatting>
  <conditionalFormatting sqref="D3363">
    <cfRule type="expression" dxfId="4616" priority="1474">
      <formula>D3363&lt;&gt;""</formula>
    </cfRule>
  </conditionalFormatting>
  <conditionalFormatting sqref="D3367">
    <cfRule type="expression" dxfId="4615" priority="1473">
      <formula>D3363&lt;&gt;""</formula>
    </cfRule>
  </conditionalFormatting>
  <conditionalFormatting sqref="B3321:B3322 C3321:I3321 I3320">
    <cfRule type="expression" dxfId="4614" priority="1472">
      <formula>$B3323&lt;&gt;""</formula>
    </cfRule>
  </conditionalFormatting>
  <conditionalFormatting sqref="B3313:B3314 C3313:I3313 I3312">
    <cfRule type="expression" dxfId="4613" priority="1471">
      <formula>$B3315&lt;&gt;""</formula>
    </cfRule>
  </conditionalFormatting>
  <conditionalFormatting sqref="D3577:D3581">
    <cfRule type="expression" dxfId="4612" priority="1441">
      <formula>D3577&lt;&gt;""</formula>
    </cfRule>
  </conditionalFormatting>
  <conditionalFormatting sqref="D3577">
    <cfRule type="expression" dxfId="4611" priority="1440">
      <formula>D3577&lt;&gt;""</formula>
    </cfRule>
  </conditionalFormatting>
  <conditionalFormatting sqref="D3581">
    <cfRule type="expression" dxfId="4610" priority="1439">
      <formula>D3577&lt;&gt;""</formula>
    </cfRule>
  </conditionalFormatting>
  <conditionalFormatting sqref="I3566:I3567 C3567:H3567 B3567:B3568">
    <cfRule type="expression" dxfId="4609" priority="1429">
      <formula>$B3569&lt;&gt;""</formula>
    </cfRule>
  </conditionalFormatting>
  <conditionalFormatting sqref="D3569:D3573">
    <cfRule type="expression" dxfId="4608" priority="1463">
      <formula>D3569&lt;&gt;""</formula>
    </cfRule>
  </conditionalFormatting>
  <conditionalFormatting sqref="D3569">
    <cfRule type="expression" dxfId="4607" priority="1462">
      <formula>D3569&lt;&gt;""</formula>
    </cfRule>
  </conditionalFormatting>
  <conditionalFormatting sqref="D3573">
    <cfRule type="expression" dxfId="4606" priority="1461">
      <formula>D3569&lt;&gt;""</formula>
    </cfRule>
  </conditionalFormatting>
  <conditionalFormatting sqref="C3569:C3573">
    <cfRule type="expression" dxfId="4605" priority="1470">
      <formula>D3569&lt;&gt;""</formula>
    </cfRule>
  </conditionalFormatting>
  <conditionalFormatting sqref="E3569:E3573">
    <cfRule type="expression" dxfId="4604" priority="1469">
      <formula>F3569&lt;&gt;""</formula>
    </cfRule>
  </conditionalFormatting>
  <conditionalFormatting sqref="G3569:G3573">
    <cfRule type="expression" dxfId="4603" priority="1468">
      <formula>H3569&lt;&gt;""</formula>
    </cfRule>
  </conditionalFormatting>
  <conditionalFormatting sqref="I3569:I3573">
    <cfRule type="expression" dxfId="4602" priority="1467">
      <formula>B3577&lt;&gt;""</formula>
    </cfRule>
  </conditionalFormatting>
  <conditionalFormatting sqref="B3569:B3573">
    <cfRule type="expression" dxfId="4601" priority="1466">
      <formula>B3569&lt;&gt;""</formula>
    </cfRule>
  </conditionalFormatting>
  <conditionalFormatting sqref="B3569">
    <cfRule type="expression" dxfId="4600" priority="1465">
      <formula>B3569&lt;&gt;""</formula>
    </cfRule>
  </conditionalFormatting>
  <conditionalFormatting sqref="B3573">
    <cfRule type="expression" dxfId="4599" priority="1464">
      <formula>B3569&lt;&gt;""</formula>
    </cfRule>
  </conditionalFormatting>
  <conditionalFormatting sqref="F3569:F3573">
    <cfRule type="expression" dxfId="4598" priority="1460">
      <formula>F3569&lt;&gt;""</formula>
    </cfRule>
  </conditionalFormatting>
  <conditionalFormatting sqref="F3569">
    <cfRule type="expression" dxfId="4597" priority="1459">
      <formula>F3569&lt;&gt;""</formula>
    </cfRule>
  </conditionalFormatting>
  <conditionalFormatting sqref="F3573">
    <cfRule type="expression" dxfId="4596" priority="1458">
      <formula>F3569&lt;&gt;""</formula>
    </cfRule>
  </conditionalFormatting>
  <conditionalFormatting sqref="H3569:H3573">
    <cfRule type="expression" dxfId="4595" priority="1457">
      <formula>H3569&lt;&gt;""</formula>
    </cfRule>
  </conditionalFormatting>
  <conditionalFormatting sqref="H3569">
    <cfRule type="expression" dxfId="4594" priority="1456">
      <formula>H3569&lt;&gt;""</formula>
    </cfRule>
  </conditionalFormatting>
  <conditionalFormatting sqref="H3573">
    <cfRule type="expression" dxfId="4593" priority="1455">
      <formula>H3569&lt;&gt;""</formula>
    </cfRule>
  </conditionalFormatting>
  <conditionalFormatting sqref="F3561:F3565">
    <cfRule type="expression" dxfId="4592" priority="1454">
      <formula>F3561&lt;&gt;""</formula>
    </cfRule>
  </conditionalFormatting>
  <conditionalFormatting sqref="F3561">
    <cfRule type="expression" dxfId="4591" priority="1453">
      <formula>F3561&lt;&gt;""</formula>
    </cfRule>
  </conditionalFormatting>
  <conditionalFormatting sqref="F3565">
    <cfRule type="expression" dxfId="4590" priority="1452">
      <formula>F3561&lt;&gt;""</formula>
    </cfRule>
  </conditionalFormatting>
  <conditionalFormatting sqref="E3561:E3565">
    <cfRule type="expression" dxfId="4589" priority="1451">
      <formula>F3561&lt;&gt;""</formula>
    </cfRule>
  </conditionalFormatting>
  <conditionalFormatting sqref="G3561:G3565">
    <cfRule type="expression" dxfId="4588" priority="1450">
      <formula>H3561&lt;&gt;""</formula>
    </cfRule>
  </conditionalFormatting>
  <conditionalFormatting sqref="I3561:I3565">
    <cfRule type="expression" dxfId="4587" priority="1449">
      <formula>B3569&lt;&gt;""</formula>
    </cfRule>
  </conditionalFormatting>
  <conditionalFormatting sqref="H3561:H3565">
    <cfRule type="expression" dxfId="4586" priority="1448">
      <formula>H3561&lt;&gt;""</formula>
    </cfRule>
  </conditionalFormatting>
  <conditionalFormatting sqref="H3561">
    <cfRule type="expression" dxfId="4585" priority="1447">
      <formula>H3561&lt;&gt;""</formula>
    </cfRule>
  </conditionalFormatting>
  <conditionalFormatting sqref="H3565">
    <cfRule type="expression" dxfId="4584" priority="1446">
      <formula>H3561&lt;&gt;""</formula>
    </cfRule>
  </conditionalFormatting>
  <conditionalFormatting sqref="I3574:I3575 C3575:H3575 B3575:B3576">
    <cfRule type="expression" dxfId="4583" priority="1445">
      <formula>$B3577&lt;&gt;""</formula>
    </cfRule>
  </conditionalFormatting>
  <conditionalFormatting sqref="B3577:B3581">
    <cfRule type="expression" dxfId="4582" priority="1444">
      <formula>B3577&lt;&gt;""</formula>
    </cfRule>
  </conditionalFormatting>
  <conditionalFormatting sqref="B3577">
    <cfRule type="expression" dxfId="4581" priority="1443">
      <formula>B3577&lt;&gt;""</formula>
    </cfRule>
  </conditionalFormatting>
  <conditionalFormatting sqref="B3581">
    <cfRule type="expression" dxfId="4580" priority="1442">
      <formula>B3577&lt;&gt;""</formula>
    </cfRule>
  </conditionalFormatting>
  <conditionalFormatting sqref="F3577:F3581">
    <cfRule type="expression" dxfId="4579" priority="1438">
      <formula>F3577&lt;&gt;""</formula>
    </cfRule>
  </conditionalFormatting>
  <conditionalFormatting sqref="F3577">
    <cfRule type="expression" dxfId="4578" priority="1437">
      <formula>F3577&lt;&gt;""</formula>
    </cfRule>
  </conditionalFormatting>
  <conditionalFormatting sqref="F3581">
    <cfRule type="expression" dxfId="4577" priority="1436">
      <formula>F3577&lt;&gt;""</formula>
    </cfRule>
  </conditionalFormatting>
  <conditionalFormatting sqref="C3577:C3581">
    <cfRule type="expression" dxfId="4576" priority="1435">
      <formula>D3577&lt;&gt;""</formula>
    </cfRule>
  </conditionalFormatting>
  <conditionalFormatting sqref="E3577:E3581">
    <cfRule type="expression" dxfId="4575" priority="1434">
      <formula>F3577&lt;&gt;""</formula>
    </cfRule>
  </conditionalFormatting>
  <conditionalFormatting sqref="G3577:G3581">
    <cfRule type="expression" dxfId="4574" priority="1433">
      <formula>H3577&lt;&gt;""</formula>
    </cfRule>
  </conditionalFormatting>
  <conditionalFormatting sqref="H3577:H3581">
    <cfRule type="expression" dxfId="4573" priority="1432">
      <formula>H3577&lt;&gt;""</formula>
    </cfRule>
  </conditionalFormatting>
  <conditionalFormatting sqref="H3577">
    <cfRule type="expression" dxfId="4572" priority="1431">
      <formula>H3577&lt;&gt;""</formula>
    </cfRule>
  </conditionalFormatting>
  <conditionalFormatting sqref="H3581">
    <cfRule type="expression" dxfId="4571" priority="1430">
      <formula>H3577&lt;&gt;""</formula>
    </cfRule>
  </conditionalFormatting>
  <conditionalFormatting sqref="D3549:D3553">
    <cfRule type="expression" dxfId="4570" priority="1399">
      <formula>D3549&lt;&gt;""</formula>
    </cfRule>
  </conditionalFormatting>
  <conditionalFormatting sqref="D3549">
    <cfRule type="expression" dxfId="4569" priority="1398">
      <formula>D3549&lt;&gt;""</formula>
    </cfRule>
  </conditionalFormatting>
  <conditionalFormatting sqref="D3553">
    <cfRule type="expression" dxfId="4568" priority="1397">
      <formula>D3549&lt;&gt;""</formula>
    </cfRule>
  </conditionalFormatting>
  <conditionalFormatting sqref="I3538:I3539 C3539:H3539 B3539:B3540">
    <cfRule type="expression" dxfId="4567" priority="1387">
      <formula>$B3541&lt;&gt;""</formula>
    </cfRule>
  </conditionalFormatting>
  <conditionalFormatting sqref="D3541:D3545">
    <cfRule type="expression" dxfId="4566" priority="1421">
      <formula>D3541&lt;&gt;""</formula>
    </cfRule>
  </conditionalFormatting>
  <conditionalFormatting sqref="D3541">
    <cfRule type="expression" dxfId="4565" priority="1420">
      <formula>D3541&lt;&gt;""</formula>
    </cfRule>
  </conditionalFormatting>
  <conditionalFormatting sqref="D3545">
    <cfRule type="expression" dxfId="4564" priority="1419">
      <formula>D3541&lt;&gt;""</formula>
    </cfRule>
  </conditionalFormatting>
  <conditionalFormatting sqref="C3541:C3545">
    <cfRule type="expression" dxfId="4563" priority="1428">
      <formula>D3541&lt;&gt;""</formula>
    </cfRule>
  </conditionalFormatting>
  <conditionalFormatting sqref="E3541:E3545">
    <cfRule type="expression" dxfId="4562" priority="1427">
      <formula>F3541&lt;&gt;""</formula>
    </cfRule>
  </conditionalFormatting>
  <conditionalFormatting sqref="G3541:G3545">
    <cfRule type="expression" dxfId="4561" priority="1426">
      <formula>H3541&lt;&gt;""</formula>
    </cfRule>
  </conditionalFormatting>
  <conditionalFormatting sqref="I3541:I3545">
    <cfRule type="expression" dxfId="4560" priority="1425">
      <formula>B3549&lt;&gt;""</formula>
    </cfRule>
  </conditionalFormatting>
  <conditionalFormatting sqref="B3541:B3545">
    <cfRule type="expression" dxfId="4559" priority="1424">
      <formula>B3541&lt;&gt;""</formula>
    </cfRule>
  </conditionalFormatting>
  <conditionalFormatting sqref="B3541">
    <cfRule type="expression" dxfId="4558" priority="1423">
      <formula>B3541&lt;&gt;""</formula>
    </cfRule>
  </conditionalFormatting>
  <conditionalFormatting sqref="B3545">
    <cfRule type="expression" dxfId="4557" priority="1422">
      <formula>B3541&lt;&gt;""</formula>
    </cfRule>
  </conditionalFormatting>
  <conditionalFormatting sqref="F3541:F3545">
    <cfRule type="expression" dxfId="4556" priority="1418">
      <formula>F3541&lt;&gt;""</formula>
    </cfRule>
  </conditionalFormatting>
  <conditionalFormatting sqref="F3541">
    <cfRule type="expression" dxfId="4555" priority="1417">
      <formula>F3541&lt;&gt;""</formula>
    </cfRule>
  </conditionalFormatting>
  <conditionalFormatting sqref="F3545">
    <cfRule type="expression" dxfId="4554" priority="1416">
      <formula>F3541&lt;&gt;""</formula>
    </cfRule>
  </conditionalFormatting>
  <conditionalFormatting sqref="H3541:H3545">
    <cfRule type="expression" dxfId="4553" priority="1415">
      <formula>H3541&lt;&gt;""</formula>
    </cfRule>
  </conditionalFormatting>
  <conditionalFormatting sqref="H3541">
    <cfRule type="expression" dxfId="4552" priority="1414">
      <formula>H3541&lt;&gt;""</formula>
    </cfRule>
  </conditionalFormatting>
  <conditionalFormatting sqref="H3545">
    <cfRule type="expression" dxfId="4551" priority="1413">
      <formula>H3541&lt;&gt;""</formula>
    </cfRule>
  </conditionalFormatting>
  <conditionalFormatting sqref="F3533:F3537">
    <cfRule type="expression" dxfId="4550" priority="1412">
      <formula>F3533&lt;&gt;""</formula>
    </cfRule>
  </conditionalFormatting>
  <conditionalFormatting sqref="F3533">
    <cfRule type="expression" dxfId="4549" priority="1411">
      <formula>F3533&lt;&gt;""</formula>
    </cfRule>
  </conditionalFormatting>
  <conditionalFormatting sqref="F3537">
    <cfRule type="expression" dxfId="4548" priority="1410">
      <formula>F3533&lt;&gt;""</formula>
    </cfRule>
  </conditionalFormatting>
  <conditionalFormatting sqref="E3533:E3537">
    <cfRule type="expression" dxfId="4547" priority="1409">
      <formula>F3533&lt;&gt;""</formula>
    </cfRule>
  </conditionalFormatting>
  <conditionalFormatting sqref="G3533:G3537">
    <cfRule type="expression" dxfId="4546" priority="1408">
      <formula>H3533&lt;&gt;""</formula>
    </cfRule>
  </conditionalFormatting>
  <conditionalFormatting sqref="I3533:I3537">
    <cfRule type="expression" dxfId="4545" priority="1407">
      <formula>B3541&lt;&gt;""</formula>
    </cfRule>
  </conditionalFormatting>
  <conditionalFormatting sqref="H3533:H3537">
    <cfRule type="expression" dxfId="4544" priority="1406">
      <formula>H3533&lt;&gt;""</formula>
    </cfRule>
  </conditionalFormatting>
  <conditionalFormatting sqref="H3533">
    <cfRule type="expression" dxfId="4543" priority="1405">
      <formula>H3533&lt;&gt;""</formula>
    </cfRule>
  </conditionalFormatting>
  <conditionalFormatting sqref="H3537">
    <cfRule type="expression" dxfId="4542" priority="1404">
      <formula>H3533&lt;&gt;""</formula>
    </cfRule>
  </conditionalFormatting>
  <conditionalFormatting sqref="I3546:I3547 C3547:H3547 B3547:B3548">
    <cfRule type="expression" dxfId="4541" priority="1403">
      <formula>$B3549&lt;&gt;""</formula>
    </cfRule>
  </conditionalFormatting>
  <conditionalFormatting sqref="B3549:B3553">
    <cfRule type="expression" dxfId="4540" priority="1402">
      <formula>B3549&lt;&gt;""</formula>
    </cfRule>
  </conditionalFormatting>
  <conditionalFormatting sqref="B3549">
    <cfRule type="expression" dxfId="4539" priority="1401">
      <formula>B3549&lt;&gt;""</formula>
    </cfRule>
  </conditionalFormatting>
  <conditionalFormatting sqref="B3553">
    <cfRule type="expression" dxfId="4538" priority="1400">
      <formula>B3549&lt;&gt;""</formula>
    </cfRule>
  </conditionalFormatting>
  <conditionalFormatting sqref="F3549:F3553">
    <cfRule type="expression" dxfId="4537" priority="1396">
      <formula>F3549&lt;&gt;""</formula>
    </cfRule>
  </conditionalFormatting>
  <conditionalFormatting sqref="F3549">
    <cfRule type="expression" dxfId="4536" priority="1395">
      <formula>F3549&lt;&gt;""</formula>
    </cfRule>
  </conditionalFormatting>
  <conditionalFormatting sqref="F3553">
    <cfRule type="expression" dxfId="4535" priority="1394">
      <formula>F3549&lt;&gt;""</formula>
    </cfRule>
  </conditionalFormatting>
  <conditionalFormatting sqref="C3549:C3553">
    <cfRule type="expression" dxfId="4534" priority="1393">
      <formula>D3549&lt;&gt;""</formula>
    </cfRule>
  </conditionalFormatting>
  <conditionalFormatting sqref="E3549:E3553">
    <cfRule type="expression" dxfId="4533" priority="1392">
      <formula>F3549&lt;&gt;""</formula>
    </cfRule>
  </conditionalFormatting>
  <conditionalFormatting sqref="G3549:G3553">
    <cfRule type="expression" dxfId="4532" priority="1391">
      <formula>H3549&lt;&gt;""</formula>
    </cfRule>
  </conditionalFormatting>
  <conditionalFormatting sqref="H3549:H3553">
    <cfRule type="expression" dxfId="4531" priority="1390">
      <formula>H3549&lt;&gt;""</formula>
    </cfRule>
  </conditionalFormatting>
  <conditionalFormatting sqref="H3549">
    <cfRule type="expression" dxfId="4530" priority="1389">
      <formula>H3549&lt;&gt;""</formula>
    </cfRule>
  </conditionalFormatting>
  <conditionalFormatting sqref="H3553">
    <cfRule type="expression" dxfId="4529" priority="1388">
      <formula>H3549&lt;&gt;""</formula>
    </cfRule>
  </conditionalFormatting>
  <conditionalFormatting sqref="D3521:D3525">
    <cfRule type="expression" dxfId="4528" priority="1357">
      <formula>D3521&lt;&gt;""</formula>
    </cfRule>
  </conditionalFormatting>
  <conditionalFormatting sqref="D3521">
    <cfRule type="expression" dxfId="4527" priority="1356">
      <formula>D3521&lt;&gt;""</formula>
    </cfRule>
  </conditionalFormatting>
  <conditionalFormatting sqref="D3525">
    <cfRule type="expression" dxfId="4526" priority="1355">
      <formula>D3521&lt;&gt;""</formula>
    </cfRule>
  </conditionalFormatting>
  <conditionalFormatting sqref="I3510:I3511 C3511:H3511 B3511:B3512">
    <cfRule type="expression" dxfId="4525" priority="1345">
      <formula>$B3513&lt;&gt;""</formula>
    </cfRule>
  </conditionalFormatting>
  <conditionalFormatting sqref="D3513:D3517">
    <cfRule type="expression" dxfId="4524" priority="1379">
      <formula>D3513&lt;&gt;""</formula>
    </cfRule>
  </conditionalFormatting>
  <conditionalFormatting sqref="D3513">
    <cfRule type="expression" dxfId="4523" priority="1378">
      <formula>D3513&lt;&gt;""</formula>
    </cfRule>
  </conditionalFormatting>
  <conditionalFormatting sqref="D3517">
    <cfRule type="expression" dxfId="4522" priority="1377">
      <formula>D3513&lt;&gt;""</formula>
    </cfRule>
  </conditionalFormatting>
  <conditionalFormatting sqref="C3513:C3517">
    <cfRule type="expression" dxfId="4521" priority="1386">
      <formula>D3513&lt;&gt;""</formula>
    </cfRule>
  </conditionalFormatting>
  <conditionalFormatting sqref="E3513:E3517">
    <cfRule type="expression" dxfId="4520" priority="1385">
      <formula>F3513&lt;&gt;""</formula>
    </cfRule>
  </conditionalFormatting>
  <conditionalFormatting sqref="G3513:G3517">
    <cfRule type="expression" dxfId="4519" priority="1384">
      <formula>H3513&lt;&gt;""</formula>
    </cfRule>
  </conditionalFormatting>
  <conditionalFormatting sqref="I3513:I3517">
    <cfRule type="expression" dxfId="4518" priority="1383">
      <formula>B3521&lt;&gt;""</formula>
    </cfRule>
  </conditionalFormatting>
  <conditionalFormatting sqref="B3513:B3517">
    <cfRule type="expression" dxfId="4517" priority="1382">
      <formula>B3513&lt;&gt;""</formula>
    </cfRule>
  </conditionalFormatting>
  <conditionalFormatting sqref="B3513">
    <cfRule type="expression" dxfId="4516" priority="1381">
      <formula>B3513&lt;&gt;""</formula>
    </cfRule>
  </conditionalFormatting>
  <conditionalFormatting sqref="B3517">
    <cfRule type="expression" dxfId="4515" priority="1380">
      <formula>B3513&lt;&gt;""</formula>
    </cfRule>
  </conditionalFormatting>
  <conditionalFormatting sqref="F3513:F3517">
    <cfRule type="expression" dxfId="4514" priority="1376">
      <formula>F3513&lt;&gt;""</formula>
    </cfRule>
  </conditionalFormatting>
  <conditionalFormatting sqref="F3513">
    <cfRule type="expression" dxfId="4513" priority="1375">
      <formula>F3513&lt;&gt;""</formula>
    </cfRule>
  </conditionalFormatting>
  <conditionalFormatting sqref="F3517">
    <cfRule type="expression" dxfId="4512" priority="1374">
      <formula>F3513&lt;&gt;""</formula>
    </cfRule>
  </conditionalFormatting>
  <conditionalFormatting sqref="H3513:H3517">
    <cfRule type="expression" dxfId="4511" priority="1373">
      <formula>H3513&lt;&gt;""</formula>
    </cfRule>
  </conditionalFormatting>
  <conditionalFormatting sqref="H3513">
    <cfRule type="expression" dxfId="4510" priority="1372">
      <formula>H3513&lt;&gt;""</formula>
    </cfRule>
  </conditionalFormatting>
  <conditionalFormatting sqref="H3517">
    <cfRule type="expression" dxfId="4509" priority="1371">
      <formula>H3513&lt;&gt;""</formula>
    </cfRule>
  </conditionalFormatting>
  <conditionalFormatting sqref="F3505:F3509">
    <cfRule type="expression" dxfId="4508" priority="1370">
      <formula>F3505&lt;&gt;""</formula>
    </cfRule>
  </conditionalFormatting>
  <conditionalFormatting sqref="F3505">
    <cfRule type="expression" dxfId="4507" priority="1369">
      <formula>F3505&lt;&gt;""</formula>
    </cfRule>
  </conditionalFormatting>
  <conditionalFormatting sqref="F3509">
    <cfRule type="expression" dxfId="4506" priority="1368">
      <formula>F3505&lt;&gt;""</formula>
    </cfRule>
  </conditionalFormatting>
  <conditionalFormatting sqref="E3505:E3509">
    <cfRule type="expression" dxfId="4505" priority="1367">
      <formula>F3505&lt;&gt;""</formula>
    </cfRule>
  </conditionalFormatting>
  <conditionalFormatting sqref="G3505:G3509">
    <cfRule type="expression" dxfId="4504" priority="1366">
      <formula>H3505&lt;&gt;""</formula>
    </cfRule>
  </conditionalFormatting>
  <conditionalFormatting sqref="I3505:I3509">
    <cfRule type="expression" dxfId="4503" priority="1365">
      <formula>B3513&lt;&gt;""</formula>
    </cfRule>
  </conditionalFormatting>
  <conditionalFormatting sqref="H3505:H3509">
    <cfRule type="expression" dxfId="4502" priority="1364">
      <formula>H3505&lt;&gt;""</formula>
    </cfRule>
  </conditionalFormatting>
  <conditionalFormatting sqref="H3505">
    <cfRule type="expression" dxfId="4501" priority="1363">
      <formula>H3505&lt;&gt;""</formula>
    </cfRule>
  </conditionalFormatting>
  <conditionalFormatting sqref="H3509">
    <cfRule type="expression" dxfId="4500" priority="1362">
      <formula>H3505&lt;&gt;""</formula>
    </cfRule>
  </conditionalFormatting>
  <conditionalFormatting sqref="I3518:I3519 C3519:H3519 B3519:B3520">
    <cfRule type="expression" dxfId="4499" priority="1361">
      <formula>$B3521&lt;&gt;""</formula>
    </cfRule>
  </conditionalFormatting>
  <conditionalFormatting sqref="B3521:B3525">
    <cfRule type="expression" dxfId="4498" priority="1360">
      <formula>B3521&lt;&gt;""</formula>
    </cfRule>
  </conditionalFormatting>
  <conditionalFormatting sqref="B3521">
    <cfRule type="expression" dxfId="4497" priority="1359">
      <formula>B3521&lt;&gt;""</formula>
    </cfRule>
  </conditionalFormatting>
  <conditionalFormatting sqref="B3525">
    <cfRule type="expression" dxfId="4496" priority="1358">
      <formula>B3521&lt;&gt;""</formula>
    </cfRule>
  </conditionalFormatting>
  <conditionalFormatting sqref="F3521:F3525">
    <cfRule type="expression" dxfId="4495" priority="1354">
      <formula>F3521&lt;&gt;""</formula>
    </cfRule>
  </conditionalFormatting>
  <conditionalFormatting sqref="F3521">
    <cfRule type="expression" dxfId="4494" priority="1353">
      <formula>F3521&lt;&gt;""</formula>
    </cfRule>
  </conditionalFormatting>
  <conditionalFormatting sqref="F3525">
    <cfRule type="expression" dxfId="4493" priority="1352">
      <formula>F3521&lt;&gt;""</formula>
    </cfRule>
  </conditionalFormatting>
  <conditionalFormatting sqref="C3521:C3525">
    <cfRule type="expression" dxfId="4492" priority="1351">
      <formula>D3521&lt;&gt;""</formula>
    </cfRule>
  </conditionalFormatting>
  <conditionalFormatting sqref="E3521:E3525">
    <cfRule type="expression" dxfId="4491" priority="1350">
      <formula>F3521&lt;&gt;""</formula>
    </cfRule>
  </conditionalFormatting>
  <conditionalFormatting sqref="G3521:G3525">
    <cfRule type="expression" dxfId="4490" priority="1349">
      <formula>H3521&lt;&gt;""</formula>
    </cfRule>
  </conditionalFormatting>
  <conditionalFormatting sqref="H3521:H3525">
    <cfRule type="expression" dxfId="4489" priority="1348">
      <formula>H3521&lt;&gt;""</formula>
    </cfRule>
  </conditionalFormatting>
  <conditionalFormatting sqref="H3521">
    <cfRule type="expression" dxfId="4488" priority="1347">
      <formula>H3521&lt;&gt;""</formula>
    </cfRule>
  </conditionalFormatting>
  <conditionalFormatting sqref="H3525">
    <cfRule type="expression" dxfId="4487" priority="1346">
      <formula>H3521&lt;&gt;""</formula>
    </cfRule>
  </conditionalFormatting>
  <conditionalFormatting sqref="D3493:D3497">
    <cfRule type="expression" dxfId="4486" priority="1315">
      <formula>D3493&lt;&gt;""</formula>
    </cfRule>
  </conditionalFormatting>
  <conditionalFormatting sqref="D3493">
    <cfRule type="expression" dxfId="4485" priority="1314">
      <formula>D3493&lt;&gt;""</formula>
    </cfRule>
  </conditionalFormatting>
  <conditionalFormatting sqref="D3497">
    <cfRule type="expression" dxfId="4484" priority="1313">
      <formula>D3493&lt;&gt;""</formula>
    </cfRule>
  </conditionalFormatting>
  <conditionalFormatting sqref="I3482:I3483 C3483:H3483 B3483:B3484">
    <cfRule type="expression" dxfId="4483" priority="1303">
      <formula>$B3485&lt;&gt;""</formula>
    </cfRule>
  </conditionalFormatting>
  <conditionalFormatting sqref="D3485:D3489">
    <cfRule type="expression" dxfId="4482" priority="1337">
      <formula>D3485&lt;&gt;""</formula>
    </cfRule>
  </conditionalFormatting>
  <conditionalFormatting sqref="D3485">
    <cfRule type="expression" dxfId="4481" priority="1336">
      <formula>D3485&lt;&gt;""</formula>
    </cfRule>
  </conditionalFormatting>
  <conditionalFormatting sqref="D3489">
    <cfRule type="expression" dxfId="4480" priority="1335">
      <formula>D3485&lt;&gt;""</formula>
    </cfRule>
  </conditionalFormatting>
  <conditionalFormatting sqref="C3485:C3489">
    <cfRule type="expression" dxfId="4479" priority="1344">
      <formula>D3485&lt;&gt;""</formula>
    </cfRule>
  </conditionalFormatting>
  <conditionalFormatting sqref="E3485:E3489">
    <cfRule type="expression" dxfId="4478" priority="1343">
      <formula>F3485&lt;&gt;""</formula>
    </cfRule>
  </conditionalFormatting>
  <conditionalFormatting sqref="G3485:G3489">
    <cfRule type="expression" dxfId="4477" priority="1342">
      <formula>H3485&lt;&gt;""</formula>
    </cfRule>
  </conditionalFormatting>
  <conditionalFormatting sqref="I3485:I3489">
    <cfRule type="expression" dxfId="4476" priority="1341">
      <formula>B3493&lt;&gt;""</formula>
    </cfRule>
  </conditionalFormatting>
  <conditionalFormatting sqref="B3485:B3489">
    <cfRule type="expression" dxfId="4475" priority="1340">
      <formula>B3485&lt;&gt;""</formula>
    </cfRule>
  </conditionalFormatting>
  <conditionalFormatting sqref="B3485">
    <cfRule type="expression" dxfId="4474" priority="1339">
      <formula>B3485&lt;&gt;""</formula>
    </cfRule>
  </conditionalFormatting>
  <conditionalFormatting sqref="B3489">
    <cfRule type="expression" dxfId="4473" priority="1338">
      <formula>B3485&lt;&gt;""</formula>
    </cfRule>
  </conditionalFormatting>
  <conditionalFormatting sqref="F3485:F3489">
    <cfRule type="expression" dxfId="4472" priority="1334">
      <formula>F3485&lt;&gt;""</formula>
    </cfRule>
  </conditionalFormatting>
  <conditionalFormatting sqref="F3485">
    <cfRule type="expression" dxfId="4471" priority="1333">
      <formula>F3485&lt;&gt;""</formula>
    </cfRule>
  </conditionalFormatting>
  <conditionalFormatting sqref="F3489">
    <cfRule type="expression" dxfId="4470" priority="1332">
      <formula>F3485&lt;&gt;""</formula>
    </cfRule>
  </conditionalFormatting>
  <conditionalFormatting sqref="H3485:H3489">
    <cfRule type="expression" dxfId="4469" priority="1331">
      <formula>H3485&lt;&gt;""</formula>
    </cfRule>
  </conditionalFormatting>
  <conditionalFormatting sqref="H3485">
    <cfRule type="expression" dxfId="4468" priority="1330">
      <formula>H3485&lt;&gt;""</formula>
    </cfRule>
  </conditionalFormatting>
  <conditionalFormatting sqref="H3489">
    <cfRule type="expression" dxfId="4467" priority="1329">
      <formula>H3485&lt;&gt;""</formula>
    </cfRule>
  </conditionalFormatting>
  <conditionalFormatting sqref="F3477:F3481">
    <cfRule type="expression" dxfId="4466" priority="1328">
      <formula>F3477&lt;&gt;""</formula>
    </cfRule>
  </conditionalFormatting>
  <conditionalFormatting sqref="F3477">
    <cfRule type="expression" dxfId="4465" priority="1327">
      <formula>F3477&lt;&gt;""</formula>
    </cfRule>
  </conditionalFormatting>
  <conditionalFormatting sqref="F3481">
    <cfRule type="expression" dxfId="4464" priority="1326">
      <formula>F3477&lt;&gt;""</formula>
    </cfRule>
  </conditionalFormatting>
  <conditionalFormatting sqref="E3477:E3481">
    <cfRule type="expression" dxfId="4463" priority="1325">
      <formula>F3477&lt;&gt;""</formula>
    </cfRule>
  </conditionalFormatting>
  <conditionalFormatting sqref="G3477:G3481">
    <cfRule type="expression" dxfId="4462" priority="1324">
      <formula>H3477&lt;&gt;""</formula>
    </cfRule>
  </conditionalFormatting>
  <conditionalFormatting sqref="I3477:I3481">
    <cfRule type="expression" dxfId="4461" priority="1323">
      <formula>B3485&lt;&gt;""</formula>
    </cfRule>
  </conditionalFormatting>
  <conditionalFormatting sqref="H3477:H3481">
    <cfRule type="expression" dxfId="4460" priority="1322">
      <formula>H3477&lt;&gt;""</formula>
    </cfRule>
  </conditionalFormatting>
  <conditionalFormatting sqref="H3477">
    <cfRule type="expression" dxfId="4459" priority="1321">
      <formula>H3477&lt;&gt;""</formula>
    </cfRule>
  </conditionalFormatting>
  <conditionalFormatting sqref="H3481">
    <cfRule type="expression" dxfId="4458" priority="1320">
      <formula>H3477&lt;&gt;""</formula>
    </cfRule>
  </conditionalFormatting>
  <conditionalFormatting sqref="I3490:I3491 C3491:H3491 B3491:B3492">
    <cfRule type="expression" dxfId="4457" priority="1319">
      <formula>$B3493&lt;&gt;""</formula>
    </cfRule>
  </conditionalFormatting>
  <conditionalFormatting sqref="B3493:B3497">
    <cfRule type="expression" dxfId="4456" priority="1318">
      <formula>B3493&lt;&gt;""</formula>
    </cfRule>
  </conditionalFormatting>
  <conditionalFormatting sqref="B3493">
    <cfRule type="expression" dxfId="4455" priority="1317">
      <formula>B3493&lt;&gt;""</formula>
    </cfRule>
  </conditionalFormatting>
  <conditionalFormatting sqref="B3497">
    <cfRule type="expression" dxfId="4454" priority="1316">
      <formula>B3493&lt;&gt;""</formula>
    </cfRule>
  </conditionalFormatting>
  <conditionalFormatting sqref="F3493:F3497">
    <cfRule type="expression" dxfId="4453" priority="1312">
      <formula>F3493&lt;&gt;""</formula>
    </cfRule>
  </conditionalFormatting>
  <conditionalFormatting sqref="F3493">
    <cfRule type="expression" dxfId="4452" priority="1311">
      <formula>F3493&lt;&gt;""</formula>
    </cfRule>
  </conditionalFormatting>
  <conditionalFormatting sqref="F3497">
    <cfRule type="expression" dxfId="4451" priority="1310">
      <formula>F3493&lt;&gt;""</formula>
    </cfRule>
  </conditionalFormatting>
  <conditionalFormatting sqref="C3493:C3497">
    <cfRule type="expression" dxfId="4450" priority="1309">
      <formula>D3493&lt;&gt;""</formula>
    </cfRule>
  </conditionalFormatting>
  <conditionalFormatting sqref="E3493:E3497">
    <cfRule type="expression" dxfId="4449" priority="1308">
      <formula>F3493&lt;&gt;""</formula>
    </cfRule>
  </conditionalFormatting>
  <conditionalFormatting sqref="G3493:G3497">
    <cfRule type="expression" dxfId="4448" priority="1307">
      <formula>H3493&lt;&gt;""</formula>
    </cfRule>
  </conditionalFormatting>
  <conditionalFormatting sqref="H3493:H3497">
    <cfRule type="expression" dxfId="4447" priority="1306">
      <formula>H3493&lt;&gt;""</formula>
    </cfRule>
  </conditionalFormatting>
  <conditionalFormatting sqref="H3493">
    <cfRule type="expression" dxfId="4446" priority="1305">
      <formula>H3493&lt;&gt;""</formula>
    </cfRule>
  </conditionalFormatting>
  <conditionalFormatting sqref="H3497">
    <cfRule type="expression" dxfId="4445" priority="1304">
      <formula>H3493&lt;&gt;""</formula>
    </cfRule>
  </conditionalFormatting>
  <conditionalFormatting sqref="D3465:D3469">
    <cfRule type="expression" dxfId="4444" priority="1273">
      <formula>D3465&lt;&gt;""</formula>
    </cfRule>
  </conditionalFormatting>
  <conditionalFormatting sqref="D3465">
    <cfRule type="expression" dxfId="4443" priority="1272">
      <formula>D3465&lt;&gt;""</formula>
    </cfRule>
  </conditionalFormatting>
  <conditionalFormatting sqref="D3469">
    <cfRule type="expression" dxfId="4442" priority="1271">
      <formula>D3465&lt;&gt;""</formula>
    </cfRule>
  </conditionalFormatting>
  <conditionalFormatting sqref="I3454:I3455 C3455:H3455 B3455:B3456">
    <cfRule type="expression" dxfId="4441" priority="1261">
      <formula>$B3457&lt;&gt;""</formula>
    </cfRule>
  </conditionalFormatting>
  <conditionalFormatting sqref="D3457:D3461">
    <cfRule type="expression" dxfId="4440" priority="1295">
      <formula>D3457&lt;&gt;""</formula>
    </cfRule>
  </conditionalFormatting>
  <conditionalFormatting sqref="D3457">
    <cfRule type="expression" dxfId="4439" priority="1294">
      <formula>D3457&lt;&gt;""</formula>
    </cfRule>
  </conditionalFormatting>
  <conditionalFormatting sqref="D3461">
    <cfRule type="expression" dxfId="4438" priority="1293">
      <formula>D3457&lt;&gt;""</formula>
    </cfRule>
  </conditionalFormatting>
  <conditionalFormatting sqref="C3457:C3461">
    <cfRule type="expression" dxfId="4437" priority="1302">
      <formula>D3457&lt;&gt;""</formula>
    </cfRule>
  </conditionalFormatting>
  <conditionalFormatting sqref="E3457:E3461">
    <cfRule type="expression" dxfId="4436" priority="1301">
      <formula>F3457&lt;&gt;""</formula>
    </cfRule>
  </conditionalFormatting>
  <conditionalFormatting sqref="G3457:G3461">
    <cfRule type="expression" dxfId="4435" priority="1300">
      <formula>H3457&lt;&gt;""</formula>
    </cfRule>
  </conditionalFormatting>
  <conditionalFormatting sqref="I3457:I3461">
    <cfRule type="expression" dxfId="4434" priority="1299">
      <formula>B3465&lt;&gt;""</formula>
    </cfRule>
  </conditionalFormatting>
  <conditionalFormatting sqref="B3457:B3461">
    <cfRule type="expression" dxfId="4433" priority="1298">
      <formula>B3457&lt;&gt;""</formula>
    </cfRule>
  </conditionalFormatting>
  <conditionalFormatting sqref="B3457">
    <cfRule type="expression" dxfId="4432" priority="1297">
      <formula>B3457&lt;&gt;""</formula>
    </cfRule>
  </conditionalFormatting>
  <conditionalFormatting sqref="B3461">
    <cfRule type="expression" dxfId="4431" priority="1296">
      <formula>B3457&lt;&gt;""</formula>
    </cfRule>
  </conditionalFormatting>
  <conditionalFormatting sqref="F3457:F3461">
    <cfRule type="expression" dxfId="4430" priority="1292">
      <formula>F3457&lt;&gt;""</formula>
    </cfRule>
  </conditionalFormatting>
  <conditionalFormatting sqref="F3457">
    <cfRule type="expression" dxfId="4429" priority="1291">
      <formula>F3457&lt;&gt;""</formula>
    </cfRule>
  </conditionalFormatting>
  <conditionalFormatting sqref="F3461">
    <cfRule type="expression" dxfId="4428" priority="1290">
      <formula>F3457&lt;&gt;""</formula>
    </cfRule>
  </conditionalFormatting>
  <conditionalFormatting sqref="H3457:H3461">
    <cfRule type="expression" dxfId="4427" priority="1289">
      <formula>H3457&lt;&gt;""</formula>
    </cfRule>
  </conditionalFormatting>
  <conditionalFormatting sqref="H3457">
    <cfRule type="expression" dxfId="4426" priority="1288">
      <formula>H3457&lt;&gt;""</formula>
    </cfRule>
  </conditionalFormatting>
  <conditionalFormatting sqref="H3461">
    <cfRule type="expression" dxfId="4425" priority="1287">
      <formula>H3457&lt;&gt;""</formula>
    </cfRule>
  </conditionalFormatting>
  <conditionalFormatting sqref="F3449:F3453">
    <cfRule type="expression" dxfId="4424" priority="1286">
      <formula>F3449&lt;&gt;""</formula>
    </cfRule>
  </conditionalFormatting>
  <conditionalFormatting sqref="F3449">
    <cfRule type="expression" dxfId="4423" priority="1285">
      <formula>F3449&lt;&gt;""</formula>
    </cfRule>
  </conditionalFormatting>
  <conditionalFormatting sqref="F3453">
    <cfRule type="expression" dxfId="4422" priority="1284">
      <formula>F3449&lt;&gt;""</formula>
    </cfRule>
  </conditionalFormatting>
  <conditionalFormatting sqref="E3449:E3453">
    <cfRule type="expression" dxfId="4421" priority="1283">
      <formula>F3449&lt;&gt;""</formula>
    </cfRule>
  </conditionalFormatting>
  <conditionalFormatting sqref="G3449:G3453">
    <cfRule type="expression" dxfId="4420" priority="1282">
      <formula>H3449&lt;&gt;""</formula>
    </cfRule>
  </conditionalFormatting>
  <conditionalFormatting sqref="I3449:I3453">
    <cfRule type="expression" dxfId="4419" priority="1281">
      <formula>B3457&lt;&gt;""</formula>
    </cfRule>
  </conditionalFormatting>
  <conditionalFormatting sqref="H3449:H3453">
    <cfRule type="expression" dxfId="4418" priority="1280">
      <formula>H3449&lt;&gt;""</formula>
    </cfRule>
  </conditionalFormatting>
  <conditionalFormatting sqref="H3449">
    <cfRule type="expression" dxfId="4417" priority="1279">
      <formula>H3449&lt;&gt;""</formula>
    </cfRule>
  </conditionalFormatting>
  <conditionalFormatting sqref="H3453">
    <cfRule type="expression" dxfId="4416" priority="1278">
      <formula>H3449&lt;&gt;""</formula>
    </cfRule>
  </conditionalFormatting>
  <conditionalFormatting sqref="I3462:I3463 C3463:H3463 B3463:B3464">
    <cfRule type="expression" dxfId="4415" priority="1277">
      <formula>$B3465&lt;&gt;""</formula>
    </cfRule>
  </conditionalFormatting>
  <conditionalFormatting sqref="B3465:B3469">
    <cfRule type="expression" dxfId="4414" priority="1276">
      <formula>B3465&lt;&gt;""</formula>
    </cfRule>
  </conditionalFormatting>
  <conditionalFormatting sqref="B3465">
    <cfRule type="expression" dxfId="4413" priority="1275">
      <formula>B3465&lt;&gt;""</formula>
    </cfRule>
  </conditionalFormatting>
  <conditionalFormatting sqref="B3469">
    <cfRule type="expression" dxfId="4412" priority="1274">
      <formula>B3465&lt;&gt;""</formula>
    </cfRule>
  </conditionalFormatting>
  <conditionalFormatting sqref="F3465:F3469">
    <cfRule type="expression" dxfId="4411" priority="1270">
      <formula>F3465&lt;&gt;""</formula>
    </cfRule>
  </conditionalFormatting>
  <conditionalFormatting sqref="F3465">
    <cfRule type="expression" dxfId="4410" priority="1269">
      <formula>F3465&lt;&gt;""</formula>
    </cfRule>
  </conditionalFormatting>
  <conditionalFormatting sqref="F3469">
    <cfRule type="expression" dxfId="4409" priority="1268">
      <formula>F3465&lt;&gt;""</formula>
    </cfRule>
  </conditionalFormatting>
  <conditionalFormatting sqref="C3465:C3469">
    <cfRule type="expression" dxfId="4408" priority="1267">
      <formula>D3465&lt;&gt;""</formula>
    </cfRule>
  </conditionalFormatting>
  <conditionalFormatting sqref="E3465:E3469">
    <cfRule type="expression" dxfId="4407" priority="1266">
      <formula>F3465&lt;&gt;""</formula>
    </cfRule>
  </conditionalFormatting>
  <conditionalFormatting sqref="G3465:G3469">
    <cfRule type="expression" dxfId="4406" priority="1265">
      <formula>H3465&lt;&gt;""</formula>
    </cfRule>
  </conditionalFormatting>
  <conditionalFormatting sqref="H3465:H3469">
    <cfRule type="expression" dxfId="4405" priority="1264">
      <formula>H3465&lt;&gt;""</formula>
    </cfRule>
  </conditionalFormatting>
  <conditionalFormatting sqref="H3465">
    <cfRule type="expression" dxfId="4404" priority="1263">
      <formula>H3465&lt;&gt;""</formula>
    </cfRule>
  </conditionalFormatting>
  <conditionalFormatting sqref="H3469">
    <cfRule type="expression" dxfId="4403" priority="1262">
      <formula>H3465&lt;&gt;""</formula>
    </cfRule>
  </conditionalFormatting>
  <conditionalFormatting sqref="D3437:D3441">
    <cfRule type="expression" dxfId="4402" priority="1231">
      <formula>D3437&lt;&gt;""</formula>
    </cfRule>
  </conditionalFormatting>
  <conditionalFormatting sqref="D3437">
    <cfRule type="expression" dxfId="4401" priority="1230">
      <formula>D3437&lt;&gt;""</formula>
    </cfRule>
  </conditionalFormatting>
  <conditionalFormatting sqref="D3441">
    <cfRule type="expression" dxfId="4400" priority="1229">
      <formula>D3437&lt;&gt;""</formula>
    </cfRule>
  </conditionalFormatting>
  <conditionalFormatting sqref="I3426:I3427 C3427:H3427 B3427:B3428">
    <cfRule type="expression" dxfId="4399" priority="1219">
      <formula>$B3429&lt;&gt;""</formula>
    </cfRule>
  </conditionalFormatting>
  <conditionalFormatting sqref="D3429:D3433">
    <cfRule type="expression" dxfId="4398" priority="1253">
      <formula>D3429&lt;&gt;""</formula>
    </cfRule>
  </conditionalFormatting>
  <conditionalFormatting sqref="D3429">
    <cfRule type="expression" dxfId="4397" priority="1252">
      <formula>D3429&lt;&gt;""</formula>
    </cfRule>
  </conditionalFormatting>
  <conditionalFormatting sqref="D3433">
    <cfRule type="expression" dxfId="4396" priority="1251">
      <formula>D3429&lt;&gt;""</formula>
    </cfRule>
  </conditionalFormatting>
  <conditionalFormatting sqref="C3429:C3433">
    <cfRule type="expression" dxfId="4395" priority="1260">
      <formula>D3429&lt;&gt;""</formula>
    </cfRule>
  </conditionalFormatting>
  <conditionalFormatting sqref="E3429:E3433">
    <cfRule type="expression" dxfId="4394" priority="1259">
      <formula>F3429&lt;&gt;""</formula>
    </cfRule>
  </conditionalFormatting>
  <conditionalFormatting sqref="G3429:G3433">
    <cfRule type="expression" dxfId="4393" priority="1258">
      <formula>H3429&lt;&gt;""</formula>
    </cfRule>
  </conditionalFormatting>
  <conditionalFormatting sqref="I3429:I3433">
    <cfRule type="expression" dxfId="4392" priority="1257">
      <formula>B3437&lt;&gt;""</formula>
    </cfRule>
  </conditionalFormatting>
  <conditionalFormatting sqref="B3429:B3433">
    <cfRule type="expression" dxfId="4391" priority="1256">
      <formula>B3429&lt;&gt;""</formula>
    </cfRule>
  </conditionalFormatting>
  <conditionalFormatting sqref="B3429">
    <cfRule type="expression" dxfId="4390" priority="1255">
      <formula>B3429&lt;&gt;""</formula>
    </cfRule>
  </conditionalFormatting>
  <conditionalFormatting sqref="B3433">
    <cfRule type="expression" dxfId="4389" priority="1254">
      <formula>B3429&lt;&gt;""</formula>
    </cfRule>
  </conditionalFormatting>
  <conditionalFormatting sqref="F3429:F3433">
    <cfRule type="expression" dxfId="4388" priority="1250">
      <formula>F3429&lt;&gt;""</formula>
    </cfRule>
  </conditionalFormatting>
  <conditionalFormatting sqref="F3429">
    <cfRule type="expression" dxfId="4387" priority="1249">
      <formula>F3429&lt;&gt;""</formula>
    </cfRule>
  </conditionalFormatting>
  <conditionalFormatting sqref="F3433">
    <cfRule type="expression" dxfId="4386" priority="1248">
      <formula>F3429&lt;&gt;""</formula>
    </cfRule>
  </conditionalFormatting>
  <conditionalFormatting sqref="H3429:H3433">
    <cfRule type="expression" dxfId="4385" priority="1247">
      <formula>H3429&lt;&gt;""</formula>
    </cfRule>
  </conditionalFormatting>
  <conditionalFormatting sqref="H3429">
    <cfRule type="expression" dxfId="4384" priority="1246">
      <formula>H3429&lt;&gt;""</formula>
    </cfRule>
  </conditionalFormatting>
  <conditionalFormatting sqref="H3433">
    <cfRule type="expression" dxfId="4383" priority="1245">
      <formula>H3429&lt;&gt;""</formula>
    </cfRule>
  </conditionalFormatting>
  <conditionalFormatting sqref="F3421:F3425">
    <cfRule type="expression" dxfId="4382" priority="1244">
      <formula>F3421&lt;&gt;""</formula>
    </cfRule>
  </conditionalFormatting>
  <conditionalFormatting sqref="F3421">
    <cfRule type="expression" dxfId="4381" priority="1243">
      <formula>F3421&lt;&gt;""</formula>
    </cfRule>
  </conditionalFormatting>
  <conditionalFormatting sqref="F3425">
    <cfRule type="expression" dxfId="4380" priority="1242">
      <formula>F3421&lt;&gt;""</formula>
    </cfRule>
  </conditionalFormatting>
  <conditionalFormatting sqref="E3421:E3425">
    <cfRule type="expression" dxfId="4379" priority="1241">
      <formula>F3421&lt;&gt;""</formula>
    </cfRule>
  </conditionalFormatting>
  <conditionalFormatting sqref="G3421:G3425">
    <cfRule type="expression" dxfId="4378" priority="1240">
      <formula>H3421&lt;&gt;""</formula>
    </cfRule>
  </conditionalFormatting>
  <conditionalFormatting sqref="I3421:I3425">
    <cfRule type="expression" dxfId="4377" priority="1239">
      <formula>B3429&lt;&gt;""</formula>
    </cfRule>
  </conditionalFormatting>
  <conditionalFormatting sqref="H3421:H3425">
    <cfRule type="expression" dxfId="4376" priority="1238">
      <formula>H3421&lt;&gt;""</formula>
    </cfRule>
  </conditionalFormatting>
  <conditionalFormatting sqref="H3421">
    <cfRule type="expression" dxfId="4375" priority="1237">
      <formula>H3421&lt;&gt;""</formula>
    </cfRule>
  </conditionalFormatting>
  <conditionalFormatting sqref="H3425">
    <cfRule type="expression" dxfId="4374" priority="1236">
      <formula>H3421&lt;&gt;""</formula>
    </cfRule>
  </conditionalFormatting>
  <conditionalFormatting sqref="I3434:I3435 C3435:H3435 B3435:B3436">
    <cfRule type="expression" dxfId="4373" priority="1235">
      <formula>$B3437&lt;&gt;""</formula>
    </cfRule>
  </conditionalFormatting>
  <conditionalFormatting sqref="B3437:B3441">
    <cfRule type="expression" dxfId="4372" priority="1234">
      <formula>B3437&lt;&gt;""</formula>
    </cfRule>
  </conditionalFormatting>
  <conditionalFormatting sqref="B3437">
    <cfRule type="expression" dxfId="4371" priority="1233">
      <formula>B3437&lt;&gt;""</formula>
    </cfRule>
  </conditionalFormatting>
  <conditionalFormatting sqref="B3441">
    <cfRule type="expression" dxfId="4370" priority="1232">
      <formula>B3437&lt;&gt;""</formula>
    </cfRule>
  </conditionalFormatting>
  <conditionalFormatting sqref="F3437:F3441">
    <cfRule type="expression" dxfId="4369" priority="1228">
      <formula>F3437&lt;&gt;""</formula>
    </cfRule>
  </conditionalFormatting>
  <conditionalFormatting sqref="F3437">
    <cfRule type="expression" dxfId="4368" priority="1227">
      <formula>F3437&lt;&gt;""</formula>
    </cfRule>
  </conditionalFormatting>
  <conditionalFormatting sqref="F3441">
    <cfRule type="expression" dxfId="4367" priority="1226">
      <formula>F3437&lt;&gt;""</formula>
    </cfRule>
  </conditionalFormatting>
  <conditionalFormatting sqref="C3437:C3441">
    <cfRule type="expression" dxfId="4366" priority="1225">
      <formula>D3437&lt;&gt;""</formula>
    </cfRule>
  </conditionalFormatting>
  <conditionalFormatting sqref="E3437:E3441">
    <cfRule type="expression" dxfId="4365" priority="1224">
      <formula>F3437&lt;&gt;""</formula>
    </cfRule>
  </conditionalFormatting>
  <conditionalFormatting sqref="G3437:G3441">
    <cfRule type="expression" dxfId="4364" priority="1223">
      <formula>H3437&lt;&gt;""</formula>
    </cfRule>
  </conditionalFormatting>
  <conditionalFormatting sqref="H3437:H3441">
    <cfRule type="expression" dxfId="4363" priority="1222">
      <formula>H3437&lt;&gt;""</formula>
    </cfRule>
  </conditionalFormatting>
  <conditionalFormatting sqref="H3437">
    <cfRule type="expression" dxfId="4362" priority="1221">
      <formula>H3437&lt;&gt;""</formula>
    </cfRule>
  </conditionalFormatting>
  <conditionalFormatting sqref="H3441">
    <cfRule type="expression" dxfId="4361" priority="1220">
      <formula>H3437&lt;&gt;""</formula>
    </cfRule>
  </conditionalFormatting>
  <conditionalFormatting sqref="D3409:D3413">
    <cfRule type="expression" dxfId="4360" priority="1189">
      <formula>D3409&lt;&gt;""</formula>
    </cfRule>
  </conditionalFormatting>
  <conditionalFormatting sqref="D3409">
    <cfRule type="expression" dxfId="4359" priority="1188">
      <formula>D3409&lt;&gt;""</formula>
    </cfRule>
  </conditionalFormatting>
  <conditionalFormatting sqref="D3413">
    <cfRule type="expression" dxfId="4358" priority="1187">
      <formula>D3409&lt;&gt;""</formula>
    </cfRule>
  </conditionalFormatting>
  <conditionalFormatting sqref="I3398:I3399 C3399:H3399 B3399:B3400">
    <cfRule type="expression" dxfId="4357" priority="1177">
      <formula>$B3401&lt;&gt;""</formula>
    </cfRule>
  </conditionalFormatting>
  <conditionalFormatting sqref="D3401:D3405">
    <cfRule type="expression" dxfId="4356" priority="1211">
      <formula>D3401&lt;&gt;""</formula>
    </cfRule>
  </conditionalFormatting>
  <conditionalFormatting sqref="D3401">
    <cfRule type="expression" dxfId="4355" priority="1210">
      <formula>D3401&lt;&gt;""</formula>
    </cfRule>
  </conditionalFormatting>
  <conditionalFormatting sqref="D3405">
    <cfRule type="expression" dxfId="4354" priority="1209">
      <formula>D3401&lt;&gt;""</formula>
    </cfRule>
  </conditionalFormatting>
  <conditionalFormatting sqref="C3401:C3405">
    <cfRule type="expression" dxfId="4353" priority="1218">
      <formula>D3401&lt;&gt;""</formula>
    </cfRule>
  </conditionalFormatting>
  <conditionalFormatting sqref="E3401:E3405">
    <cfRule type="expression" dxfId="4352" priority="1217">
      <formula>F3401&lt;&gt;""</formula>
    </cfRule>
  </conditionalFormatting>
  <conditionalFormatting sqref="G3401:G3405">
    <cfRule type="expression" dxfId="4351" priority="1216">
      <formula>H3401&lt;&gt;""</formula>
    </cfRule>
  </conditionalFormatting>
  <conditionalFormatting sqref="I3401:I3405">
    <cfRule type="expression" dxfId="4350" priority="1215">
      <formula>B3409&lt;&gt;""</formula>
    </cfRule>
  </conditionalFormatting>
  <conditionalFormatting sqref="B3401:B3405">
    <cfRule type="expression" dxfId="4349" priority="1214">
      <formula>B3401&lt;&gt;""</formula>
    </cfRule>
  </conditionalFormatting>
  <conditionalFormatting sqref="B3401">
    <cfRule type="expression" dxfId="4348" priority="1213">
      <formula>B3401&lt;&gt;""</formula>
    </cfRule>
  </conditionalFormatting>
  <conditionalFormatting sqref="B3405">
    <cfRule type="expression" dxfId="4347" priority="1212">
      <formula>B3401&lt;&gt;""</formula>
    </cfRule>
  </conditionalFormatting>
  <conditionalFormatting sqref="F3401:F3405">
    <cfRule type="expression" dxfId="4346" priority="1208">
      <formula>F3401&lt;&gt;""</formula>
    </cfRule>
  </conditionalFormatting>
  <conditionalFormatting sqref="F3401">
    <cfRule type="expression" dxfId="4345" priority="1207">
      <formula>F3401&lt;&gt;""</formula>
    </cfRule>
  </conditionalFormatting>
  <conditionalFormatting sqref="F3405">
    <cfRule type="expression" dxfId="4344" priority="1206">
      <formula>F3401&lt;&gt;""</formula>
    </cfRule>
  </conditionalFormatting>
  <conditionalFormatting sqref="H3401:H3405">
    <cfRule type="expression" dxfId="4343" priority="1205">
      <formula>H3401&lt;&gt;""</formula>
    </cfRule>
  </conditionalFormatting>
  <conditionalFormatting sqref="H3401">
    <cfRule type="expression" dxfId="4342" priority="1204">
      <formula>H3401&lt;&gt;""</formula>
    </cfRule>
  </conditionalFormatting>
  <conditionalFormatting sqref="H3405">
    <cfRule type="expression" dxfId="4341" priority="1203">
      <formula>H3401&lt;&gt;""</formula>
    </cfRule>
  </conditionalFormatting>
  <conditionalFormatting sqref="F3393:F3397">
    <cfRule type="expression" dxfId="4340" priority="1202">
      <formula>F3393&lt;&gt;""</formula>
    </cfRule>
  </conditionalFormatting>
  <conditionalFormatting sqref="F3393">
    <cfRule type="expression" dxfId="4339" priority="1201">
      <formula>F3393&lt;&gt;""</formula>
    </cfRule>
  </conditionalFormatting>
  <conditionalFormatting sqref="F3397">
    <cfRule type="expression" dxfId="4338" priority="1200">
      <formula>F3393&lt;&gt;""</formula>
    </cfRule>
  </conditionalFormatting>
  <conditionalFormatting sqref="E3393:E3397">
    <cfRule type="expression" dxfId="4337" priority="1199">
      <formula>F3393&lt;&gt;""</formula>
    </cfRule>
  </conditionalFormatting>
  <conditionalFormatting sqref="G3393:G3397">
    <cfRule type="expression" dxfId="4336" priority="1198">
      <formula>H3393&lt;&gt;""</formula>
    </cfRule>
  </conditionalFormatting>
  <conditionalFormatting sqref="I3393:I3397">
    <cfRule type="expression" dxfId="4335" priority="1197">
      <formula>B3401&lt;&gt;""</formula>
    </cfRule>
  </conditionalFormatting>
  <conditionalFormatting sqref="H3393:H3397">
    <cfRule type="expression" dxfId="4334" priority="1196">
      <formula>H3393&lt;&gt;""</formula>
    </cfRule>
  </conditionalFormatting>
  <conditionalFormatting sqref="H3393">
    <cfRule type="expression" dxfId="4333" priority="1195">
      <formula>H3393&lt;&gt;""</formula>
    </cfRule>
  </conditionalFormatting>
  <conditionalFormatting sqref="H3397">
    <cfRule type="expression" dxfId="4332" priority="1194">
      <formula>H3393&lt;&gt;""</formula>
    </cfRule>
  </conditionalFormatting>
  <conditionalFormatting sqref="I3406:I3407 C3407:H3407 B3407:B3408">
    <cfRule type="expression" dxfId="4331" priority="1193">
      <formula>$B3409&lt;&gt;""</formula>
    </cfRule>
  </conditionalFormatting>
  <conditionalFormatting sqref="B3409:B3413">
    <cfRule type="expression" dxfId="4330" priority="1192">
      <formula>B3409&lt;&gt;""</formula>
    </cfRule>
  </conditionalFormatting>
  <conditionalFormatting sqref="B3409">
    <cfRule type="expression" dxfId="4329" priority="1191">
      <formula>B3409&lt;&gt;""</formula>
    </cfRule>
  </conditionalFormatting>
  <conditionalFormatting sqref="B3413">
    <cfRule type="expression" dxfId="4328" priority="1190">
      <formula>B3409&lt;&gt;""</formula>
    </cfRule>
  </conditionalFormatting>
  <conditionalFormatting sqref="F3409:F3413">
    <cfRule type="expression" dxfId="4327" priority="1186">
      <formula>F3409&lt;&gt;""</formula>
    </cfRule>
  </conditionalFormatting>
  <conditionalFormatting sqref="F3409">
    <cfRule type="expression" dxfId="4326" priority="1185">
      <formula>F3409&lt;&gt;""</formula>
    </cfRule>
  </conditionalFormatting>
  <conditionalFormatting sqref="F3413">
    <cfRule type="expression" dxfId="4325" priority="1184">
      <formula>F3409&lt;&gt;""</formula>
    </cfRule>
  </conditionalFormatting>
  <conditionalFormatting sqref="C3409:C3413">
    <cfRule type="expression" dxfId="4324" priority="1183">
      <formula>D3409&lt;&gt;""</formula>
    </cfRule>
  </conditionalFormatting>
  <conditionalFormatting sqref="E3409:E3413">
    <cfRule type="expression" dxfId="4323" priority="1182">
      <formula>F3409&lt;&gt;""</formula>
    </cfRule>
  </conditionalFormatting>
  <conditionalFormatting sqref="G3409:G3413">
    <cfRule type="expression" dxfId="4322" priority="1181">
      <formula>H3409&lt;&gt;""</formula>
    </cfRule>
  </conditionalFormatting>
  <conditionalFormatting sqref="H3409:H3413">
    <cfRule type="expression" dxfId="4321" priority="1180">
      <formula>H3409&lt;&gt;""</formula>
    </cfRule>
  </conditionalFormatting>
  <conditionalFormatting sqref="H3409">
    <cfRule type="expression" dxfId="4320" priority="1179">
      <formula>H3409&lt;&gt;""</formula>
    </cfRule>
  </conditionalFormatting>
  <conditionalFormatting sqref="H3413">
    <cfRule type="expression" dxfId="4319" priority="1178">
      <formula>H3409&lt;&gt;""</formula>
    </cfRule>
  </conditionalFormatting>
  <conditionalFormatting sqref="B3393:B3397">
    <cfRule type="expression" dxfId="4318" priority="1176">
      <formula>B3393&lt;&gt;""</formula>
    </cfRule>
  </conditionalFormatting>
  <conditionalFormatting sqref="B3393">
    <cfRule type="expression" dxfId="4317" priority="1175">
      <formula>B3393&lt;&gt;""</formula>
    </cfRule>
  </conditionalFormatting>
  <conditionalFormatting sqref="B3397">
    <cfRule type="expression" dxfId="4316" priority="1174">
      <formula>B3393&lt;&gt;""</formula>
    </cfRule>
  </conditionalFormatting>
  <conditionalFormatting sqref="C3393:C3397">
    <cfRule type="expression" dxfId="4315" priority="1173">
      <formula>D3393&lt;&gt;""</formula>
    </cfRule>
  </conditionalFormatting>
  <conditionalFormatting sqref="D3393:D3397">
    <cfRule type="expression" dxfId="4314" priority="1172">
      <formula>D3393&lt;&gt;""</formula>
    </cfRule>
  </conditionalFormatting>
  <conditionalFormatting sqref="D3393">
    <cfRule type="expression" dxfId="4313" priority="1171">
      <formula>D3393&lt;&gt;""</formula>
    </cfRule>
  </conditionalFormatting>
  <conditionalFormatting sqref="D3397">
    <cfRule type="expression" dxfId="4312" priority="1170">
      <formula>D3393&lt;&gt;""</formula>
    </cfRule>
  </conditionalFormatting>
  <conditionalFormatting sqref="B3421:B3425">
    <cfRule type="expression" dxfId="4311" priority="1169">
      <formula>B3421&lt;&gt;""</formula>
    </cfRule>
  </conditionalFormatting>
  <conditionalFormatting sqref="B3421">
    <cfRule type="expression" dxfId="4310" priority="1168">
      <formula>B3421&lt;&gt;""</formula>
    </cfRule>
  </conditionalFormatting>
  <conditionalFormatting sqref="B3425">
    <cfRule type="expression" dxfId="4309" priority="1167">
      <formula>B3421&lt;&gt;""</formula>
    </cfRule>
  </conditionalFormatting>
  <conditionalFormatting sqref="C3421:C3425">
    <cfRule type="expression" dxfId="4308" priority="1166">
      <formula>D3421&lt;&gt;""</formula>
    </cfRule>
  </conditionalFormatting>
  <conditionalFormatting sqref="D3421:D3425">
    <cfRule type="expression" dxfId="4307" priority="1165">
      <formula>D3421&lt;&gt;""</formula>
    </cfRule>
  </conditionalFormatting>
  <conditionalFormatting sqref="D3421">
    <cfRule type="expression" dxfId="4306" priority="1164">
      <formula>D3421&lt;&gt;""</formula>
    </cfRule>
  </conditionalFormatting>
  <conditionalFormatting sqref="D3425">
    <cfRule type="expression" dxfId="4305" priority="1163">
      <formula>D3421&lt;&gt;""</formula>
    </cfRule>
  </conditionalFormatting>
  <conditionalFormatting sqref="B3449:B3453">
    <cfRule type="expression" dxfId="4304" priority="1162">
      <formula>B3449&lt;&gt;""</formula>
    </cfRule>
  </conditionalFormatting>
  <conditionalFormatting sqref="B3449">
    <cfRule type="expression" dxfId="4303" priority="1161">
      <formula>B3449&lt;&gt;""</formula>
    </cfRule>
  </conditionalFormatting>
  <conditionalFormatting sqref="B3453">
    <cfRule type="expression" dxfId="4302" priority="1160">
      <formula>B3449&lt;&gt;""</formula>
    </cfRule>
  </conditionalFormatting>
  <conditionalFormatting sqref="C3449:C3453">
    <cfRule type="expression" dxfId="4301" priority="1159">
      <formula>D3449&lt;&gt;""</formula>
    </cfRule>
  </conditionalFormatting>
  <conditionalFormatting sqref="D3449:D3453">
    <cfRule type="expression" dxfId="4300" priority="1158">
      <formula>D3449&lt;&gt;""</formula>
    </cfRule>
  </conditionalFormatting>
  <conditionalFormatting sqref="D3449">
    <cfRule type="expression" dxfId="4299" priority="1157">
      <formula>D3449&lt;&gt;""</formula>
    </cfRule>
  </conditionalFormatting>
  <conditionalFormatting sqref="D3453">
    <cfRule type="expression" dxfId="4298" priority="1156">
      <formula>D3449&lt;&gt;""</formula>
    </cfRule>
  </conditionalFormatting>
  <conditionalFormatting sqref="B3477:B3481">
    <cfRule type="expression" dxfId="4297" priority="1155">
      <formula>B3477&lt;&gt;""</formula>
    </cfRule>
  </conditionalFormatting>
  <conditionalFormatting sqref="B3477">
    <cfRule type="expression" dxfId="4296" priority="1154">
      <formula>B3477&lt;&gt;""</formula>
    </cfRule>
  </conditionalFormatting>
  <conditionalFormatting sqref="B3481">
    <cfRule type="expression" dxfId="4295" priority="1153">
      <formula>B3477&lt;&gt;""</formula>
    </cfRule>
  </conditionalFormatting>
  <conditionalFormatting sqref="C3477:C3481">
    <cfRule type="expression" dxfId="4294" priority="1152">
      <formula>D3477&lt;&gt;""</formula>
    </cfRule>
  </conditionalFormatting>
  <conditionalFormatting sqref="D3477:D3481">
    <cfRule type="expression" dxfId="4293" priority="1151">
      <formula>D3477&lt;&gt;""</formula>
    </cfRule>
  </conditionalFormatting>
  <conditionalFormatting sqref="D3477">
    <cfRule type="expression" dxfId="4292" priority="1150">
      <formula>D3477&lt;&gt;""</formula>
    </cfRule>
  </conditionalFormatting>
  <conditionalFormatting sqref="D3481">
    <cfRule type="expression" dxfId="4291" priority="1149">
      <formula>D3477&lt;&gt;""</formula>
    </cfRule>
  </conditionalFormatting>
  <conditionalFormatting sqref="B3505:B3509">
    <cfRule type="expression" dxfId="4290" priority="1148">
      <formula>B3505&lt;&gt;""</formula>
    </cfRule>
  </conditionalFormatting>
  <conditionalFormatting sqref="B3505">
    <cfRule type="expression" dxfId="4289" priority="1147">
      <formula>B3505&lt;&gt;""</formula>
    </cfRule>
  </conditionalFormatting>
  <conditionalFormatting sqref="B3509">
    <cfRule type="expression" dxfId="4288" priority="1146">
      <formula>B3505&lt;&gt;""</formula>
    </cfRule>
  </conditionalFormatting>
  <conditionalFormatting sqref="C3505:C3509">
    <cfRule type="expression" dxfId="4287" priority="1145">
      <formula>D3505&lt;&gt;""</formula>
    </cfRule>
  </conditionalFormatting>
  <conditionalFormatting sqref="D3505:D3509">
    <cfRule type="expression" dxfId="4286" priority="1144">
      <formula>D3505&lt;&gt;""</formula>
    </cfRule>
  </conditionalFormatting>
  <conditionalFormatting sqref="D3505">
    <cfRule type="expression" dxfId="4285" priority="1143">
      <formula>D3505&lt;&gt;""</formula>
    </cfRule>
  </conditionalFormatting>
  <conditionalFormatting sqref="D3509">
    <cfRule type="expression" dxfId="4284" priority="1142">
      <formula>D3505&lt;&gt;""</formula>
    </cfRule>
  </conditionalFormatting>
  <conditionalFormatting sqref="B3533:B3537">
    <cfRule type="expression" dxfId="4283" priority="1141">
      <formula>B3533&lt;&gt;""</formula>
    </cfRule>
  </conditionalFormatting>
  <conditionalFormatting sqref="B3533">
    <cfRule type="expression" dxfId="4282" priority="1140">
      <formula>B3533&lt;&gt;""</formula>
    </cfRule>
  </conditionalFormatting>
  <conditionalFormatting sqref="B3537">
    <cfRule type="expression" dxfId="4281" priority="1139">
      <formula>B3533&lt;&gt;""</formula>
    </cfRule>
  </conditionalFormatting>
  <conditionalFormatting sqref="C3533:C3537">
    <cfRule type="expression" dxfId="4280" priority="1138">
      <formula>D3533&lt;&gt;""</formula>
    </cfRule>
  </conditionalFormatting>
  <conditionalFormatting sqref="D3533:D3537">
    <cfRule type="expression" dxfId="4279" priority="1137">
      <formula>D3533&lt;&gt;""</formula>
    </cfRule>
  </conditionalFormatting>
  <conditionalFormatting sqref="D3533">
    <cfRule type="expression" dxfId="4278" priority="1136">
      <formula>D3533&lt;&gt;""</formula>
    </cfRule>
  </conditionalFormatting>
  <conditionalFormatting sqref="D3537">
    <cfRule type="expression" dxfId="4277" priority="1135">
      <formula>D3533&lt;&gt;""</formula>
    </cfRule>
  </conditionalFormatting>
  <conditionalFormatting sqref="B3561:B3565">
    <cfRule type="expression" dxfId="4276" priority="1134">
      <formula>B3561&lt;&gt;""</formula>
    </cfRule>
  </conditionalFormatting>
  <conditionalFormatting sqref="B3561">
    <cfRule type="expression" dxfId="4275" priority="1133">
      <formula>B3561&lt;&gt;""</formula>
    </cfRule>
  </conditionalFormatting>
  <conditionalFormatting sqref="B3565">
    <cfRule type="expression" dxfId="4274" priority="1132">
      <formula>B3561&lt;&gt;""</formula>
    </cfRule>
  </conditionalFormatting>
  <conditionalFormatting sqref="C3561:C3565">
    <cfRule type="expression" dxfId="4273" priority="1131">
      <formula>D3561&lt;&gt;""</formula>
    </cfRule>
  </conditionalFormatting>
  <conditionalFormatting sqref="D3561:D3565">
    <cfRule type="expression" dxfId="4272" priority="1130">
      <formula>D3561&lt;&gt;""</formula>
    </cfRule>
  </conditionalFormatting>
  <conditionalFormatting sqref="D3561">
    <cfRule type="expression" dxfId="4271" priority="1129">
      <formula>D3561&lt;&gt;""</formula>
    </cfRule>
  </conditionalFormatting>
  <conditionalFormatting sqref="D3565">
    <cfRule type="expression" dxfId="4270" priority="1128">
      <formula>D3561&lt;&gt;""</formula>
    </cfRule>
  </conditionalFormatting>
  <conditionalFormatting sqref="D3605:D3609">
    <cfRule type="expression" dxfId="4269" priority="1099">
      <formula>D3605&lt;&gt;""</formula>
    </cfRule>
  </conditionalFormatting>
  <conditionalFormatting sqref="D3605">
    <cfRule type="expression" dxfId="4268" priority="1098">
      <formula>D3605&lt;&gt;""</formula>
    </cfRule>
  </conditionalFormatting>
  <conditionalFormatting sqref="D3609">
    <cfRule type="expression" dxfId="4267" priority="1097">
      <formula>D3605&lt;&gt;""</formula>
    </cfRule>
  </conditionalFormatting>
  <conditionalFormatting sqref="D3597:D3601">
    <cfRule type="expression" dxfId="4266" priority="1120">
      <formula>D3597&lt;&gt;""</formula>
    </cfRule>
  </conditionalFormatting>
  <conditionalFormatting sqref="D3597">
    <cfRule type="expression" dxfId="4265" priority="1119">
      <formula>D3597&lt;&gt;""</formula>
    </cfRule>
  </conditionalFormatting>
  <conditionalFormatting sqref="D3601">
    <cfRule type="expression" dxfId="4264" priority="1118">
      <formula>D3597&lt;&gt;""</formula>
    </cfRule>
  </conditionalFormatting>
  <conditionalFormatting sqref="C3597:C3601">
    <cfRule type="expression" dxfId="4263" priority="1127">
      <formula>D3597&lt;&gt;""</formula>
    </cfRule>
  </conditionalFormatting>
  <conditionalFormatting sqref="E3597:E3601">
    <cfRule type="expression" dxfId="4262" priority="1126">
      <formula>F3597&lt;&gt;""</formula>
    </cfRule>
  </conditionalFormatting>
  <conditionalFormatting sqref="G3597:G3601">
    <cfRule type="expression" dxfId="4261" priority="1125">
      <formula>H3597&lt;&gt;""</formula>
    </cfRule>
  </conditionalFormatting>
  <conditionalFormatting sqref="I3597:I3601">
    <cfRule type="expression" dxfId="4260" priority="1124">
      <formula>B3605&lt;&gt;""</formula>
    </cfRule>
  </conditionalFormatting>
  <conditionalFormatting sqref="B3597:B3601">
    <cfRule type="expression" dxfId="4259" priority="1123">
      <formula>B3597&lt;&gt;""</formula>
    </cfRule>
  </conditionalFormatting>
  <conditionalFormatting sqref="B3597">
    <cfRule type="expression" dxfId="4258" priority="1122">
      <formula>B3597&lt;&gt;""</formula>
    </cfRule>
  </conditionalFormatting>
  <conditionalFormatting sqref="B3601">
    <cfRule type="expression" dxfId="4257" priority="1121">
      <formula>B3597&lt;&gt;""</formula>
    </cfRule>
  </conditionalFormatting>
  <conditionalFormatting sqref="F3597:F3601">
    <cfRule type="expression" dxfId="4256" priority="1117">
      <formula>F3597&lt;&gt;""</formula>
    </cfRule>
  </conditionalFormatting>
  <conditionalFormatting sqref="F3597">
    <cfRule type="expression" dxfId="4255" priority="1116">
      <formula>F3597&lt;&gt;""</formula>
    </cfRule>
  </conditionalFormatting>
  <conditionalFormatting sqref="F3601">
    <cfRule type="expression" dxfId="4254" priority="1115">
      <formula>F3597&lt;&gt;""</formula>
    </cfRule>
  </conditionalFormatting>
  <conditionalFormatting sqref="H3597:H3601">
    <cfRule type="expression" dxfId="4253" priority="1114">
      <formula>H3597&lt;&gt;""</formula>
    </cfRule>
  </conditionalFormatting>
  <conditionalFormatting sqref="H3597">
    <cfRule type="expression" dxfId="4252" priority="1113">
      <formula>H3597&lt;&gt;""</formula>
    </cfRule>
  </conditionalFormatting>
  <conditionalFormatting sqref="H3601">
    <cfRule type="expression" dxfId="4251" priority="1112">
      <formula>H3597&lt;&gt;""</formula>
    </cfRule>
  </conditionalFormatting>
  <conditionalFormatting sqref="F3589:F3593">
    <cfRule type="expression" dxfId="4250" priority="1111">
      <formula>F3589&lt;&gt;""</formula>
    </cfRule>
  </conditionalFormatting>
  <conditionalFormatting sqref="F3589">
    <cfRule type="expression" dxfId="4249" priority="1110">
      <formula>F3589&lt;&gt;""</formula>
    </cfRule>
  </conditionalFormatting>
  <conditionalFormatting sqref="F3593">
    <cfRule type="expression" dxfId="4248" priority="1109">
      <formula>F3589&lt;&gt;""</formula>
    </cfRule>
  </conditionalFormatting>
  <conditionalFormatting sqref="E3589:E3593">
    <cfRule type="expression" dxfId="4247" priority="1108">
      <formula>F3589&lt;&gt;""</formula>
    </cfRule>
  </conditionalFormatting>
  <conditionalFormatting sqref="G3589:G3593">
    <cfRule type="expression" dxfId="4246" priority="1107">
      <formula>H3589&lt;&gt;""</formula>
    </cfRule>
  </conditionalFormatting>
  <conditionalFormatting sqref="I3589:I3593">
    <cfRule type="expression" dxfId="4245" priority="1106">
      <formula>B3597&lt;&gt;""</formula>
    </cfRule>
  </conditionalFormatting>
  <conditionalFormatting sqref="H3589:H3593">
    <cfRule type="expression" dxfId="4244" priority="1105">
      <formula>H3589&lt;&gt;""</formula>
    </cfRule>
  </conditionalFormatting>
  <conditionalFormatting sqref="H3589">
    <cfRule type="expression" dxfId="4243" priority="1104">
      <formula>H3589&lt;&gt;""</formula>
    </cfRule>
  </conditionalFormatting>
  <conditionalFormatting sqref="H3593">
    <cfRule type="expression" dxfId="4242" priority="1103">
      <formula>H3589&lt;&gt;""</formula>
    </cfRule>
  </conditionalFormatting>
  <conditionalFormatting sqref="B3605:B3609">
    <cfRule type="expression" dxfId="4241" priority="1102">
      <formula>B3605&lt;&gt;""</formula>
    </cfRule>
  </conditionalFormatting>
  <conditionalFormatting sqref="B3605">
    <cfRule type="expression" dxfId="4240" priority="1101">
      <formula>B3605&lt;&gt;""</formula>
    </cfRule>
  </conditionalFormatting>
  <conditionalFormatting sqref="B3609">
    <cfRule type="expression" dxfId="4239" priority="1100">
      <formula>B3605&lt;&gt;""</formula>
    </cfRule>
  </conditionalFormatting>
  <conditionalFormatting sqref="F3605:F3609">
    <cfRule type="expression" dxfId="4238" priority="1096">
      <formula>F3605&lt;&gt;""</formula>
    </cfRule>
  </conditionalFormatting>
  <conditionalFormatting sqref="F3605">
    <cfRule type="expression" dxfId="4237" priority="1095">
      <formula>F3605&lt;&gt;""</formula>
    </cfRule>
  </conditionalFormatting>
  <conditionalFormatting sqref="F3609">
    <cfRule type="expression" dxfId="4236" priority="1094">
      <formula>F3605&lt;&gt;""</formula>
    </cfRule>
  </conditionalFormatting>
  <conditionalFormatting sqref="C3605:C3609">
    <cfRule type="expression" dxfId="4235" priority="1093">
      <formula>D3605&lt;&gt;""</formula>
    </cfRule>
  </conditionalFormatting>
  <conditionalFormatting sqref="E3605:E3609">
    <cfRule type="expression" dxfId="4234" priority="1092">
      <formula>F3605&lt;&gt;""</formula>
    </cfRule>
  </conditionalFormatting>
  <conditionalFormatting sqref="G3605:G3609">
    <cfRule type="expression" dxfId="4233" priority="1091">
      <formula>H3605&lt;&gt;""</formula>
    </cfRule>
  </conditionalFormatting>
  <conditionalFormatting sqref="H3605:H3609">
    <cfRule type="expression" dxfId="4232" priority="1090">
      <formula>H3605&lt;&gt;""</formula>
    </cfRule>
  </conditionalFormatting>
  <conditionalFormatting sqref="H3605">
    <cfRule type="expression" dxfId="4231" priority="1089">
      <formula>H3605&lt;&gt;""</formula>
    </cfRule>
  </conditionalFormatting>
  <conditionalFormatting sqref="H3609">
    <cfRule type="expression" dxfId="4230" priority="1088">
      <formula>H3605&lt;&gt;""</formula>
    </cfRule>
  </conditionalFormatting>
  <conditionalFormatting sqref="D3633:D3637">
    <cfRule type="expression" dxfId="4229" priority="1059">
      <formula>D3633&lt;&gt;""</formula>
    </cfRule>
  </conditionalFormatting>
  <conditionalFormatting sqref="D3633">
    <cfRule type="expression" dxfId="4228" priority="1058">
      <formula>D3633&lt;&gt;""</formula>
    </cfRule>
  </conditionalFormatting>
  <conditionalFormatting sqref="D3637">
    <cfRule type="expression" dxfId="4227" priority="1057">
      <formula>D3633&lt;&gt;""</formula>
    </cfRule>
  </conditionalFormatting>
  <conditionalFormatting sqref="D3625:D3629">
    <cfRule type="expression" dxfId="4226" priority="1080">
      <formula>D3625&lt;&gt;""</formula>
    </cfRule>
  </conditionalFormatting>
  <conditionalFormatting sqref="D3625">
    <cfRule type="expression" dxfId="4225" priority="1079">
      <formula>D3625&lt;&gt;""</formula>
    </cfRule>
  </conditionalFormatting>
  <conditionalFormatting sqref="D3629">
    <cfRule type="expression" dxfId="4224" priority="1078">
      <formula>D3625&lt;&gt;""</formula>
    </cfRule>
  </conditionalFormatting>
  <conditionalFormatting sqref="C3625:C3629">
    <cfRule type="expression" dxfId="4223" priority="1087">
      <formula>D3625&lt;&gt;""</formula>
    </cfRule>
  </conditionalFormatting>
  <conditionalFormatting sqref="E3625:E3629">
    <cfRule type="expression" dxfId="4222" priority="1086">
      <formula>F3625&lt;&gt;""</formula>
    </cfRule>
  </conditionalFormatting>
  <conditionalFormatting sqref="G3625:G3629">
    <cfRule type="expression" dxfId="4221" priority="1085">
      <formula>H3625&lt;&gt;""</formula>
    </cfRule>
  </conditionalFormatting>
  <conditionalFormatting sqref="I3625:I3629">
    <cfRule type="expression" dxfId="4220" priority="1084">
      <formula>B3633&lt;&gt;""</formula>
    </cfRule>
  </conditionalFormatting>
  <conditionalFormatting sqref="B3625:B3629">
    <cfRule type="expression" dxfId="4219" priority="1083">
      <formula>B3625&lt;&gt;""</formula>
    </cfRule>
  </conditionalFormatting>
  <conditionalFormatting sqref="B3625">
    <cfRule type="expression" dxfId="4218" priority="1082">
      <formula>B3625&lt;&gt;""</formula>
    </cfRule>
  </conditionalFormatting>
  <conditionalFormatting sqref="B3629">
    <cfRule type="expression" dxfId="4217" priority="1081">
      <formula>B3625&lt;&gt;""</formula>
    </cfRule>
  </conditionalFormatting>
  <conditionalFormatting sqref="F3625:F3629">
    <cfRule type="expression" dxfId="4216" priority="1077">
      <formula>F3625&lt;&gt;""</formula>
    </cfRule>
  </conditionalFormatting>
  <conditionalFormatting sqref="F3625">
    <cfRule type="expression" dxfId="4215" priority="1076">
      <formula>F3625&lt;&gt;""</formula>
    </cfRule>
  </conditionalFormatting>
  <conditionalFormatting sqref="F3629">
    <cfRule type="expression" dxfId="4214" priority="1075">
      <formula>F3625&lt;&gt;""</formula>
    </cfRule>
  </conditionalFormatting>
  <conditionalFormatting sqref="H3625:H3629">
    <cfRule type="expression" dxfId="4213" priority="1074">
      <formula>H3625&lt;&gt;""</formula>
    </cfRule>
  </conditionalFormatting>
  <conditionalFormatting sqref="H3625">
    <cfRule type="expression" dxfId="4212" priority="1073">
      <formula>H3625&lt;&gt;""</formula>
    </cfRule>
  </conditionalFormatting>
  <conditionalFormatting sqref="H3629">
    <cfRule type="expression" dxfId="4211" priority="1072">
      <formula>H3625&lt;&gt;""</formula>
    </cfRule>
  </conditionalFormatting>
  <conditionalFormatting sqref="F3617:F3621">
    <cfRule type="expression" dxfId="4210" priority="1071">
      <formula>F3617&lt;&gt;""</formula>
    </cfRule>
  </conditionalFormatting>
  <conditionalFormatting sqref="F3617">
    <cfRule type="expression" dxfId="4209" priority="1070">
      <formula>F3617&lt;&gt;""</formula>
    </cfRule>
  </conditionalFormatting>
  <conditionalFormatting sqref="F3621">
    <cfRule type="expression" dxfId="4208" priority="1069">
      <formula>F3617&lt;&gt;""</formula>
    </cfRule>
  </conditionalFormatting>
  <conditionalFormatting sqref="E3617:E3621">
    <cfRule type="expression" dxfId="4207" priority="1068">
      <formula>F3617&lt;&gt;""</formula>
    </cfRule>
  </conditionalFormatting>
  <conditionalFormatting sqref="G3617:G3621">
    <cfRule type="expression" dxfId="4206" priority="1067">
      <formula>H3617&lt;&gt;""</formula>
    </cfRule>
  </conditionalFormatting>
  <conditionalFormatting sqref="I3617:I3621">
    <cfRule type="expression" dxfId="4205" priority="1066">
      <formula>B3625&lt;&gt;""</formula>
    </cfRule>
  </conditionalFormatting>
  <conditionalFormatting sqref="H3617:H3621">
    <cfRule type="expression" dxfId="4204" priority="1065">
      <formula>H3617&lt;&gt;""</formula>
    </cfRule>
  </conditionalFormatting>
  <conditionalFormatting sqref="H3617">
    <cfRule type="expression" dxfId="4203" priority="1064">
      <formula>H3617&lt;&gt;""</formula>
    </cfRule>
  </conditionalFormatting>
  <conditionalFormatting sqref="H3621">
    <cfRule type="expression" dxfId="4202" priority="1063">
      <formula>H3617&lt;&gt;""</formula>
    </cfRule>
  </conditionalFormatting>
  <conditionalFormatting sqref="B3633:B3637">
    <cfRule type="expression" dxfId="4201" priority="1062">
      <formula>B3633&lt;&gt;""</formula>
    </cfRule>
  </conditionalFormatting>
  <conditionalFormatting sqref="B3633">
    <cfRule type="expression" dxfId="4200" priority="1061">
      <formula>B3633&lt;&gt;""</formula>
    </cfRule>
  </conditionalFormatting>
  <conditionalFormatting sqref="B3637">
    <cfRule type="expression" dxfId="4199" priority="1060">
      <formula>B3633&lt;&gt;""</formula>
    </cfRule>
  </conditionalFormatting>
  <conditionalFormatting sqref="F3633:F3637">
    <cfRule type="expression" dxfId="4198" priority="1056">
      <formula>F3633&lt;&gt;""</formula>
    </cfRule>
  </conditionalFormatting>
  <conditionalFormatting sqref="F3633">
    <cfRule type="expression" dxfId="4197" priority="1055">
      <formula>F3633&lt;&gt;""</formula>
    </cfRule>
  </conditionalFormatting>
  <conditionalFormatting sqref="F3637">
    <cfRule type="expression" dxfId="4196" priority="1054">
      <formula>F3633&lt;&gt;""</formula>
    </cfRule>
  </conditionalFormatting>
  <conditionalFormatting sqref="C3633:C3637">
    <cfRule type="expression" dxfId="4195" priority="1053">
      <formula>D3633&lt;&gt;""</formula>
    </cfRule>
  </conditionalFormatting>
  <conditionalFormatting sqref="E3633:E3637">
    <cfRule type="expression" dxfId="4194" priority="1052">
      <formula>F3633&lt;&gt;""</formula>
    </cfRule>
  </conditionalFormatting>
  <conditionalFormatting sqref="G3633:G3637">
    <cfRule type="expression" dxfId="4193" priority="1051">
      <formula>H3633&lt;&gt;""</formula>
    </cfRule>
  </conditionalFormatting>
  <conditionalFormatting sqref="H3633:H3637">
    <cfRule type="expression" dxfId="4192" priority="1050">
      <formula>H3633&lt;&gt;""</formula>
    </cfRule>
  </conditionalFormatting>
  <conditionalFormatting sqref="H3633">
    <cfRule type="expression" dxfId="4191" priority="1049">
      <formula>H3633&lt;&gt;""</formula>
    </cfRule>
  </conditionalFormatting>
  <conditionalFormatting sqref="H3637">
    <cfRule type="expression" dxfId="4190" priority="1048">
      <formula>H3633&lt;&gt;""</formula>
    </cfRule>
  </conditionalFormatting>
  <conditionalFormatting sqref="B3617:B3621">
    <cfRule type="expression" dxfId="4189" priority="996">
      <formula>B3617&lt;&gt;""</formula>
    </cfRule>
  </conditionalFormatting>
  <conditionalFormatting sqref="B3623:B3624 C3623:I3623 I3622">
    <cfRule type="expression" dxfId="4188" priority="1047">
      <formula>$B3625&lt;&gt;""</formula>
    </cfRule>
  </conditionalFormatting>
  <conditionalFormatting sqref="B3631:B3632 C3631:I3631 I3630">
    <cfRule type="expression" dxfId="4187" priority="1046">
      <formula>$B3633&lt;&gt;""</formula>
    </cfRule>
  </conditionalFormatting>
  <conditionalFormatting sqref="D3661:D3665">
    <cfRule type="expression" dxfId="4186" priority="1017">
      <formula>D3661&lt;&gt;""</formula>
    </cfRule>
  </conditionalFormatting>
  <conditionalFormatting sqref="D3661">
    <cfRule type="expression" dxfId="4185" priority="1016">
      <formula>D3661&lt;&gt;""</formula>
    </cfRule>
  </conditionalFormatting>
  <conditionalFormatting sqref="D3665">
    <cfRule type="expression" dxfId="4184" priority="1015">
      <formula>D3661&lt;&gt;""</formula>
    </cfRule>
  </conditionalFormatting>
  <conditionalFormatting sqref="D3653:D3657">
    <cfRule type="expression" dxfId="4183" priority="1038">
      <formula>D3653&lt;&gt;""</formula>
    </cfRule>
  </conditionalFormatting>
  <conditionalFormatting sqref="D3653">
    <cfRule type="expression" dxfId="4182" priority="1037">
      <formula>D3653&lt;&gt;""</formula>
    </cfRule>
  </conditionalFormatting>
  <conditionalFormatting sqref="D3657">
    <cfRule type="expression" dxfId="4181" priority="1036">
      <formula>D3653&lt;&gt;""</formula>
    </cfRule>
  </conditionalFormatting>
  <conditionalFormatting sqref="C3653:C3657">
    <cfRule type="expression" dxfId="4180" priority="1045">
      <formula>D3653&lt;&gt;""</formula>
    </cfRule>
  </conditionalFormatting>
  <conditionalFormatting sqref="E3653:E3657">
    <cfRule type="expression" dxfId="4179" priority="1044">
      <formula>F3653&lt;&gt;""</formula>
    </cfRule>
  </conditionalFormatting>
  <conditionalFormatting sqref="G3653:G3657">
    <cfRule type="expression" dxfId="4178" priority="1043">
      <formula>H3653&lt;&gt;""</formula>
    </cfRule>
  </conditionalFormatting>
  <conditionalFormatting sqref="I3653:I3657">
    <cfRule type="expression" dxfId="4177" priority="1042">
      <formula>B3661&lt;&gt;""</formula>
    </cfRule>
  </conditionalFormatting>
  <conditionalFormatting sqref="B3653:B3657">
    <cfRule type="expression" dxfId="4176" priority="1041">
      <formula>B3653&lt;&gt;""</formula>
    </cfRule>
  </conditionalFormatting>
  <conditionalFormatting sqref="B3653">
    <cfRule type="expression" dxfId="4175" priority="1040">
      <formula>B3653&lt;&gt;""</formula>
    </cfRule>
  </conditionalFormatting>
  <conditionalFormatting sqref="B3657">
    <cfRule type="expression" dxfId="4174" priority="1039">
      <formula>B3653&lt;&gt;""</formula>
    </cfRule>
  </conditionalFormatting>
  <conditionalFormatting sqref="F3653:F3657">
    <cfRule type="expression" dxfId="4173" priority="1035">
      <formula>F3653&lt;&gt;""</formula>
    </cfRule>
  </conditionalFormatting>
  <conditionalFormatting sqref="F3653">
    <cfRule type="expression" dxfId="4172" priority="1034">
      <formula>F3653&lt;&gt;""</formula>
    </cfRule>
  </conditionalFormatting>
  <conditionalFormatting sqref="F3657">
    <cfRule type="expression" dxfId="4171" priority="1033">
      <formula>F3653&lt;&gt;""</formula>
    </cfRule>
  </conditionalFormatting>
  <conditionalFormatting sqref="H3653:H3657">
    <cfRule type="expression" dxfId="4170" priority="1032">
      <formula>H3653&lt;&gt;""</formula>
    </cfRule>
  </conditionalFormatting>
  <conditionalFormatting sqref="H3653">
    <cfRule type="expression" dxfId="4169" priority="1031">
      <formula>H3653&lt;&gt;""</formula>
    </cfRule>
  </conditionalFormatting>
  <conditionalFormatting sqref="H3657">
    <cfRule type="expression" dxfId="4168" priority="1030">
      <formula>H3653&lt;&gt;""</formula>
    </cfRule>
  </conditionalFormatting>
  <conditionalFormatting sqref="F3645:F3649">
    <cfRule type="expression" dxfId="4167" priority="1029">
      <formula>F3645&lt;&gt;""</formula>
    </cfRule>
  </conditionalFormatting>
  <conditionalFormatting sqref="F3645">
    <cfRule type="expression" dxfId="4166" priority="1028">
      <formula>F3645&lt;&gt;""</formula>
    </cfRule>
  </conditionalFormatting>
  <conditionalFormatting sqref="F3649">
    <cfRule type="expression" dxfId="4165" priority="1027">
      <formula>F3645&lt;&gt;""</formula>
    </cfRule>
  </conditionalFormatting>
  <conditionalFormatting sqref="E3645:E3649">
    <cfRule type="expression" dxfId="4164" priority="1026">
      <formula>F3645&lt;&gt;""</formula>
    </cfRule>
  </conditionalFormatting>
  <conditionalFormatting sqref="G3645:G3649">
    <cfRule type="expression" dxfId="4163" priority="1025">
      <formula>H3645&lt;&gt;""</formula>
    </cfRule>
  </conditionalFormatting>
  <conditionalFormatting sqref="I3645:I3649">
    <cfRule type="expression" dxfId="4162" priority="1024">
      <formula>B3653&lt;&gt;""</formula>
    </cfRule>
  </conditionalFormatting>
  <conditionalFormatting sqref="H3645:H3649">
    <cfRule type="expression" dxfId="4161" priority="1023">
      <formula>H3645&lt;&gt;""</formula>
    </cfRule>
  </conditionalFormatting>
  <conditionalFormatting sqref="H3645">
    <cfRule type="expression" dxfId="4160" priority="1022">
      <formula>H3645&lt;&gt;""</formula>
    </cfRule>
  </conditionalFormatting>
  <conditionalFormatting sqref="H3649">
    <cfRule type="expression" dxfId="4159" priority="1021">
      <formula>H3645&lt;&gt;""</formula>
    </cfRule>
  </conditionalFormatting>
  <conditionalFormatting sqref="B3661:B3665">
    <cfRule type="expression" dxfId="4158" priority="1020">
      <formula>B3661&lt;&gt;""</formula>
    </cfRule>
  </conditionalFormatting>
  <conditionalFormatting sqref="B3661">
    <cfRule type="expression" dxfId="4157" priority="1019">
      <formula>B3661&lt;&gt;""</formula>
    </cfRule>
  </conditionalFormatting>
  <conditionalFormatting sqref="B3665">
    <cfRule type="expression" dxfId="4156" priority="1018">
      <formula>B3661&lt;&gt;""</formula>
    </cfRule>
  </conditionalFormatting>
  <conditionalFormatting sqref="F3661:F3665">
    <cfRule type="expression" dxfId="4155" priority="1014">
      <formula>F3661&lt;&gt;""</formula>
    </cfRule>
  </conditionalFormatting>
  <conditionalFormatting sqref="F3661">
    <cfRule type="expression" dxfId="4154" priority="1013">
      <formula>F3661&lt;&gt;""</formula>
    </cfRule>
  </conditionalFormatting>
  <conditionalFormatting sqref="F3665">
    <cfRule type="expression" dxfId="4153" priority="1012">
      <formula>F3661&lt;&gt;""</formula>
    </cfRule>
  </conditionalFormatting>
  <conditionalFormatting sqref="C3661:C3665">
    <cfRule type="expression" dxfId="4152" priority="1011">
      <formula>D3661&lt;&gt;""</formula>
    </cfRule>
  </conditionalFormatting>
  <conditionalFormatting sqref="E3661:E3665">
    <cfRule type="expression" dxfId="4151" priority="1010">
      <formula>F3661&lt;&gt;""</formula>
    </cfRule>
  </conditionalFormatting>
  <conditionalFormatting sqref="G3661:G3665">
    <cfRule type="expression" dxfId="4150" priority="1009">
      <formula>H3661&lt;&gt;""</formula>
    </cfRule>
  </conditionalFormatting>
  <conditionalFormatting sqref="H3661:H3665">
    <cfRule type="expression" dxfId="4149" priority="1008">
      <formula>H3661&lt;&gt;""</formula>
    </cfRule>
  </conditionalFormatting>
  <conditionalFormatting sqref="H3661">
    <cfRule type="expression" dxfId="4148" priority="1007">
      <formula>H3661&lt;&gt;""</formula>
    </cfRule>
  </conditionalFormatting>
  <conditionalFormatting sqref="H3665">
    <cfRule type="expression" dxfId="4147" priority="1006">
      <formula>H3661&lt;&gt;""</formula>
    </cfRule>
  </conditionalFormatting>
  <conditionalFormatting sqref="B3645:B3649">
    <cfRule type="expression" dxfId="4146" priority="989">
      <formula>B3645&lt;&gt;""</formula>
    </cfRule>
  </conditionalFormatting>
  <conditionalFormatting sqref="B3651:B3652 C3651:I3651 I3650">
    <cfRule type="expression" dxfId="4145" priority="1005">
      <formula>$B3653&lt;&gt;""</formula>
    </cfRule>
  </conditionalFormatting>
  <conditionalFormatting sqref="B3659:B3660 C3659:I3659 I3658">
    <cfRule type="expression" dxfId="4144" priority="1004">
      <formula>$B3661&lt;&gt;""</formula>
    </cfRule>
  </conditionalFormatting>
  <conditionalFormatting sqref="B3589:B3593">
    <cfRule type="expression" dxfId="4143" priority="1003">
      <formula>B3589&lt;&gt;""</formula>
    </cfRule>
  </conditionalFormatting>
  <conditionalFormatting sqref="B3589">
    <cfRule type="expression" dxfId="4142" priority="1002">
      <formula>B3589&lt;&gt;""</formula>
    </cfRule>
  </conditionalFormatting>
  <conditionalFormatting sqref="B3593">
    <cfRule type="expression" dxfId="4141" priority="1001">
      <formula>B3589&lt;&gt;""</formula>
    </cfRule>
  </conditionalFormatting>
  <conditionalFormatting sqref="C3589:C3593">
    <cfRule type="expression" dxfId="4140" priority="1000">
      <formula>D3589&lt;&gt;""</formula>
    </cfRule>
  </conditionalFormatting>
  <conditionalFormatting sqref="D3589:D3593">
    <cfRule type="expression" dxfId="4139" priority="999">
      <formula>D3589&lt;&gt;""</formula>
    </cfRule>
  </conditionalFormatting>
  <conditionalFormatting sqref="D3589">
    <cfRule type="expression" dxfId="4138" priority="998">
      <formula>D3589&lt;&gt;""</formula>
    </cfRule>
  </conditionalFormatting>
  <conditionalFormatting sqref="D3593">
    <cfRule type="expression" dxfId="4137" priority="997">
      <formula>D3589&lt;&gt;""</formula>
    </cfRule>
  </conditionalFormatting>
  <conditionalFormatting sqref="B3617">
    <cfRule type="expression" dxfId="4136" priority="995">
      <formula>B3617&lt;&gt;""</formula>
    </cfRule>
  </conditionalFormatting>
  <conditionalFormatting sqref="B3621">
    <cfRule type="expression" dxfId="4135" priority="994">
      <formula>B3617&lt;&gt;""</formula>
    </cfRule>
  </conditionalFormatting>
  <conditionalFormatting sqref="C3617:C3621">
    <cfRule type="expression" dxfId="4134" priority="993">
      <formula>D3617&lt;&gt;""</formula>
    </cfRule>
  </conditionalFormatting>
  <conditionalFormatting sqref="D3617:D3621">
    <cfRule type="expression" dxfId="4133" priority="992">
      <formula>D3617&lt;&gt;""</formula>
    </cfRule>
  </conditionalFormatting>
  <conditionalFormatting sqref="D3617">
    <cfRule type="expression" dxfId="4132" priority="991">
      <formula>D3617&lt;&gt;""</formula>
    </cfRule>
  </conditionalFormatting>
  <conditionalFormatting sqref="D3621">
    <cfRule type="expression" dxfId="4131" priority="990">
      <formula>D3617&lt;&gt;""</formula>
    </cfRule>
  </conditionalFormatting>
  <conditionalFormatting sqref="B3645">
    <cfRule type="expression" dxfId="4130" priority="988">
      <formula>B3645&lt;&gt;""</formula>
    </cfRule>
  </conditionalFormatting>
  <conditionalFormatting sqref="B3649">
    <cfRule type="expression" dxfId="4129" priority="987">
      <formula>B3645&lt;&gt;""</formula>
    </cfRule>
  </conditionalFormatting>
  <conditionalFormatting sqref="C3645:C3649">
    <cfRule type="expression" dxfId="4128" priority="986">
      <formula>D3645&lt;&gt;""</formula>
    </cfRule>
  </conditionalFormatting>
  <conditionalFormatting sqref="D3645:D3649">
    <cfRule type="expression" dxfId="4127" priority="985">
      <formula>D3645&lt;&gt;""</formula>
    </cfRule>
  </conditionalFormatting>
  <conditionalFormatting sqref="D3645">
    <cfRule type="expression" dxfId="4126" priority="984">
      <formula>D3645&lt;&gt;""</formula>
    </cfRule>
  </conditionalFormatting>
  <conditionalFormatting sqref="D3649">
    <cfRule type="expression" dxfId="4125" priority="983">
      <formula>D3645&lt;&gt;""</formula>
    </cfRule>
  </conditionalFormatting>
  <conditionalFormatting sqref="B3603:B3604 C3603:I3603 I3602">
    <cfRule type="expression" dxfId="4124" priority="982">
      <formula>$B3605&lt;&gt;""</formula>
    </cfRule>
  </conditionalFormatting>
  <conditionalFormatting sqref="B3595:B3596 C3595:I3595 I3594">
    <cfRule type="expression" dxfId="4123" priority="981">
      <formula>$B3597&lt;&gt;""</formula>
    </cfRule>
  </conditionalFormatting>
  <conditionalFormatting sqref="D3859:D3863">
    <cfRule type="expression" dxfId="4122" priority="951">
      <formula>D3859&lt;&gt;""</formula>
    </cfRule>
  </conditionalFormatting>
  <conditionalFormatting sqref="D3859">
    <cfRule type="expression" dxfId="4121" priority="950">
      <formula>D3859&lt;&gt;""</formula>
    </cfRule>
  </conditionalFormatting>
  <conditionalFormatting sqref="D3863">
    <cfRule type="expression" dxfId="4120" priority="949">
      <formula>D3859&lt;&gt;""</formula>
    </cfRule>
  </conditionalFormatting>
  <conditionalFormatting sqref="I3848:I3849 C3849:H3849 B3849:B3850">
    <cfRule type="expression" dxfId="4119" priority="939">
      <formula>$B3851&lt;&gt;""</formula>
    </cfRule>
  </conditionalFormatting>
  <conditionalFormatting sqref="D3851:D3855">
    <cfRule type="expression" dxfId="4118" priority="973">
      <formula>D3851&lt;&gt;""</formula>
    </cfRule>
  </conditionalFormatting>
  <conditionalFormatting sqref="D3851">
    <cfRule type="expression" dxfId="4117" priority="972">
      <formula>D3851&lt;&gt;""</formula>
    </cfRule>
  </conditionalFormatting>
  <conditionalFormatting sqref="D3855">
    <cfRule type="expression" dxfId="4116" priority="971">
      <formula>D3851&lt;&gt;""</formula>
    </cfRule>
  </conditionalFormatting>
  <conditionalFormatting sqref="C3851:C3855">
    <cfRule type="expression" dxfId="4115" priority="980">
      <formula>D3851&lt;&gt;""</formula>
    </cfRule>
  </conditionalFormatting>
  <conditionalFormatting sqref="E3851:E3855">
    <cfRule type="expression" dxfId="4114" priority="979">
      <formula>F3851&lt;&gt;""</formula>
    </cfRule>
  </conditionalFormatting>
  <conditionalFormatting sqref="G3851:G3855">
    <cfRule type="expression" dxfId="4113" priority="978">
      <formula>H3851&lt;&gt;""</formula>
    </cfRule>
  </conditionalFormatting>
  <conditionalFormatting sqref="I3851:I3855">
    <cfRule type="expression" dxfId="4112" priority="977">
      <formula>B3859&lt;&gt;""</formula>
    </cfRule>
  </conditionalFormatting>
  <conditionalFormatting sqref="B3851:B3855">
    <cfRule type="expression" dxfId="4111" priority="976">
      <formula>B3851&lt;&gt;""</formula>
    </cfRule>
  </conditionalFormatting>
  <conditionalFormatting sqref="B3851">
    <cfRule type="expression" dxfId="4110" priority="975">
      <formula>B3851&lt;&gt;""</formula>
    </cfRule>
  </conditionalFormatting>
  <conditionalFormatting sqref="B3855">
    <cfRule type="expression" dxfId="4109" priority="974">
      <formula>B3851&lt;&gt;""</formula>
    </cfRule>
  </conditionalFormatting>
  <conditionalFormatting sqref="F3851:F3855">
    <cfRule type="expression" dxfId="4108" priority="970">
      <formula>F3851&lt;&gt;""</formula>
    </cfRule>
  </conditionalFormatting>
  <conditionalFormatting sqref="F3851">
    <cfRule type="expression" dxfId="4107" priority="969">
      <formula>F3851&lt;&gt;""</formula>
    </cfRule>
  </conditionalFormatting>
  <conditionalFormatting sqref="F3855">
    <cfRule type="expression" dxfId="4106" priority="968">
      <formula>F3851&lt;&gt;""</formula>
    </cfRule>
  </conditionalFormatting>
  <conditionalFormatting sqref="H3851:H3855">
    <cfRule type="expression" dxfId="4105" priority="967">
      <formula>H3851&lt;&gt;""</formula>
    </cfRule>
  </conditionalFormatting>
  <conditionalFormatting sqref="H3851">
    <cfRule type="expression" dxfId="4104" priority="966">
      <formula>H3851&lt;&gt;""</formula>
    </cfRule>
  </conditionalFormatting>
  <conditionalFormatting sqref="H3855">
    <cfRule type="expression" dxfId="4103" priority="965">
      <formula>H3851&lt;&gt;""</formula>
    </cfRule>
  </conditionalFormatting>
  <conditionalFormatting sqref="F3843:F3847">
    <cfRule type="expression" dxfId="4102" priority="964">
      <formula>F3843&lt;&gt;""</formula>
    </cfRule>
  </conditionalFormatting>
  <conditionalFormatting sqref="F3843">
    <cfRule type="expression" dxfId="4101" priority="963">
      <formula>F3843&lt;&gt;""</formula>
    </cfRule>
  </conditionalFormatting>
  <conditionalFormatting sqref="F3847">
    <cfRule type="expression" dxfId="4100" priority="962">
      <formula>F3843&lt;&gt;""</formula>
    </cfRule>
  </conditionalFormatting>
  <conditionalFormatting sqref="E3843:E3847">
    <cfRule type="expression" dxfId="4099" priority="961">
      <formula>F3843&lt;&gt;""</formula>
    </cfRule>
  </conditionalFormatting>
  <conditionalFormatting sqref="G3843:G3847">
    <cfRule type="expression" dxfId="4098" priority="960">
      <formula>H3843&lt;&gt;""</formula>
    </cfRule>
  </conditionalFormatting>
  <conditionalFormatting sqref="I3843:I3847">
    <cfRule type="expression" dxfId="4097" priority="959">
      <formula>B3851&lt;&gt;""</formula>
    </cfRule>
  </conditionalFormatting>
  <conditionalFormatting sqref="H3843:H3847">
    <cfRule type="expression" dxfId="4096" priority="958">
      <formula>H3843&lt;&gt;""</formula>
    </cfRule>
  </conditionalFormatting>
  <conditionalFormatting sqref="H3843">
    <cfRule type="expression" dxfId="4095" priority="957">
      <formula>H3843&lt;&gt;""</formula>
    </cfRule>
  </conditionalFormatting>
  <conditionalFormatting sqref="H3847">
    <cfRule type="expression" dxfId="4094" priority="956">
      <formula>H3843&lt;&gt;""</formula>
    </cfRule>
  </conditionalFormatting>
  <conditionalFormatting sqref="I3856:I3857 C3857:H3857 B3857:B3858">
    <cfRule type="expression" dxfId="4093" priority="955">
      <formula>$B3859&lt;&gt;""</formula>
    </cfRule>
  </conditionalFormatting>
  <conditionalFormatting sqref="B3859:B3863">
    <cfRule type="expression" dxfId="4092" priority="954">
      <formula>B3859&lt;&gt;""</formula>
    </cfRule>
  </conditionalFormatting>
  <conditionalFormatting sqref="B3859">
    <cfRule type="expression" dxfId="4091" priority="953">
      <formula>B3859&lt;&gt;""</formula>
    </cfRule>
  </conditionalFormatting>
  <conditionalFormatting sqref="B3863">
    <cfRule type="expression" dxfId="4090" priority="952">
      <formula>B3859&lt;&gt;""</formula>
    </cfRule>
  </conditionalFormatting>
  <conditionalFormatting sqref="F3859:F3863">
    <cfRule type="expression" dxfId="4089" priority="948">
      <formula>F3859&lt;&gt;""</formula>
    </cfRule>
  </conditionalFormatting>
  <conditionalFormatting sqref="F3859">
    <cfRule type="expression" dxfId="4088" priority="947">
      <formula>F3859&lt;&gt;""</formula>
    </cfRule>
  </conditionalFormatting>
  <conditionalFormatting sqref="F3863">
    <cfRule type="expression" dxfId="4087" priority="946">
      <formula>F3859&lt;&gt;""</formula>
    </cfRule>
  </conditionalFormatting>
  <conditionalFormatting sqref="C3859:C3863">
    <cfRule type="expression" dxfId="4086" priority="945">
      <formula>D3859&lt;&gt;""</formula>
    </cfRule>
  </conditionalFormatting>
  <conditionalFormatting sqref="E3859:E3863">
    <cfRule type="expression" dxfId="4085" priority="944">
      <formula>F3859&lt;&gt;""</formula>
    </cfRule>
  </conditionalFormatting>
  <conditionalFormatting sqref="G3859:G3863">
    <cfRule type="expression" dxfId="4084" priority="943">
      <formula>H3859&lt;&gt;""</formula>
    </cfRule>
  </conditionalFormatting>
  <conditionalFormatting sqref="H3859:H3863">
    <cfRule type="expression" dxfId="4083" priority="942">
      <formula>H3859&lt;&gt;""</formula>
    </cfRule>
  </conditionalFormatting>
  <conditionalFormatting sqref="H3859">
    <cfRule type="expression" dxfId="4082" priority="941">
      <formula>H3859&lt;&gt;""</formula>
    </cfRule>
  </conditionalFormatting>
  <conditionalFormatting sqref="H3863">
    <cfRule type="expression" dxfId="4081" priority="940">
      <formula>H3859&lt;&gt;""</formula>
    </cfRule>
  </conditionalFormatting>
  <conditionalFormatting sqref="D3831:D3835">
    <cfRule type="expression" dxfId="4080" priority="909">
      <formula>D3831&lt;&gt;""</formula>
    </cfRule>
  </conditionalFormatting>
  <conditionalFormatting sqref="D3831">
    <cfRule type="expression" dxfId="4079" priority="908">
      <formula>D3831&lt;&gt;""</formula>
    </cfRule>
  </conditionalFormatting>
  <conditionalFormatting sqref="D3835">
    <cfRule type="expression" dxfId="4078" priority="907">
      <formula>D3831&lt;&gt;""</formula>
    </cfRule>
  </conditionalFormatting>
  <conditionalFormatting sqref="I3820:I3821 C3821:H3821 B3821:B3822">
    <cfRule type="expression" dxfId="4077" priority="897">
      <formula>$B3823&lt;&gt;""</formula>
    </cfRule>
  </conditionalFormatting>
  <conditionalFormatting sqref="D3823:D3827">
    <cfRule type="expression" dxfId="4076" priority="931">
      <formula>D3823&lt;&gt;""</formula>
    </cfRule>
  </conditionalFormatting>
  <conditionalFormatting sqref="D3823">
    <cfRule type="expression" dxfId="4075" priority="930">
      <formula>D3823&lt;&gt;""</formula>
    </cfRule>
  </conditionalFormatting>
  <conditionalFormatting sqref="D3827">
    <cfRule type="expression" dxfId="4074" priority="929">
      <formula>D3823&lt;&gt;""</formula>
    </cfRule>
  </conditionalFormatting>
  <conditionalFormatting sqref="C3823:C3827">
    <cfRule type="expression" dxfId="4073" priority="938">
      <formula>D3823&lt;&gt;""</formula>
    </cfRule>
  </conditionalFormatting>
  <conditionalFormatting sqref="E3823:E3827">
    <cfRule type="expression" dxfId="4072" priority="937">
      <formula>F3823&lt;&gt;""</formula>
    </cfRule>
  </conditionalFormatting>
  <conditionalFormatting sqref="G3823:G3827">
    <cfRule type="expression" dxfId="4071" priority="936">
      <formula>H3823&lt;&gt;""</formula>
    </cfRule>
  </conditionalFormatting>
  <conditionalFormatting sqref="I3823:I3827">
    <cfRule type="expression" dxfId="4070" priority="935">
      <formula>B3831&lt;&gt;""</formula>
    </cfRule>
  </conditionalFormatting>
  <conditionalFormatting sqref="B3823:B3827">
    <cfRule type="expression" dxfId="4069" priority="934">
      <formula>B3823&lt;&gt;""</formula>
    </cfRule>
  </conditionalFormatting>
  <conditionalFormatting sqref="B3823">
    <cfRule type="expression" dxfId="4068" priority="933">
      <formula>B3823&lt;&gt;""</formula>
    </cfRule>
  </conditionalFormatting>
  <conditionalFormatting sqref="B3827">
    <cfRule type="expression" dxfId="4067" priority="932">
      <formula>B3823&lt;&gt;""</formula>
    </cfRule>
  </conditionalFormatting>
  <conditionalFormatting sqref="F3823:F3827">
    <cfRule type="expression" dxfId="4066" priority="928">
      <formula>F3823&lt;&gt;""</formula>
    </cfRule>
  </conditionalFormatting>
  <conditionalFormatting sqref="F3823">
    <cfRule type="expression" dxfId="4065" priority="927">
      <formula>F3823&lt;&gt;""</formula>
    </cfRule>
  </conditionalFormatting>
  <conditionalFormatting sqref="F3827">
    <cfRule type="expression" dxfId="4064" priority="926">
      <formula>F3823&lt;&gt;""</formula>
    </cfRule>
  </conditionalFormatting>
  <conditionalFormatting sqref="H3823:H3827">
    <cfRule type="expression" dxfId="4063" priority="925">
      <formula>H3823&lt;&gt;""</formula>
    </cfRule>
  </conditionalFormatting>
  <conditionalFormatting sqref="H3823">
    <cfRule type="expression" dxfId="4062" priority="924">
      <formula>H3823&lt;&gt;""</formula>
    </cfRule>
  </conditionalFormatting>
  <conditionalFormatting sqref="H3827">
    <cfRule type="expression" dxfId="4061" priority="923">
      <formula>H3823&lt;&gt;""</formula>
    </cfRule>
  </conditionalFormatting>
  <conditionalFormatting sqref="F3815:F3819">
    <cfRule type="expression" dxfId="4060" priority="922">
      <formula>F3815&lt;&gt;""</formula>
    </cfRule>
  </conditionalFormatting>
  <conditionalFormatting sqref="F3815">
    <cfRule type="expression" dxfId="4059" priority="921">
      <formula>F3815&lt;&gt;""</formula>
    </cfRule>
  </conditionalFormatting>
  <conditionalFormatting sqref="F3819">
    <cfRule type="expression" dxfId="4058" priority="920">
      <formula>F3815&lt;&gt;""</formula>
    </cfRule>
  </conditionalFormatting>
  <conditionalFormatting sqref="E3815:E3819">
    <cfRule type="expression" dxfId="4057" priority="919">
      <formula>F3815&lt;&gt;""</formula>
    </cfRule>
  </conditionalFormatting>
  <conditionalFormatting sqref="G3815:G3819">
    <cfRule type="expression" dxfId="4056" priority="918">
      <formula>H3815&lt;&gt;""</formula>
    </cfRule>
  </conditionalFormatting>
  <conditionalFormatting sqref="I3815:I3819">
    <cfRule type="expression" dxfId="4055" priority="917">
      <formula>B3823&lt;&gt;""</formula>
    </cfRule>
  </conditionalFormatting>
  <conditionalFormatting sqref="H3815:H3819">
    <cfRule type="expression" dxfId="4054" priority="916">
      <formula>H3815&lt;&gt;""</formula>
    </cfRule>
  </conditionalFormatting>
  <conditionalFormatting sqref="H3815">
    <cfRule type="expression" dxfId="4053" priority="915">
      <formula>H3815&lt;&gt;""</formula>
    </cfRule>
  </conditionalFormatting>
  <conditionalFormatting sqref="H3819">
    <cfRule type="expression" dxfId="4052" priority="914">
      <formula>H3815&lt;&gt;""</formula>
    </cfRule>
  </conditionalFormatting>
  <conditionalFormatting sqref="I3828:I3829 C3829:H3829 B3829:B3830">
    <cfRule type="expression" dxfId="4051" priority="913">
      <formula>$B3831&lt;&gt;""</formula>
    </cfRule>
  </conditionalFormatting>
  <conditionalFormatting sqref="B3831:B3835">
    <cfRule type="expression" dxfId="4050" priority="912">
      <formula>B3831&lt;&gt;""</formula>
    </cfRule>
  </conditionalFormatting>
  <conditionalFormatting sqref="B3831">
    <cfRule type="expression" dxfId="4049" priority="911">
      <formula>B3831&lt;&gt;""</formula>
    </cfRule>
  </conditionalFormatting>
  <conditionalFormatting sqref="B3835">
    <cfRule type="expression" dxfId="4048" priority="910">
      <formula>B3831&lt;&gt;""</formula>
    </cfRule>
  </conditionalFormatting>
  <conditionalFormatting sqref="F3831:F3835">
    <cfRule type="expression" dxfId="4047" priority="906">
      <formula>F3831&lt;&gt;""</formula>
    </cfRule>
  </conditionalFormatting>
  <conditionalFormatting sqref="F3831">
    <cfRule type="expression" dxfId="4046" priority="905">
      <formula>F3831&lt;&gt;""</formula>
    </cfRule>
  </conditionalFormatting>
  <conditionalFormatting sqref="F3835">
    <cfRule type="expression" dxfId="4045" priority="904">
      <formula>F3831&lt;&gt;""</formula>
    </cfRule>
  </conditionalFormatting>
  <conditionalFormatting sqref="C3831:C3835">
    <cfRule type="expression" dxfId="4044" priority="903">
      <formula>D3831&lt;&gt;""</formula>
    </cfRule>
  </conditionalFormatting>
  <conditionalFormatting sqref="E3831:E3835">
    <cfRule type="expression" dxfId="4043" priority="902">
      <formula>F3831&lt;&gt;""</formula>
    </cfRule>
  </conditionalFormatting>
  <conditionalFormatting sqref="G3831:G3835">
    <cfRule type="expression" dxfId="4042" priority="901">
      <formula>H3831&lt;&gt;""</formula>
    </cfRule>
  </conditionalFormatting>
  <conditionalFormatting sqref="H3831:H3835">
    <cfRule type="expression" dxfId="4041" priority="900">
      <formula>H3831&lt;&gt;""</formula>
    </cfRule>
  </conditionalFormatting>
  <conditionalFormatting sqref="H3831">
    <cfRule type="expression" dxfId="4040" priority="899">
      <formula>H3831&lt;&gt;""</formula>
    </cfRule>
  </conditionalFormatting>
  <conditionalFormatting sqref="H3835">
    <cfRule type="expression" dxfId="4039" priority="898">
      <formula>H3831&lt;&gt;""</formula>
    </cfRule>
  </conditionalFormatting>
  <conditionalFormatting sqref="D3803:D3807">
    <cfRule type="expression" dxfId="4038" priority="867">
      <formula>D3803&lt;&gt;""</formula>
    </cfRule>
  </conditionalFormatting>
  <conditionalFormatting sqref="D3803">
    <cfRule type="expression" dxfId="4037" priority="866">
      <formula>D3803&lt;&gt;""</formula>
    </cfRule>
  </conditionalFormatting>
  <conditionalFormatting sqref="D3807">
    <cfRule type="expression" dxfId="4036" priority="865">
      <formula>D3803&lt;&gt;""</formula>
    </cfRule>
  </conditionalFormatting>
  <conditionalFormatting sqref="I3792:I3793 C3793:H3793 B3793:B3794">
    <cfRule type="expression" dxfId="4035" priority="855">
      <formula>$B3795&lt;&gt;""</formula>
    </cfRule>
  </conditionalFormatting>
  <conditionalFormatting sqref="D3795:D3799">
    <cfRule type="expression" dxfId="4034" priority="889">
      <formula>D3795&lt;&gt;""</formula>
    </cfRule>
  </conditionalFormatting>
  <conditionalFormatting sqref="D3795">
    <cfRule type="expression" dxfId="4033" priority="888">
      <formula>D3795&lt;&gt;""</formula>
    </cfRule>
  </conditionalFormatting>
  <conditionalFormatting sqref="D3799">
    <cfRule type="expression" dxfId="4032" priority="887">
      <formula>D3795&lt;&gt;""</formula>
    </cfRule>
  </conditionalFormatting>
  <conditionalFormatting sqref="C3795:C3799">
    <cfRule type="expression" dxfId="4031" priority="896">
      <formula>D3795&lt;&gt;""</formula>
    </cfRule>
  </conditionalFormatting>
  <conditionalFormatting sqref="E3795:E3799">
    <cfRule type="expression" dxfId="4030" priority="895">
      <formula>F3795&lt;&gt;""</formula>
    </cfRule>
  </conditionalFormatting>
  <conditionalFormatting sqref="G3795:G3799">
    <cfRule type="expression" dxfId="4029" priority="894">
      <formula>H3795&lt;&gt;""</formula>
    </cfRule>
  </conditionalFormatting>
  <conditionalFormatting sqref="I3795:I3799">
    <cfRule type="expression" dxfId="4028" priority="893">
      <formula>B3803&lt;&gt;""</formula>
    </cfRule>
  </conditionalFormatting>
  <conditionalFormatting sqref="B3795:B3799">
    <cfRule type="expression" dxfId="4027" priority="892">
      <formula>B3795&lt;&gt;""</formula>
    </cfRule>
  </conditionalFormatting>
  <conditionalFormatting sqref="B3795">
    <cfRule type="expression" dxfId="4026" priority="891">
      <formula>B3795&lt;&gt;""</formula>
    </cfRule>
  </conditionalFormatting>
  <conditionalFormatting sqref="B3799">
    <cfRule type="expression" dxfId="4025" priority="890">
      <formula>B3795&lt;&gt;""</formula>
    </cfRule>
  </conditionalFormatting>
  <conditionalFormatting sqref="F3795:F3799">
    <cfRule type="expression" dxfId="4024" priority="886">
      <formula>F3795&lt;&gt;""</formula>
    </cfRule>
  </conditionalFormatting>
  <conditionalFormatting sqref="F3795">
    <cfRule type="expression" dxfId="4023" priority="885">
      <formula>F3795&lt;&gt;""</formula>
    </cfRule>
  </conditionalFormatting>
  <conditionalFormatting sqref="F3799">
    <cfRule type="expression" dxfId="4022" priority="884">
      <formula>F3795&lt;&gt;""</formula>
    </cfRule>
  </conditionalFormatting>
  <conditionalFormatting sqref="H3795:H3799">
    <cfRule type="expression" dxfId="4021" priority="883">
      <formula>H3795&lt;&gt;""</formula>
    </cfRule>
  </conditionalFormatting>
  <conditionalFormatting sqref="H3795">
    <cfRule type="expression" dxfId="4020" priority="882">
      <formula>H3795&lt;&gt;""</formula>
    </cfRule>
  </conditionalFormatting>
  <conditionalFormatting sqref="H3799">
    <cfRule type="expression" dxfId="4019" priority="881">
      <formula>H3795&lt;&gt;""</formula>
    </cfRule>
  </conditionalFormatting>
  <conditionalFormatting sqref="F3787:F3791">
    <cfRule type="expression" dxfId="4018" priority="880">
      <formula>F3787&lt;&gt;""</formula>
    </cfRule>
  </conditionalFormatting>
  <conditionalFormatting sqref="F3787">
    <cfRule type="expression" dxfId="4017" priority="879">
      <formula>F3787&lt;&gt;""</formula>
    </cfRule>
  </conditionalFormatting>
  <conditionalFormatting sqref="F3791">
    <cfRule type="expression" dxfId="4016" priority="878">
      <formula>F3787&lt;&gt;""</formula>
    </cfRule>
  </conditionalFormatting>
  <conditionalFormatting sqref="E3787:E3791">
    <cfRule type="expression" dxfId="4015" priority="877">
      <formula>F3787&lt;&gt;""</formula>
    </cfRule>
  </conditionalFormatting>
  <conditionalFormatting sqref="G3787:G3791">
    <cfRule type="expression" dxfId="4014" priority="876">
      <formula>H3787&lt;&gt;""</formula>
    </cfRule>
  </conditionalFormatting>
  <conditionalFormatting sqref="I3787:I3791">
    <cfRule type="expression" dxfId="4013" priority="875">
      <formula>B3795&lt;&gt;""</formula>
    </cfRule>
  </conditionalFormatting>
  <conditionalFormatting sqref="H3787:H3791">
    <cfRule type="expression" dxfId="4012" priority="874">
      <formula>H3787&lt;&gt;""</formula>
    </cfRule>
  </conditionalFormatting>
  <conditionalFormatting sqref="H3787">
    <cfRule type="expression" dxfId="4011" priority="873">
      <formula>H3787&lt;&gt;""</formula>
    </cfRule>
  </conditionalFormatting>
  <conditionalFormatting sqref="H3791">
    <cfRule type="expression" dxfId="4010" priority="872">
      <formula>H3787&lt;&gt;""</formula>
    </cfRule>
  </conditionalFormatting>
  <conditionalFormatting sqref="I3800:I3801 C3801:H3801 B3801:B3802">
    <cfRule type="expression" dxfId="4009" priority="871">
      <formula>$B3803&lt;&gt;""</formula>
    </cfRule>
  </conditionalFormatting>
  <conditionalFormatting sqref="B3803:B3807">
    <cfRule type="expression" dxfId="4008" priority="870">
      <formula>B3803&lt;&gt;""</formula>
    </cfRule>
  </conditionalFormatting>
  <conditionalFormatting sqref="B3803">
    <cfRule type="expression" dxfId="4007" priority="869">
      <formula>B3803&lt;&gt;""</formula>
    </cfRule>
  </conditionalFormatting>
  <conditionalFormatting sqref="B3807">
    <cfRule type="expression" dxfId="4006" priority="868">
      <formula>B3803&lt;&gt;""</formula>
    </cfRule>
  </conditionalFormatting>
  <conditionalFormatting sqref="F3803:F3807">
    <cfRule type="expression" dxfId="4005" priority="864">
      <formula>F3803&lt;&gt;""</formula>
    </cfRule>
  </conditionalFormatting>
  <conditionalFormatting sqref="F3803">
    <cfRule type="expression" dxfId="4004" priority="863">
      <formula>F3803&lt;&gt;""</formula>
    </cfRule>
  </conditionalFormatting>
  <conditionalFormatting sqref="F3807">
    <cfRule type="expression" dxfId="4003" priority="862">
      <formula>F3803&lt;&gt;""</formula>
    </cfRule>
  </conditionalFormatting>
  <conditionalFormatting sqref="C3803:C3807">
    <cfRule type="expression" dxfId="4002" priority="861">
      <formula>D3803&lt;&gt;""</formula>
    </cfRule>
  </conditionalFormatting>
  <conditionalFormatting sqref="E3803:E3807">
    <cfRule type="expression" dxfId="4001" priority="860">
      <formula>F3803&lt;&gt;""</formula>
    </cfRule>
  </conditionalFormatting>
  <conditionalFormatting sqref="G3803:G3807">
    <cfRule type="expression" dxfId="4000" priority="859">
      <formula>H3803&lt;&gt;""</formula>
    </cfRule>
  </conditionalFormatting>
  <conditionalFormatting sqref="H3803:H3807">
    <cfRule type="expression" dxfId="3999" priority="858">
      <formula>H3803&lt;&gt;""</formula>
    </cfRule>
  </conditionalFormatting>
  <conditionalFormatting sqref="H3803">
    <cfRule type="expression" dxfId="3998" priority="857">
      <formula>H3803&lt;&gt;""</formula>
    </cfRule>
  </conditionalFormatting>
  <conditionalFormatting sqref="H3807">
    <cfRule type="expression" dxfId="3997" priority="856">
      <formula>H3803&lt;&gt;""</formula>
    </cfRule>
  </conditionalFormatting>
  <conditionalFormatting sqref="D3775:D3779">
    <cfRule type="expression" dxfId="3996" priority="825">
      <formula>D3775&lt;&gt;""</formula>
    </cfRule>
  </conditionalFormatting>
  <conditionalFormatting sqref="D3775">
    <cfRule type="expression" dxfId="3995" priority="824">
      <formula>D3775&lt;&gt;""</formula>
    </cfRule>
  </conditionalFormatting>
  <conditionalFormatting sqref="D3779">
    <cfRule type="expression" dxfId="3994" priority="823">
      <formula>D3775&lt;&gt;""</formula>
    </cfRule>
  </conditionalFormatting>
  <conditionalFormatting sqref="I3764:I3765 C3765:H3765 B3765:B3766">
    <cfRule type="expression" dxfId="3993" priority="813">
      <formula>$B3767&lt;&gt;""</formula>
    </cfRule>
  </conditionalFormatting>
  <conditionalFormatting sqref="D3767:D3771">
    <cfRule type="expression" dxfId="3992" priority="847">
      <formula>D3767&lt;&gt;""</formula>
    </cfRule>
  </conditionalFormatting>
  <conditionalFormatting sqref="D3767">
    <cfRule type="expression" dxfId="3991" priority="846">
      <formula>D3767&lt;&gt;""</formula>
    </cfRule>
  </conditionalFormatting>
  <conditionalFormatting sqref="D3771">
    <cfRule type="expression" dxfId="3990" priority="845">
      <formula>D3767&lt;&gt;""</formula>
    </cfRule>
  </conditionalFormatting>
  <conditionalFormatting sqref="C3767:C3771">
    <cfRule type="expression" dxfId="3989" priority="854">
      <formula>D3767&lt;&gt;""</formula>
    </cfRule>
  </conditionalFormatting>
  <conditionalFormatting sqref="E3767:E3771">
    <cfRule type="expression" dxfId="3988" priority="853">
      <formula>F3767&lt;&gt;""</formula>
    </cfRule>
  </conditionalFormatting>
  <conditionalFormatting sqref="G3767:G3771">
    <cfRule type="expression" dxfId="3987" priority="852">
      <formula>H3767&lt;&gt;""</formula>
    </cfRule>
  </conditionalFormatting>
  <conditionalFormatting sqref="I3767:I3771">
    <cfRule type="expression" dxfId="3986" priority="851">
      <formula>B3775&lt;&gt;""</formula>
    </cfRule>
  </conditionalFormatting>
  <conditionalFormatting sqref="B3767:B3771">
    <cfRule type="expression" dxfId="3985" priority="850">
      <formula>B3767&lt;&gt;""</formula>
    </cfRule>
  </conditionalFormatting>
  <conditionalFormatting sqref="B3767">
    <cfRule type="expression" dxfId="3984" priority="849">
      <formula>B3767&lt;&gt;""</formula>
    </cfRule>
  </conditionalFormatting>
  <conditionalFormatting sqref="B3771">
    <cfRule type="expression" dxfId="3983" priority="848">
      <formula>B3767&lt;&gt;""</formula>
    </cfRule>
  </conditionalFormatting>
  <conditionalFormatting sqref="F3767:F3771">
    <cfRule type="expression" dxfId="3982" priority="844">
      <formula>F3767&lt;&gt;""</formula>
    </cfRule>
  </conditionalFormatting>
  <conditionalFormatting sqref="F3767">
    <cfRule type="expression" dxfId="3981" priority="843">
      <formula>F3767&lt;&gt;""</formula>
    </cfRule>
  </conditionalFormatting>
  <conditionalFormatting sqref="F3771">
    <cfRule type="expression" dxfId="3980" priority="842">
      <formula>F3767&lt;&gt;""</formula>
    </cfRule>
  </conditionalFormatting>
  <conditionalFormatting sqref="H3767:H3771">
    <cfRule type="expression" dxfId="3979" priority="841">
      <formula>H3767&lt;&gt;""</formula>
    </cfRule>
  </conditionalFormatting>
  <conditionalFormatting sqref="H3767">
    <cfRule type="expression" dxfId="3978" priority="840">
      <formula>H3767&lt;&gt;""</formula>
    </cfRule>
  </conditionalFormatting>
  <conditionalFormatting sqref="H3771">
    <cfRule type="expression" dxfId="3977" priority="839">
      <formula>H3767&lt;&gt;""</formula>
    </cfRule>
  </conditionalFormatting>
  <conditionalFormatting sqref="F3759:F3763">
    <cfRule type="expression" dxfId="3976" priority="838">
      <formula>F3759&lt;&gt;""</formula>
    </cfRule>
  </conditionalFormatting>
  <conditionalFormatting sqref="F3759">
    <cfRule type="expression" dxfId="3975" priority="837">
      <formula>F3759&lt;&gt;""</formula>
    </cfRule>
  </conditionalFormatting>
  <conditionalFormatting sqref="F3763">
    <cfRule type="expression" dxfId="3974" priority="836">
      <formula>F3759&lt;&gt;""</formula>
    </cfRule>
  </conditionalFormatting>
  <conditionalFormatting sqref="E3759:E3763">
    <cfRule type="expression" dxfId="3973" priority="835">
      <formula>F3759&lt;&gt;""</formula>
    </cfRule>
  </conditionalFormatting>
  <conditionalFormatting sqref="G3759:G3763">
    <cfRule type="expression" dxfId="3972" priority="834">
      <formula>H3759&lt;&gt;""</formula>
    </cfRule>
  </conditionalFormatting>
  <conditionalFormatting sqref="I3759:I3763">
    <cfRule type="expression" dxfId="3971" priority="833">
      <formula>B3767&lt;&gt;""</formula>
    </cfRule>
  </conditionalFormatting>
  <conditionalFormatting sqref="H3759:H3763">
    <cfRule type="expression" dxfId="3970" priority="832">
      <formula>H3759&lt;&gt;""</formula>
    </cfRule>
  </conditionalFormatting>
  <conditionalFormatting sqref="H3759">
    <cfRule type="expression" dxfId="3969" priority="831">
      <formula>H3759&lt;&gt;""</formula>
    </cfRule>
  </conditionalFormatting>
  <conditionalFormatting sqref="H3763">
    <cfRule type="expression" dxfId="3968" priority="830">
      <formula>H3759&lt;&gt;""</formula>
    </cfRule>
  </conditionalFormatting>
  <conditionalFormatting sqref="I3772:I3773 C3773:H3773 B3773:B3774">
    <cfRule type="expression" dxfId="3967" priority="829">
      <formula>$B3775&lt;&gt;""</formula>
    </cfRule>
  </conditionalFormatting>
  <conditionalFormatting sqref="B3775:B3779">
    <cfRule type="expression" dxfId="3966" priority="828">
      <formula>B3775&lt;&gt;""</formula>
    </cfRule>
  </conditionalFormatting>
  <conditionalFormatting sqref="B3775">
    <cfRule type="expression" dxfId="3965" priority="827">
      <formula>B3775&lt;&gt;""</formula>
    </cfRule>
  </conditionalFormatting>
  <conditionalFormatting sqref="B3779">
    <cfRule type="expression" dxfId="3964" priority="826">
      <formula>B3775&lt;&gt;""</formula>
    </cfRule>
  </conditionalFormatting>
  <conditionalFormatting sqref="F3775:F3779">
    <cfRule type="expression" dxfId="3963" priority="822">
      <formula>F3775&lt;&gt;""</formula>
    </cfRule>
  </conditionalFormatting>
  <conditionalFormatting sqref="F3775">
    <cfRule type="expression" dxfId="3962" priority="821">
      <formula>F3775&lt;&gt;""</formula>
    </cfRule>
  </conditionalFormatting>
  <conditionalFormatting sqref="F3779">
    <cfRule type="expression" dxfId="3961" priority="820">
      <formula>F3775&lt;&gt;""</formula>
    </cfRule>
  </conditionalFormatting>
  <conditionalFormatting sqref="C3775:C3779">
    <cfRule type="expression" dxfId="3960" priority="819">
      <formula>D3775&lt;&gt;""</formula>
    </cfRule>
  </conditionalFormatting>
  <conditionalFormatting sqref="E3775:E3779">
    <cfRule type="expression" dxfId="3959" priority="818">
      <formula>F3775&lt;&gt;""</formula>
    </cfRule>
  </conditionalFormatting>
  <conditionalFormatting sqref="G3775:G3779">
    <cfRule type="expression" dxfId="3958" priority="817">
      <formula>H3775&lt;&gt;""</formula>
    </cfRule>
  </conditionalFormatting>
  <conditionalFormatting sqref="H3775:H3779">
    <cfRule type="expression" dxfId="3957" priority="816">
      <formula>H3775&lt;&gt;""</formula>
    </cfRule>
  </conditionalFormatting>
  <conditionalFormatting sqref="H3775">
    <cfRule type="expression" dxfId="3956" priority="815">
      <formula>H3775&lt;&gt;""</formula>
    </cfRule>
  </conditionalFormatting>
  <conditionalFormatting sqref="H3779">
    <cfRule type="expression" dxfId="3955" priority="814">
      <formula>H3775&lt;&gt;""</formula>
    </cfRule>
  </conditionalFormatting>
  <conditionalFormatting sqref="D3747:D3751">
    <cfRule type="expression" dxfId="3954" priority="783">
      <formula>D3747&lt;&gt;""</formula>
    </cfRule>
  </conditionalFormatting>
  <conditionalFormatting sqref="D3747">
    <cfRule type="expression" dxfId="3953" priority="782">
      <formula>D3747&lt;&gt;""</formula>
    </cfRule>
  </conditionalFormatting>
  <conditionalFormatting sqref="D3751">
    <cfRule type="expression" dxfId="3952" priority="781">
      <formula>D3747&lt;&gt;""</formula>
    </cfRule>
  </conditionalFormatting>
  <conditionalFormatting sqref="I3736:I3737 C3737:H3737 B3737:B3738">
    <cfRule type="expression" dxfId="3951" priority="771">
      <formula>$B3739&lt;&gt;""</formula>
    </cfRule>
  </conditionalFormatting>
  <conditionalFormatting sqref="D3739:D3743">
    <cfRule type="expression" dxfId="3950" priority="805">
      <formula>D3739&lt;&gt;""</formula>
    </cfRule>
  </conditionalFormatting>
  <conditionalFormatting sqref="D3739">
    <cfRule type="expression" dxfId="3949" priority="804">
      <formula>D3739&lt;&gt;""</formula>
    </cfRule>
  </conditionalFormatting>
  <conditionalFormatting sqref="D3743">
    <cfRule type="expression" dxfId="3948" priority="803">
      <formula>D3739&lt;&gt;""</formula>
    </cfRule>
  </conditionalFormatting>
  <conditionalFormatting sqref="C3739:C3743">
    <cfRule type="expression" dxfId="3947" priority="812">
      <formula>D3739&lt;&gt;""</formula>
    </cfRule>
  </conditionalFormatting>
  <conditionalFormatting sqref="E3739:E3743">
    <cfRule type="expression" dxfId="3946" priority="811">
      <formula>F3739&lt;&gt;""</formula>
    </cfRule>
  </conditionalFormatting>
  <conditionalFormatting sqref="G3739:G3743">
    <cfRule type="expression" dxfId="3945" priority="810">
      <formula>H3739&lt;&gt;""</formula>
    </cfRule>
  </conditionalFormatting>
  <conditionalFormatting sqref="I3739:I3743">
    <cfRule type="expression" dxfId="3944" priority="809">
      <formula>B3747&lt;&gt;""</formula>
    </cfRule>
  </conditionalFormatting>
  <conditionalFormatting sqref="B3739:B3743">
    <cfRule type="expression" dxfId="3943" priority="808">
      <formula>B3739&lt;&gt;""</formula>
    </cfRule>
  </conditionalFormatting>
  <conditionalFormatting sqref="B3739">
    <cfRule type="expression" dxfId="3942" priority="807">
      <formula>B3739&lt;&gt;""</formula>
    </cfRule>
  </conditionalFormatting>
  <conditionalFormatting sqref="B3743">
    <cfRule type="expression" dxfId="3941" priority="806">
      <formula>B3739&lt;&gt;""</formula>
    </cfRule>
  </conditionalFormatting>
  <conditionalFormatting sqref="F3739:F3743">
    <cfRule type="expression" dxfId="3940" priority="802">
      <formula>F3739&lt;&gt;""</formula>
    </cfRule>
  </conditionalFormatting>
  <conditionalFormatting sqref="F3739">
    <cfRule type="expression" dxfId="3939" priority="801">
      <formula>F3739&lt;&gt;""</formula>
    </cfRule>
  </conditionalFormatting>
  <conditionalFormatting sqref="F3743">
    <cfRule type="expression" dxfId="3938" priority="800">
      <formula>F3739&lt;&gt;""</formula>
    </cfRule>
  </conditionalFormatting>
  <conditionalFormatting sqref="H3739:H3743">
    <cfRule type="expression" dxfId="3937" priority="799">
      <formula>H3739&lt;&gt;""</formula>
    </cfRule>
  </conditionalFormatting>
  <conditionalFormatting sqref="H3739">
    <cfRule type="expression" dxfId="3936" priority="798">
      <formula>H3739&lt;&gt;""</formula>
    </cfRule>
  </conditionalFormatting>
  <conditionalFormatting sqref="H3743">
    <cfRule type="expression" dxfId="3935" priority="797">
      <formula>H3739&lt;&gt;""</formula>
    </cfRule>
  </conditionalFormatting>
  <conditionalFormatting sqref="F3731:F3735">
    <cfRule type="expression" dxfId="3934" priority="796">
      <formula>F3731&lt;&gt;""</formula>
    </cfRule>
  </conditionalFormatting>
  <conditionalFormatting sqref="F3731">
    <cfRule type="expression" dxfId="3933" priority="795">
      <formula>F3731&lt;&gt;""</formula>
    </cfRule>
  </conditionalFormatting>
  <conditionalFormatting sqref="F3735">
    <cfRule type="expression" dxfId="3932" priority="794">
      <formula>F3731&lt;&gt;""</formula>
    </cfRule>
  </conditionalFormatting>
  <conditionalFormatting sqref="E3731:E3735">
    <cfRule type="expression" dxfId="3931" priority="793">
      <formula>F3731&lt;&gt;""</formula>
    </cfRule>
  </conditionalFormatting>
  <conditionalFormatting sqref="G3731:G3735">
    <cfRule type="expression" dxfId="3930" priority="792">
      <formula>H3731&lt;&gt;""</formula>
    </cfRule>
  </conditionalFormatting>
  <conditionalFormatting sqref="I3731:I3735">
    <cfRule type="expression" dxfId="3929" priority="791">
      <formula>B3739&lt;&gt;""</formula>
    </cfRule>
  </conditionalFormatting>
  <conditionalFormatting sqref="H3731:H3735">
    <cfRule type="expression" dxfId="3928" priority="790">
      <formula>H3731&lt;&gt;""</formula>
    </cfRule>
  </conditionalFormatting>
  <conditionalFormatting sqref="H3731">
    <cfRule type="expression" dxfId="3927" priority="789">
      <formula>H3731&lt;&gt;""</formula>
    </cfRule>
  </conditionalFormatting>
  <conditionalFormatting sqref="H3735">
    <cfRule type="expression" dxfId="3926" priority="788">
      <formula>H3731&lt;&gt;""</formula>
    </cfRule>
  </conditionalFormatting>
  <conditionalFormatting sqref="I3744:I3745 C3745:H3745 B3745:B3746">
    <cfRule type="expression" dxfId="3925" priority="787">
      <formula>$B3747&lt;&gt;""</formula>
    </cfRule>
  </conditionalFormatting>
  <conditionalFormatting sqref="B3747:B3751">
    <cfRule type="expression" dxfId="3924" priority="786">
      <formula>B3747&lt;&gt;""</formula>
    </cfRule>
  </conditionalFormatting>
  <conditionalFormatting sqref="B3747">
    <cfRule type="expression" dxfId="3923" priority="785">
      <formula>B3747&lt;&gt;""</formula>
    </cfRule>
  </conditionalFormatting>
  <conditionalFormatting sqref="B3751">
    <cfRule type="expression" dxfId="3922" priority="784">
      <formula>B3747&lt;&gt;""</formula>
    </cfRule>
  </conditionalFormatting>
  <conditionalFormatting sqref="F3747:F3751">
    <cfRule type="expression" dxfId="3921" priority="780">
      <formula>F3747&lt;&gt;""</formula>
    </cfRule>
  </conditionalFormatting>
  <conditionalFormatting sqref="F3747">
    <cfRule type="expression" dxfId="3920" priority="779">
      <formula>F3747&lt;&gt;""</formula>
    </cfRule>
  </conditionalFormatting>
  <conditionalFormatting sqref="F3751">
    <cfRule type="expression" dxfId="3919" priority="778">
      <formula>F3747&lt;&gt;""</formula>
    </cfRule>
  </conditionalFormatting>
  <conditionalFormatting sqref="C3747:C3751">
    <cfRule type="expression" dxfId="3918" priority="777">
      <formula>D3747&lt;&gt;""</formula>
    </cfRule>
  </conditionalFormatting>
  <conditionalFormatting sqref="E3747:E3751">
    <cfRule type="expression" dxfId="3917" priority="776">
      <formula>F3747&lt;&gt;""</formula>
    </cfRule>
  </conditionalFormatting>
  <conditionalFormatting sqref="G3747:G3751">
    <cfRule type="expression" dxfId="3916" priority="775">
      <formula>H3747&lt;&gt;""</formula>
    </cfRule>
  </conditionalFormatting>
  <conditionalFormatting sqref="H3747:H3751">
    <cfRule type="expression" dxfId="3915" priority="774">
      <formula>H3747&lt;&gt;""</formula>
    </cfRule>
  </conditionalFormatting>
  <conditionalFormatting sqref="H3747">
    <cfRule type="expression" dxfId="3914" priority="773">
      <formula>H3747&lt;&gt;""</formula>
    </cfRule>
  </conditionalFormatting>
  <conditionalFormatting sqref="H3751">
    <cfRule type="expression" dxfId="3913" priority="772">
      <formula>H3747&lt;&gt;""</formula>
    </cfRule>
  </conditionalFormatting>
  <conditionalFormatting sqref="D3719:D3723">
    <cfRule type="expression" dxfId="3912" priority="741">
      <formula>D3719&lt;&gt;""</formula>
    </cfRule>
  </conditionalFormatting>
  <conditionalFormatting sqref="D3719">
    <cfRule type="expression" dxfId="3911" priority="740">
      <formula>D3719&lt;&gt;""</formula>
    </cfRule>
  </conditionalFormatting>
  <conditionalFormatting sqref="D3723">
    <cfRule type="expression" dxfId="3910" priority="739">
      <formula>D3719&lt;&gt;""</formula>
    </cfRule>
  </conditionalFormatting>
  <conditionalFormatting sqref="I3708:I3709 C3709:H3709 B3709:B3710">
    <cfRule type="expression" dxfId="3909" priority="729">
      <formula>$B3711&lt;&gt;""</formula>
    </cfRule>
  </conditionalFormatting>
  <conditionalFormatting sqref="D3711:D3715">
    <cfRule type="expression" dxfId="3908" priority="763">
      <formula>D3711&lt;&gt;""</formula>
    </cfRule>
  </conditionalFormatting>
  <conditionalFormatting sqref="D3711">
    <cfRule type="expression" dxfId="3907" priority="762">
      <formula>D3711&lt;&gt;""</formula>
    </cfRule>
  </conditionalFormatting>
  <conditionalFormatting sqref="D3715">
    <cfRule type="expression" dxfId="3906" priority="761">
      <formula>D3711&lt;&gt;""</formula>
    </cfRule>
  </conditionalFormatting>
  <conditionalFormatting sqref="C3711:C3715">
    <cfRule type="expression" dxfId="3905" priority="770">
      <formula>D3711&lt;&gt;""</formula>
    </cfRule>
  </conditionalFormatting>
  <conditionalFormatting sqref="E3711:E3715">
    <cfRule type="expression" dxfId="3904" priority="769">
      <formula>F3711&lt;&gt;""</formula>
    </cfRule>
  </conditionalFormatting>
  <conditionalFormatting sqref="G3711:G3715">
    <cfRule type="expression" dxfId="3903" priority="768">
      <formula>H3711&lt;&gt;""</formula>
    </cfRule>
  </conditionalFormatting>
  <conditionalFormatting sqref="I3711:I3715">
    <cfRule type="expression" dxfId="3902" priority="767">
      <formula>B3719&lt;&gt;""</formula>
    </cfRule>
  </conditionalFormatting>
  <conditionalFormatting sqref="B3711:B3715">
    <cfRule type="expression" dxfId="3901" priority="766">
      <formula>B3711&lt;&gt;""</formula>
    </cfRule>
  </conditionalFormatting>
  <conditionalFormatting sqref="B3711">
    <cfRule type="expression" dxfId="3900" priority="765">
      <formula>B3711&lt;&gt;""</formula>
    </cfRule>
  </conditionalFormatting>
  <conditionalFormatting sqref="B3715">
    <cfRule type="expression" dxfId="3899" priority="764">
      <formula>B3711&lt;&gt;""</formula>
    </cfRule>
  </conditionalFormatting>
  <conditionalFormatting sqref="F3711:F3715">
    <cfRule type="expression" dxfId="3898" priority="760">
      <formula>F3711&lt;&gt;""</formula>
    </cfRule>
  </conditionalFormatting>
  <conditionalFormatting sqref="F3711">
    <cfRule type="expression" dxfId="3897" priority="759">
      <formula>F3711&lt;&gt;""</formula>
    </cfRule>
  </conditionalFormatting>
  <conditionalFormatting sqref="F3715">
    <cfRule type="expression" dxfId="3896" priority="758">
      <formula>F3711&lt;&gt;""</formula>
    </cfRule>
  </conditionalFormatting>
  <conditionalFormatting sqref="H3711:H3715">
    <cfRule type="expression" dxfId="3895" priority="757">
      <formula>H3711&lt;&gt;""</formula>
    </cfRule>
  </conditionalFormatting>
  <conditionalFormatting sqref="H3711">
    <cfRule type="expression" dxfId="3894" priority="756">
      <formula>H3711&lt;&gt;""</formula>
    </cfRule>
  </conditionalFormatting>
  <conditionalFormatting sqref="H3715">
    <cfRule type="expression" dxfId="3893" priority="755">
      <formula>H3711&lt;&gt;""</formula>
    </cfRule>
  </conditionalFormatting>
  <conditionalFormatting sqref="F3703:F3707">
    <cfRule type="expression" dxfId="3892" priority="754">
      <formula>F3703&lt;&gt;""</formula>
    </cfRule>
  </conditionalFormatting>
  <conditionalFormatting sqref="F3703">
    <cfRule type="expression" dxfId="3891" priority="753">
      <formula>F3703&lt;&gt;""</formula>
    </cfRule>
  </conditionalFormatting>
  <conditionalFormatting sqref="F3707">
    <cfRule type="expression" dxfId="3890" priority="752">
      <formula>F3703&lt;&gt;""</formula>
    </cfRule>
  </conditionalFormatting>
  <conditionalFormatting sqref="E3703:E3707">
    <cfRule type="expression" dxfId="3889" priority="751">
      <formula>F3703&lt;&gt;""</formula>
    </cfRule>
  </conditionalFormatting>
  <conditionalFormatting sqref="G3703:G3707">
    <cfRule type="expression" dxfId="3888" priority="750">
      <formula>H3703&lt;&gt;""</formula>
    </cfRule>
  </conditionalFormatting>
  <conditionalFormatting sqref="I3703:I3707">
    <cfRule type="expression" dxfId="3887" priority="749">
      <formula>B3711&lt;&gt;""</formula>
    </cfRule>
  </conditionalFormatting>
  <conditionalFormatting sqref="H3703:H3707">
    <cfRule type="expression" dxfId="3886" priority="748">
      <formula>H3703&lt;&gt;""</formula>
    </cfRule>
  </conditionalFormatting>
  <conditionalFormatting sqref="H3703">
    <cfRule type="expression" dxfId="3885" priority="747">
      <formula>H3703&lt;&gt;""</formula>
    </cfRule>
  </conditionalFormatting>
  <conditionalFormatting sqref="H3707">
    <cfRule type="expression" dxfId="3884" priority="746">
      <formula>H3703&lt;&gt;""</formula>
    </cfRule>
  </conditionalFormatting>
  <conditionalFormatting sqref="I3716:I3717 C3717:H3717 B3717:B3718">
    <cfRule type="expression" dxfId="3883" priority="745">
      <formula>$B3719&lt;&gt;""</formula>
    </cfRule>
  </conditionalFormatting>
  <conditionalFormatting sqref="B3719:B3723">
    <cfRule type="expression" dxfId="3882" priority="744">
      <formula>B3719&lt;&gt;""</formula>
    </cfRule>
  </conditionalFormatting>
  <conditionalFormatting sqref="B3719">
    <cfRule type="expression" dxfId="3881" priority="743">
      <formula>B3719&lt;&gt;""</formula>
    </cfRule>
  </conditionalFormatting>
  <conditionalFormatting sqref="B3723">
    <cfRule type="expression" dxfId="3880" priority="742">
      <formula>B3719&lt;&gt;""</formula>
    </cfRule>
  </conditionalFormatting>
  <conditionalFormatting sqref="F3719:F3723">
    <cfRule type="expression" dxfId="3879" priority="738">
      <formula>F3719&lt;&gt;""</formula>
    </cfRule>
  </conditionalFormatting>
  <conditionalFormatting sqref="F3719">
    <cfRule type="expression" dxfId="3878" priority="737">
      <formula>F3719&lt;&gt;""</formula>
    </cfRule>
  </conditionalFormatting>
  <conditionalFormatting sqref="F3723">
    <cfRule type="expression" dxfId="3877" priority="736">
      <formula>F3719&lt;&gt;""</formula>
    </cfRule>
  </conditionalFormatting>
  <conditionalFormatting sqref="C3719:C3723">
    <cfRule type="expression" dxfId="3876" priority="735">
      <formula>D3719&lt;&gt;""</formula>
    </cfRule>
  </conditionalFormatting>
  <conditionalFormatting sqref="E3719:E3723">
    <cfRule type="expression" dxfId="3875" priority="734">
      <formula>F3719&lt;&gt;""</formula>
    </cfRule>
  </conditionalFormatting>
  <conditionalFormatting sqref="G3719:G3723">
    <cfRule type="expression" dxfId="3874" priority="733">
      <formula>H3719&lt;&gt;""</formula>
    </cfRule>
  </conditionalFormatting>
  <conditionalFormatting sqref="H3719:H3723">
    <cfRule type="expression" dxfId="3873" priority="732">
      <formula>H3719&lt;&gt;""</formula>
    </cfRule>
  </conditionalFormatting>
  <conditionalFormatting sqref="H3719">
    <cfRule type="expression" dxfId="3872" priority="731">
      <formula>H3719&lt;&gt;""</formula>
    </cfRule>
  </conditionalFormatting>
  <conditionalFormatting sqref="H3723">
    <cfRule type="expression" dxfId="3871" priority="730">
      <formula>H3719&lt;&gt;""</formula>
    </cfRule>
  </conditionalFormatting>
  <conditionalFormatting sqref="D3691:D3695">
    <cfRule type="expression" dxfId="3870" priority="699">
      <formula>D3691&lt;&gt;""</formula>
    </cfRule>
  </conditionalFormatting>
  <conditionalFormatting sqref="D3691">
    <cfRule type="expression" dxfId="3869" priority="698">
      <formula>D3691&lt;&gt;""</formula>
    </cfRule>
  </conditionalFormatting>
  <conditionalFormatting sqref="D3695">
    <cfRule type="expression" dxfId="3868" priority="697">
      <formula>D3691&lt;&gt;""</formula>
    </cfRule>
  </conditionalFormatting>
  <conditionalFormatting sqref="I3680:I3681 C3681:H3681 B3681:B3682">
    <cfRule type="expression" dxfId="3867" priority="687">
      <formula>$B3683&lt;&gt;""</formula>
    </cfRule>
  </conditionalFormatting>
  <conditionalFormatting sqref="D3683:D3687">
    <cfRule type="expression" dxfId="3866" priority="721">
      <formula>D3683&lt;&gt;""</formula>
    </cfRule>
  </conditionalFormatting>
  <conditionalFormatting sqref="D3683">
    <cfRule type="expression" dxfId="3865" priority="720">
      <formula>D3683&lt;&gt;""</formula>
    </cfRule>
  </conditionalFormatting>
  <conditionalFormatting sqref="D3687">
    <cfRule type="expression" dxfId="3864" priority="719">
      <formula>D3683&lt;&gt;""</formula>
    </cfRule>
  </conditionalFormatting>
  <conditionalFormatting sqref="C3683:C3687">
    <cfRule type="expression" dxfId="3863" priority="728">
      <formula>D3683&lt;&gt;""</formula>
    </cfRule>
  </conditionalFormatting>
  <conditionalFormatting sqref="E3683:E3687">
    <cfRule type="expression" dxfId="3862" priority="727">
      <formula>F3683&lt;&gt;""</formula>
    </cfRule>
  </conditionalFormatting>
  <conditionalFormatting sqref="G3683:G3687">
    <cfRule type="expression" dxfId="3861" priority="726">
      <formula>H3683&lt;&gt;""</formula>
    </cfRule>
  </conditionalFormatting>
  <conditionalFormatting sqref="I3683:I3687">
    <cfRule type="expression" dxfId="3860" priority="725">
      <formula>B3691&lt;&gt;""</formula>
    </cfRule>
  </conditionalFormatting>
  <conditionalFormatting sqref="B3683:B3687">
    <cfRule type="expression" dxfId="3859" priority="724">
      <formula>B3683&lt;&gt;""</formula>
    </cfRule>
  </conditionalFormatting>
  <conditionalFormatting sqref="B3683">
    <cfRule type="expression" dxfId="3858" priority="723">
      <formula>B3683&lt;&gt;""</formula>
    </cfRule>
  </conditionalFormatting>
  <conditionalFormatting sqref="B3687">
    <cfRule type="expression" dxfId="3857" priority="722">
      <formula>B3683&lt;&gt;""</formula>
    </cfRule>
  </conditionalFormatting>
  <conditionalFormatting sqref="F3683:F3687">
    <cfRule type="expression" dxfId="3856" priority="718">
      <formula>F3683&lt;&gt;""</formula>
    </cfRule>
  </conditionalFormatting>
  <conditionalFormatting sqref="F3683">
    <cfRule type="expression" dxfId="3855" priority="717">
      <formula>F3683&lt;&gt;""</formula>
    </cfRule>
  </conditionalFormatting>
  <conditionalFormatting sqref="F3687">
    <cfRule type="expression" dxfId="3854" priority="716">
      <formula>F3683&lt;&gt;""</formula>
    </cfRule>
  </conditionalFormatting>
  <conditionalFormatting sqref="H3683:H3687">
    <cfRule type="expression" dxfId="3853" priority="715">
      <formula>H3683&lt;&gt;""</formula>
    </cfRule>
  </conditionalFormatting>
  <conditionalFormatting sqref="H3683">
    <cfRule type="expression" dxfId="3852" priority="714">
      <formula>H3683&lt;&gt;""</formula>
    </cfRule>
  </conditionalFormatting>
  <conditionalFormatting sqref="H3687">
    <cfRule type="expression" dxfId="3851" priority="713">
      <formula>H3683&lt;&gt;""</formula>
    </cfRule>
  </conditionalFormatting>
  <conditionalFormatting sqref="F3675:F3679">
    <cfRule type="expression" dxfId="3850" priority="712">
      <formula>F3675&lt;&gt;""</formula>
    </cfRule>
  </conditionalFormatting>
  <conditionalFormatting sqref="F3675">
    <cfRule type="expression" dxfId="3849" priority="711">
      <formula>F3675&lt;&gt;""</formula>
    </cfRule>
  </conditionalFormatting>
  <conditionalFormatting sqref="F3679">
    <cfRule type="expression" dxfId="3848" priority="710">
      <formula>F3675&lt;&gt;""</formula>
    </cfRule>
  </conditionalFormatting>
  <conditionalFormatting sqref="E3675:E3679">
    <cfRule type="expression" dxfId="3847" priority="709">
      <formula>F3675&lt;&gt;""</formula>
    </cfRule>
  </conditionalFormatting>
  <conditionalFormatting sqref="G3675:G3679">
    <cfRule type="expression" dxfId="3846" priority="708">
      <formula>H3675&lt;&gt;""</formula>
    </cfRule>
  </conditionalFormatting>
  <conditionalFormatting sqref="I3675:I3679">
    <cfRule type="expression" dxfId="3845" priority="707">
      <formula>B3683&lt;&gt;""</formula>
    </cfRule>
  </conditionalFormatting>
  <conditionalFormatting sqref="H3675:H3679">
    <cfRule type="expression" dxfId="3844" priority="706">
      <formula>H3675&lt;&gt;""</formula>
    </cfRule>
  </conditionalFormatting>
  <conditionalFormatting sqref="H3675">
    <cfRule type="expression" dxfId="3843" priority="705">
      <formula>H3675&lt;&gt;""</formula>
    </cfRule>
  </conditionalFormatting>
  <conditionalFormatting sqref="H3679">
    <cfRule type="expression" dxfId="3842" priority="704">
      <formula>H3675&lt;&gt;""</formula>
    </cfRule>
  </conditionalFormatting>
  <conditionalFormatting sqref="I3688:I3689 C3689:H3689 B3689:B3690">
    <cfRule type="expression" dxfId="3841" priority="703">
      <formula>$B3691&lt;&gt;""</formula>
    </cfRule>
  </conditionalFormatting>
  <conditionalFormatting sqref="B3691:B3695">
    <cfRule type="expression" dxfId="3840" priority="702">
      <formula>B3691&lt;&gt;""</formula>
    </cfRule>
  </conditionalFormatting>
  <conditionalFormatting sqref="B3691">
    <cfRule type="expression" dxfId="3839" priority="701">
      <formula>B3691&lt;&gt;""</formula>
    </cfRule>
  </conditionalFormatting>
  <conditionalFormatting sqref="B3695">
    <cfRule type="expression" dxfId="3838" priority="700">
      <formula>B3691&lt;&gt;""</formula>
    </cfRule>
  </conditionalFormatting>
  <conditionalFormatting sqref="F3691:F3695">
    <cfRule type="expression" dxfId="3837" priority="696">
      <formula>F3691&lt;&gt;""</formula>
    </cfRule>
  </conditionalFormatting>
  <conditionalFormatting sqref="F3691">
    <cfRule type="expression" dxfId="3836" priority="695">
      <formula>F3691&lt;&gt;""</formula>
    </cfRule>
  </conditionalFormatting>
  <conditionalFormatting sqref="F3695">
    <cfRule type="expression" dxfId="3835" priority="694">
      <formula>F3691&lt;&gt;""</formula>
    </cfRule>
  </conditionalFormatting>
  <conditionalFormatting sqref="C3691:C3695">
    <cfRule type="expression" dxfId="3834" priority="693">
      <formula>D3691&lt;&gt;""</formula>
    </cfRule>
  </conditionalFormatting>
  <conditionalFormatting sqref="E3691:E3695">
    <cfRule type="expression" dxfId="3833" priority="692">
      <formula>F3691&lt;&gt;""</formula>
    </cfRule>
  </conditionalFormatting>
  <conditionalFormatting sqref="G3691:G3695">
    <cfRule type="expression" dxfId="3832" priority="691">
      <formula>H3691&lt;&gt;""</formula>
    </cfRule>
  </conditionalFormatting>
  <conditionalFormatting sqref="H3691:H3695">
    <cfRule type="expression" dxfId="3831" priority="690">
      <formula>H3691&lt;&gt;""</formula>
    </cfRule>
  </conditionalFormatting>
  <conditionalFormatting sqref="H3691">
    <cfRule type="expression" dxfId="3830" priority="689">
      <formula>H3691&lt;&gt;""</formula>
    </cfRule>
  </conditionalFormatting>
  <conditionalFormatting sqref="H3695">
    <cfRule type="expression" dxfId="3829" priority="688">
      <formula>H3691&lt;&gt;""</formula>
    </cfRule>
  </conditionalFormatting>
  <conditionalFormatting sqref="B3675:B3679">
    <cfRule type="expression" dxfId="3828" priority="686">
      <formula>B3675&lt;&gt;""</formula>
    </cfRule>
  </conditionalFormatting>
  <conditionalFormatting sqref="B3675">
    <cfRule type="expression" dxfId="3827" priority="685">
      <formula>B3675&lt;&gt;""</formula>
    </cfRule>
  </conditionalFormatting>
  <conditionalFormatting sqref="B3679">
    <cfRule type="expression" dxfId="3826" priority="684">
      <formula>B3675&lt;&gt;""</formula>
    </cfRule>
  </conditionalFormatting>
  <conditionalFormatting sqref="C3675:C3679">
    <cfRule type="expression" dxfId="3825" priority="683">
      <formula>D3675&lt;&gt;""</formula>
    </cfRule>
  </conditionalFormatting>
  <conditionalFormatting sqref="D3675:D3679">
    <cfRule type="expression" dxfId="3824" priority="682">
      <formula>D3675&lt;&gt;""</formula>
    </cfRule>
  </conditionalFormatting>
  <conditionalFormatting sqref="D3675">
    <cfRule type="expression" dxfId="3823" priority="681">
      <formula>D3675&lt;&gt;""</formula>
    </cfRule>
  </conditionalFormatting>
  <conditionalFormatting sqref="D3679">
    <cfRule type="expression" dxfId="3822" priority="680">
      <formula>D3675&lt;&gt;""</formula>
    </cfRule>
  </conditionalFormatting>
  <conditionalFormatting sqref="B3703:B3707">
    <cfRule type="expression" dxfId="3821" priority="679">
      <formula>B3703&lt;&gt;""</formula>
    </cfRule>
  </conditionalFormatting>
  <conditionalFormatting sqref="B3703">
    <cfRule type="expression" dxfId="3820" priority="678">
      <formula>B3703&lt;&gt;""</formula>
    </cfRule>
  </conditionalFormatting>
  <conditionalFormatting sqref="B3707">
    <cfRule type="expression" dxfId="3819" priority="677">
      <formula>B3703&lt;&gt;""</formula>
    </cfRule>
  </conditionalFormatting>
  <conditionalFormatting sqref="C3703:C3707">
    <cfRule type="expression" dxfId="3818" priority="676">
      <formula>D3703&lt;&gt;""</formula>
    </cfRule>
  </conditionalFormatting>
  <conditionalFormatting sqref="D3703:D3707">
    <cfRule type="expression" dxfId="3817" priority="675">
      <formula>D3703&lt;&gt;""</formula>
    </cfRule>
  </conditionalFormatting>
  <conditionalFormatting sqref="D3703">
    <cfRule type="expression" dxfId="3816" priority="674">
      <formula>D3703&lt;&gt;""</formula>
    </cfRule>
  </conditionalFormatting>
  <conditionalFormatting sqref="D3707">
    <cfRule type="expression" dxfId="3815" priority="673">
      <formula>D3703&lt;&gt;""</formula>
    </cfRule>
  </conditionalFormatting>
  <conditionalFormatting sqref="B3731:B3735">
    <cfRule type="expression" dxfId="3814" priority="672">
      <formula>B3731&lt;&gt;""</formula>
    </cfRule>
  </conditionalFormatting>
  <conditionalFormatting sqref="B3731">
    <cfRule type="expression" dxfId="3813" priority="671">
      <formula>B3731&lt;&gt;""</formula>
    </cfRule>
  </conditionalFormatting>
  <conditionalFormatting sqref="B3735">
    <cfRule type="expression" dxfId="3812" priority="670">
      <formula>B3731&lt;&gt;""</formula>
    </cfRule>
  </conditionalFormatting>
  <conditionalFormatting sqref="C3731:C3735">
    <cfRule type="expression" dxfId="3811" priority="669">
      <formula>D3731&lt;&gt;""</formula>
    </cfRule>
  </conditionalFormatting>
  <conditionalFormatting sqref="D3731:D3735">
    <cfRule type="expression" dxfId="3810" priority="668">
      <formula>D3731&lt;&gt;""</formula>
    </cfRule>
  </conditionalFormatting>
  <conditionalFormatting sqref="D3731">
    <cfRule type="expression" dxfId="3809" priority="667">
      <formula>D3731&lt;&gt;""</formula>
    </cfRule>
  </conditionalFormatting>
  <conditionalFormatting sqref="D3735">
    <cfRule type="expression" dxfId="3808" priority="666">
      <formula>D3731&lt;&gt;""</formula>
    </cfRule>
  </conditionalFormatting>
  <conditionalFormatting sqref="B3759:B3763">
    <cfRule type="expression" dxfId="3807" priority="665">
      <formula>B3759&lt;&gt;""</formula>
    </cfRule>
  </conditionalFormatting>
  <conditionalFormatting sqref="B3759">
    <cfRule type="expression" dxfId="3806" priority="664">
      <formula>B3759&lt;&gt;""</formula>
    </cfRule>
  </conditionalFormatting>
  <conditionalFormatting sqref="B3763">
    <cfRule type="expression" dxfId="3805" priority="663">
      <formula>B3759&lt;&gt;""</formula>
    </cfRule>
  </conditionalFormatting>
  <conditionalFormatting sqref="C3759:C3763">
    <cfRule type="expression" dxfId="3804" priority="662">
      <formula>D3759&lt;&gt;""</formula>
    </cfRule>
  </conditionalFormatting>
  <conditionalFormatting sqref="D3759:D3763">
    <cfRule type="expression" dxfId="3803" priority="661">
      <formula>D3759&lt;&gt;""</formula>
    </cfRule>
  </conditionalFormatting>
  <conditionalFormatting sqref="D3759">
    <cfRule type="expression" dxfId="3802" priority="660">
      <formula>D3759&lt;&gt;""</formula>
    </cfRule>
  </conditionalFormatting>
  <conditionalFormatting sqref="D3763">
    <cfRule type="expression" dxfId="3801" priority="659">
      <formula>D3759&lt;&gt;""</formula>
    </cfRule>
  </conditionalFormatting>
  <conditionalFormatting sqref="B3787:B3791">
    <cfRule type="expression" dxfId="3800" priority="658">
      <formula>B3787&lt;&gt;""</formula>
    </cfRule>
  </conditionalFormatting>
  <conditionalFormatting sqref="B3787">
    <cfRule type="expression" dxfId="3799" priority="657">
      <formula>B3787&lt;&gt;""</formula>
    </cfRule>
  </conditionalFormatting>
  <conditionalFormatting sqref="B3791">
    <cfRule type="expression" dxfId="3798" priority="656">
      <formula>B3787&lt;&gt;""</formula>
    </cfRule>
  </conditionalFormatting>
  <conditionalFormatting sqref="C3787:C3791">
    <cfRule type="expression" dxfId="3797" priority="655">
      <formula>D3787&lt;&gt;""</formula>
    </cfRule>
  </conditionalFormatting>
  <conditionalFormatting sqref="D3787:D3791">
    <cfRule type="expression" dxfId="3796" priority="654">
      <formula>D3787&lt;&gt;""</formula>
    </cfRule>
  </conditionalFormatting>
  <conditionalFormatting sqref="D3787">
    <cfRule type="expression" dxfId="3795" priority="653">
      <formula>D3787&lt;&gt;""</formula>
    </cfRule>
  </conditionalFormatting>
  <conditionalFormatting sqref="D3791">
    <cfRule type="expression" dxfId="3794" priority="652">
      <formula>D3787&lt;&gt;""</formula>
    </cfRule>
  </conditionalFormatting>
  <conditionalFormatting sqref="B3815:B3819">
    <cfRule type="expression" dxfId="3793" priority="651">
      <formula>B3815&lt;&gt;""</formula>
    </cfRule>
  </conditionalFormatting>
  <conditionalFormatting sqref="B3815">
    <cfRule type="expression" dxfId="3792" priority="650">
      <formula>B3815&lt;&gt;""</formula>
    </cfRule>
  </conditionalFormatting>
  <conditionalFormatting sqref="B3819">
    <cfRule type="expression" dxfId="3791" priority="649">
      <formula>B3815&lt;&gt;""</formula>
    </cfRule>
  </conditionalFormatting>
  <conditionalFormatting sqref="C3815:C3819">
    <cfRule type="expression" dxfId="3790" priority="648">
      <formula>D3815&lt;&gt;""</formula>
    </cfRule>
  </conditionalFormatting>
  <conditionalFormatting sqref="D3815:D3819">
    <cfRule type="expression" dxfId="3789" priority="647">
      <formula>D3815&lt;&gt;""</formula>
    </cfRule>
  </conditionalFormatting>
  <conditionalFormatting sqref="D3815">
    <cfRule type="expression" dxfId="3788" priority="646">
      <formula>D3815&lt;&gt;""</formula>
    </cfRule>
  </conditionalFormatting>
  <conditionalFormatting sqref="D3819">
    <cfRule type="expression" dxfId="3787" priority="645">
      <formula>D3815&lt;&gt;""</formula>
    </cfRule>
  </conditionalFormatting>
  <conditionalFormatting sqref="B3843:B3847">
    <cfRule type="expression" dxfId="3786" priority="644">
      <formula>B3843&lt;&gt;""</formula>
    </cfRule>
  </conditionalFormatting>
  <conditionalFormatting sqref="B3843">
    <cfRule type="expression" dxfId="3785" priority="643">
      <formula>B3843&lt;&gt;""</formula>
    </cfRule>
  </conditionalFormatting>
  <conditionalFormatting sqref="B3847">
    <cfRule type="expression" dxfId="3784" priority="642">
      <formula>B3843&lt;&gt;""</formula>
    </cfRule>
  </conditionalFormatting>
  <conditionalFormatting sqref="C3843:C3847">
    <cfRule type="expression" dxfId="3783" priority="641">
      <formula>D3843&lt;&gt;""</formula>
    </cfRule>
  </conditionalFormatting>
  <conditionalFormatting sqref="D3843:D3847">
    <cfRule type="expression" dxfId="3782" priority="640">
      <formula>D3843&lt;&gt;""</formula>
    </cfRule>
  </conditionalFormatting>
  <conditionalFormatting sqref="D3843">
    <cfRule type="expression" dxfId="3781" priority="639">
      <formula>D3843&lt;&gt;""</formula>
    </cfRule>
  </conditionalFormatting>
  <conditionalFormatting sqref="D3847">
    <cfRule type="expression" dxfId="3780" priority="638">
      <formula>D3843&lt;&gt;""</formula>
    </cfRule>
  </conditionalFormatting>
  <conditionalFormatting sqref="D3887:D3891">
    <cfRule type="expression" dxfId="3779" priority="609">
      <formula>D3887&lt;&gt;""</formula>
    </cfRule>
  </conditionalFormatting>
  <conditionalFormatting sqref="D3887">
    <cfRule type="expression" dxfId="3778" priority="608">
      <formula>D3887&lt;&gt;""</formula>
    </cfRule>
  </conditionalFormatting>
  <conditionalFormatting sqref="D3891">
    <cfRule type="expression" dxfId="3777" priority="607">
      <formula>D3887&lt;&gt;""</formula>
    </cfRule>
  </conditionalFormatting>
  <conditionalFormatting sqref="D3879:D3883">
    <cfRule type="expression" dxfId="3776" priority="630">
      <formula>D3879&lt;&gt;""</formula>
    </cfRule>
  </conditionalFormatting>
  <conditionalFormatting sqref="D3879">
    <cfRule type="expression" dxfId="3775" priority="629">
      <formula>D3879&lt;&gt;""</formula>
    </cfRule>
  </conditionalFormatting>
  <conditionalFormatting sqref="D3883">
    <cfRule type="expression" dxfId="3774" priority="628">
      <formula>D3879&lt;&gt;""</formula>
    </cfRule>
  </conditionalFormatting>
  <conditionalFormatting sqref="C3879:C3883">
    <cfRule type="expression" dxfId="3773" priority="637">
      <formula>D3879&lt;&gt;""</formula>
    </cfRule>
  </conditionalFormatting>
  <conditionalFormatting sqref="E3879:E3883">
    <cfRule type="expression" dxfId="3772" priority="636">
      <formula>F3879&lt;&gt;""</formula>
    </cfRule>
  </conditionalFormatting>
  <conditionalFormatting sqref="G3879:G3883">
    <cfRule type="expression" dxfId="3771" priority="635">
      <formula>H3879&lt;&gt;""</formula>
    </cfRule>
  </conditionalFormatting>
  <conditionalFormatting sqref="I3879:I3883">
    <cfRule type="expression" dxfId="3770" priority="634">
      <formula>B3887&lt;&gt;""</formula>
    </cfRule>
  </conditionalFormatting>
  <conditionalFormatting sqref="B3879:B3883">
    <cfRule type="expression" dxfId="3769" priority="633">
      <formula>B3879&lt;&gt;""</formula>
    </cfRule>
  </conditionalFormatting>
  <conditionalFormatting sqref="B3879">
    <cfRule type="expression" dxfId="3768" priority="632">
      <formula>B3879&lt;&gt;""</formula>
    </cfRule>
  </conditionalFormatting>
  <conditionalFormatting sqref="B3883">
    <cfRule type="expression" dxfId="3767" priority="631">
      <formula>B3879&lt;&gt;""</formula>
    </cfRule>
  </conditionalFormatting>
  <conditionalFormatting sqref="F3879:F3883">
    <cfRule type="expression" dxfId="3766" priority="627">
      <formula>F3879&lt;&gt;""</formula>
    </cfRule>
  </conditionalFormatting>
  <conditionalFormatting sqref="F3879">
    <cfRule type="expression" dxfId="3765" priority="626">
      <formula>F3879&lt;&gt;""</formula>
    </cfRule>
  </conditionalFormatting>
  <conditionalFormatting sqref="F3883">
    <cfRule type="expression" dxfId="3764" priority="625">
      <formula>F3879&lt;&gt;""</formula>
    </cfRule>
  </conditionalFormatting>
  <conditionalFormatting sqref="H3879:H3883">
    <cfRule type="expression" dxfId="3763" priority="624">
      <formula>H3879&lt;&gt;""</formula>
    </cfRule>
  </conditionalFormatting>
  <conditionalFormatting sqref="H3879">
    <cfRule type="expression" dxfId="3762" priority="623">
      <formula>H3879&lt;&gt;""</formula>
    </cfRule>
  </conditionalFormatting>
  <conditionalFormatting sqref="H3883">
    <cfRule type="expression" dxfId="3761" priority="622">
      <formula>H3879&lt;&gt;""</formula>
    </cfRule>
  </conditionalFormatting>
  <conditionalFormatting sqref="F3871:F3875">
    <cfRule type="expression" dxfId="3760" priority="621">
      <formula>F3871&lt;&gt;""</formula>
    </cfRule>
  </conditionalFormatting>
  <conditionalFormatting sqref="F3871">
    <cfRule type="expression" dxfId="3759" priority="620">
      <formula>F3871&lt;&gt;""</formula>
    </cfRule>
  </conditionalFormatting>
  <conditionalFormatting sqref="F3875">
    <cfRule type="expression" dxfId="3758" priority="619">
      <formula>F3871&lt;&gt;""</formula>
    </cfRule>
  </conditionalFormatting>
  <conditionalFormatting sqref="E3871:E3875">
    <cfRule type="expression" dxfId="3757" priority="618">
      <formula>F3871&lt;&gt;""</formula>
    </cfRule>
  </conditionalFormatting>
  <conditionalFormatting sqref="G3871:G3875">
    <cfRule type="expression" dxfId="3756" priority="617">
      <formula>H3871&lt;&gt;""</formula>
    </cfRule>
  </conditionalFormatting>
  <conditionalFormatting sqref="I3871:I3875">
    <cfRule type="expression" dxfId="3755" priority="616">
      <formula>B3879&lt;&gt;""</formula>
    </cfRule>
  </conditionalFormatting>
  <conditionalFormatting sqref="H3871:H3875">
    <cfRule type="expression" dxfId="3754" priority="615">
      <formula>H3871&lt;&gt;""</formula>
    </cfRule>
  </conditionalFormatting>
  <conditionalFormatting sqref="H3871">
    <cfRule type="expression" dxfId="3753" priority="614">
      <formula>H3871&lt;&gt;""</formula>
    </cfRule>
  </conditionalFormatting>
  <conditionalFormatting sqref="H3875">
    <cfRule type="expression" dxfId="3752" priority="613">
      <formula>H3871&lt;&gt;""</formula>
    </cfRule>
  </conditionalFormatting>
  <conditionalFormatting sqref="B3887:B3891">
    <cfRule type="expression" dxfId="3751" priority="612">
      <formula>B3887&lt;&gt;""</formula>
    </cfRule>
  </conditionalFormatting>
  <conditionalFormatting sqref="B3887">
    <cfRule type="expression" dxfId="3750" priority="611">
      <formula>B3887&lt;&gt;""</formula>
    </cfRule>
  </conditionalFormatting>
  <conditionalFormatting sqref="B3891">
    <cfRule type="expression" dxfId="3749" priority="610">
      <formula>B3887&lt;&gt;""</formula>
    </cfRule>
  </conditionalFormatting>
  <conditionalFormatting sqref="F3887:F3891">
    <cfRule type="expression" dxfId="3748" priority="606">
      <formula>F3887&lt;&gt;""</formula>
    </cfRule>
  </conditionalFormatting>
  <conditionalFormatting sqref="F3887">
    <cfRule type="expression" dxfId="3747" priority="605">
      <formula>F3887&lt;&gt;""</formula>
    </cfRule>
  </conditionalFormatting>
  <conditionalFormatting sqref="F3891">
    <cfRule type="expression" dxfId="3746" priority="604">
      <formula>F3887&lt;&gt;""</formula>
    </cfRule>
  </conditionalFormatting>
  <conditionalFormatting sqref="C3887:C3891">
    <cfRule type="expression" dxfId="3745" priority="603">
      <formula>D3887&lt;&gt;""</formula>
    </cfRule>
  </conditionalFormatting>
  <conditionalFormatting sqref="E3887:E3891">
    <cfRule type="expression" dxfId="3744" priority="602">
      <formula>F3887&lt;&gt;""</formula>
    </cfRule>
  </conditionalFormatting>
  <conditionalFormatting sqref="G3887:G3891">
    <cfRule type="expression" dxfId="3743" priority="601">
      <formula>H3887&lt;&gt;""</formula>
    </cfRule>
  </conditionalFormatting>
  <conditionalFormatting sqref="H3887:H3891">
    <cfRule type="expression" dxfId="3742" priority="600">
      <formula>H3887&lt;&gt;""</formula>
    </cfRule>
  </conditionalFormatting>
  <conditionalFormatting sqref="H3887">
    <cfRule type="expression" dxfId="3741" priority="599">
      <formula>H3887&lt;&gt;""</formula>
    </cfRule>
  </conditionalFormatting>
  <conditionalFormatting sqref="H3891">
    <cfRule type="expression" dxfId="3740" priority="598">
      <formula>H3887&lt;&gt;""</formula>
    </cfRule>
  </conditionalFormatting>
  <conditionalFormatting sqref="D3915:D3919">
    <cfRule type="expression" dxfId="3739" priority="569">
      <formula>D3915&lt;&gt;""</formula>
    </cfRule>
  </conditionalFormatting>
  <conditionalFormatting sqref="D3915">
    <cfRule type="expression" dxfId="3738" priority="568">
      <formula>D3915&lt;&gt;""</formula>
    </cfRule>
  </conditionalFormatting>
  <conditionalFormatting sqref="D3919">
    <cfRule type="expression" dxfId="3737" priority="567">
      <formula>D3915&lt;&gt;""</formula>
    </cfRule>
  </conditionalFormatting>
  <conditionalFormatting sqref="D3907:D3911">
    <cfRule type="expression" dxfId="3736" priority="590">
      <formula>D3907&lt;&gt;""</formula>
    </cfRule>
  </conditionalFormatting>
  <conditionalFormatting sqref="D3907">
    <cfRule type="expression" dxfId="3735" priority="589">
      <formula>D3907&lt;&gt;""</formula>
    </cfRule>
  </conditionalFormatting>
  <conditionalFormatting sqref="D3911">
    <cfRule type="expression" dxfId="3734" priority="588">
      <formula>D3907&lt;&gt;""</formula>
    </cfRule>
  </conditionalFormatting>
  <conditionalFormatting sqref="C3907:C3911">
    <cfRule type="expression" dxfId="3733" priority="597">
      <formula>D3907&lt;&gt;""</formula>
    </cfRule>
  </conditionalFormatting>
  <conditionalFormatting sqref="E3907:E3911">
    <cfRule type="expression" dxfId="3732" priority="596">
      <formula>F3907&lt;&gt;""</formula>
    </cfRule>
  </conditionalFormatting>
  <conditionalFormatting sqref="G3907:G3911">
    <cfRule type="expression" dxfId="3731" priority="595">
      <formula>H3907&lt;&gt;""</formula>
    </cfRule>
  </conditionalFormatting>
  <conditionalFormatting sqref="I3907:I3911">
    <cfRule type="expression" dxfId="3730" priority="594">
      <formula>B3915&lt;&gt;""</formula>
    </cfRule>
  </conditionalFormatting>
  <conditionalFormatting sqref="B3907:B3911">
    <cfRule type="expression" dxfId="3729" priority="593">
      <formula>B3907&lt;&gt;""</formula>
    </cfRule>
  </conditionalFormatting>
  <conditionalFormatting sqref="B3907">
    <cfRule type="expression" dxfId="3728" priority="592">
      <formula>B3907&lt;&gt;""</formula>
    </cfRule>
  </conditionalFormatting>
  <conditionalFormatting sqref="B3911">
    <cfRule type="expression" dxfId="3727" priority="591">
      <formula>B3907&lt;&gt;""</formula>
    </cfRule>
  </conditionalFormatting>
  <conditionalFormatting sqref="F3907:F3911">
    <cfRule type="expression" dxfId="3726" priority="587">
      <formula>F3907&lt;&gt;""</formula>
    </cfRule>
  </conditionalFormatting>
  <conditionalFormatting sqref="F3907">
    <cfRule type="expression" dxfId="3725" priority="586">
      <formula>F3907&lt;&gt;""</formula>
    </cfRule>
  </conditionalFormatting>
  <conditionalFormatting sqref="F3911">
    <cfRule type="expression" dxfId="3724" priority="585">
      <formula>F3907&lt;&gt;""</formula>
    </cfRule>
  </conditionalFormatting>
  <conditionalFormatting sqref="H3907:H3911">
    <cfRule type="expression" dxfId="3723" priority="584">
      <formula>H3907&lt;&gt;""</formula>
    </cfRule>
  </conditionalFormatting>
  <conditionalFormatting sqref="H3907">
    <cfRule type="expression" dxfId="3722" priority="583">
      <formula>H3907&lt;&gt;""</formula>
    </cfRule>
  </conditionalFormatting>
  <conditionalFormatting sqref="H3911">
    <cfRule type="expression" dxfId="3721" priority="582">
      <formula>H3907&lt;&gt;""</formula>
    </cfRule>
  </conditionalFormatting>
  <conditionalFormatting sqref="F3899:F3903">
    <cfRule type="expression" dxfId="3720" priority="581">
      <formula>F3899&lt;&gt;""</formula>
    </cfRule>
  </conditionalFormatting>
  <conditionalFormatting sqref="F3899">
    <cfRule type="expression" dxfId="3719" priority="580">
      <formula>F3899&lt;&gt;""</formula>
    </cfRule>
  </conditionalFormatting>
  <conditionalFormatting sqref="F3903">
    <cfRule type="expression" dxfId="3718" priority="579">
      <formula>F3899&lt;&gt;""</formula>
    </cfRule>
  </conditionalFormatting>
  <conditionalFormatting sqref="E3899:E3903">
    <cfRule type="expression" dxfId="3717" priority="578">
      <formula>F3899&lt;&gt;""</formula>
    </cfRule>
  </conditionalFormatting>
  <conditionalFormatting sqref="G3899:G3903">
    <cfRule type="expression" dxfId="3716" priority="577">
      <formula>H3899&lt;&gt;""</formula>
    </cfRule>
  </conditionalFormatting>
  <conditionalFormatting sqref="I3899:I3903">
    <cfRule type="expression" dxfId="3715" priority="576">
      <formula>B3907&lt;&gt;""</formula>
    </cfRule>
  </conditionalFormatting>
  <conditionalFormatting sqref="H3899:H3903">
    <cfRule type="expression" dxfId="3714" priority="575">
      <formula>H3899&lt;&gt;""</formula>
    </cfRule>
  </conditionalFormatting>
  <conditionalFormatting sqref="H3899">
    <cfRule type="expression" dxfId="3713" priority="574">
      <formula>H3899&lt;&gt;""</formula>
    </cfRule>
  </conditionalFormatting>
  <conditionalFormatting sqref="H3903">
    <cfRule type="expression" dxfId="3712" priority="573">
      <formula>H3899&lt;&gt;""</formula>
    </cfRule>
  </conditionalFormatting>
  <conditionalFormatting sqref="B3915:B3919">
    <cfRule type="expression" dxfId="3711" priority="572">
      <formula>B3915&lt;&gt;""</formula>
    </cfRule>
  </conditionalFormatting>
  <conditionalFormatting sqref="B3915">
    <cfRule type="expression" dxfId="3710" priority="571">
      <formula>B3915&lt;&gt;""</formula>
    </cfRule>
  </conditionalFormatting>
  <conditionalFormatting sqref="B3919">
    <cfRule type="expression" dxfId="3709" priority="570">
      <formula>B3915&lt;&gt;""</formula>
    </cfRule>
  </conditionalFormatting>
  <conditionalFormatting sqref="F3915:F3919">
    <cfRule type="expression" dxfId="3708" priority="566">
      <formula>F3915&lt;&gt;""</formula>
    </cfRule>
  </conditionalFormatting>
  <conditionalFormatting sqref="F3915">
    <cfRule type="expression" dxfId="3707" priority="565">
      <formula>F3915&lt;&gt;""</formula>
    </cfRule>
  </conditionalFormatting>
  <conditionalFormatting sqref="F3919">
    <cfRule type="expression" dxfId="3706" priority="564">
      <formula>F3915&lt;&gt;""</formula>
    </cfRule>
  </conditionalFormatting>
  <conditionalFormatting sqref="C3915:C3919">
    <cfRule type="expression" dxfId="3705" priority="563">
      <formula>D3915&lt;&gt;""</formula>
    </cfRule>
  </conditionalFormatting>
  <conditionalFormatting sqref="E3915:E3919">
    <cfRule type="expression" dxfId="3704" priority="562">
      <formula>F3915&lt;&gt;""</formula>
    </cfRule>
  </conditionalFormatting>
  <conditionalFormatting sqref="G3915:G3919">
    <cfRule type="expression" dxfId="3703" priority="561">
      <formula>H3915&lt;&gt;""</formula>
    </cfRule>
  </conditionalFormatting>
  <conditionalFormatting sqref="H3915:H3919">
    <cfRule type="expression" dxfId="3702" priority="560">
      <formula>H3915&lt;&gt;""</formula>
    </cfRule>
  </conditionalFormatting>
  <conditionalFormatting sqref="H3915">
    <cfRule type="expression" dxfId="3701" priority="559">
      <formula>H3915&lt;&gt;""</formula>
    </cfRule>
  </conditionalFormatting>
  <conditionalFormatting sqref="H3919">
    <cfRule type="expression" dxfId="3700" priority="558">
      <formula>H3915&lt;&gt;""</formula>
    </cfRule>
  </conditionalFormatting>
  <conditionalFormatting sqref="B3899:B3903">
    <cfRule type="expression" dxfId="3699" priority="506">
      <formula>B3899&lt;&gt;""</formula>
    </cfRule>
  </conditionalFormatting>
  <conditionalFormatting sqref="B3905:B3906 C3905:I3905 I3904">
    <cfRule type="expression" dxfId="3698" priority="557">
      <formula>$B3907&lt;&gt;""</formula>
    </cfRule>
  </conditionalFormatting>
  <conditionalFormatting sqref="B3913:B3914 C3913:I3913 I3912">
    <cfRule type="expression" dxfId="3697" priority="556">
      <formula>$B3915&lt;&gt;""</formula>
    </cfRule>
  </conditionalFormatting>
  <conditionalFormatting sqref="D3943:D3947">
    <cfRule type="expression" dxfId="3696" priority="527">
      <formula>D3943&lt;&gt;""</formula>
    </cfRule>
  </conditionalFormatting>
  <conditionalFormatting sqref="D3943">
    <cfRule type="expression" dxfId="3695" priority="526">
      <formula>D3943&lt;&gt;""</formula>
    </cfRule>
  </conditionalFormatting>
  <conditionalFormatting sqref="D3947">
    <cfRule type="expression" dxfId="3694" priority="525">
      <formula>D3943&lt;&gt;""</formula>
    </cfRule>
  </conditionalFormatting>
  <conditionalFormatting sqref="D3935:D3939">
    <cfRule type="expression" dxfId="3693" priority="548">
      <formula>D3935&lt;&gt;""</formula>
    </cfRule>
  </conditionalFormatting>
  <conditionalFormatting sqref="D3935">
    <cfRule type="expression" dxfId="3692" priority="547">
      <formula>D3935&lt;&gt;""</formula>
    </cfRule>
  </conditionalFormatting>
  <conditionalFormatting sqref="D3939">
    <cfRule type="expression" dxfId="3691" priority="546">
      <formula>D3935&lt;&gt;""</formula>
    </cfRule>
  </conditionalFormatting>
  <conditionalFormatting sqref="C3935:C3939">
    <cfRule type="expression" dxfId="3690" priority="555">
      <formula>D3935&lt;&gt;""</formula>
    </cfRule>
  </conditionalFormatting>
  <conditionalFormatting sqref="E3935:E3939">
    <cfRule type="expression" dxfId="3689" priority="554">
      <formula>F3935&lt;&gt;""</formula>
    </cfRule>
  </conditionalFormatting>
  <conditionalFormatting sqref="G3935:G3939">
    <cfRule type="expression" dxfId="3688" priority="553">
      <formula>H3935&lt;&gt;""</formula>
    </cfRule>
  </conditionalFormatting>
  <conditionalFormatting sqref="I3935:I3939">
    <cfRule type="expression" dxfId="3687" priority="552">
      <formula>B3943&lt;&gt;""</formula>
    </cfRule>
  </conditionalFormatting>
  <conditionalFormatting sqref="B3935:B3939">
    <cfRule type="expression" dxfId="3686" priority="551">
      <formula>B3935&lt;&gt;""</formula>
    </cfRule>
  </conditionalFormatting>
  <conditionalFormatting sqref="B3935">
    <cfRule type="expression" dxfId="3685" priority="550">
      <formula>B3935&lt;&gt;""</formula>
    </cfRule>
  </conditionalFormatting>
  <conditionalFormatting sqref="B3939">
    <cfRule type="expression" dxfId="3684" priority="549">
      <formula>B3935&lt;&gt;""</formula>
    </cfRule>
  </conditionalFormatting>
  <conditionalFormatting sqref="F3935:F3939">
    <cfRule type="expression" dxfId="3683" priority="545">
      <formula>F3935&lt;&gt;""</formula>
    </cfRule>
  </conditionalFormatting>
  <conditionalFormatting sqref="F3935">
    <cfRule type="expression" dxfId="3682" priority="544">
      <formula>F3935&lt;&gt;""</formula>
    </cfRule>
  </conditionalFormatting>
  <conditionalFormatting sqref="F3939">
    <cfRule type="expression" dxfId="3681" priority="543">
      <formula>F3935&lt;&gt;""</formula>
    </cfRule>
  </conditionalFormatting>
  <conditionalFormatting sqref="H3935:H3939">
    <cfRule type="expression" dxfId="3680" priority="542">
      <formula>H3935&lt;&gt;""</formula>
    </cfRule>
  </conditionalFormatting>
  <conditionalFormatting sqref="H3935">
    <cfRule type="expression" dxfId="3679" priority="541">
      <formula>H3935&lt;&gt;""</formula>
    </cfRule>
  </conditionalFormatting>
  <conditionalFormatting sqref="H3939">
    <cfRule type="expression" dxfId="3678" priority="540">
      <formula>H3935&lt;&gt;""</formula>
    </cfRule>
  </conditionalFormatting>
  <conditionalFormatting sqref="F3927:F3931">
    <cfRule type="expression" dxfId="3677" priority="539">
      <formula>F3927&lt;&gt;""</formula>
    </cfRule>
  </conditionalFormatting>
  <conditionalFormatting sqref="F3927">
    <cfRule type="expression" dxfId="3676" priority="538">
      <formula>F3927&lt;&gt;""</formula>
    </cfRule>
  </conditionalFormatting>
  <conditionalFormatting sqref="F3931">
    <cfRule type="expression" dxfId="3675" priority="537">
      <formula>F3927&lt;&gt;""</formula>
    </cfRule>
  </conditionalFormatting>
  <conditionalFormatting sqref="E3927:E3931">
    <cfRule type="expression" dxfId="3674" priority="536">
      <formula>F3927&lt;&gt;""</formula>
    </cfRule>
  </conditionalFormatting>
  <conditionalFormatting sqref="G3927:G3931">
    <cfRule type="expression" dxfId="3673" priority="535">
      <formula>H3927&lt;&gt;""</formula>
    </cfRule>
  </conditionalFormatting>
  <conditionalFormatting sqref="I3927:I3931">
    <cfRule type="expression" dxfId="3672" priority="534">
      <formula>B3935&lt;&gt;""</formula>
    </cfRule>
  </conditionalFormatting>
  <conditionalFormatting sqref="H3927:H3931">
    <cfRule type="expression" dxfId="3671" priority="533">
      <formula>H3927&lt;&gt;""</formula>
    </cfRule>
  </conditionalFormatting>
  <conditionalFormatting sqref="H3927">
    <cfRule type="expression" dxfId="3670" priority="532">
      <formula>H3927&lt;&gt;""</formula>
    </cfRule>
  </conditionalFormatting>
  <conditionalFormatting sqref="H3931">
    <cfRule type="expression" dxfId="3669" priority="531">
      <formula>H3927&lt;&gt;""</formula>
    </cfRule>
  </conditionalFormatting>
  <conditionalFormatting sqref="B3943:B3947">
    <cfRule type="expression" dxfId="3668" priority="530">
      <formula>B3943&lt;&gt;""</formula>
    </cfRule>
  </conditionalFormatting>
  <conditionalFormatting sqref="B3943">
    <cfRule type="expression" dxfId="3667" priority="529">
      <formula>B3943&lt;&gt;""</formula>
    </cfRule>
  </conditionalFormatting>
  <conditionalFormatting sqref="B3947">
    <cfRule type="expression" dxfId="3666" priority="528">
      <formula>B3943&lt;&gt;""</formula>
    </cfRule>
  </conditionalFormatting>
  <conditionalFormatting sqref="F3943:F3947">
    <cfRule type="expression" dxfId="3665" priority="524">
      <formula>F3943&lt;&gt;""</formula>
    </cfRule>
  </conditionalFormatting>
  <conditionalFormatting sqref="F3943">
    <cfRule type="expression" dxfId="3664" priority="523">
      <formula>F3943&lt;&gt;""</formula>
    </cfRule>
  </conditionalFormatting>
  <conditionalFormatting sqref="F3947">
    <cfRule type="expression" dxfId="3663" priority="522">
      <formula>F3943&lt;&gt;""</formula>
    </cfRule>
  </conditionalFormatting>
  <conditionalFormatting sqref="C3943:C3947">
    <cfRule type="expression" dxfId="3662" priority="521">
      <formula>D3943&lt;&gt;""</formula>
    </cfRule>
  </conditionalFormatting>
  <conditionalFormatting sqref="E3943:E3947">
    <cfRule type="expression" dxfId="3661" priority="520">
      <formula>F3943&lt;&gt;""</formula>
    </cfRule>
  </conditionalFormatting>
  <conditionalFormatting sqref="G3943:G3947">
    <cfRule type="expression" dxfId="3660" priority="519">
      <formula>H3943&lt;&gt;""</formula>
    </cfRule>
  </conditionalFormatting>
  <conditionalFormatting sqref="H3943:H3947">
    <cfRule type="expression" dxfId="3659" priority="518">
      <formula>H3943&lt;&gt;""</formula>
    </cfRule>
  </conditionalFormatting>
  <conditionalFormatting sqref="H3943">
    <cfRule type="expression" dxfId="3658" priority="517">
      <formula>H3943&lt;&gt;""</formula>
    </cfRule>
  </conditionalFormatting>
  <conditionalFormatting sqref="H3947">
    <cfRule type="expression" dxfId="3657" priority="516">
      <formula>H3943&lt;&gt;""</formula>
    </cfRule>
  </conditionalFormatting>
  <conditionalFormatting sqref="B3927:B3931">
    <cfRule type="expression" dxfId="3656" priority="499">
      <formula>B3927&lt;&gt;""</formula>
    </cfRule>
  </conditionalFormatting>
  <conditionalFormatting sqref="B3933:B3934 C3933:I3933 I3932">
    <cfRule type="expression" dxfId="3655" priority="515">
      <formula>$B3935&lt;&gt;""</formula>
    </cfRule>
  </conditionalFormatting>
  <conditionalFormatting sqref="B3941:B3942 C3941:I3941 I3940">
    <cfRule type="expression" dxfId="3654" priority="514">
      <formula>$B3943&lt;&gt;""</formula>
    </cfRule>
  </conditionalFormatting>
  <conditionalFormatting sqref="B3871:B3875">
    <cfRule type="expression" dxfId="3653" priority="513">
      <formula>B3871&lt;&gt;""</formula>
    </cfRule>
  </conditionalFormatting>
  <conditionalFormatting sqref="B3871">
    <cfRule type="expression" dxfId="3652" priority="512">
      <formula>B3871&lt;&gt;""</formula>
    </cfRule>
  </conditionalFormatting>
  <conditionalFormatting sqref="B3875">
    <cfRule type="expression" dxfId="3651" priority="511">
      <formula>B3871&lt;&gt;""</formula>
    </cfRule>
  </conditionalFormatting>
  <conditionalFormatting sqref="C3871:C3875">
    <cfRule type="expression" dxfId="3650" priority="510">
      <formula>D3871&lt;&gt;""</formula>
    </cfRule>
  </conditionalFormatting>
  <conditionalFormatting sqref="D3871:D3875">
    <cfRule type="expression" dxfId="3649" priority="509">
      <formula>D3871&lt;&gt;""</formula>
    </cfRule>
  </conditionalFormatting>
  <conditionalFormatting sqref="D3871">
    <cfRule type="expression" dxfId="3648" priority="508">
      <formula>D3871&lt;&gt;""</formula>
    </cfRule>
  </conditionalFormatting>
  <conditionalFormatting sqref="D3875">
    <cfRule type="expression" dxfId="3647" priority="507">
      <formula>D3871&lt;&gt;""</formula>
    </cfRule>
  </conditionalFormatting>
  <conditionalFormatting sqref="B3899">
    <cfRule type="expression" dxfId="3646" priority="505">
      <formula>B3899&lt;&gt;""</formula>
    </cfRule>
  </conditionalFormatting>
  <conditionalFormatting sqref="B3903">
    <cfRule type="expression" dxfId="3645" priority="504">
      <formula>B3899&lt;&gt;""</formula>
    </cfRule>
  </conditionalFormatting>
  <conditionalFormatting sqref="C3899:C3903">
    <cfRule type="expression" dxfId="3644" priority="503">
      <formula>D3899&lt;&gt;""</formula>
    </cfRule>
  </conditionalFormatting>
  <conditionalFormatting sqref="D3899:D3903">
    <cfRule type="expression" dxfId="3643" priority="502">
      <formula>D3899&lt;&gt;""</formula>
    </cfRule>
  </conditionalFormatting>
  <conditionalFormatting sqref="D3899">
    <cfRule type="expression" dxfId="3642" priority="501">
      <formula>D3899&lt;&gt;""</formula>
    </cfRule>
  </conditionalFormatting>
  <conditionalFormatting sqref="D3903">
    <cfRule type="expression" dxfId="3641" priority="500">
      <formula>D3899&lt;&gt;""</formula>
    </cfRule>
  </conditionalFormatting>
  <conditionalFormatting sqref="B3927">
    <cfRule type="expression" dxfId="3640" priority="498">
      <formula>B3927&lt;&gt;""</formula>
    </cfRule>
  </conditionalFormatting>
  <conditionalFormatting sqref="B3931">
    <cfRule type="expression" dxfId="3639" priority="497">
      <formula>B3927&lt;&gt;""</formula>
    </cfRule>
  </conditionalFormatting>
  <conditionalFormatting sqref="C3927:C3931">
    <cfRule type="expression" dxfId="3638" priority="496">
      <formula>D3927&lt;&gt;""</formula>
    </cfRule>
  </conditionalFormatting>
  <conditionalFormatting sqref="D3927:D3931">
    <cfRule type="expression" dxfId="3637" priority="495">
      <formula>D3927&lt;&gt;""</formula>
    </cfRule>
  </conditionalFormatting>
  <conditionalFormatting sqref="D3927">
    <cfRule type="expression" dxfId="3636" priority="494">
      <formula>D3927&lt;&gt;""</formula>
    </cfRule>
  </conditionalFormatting>
  <conditionalFormatting sqref="D3931">
    <cfRule type="expression" dxfId="3635" priority="493">
      <formula>D3927&lt;&gt;""</formula>
    </cfRule>
  </conditionalFormatting>
  <conditionalFormatting sqref="B3885:B3886 C3885:I3885 I3884">
    <cfRule type="expression" dxfId="3634" priority="492">
      <formula>$B3887&lt;&gt;""</formula>
    </cfRule>
  </conditionalFormatting>
  <conditionalFormatting sqref="B3877:B3878 C3877:I3877 I3876">
    <cfRule type="expression" dxfId="3633" priority="491">
      <formula>$B3879&lt;&gt;""</formula>
    </cfRule>
  </conditionalFormatting>
  <pageMargins left="0.7" right="0.7" top="0.78740157499999996" bottom="0.78740157499999996"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sheetPr codeName="Feuil1"/>
  <dimension ref="A1"/>
  <sheetViews>
    <sheetView tabSelected="1" topLeftCell="A175" workbookViewId="0">
      <selection activeCell="D191" sqref="D191"/>
    </sheetView>
  </sheetViews>
  <sheetFormatPr baseColWidth="10"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Tabelle5"/>
  <dimension ref="B3:I3949"/>
  <sheetViews>
    <sheetView topLeftCell="A3930" workbookViewId="0">
      <selection activeCell="B3942" sqref="B3942"/>
    </sheetView>
  </sheetViews>
  <sheetFormatPr baseColWidth="10" defaultRowHeight="15"/>
  <cols>
    <col min="1" max="1" width="11.42578125" style="16"/>
    <col min="2" max="2" width="50" style="16" customWidth="1"/>
    <col min="3" max="3" width="6.42578125" style="16" customWidth="1"/>
    <col min="4" max="4" width="50" style="16" customWidth="1"/>
    <col min="5" max="5" width="6.42578125" style="16" customWidth="1"/>
    <col min="6" max="6" width="50" style="16" customWidth="1"/>
    <col min="7" max="7" width="6.42578125" style="16" customWidth="1"/>
    <col min="8" max="8" width="50" style="16" customWidth="1"/>
    <col min="9" max="9" width="6.42578125" style="16" customWidth="1"/>
    <col min="10" max="16384" width="11.42578125" style="16"/>
  </cols>
  <sheetData>
    <row r="3" spans="2:9">
      <c r="B3" s="56"/>
    </row>
    <row r="5" spans="2:9">
      <c r="B5" s="41"/>
    </row>
    <row r="7" spans="2:9">
      <c r="B7" s="42"/>
    </row>
    <row r="9" spans="2:9" ht="15.75">
      <c r="B9" s="35"/>
      <c r="C9" s="54"/>
      <c r="D9" s="35"/>
      <c r="E9" s="33"/>
      <c r="F9" s="35"/>
      <c r="G9" s="39"/>
      <c r="H9" s="35"/>
      <c r="I9" s="39"/>
    </row>
    <row r="10" spans="2:9" ht="15.75">
      <c r="B10" s="35"/>
      <c r="C10" s="54"/>
      <c r="D10" s="35"/>
      <c r="E10" s="36"/>
      <c r="F10" s="35"/>
      <c r="G10" s="39"/>
      <c r="H10" s="35"/>
      <c r="I10" s="39"/>
    </row>
    <row r="11" spans="2:9" ht="15.75">
      <c r="B11" s="35"/>
      <c r="C11" s="40"/>
      <c r="D11" s="35"/>
      <c r="E11" s="40"/>
      <c r="F11" s="35"/>
      <c r="G11" s="38"/>
      <c r="H11" s="35"/>
      <c r="I11" s="38"/>
    </row>
    <row r="12" spans="2:9" ht="15.75">
      <c r="B12" s="35"/>
      <c r="C12" s="54"/>
      <c r="D12" s="35"/>
      <c r="E12" s="36"/>
      <c r="F12" s="35"/>
      <c r="G12" s="39"/>
      <c r="H12" s="35"/>
      <c r="I12" s="38"/>
    </row>
    <row r="13" spans="2:9" ht="15.75">
      <c r="B13" s="53"/>
      <c r="C13" s="54"/>
      <c r="D13" s="35"/>
      <c r="E13" s="36"/>
      <c r="F13" s="35"/>
      <c r="G13" s="39"/>
      <c r="H13" s="35"/>
      <c r="I13" s="39"/>
    </row>
    <row r="14" spans="2:9">
      <c r="B14" s="33"/>
      <c r="C14" s="34"/>
      <c r="D14" s="33"/>
      <c r="E14" s="33"/>
      <c r="F14" s="33"/>
      <c r="G14" s="33"/>
      <c r="H14" s="33"/>
      <c r="I14" s="33"/>
    </row>
    <row r="15" spans="2:9" ht="15.75">
      <c r="B15" s="38"/>
      <c r="C15" s="34"/>
      <c r="D15" s="38"/>
      <c r="E15" s="33"/>
      <c r="F15" s="38"/>
      <c r="G15" s="33"/>
      <c r="H15" s="38"/>
      <c r="I15" s="33"/>
    </row>
    <row r="16" spans="2:9" ht="15.75">
      <c r="B16" s="39"/>
      <c r="C16" s="33"/>
      <c r="D16" s="33"/>
      <c r="E16" s="33"/>
      <c r="F16" s="33"/>
      <c r="G16" s="33"/>
      <c r="H16" s="33"/>
      <c r="I16" s="33"/>
    </row>
    <row r="17" spans="2:9" ht="15.75">
      <c r="B17" s="35"/>
      <c r="C17" s="39"/>
      <c r="D17" s="35"/>
      <c r="E17" s="33"/>
      <c r="F17" s="35"/>
      <c r="G17" s="39"/>
      <c r="H17" s="35"/>
      <c r="I17" s="39"/>
    </row>
    <row r="18" spans="2:9" ht="15.75">
      <c r="B18" s="35"/>
      <c r="C18" s="39"/>
      <c r="D18" s="35"/>
      <c r="E18" s="37"/>
      <c r="F18" s="35"/>
      <c r="G18" s="39"/>
      <c r="H18" s="35"/>
      <c r="I18" s="39"/>
    </row>
    <row r="19" spans="2:9" ht="15.75">
      <c r="B19" s="35"/>
      <c r="C19" s="38"/>
      <c r="D19" s="35"/>
      <c r="E19" s="38"/>
      <c r="F19" s="35"/>
      <c r="G19" s="38"/>
      <c r="H19" s="35"/>
      <c r="I19" s="38"/>
    </row>
    <row r="20" spans="2:9" ht="15.75">
      <c r="B20" s="35"/>
      <c r="C20" s="39"/>
      <c r="D20" s="35"/>
      <c r="E20" s="37"/>
      <c r="F20" s="35"/>
      <c r="G20" s="39"/>
      <c r="H20" s="35"/>
      <c r="I20" s="39"/>
    </row>
    <row r="21" spans="2:9" ht="15.75">
      <c r="B21" s="35"/>
      <c r="C21" s="39"/>
      <c r="D21" s="35"/>
      <c r="E21" s="37"/>
      <c r="F21" s="35"/>
      <c r="G21" s="39"/>
      <c r="H21" s="35"/>
      <c r="I21" s="39"/>
    </row>
    <row r="22" spans="2:9">
      <c r="B22" s="33"/>
      <c r="C22" s="33"/>
      <c r="D22" s="33"/>
      <c r="E22" s="33"/>
      <c r="F22" s="33"/>
      <c r="G22" s="33"/>
      <c r="H22" s="33"/>
      <c r="I22" s="33"/>
    </row>
    <row r="23" spans="2:9" ht="15.75">
      <c r="B23" s="38"/>
      <c r="C23" s="33"/>
      <c r="D23" s="38"/>
      <c r="E23" s="33"/>
      <c r="F23" s="38"/>
      <c r="G23" s="33"/>
      <c r="H23" s="38"/>
      <c r="I23" s="33"/>
    </row>
    <row r="24" spans="2:9" ht="15.75">
      <c r="B24" s="39"/>
      <c r="C24" s="33"/>
      <c r="D24" s="33"/>
      <c r="E24" s="33"/>
      <c r="F24" s="33"/>
      <c r="G24" s="33"/>
      <c r="H24" s="33"/>
      <c r="I24" s="33"/>
    </row>
    <row r="25" spans="2:9" ht="15.75">
      <c r="B25" s="35"/>
      <c r="C25" s="39"/>
      <c r="D25" s="35"/>
      <c r="E25" s="33"/>
      <c r="F25" s="35"/>
      <c r="G25" s="39"/>
      <c r="H25" s="35"/>
    </row>
    <row r="26" spans="2:9" ht="15.75">
      <c r="B26" s="35"/>
      <c r="C26" s="39"/>
      <c r="D26" s="35"/>
      <c r="E26" s="37"/>
      <c r="F26" s="35"/>
      <c r="G26" s="39"/>
      <c r="H26" s="35"/>
    </row>
    <row r="27" spans="2:9" ht="15.75">
      <c r="B27" s="35"/>
      <c r="C27" s="38"/>
      <c r="D27" s="35"/>
      <c r="E27" s="38"/>
      <c r="F27" s="35"/>
      <c r="G27" s="38"/>
      <c r="H27" s="35"/>
    </row>
    <row r="28" spans="2:9" ht="15.75">
      <c r="B28" s="35"/>
      <c r="C28" s="39"/>
      <c r="D28" s="35"/>
      <c r="E28" s="37"/>
      <c r="F28" s="35"/>
      <c r="G28" s="39"/>
      <c r="H28" s="35"/>
    </row>
    <row r="29" spans="2:9" ht="15.75">
      <c r="B29" s="35"/>
      <c r="C29" s="39"/>
      <c r="D29" s="35"/>
      <c r="E29" s="37"/>
      <c r="F29" s="35"/>
      <c r="G29" s="39"/>
      <c r="H29" s="35"/>
    </row>
    <row r="31" spans="2:9">
      <c r="B31" s="43"/>
      <c r="D31" s="44"/>
    </row>
    <row r="32" spans="2:9">
      <c r="B32" s="45"/>
    </row>
    <row r="33" spans="2:9">
      <c r="B33" s="46"/>
      <c r="D33" s="47"/>
    </row>
    <row r="35" spans="2:9">
      <c r="B35" s="42"/>
    </row>
    <row r="37" spans="2:9" ht="15.75">
      <c r="B37" s="35"/>
      <c r="C37" s="40"/>
      <c r="D37" s="35"/>
      <c r="E37" s="33"/>
      <c r="F37" s="35"/>
      <c r="G37" s="39"/>
      <c r="H37" s="35"/>
      <c r="I37" s="39"/>
    </row>
    <row r="38" spans="2:9" ht="15.75">
      <c r="B38" s="35"/>
      <c r="C38" s="40"/>
      <c r="D38" s="35"/>
      <c r="E38" s="36"/>
      <c r="F38" s="35"/>
      <c r="G38" s="39"/>
      <c r="H38" s="35"/>
      <c r="I38" s="39"/>
    </row>
    <row r="39" spans="2:9" ht="15.75">
      <c r="B39" s="35"/>
      <c r="C39" s="40"/>
      <c r="D39" s="35"/>
      <c r="E39" s="40"/>
      <c r="F39" s="35"/>
      <c r="G39" s="38"/>
      <c r="H39" s="35"/>
      <c r="I39" s="38"/>
    </row>
    <row r="40" spans="2:9" ht="15.75">
      <c r="B40" s="35"/>
      <c r="C40" s="40"/>
      <c r="D40" s="35"/>
      <c r="E40" s="36"/>
      <c r="F40" s="35"/>
      <c r="G40" s="39"/>
      <c r="H40" s="35"/>
      <c r="I40" s="38"/>
    </row>
    <row r="41" spans="2:9" ht="15.75">
      <c r="B41" s="53"/>
      <c r="C41" s="40"/>
      <c r="D41" s="35"/>
      <c r="E41" s="36"/>
      <c r="F41" s="35"/>
      <c r="G41" s="39"/>
      <c r="H41" s="35"/>
      <c r="I41" s="39"/>
    </row>
    <row r="42" spans="2:9">
      <c r="B42" s="33"/>
      <c r="C42" s="34"/>
      <c r="D42" s="33"/>
      <c r="E42" s="33"/>
      <c r="F42" s="33"/>
      <c r="G42" s="33"/>
      <c r="H42" s="33"/>
      <c r="I42" s="33"/>
    </row>
    <row r="43" spans="2:9" ht="15.75">
      <c r="B43" s="38"/>
      <c r="C43" s="34"/>
      <c r="D43" s="38"/>
      <c r="E43" s="33"/>
      <c r="F43" s="38"/>
      <c r="G43" s="33"/>
      <c r="H43" s="38"/>
      <c r="I43" s="33"/>
    </row>
    <row r="44" spans="2:9" ht="15.75">
      <c r="B44" s="39"/>
      <c r="C44" s="33"/>
      <c r="D44" s="33"/>
      <c r="E44" s="33"/>
      <c r="F44" s="33"/>
      <c r="G44" s="33"/>
      <c r="H44" s="33"/>
      <c r="I44" s="33"/>
    </row>
    <row r="45" spans="2:9" ht="15.75">
      <c r="B45" s="35"/>
      <c r="C45" s="39"/>
      <c r="D45" s="35"/>
      <c r="E45" s="33"/>
      <c r="F45" s="35"/>
      <c r="G45" s="39"/>
      <c r="H45" s="35"/>
      <c r="I45" s="39"/>
    </row>
    <row r="46" spans="2:9" ht="15.75">
      <c r="B46" s="35"/>
      <c r="C46" s="39"/>
      <c r="D46" s="35"/>
      <c r="E46" s="37"/>
      <c r="F46" s="35"/>
      <c r="G46" s="39"/>
      <c r="H46" s="35"/>
      <c r="I46" s="39"/>
    </row>
    <row r="47" spans="2:9" ht="15.75">
      <c r="B47" s="35"/>
      <c r="C47" s="38"/>
      <c r="D47" s="35"/>
      <c r="E47" s="38"/>
      <c r="F47" s="35"/>
      <c r="G47" s="38"/>
      <c r="H47" s="35"/>
      <c r="I47" s="38"/>
    </row>
    <row r="48" spans="2:9" ht="15.75">
      <c r="B48" s="35"/>
      <c r="C48" s="39"/>
      <c r="D48" s="35"/>
      <c r="E48" s="37"/>
      <c r="F48" s="35"/>
      <c r="G48" s="39"/>
      <c r="H48" s="35"/>
      <c r="I48" s="39"/>
    </row>
    <row r="49" spans="2:9" ht="15.75">
      <c r="B49" s="35"/>
      <c r="C49" s="39"/>
      <c r="D49" s="35"/>
      <c r="E49" s="37"/>
      <c r="F49" s="35"/>
      <c r="G49" s="39"/>
      <c r="H49" s="35"/>
      <c r="I49" s="39"/>
    </row>
    <row r="50" spans="2:9">
      <c r="B50" s="33"/>
      <c r="C50" s="33"/>
      <c r="D50" s="33"/>
      <c r="E50" s="33"/>
      <c r="F50" s="33"/>
      <c r="G50" s="33"/>
      <c r="H50" s="33"/>
      <c r="I50" s="33"/>
    </row>
    <row r="51" spans="2:9" ht="15.75">
      <c r="B51" s="38"/>
      <c r="C51" s="33"/>
      <c r="D51" s="38"/>
      <c r="E51" s="33"/>
      <c r="F51" s="38"/>
      <c r="G51" s="33"/>
      <c r="H51" s="38"/>
      <c r="I51" s="33"/>
    </row>
    <row r="52" spans="2:9" ht="15.75">
      <c r="B52" s="39"/>
      <c r="C52" s="33"/>
      <c r="D52" s="33"/>
      <c r="E52" s="33"/>
      <c r="F52" s="33"/>
      <c r="G52" s="33"/>
      <c r="H52" s="33"/>
      <c r="I52" s="33"/>
    </row>
    <row r="53" spans="2:9" ht="15.75">
      <c r="B53" s="35"/>
      <c r="C53" s="39"/>
      <c r="D53" s="35"/>
      <c r="E53" s="33"/>
      <c r="F53" s="35"/>
      <c r="G53" s="39"/>
      <c r="H53" s="35"/>
    </row>
    <row r="54" spans="2:9" ht="15.75">
      <c r="B54" s="35"/>
      <c r="C54" s="39"/>
      <c r="D54" s="35"/>
      <c r="E54" s="37"/>
      <c r="F54" s="35"/>
      <c r="G54" s="39"/>
      <c r="H54" s="35"/>
    </row>
    <row r="55" spans="2:9" ht="15.75">
      <c r="B55" s="35"/>
      <c r="C55" s="38"/>
      <c r="D55" s="35"/>
      <c r="E55" s="38"/>
      <c r="F55" s="35"/>
      <c r="G55" s="38"/>
      <c r="H55" s="35"/>
    </row>
    <row r="56" spans="2:9" ht="15.75">
      <c r="B56" s="35"/>
      <c r="C56" s="39"/>
      <c r="D56" s="35"/>
      <c r="E56" s="37"/>
      <c r="F56" s="35"/>
      <c r="G56" s="39"/>
      <c r="H56" s="35"/>
    </row>
    <row r="57" spans="2:9" ht="15.75">
      <c r="B57" s="35"/>
      <c r="C57" s="39"/>
      <c r="D57" s="35"/>
      <c r="E57" s="37"/>
      <c r="F57" s="35"/>
      <c r="G57" s="39"/>
      <c r="H57" s="35"/>
    </row>
    <row r="59" spans="2:9">
      <c r="B59" s="43"/>
      <c r="D59" s="44"/>
    </row>
    <row r="60" spans="2:9">
      <c r="B60" s="45"/>
    </row>
    <row r="61" spans="2:9">
      <c r="B61" s="46"/>
      <c r="D61" s="47"/>
    </row>
    <row r="63" spans="2:9">
      <c r="B63" s="42"/>
    </row>
    <row r="65" spans="2:9" ht="15.75">
      <c r="B65" s="35"/>
      <c r="C65" s="54"/>
      <c r="D65" s="35"/>
      <c r="E65" s="33"/>
      <c r="F65" s="35"/>
      <c r="G65" s="39"/>
      <c r="H65" s="35"/>
      <c r="I65" s="39"/>
    </row>
    <row r="66" spans="2:9" ht="15.75">
      <c r="B66" s="35"/>
      <c r="C66" s="54"/>
      <c r="D66" s="35"/>
      <c r="E66" s="36"/>
      <c r="F66" s="35"/>
      <c r="G66" s="39"/>
      <c r="H66" s="35"/>
      <c r="I66" s="39"/>
    </row>
    <row r="67" spans="2:9" ht="15.75">
      <c r="B67" s="35"/>
      <c r="C67" s="40"/>
      <c r="D67" s="35"/>
      <c r="E67" s="40"/>
      <c r="F67" s="35"/>
      <c r="G67" s="38"/>
      <c r="H67" s="35"/>
      <c r="I67" s="38"/>
    </row>
    <row r="68" spans="2:9" ht="15.75">
      <c r="B68" s="35"/>
      <c r="C68" s="54"/>
      <c r="D68" s="35"/>
      <c r="E68" s="36"/>
      <c r="F68" s="35"/>
      <c r="G68" s="39"/>
      <c r="H68" s="35"/>
      <c r="I68" s="38"/>
    </row>
    <row r="69" spans="2:9" ht="15.75">
      <c r="B69" s="53"/>
      <c r="C69" s="54"/>
      <c r="D69" s="35"/>
      <c r="E69" s="36"/>
      <c r="F69" s="35"/>
      <c r="G69" s="39"/>
      <c r="H69" s="35"/>
      <c r="I69" s="39"/>
    </row>
    <row r="70" spans="2:9">
      <c r="B70" s="33"/>
      <c r="C70" s="34"/>
      <c r="D70" s="33"/>
      <c r="E70" s="33"/>
      <c r="F70" s="33"/>
      <c r="G70" s="33"/>
      <c r="H70" s="33"/>
      <c r="I70" s="33"/>
    </row>
    <row r="71" spans="2:9" ht="15.75">
      <c r="B71" s="38"/>
      <c r="C71" s="34"/>
      <c r="D71" s="38"/>
      <c r="E71" s="33"/>
      <c r="F71" s="38"/>
      <c r="G71" s="33"/>
      <c r="H71" s="38"/>
      <c r="I71" s="33"/>
    </row>
    <row r="72" spans="2:9" ht="15.75">
      <c r="B72" s="39"/>
      <c r="C72" s="33"/>
      <c r="D72" s="33"/>
      <c r="E72" s="33"/>
      <c r="F72" s="33"/>
      <c r="G72" s="33"/>
      <c r="H72" s="33"/>
      <c r="I72" s="33"/>
    </row>
    <row r="73" spans="2:9" ht="15.75">
      <c r="B73" s="35"/>
      <c r="C73" s="39"/>
      <c r="D73" s="35"/>
      <c r="E73" s="33"/>
      <c r="F73" s="35"/>
      <c r="G73" s="39"/>
      <c r="H73" s="35"/>
      <c r="I73" s="39"/>
    </row>
    <row r="74" spans="2:9" ht="15.75">
      <c r="B74" s="35"/>
      <c r="C74" s="39"/>
      <c r="D74" s="35"/>
      <c r="E74" s="37"/>
      <c r="F74" s="35"/>
      <c r="G74" s="39"/>
      <c r="H74" s="35"/>
      <c r="I74" s="39"/>
    </row>
    <row r="75" spans="2:9" ht="15.75">
      <c r="B75" s="35"/>
      <c r="C75" s="38"/>
      <c r="D75" s="35"/>
      <c r="E75" s="38"/>
      <c r="F75" s="35"/>
      <c r="G75" s="38"/>
      <c r="H75" s="35"/>
      <c r="I75" s="38"/>
    </row>
    <row r="76" spans="2:9" ht="15.75">
      <c r="B76" s="35"/>
      <c r="C76" s="39"/>
      <c r="D76" s="35"/>
      <c r="E76" s="37"/>
      <c r="F76" s="35"/>
      <c r="G76" s="39"/>
      <c r="H76" s="35"/>
      <c r="I76" s="39"/>
    </row>
    <row r="77" spans="2:9" ht="15.75">
      <c r="B77" s="35"/>
      <c r="C77" s="39"/>
      <c r="D77" s="35"/>
      <c r="E77" s="37"/>
      <c r="F77" s="35"/>
      <c r="G77" s="39"/>
      <c r="H77" s="35"/>
      <c r="I77" s="39"/>
    </row>
    <row r="78" spans="2:9">
      <c r="B78" s="33"/>
      <c r="C78" s="33"/>
      <c r="D78" s="33"/>
      <c r="E78" s="33"/>
      <c r="F78" s="33"/>
      <c r="G78" s="33"/>
      <c r="H78" s="33"/>
      <c r="I78" s="33"/>
    </row>
    <row r="79" spans="2:9" ht="15.75">
      <c r="B79" s="38"/>
      <c r="C79" s="33"/>
      <c r="D79" s="38"/>
      <c r="E79" s="33"/>
      <c r="F79" s="38"/>
      <c r="G79" s="33"/>
      <c r="H79" s="38"/>
      <c r="I79" s="33"/>
    </row>
    <row r="80" spans="2:9" ht="15.75">
      <c r="B80" s="39"/>
      <c r="C80" s="33"/>
      <c r="D80" s="33"/>
      <c r="E80" s="33"/>
      <c r="F80" s="33"/>
      <c r="G80" s="33"/>
      <c r="H80" s="33"/>
      <c r="I80" s="33"/>
    </row>
    <row r="81" spans="2:9" ht="15.75">
      <c r="B81" s="35"/>
      <c r="C81" s="39"/>
      <c r="D81" s="35"/>
      <c r="E81" s="33"/>
      <c r="F81" s="35"/>
      <c r="G81" s="39"/>
      <c r="H81" s="35"/>
    </row>
    <row r="82" spans="2:9" ht="15.75">
      <c r="B82" s="35"/>
      <c r="C82" s="39"/>
      <c r="D82" s="35"/>
      <c r="E82" s="37"/>
      <c r="F82" s="35"/>
      <c r="G82" s="39"/>
      <c r="H82" s="35"/>
    </row>
    <row r="83" spans="2:9" ht="15.75">
      <c r="B83" s="35"/>
      <c r="C83" s="38"/>
      <c r="D83" s="35"/>
      <c r="E83" s="38"/>
      <c r="F83" s="35"/>
      <c r="G83" s="38"/>
      <c r="H83" s="35"/>
    </row>
    <row r="84" spans="2:9" ht="15.75">
      <c r="B84" s="35"/>
      <c r="C84" s="39"/>
      <c r="D84" s="35"/>
      <c r="E84" s="37"/>
      <c r="F84" s="35"/>
      <c r="G84" s="39"/>
      <c r="H84" s="35"/>
    </row>
    <row r="85" spans="2:9" ht="15.75">
      <c r="B85" s="35"/>
      <c r="C85" s="39"/>
      <c r="D85" s="35"/>
      <c r="E85" s="37"/>
      <c r="F85" s="35"/>
      <c r="G85" s="39"/>
      <c r="H85" s="35"/>
    </row>
    <row r="87" spans="2:9">
      <c r="B87" s="43"/>
      <c r="D87" s="44"/>
    </row>
    <row r="88" spans="2:9">
      <c r="B88" s="45"/>
    </row>
    <row r="89" spans="2:9">
      <c r="B89" s="46"/>
      <c r="D89" s="47"/>
    </row>
    <row r="91" spans="2:9">
      <c r="B91" s="42"/>
    </row>
    <row r="93" spans="2:9" ht="15.75">
      <c r="B93" s="35"/>
      <c r="C93" s="54"/>
      <c r="D93" s="35"/>
      <c r="E93" s="33"/>
      <c r="F93" s="35"/>
      <c r="G93" s="39"/>
      <c r="H93" s="35"/>
      <c r="I93" s="39"/>
    </row>
    <row r="94" spans="2:9" ht="15.75">
      <c r="B94" s="35"/>
      <c r="C94" s="54"/>
      <c r="D94" s="35"/>
      <c r="E94" s="36"/>
      <c r="F94" s="35"/>
      <c r="G94" s="39"/>
      <c r="H94" s="35"/>
      <c r="I94" s="39"/>
    </row>
    <row r="95" spans="2:9" ht="15.75">
      <c r="B95" s="35"/>
      <c r="C95" s="40"/>
      <c r="D95" s="35"/>
      <c r="E95" s="40"/>
      <c r="F95" s="35"/>
      <c r="G95" s="38"/>
      <c r="H95" s="35"/>
      <c r="I95" s="38"/>
    </row>
    <row r="96" spans="2:9" ht="15.75">
      <c r="B96" s="35"/>
      <c r="C96" s="54"/>
      <c r="D96" s="35"/>
      <c r="E96" s="36"/>
      <c r="F96" s="35"/>
      <c r="G96" s="39"/>
      <c r="H96" s="35"/>
      <c r="I96" s="38"/>
    </row>
    <row r="97" spans="2:9" ht="15.75">
      <c r="B97" s="53"/>
      <c r="C97" s="54"/>
      <c r="D97" s="35"/>
      <c r="E97" s="36"/>
      <c r="F97" s="35"/>
      <c r="G97" s="39"/>
      <c r="H97" s="35"/>
      <c r="I97" s="39"/>
    </row>
    <row r="98" spans="2:9">
      <c r="B98" s="33"/>
      <c r="C98" s="34"/>
      <c r="D98" s="33"/>
      <c r="E98" s="33"/>
      <c r="F98" s="33"/>
      <c r="G98" s="33"/>
      <c r="H98" s="33"/>
      <c r="I98" s="33"/>
    </row>
    <row r="99" spans="2:9" ht="15.75">
      <c r="B99" s="38"/>
      <c r="C99" s="34"/>
      <c r="D99" s="38"/>
      <c r="E99" s="33"/>
      <c r="F99" s="38"/>
      <c r="G99" s="33"/>
      <c r="H99" s="38"/>
      <c r="I99" s="33"/>
    </row>
    <row r="100" spans="2:9" ht="15.75">
      <c r="B100" s="39"/>
      <c r="C100" s="33"/>
      <c r="D100" s="33"/>
      <c r="E100" s="33"/>
      <c r="F100" s="33"/>
      <c r="G100" s="33"/>
      <c r="H100" s="33"/>
      <c r="I100" s="33"/>
    </row>
    <row r="101" spans="2:9" ht="15.75">
      <c r="B101" s="35"/>
      <c r="C101" s="39"/>
      <c r="D101" s="35"/>
      <c r="E101" s="33"/>
      <c r="F101" s="35"/>
      <c r="G101" s="39"/>
      <c r="H101" s="35"/>
      <c r="I101" s="39"/>
    </row>
    <row r="102" spans="2:9" ht="15.75">
      <c r="B102" s="35"/>
      <c r="C102" s="39"/>
      <c r="D102" s="35"/>
      <c r="E102" s="37"/>
      <c r="F102" s="35"/>
      <c r="G102" s="39"/>
      <c r="H102" s="35"/>
      <c r="I102" s="39"/>
    </row>
    <row r="103" spans="2:9" ht="15.75">
      <c r="B103" s="35"/>
      <c r="C103" s="38"/>
      <c r="D103" s="35"/>
      <c r="E103" s="38"/>
      <c r="F103" s="35"/>
      <c r="G103" s="38"/>
      <c r="H103" s="35"/>
      <c r="I103" s="38"/>
    </row>
    <row r="104" spans="2:9" ht="15.75">
      <c r="B104" s="35"/>
      <c r="C104" s="39"/>
      <c r="D104" s="35"/>
      <c r="E104" s="37"/>
      <c r="F104" s="35"/>
      <c r="G104" s="39"/>
      <c r="H104" s="35"/>
      <c r="I104" s="39"/>
    </row>
    <row r="105" spans="2:9" ht="15.75">
      <c r="B105" s="35"/>
      <c r="C105" s="39"/>
      <c r="D105" s="35"/>
      <c r="E105" s="37"/>
      <c r="F105" s="35"/>
      <c r="G105" s="39"/>
      <c r="H105" s="35"/>
      <c r="I105" s="39"/>
    </row>
    <row r="106" spans="2:9">
      <c r="B106" s="33"/>
      <c r="C106" s="33"/>
      <c r="D106" s="33"/>
      <c r="E106" s="33"/>
      <c r="F106" s="33"/>
      <c r="G106" s="33"/>
      <c r="H106" s="33"/>
      <c r="I106" s="33"/>
    </row>
    <row r="107" spans="2:9" ht="15.75">
      <c r="B107" s="38"/>
      <c r="C107" s="33"/>
      <c r="D107" s="38"/>
      <c r="E107" s="33"/>
      <c r="F107" s="38"/>
      <c r="G107" s="33"/>
      <c r="H107" s="38"/>
      <c r="I107" s="33"/>
    </row>
    <row r="108" spans="2:9" ht="15.75">
      <c r="B108" s="39"/>
      <c r="C108" s="33"/>
      <c r="D108" s="33"/>
      <c r="E108" s="33"/>
      <c r="F108" s="33"/>
      <c r="G108" s="33"/>
      <c r="H108" s="33"/>
      <c r="I108" s="33"/>
    </row>
    <row r="109" spans="2:9" ht="15.75">
      <c r="B109" s="35"/>
      <c r="C109" s="39"/>
      <c r="D109" s="35"/>
      <c r="E109" s="33"/>
      <c r="F109" s="35"/>
      <c r="G109" s="39"/>
      <c r="H109" s="35"/>
    </row>
    <row r="110" spans="2:9" ht="15.75">
      <c r="B110" s="35"/>
      <c r="C110" s="39"/>
      <c r="D110" s="35"/>
      <c r="E110" s="37"/>
      <c r="F110" s="35"/>
      <c r="G110" s="39"/>
      <c r="H110" s="35"/>
    </row>
    <row r="111" spans="2:9" ht="15.75">
      <c r="B111" s="35"/>
      <c r="C111" s="38"/>
      <c r="D111" s="35"/>
      <c r="E111" s="38"/>
      <c r="F111" s="35"/>
      <c r="G111" s="38"/>
      <c r="H111" s="35"/>
    </row>
    <row r="112" spans="2:9" ht="15.75">
      <c r="B112" s="35"/>
      <c r="C112" s="39"/>
      <c r="D112" s="35"/>
      <c r="E112" s="37"/>
      <c r="F112" s="35"/>
      <c r="G112" s="39"/>
      <c r="H112" s="35"/>
    </row>
    <row r="113" spans="2:9" ht="15.75">
      <c r="B113" s="35"/>
      <c r="C113" s="39"/>
      <c r="D113" s="35"/>
      <c r="E113" s="37"/>
      <c r="F113" s="35"/>
      <c r="G113" s="39"/>
      <c r="H113" s="35"/>
    </row>
    <row r="115" spans="2:9">
      <c r="B115" s="43"/>
      <c r="D115" s="44"/>
    </row>
    <row r="116" spans="2:9">
      <c r="B116" s="45"/>
    </row>
    <row r="117" spans="2:9">
      <c r="B117" s="46"/>
      <c r="D117" s="47"/>
    </row>
    <row r="118" spans="2:9">
      <c r="B118" s="48"/>
      <c r="D118" s="49"/>
    </row>
    <row r="119" spans="2:9">
      <c r="B119" s="42"/>
    </row>
    <row r="121" spans="2:9" ht="15.75">
      <c r="B121" s="35"/>
      <c r="C121" s="54"/>
      <c r="D121" s="35"/>
      <c r="E121" s="33"/>
      <c r="F121" s="35"/>
      <c r="G121" s="39"/>
      <c r="H121" s="35"/>
      <c r="I121" s="39"/>
    </row>
    <row r="122" spans="2:9" ht="15.75">
      <c r="B122" s="35"/>
      <c r="C122" s="54"/>
      <c r="D122" s="35"/>
      <c r="E122" s="36"/>
      <c r="F122" s="35"/>
      <c r="G122" s="39"/>
      <c r="H122" s="35"/>
      <c r="I122" s="39"/>
    </row>
    <row r="123" spans="2:9" ht="15.75">
      <c r="B123" s="35"/>
      <c r="C123" s="40"/>
      <c r="D123" s="35"/>
      <c r="E123" s="40"/>
      <c r="F123" s="35"/>
      <c r="G123" s="38"/>
      <c r="H123" s="35"/>
      <c r="I123" s="38"/>
    </row>
    <row r="124" spans="2:9" ht="15.75">
      <c r="B124" s="35"/>
      <c r="C124" s="54"/>
      <c r="D124" s="35"/>
      <c r="E124" s="36"/>
      <c r="F124" s="35"/>
      <c r="G124" s="39"/>
      <c r="H124" s="35"/>
      <c r="I124" s="38"/>
    </row>
    <row r="125" spans="2:9" ht="15.75">
      <c r="B125" s="53"/>
      <c r="C125" s="54"/>
      <c r="D125" s="35"/>
      <c r="E125" s="36"/>
      <c r="F125" s="35"/>
      <c r="G125" s="39"/>
      <c r="H125" s="35"/>
      <c r="I125" s="39"/>
    </row>
    <row r="126" spans="2:9">
      <c r="B126" s="33"/>
      <c r="C126" s="34"/>
      <c r="D126" s="33"/>
      <c r="E126" s="33"/>
      <c r="F126" s="33"/>
      <c r="G126" s="33"/>
      <c r="H126" s="33"/>
      <c r="I126" s="33"/>
    </row>
    <row r="127" spans="2:9" ht="15.75">
      <c r="B127" s="38"/>
      <c r="C127" s="34"/>
      <c r="D127" s="38"/>
      <c r="E127" s="33"/>
      <c r="F127" s="38"/>
      <c r="G127" s="33"/>
      <c r="H127" s="38"/>
      <c r="I127" s="33"/>
    </row>
    <row r="128" spans="2:9" ht="15.75">
      <c r="B128" s="39"/>
      <c r="C128" s="33"/>
      <c r="D128" s="33"/>
      <c r="E128" s="33"/>
      <c r="F128" s="33"/>
      <c r="G128" s="33"/>
      <c r="H128" s="33"/>
      <c r="I128" s="33"/>
    </row>
    <row r="129" spans="2:9" ht="15.75">
      <c r="B129" s="35"/>
      <c r="C129" s="39"/>
      <c r="D129" s="35"/>
      <c r="E129" s="33"/>
      <c r="F129" s="35"/>
      <c r="G129" s="39"/>
      <c r="H129" s="35"/>
      <c r="I129" s="39"/>
    </row>
    <row r="130" spans="2:9" ht="15.75">
      <c r="B130" s="35"/>
      <c r="C130" s="39"/>
      <c r="D130" s="35"/>
      <c r="E130" s="37"/>
      <c r="F130" s="35"/>
      <c r="G130" s="39"/>
      <c r="H130" s="35"/>
      <c r="I130" s="39"/>
    </row>
    <row r="131" spans="2:9" ht="15.75">
      <c r="B131" s="35"/>
      <c r="C131" s="38"/>
      <c r="D131" s="35"/>
      <c r="E131" s="38"/>
      <c r="F131" s="35"/>
      <c r="G131" s="38"/>
      <c r="H131" s="35"/>
      <c r="I131" s="38"/>
    </row>
    <row r="132" spans="2:9" ht="15.75">
      <c r="B132" s="35"/>
      <c r="C132" s="39"/>
      <c r="D132" s="35"/>
      <c r="E132" s="37"/>
      <c r="F132" s="35"/>
      <c r="G132" s="39"/>
      <c r="H132" s="35"/>
      <c r="I132" s="39"/>
    </row>
    <row r="133" spans="2:9" ht="15.75">
      <c r="B133" s="35"/>
      <c r="C133" s="39"/>
      <c r="D133" s="35"/>
      <c r="E133" s="37"/>
      <c r="F133" s="35"/>
      <c r="G133" s="39"/>
      <c r="H133" s="35"/>
      <c r="I133" s="39"/>
    </row>
    <row r="134" spans="2:9">
      <c r="B134" s="33"/>
      <c r="C134" s="33"/>
      <c r="D134" s="33"/>
      <c r="E134" s="33"/>
      <c r="F134" s="33"/>
      <c r="G134" s="33"/>
      <c r="H134" s="33"/>
      <c r="I134" s="33"/>
    </row>
    <row r="135" spans="2:9" ht="15.75">
      <c r="B135" s="38"/>
      <c r="C135" s="33"/>
      <c r="D135" s="38"/>
      <c r="E135" s="33"/>
      <c r="F135" s="38"/>
      <c r="G135" s="33"/>
      <c r="H135" s="38"/>
      <c r="I135" s="33"/>
    </row>
    <row r="136" spans="2:9" ht="15.75">
      <c r="B136" s="39"/>
      <c r="C136" s="33"/>
      <c r="D136" s="33"/>
      <c r="E136" s="33"/>
      <c r="F136" s="33"/>
      <c r="G136" s="33"/>
      <c r="H136" s="33"/>
      <c r="I136" s="33"/>
    </row>
    <row r="137" spans="2:9" ht="15.75">
      <c r="B137" s="35"/>
      <c r="C137" s="39"/>
      <c r="D137" s="35"/>
      <c r="E137" s="33"/>
      <c r="F137" s="35"/>
      <c r="G137" s="39"/>
      <c r="H137" s="35"/>
    </row>
    <row r="138" spans="2:9" ht="15.75">
      <c r="B138" s="35"/>
      <c r="C138" s="39"/>
      <c r="D138" s="35"/>
      <c r="E138" s="37"/>
      <c r="F138" s="35"/>
      <c r="G138" s="39"/>
      <c r="H138" s="35"/>
    </row>
    <row r="139" spans="2:9" ht="15.75">
      <c r="B139" s="35"/>
      <c r="C139" s="38"/>
      <c r="D139" s="35"/>
      <c r="E139" s="38"/>
      <c r="F139" s="35"/>
      <c r="G139" s="38"/>
      <c r="H139" s="35"/>
    </row>
    <row r="140" spans="2:9" ht="15.75">
      <c r="B140" s="35"/>
      <c r="C140" s="39"/>
      <c r="D140" s="35"/>
      <c r="E140" s="37"/>
      <c r="F140" s="35"/>
      <c r="G140" s="39"/>
      <c r="H140" s="35"/>
    </row>
    <row r="141" spans="2:9" ht="15.75">
      <c r="B141" s="35"/>
      <c r="C141" s="39"/>
      <c r="D141" s="35"/>
      <c r="E141" s="37"/>
      <c r="F141" s="35"/>
      <c r="G141" s="39"/>
      <c r="H141" s="35"/>
    </row>
    <row r="143" spans="2:9">
      <c r="B143" s="43"/>
      <c r="D143" s="44"/>
    </row>
    <row r="144" spans="2:9">
      <c r="B144" s="45"/>
    </row>
    <row r="145" spans="2:9">
      <c r="B145" s="46"/>
      <c r="D145" s="47"/>
    </row>
    <row r="146" spans="2:9">
      <c r="B146" s="50"/>
      <c r="D146" s="51"/>
    </row>
    <row r="147" spans="2:9">
      <c r="B147" s="42"/>
    </row>
    <row r="149" spans="2:9" ht="15.75">
      <c r="B149" s="35"/>
      <c r="C149" s="54"/>
      <c r="D149" s="35"/>
      <c r="E149" s="33"/>
      <c r="F149" s="35"/>
      <c r="G149" s="39"/>
      <c r="H149" s="35"/>
      <c r="I149" s="39"/>
    </row>
    <row r="150" spans="2:9" ht="15.75">
      <c r="B150" s="35"/>
      <c r="C150" s="54"/>
      <c r="D150" s="35"/>
      <c r="E150" s="36"/>
      <c r="F150" s="35"/>
      <c r="G150" s="39"/>
      <c r="H150" s="35"/>
      <c r="I150" s="39"/>
    </row>
    <row r="151" spans="2:9" ht="15.75">
      <c r="B151" s="35"/>
      <c r="C151" s="40"/>
      <c r="D151" s="35"/>
      <c r="E151" s="40"/>
      <c r="F151" s="35"/>
      <c r="G151" s="38"/>
      <c r="H151" s="35"/>
      <c r="I151" s="38"/>
    </row>
    <row r="152" spans="2:9" ht="15.75">
      <c r="B152" s="35"/>
      <c r="C152" s="54"/>
      <c r="D152" s="35"/>
      <c r="E152" s="36"/>
      <c r="F152" s="35"/>
      <c r="G152" s="39"/>
      <c r="H152" s="35"/>
      <c r="I152" s="38"/>
    </row>
    <row r="153" spans="2:9" ht="15.75">
      <c r="B153" s="53"/>
      <c r="C153" s="54"/>
      <c r="D153" s="35"/>
      <c r="E153" s="36"/>
      <c r="F153" s="35"/>
      <c r="G153" s="39"/>
      <c r="H153" s="35"/>
      <c r="I153" s="39"/>
    </row>
    <row r="154" spans="2:9">
      <c r="B154" s="33"/>
      <c r="C154" s="34"/>
      <c r="D154" s="33"/>
      <c r="E154" s="33"/>
      <c r="F154" s="33"/>
      <c r="G154" s="33"/>
      <c r="H154" s="33"/>
      <c r="I154" s="33"/>
    </row>
    <row r="155" spans="2:9" ht="15.75">
      <c r="B155" s="38"/>
      <c r="C155" s="34"/>
      <c r="D155" s="38"/>
      <c r="E155" s="33"/>
      <c r="F155" s="38"/>
      <c r="G155" s="33"/>
      <c r="H155" s="38"/>
      <c r="I155" s="33"/>
    </row>
    <row r="156" spans="2:9" ht="15.75">
      <c r="B156" s="39"/>
      <c r="C156" s="33"/>
      <c r="D156" s="33"/>
      <c r="E156" s="33"/>
      <c r="F156" s="33"/>
      <c r="G156" s="33"/>
      <c r="H156" s="33"/>
      <c r="I156" s="33"/>
    </row>
    <row r="157" spans="2:9" ht="15.75">
      <c r="B157" s="35"/>
      <c r="C157" s="39"/>
      <c r="D157" s="35"/>
      <c r="E157" s="33"/>
      <c r="F157" s="35"/>
      <c r="G157" s="39"/>
      <c r="H157" s="35"/>
      <c r="I157" s="39"/>
    </row>
    <row r="158" spans="2:9" ht="15.75">
      <c r="B158" s="35"/>
      <c r="C158" s="39"/>
      <c r="D158" s="35"/>
      <c r="E158" s="37"/>
      <c r="F158" s="35"/>
      <c r="G158" s="39"/>
      <c r="H158" s="35"/>
      <c r="I158" s="39"/>
    </row>
    <row r="159" spans="2:9" ht="15.75">
      <c r="B159" s="35"/>
      <c r="C159" s="38"/>
      <c r="D159" s="35"/>
      <c r="E159" s="38"/>
      <c r="F159" s="35"/>
      <c r="G159" s="38"/>
      <c r="H159" s="35"/>
      <c r="I159" s="38"/>
    </row>
    <row r="160" spans="2:9" ht="15.75">
      <c r="B160" s="35"/>
      <c r="C160" s="39"/>
      <c r="D160" s="35"/>
      <c r="E160" s="37"/>
      <c r="F160" s="35"/>
      <c r="G160" s="39"/>
      <c r="H160" s="35"/>
      <c r="I160" s="39"/>
    </row>
    <row r="161" spans="2:9" ht="15.75">
      <c r="B161" s="35"/>
      <c r="C161" s="39"/>
      <c r="D161" s="35"/>
      <c r="E161" s="37"/>
      <c r="F161" s="35"/>
      <c r="G161" s="39"/>
      <c r="H161" s="35"/>
      <c r="I161" s="39"/>
    </row>
    <row r="162" spans="2:9">
      <c r="B162" s="33"/>
      <c r="C162" s="33"/>
      <c r="D162" s="33"/>
      <c r="E162" s="33"/>
      <c r="F162" s="33"/>
      <c r="G162" s="33"/>
      <c r="H162" s="33"/>
      <c r="I162" s="33"/>
    </row>
    <row r="163" spans="2:9" ht="15.75">
      <c r="B163" s="38"/>
      <c r="C163" s="33"/>
      <c r="D163" s="38"/>
      <c r="E163" s="33"/>
      <c r="F163" s="38"/>
      <c r="G163" s="33"/>
      <c r="H163" s="38"/>
      <c r="I163" s="33"/>
    </row>
    <row r="164" spans="2:9" ht="15.75">
      <c r="B164" s="39"/>
      <c r="C164" s="33"/>
      <c r="D164" s="33"/>
      <c r="E164" s="33"/>
      <c r="F164" s="33"/>
      <c r="G164" s="33"/>
      <c r="H164" s="33"/>
      <c r="I164" s="33"/>
    </row>
    <row r="165" spans="2:9" ht="15.75">
      <c r="B165" s="35"/>
      <c r="C165" s="39"/>
      <c r="D165" s="35"/>
      <c r="E165" s="33"/>
      <c r="F165" s="35"/>
      <c r="G165" s="39"/>
      <c r="H165" s="35"/>
    </row>
    <row r="166" spans="2:9" ht="15.75">
      <c r="B166" s="35"/>
      <c r="C166" s="39"/>
      <c r="D166" s="35"/>
      <c r="E166" s="37"/>
      <c r="F166" s="35"/>
      <c r="G166" s="39"/>
      <c r="H166" s="35"/>
    </row>
    <row r="167" spans="2:9" ht="15.75">
      <c r="B167" s="35"/>
      <c r="C167" s="38"/>
      <c r="D167" s="35"/>
      <c r="E167" s="38"/>
      <c r="F167" s="35"/>
      <c r="G167" s="38"/>
      <c r="H167" s="35"/>
    </row>
    <row r="168" spans="2:9" ht="15.75">
      <c r="B168" s="35"/>
      <c r="C168" s="39"/>
      <c r="D168" s="35"/>
      <c r="E168" s="37"/>
      <c r="F168" s="35"/>
      <c r="G168" s="39"/>
      <c r="H168" s="35"/>
    </row>
    <row r="169" spans="2:9" ht="15.75">
      <c r="B169" s="35"/>
      <c r="C169" s="39"/>
      <c r="D169" s="35"/>
      <c r="E169" s="37"/>
      <c r="F169" s="35"/>
      <c r="G169" s="39"/>
      <c r="H169" s="35"/>
    </row>
    <row r="171" spans="2:9">
      <c r="B171" s="43"/>
      <c r="D171" s="44"/>
    </row>
    <row r="172" spans="2:9">
      <c r="B172" s="45"/>
    </row>
    <row r="173" spans="2:9">
      <c r="B173" s="46"/>
      <c r="D173" s="47"/>
    </row>
    <row r="174" spans="2:9">
      <c r="B174" s="50"/>
      <c r="D174" s="51"/>
    </row>
    <row r="175" spans="2:9">
      <c r="B175" s="42"/>
    </row>
    <row r="177" spans="2:9" ht="15.75">
      <c r="B177" s="35"/>
      <c r="C177" s="54"/>
      <c r="D177" s="35"/>
      <c r="E177" s="33"/>
      <c r="F177" s="35"/>
      <c r="G177" s="39"/>
      <c r="H177" s="35"/>
      <c r="I177" s="39"/>
    </row>
    <row r="178" spans="2:9" ht="15.75">
      <c r="B178" s="35"/>
      <c r="C178" s="54"/>
      <c r="D178" s="35"/>
      <c r="E178" s="36"/>
      <c r="F178" s="35"/>
      <c r="G178" s="39"/>
      <c r="H178" s="35"/>
      <c r="I178" s="39"/>
    </row>
    <row r="179" spans="2:9" ht="15.75">
      <c r="B179" s="35"/>
      <c r="C179" s="40"/>
      <c r="D179" s="35"/>
      <c r="E179" s="40"/>
      <c r="F179" s="35"/>
      <c r="G179" s="38"/>
      <c r="H179" s="35"/>
      <c r="I179" s="38"/>
    </row>
    <row r="180" spans="2:9" ht="15.75">
      <c r="B180" s="35"/>
      <c r="C180" s="54"/>
      <c r="D180" s="35"/>
      <c r="E180" s="36"/>
      <c r="F180" s="35"/>
      <c r="G180" s="39"/>
      <c r="H180" s="35"/>
      <c r="I180" s="38"/>
    </row>
    <row r="181" spans="2:9" ht="15.75">
      <c r="B181" s="53"/>
      <c r="C181" s="54"/>
      <c r="D181" s="35"/>
      <c r="E181" s="36"/>
      <c r="F181" s="35"/>
      <c r="G181" s="39"/>
      <c r="H181" s="35"/>
      <c r="I181" s="39"/>
    </row>
    <row r="182" spans="2:9">
      <c r="B182" s="33"/>
      <c r="C182" s="34"/>
      <c r="D182" s="33"/>
      <c r="E182" s="33"/>
      <c r="F182" s="33"/>
      <c r="G182" s="33"/>
      <c r="H182" s="33"/>
      <c r="I182" s="33"/>
    </row>
    <row r="183" spans="2:9" ht="15.75">
      <c r="B183" s="38"/>
      <c r="C183" s="34"/>
      <c r="D183" s="38"/>
      <c r="E183" s="33"/>
      <c r="F183" s="38"/>
      <c r="G183" s="33"/>
      <c r="H183" s="38"/>
      <c r="I183" s="33"/>
    </row>
    <row r="184" spans="2:9" ht="15.75">
      <c r="B184" s="39"/>
      <c r="C184" s="33"/>
      <c r="D184" s="33"/>
      <c r="E184" s="33"/>
      <c r="F184" s="33"/>
      <c r="G184" s="33"/>
      <c r="H184" s="33"/>
      <c r="I184" s="33"/>
    </row>
    <row r="185" spans="2:9" ht="15.75">
      <c r="B185" s="35"/>
      <c r="C185" s="39"/>
      <c r="D185" s="35"/>
      <c r="E185" s="33"/>
      <c r="F185" s="35"/>
      <c r="G185" s="39"/>
      <c r="H185" s="35"/>
      <c r="I185" s="39"/>
    </row>
    <row r="186" spans="2:9" ht="15.75">
      <c r="B186" s="35"/>
      <c r="C186" s="39"/>
      <c r="D186" s="35"/>
      <c r="E186" s="37"/>
      <c r="F186" s="35"/>
      <c r="G186" s="39"/>
      <c r="H186" s="35"/>
      <c r="I186" s="39"/>
    </row>
    <row r="187" spans="2:9" ht="15.75">
      <c r="B187" s="35"/>
      <c r="C187" s="38"/>
      <c r="D187" s="35"/>
      <c r="E187" s="38"/>
      <c r="F187" s="35"/>
      <c r="G187" s="38"/>
      <c r="H187" s="35"/>
      <c r="I187" s="38"/>
    </row>
    <row r="188" spans="2:9" ht="15.75">
      <c r="B188" s="35"/>
      <c r="C188" s="39"/>
      <c r="D188" s="35"/>
      <c r="E188" s="37"/>
      <c r="F188" s="35"/>
      <c r="G188" s="39"/>
      <c r="H188" s="35"/>
      <c r="I188" s="39"/>
    </row>
    <row r="189" spans="2:9" ht="15.75">
      <c r="B189" s="35"/>
      <c r="C189" s="39"/>
      <c r="D189" s="35"/>
      <c r="E189" s="37"/>
      <c r="F189" s="35"/>
      <c r="G189" s="39"/>
      <c r="H189" s="35"/>
      <c r="I189" s="39"/>
    </row>
    <row r="190" spans="2:9">
      <c r="B190" s="33"/>
      <c r="C190" s="33"/>
      <c r="D190" s="33"/>
      <c r="E190" s="33"/>
      <c r="F190" s="33"/>
      <c r="G190" s="33"/>
      <c r="H190" s="33"/>
      <c r="I190" s="33"/>
    </row>
    <row r="191" spans="2:9" ht="15.75">
      <c r="B191" s="38"/>
      <c r="C191" s="33"/>
      <c r="D191" s="38"/>
      <c r="E191" s="33"/>
      <c r="F191" s="38"/>
      <c r="G191" s="33"/>
      <c r="H191" s="38"/>
      <c r="I191" s="33"/>
    </row>
    <row r="192" spans="2:9" ht="15.75">
      <c r="B192" s="39"/>
      <c r="C192" s="33"/>
      <c r="D192" s="33"/>
      <c r="E192" s="33"/>
      <c r="F192" s="33"/>
      <c r="G192" s="33"/>
      <c r="H192" s="33"/>
      <c r="I192" s="33"/>
    </row>
    <row r="193" spans="2:9" ht="15.75">
      <c r="B193" s="35"/>
      <c r="C193" s="39"/>
      <c r="D193" s="35"/>
      <c r="E193" s="33"/>
      <c r="F193" s="35"/>
      <c r="G193" s="39"/>
      <c r="H193" s="35"/>
    </row>
    <row r="194" spans="2:9" ht="15.75">
      <c r="B194" s="35"/>
      <c r="C194" s="39"/>
      <c r="D194" s="35"/>
      <c r="E194" s="37"/>
      <c r="F194" s="35"/>
      <c r="G194" s="39"/>
      <c r="H194" s="35"/>
    </row>
    <row r="195" spans="2:9" ht="15.75">
      <c r="B195" s="35"/>
      <c r="C195" s="38"/>
      <c r="D195" s="35"/>
      <c r="E195" s="38"/>
      <c r="F195" s="35"/>
      <c r="G195" s="38"/>
      <c r="H195" s="35"/>
    </row>
    <row r="196" spans="2:9" ht="15.75">
      <c r="B196" s="35"/>
      <c r="C196" s="39"/>
      <c r="D196" s="35"/>
      <c r="E196" s="37"/>
      <c r="F196" s="35"/>
      <c r="G196" s="39"/>
      <c r="H196" s="35"/>
    </row>
    <row r="197" spans="2:9" ht="15.75">
      <c r="B197" s="35"/>
      <c r="C197" s="39"/>
      <c r="D197" s="35"/>
      <c r="E197" s="37"/>
      <c r="F197" s="35"/>
      <c r="G197" s="39"/>
      <c r="H197" s="35"/>
    </row>
    <row r="199" spans="2:9">
      <c r="B199" s="43"/>
      <c r="D199" s="44"/>
    </row>
    <row r="200" spans="2:9">
      <c r="B200" s="45"/>
    </row>
    <row r="201" spans="2:9">
      <c r="B201" s="46"/>
      <c r="D201" s="47"/>
    </row>
    <row r="202" spans="2:9">
      <c r="B202" s="52"/>
      <c r="D202" s="51"/>
    </row>
    <row r="203" spans="2:9">
      <c r="B203" s="42"/>
    </row>
    <row r="205" spans="2:9" ht="15.75">
      <c r="B205" s="35"/>
      <c r="C205" s="54"/>
      <c r="D205" s="35"/>
      <c r="E205" s="33"/>
      <c r="F205" s="35"/>
      <c r="G205" s="39"/>
      <c r="H205" s="35"/>
      <c r="I205" s="39"/>
    </row>
    <row r="206" spans="2:9" ht="15.75">
      <c r="B206" s="35"/>
      <c r="C206" s="54"/>
      <c r="D206" s="35"/>
      <c r="E206" s="36"/>
      <c r="F206" s="35"/>
      <c r="G206" s="39"/>
      <c r="H206" s="35"/>
      <c r="I206" s="39"/>
    </row>
    <row r="207" spans="2:9" ht="15.75">
      <c r="B207" s="35"/>
      <c r="C207" s="40"/>
      <c r="D207" s="35"/>
      <c r="E207" s="40"/>
      <c r="F207" s="35"/>
      <c r="G207" s="38"/>
      <c r="H207" s="35"/>
      <c r="I207" s="38"/>
    </row>
    <row r="208" spans="2:9" ht="15.75">
      <c r="B208" s="35"/>
      <c r="C208" s="54"/>
      <c r="D208" s="35"/>
      <c r="E208" s="36"/>
      <c r="F208" s="35"/>
      <c r="G208" s="39"/>
      <c r="H208" s="35"/>
      <c r="I208" s="38"/>
    </row>
    <row r="209" spans="2:9" ht="15.75">
      <c r="B209" s="53"/>
      <c r="C209" s="54"/>
      <c r="D209" s="35"/>
      <c r="E209" s="36"/>
      <c r="F209" s="35"/>
      <c r="G209" s="39"/>
      <c r="H209" s="35"/>
      <c r="I209" s="39"/>
    </row>
    <row r="210" spans="2:9">
      <c r="B210" s="33"/>
      <c r="C210" s="34"/>
      <c r="D210" s="33"/>
      <c r="E210" s="33"/>
      <c r="F210" s="33"/>
      <c r="G210" s="33"/>
      <c r="H210" s="33"/>
      <c r="I210" s="33"/>
    </row>
    <row r="211" spans="2:9" ht="15.75">
      <c r="B211" s="38"/>
      <c r="C211" s="34"/>
      <c r="D211" s="38"/>
      <c r="E211" s="33"/>
      <c r="F211" s="38"/>
      <c r="G211" s="33"/>
      <c r="H211" s="38"/>
      <c r="I211" s="33"/>
    </row>
    <row r="212" spans="2:9" ht="15.75">
      <c r="B212" s="39"/>
      <c r="C212" s="33"/>
      <c r="D212" s="33"/>
      <c r="E212" s="33"/>
      <c r="F212" s="33"/>
      <c r="G212" s="33"/>
      <c r="H212" s="33"/>
      <c r="I212" s="33"/>
    </row>
    <row r="213" spans="2:9" ht="15.75">
      <c r="B213" s="35"/>
      <c r="C213" s="39"/>
      <c r="D213" s="35"/>
      <c r="E213" s="33"/>
      <c r="F213" s="35"/>
      <c r="G213" s="39"/>
      <c r="H213" s="35"/>
      <c r="I213" s="39"/>
    </row>
    <row r="214" spans="2:9" ht="15.75">
      <c r="B214" s="35"/>
      <c r="C214" s="39"/>
      <c r="D214" s="35"/>
      <c r="E214" s="37"/>
      <c r="F214" s="35"/>
      <c r="G214" s="39"/>
      <c r="H214" s="35"/>
      <c r="I214" s="39"/>
    </row>
    <row r="215" spans="2:9" ht="15.75">
      <c r="B215" s="35"/>
      <c r="C215" s="38"/>
      <c r="D215" s="35"/>
      <c r="E215" s="38"/>
      <c r="F215" s="35"/>
      <c r="G215" s="38"/>
      <c r="H215" s="35"/>
      <c r="I215" s="38"/>
    </row>
    <row r="216" spans="2:9" ht="15.75">
      <c r="B216" s="35"/>
      <c r="C216" s="39"/>
      <c r="D216" s="35"/>
      <c r="E216" s="37"/>
      <c r="F216" s="35"/>
      <c r="G216" s="39"/>
      <c r="H216" s="35"/>
      <c r="I216" s="39"/>
    </row>
    <row r="217" spans="2:9" ht="15.75">
      <c r="B217" s="35"/>
      <c r="C217" s="39"/>
      <c r="D217" s="35"/>
      <c r="E217" s="37"/>
      <c r="F217" s="35"/>
      <c r="G217" s="39"/>
      <c r="H217" s="35"/>
      <c r="I217" s="39"/>
    </row>
    <row r="218" spans="2:9">
      <c r="B218" s="33"/>
      <c r="C218" s="33"/>
      <c r="D218" s="33"/>
      <c r="E218" s="33"/>
      <c r="F218" s="33"/>
      <c r="G218" s="33"/>
      <c r="H218" s="33"/>
      <c r="I218" s="33"/>
    </row>
    <row r="219" spans="2:9" ht="15.75">
      <c r="B219" s="38"/>
      <c r="C219" s="33"/>
      <c r="D219" s="38"/>
      <c r="E219" s="33"/>
      <c r="F219" s="38"/>
      <c r="G219" s="33"/>
      <c r="H219" s="38"/>
      <c r="I219" s="33"/>
    </row>
    <row r="220" spans="2:9" ht="15.75">
      <c r="B220" s="39"/>
      <c r="C220" s="33"/>
      <c r="D220" s="33"/>
      <c r="E220" s="33"/>
      <c r="F220" s="33"/>
      <c r="G220" s="33"/>
      <c r="H220" s="33"/>
      <c r="I220" s="33"/>
    </row>
    <row r="221" spans="2:9" ht="15.75">
      <c r="B221" s="35"/>
      <c r="C221" s="39"/>
      <c r="D221" s="35"/>
      <c r="E221" s="33"/>
      <c r="F221" s="35"/>
      <c r="G221" s="39"/>
      <c r="H221" s="35"/>
    </row>
    <row r="222" spans="2:9" ht="15.75">
      <c r="B222" s="35"/>
      <c r="C222" s="39"/>
      <c r="D222" s="35"/>
      <c r="E222" s="37"/>
      <c r="F222" s="35"/>
      <c r="G222" s="39"/>
      <c r="H222" s="35"/>
    </row>
    <row r="223" spans="2:9" ht="15.75">
      <c r="B223" s="35"/>
      <c r="C223" s="38"/>
      <c r="D223" s="35"/>
      <c r="E223" s="38"/>
      <c r="F223" s="35"/>
      <c r="G223" s="38"/>
      <c r="H223" s="35"/>
    </row>
    <row r="224" spans="2:9" ht="15.75">
      <c r="B224" s="35"/>
      <c r="C224" s="39"/>
      <c r="D224" s="35"/>
      <c r="E224" s="37"/>
      <c r="F224" s="35"/>
      <c r="G224" s="39"/>
      <c r="H224" s="35"/>
    </row>
    <row r="225" spans="2:9" ht="15.75">
      <c r="B225" s="35"/>
      <c r="C225" s="39"/>
      <c r="D225" s="35"/>
      <c r="E225" s="37"/>
      <c r="F225" s="35"/>
      <c r="G225" s="39"/>
      <c r="H225" s="35"/>
    </row>
    <row r="227" spans="2:9">
      <c r="B227" s="43"/>
      <c r="D227" s="44"/>
    </row>
    <row r="228" spans="2:9">
      <c r="B228" s="45"/>
    </row>
    <row r="229" spans="2:9">
      <c r="B229" s="46"/>
      <c r="D229" s="47"/>
    </row>
    <row r="230" spans="2:9">
      <c r="B230" s="52"/>
      <c r="D230" s="51"/>
    </row>
    <row r="231" spans="2:9">
      <c r="B231" s="42"/>
    </row>
    <row r="233" spans="2:9" ht="15.75">
      <c r="B233" s="35"/>
      <c r="C233" s="54"/>
      <c r="D233" s="35"/>
      <c r="E233" s="33"/>
      <c r="F233" s="35"/>
      <c r="G233" s="39"/>
      <c r="H233" s="35"/>
      <c r="I233" s="39"/>
    </row>
    <row r="234" spans="2:9" ht="15.75">
      <c r="B234" s="35"/>
      <c r="C234" s="54"/>
      <c r="D234" s="35"/>
      <c r="E234" s="36"/>
      <c r="F234" s="35"/>
      <c r="G234" s="39"/>
      <c r="H234" s="35"/>
      <c r="I234" s="39"/>
    </row>
    <row r="235" spans="2:9" ht="15.75">
      <c r="B235" s="35"/>
      <c r="C235" s="40"/>
      <c r="D235" s="35"/>
      <c r="E235" s="40"/>
      <c r="F235" s="35"/>
      <c r="G235" s="38"/>
      <c r="H235" s="35"/>
      <c r="I235" s="38"/>
    </row>
    <row r="236" spans="2:9" ht="15.75">
      <c r="B236" s="35"/>
      <c r="C236" s="54"/>
      <c r="D236" s="35"/>
      <c r="E236" s="36"/>
      <c r="F236" s="35"/>
      <c r="G236" s="39"/>
      <c r="H236" s="35"/>
      <c r="I236" s="38"/>
    </row>
    <row r="237" spans="2:9" ht="15.75">
      <c r="B237" s="53"/>
      <c r="C237" s="54"/>
      <c r="D237" s="35"/>
      <c r="E237" s="36"/>
      <c r="F237" s="35"/>
      <c r="G237" s="39"/>
      <c r="H237" s="35"/>
      <c r="I237" s="39"/>
    </row>
    <row r="238" spans="2:9">
      <c r="B238" s="33"/>
      <c r="C238" s="34"/>
      <c r="D238" s="33"/>
      <c r="E238" s="33"/>
      <c r="F238" s="33"/>
      <c r="G238" s="33"/>
      <c r="H238" s="33"/>
      <c r="I238" s="33"/>
    </row>
    <row r="239" spans="2:9" ht="15.75">
      <c r="B239" s="38"/>
      <c r="C239" s="34"/>
      <c r="D239" s="38"/>
      <c r="E239" s="33"/>
      <c r="F239" s="38"/>
      <c r="G239" s="33"/>
      <c r="H239" s="38"/>
      <c r="I239" s="33"/>
    </row>
    <row r="240" spans="2:9" ht="15.75">
      <c r="B240" s="39"/>
      <c r="C240" s="33"/>
      <c r="D240" s="33"/>
      <c r="E240" s="33"/>
      <c r="F240" s="33"/>
      <c r="G240" s="33"/>
      <c r="H240" s="33"/>
      <c r="I240" s="33"/>
    </row>
    <row r="241" spans="2:9" ht="15.75">
      <c r="B241" s="35"/>
      <c r="C241" s="39"/>
      <c r="D241" s="35"/>
      <c r="E241" s="33"/>
      <c r="F241" s="35"/>
      <c r="G241" s="39"/>
      <c r="H241" s="35"/>
      <c r="I241" s="39"/>
    </row>
    <row r="242" spans="2:9" ht="15.75">
      <c r="B242" s="35"/>
      <c r="C242" s="39"/>
      <c r="D242" s="35"/>
      <c r="E242" s="37"/>
      <c r="F242" s="35"/>
      <c r="G242" s="39"/>
      <c r="H242" s="35"/>
      <c r="I242" s="39"/>
    </row>
    <row r="243" spans="2:9" ht="15.75">
      <c r="B243" s="35"/>
      <c r="C243" s="38"/>
      <c r="D243" s="35"/>
      <c r="E243" s="38"/>
      <c r="F243" s="35"/>
      <c r="G243" s="38"/>
      <c r="H243" s="35"/>
      <c r="I243" s="38"/>
    </row>
    <row r="244" spans="2:9" ht="15.75">
      <c r="B244" s="35"/>
      <c r="C244" s="39"/>
      <c r="D244" s="35"/>
      <c r="E244" s="37"/>
      <c r="F244" s="35"/>
      <c r="G244" s="39"/>
      <c r="H244" s="35"/>
      <c r="I244" s="39"/>
    </row>
    <row r="245" spans="2:9" ht="15.75">
      <c r="B245" s="35"/>
      <c r="C245" s="39"/>
      <c r="D245" s="35"/>
      <c r="E245" s="37"/>
      <c r="F245" s="35"/>
      <c r="G245" s="39"/>
      <c r="H245" s="35"/>
      <c r="I245" s="39"/>
    </row>
    <row r="246" spans="2:9">
      <c r="B246" s="33"/>
      <c r="C246" s="33"/>
      <c r="D246" s="33"/>
      <c r="E246" s="33"/>
      <c r="F246" s="33"/>
      <c r="G246" s="33"/>
      <c r="H246" s="33"/>
      <c r="I246" s="33"/>
    </row>
    <row r="247" spans="2:9" ht="15.75">
      <c r="B247" s="38"/>
      <c r="C247" s="33"/>
      <c r="D247" s="38"/>
      <c r="E247" s="33"/>
      <c r="F247" s="38"/>
      <c r="G247" s="33"/>
      <c r="H247" s="38"/>
      <c r="I247" s="33"/>
    </row>
    <row r="248" spans="2:9" ht="15.75">
      <c r="B248" s="39"/>
      <c r="C248" s="33"/>
      <c r="D248" s="33"/>
      <c r="E248" s="33"/>
      <c r="F248" s="33"/>
      <c r="G248" s="33"/>
      <c r="H248" s="33"/>
      <c r="I248" s="33"/>
    </row>
    <row r="249" spans="2:9" ht="15.75">
      <c r="B249" s="35"/>
      <c r="C249" s="39"/>
      <c r="D249" s="35"/>
      <c r="E249" s="33"/>
      <c r="F249" s="35"/>
      <c r="G249" s="39"/>
      <c r="H249" s="35"/>
    </row>
    <row r="250" spans="2:9" ht="15.75">
      <c r="B250" s="35"/>
      <c r="C250" s="39"/>
      <c r="D250" s="35"/>
      <c r="E250" s="37"/>
      <c r="F250" s="35"/>
      <c r="G250" s="39"/>
      <c r="H250" s="35"/>
    </row>
    <row r="251" spans="2:9" ht="15.75">
      <c r="B251" s="35"/>
      <c r="C251" s="38"/>
      <c r="D251" s="35"/>
      <c r="E251" s="38"/>
      <c r="F251" s="35"/>
      <c r="G251" s="38"/>
      <c r="H251" s="35"/>
    </row>
    <row r="252" spans="2:9" ht="15.75">
      <c r="B252" s="35"/>
      <c r="C252" s="39"/>
      <c r="D252" s="35"/>
      <c r="E252" s="37"/>
      <c r="F252" s="35"/>
      <c r="G252" s="39"/>
      <c r="H252" s="35"/>
    </row>
    <row r="253" spans="2:9" ht="15.75">
      <c r="B253" s="35"/>
      <c r="C253" s="39"/>
      <c r="D253" s="35"/>
      <c r="E253" s="37"/>
      <c r="F253" s="35"/>
      <c r="G253" s="39"/>
      <c r="H253" s="35"/>
    </row>
    <row r="255" spans="2:9">
      <c r="B255" s="43"/>
      <c r="D255" s="44"/>
    </row>
    <row r="256" spans="2:9">
      <c r="B256" s="45"/>
    </row>
    <row r="257" spans="2:9">
      <c r="B257" s="46"/>
      <c r="D257" s="47"/>
    </row>
    <row r="258" spans="2:9">
      <c r="B258" s="52"/>
      <c r="D258" s="51"/>
    </row>
    <row r="259" spans="2:9">
      <c r="B259" s="42"/>
    </row>
    <row r="261" spans="2:9" ht="15.75">
      <c r="B261" s="35"/>
      <c r="C261" s="54"/>
      <c r="D261" s="35"/>
      <c r="E261" s="33"/>
      <c r="F261" s="35"/>
      <c r="G261" s="39"/>
      <c r="H261" s="35"/>
      <c r="I261" s="39"/>
    </row>
    <row r="262" spans="2:9" ht="15.75">
      <c r="B262" s="35"/>
      <c r="C262" s="54"/>
      <c r="D262" s="35"/>
      <c r="E262" s="36"/>
      <c r="F262" s="35"/>
      <c r="G262" s="39"/>
      <c r="H262" s="35"/>
      <c r="I262" s="39"/>
    </row>
    <row r="263" spans="2:9" ht="15.75">
      <c r="B263" s="35"/>
      <c r="C263" s="40"/>
      <c r="D263" s="35"/>
      <c r="E263" s="40"/>
      <c r="F263" s="35"/>
      <c r="G263" s="38"/>
      <c r="H263" s="35"/>
      <c r="I263" s="38"/>
    </row>
    <row r="264" spans="2:9" ht="15.75">
      <c r="B264" s="35"/>
      <c r="C264" s="54"/>
      <c r="D264" s="35"/>
      <c r="E264" s="36"/>
      <c r="F264" s="35"/>
      <c r="G264" s="39"/>
      <c r="H264" s="35"/>
      <c r="I264" s="38"/>
    </row>
    <row r="265" spans="2:9" ht="15.75">
      <c r="B265" s="53"/>
      <c r="C265" s="54"/>
      <c r="D265" s="35"/>
      <c r="E265" s="36"/>
      <c r="F265" s="35"/>
      <c r="G265" s="39"/>
      <c r="H265" s="35"/>
      <c r="I265" s="39"/>
    </row>
    <row r="266" spans="2:9">
      <c r="B266" s="33"/>
      <c r="C266" s="34"/>
      <c r="D266" s="33"/>
      <c r="E266" s="33"/>
      <c r="F266" s="33"/>
      <c r="G266" s="33"/>
      <c r="H266" s="33"/>
      <c r="I266" s="33"/>
    </row>
    <row r="267" spans="2:9" ht="15.75">
      <c r="B267" s="38"/>
      <c r="C267" s="34"/>
      <c r="D267" s="38"/>
      <c r="E267" s="33"/>
      <c r="F267" s="38"/>
      <c r="G267" s="33"/>
      <c r="H267" s="38"/>
      <c r="I267" s="33"/>
    </row>
    <row r="268" spans="2:9" ht="15.75">
      <c r="B268" s="39"/>
      <c r="C268" s="33"/>
      <c r="D268" s="33"/>
      <c r="E268" s="33"/>
      <c r="F268" s="33"/>
      <c r="G268" s="33"/>
      <c r="H268" s="33"/>
      <c r="I268" s="33"/>
    </row>
    <row r="269" spans="2:9" ht="15.75">
      <c r="B269" s="35"/>
      <c r="C269" s="39"/>
      <c r="D269" s="35"/>
      <c r="E269" s="33"/>
      <c r="F269" s="35"/>
      <c r="G269" s="39"/>
      <c r="H269" s="35"/>
      <c r="I269" s="39"/>
    </row>
    <row r="270" spans="2:9" ht="15.75">
      <c r="B270" s="35"/>
      <c r="C270" s="39"/>
      <c r="D270" s="35"/>
      <c r="E270" s="37"/>
      <c r="F270" s="35"/>
      <c r="G270" s="39"/>
      <c r="H270" s="35"/>
      <c r="I270" s="39"/>
    </row>
    <row r="271" spans="2:9" ht="15.75">
      <c r="B271" s="35"/>
      <c r="C271" s="38"/>
      <c r="D271" s="35"/>
      <c r="E271" s="38"/>
      <c r="F271" s="35"/>
      <c r="G271" s="38"/>
      <c r="H271" s="35"/>
      <c r="I271" s="38"/>
    </row>
    <row r="272" spans="2:9" ht="15.75">
      <c r="B272" s="35"/>
      <c r="C272" s="39"/>
      <c r="D272" s="35"/>
      <c r="E272" s="37"/>
      <c r="F272" s="35"/>
      <c r="G272" s="39"/>
      <c r="H272" s="35"/>
      <c r="I272" s="39"/>
    </row>
    <row r="273" spans="2:9" ht="15.75">
      <c r="B273" s="35"/>
      <c r="C273" s="39"/>
      <c r="D273" s="35"/>
      <c r="E273" s="37"/>
      <c r="F273" s="35"/>
      <c r="G273" s="39"/>
      <c r="H273" s="35"/>
      <c r="I273" s="39"/>
    </row>
    <row r="274" spans="2:9">
      <c r="B274" s="33"/>
      <c r="C274" s="33"/>
      <c r="D274" s="33"/>
      <c r="E274" s="33"/>
      <c r="F274" s="33"/>
      <c r="G274" s="33"/>
      <c r="H274" s="33"/>
      <c r="I274" s="33"/>
    </row>
    <row r="275" spans="2:9" ht="15.75">
      <c r="B275" s="38"/>
      <c r="C275" s="33"/>
      <c r="D275" s="38"/>
      <c r="E275" s="33"/>
      <c r="F275" s="38"/>
      <c r="G275" s="33"/>
      <c r="H275" s="38"/>
      <c r="I275" s="33"/>
    </row>
    <row r="276" spans="2:9" ht="15.75">
      <c r="B276" s="39"/>
      <c r="C276" s="33"/>
      <c r="D276" s="33"/>
      <c r="E276" s="33"/>
      <c r="F276" s="33"/>
      <c r="G276" s="33"/>
      <c r="H276" s="33"/>
      <c r="I276" s="33"/>
    </row>
    <row r="277" spans="2:9" ht="15.75">
      <c r="B277" s="35"/>
      <c r="C277" s="39"/>
      <c r="D277" s="35"/>
      <c r="E277" s="33"/>
      <c r="F277" s="35"/>
      <c r="G277" s="39"/>
      <c r="H277" s="35"/>
    </row>
    <row r="278" spans="2:9" ht="15.75">
      <c r="B278" s="35"/>
      <c r="C278" s="39"/>
      <c r="D278" s="35"/>
      <c r="E278" s="37"/>
      <c r="F278" s="35"/>
      <c r="G278" s="39"/>
      <c r="H278" s="35"/>
    </row>
    <row r="279" spans="2:9" ht="15.75">
      <c r="B279" s="35"/>
      <c r="C279" s="38"/>
      <c r="D279" s="35"/>
      <c r="E279" s="38"/>
      <c r="F279" s="35"/>
      <c r="G279" s="38"/>
      <c r="H279" s="35"/>
    </row>
    <row r="280" spans="2:9" ht="15.75">
      <c r="B280" s="35"/>
      <c r="C280" s="39"/>
      <c r="D280" s="35"/>
      <c r="E280" s="37"/>
      <c r="F280" s="35"/>
      <c r="G280" s="39"/>
      <c r="H280" s="35"/>
    </row>
    <row r="281" spans="2:9" ht="15.75">
      <c r="B281" s="35"/>
      <c r="C281" s="39"/>
      <c r="D281" s="35"/>
      <c r="E281" s="37"/>
      <c r="F281" s="35"/>
      <c r="G281" s="39"/>
      <c r="H281" s="35"/>
    </row>
    <row r="283" spans="2:9">
      <c r="B283" s="43"/>
      <c r="D283" s="44"/>
    </row>
    <row r="284" spans="2:9">
      <c r="B284" s="45"/>
    </row>
    <row r="285" spans="2:9">
      <c r="B285" s="46"/>
      <c r="D285" s="47"/>
    </row>
    <row r="286" spans="2:9">
      <c r="B286" s="52"/>
      <c r="D286" s="51"/>
    </row>
    <row r="287" spans="2:9">
      <c r="B287" s="55"/>
    </row>
    <row r="289" spans="2:9">
      <c r="B289" s="42"/>
    </row>
    <row r="291" spans="2:9" ht="15.75">
      <c r="B291" s="35"/>
      <c r="C291" s="54"/>
      <c r="D291" s="35"/>
      <c r="E291" s="33"/>
      <c r="F291" s="35"/>
      <c r="G291" s="39"/>
      <c r="H291" s="35"/>
      <c r="I291" s="39"/>
    </row>
    <row r="292" spans="2:9" ht="15.75">
      <c r="B292" s="35"/>
      <c r="C292" s="54"/>
      <c r="D292" s="35"/>
      <c r="E292" s="36"/>
      <c r="F292" s="35"/>
      <c r="G292" s="39"/>
      <c r="H292" s="35"/>
      <c r="I292" s="39"/>
    </row>
    <row r="293" spans="2:9" ht="15.75">
      <c r="B293" s="35"/>
      <c r="C293" s="40"/>
      <c r="D293" s="35"/>
      <c r="E293" s="40"/>
      <c r="F293" s="35"/>
      <c r="G293" s="38"/>
      <c r="H293" s="35"/>
      <c r="I293" s="38"/>
    </row>
    <row r="294" spans="2:9" ht="15.75">
      <c r="B294" s="35"/>
      <c r="C294" s="54"/>
      <c r="D294" s="35"/>
      <c r="E294" s="36"/>
      <c r="F294" s="35"/>
      <c r="G294" s="39"/>
      <c r="H294" s="35"/>
      <c r="I294" s="38"/>
    </row>
    <row r="295" spans="2:9" ht="15.75">
      <c r="B295" s="53"/>
      <c r="C295" s="54"/>
      <c r="D295" s="35"/>
      <c r="E295" s="36"/>
      <c r="F295" s="35"/>
      <c r="G295" s="39"/>
      <c r="H295" s="35"/>
      <c r="I295" s="39"/>
    </row>
    <row r="296" spans="2:9">
      <c r="B296" s="33"/>
      <c r="C296" s="34"/>
      <c r="D296" s="33"/>
      <c r="E296" s="33"/>
      <c r="F296" s="33"/>
      <c r="G296" s="33"/>
      <c r="H296" s="33"/>
      <c r="I296" s="33"/>
    </row>
    <row r="297" spans="2:9" ht="15.75">
      <c r="B297" s="38"/>
      <c r="C297" s="34"/>
      <c r="D297" s="38"/>
      <c r="E297" s="33"/>
      <c r="F297" s="38"/>
      <c r="G297" s="33"/>
      <c r="H297" s="38"/>
      <c r="I297" s="33"/>
    </row>
    <row r="298" spans="2:9" ht="15.75">
      <c r="B298" s="39"/>
      <c r="C298" s="33"/>
      <c r="D298" s="33"/>
      <c r="E298" s="33"/>
      <c r="F298" s="33"/>
      <c r="G298" s="33"/>
      <c r="H298" s="33"/>
      <c r="I298" s="33"/>
    </row>
    <row r="299" spans="2:9" ht="15.75">
      <c r="B299" s="35"/>
      <c r="C299" s="39"/>
      <c r="D299" s="35"/>
      <c r="E299" s="33"/>
      <c r="F299" s="35"/>
      <c r="G299" s="39"/>
      <c r="H299" s="35"/>
      <c r="I299" s="39"/>
    </row>
    <row r="300" spans="2:9" ht="15.75">
      <c r="B300" s="35"/>
      <c r="C300" s="39"/>
      <c r="D300" s="35"/>
      <c r="E300" s="37"/>
      <c r="F300" s="35"/>
      <c r="G300" s="39"/>
      <c r="H300" s="35"/>
      <c r="I300" s="39"/>
    </row>
    <row r="301" spans="2:9" ht="15.75">
      <c r="B301" s="35"/>
      <c r="C301" s="38"/>
      <c r="D301" s="35"/>
      <c r="E301" s="38"/>
      <c r="F301" s="35"/>
      <c r="G301" s="38"/>
      <c r="H301" s="35"/>
      <c r="I301" s="38"/>
    </row>
    <row r="302" spans="2:9" ht="15.75">
      <c r="B302" s="35"/>
      <c r="C302" s="39"/>
      <c r="D302" s="35"/>
      <c r="E302" s="37"/>
      <c r="F302" s="35"/>
      <c r="G302" s="39"/>
      <c r="H302" s="35"/>
      <c r="I302" s="39"/>
    </row>
    <row r="303" spans="2:9" ht="15.75">
      <c r="B303" s="35"/>
      <c r="C303" s="39"/>
      <c r="D303" s="35"/>
      <c r="E303" s="37"/>
      <c r="F303" s="35"/>
      <c r="G303" s="39"/>
      <c r="H303" s="35"/>
      <c r="I303" s="39"/>
    </row>
    <row r="304" spans="2:9">
      <c r="B304" s="33"/>
      <c r="C304" s="33"/>
      <c r="D304" s="33"/>
      <c r="E304" s="33"/>
      <c r="F304" s="33"/>
      <c r="G304" s="33"/>
      <c r="H304" s="33"/>
      <c r="I304" s="33"/>
    </row>
    <row r="305" spans="2:9" ht="15.75">
      <c r="B305" s="38"/>
      <c r="C305" s="33"/>
      <c r="D305" s="38"/>
      <c r="E305" s="33"/>
      <c r="F305" s="38"/>
      <c r="G305" s="33"/>
      <c r="H305" s="38"/>
      <c r="I305" s="33"/>
    </row>
    <row r="306" spans="2:9" ht="15.75">
      <c r="B306" s="39"/>
      <c r="C306" s="33"/>
      <c r="D306" s="33"/>
      <c r="E306" s="33"/>
      <c r="F306" s="33"/>
      <c r="G306" s="33"/>
      <c r="H306" s="33"/>
      <c r="I306" s="33"/>
    </row>
    <row r="307" spans="2:9" ht="15.75">
      <c r="B307" s="35"/>
      <c r="C307" s="39"/>
      <c r="D307" s="35"/>
      <c r="E307" s="33"/>
      <c r="F307" s="35"/>
      <c r="G307" s="39"/>
      <c r="H307" s="35"/>
    </row>
    <row r="308" spans="2:9" ht="15.75">
      <c r="B308" s="35"/>
      <c r="C308" s="39"/>
      <c r="D308" s="35"/>
      <c r="E308" s="37"/>
      <c r="F308" s="35"/>
      <c r="G308" s="39"/>
      <c r="H308" s="35"/>
    </row>
    <row r="309" spans="2:9" ht="15.75">
      <c r="B309" s="35"/>
      <c r="C309" s="38"/>
      <c r="D309" s="35"/>
      <c r="E309" s="38"/>
      <c r="F309" s="35"/>
      <c r="G309" s="38"/>
      <c r="H309" s="35"/>
    </row>
    <row r="310" spans="2:9" ht="15.75">
      <c r="B310" s="35"/>
      <c r="C310" s="39"/>
      <c r="D310" s="35"/>
      <c r="E310" s="37"/>
      <c r="F310" s="35"/>
      <c r="G310" s="39"/>
      <c r="H310" s="35"/>
    </row>
    <row r="311" spans="2:9" ht="15.75">
      <c r="B311" s="35"/>
      <c r="C311" s="39"/>
      <c r="D311" s="35"/>
      <c r="E311" s="37"/>
      <c r="F311" s="35"/>
      <c r="G311" s="39"/>
      <c r="H311" s="35"/>
    </row>
    <row r="313" spans="2:9">
      <c r="B313" s="43"/>
      <c r="D313" s="44"/>
    </row>
    <row r="314" spans="2:9">
      <c r="B314" s="45"/>
    </row>
    <row r="315" spans="2:9">
      <c r="B315" s="46"/>
      <c r="D315" s="47"/>
    </row>
    <row r="317" spans="2:9">
      <c r="B317" s="42"/>
    </row>
    <row r="319" spans="2:9" ht="15.75">
      <c r="B319" s="35"/>
      <c r="C319" s="54"/>
      <c r="D319" s="35"/>
      <c r="E319" s="33"/>
      <c r="F319" s="35"/>
      <c r="G319" s="39"/>
      <c r="H319" s="35"/>
      <c r="I319" s="39"/>
    </row>
    <row r="320" spans="2:9" ht="15.75">
      <c r="B320" s="35"/>
      <c r="C320" s="54"/>
      <c r="D320" s="35"/>
      <c r="E320" s="36"/>
      <c r="F320" s="35"/>
      <c r="G320" s="39"/>
      <c r="H320" s="35"/>
      <c r="I320" s="39"/>
    </row>
    <row r="321" spans="2:9" ht="15.75">
      <c r="B321" s="35"/>
      <c r="C321" s="40"/>
      <c r="D321" s="35"/>
      <c r="E321" s="40"/>
      <c r="F321" s="35"/>
      <c r="G321" s="38"/>
      <c r="H321" s="35"/>
      <c r="I321" s="38"/>
    </row>
    <row r="322" spans="2:9" ht="15.75">
      <c r="B322" s="35"/>
      <c r="C322" s="54"/>
      <c r="D322" s="35"/>
      <c r="E322" s="36"/>
      <c r="F322" s="35"/>
      <c r="G322" s="39"/>
      <c r="H322" s="35"/>
      <c r="I322" s="38"/>
    </row>
    <row r="323" spans="2:9" ht="15.75">
      <c r="B323" s="53"/>
      <c r="C323" s="54"/>
      <c r="D323" s="35"/>
      <c r="E323" s="36"/>
      <c r="F323" s="35"/>
      <c r="G323" s="39"/>
      <c r="H323" s="35"/>
      <c r="I323" s="39"/>
    </row>
    <row r="324" spans="2:9">
      <c r="B324" s="33"/>
      <c r="C324" s="34"/>
      <c r="D324" s="33"/>
      <c r="E324" s="33"/>
      <c r="F324" s="33"/>
      <c r="G324" s="33"/>
      <c r="H324" s="33"/>
      <c r="I324" s="33"/>
    </row>
    <row r="325" spans="2:9" ht="15.75">
      <c r="B325" s="38"/>
      <c r="C325" s="34"/>
      <c r="D325" s="38"/>
      <c r="E325" s="33"/>
      <c r="F325" s="38"/>
      <c r="G325" s="33"/>
      <c r="H325" s="38"/>
      <c r="I325" s="33"/>
    </row>
    <row r="326" spans="2:9" ht="15.75">
      <c r="B326" s="39"/>
      <c r="C326" s="33"/>
      <c r="D326" s="33"/>
      <c r="E326" s="33"/>
      <c r="F326" s="33"/>
      <c r="G326" s="33"/>
      <c r="H326" s="33"/>
      <c r="I326" s="33"/>
    </row>
    <row r="327" spans="2:9" ht="15.75">
      <c r="B327" s="35"/>
      <c r="C327" s="39"/>
      <c r="D327" s="35"/>
      <c r="E327" s="33"/>
      <c r="F327" s="35"/>
      <c r="G327" s="39"/>
      <c r="H327" s="35"/>
      <c r="I327" s="39"/>
    </row>
    <row r="328" spans="2:9" ht="15.75">
      <c r="B328" s="35"/>
      <c r="C328" s="39"/>
      <c r="D328" s="35"/>
      <c r="E328" s="37"/>
      <c r="F328" s="35"/>
      <c r="G328" s="39"/>
      <c r="H328" s="35"/>
      <c r="I328" s="39"/>
    </row>
    <row r="329" spans="2:9" ht="15.75">
      <c r="B329" s="35"/>
      <c r="C329" s="38"/>
      <c r="D329" s="35"/>
      <c r="E329" s="38"/>
      <c r="F329" s="35"/>
      <c r="G329" s="38"/>
      <c r="H329" s="35"/>
      <c r="I329" s="38"/>
    </row>
    <row r="330" spans="2:9" ht="15.75">
      <c r="B330" s="35"/>
      <c r="C330" s="39"/>
      <c r="D330" s="35"/>
      <c r="E330" s="37"/>
      <c r="F330" s="35"/>
      <c r="G330" s="39"/>
      <c r="H330" s="35"/>
      <c r="I330" s="39"/>
    </row>
    <row r="331" spans="2:9" ht="15.75">
      <c r="B331" s="35"/>
      <c r="C331" s="39"/>
      <c r="D331" s="35"/>
      <c r="E331" s="37"/>
      <c r="F331" s="35"/>
      <c r="G331" s="39"/>
      <c r="H331" s="35"/>
      <c r="I331" s="39"/>
    </row>
    <row r="332" spans="2:9">
      <c r="B332" s="33"/>
      <c r="C332" s="33"/>
      <c r="D332" s="33"/>
      <c r="E332" s="33"/>
      <c r="F332" s="33"/>
      <c r="G332" s="33"/>
      <c r="H332" s="33"/>
      <c r="I332" s="33"/>
    </row>
    <row r="333" spans="2:9" ht="15.75">
      <c r="B333" s="38"/>
      <c r="C333" s="33"/>
      <c r="D333" s="38"/>
      <c r="E333" s="33"/>
      <c r="F333" s="38"/>
      <c r="G333" s="33"/>
      <c r="H333" s="38"/>
      <c r="I333" s="33"/>
    </row>
    <row r="334" spans="2:9" ht="15.75">
      <c r="B334" s="39"/>
      <c r="C334" s="33"/>
      <c r="D334" s="33"/>
      <c r="E334" s="33"/>
      <c r="F334" s="33"/>
      <c r="G334" s="33"/>
      <c r="H334" s="33"/>
      <c r="I334" s="33"/>
    </row>
    <row r="335" spans="2:9" ht="15.75">
      <c r="B335" s="35"/>
      <c r="C335" s="39"/>
      <c r="D335" s="35"/>
      <c r="E335" s="33"/>
      <c r="F335" s="35"/>
      <c r="G335" s="39"/>
      <c r="H335" s="35"/>
    </row>
    <row r="336" spans="2:9" ht="15.75">
      <c r="B336" s="35"/>
      <c r="C336" s="39"/>
      <c r="D336" s="35"/>
      <c r="E336" s="37"/>
      <c r="F336" s="35"/>
      <c r="G336" s="39"/>
      <c r="H336" s="35"/>
    </row>
    <row r="337" spans="2:9" ht="15.75">
      <c r="B337" s="35"/>
      <c r="C337" s="38"/>
      <c r="D337" s="35"/>
      <c r="E337" s="38"/>
      <c r="F337" s="35"/>
      <c r="G337" s="38"/>
      <c r="H337" s="35"/>
    </row>
    <row r="338" spans="2:9" ht="15.75">
      <c r="B338" s="35"/>
      <c r="C338" s="39"/>
      <c r="D338" s="35"/>
      <c r="E338" s="37"/>
      <c r="F338" s="35"/>
      <c r="G338" s="39"/>
      <c r="H338" s="35"/>
    </row>
    <row r="339" spans="2:9" ht="15.75">
      <c r="B339" s="35"/>
      <c r="C339" s="39"/>
      <c r="D339" s="35"/>
      <c r="E339" s="37"/>
      <c r="F339" s="35"/>
      <c r="G339" s="39"/>
      <c r="H339" s="35"/>
    </row>
    <row r="341" spans="2:9">
      <c r="B341" s="43"/>
      <c r="D341" s="44"/>
    </row>
    <row r="342" spans="2:9">
      <c r="B342" s="45"/>
    </row>
    <row r="343" spans="2:9">
      <c r="B343" s="46"/>
      <c r="D343" s="47"/>
    </row>
    <row r="345" spans="2:9">
      <c r="B345" s="42"/>
    </row>
    <row r="347" spans="2:9" ht="15.75">
      <c r="B347" s="35"/>
      <c r="C347" s="54"/>
      <c r="D347" s="35"/>
      <c r="E347" s="33"/>
      <c r="F347" s="35"/>
      <c r="G347" s="39"/>
      <c r="H347" s="35"/>
      <c r="I347" s="39"/>
    </row>
    <row r="348" spans="2:9" ht="15.75">
      <c r="B348" s="35"/>
      <c r="C348" s="54"/>
      <c r="D348" s="35"/>
      <c r="E348" s="36"/>
      <c r="F348" s="35"/>
      <c r="G348" s="39"/>
      <c r="H348" s="35"/>
      <c r="I348" s="39"/>
    </row>
    <row r="349" spans="2:9" ht="15.75">
      <c r="B349" s="35"/>
      <c r="C349" s="40"/>
      <c r="D349" s="35"/>
      <c r="E349" s="40"/>
      <c r="F349" s="35"/>
      <c r="G349" s="38"/>
      <c r="H349" s="35"/>
      <c r="I349" s="38"/>
    </row>
    <row r="350" spans="2:9" ht="15.75">
      <c r="B350" s="35"/>
      <c r="C350" s="54"/>
      <c r="D350" s="35"/>
      <c r="E350" s="36"/>
      <c r="F350" s="35"/>
      <c r="G350" s="39"/>
      <c r="H350" s="35"/>
      <c r="I350" s="38"/>
    </row>
    <row r="351" spans="2:9" ht="15.75">
      <c r="B351" s="53"/>
      <c r="C351" s="54"/>
      <c r="D351" s="35"/>
      <c r="E351" s="36"/>
      <c r="F351" s="35"/>
      <c r="G351" s="39"/>
      <c r="H351" s="35"/>
      <c r="I351" s="39"/>
    </row>
    <row r="352" spans="2:9">
      <c r="B352" s="33"/>
      <c r="C352" s="34"/>
      <c r="D352" s="33"/>
      <c r="E352" s="33"/>
      <c r="F352" s="33"/>
      <c r="G352" s="33"/>
      <c r="H352" s="33"/>
      <c r="I352" s="33"/>
    </row>
    <row r="353" spans="2:9" ht="15.75">
      <c r="B353" s="38"/>
      <c r="C353" s="34"/>
      <c r="D353" s="38"/>
      <c r="E353" s="33"/>
      <c r="F353" s="38"/>
      <c r="G353" s="33"/>
      <c r="H353" s="38"/>
      <c r="I353" s="33"/>
    </row>
    <row r="354" spans="2:9" ht="15.75">
      <c r="B354" s="39"/>
      <c r="C354" s="33"/>
      <c r="D354" s="33"/>
      <c r="E354" s="33"/>
      <c r="F354" s="33"/>
      <c r="G354" s="33"/>
      <c r="H354" s="33"/>
      <c r="I354" s="33"/>
    </row>
    <row r="355" spans="2:9" ht="15.75">
      <c r="B355" s="35"/>
      <c r="C355" s="39"/>
      <c r="D355" s="35"/>
      <c r="E355" s="33"/>
      <c r="F355" s="35"/>
      <c r="G355" s="39"/>
      <c r="H355" s="35"/>
      <c r="I355" s="39"/>
    </row>
    <row r="356" spans="2:9" ht="15.75">
      <c r="B356" s="35"/>
      <c r="C356" s="39"/>
      <c r="D356" s="35"/>
      <c r="E356" s="37"/>
      <c r="F356" s="35"/>
      <c r="G356" s="39"/>
      <c r="H356" s="35"/>
      <c r="I356" s="39"/>
    </row>
    <row r="357" spans="2:9" ht="15.75">
      <c r="B357" s="35"/>
      <c r="C357" s="38"/>
      <c r="D357" s="35"/>
      <c r="E357" s="38"/>
      <c r="F357" s="35"/>
      <c r="G357" s="38"/>
      <c r="H357" s="35"/>
      <c r="I357" s="38"/>
    </row>
    <row r="358" spans="2:9" ht="15.75">
      <c r="B358" s="35"/>
      <c r="C358" s="39"/>
      <c r="D358" s="35"/>
      <c r="E358" s="37"/>
      <c r="F358" s="35"/>
      <c r="G358" s="39"/>
      <c r="H358" s="35"/>
      <c r="I358" s="39"/>
    </row>
    <row r="359" spans="2:9" ht="15.75">
      <c r="B359" s="35"/>
      <c r="C359" s="39"/>
      <c r="D359" s="35"/>
      <c r="E359" s="37"/>
      <c r="F359" s="35"/>
      <c r="G359" s="39"/>
      <c r="H359" s="35"/>
      <c r="I359" s="39"/>
    </row>
    <row r="360" spans="2:9">
      <c r="B360" s="33"/>
      <c r="C360" s="33"/>
      <c r="D360" s="33"/>
      <c r="E360" s="33"/>
      <c r="F360" s="33"/>
      <c r="G360" s="33"/>
      <c r="H360" s="33"/>
      <c r="I360" s="33"/>
    </row>
    <row r="361" spans="2:9" ht="15.75">
      <c r="B361" s="38"/>
      <c r="C361" s="33"/>
      <c r="D361" s="38"/>
      <c r="E361" s="33"/>
      <c r="F361" s="38"/>
      <c r="G361" s="33"/>
      <c r="H361" s="38"/>
      <c r="I361" s="33"/>
    </row>
    <row r="362" spans="2:9" ht="15.75">
      <c r="B362" s="39"/>
      <c r="C362" s="33"/>
      <c r="D362" s="33"/>
      <c r="E362" s="33"/>
      <c r="F362" s="33"/>
      <c r="G362" s="33"/>
      <c r="H362" s="33"/>
      <c r="I362" s="33"/>
    </row>
    <row r="363" spans="2:9" ht="15.75">
      <c r="B363" s="35"/>
      <c r="C363" s="39"/>
      <c r="D363" s="35"/>
      <c r="E363" s="33"/>
      <c r="F363" s="35"/>
      <c r="G363" s="39"/>
      <c r="H363" s="35"/>
    </row>
    <row r="364" spans="2:9" ht="15.75">
      <c r="B364" s="35"/>
      <c r="C364" s="39"/>
      <c r="D364" s="35"/>
      <c r="E364" s="37"/>
      <c r="F364" s="35"/>
      <c r="G364" s="39"/>
      <c r="H364" s="35"/>
    </row>
    <row r="365" spans="2:9" ht="15.75">
      <c r="B365" s="35"/>
      <c r="C365" s="38"/>
      <c r="D365" s="35"/>
      <c r="E365" s="38"/>
      <c r="F365" s="35"/>
      <c r="G365" s="38"/>
      <c r="H365" s="35"/>
    </row>
    <row r="366" spans="2:9" ht="15.75">
      <c r="B366" s="35"/>
      <c r="C366" s="39"/>
      <c r="D366" s="35"/>
      <c r="E366" s="37"/>
      <c r="F366" s="35"/>
      <c r="G366" s="39"/>
      <c r="H366" s="35"/>
    </row>
    <row r="367" spans="2:9" ht="15.75">
      <c r="B367" s="35"/>
      <c r="C367" s="39"/>
      <c r="D367" s="35"/>
      <c r="E367" s="37"/>
      <c r="F367" s="35"/>
      <c r="G367" s="39"/>
      <c r="H367" s="35"/>
    </row>
    <row r="369" spans="2:9">
      <c r="B369" s="43"/>
      <c r="D369" s="44"/>
    </row>
    <row r="370" spans="2:9">
      <c r="B370" s="45"/>
    </row>
    <row r="371" spans="2:9">
      <c r="B371" s="46"/>
      <c r="D371" s="47"/>
    </row>
    <row r="373" spans="2:9">
      <c r="B373" s="42"/>
    </row>
    <row r="375" spans="2:9" ht="15.75">
      <c r="B375" s="35"/>
      <c r="C375" s="54"/>
      <c r="D375" s="35"/>
      <c r="E375" s="33"/>
      <c r="F375" s="35"/>
      <c r="G375" s="39"/>
      <c r="H375" s="35"/>
      <c r="I375" s="39"/>
    </row>
    <row r="376" spans="2:9" ht="15.75">
      <c r="B376" s="35"/>
      <c r="C376" s="54"/>
      <c r="D376" s="35"/>
      <c r="E376" s="36"/>
      <c r="F376" s="35"/>
      <c r="G376" s="39"/>
      <c r="H376" s="35"/>
      <c r="I376" s="39"/>
    </row>
    <row r="377" spans="2:9" ht="15.75">
      <c r="B377" s="35"/>
      <c r="C377" s="40"/>
      <c r="D377" s="35"/>
      <c r="E377" s="40"/>
      <c r="F377" s="35"/>
      <c r="G377" s="38"/>
      <c r="H377" s="35"/>
      <c r="I377" s="38"/>
    </row>
    <row r="378" spans="2:9" ht="15.75">
      <c r="B378" s="35"/>
      <c r="C378" s="54"/>
      <c r="D378" s="35"/>
      <c r="E378" s="36"/>
      <c r="F378" s="35"/>
      <c r="G378" s="39"/>
      <c r="H378" s="35"/>
      <c r="I378" s="38"/>
    </row>
    <row r="379" spans="2:9" ht="15.75">
      <c r="B379" s="53"/>
      <c r="C379" s="54"/>
      <c r="D379" s="35"/>
      <c r="E379" s="36"/>
      <c r="F379" s="35"/>
      <c r="G379" s="39"/>
      <c r="H379" s="35"/>
      <c r="I379" s="39"/>
    </row>
    <row r="380" spans="2:9">
      <c r="B380" s="33"/>
      <c r="C380" s="34"/>
      <c r="D380" s="33"/>
      <c r="E380" s="33"/>
      <c r="F380" s="33"/>
      <c r="G380" s="33"/>
      <c r="H380" s="33"/>
      <c r="I380" s="33"/>
    </row>
    <row r="381" spans="2:9" ht="15.75">
      <c r="B381" s="38"/>
      <c r="C381" s="34"/>
      <c r="D381" s="38"/>
      <c r="E381" s="33"/>
      <c r="F381" s="38"/>
      <c r="G381" s="33"/>
      <c r="H381" s="38"/>
      <c r="I381" s="33"/>
    </row>
    <row r="382" spans="2:9" ht="15.75">
      <c r="B382" s="39"/>
      <c r="C382" s="33"/>
      <c r="D382" s="33"/>
      <c r="E382" s="33"/>
      <c r="F382" s="33"/>
      <c r="G382" s="33"/>
      <c r="H382" s="33"/>
      <c r="I382" s="33"/>
    </row>
    <row r="383" spans="2:9" ht="15.75">
      <c r="B383" s="35"/>
      <c r="C383" s="39"/>
      <c r="D383" s="35"/>
      <c r="E383" s="33"/>
      <c r="F383" s="35"/>
      <c r="G383" s="39"/>
      <c r="H383" s="35"/>
      <c r="I383" s="39"/>
    </row>
    <row r="384" spans="2:9" ht="15.75">
      <c r="B384" s="35"/>
      <c r="C384" s="39"/>
      <c r="D384" s="35"/>
      <c r="E384" s="37"/>
      <c r="F384" s="35"/>
      <c r="G384" s="39"/>
      <c r="H384" s="35"/>
      <c r="I384" s="39"/>
    </row>
    <row r="385" spans="2:9" ht="15.75">
      <c r="B385" s="35"/>
      <c r="C385" s="38"/>
      <c r="D385" s="35"/>
      <c r="E385" s="38"/>
      <c r="F385" s="35"/>
      <c r="G385" s="38"/>
      <c r="H385" s="35"/>
      <c r="I385" s="38"/>
    </row>
    <row r="386" spans="2:9" ht="15.75">
      <c r="B386" s="35"/>
      <c r="C386" s="39"/>
      <c r="D386" s="35"/>
      <c r="E386" s="37"/>
      <c r="F386" s="35"/>
      <c r="G386" s="39"/>
      <c r="H386" s="35"/>
      <c r="I386" s="39"/>
    </row>
    <row r="387" spans="2:9" ht="15.75">
      <c r="B387" s="35"/>
      <c r="C387" s="39"/>
      <c r="D387" s="35"/>
      <c r="E387" s="37"/>
      <c r="F387" s="35"/>
      <c r="G387" s="39"/>
      <c r="H387" s="35"/>
      <c r="I387" s="39"/>
    </row>
    <row r="388" spans="2:9">
      <c r="B388" s="33"/>
      <c r="C388" s="33"/>
      <c r="D388" s="33"/>
      <c r="E388" s="33"/>
      <c r="F388" s="33"/>
      <c r="G388" s="33"/>
      <c r="H388" s="33"/>
      <c r="I388" s="33"/>
    </row>
    <row r="389" spans="2:9" ht="15.75">
      <c r="B389" s="38"/>
      <c r="C389" s="33"/>
      <c r="D389" s="38"/>
      <c r="E389" s="33"/>
      <c r="F389" s="38"/>
      <c r="G389" s="33"/>
      <c r="H389" s="38"/>
      <c r="I389" s="33"/>
    </row>
    <row r="390" spans="2:9" ht="15.75">
      <c r="B390" s="39"/>
      <c r="C390" s="33"/>
      <c r="D390" s="33"/>
      <c r="E390" s="33"/>
      <c r="F390" s="33"/>
      <c r="G390" s="33"/>
      <c r="H390" s="33"/>
      <c r="I390" s="33"/>
    </row>
    <row r="391" spans="2:9" ht="15.75">
      <c r="B391" s="35"/>
      <c r="C391" s="39"/>
      <c r="D391" s="35"/>
      <c r="E391" s="33"/>
      <c r="F391" s="35"/>
      <c r="G391" s="39"/>
      <c r="H391" s="35"/>
    </row>
    <row r="392" spans="2:9" ht="15.75">
      <c r="B392" s="35"/>
      <c r="C392" s="39"/>
      <c r="D392" s="35"/>
      <c r="E392" s="37"/>
      <c r="F392" s="35"/>
      <c r="G392" s="39"/>
      <c r="H392" s="35"/>
    </row>
    <row r="393" spans="2:9" ht="15.75">
      <c r="B393" s="35"/>
      <c r="C393" s="38"/>
      <c r="D393" s="35"/>
      <c r="E393" s="38"/>
      <c r="F393" s="35"/>
      <c r="G393" s="38"/>
      <c r="H393" s="35"/>
    </row>
    <row r="394" spans="2:9" ht="15.75">
      <c r="B394" s="35"/>
      <c r="C394" s="39"/>
      <c r="D394" s="35"/>
      <c r="E394" s="37"/>
      <c r="F394" s="35"/>
      <c r="G394" s="39"/>
      <c r="H394" s="35"/>
    </row>
    <row r="395" spans="2:9" ht="15.75">
      <c r="B395" s="35"/>
      <c r="C395" s="39"/>
      <c r="D395" s="35"/>
      <c r="E395" s="37"/>
      <c r="F395" s="35"/>
      <c r="G395" s="39"/>
      <c r="H395" s="35"/>
    </row>
    <row r="397" spans="2:9">
      <c r="B397" s="43"/>
      <c r="D397" s="44"/>
    </row>
    <row r="398" spans="2:9">
      <c r="B398" s="45"/>
    </row>
    <row r="399" spans="2:9">
      <c r="B399" s="46"/>
      <c r="D399" s="47"/>
    </row>
    <row r="401" spans="2:9">
      <c r="B401" s="42"/>
    </row>
    <row r="403" spans="2:9" ht="15.75">
      <c r="B403" s="35"/>
      <c r="C403" s="54"/>
      <c r="D403" s="35"/>
      <c r="E403" s="33"/>
      <c r="F403" s="35"/>
      <c r="G403" s="39"/>
      <c r="H403" s="35"/>
      <c r="I403" s="39"/>
    </row>
    <row r="404" spans="2:9" ht="15.75">
      <c r="B404" s="35"/>
      <c r="C404" s="54"/>
      <c r="D404" s="35"/>
      <c r="E404" s="36"/>
      <c r="F404" s="35"/>
      <c r="G404" s="39"/>
      <c r="H404" s="35"/>
      <c r="I404" s="39"/>
    </row>
    <row r="405" spans="2:9" ht="15.75">
      <c r="B405" s="35"/>
      <c r="C405" s="40"/>
      <c r="D405" s="35"/>
      <c r="E405" s="40"/>
      <c r="F405" s="35"/>
      <c r="G405" s="38"/>
      <c r="H405" s="35"/>
      <c r="I405" s="38"/>
    </row>
    <row r="406" spans="2:9" ht="15.75">
      <c r="B406" s="35"/>
      <c r="C406" s="54"/>
      <c r="D406" s="35"/>
      <c r="E406" s="36"/>
      <c r="F406" s="35"/>
      <c r="G406" s="39"/>
      <c r="H406" s="35"/>
      <c r="I406" s="38"/>
    </row>
    <row r="407" spans="2:9" ht="15.75">
      <c r="B407" s="53"/>
      <c r="C407" s="54"/>
      <c r="D407" s="35"/>
      <c r="E407" s="36"/>
      <c r="F407" s="35"/>
      <c r="G407" s="39"/>
      <c r="H407" s="35"/>
      <c r="I407" s="39"/>
    </row>
    <row r="408" spans="2:9">
      <c r="B408" s="33"/>
      <c r="C408" s="34"/>
      <c r="D408" s="33"/>
      <c r="E408" s="33"/>
      <c r="F408" s="33"/>
      <c r="G408" s="33"/>
      <c r="H408" s="33"/>
      <c r="I408" s="33"/>
    </row>
    <row r="409" spans="2:9" ht="15.75">
      <c r="B409" s="38"/>
      <c r="C409" s="34"/>
      <c r="D409" s="38"/>
      <c r="E409" s="33"/>
      <c r="F409" s="38"/>
      <c r="G409" s="33"/>
      <c r="H409" s="38"/>
      <c r="I409" s="33"/>
    </row>
    <row r="410" spans="2:9" ht="15.75">
      <c r="B410" s="39"/>
      <c r="C410" s="33"/>
      <c r="D410" s="33"/>
      <c r="E410" s="33"/>
      <c r="F410" s="33"/>
      <c r="G410" s="33"/>
      <c r="H410" s="33"/>
      <c r="I410" s="33"/>
    </row>
    <row r="411" spans="2:9" ht="15.75">
      <c r="B411" s="35"/>
      <c r="C411" s="39"/>
      <c r="D411" s="35"/>
      <c r="E411" s="33"/>
      <c r="F411" s="35"/>
      <c r="G411" s="39"/>
      <c r="H411" s="35"/>
      <c r="I411" s="39"/>
    </row>
    <row r="412" spans="2:9" ht="15.75">
      <c r="B412" s="35"/>
      <c r="C412" s="39"/>
      <c r="D412" s="35"/>
      <c r="E412" s="37"/>
      <c r="F412" s="35"/>
      <c r="G412" s="39"/>
      <c r="H412" s="35"/>
      <c r="I412" s="39"/>
    </row>
    <row r="413" spans="2:9" ht="15.75">
      <c r="B413" s="35"/>
      <c r="C413" s="38"/>
      <c r="D413" s="35"/>
      <c r="E413" s="38"/>
      <c r="F413" s="35"/>
      <c r="G413" s="38"/>
      <c r="H413" s="35"/>
      <c r="I413" s="38"/>
    </row>
    <row r="414" spans="2:9" ht="15.75">
      <c r="B414" s="35"/>
      <c r="C414" s="39"/>
      <c r="D414" s="35"/>
      <c r="E414" s="37"/>
      <c r="F414" s="35"/>
      <c r="G414" s="39"/>
      <c r="H414" s="35"/>
      <c r="I414" s="39"/>
    </row>
    <row r="415" spans="2:9" ht="15.75">
      <c r="B415" s="35"/>
      <c r="C415" s="39"/>
      <c r="D415" s="35"/>
      <c r="E415" s="37"/>
      <c r="F415" s="35"/>
      <c r="G415" s="39"/>
      <c r="H415" s="35"/>
      <c r="I415" s="39"/>
    </row>
    <row r="416" spans="2:9">
      <c r="B416" s="33"/>
      <c r="C416" s="33"/>
      <c r="D416" s="33"/>
      <c r="E416" s="33"/>
      <c r="F416" s="33"/>
      <c r="G416" s="33"/>
      <c r="H416" s="33"/>
      <c r="I416" s="33"/>
    </row>
    <row r="417" spans="2:9" ht="15.75">
      <c r="B417" s="38"/>
      <c r="C417" s="33"/>
      <c r="D417" s="38"/>
      <c r="E417" s="33"/>
      <c r="F417" s="38"/>
      <c r="G417" s="33"/>
      <c r="H417" s="38"/>
      <c r="I417" s="33"/>
    </row>
    <row r="418" spans="2:9" ht="15.75">
      <c r="B418" s="39"/>
      <c r="C418" s="33"/>
      <c r="D418" s="33"/>
      <c r="E418" s="33"/>
      <c r="F418" s="33"/>
      <c r="G418" s="33"/>
      <c r="H418" s="33"/>
      <c r="I418" s="33"/>
    </row>
    <row r="419" spans="2:9" ht="15.75">
      <c r="B419" s="35"/>
      <c r="C419" s="39"/>
      <c r="D419" s="35"/>
      <c r="E419" s="33"/>
      <c r="F419" s="35"/>
      <c r="G419" s="39"/>
      <c r="H419" s="35"/>
    </row>
    <row r="420" spans="2:9" ht="15.75">
      <c r="B420" s="35"/>
      <c r="C420" s="39"/>
      <c r="D420" s="35"/>
      <c r="E420" s="37"/>
      <c r="F420" s="35"/>
      <c r="G420" s="39"/>
      <c r="H420" s="35"/>
    </row>
    <row r="421" spans="2:9" ht="15.75">
      <c r="B421" s="35"/>
      <c r="C421" s="38"/>
      <c r="D421" s="35"/>
      <c r="E421" s="38"/>
      <c r="F421" s="35"/>
      <c r="G421" s="38"/>
      <c r="H421" s="35"/>
    </row>
    <row r="422" spans="2:9" ht="15.75">
      <c r="B422" s="35"/>
      <c r="C422" s="39"/>
      <c r="D422" s="35"/>
      <c r="E422" s="37"/>
      <c r="F422" s="35"/>
      <c r="G422" s="39"/>
      <c r="H422" s="35"/>
    </row>
    <row r="423" spans="2:9" ht="15.75">
      <c r="B423" s="35"/>
      <c r="C423" s="39"/>
      <c r="D423" s="35"/>
      <c r="E423" s="37"/>
      <c r="F423" s="35"/>
      <c r="G423" s="39"/>
      <c r="H423" s="35"/>
    </row>
    <row r="425" spans="2:9">
      <c r="B425" s="43"/>
      <c r="D425" s="44"/>
    </row>
    <row r="426" spans="2:9">
      <c r="B426" s="45"/>
    </row>
    <row r="427" spans="2:9">
      <c r="B427" s="46"/>
      <c r="D427" s="47"/>
    </row>
    <row r="429" spans="2:9">
      <c r="B429" s="42"/>
    </row>
    <row r="431" spans="2:9" ht="15.75">
      <c r="B431" s="35"/>
      <c r="C431" s="54"/>
      <c r="D431" s="35"/>
      <c r="E431" s="33"/>
      <c r="F431" s="35"/>
      <c r="G431" s="39"/>
      <c r="H431" s="35"/>
      <c r="I431" s="39"/>
    </row>
    <row r="432" spans="2:9" ht="15.75">
      <c r="B432" s="35"/>
      <c r="C432" s="54"/>
      <c r="D432" s="35"/>
      <c r="E432" s="36"/>
      <c r="F432" s="35"/>
      <c r="G432" s="39"/>
      <c r="H432" s="35"/>
      <c r="I432" s="39"/>
    </row>
    <row r="433" spans="2:9" ht="15.75">
      <c r="B433" s="35"/>
      <c r="C433" s="40"/>
      <c r="D433" s="35"/>
      <c r="E433" s="40"/>
      <c r="F433" s="35"/>
      <c r="G433" s="38"/>
      <c r="H433" s="35"/>
      <c r="I433" s="38"/>
    </row>
    <row r="434" spans="2:9" ht="15.75">
      <c r="B434" s="35"/>
      <c r="C434" s="54"/>
      <c r="D434" s="35"/>
      <c r="E434" s="36"/>
      <c r="F434" s="35"/>
      <c r="G434" s="39"/>
      <c r="H434" s="35"/>
      <c r="I434" s="38"/>
    </row>
    <row r="435" spans="2:9" ht="15.75">
      <c r="B435" s="53"/>
      <c r="C435" s="54"/>
      <c r="D435" s="35"/>
      <c r="E435" s="36"/>
      <c r="F435" s="35"/>
      <c r="G435" s="39"/>
      <c r="H435" s="35"/>
      <c r="I435" s="39"/>
    </row>
    <row r="436" spans="2:9">
      <c r="B436" s="33"/>
      <c r="C436" s="34"/>
      <c r="D436" s="33"/>
      <c r="E436" s="33"/>
      <c r="F436" s="33"/>
      <c r="G436" s="33"/>
      <c r="H436" s="33"/>
      <c r="I436" s="33"/>
    </row>
    <row r="437" spans="2:9" ht="15.75">
      <c r="B437" s="38"/>
      <c r="C437" s="34"/>
      <c r="D437" s="38"/>
      <c r="E437" s="33"/>
      <c r="F437" s="38"/>
      <c r="G437" s="33"/>
      <c r="H437" s="38"/>
      <c r="I437" s="33"/>
    </row>
    <row r="438" spans="2:9" ht="15.75">
      <c r="B438" s="39"/>
      <c r="C438" s="33"/>
      <c r="D438" s="33"/>
      <c r="E438" s="33"/>
      <c r="F438" s="33"/>
      <c r="G438" s="33"/>
      <c r="H438" s="33"/>
      <c r="I438" s="33"/>
    </row>
    <row r="439" spans="2:9" ht="15.75">
      <c r="B439" s="35"/>
      <c r="C439" s="39"/>
      <c r="D439" s="35"/>
      <c r="E439" s="33"/>
      <c r="F439" s="35"/>
      <c r="G439" s="39"/>
      <c r="H439" s="35"/>
      <c r="I439" s="39"/>
    </row>
    <row r="440" spans="2:9" ht="15.75">
      <c r="B440" s="35"/>
      <c r="C440" s="39"/>
      <c r="D440" s="35"/>
      <c r="E440" s="37"/>
      <c r="F440" s="35"/>
      <c r="G440" s="39"/>
      <c r="H440" s="35"/>
      <c r="I440" s="39"/>
    </row>
    <row r="441" spans="2:9" ht="15.75">
      <c r="B441" s="35"/>
      <c r="C441" s="38"/>
      <c r="D441" s="35"/>
      <c r="E441" s="38"/>
      <c r="F441" s="35"/>
      <c r="G441" s="38"/>
      <c r="H441" s="35"/>
      <c r="I441" s="38"/>
    </row>
    <row r="442" spans="2:9" ht="15.75">
      <c r="B442" s="35"/>
      <c r="C442" s="39"/>
      <c r="D442" s="35"/>
      <c r="E442" s="37"/>
      <c r="F442" s="35"/>
      <c r="G442" s="39"/>
      <c r="H442" s="35"/>
      <c r="I442" s="39"/>
    </row>
    <row r="443" spans="2:9" ht="15.75">
      <c r="B443" s="35"/>
      <c r="C443" s="39"/>
      <c r="D443" s="35"/>
      <c r="E443" s="37"/>
      <c r="F443" s="35"/>
      <c r="G443" s="39"/>
      <c r="H443" s="35"/>
      <c r="I443" s="39"/>
    </row>
    <row r="444" spans="2:9">
      <c r="B444" s="33"/>
      <c r="C444" s="33"/>
      <c r="D444" s="33"/>
      <c r="E444" s="33"/>
      <c r="F444" s="33"/>
      <c r="G444" s="33"/>
      <c r="H444" s="33"/>
      <c r="I444" s="33"/>
    </row>
    <row r="445" spans="2:9" ht="15.75">
      <c r="B445" s="38"/>
      <c r="C445" s="33"/>
      <c r="D445" s="38"/>
      <c r="E445" s="33"/>
      <c r="F445" s="38"/>
      <c r="G445" s="33"/>
      <c r="H445" s="38"/>
      <c r="I445" s="33"/>
    </row>
    <row r="446" spans="2:9" ht="15.75">
      <c r="B446" s="39"/>
      <c r="C446" s="33"/>
      <c r="D446" s="33"/>
      <c r="E446" s="33"/>
      <c r="F446" s="33"/>
      <c r="G446" s="33"/>
      <c r="H446" s="33"/>
      <c r="I446" s="33"/>
    </row>
    <row r="447" spans="2:9" ht="15.75">
      <c r="B447" s="35"/>
      <c r="C447" s="39"/>
      <c r="D447" s="35"/>
      <c r="E447" s="33"/>
      <c r="F447" s="35"/>
      <c r="G447" s="39"/>
      <c r="H447" s="35"/>
    </row>
    <row r="448" spans="2:9" ht="15.75">
      <c r="B448" s="35"/>
      <c r="C448" s="39"/>
      <c r="D448" s="35"/>
      <c r="E448" s="37"/>
      <c r="F448" s="35"/>
      <c r="G448" s="39"/>
      <c r="H448" s="35"/>
    </row>
    <row r="449" spans="2:9" ht="15.75">
      <c r="B449" s="35"/>
      <c r="C449" s="38"/>
      <c r="D449" s="35"/>
      <c r="E449" s="38"/>
      <c r="F449" s="35"/>
      <c r="G449" s="38"/>
      <c r="H449" s="35"/>
    </row>
    <row r="450" spans="2:9" ht="15.75">
      <c r="B450" s="35"/>
      <c r="C450" s="39"/>
      <c r="D450" s="35"/>
      <c r="E450" s="37"/>
      <c r="F450" s="35"/>
      <c r="G450" s="39"/>
      <c r="H450" s="35"/>
    </row>
    <row r="451" spans="2:9" ht="15.75">
      <c r="B451" s="35"/>
      <c r="C451" s="39"/>
      <c r="D451" s="35"/>
      <c r="E451" s="37"/>
      <c r="F451" s="35"/>
      <c r="G451" s="39"/>
      <c r="H451" s="35"/>
    </row>
    <row r="453" spans="2:9">
      <c r="B453" s="43"/>
      <c r="D453" s="44"/>
    </row>
    <row r="454" spans="2:9">
      <c r="B454" s="45"/>
    </row>
    <row r="455" spans="2:9">
      <c r="B455" s="46"/>
      <c r="D455" s="47"/>
    </row>
    <row r="457" spans="2:9">
      <c r="B457" s="42"/>
    </row>
    <row r="459" spans="2:9" ht="15.75">
      <c r="B459" s="35"/>
      <c r="C459" s="54"/>
      <c r="D459" s="35"/>
      <c r="E459" s="33"/>
      <c r="F459" s="35"/>
      <c r="G459" s="39"/>
      <c r="H459" s="35"/>
      <c r="I459" s="39"/>
    </row>
    <row r="460" spans="2:9" ht="15.75">
      <c r="B460" s="35"/>
      <c r="C460" s="54"/>
      <c r="D460" s="35"/>
      <c r="E460" s="36"/>
      <c r="F460" s="35"/>
      <c r="G460" s="39"/>
      <c r="H460" s="35"/>
      <c r="I460" s="39"/>
    </row>
    <row r="461" spans="2:9" ht="15.75">
      <c r="B461" s="35"/>
      <c r="C461" s="40"/>
      <c r="D461" s="35"/>
      <c r="E461" s="40"/>
      <c r="F461" s="35"/>
      <c r="G461" s="38"/>
      <c r="H461" s="35"/>
      <c r="I461" s="38"/>
    </row>
    <row r="462" spans="2:9" ht="15.75">
      <c r="B462" s="35"/>
      <c r="C462" s="54"/>
      <c r="D462" s="35"/>
      <c r="E462" s="36"/>
      <c r="F462" s="35"/>
      <c r="G462" s="39"/>
      <c r="H462" s="35"/>
      <c r="I462" s="38"/>
    </row>
    <row r="463" spans="2:9" ht="15.75">
      <c r="B463" s="53"/>
      <c r="C463" s="54"/>
      <c r="D463" s="35"/>
      <c r="E463" s="36"/>
      <c r="F463" s="35"/>
      <c r="G463" s="39"/>
      <c r="H463" s="35"/>
      <c r="I463" s="39"/>
    </row>
    <row r="464" spans="2:9">
      <c r="B464" s="33"/>
      <c r="C464" s="34"/>
      <c r="D464" s="33"/>
      <c r="E464" s="33"/>
      <c r="F464" s="33"/>
      <c r="G464" s="33"/>
      <c r="H464" s="33"/>
      <c r="I464" s="33"/>
    </row>
    <row r="465" spans="2:9" ht="15.75">
      <c r="B465" s="38"/>
      <c r="C465" s="34"/>
      <c r="D465" s="38"/>
      <c r="E465" s="33"/>
      <c r="F465" s="38"/>
      <c r="G465" s="33"/>
      <c r="H465" s="38"/>
      <c r="I465" s="33"/>
    </row>
    <row r="466" spans="2:9" ht="15.75">
      <c r="B466" s="39"/>
      <c r="C466" s="33"/>
      <c r="D466" s="33"/>
      <c r="E466" s="33"/>
      <c r="F466" s="33"/>
      <c r="G466" s="33"/>
      <c r="H466" s="33"/>
      <c r="I466" s="33"/>
    </row>
    <row r="467" spans="2:9" ht="15.75">
      <c r="B467" s="35"/>
      <c r="C467" s="39"/>
      <c r="D467" s="35"/>
      <c r="E467" s="33"/>
      <c r="F467" s="35"/>
      <c r="G467" s="39"/>
      <c r="H467" s="35"/>
      <c r="I467" s="39"/>
    </row>
    <row r="468" spans="2:9" ht="15.75">
      <c r="B468" s="35"/>
      <c r="C468" s="39"/>
      <c r="D468" s="35"/>
      <c r="E468" s="37"/>
      <c r="F468" s="35"/>
      <c r="G468" s="39"/>
      <c r="H468" s="35"/>
      <c r="I468" s="39"/>
    </row>
    <row r="469" spans="2:9" ht="15.75">
      <c r="B469" s="35"/>
      <c r="C469" s="38"/>
      <c r="D469" s="35"/>
      <c r="E469" s="38"/>
      <c r="F469" s="35"/>
      <c r="G469" s="38"/>
      <c r="H469" s="35"/>
      <c r="I469" s="38"/>
    </row>
    <row r="470" spans="2:9" ht="15.75">
      <c r="B470" s="35"/>
      <c r="C470" s="39"/>
      <c r="D470" s="35"/>
      <c r="E470" s="37"/>
      <c r="F470" s="35"/>
      <c r="G470" s="39"/>
      <c r="H470" s="35"/>
      <c r="I470" s="39"/>
    </row>
    <row r="471" spans="2:9" ht="15.75">
      <c r="B471" s="35"/>
      <c r="C471" s="39"/>
      <c r="D471" s="35"/>
      <c r="E471" s="37"/>
      <c r="F471" s="35"/>
      <c r="G471" s="39"/>
      <c r="H471" s="35"/>
      <c r="I471" s="39"/>
    </row>
    <row r="472" spans="2:9">
      <c r="B472" s="33"/>
      <c r="C472" s="33"/>
      <c r="D472" s="33"/>
      <c r="E472" s="33"/>
      <c r="F472" s="33"/>
      <c r="G472" s="33"/>
      <c r="H472" s="33"/>
      <c r="I472" s="33"/>
    </row>
    <row r="473" spans="2:9" ht="15.75">
      <c r="B473" s="38"/>
      <c r="C473" s="33"/>
      <c r="D473" s="38"/>
      <c r="E473" s="33"/>
      <c r="F473" s="38"/>
      <c r="G473" s="33"/>
      <c r="H473" s="38"/>
      <c r="I473" s="33"/>
    </row>
    <row r="474" spans="2:9" ht="15.75">
      <c r="B474" s="39"/>
      <c r="C474" s="33"/>
      <c r="D474" s="33"/>
      <c r="E474" s="33"/>
      <c r="F474" s="33"/>
      <c r="G474" s="33"/>
      <c r="H474" s="33"/>
      <c r="I474" s="33"/>
    </row>
    <row r="475" spans="2:9" ht="15.75">
      <c r="B475" s="35"/>
      <c r="C475" s="39"/>
      <c r="D475" s="35"/>
      <c r="E475" s="33"/>
      <c r="F475" s="35"/>
      <c r="G475" s="39"/>
      <c r="H475" s="35"/>
    </row>
    <row r="476" spans="2:9" ht="15.75">
      <c r="B476" s="35"/>
      <c r="C476" s="39"/>
      <c r="D476" s="35"/>
      <c r="E476" s="37"/>
      <c r="F476" s="35"/>
      <c r="G476" s="39"/>
      <c r="H476" s="35"/>
    </row>
    <row r="477" spans="2:9" ht="15.75">
      <c r="B477" s="35"/>
      <c r="C477" s="38"/>
      <c r="D477" s="35"/>
      <c r="E477" s="38"/>
      <c r="F477" s="35"/>
      <c r="G477" s="38"/>
      <c r="H477" s="35"/>
    </row>
    <row r="478" spans="2:9" ht="15.75">
      <c r="B478" s="35"/>
      <c r="C478" s="39"/>
      <c r="D478" s="35"/>
      <c r="E478" s="37"/>
      <c r="F478" s="35"/>
      <c r="G478" s="39"/>
      <c r="H478" s="35"/>
    </row>
    <row r="479" spans="2:9" ht="15.75">
      <c r="B479" s="35"/>
      <c r="C479" s="39"/>
      <c r="D479" s="35"/>
      <c r="E479" s="37"/>
      <c r="F479" s="35"/>
      <c r="G479" s="39"/>
      <c r="H479" s="35"/>
    </row>
    <row r="481" spans="2:9">
      <c r="B481" s="43"/>
      <c r="D481" s="44"/>
    </row>
    <row r="482" spans="2:9">
      <c r="B482" s="45"/>
    </row>
    <row r="483" spans="2:9">
      <c r="B483" s="46"/>
      <c r="D483" s="47"/>
    </row>
    <row r="485" spans="2:9">
      <c r="B485" s="42"/>
    </row>
    <row r="487" spans="2:9" ht="15.75">
      <c r="B487" s="35"/>
      <c r="C487" s="54"/>
      <c r="D487" s="35"/>
      <c r="E487" s="33"/>
      <c r="F487" s="35"/>
      <c r="G487" s="39"/>
      <c r="H487" s="35"/>
      <c r="I487" s="39"/>
    </row>
    <row r="488" spans="2:9" ht="15.75">
      <c r="B488" s="35"/>
      <c r="C488" s="54"/>
      <c r="D488" s="35"/>
      <c r="E488" s="36"/>
      <c r="F488" s="35"/>
      <c r="G488" s="39"/>
      <c r="H488" s="35"/>
      <c r="I488" s="39"/>
    </row>
    <row r="489" spans="2:9" ht="15.75">
      <c r="B489" s="35"/>
      <c r="C489" s="40"/>
      <c r="D489" s="35"/>
      <c r="E489" s="40"/>
      <c r="F489" s="35"/>
      <c r="G489" s="38"/>
      <c r="H489" s="35"/>
      <c r="I489" s="38"/>
    </row>
    <row r="490" spans="2:9" ht="15.75">
      <c r="B490" s="35"/>
      <c r="C490" s="54"/>
      <c r="D490" s="35"/>
      <c r="E490" s="36"/>
      <c r="F490" s="35"/>
      <c r="G490" s="39"/>
      <c r="H490" s="35"/>
      <c r="I490" s="38"/>
    </row>
    <row r="491" spans="2:9" ht="15.75">
      <c r="B491" s="53"/>
      <c r="C491" s="54"/>
      <c r="D491" s="35"/>
      <c r="E491" s="36"/>
      <c r="F491" s="35"/>
      <c r="G491" s="39"/>
      <c r="H491" s="35"/>
      <c r="I491" s="39"/>
    </row>
    <row r="492" spans="2:9">
      <c r="B492" s="33"/>
      <c r="C492" s="34"/>
      <c r="D492" s="33"/>
      <c r="E492" s="33"/>
      <c r="F492" s="33"/>
      <c r="G492" s="33"/>
      <c r="H492" s="33"/>
      <c r="I492" s="33"/>
    </row>
    <row r="493" spans="2:9" ht="15.75">
      <c r="B493" s="38"/>
      <c r="C493" s="34"/>
      <c r="D493" s="38"/>
      <c r="E493" s="33"/>
      <c r="F493" s="38"/>
      <c r="G493" s="33"/>
      <c r="H493" s="38"/>
      <c r="I493" s="33"/>
    </row>
    <row r="494" spans="2:9" ht="15.75">
      <c r="B494" s="39"/>
      <c r="C494" s="33"/>
      <c r="D494" s="33"/>
      <c r="E494" s="33"/>
      <c r="F494" s="33"/>
      <c r="G494" s="33"/>
      <c r="H494" s="33"/>
      <c r="I494" s="33"/>
    </row>
    <row r="495" spans="2:9" ht="15.75">
      <c r="B495" s="35"/>
      <c r="C495" s="39"/>
      <c r="D495" s="35"/>
      <c r="E495" s="33"/>
      <c r="F495" s="35"/>
      <c r="G495" s="39"/>
      <c r="H495" s="35"/>
      <c r="I495" s="39"/>
    </row>
    <row r="496" spans="2:9" ht="15.75">
      <c r="B496" s="35"/>
      <c r="C496" s="39"/>
      <c r="D496" s="35"/>
      <c r="E496" s="37"/>
      <c r="F496" s="35"/>
      <c r="G496" s="39"/>
      <c r="H496" s="35"/>
      <c r="I496" s="39"/>
    </row>
    <row r="497" spans="2:9" ht="15.75">
      <c r="B497" s="35"/>
      <c r="C497" s="38"/>
      <c r="D497" s="35"/>
      <c r="E497" s="38"/>
      <c r="F497" s="35"/>
      <c r="G497" s="38"/>
      <c r="H497" s="35"/>
      <c r="I497" s="38"/>
    </row>
    <row r="498" spans="2:9" ht="15.75">
      <c r="B498" s="35"/>
      <c r="C498" s="39"/>
      <c r="D498" s="35"/>
      <c r="E498" s="37"/>
      <c r="F498" s="35"/>
      <c r="G498" s="39"/>
      <c r="H498" s="35"/>
      <c r="I498" s="39"/>
    </row>
    <row r="499" spans="2:9" ht="15.75">
      <c r="B499" s="35"/>
      <c r="C499" s="39"/>
      <c r="D499" s="35"/>
      <c r="E499" s="37"/>
      <c r="F499" s="35"/>
      <c r="G499" s="39"/>
      <c r="H499" s="35"/>
      <c r="I499" s="39"/>
    </row>
    <row r="500" spans="2:9">
      <c r="B500" s="33"/>
      <c r="C500" s="33"/>
      <c r="D500" s="33"/>
      <c r="E500" s="33"/>
      <c r="F500" s="33"/>
      <c r="G500" s="33"/>
      <c r="H500" s="33"/>
      <c r="I500" s="33"/>
    </row>
    <row r="501" spans="2:9" ht="15.75">
      <c r="B501" s="38"/>
      <c r="C501" s="33"/>
      <c r="D501" s="38"/>
      <c r="E501" s="33"/>
      <c r="F501" s="38"/>
      <c r="G501" s="33"/>
      <c r="H501" s="38"/>
      <c r="I501" s="33"/>
    </row>
    <row r="502" spans="2:9" ht="15.75">
      <c r="B502" s="39"/>
      <c r="C502" s="33"/>
      <c r="D502" s="33"/>
      <c r="E502" s="33"/>
      <c r="F502" s="33"/>
      <c r="G502" s="33"/>
      <c r="H502" s="33"/>
      <c r="I502" s="33"/>
    </row>
    <row r="503" spans="2:9" ht="15.75">
      <c r="B503" s="35"/>
      <c r="C503" s="39"/>
      <c r="D503" s="35"/>
      <c r="E503" s="33"/>
      <c r="F503" s="35"/>
      <c r="G503" s="39"/>
      <c r="H503" s="35"/>
    </row>
    <row r="504" spans="2:9" ht="15.75">
      <c r="B504" s="35"/>
      <c r="C504" s="39"/>
      <c r="D504" s="35"/>
      <c r="E504" s="37"/>
      <c r="F504" s="35"/>
      <c r="G504" s="39"/>
      <c r="H504" s="35"/>
    </row>
    <row r="505" spans="2:9" ht="15.75">
      <c r="B505" s="35"/>
      <c r="C505" s="38"/>
      <c r="D505" s="35"/>
      <c r="E505" s="38"/>
      <c r="F505" s="35"/>
      <c r="G505" s="38"/>
      <c r="H505" s="35"/>
    </row>
    <row r="506" spans="2:9" ht="15.75">
      <c r="B506" s="35"/>
      <c r="C506" s="39"/>
      <c r="D506" s="35"/>
      <c r="E506" s="37"/>
      <c r="F506" s="35"/>
      <c r="G506" s="39"/>
      <c r="H506" s="35"/>
    </row>
    <row r="507" spans="2:9" ht="15.75">
      <c r="B507" s="35"/>
      <c r="C507" s="39"/>
      <c r="D507" s="35"/>
      <c r="E507" s="37"/>
      <c r="F507" s="35"/>
      <c r="G507" s="39"/>
      <c r="H507" s="35"/>
    </row>
    <row r="509" spans="2:9">
      <c r="B509" s="43"/>
      <c r="D509" s="44"/>
    </row>
    <row r="510" spans="2:9">
      <c r="B510" s="45"/>
    </row>
    <row r="511" spans="2:9">
      <c r="B511" s="46"/>
      <c r="D511" s="47"/>
    </row>
    <row r="512" spans="2:9">
      <c r="B512" s="50"/>
      <c r="C512" s="49"/>
      <c r="D512" s="49"/>
    </row>
    <row r="513" spans="2:9">
      <c r="B513" s="42"/>
    </row>
    <row r="515" spans="2:9" ht="15.75">
      <c r="B515" s="35"/>
      <c r="C515" s="54"/>
      <c r="D515" s="35"/>
      <c r="E515" s="33"/>
      <c r="F515" s="35"/>
      <c r="G515" s="39"/>
      <c r="H515" s="35"/>
      <c r="I515" s="39"/>
    </row>
    <row r="516" spans="2:9" ht="15.75">
      <c r="B516" s="35"/>
      <c r="C516" s="54"/>
      <c r="D516" s="35"/>
      <c r="E516" s="36"/>
      <c r="F516" s="35"/>
      <c r="G516" s="39"/>
      <c r="H516" s="35"/>
      <c r="I516" s="39"/>
    </row>
    <row r="517" spans="2:9" ht="15.75">
      <c r="B517" s="35"/>
      <c r="C517" s="40"/>
      <c r="D517" s="35"/>
      <c r="E517" s="40"/>
      <c r="F517" s="35"/>
      <c r="G517" s="38"/>
      <c r="H517" s="35"/>
      <c r="I517" s="38"/>
    </row>
    <row r="518" spans="2:9" ht="15.75">
      <c r="B518" s="35"/>
      <c r="C518" s="54"/>
      <c r="D518" s="35"/>
      <c r="E518" s="36"/>
      <c r="F518" s="35"/>
      <c r="G518" s="39"/>
      <c r="H518" s="35"/>
      <c r="I518" s="38"/>
    </row>
    <row r="519" spans="2:9" ht="15.75">
      <c r="B519" s="53"/>
      <c r="C519" s="54"/>
      <c r="D519" s="35"/>
      <c r="E519" s="36"/>
      <c r="F519" s="35"/>
      <c r="G519" s="39"/>
      <c r="H519" s="35"/>
      <c r="I519" s="39"/>
    </row>
    <row r="520" spans="2:9">
      <c r="B520" s="33"/>
      <c r="C520" s="34"/>
      <c r="D520" s="33"/>
      <c r="E520" s="33"/>
      <c r="F520" s="33"/>
      <c r="G520" s="33"/>
      <c r="H520" s="33"/>
      <c r="I520" s="33"/>
    </row>
    <row r="521" spans="2:9" ht="15.75">
      <c r="B521" s="38"/>
      <c r="C521" s="34"/>
      <c r="D521" s="38"/>
      <c r="E521" s="33"/>
      <c r="F521" s="38"/>
      <c r="G521" s="33"/>
      <c r="H521" s="38"/>
      <c r="I521" s="33"/>
    </row>
    <row r="522" spans="2:9" ht="15.75">
      <c r="B522" s="39"/>
      <c r="C522" s="33"/>
      <c r="D522" s="33"/>
      <c r="E522" s="33"/>
      <c r="F522" s="33"/>
      <c r="G522" s="33"/>
      <c r="H522" s="33"/>
      <c r="I522" s="33"/>
    </row>
    <row r="523" spans="2:9" ht="15.75">
      <c r="B523" s="35"/>
      <c r="C523" s="39"/>
      <c r="D523" s="35"/>
      <c r="E523" s="33"/>
      <c r="F523" s="35"/>
      <c r="G523" s="39"/>
      <c r="H523" s="35"/>
      <c r="I523" s="39"/>
    </row>
    <row r="524" spans="2:9" ht="15.75">
      <c r="B524" s="35"/>
      <c r="C524" s="39"/>
      <c r="D524" s="35"/>
      <c r="E524" s="37"/>
      <c r="F524" s="35"/>
      <c r="G524" s="39"/>
      <c r="H524" s="35"/>
      <c r="I524" s="39"/>
    </row>
    <row r="525" spans="2:9" ht="15.75">
      <c r="B525" s="35"/>
      <c r="C525" s="38"/>
      <c r="D525" s="35"/>
      <c r="E525" s="38"/>
      <c r="F525" s="35"/>
      <c r="G525" s="38"/>
      <c r="H525" s="35"/>
      <c r="I525" s="38"/>
    </row>
    <row r="526" spans="2:9" ht="15.75">
      <c r="B526" s="35"/>
      <c r="C526" s="39"/>
      <c r="D526" s="35"/>
      <c r="E526" s="37"/>
      <c r="F526" s="35"/>
      <c r="G526" s="39"/>
      <c r="H526" s="35"/>
      <c r="I526" s="39"/>
    </row>
    <row r="527" spans="2:9" ht="15.75">
      <c r="B527" s="35"/>
      <c r="C527" s="39"/>
      <c r="D527" s="35"/>
      <c r="E527" s="37"/>
      <c r="F527" s="35"/>
      <c r="G527" s="39"/>
      <c r="H527" s="35"/>
      <c r="I527" s="39"/>
    </row>
    <row r="528" spans="2:9">
      <c r="B528" s="33"/>
      <c r="C528" s="33"/>
      <c r="D528" s="33"/>
      <c r="E528" s="33"/>
      <c r="F528" s="33"/>
      <c r="G528" s="33"/>
      <c r="H528" s="33"/>
      <c r="I528" s="33"/>
    </row>
    <row r="529" spans="2:9" ht="15.75">
      <c r="B529" s="38"/>
      <c r="C529" s="33"/>
      <c r="D529" s="38"/>
      <c r="E529" s="33"/>
      <c r="F529" s="38"/>
      <c r="G529" s="33"/>
      <c r="H529" s="38"/>
      <c r="I529" s="33"/>
    </row>
    <row r="530" spans="2:9" ht="15.75">
      <c r="B530" s="39"/>
      <c r="C530" s="33"/>
      <c r="D530" s="33"/>
      <c r="E530" s="33"/>
      <c r="F530" s="33"/>
      <c r="G530" s="33"/>
      <c r="H530" s="33"/>
      <c r="I530" s="33"/>
    </row>
    <row r="531" spans="2:9" ht="15.75">
      <c r="B531" s="35"/>
      <c r="C531" s="39"/>
      <c r="D531" s="35"/>
      <c r="E531" s="33"/>
      <c r="F531" s="35"/>
      <c r="G531" s="39"/>
      <c r="H531" s="35"/>
    </row>
    <row r="532" spans="2:9" ht="15.75">
      <c r="B532" s="35"/>
      <c r="C532" s="39"/>
      <c r="D532" s="35"/>
      <c r="E532" s="37"/>
      <c r="F532" s="35"/>
      <c r="G532" s="39"/>
      <c r="H532" s="35"/>
    </row>
    <row r="533" spans="2:9" ht="15.75">
      <c r="B533" s="35"/>
      <c r="C533" s="38"/>
      <c r="D533" s="35"/>
      <c r="E533" s="38"/>
      <c r="F533" s="35"/>
      <c r="G533" s="38"/>
      <c r="H533" s="35"/>
    </row>
    <row r="534" spans="2:9" ht="15.75">
      <c r="B534" s="35"/>
      <c r="C534" s="39"/>
      <c r="D534" s="35"/>
      <c r="E534" s="37"/>
      <c r="F534" s="35"/>
      <c r="G534" s="39"/>
      <c r="H534" s="35"/>
    </row>
    <row r="535" spans="2:9" ht="15.75">
      <c r="B535" s="35"/>
      <c r="C535" s="39"/>
      <c r="D535" s="35"/>
      <c r="E535" s="37"/>
      <c r="F535" s="35"/>
      <c r="G535" s="39"/>
      <c r="H535" s="35"/>
    </row>
    <row r="537" spans="2:9">
      <c r="B537" s="43"/>
      <c r="D537" s="44"/>
    </row>
    <row r="538" spans="2:9">
      <c r="B538" s="45"/>
    </row>
    <row r="539" spans="2:9">
      <c r="B539" s="46"/>
      <c r="D539" s="47"/>
    </row>
    <row r="540" spans="2:9">
      <c r="B540" s="50"/>
      <c r="C540" s="49"/>
      <c r="D540" s="49"/>
    </row>
    <row r="541" spans="2:9">
      <c r="B541" s="42"/>
    </row>
    <row r="543" spans="2:9" ht="15.75">
      <c r="B543" s="35"/>
      <c r="C543" s="54"/>
      <c r="D543" s="35"/>
      <c r="E543" s="33"/>
      <c r="F543" s="35"/>
      <c r="G543" s="39"/>
      <c r="H543" s="35"/>
      <c r="I543" s="39"/>
    </row>
    <row r="544" spans="2:9" ht="15.75">
      <c r="B544" s="35"/>
      <c r="C544" s="54"/>
      <c r="D544" s="35"/>
      <c r="E544" s="36"/>
      <c r="F544" s="35"/>
      <c r="G544" s="39"/>
      <c r="H544" s="35"/>
      <c r="I544" s="39"/>
    </row>
    <row r="545" spans="2:9" ht="15.75">
      <c r="B545" s="35"/>
      <c r="C545" s="40"/>
      <c r="D545" s="35"/>
      <c r="E545" s="40"/>
      <c r="F545" s="35"/>
      <c r="G545" s="38"/>
      <c r="H545" s="35"/>
      <c r="I545" s="38"/>
    </row>
    <row r="546" spans="2:9" ht="15.75">
      <c r="B546" s="35"/>
      <c r="C546" s="54"/>
      <c r="D546" s="35"/>
      <c r="E546" s="36"/>
      <c r="F546" s="35"/>
      <c r="G546" s="39"/>
      <c r="H546" s="35"/>
      <c r="I546" s="38"/>
    </row>
    <row r="547" spans="2:9" ht="15.75">
      <c r="B547" s="53"/>
      <c r="C547" s="54"/>
      <c r="D547" s="35"/>
      <c r="E547" s="36"/>
      <c r="F547" s="35"/>
      <c r="G547" s="39"/>
      <c r="H547" s="35"/>
      <c r="I547" s="39"/>
    </row>
    <row r="548" spans="2:9">
      <c r="B548" s="33"/>
      <c r="C548" s="34"/>
      <c r="D548" s="33"/>
      <c r="E548" s="33"/>
      <c r="F548" s="33"/>
      <c r="G548" s="33"/>
      <c r="H548" s="33"/>
      <c r="I548" s="33"/>
    </row>
    <row r="549" spans="2:9" ht="15.75">
      <c r="B549" s="38"/>
      <c r="C549" s="34"/>
      <c r="D549" s="38"/>
      <c r="E549" s="33"/>
      <c r="F549" s="38"/>
      <c r="G549" s="33"/>
      <c r="H549" s="38"/>
      <c r="I549" s="33"/>
    </row>
    <row r="550" spans="2:9" ht="15.75">
      <c r="B550" s="39"/>
      <c r="C550" s="33"/>
      <c r="D550" s="33"/>
      <c r="E550" s="33"/>
      <c r="F550" s="33"/>
      <c r="G550" s="33"/>
      <c r="H550" s="33"/>
      <c r="I550" s="33"/>
    </row>
    <row r="551" spans="2:9" ht="15.75">
      <c r="B551" s="35"/>
      <c r="C551" s="39"/>
      <c r="D551" s="35"/>
      <c r="E551" s="33"/>
      <c r="F551" s="35"/>
      <c r="G551" s="39"/>
      <c r="H551" s="35"/>
      <c r="I551" s="39"/>
    </row>
    <row r="552" spans="2:9" ht="15.75">
      <c r="B552" s="35"/>
      <c r="C552" s="39"/>
      <c r="D552" s="35"/>
      <c r="E552" s="37"/>
      <c r="F552" s="35"/>
      <c r="G552" s="39"/>
      <c r="H552" s="35"/>
      <c r="I552" s="39"/>
    </row>
    <row r="553" spans="2:9" ht="15.75">
      <c r="B553" s="35"/>
      <c r="C553" s="38"/>
      <c r="D553" s="35"/>
      <c r="E553" s="38"/>
      <c r="F553" s="35"/>
      <c r="G553" s="38"/>
      <c r="H553" s="35"/>
      <c r="I553" s="38"/>
    </row>
    <row r="554" spans="2:9" ht="15.75">
      <c r="B554" s="35"/>
      <c r="C554" s="39"/>
      <c r="D554" s="35"/>
      <c r="E554" s="37"/>
      <c r="F554" s="35"/>
      <c r="G554" s="39"/>
      <c r="H554" s="35"/>
      <c r="I554" s="39"/>
    </row>
    <row r="555" spans="2:9" ht="15.75">
      <c r="B555" s="35"/>
      <c r="C555" s="39"/>
      <c r="D555" s="35"/>
      <c r="E555" s="37"/>
      <c r="F555" s="35"/>
      <c r="G555" s="39"/>
      <c r="H555" s="35"/>
      <c r="I555" s="39"/>
    </row>
    <row r="556" spans="2:9">
      <c r="B556" s="33"/>
      <c r="C556" s="33"/>
      <c r="D556" s="33"/>
      <c r="E556" s="33"/>
      <c r="F556" s="33"/>
      <c r="G556" s="33"/>
      <c r="H556" s="33"/>
      <c r="I556" s="33"/>
    </row>
    <row r="557" spans="2:9" ht="15.75">
      <c r="B557" s="38"/>
      <c r="C557" s="33"/>
      <c r="D557" s="38"/>
      <c r="E557" s="33"/>
      <c r="F557" s="38"/>
      <c r="G557" s="33"/>
      <c r="H557" s="38"/>
      <c r="I557" s="33"/>
    </row>
    <row r="558" spans="2:9" ht="15.75">
      <c r="B558" s="39"/>
      <c r="C558" s="33"/>
      <c r="D558" s="33"/>
      <c r="E558" s="33"/>
      <c r="F558" s="33"/>
      <c r="G558" s="33"/>
      <c r="H558" s="33"/>
      <c r="I558" s="33"/>
    </row>
    <row r="559" spans="2:9" ht="15.75">
      <c r="B559" s="35"/>
      <c r="C559" s="39"/>
      <c r="D559" s="35"/>
      <c r="E559" s="33"/>
      <c r="F559" s="35"/>
      <c r="G559" s="39"/>
      <c r="H559" s="35"/>
    </row>
    <row r="560" spans="2:9" ht="15.75">
      <c r="B560" s="35"/>
      <c r="C560" s="39"/>
      <c r="D560" s="35"/>
      <c r="E560" s="37"/>
      <c r="F560" s="35"/>
      <c r="G560" s="39"/>
      <c r="H560" s="35"/>
    </row>
    <row r="561" spans="2:9" ht="15.75">
      <c r="B561" s="35"/>
      <c r="C561" s="38"/>
      <c r="D561" s="35"/>
      <c r="E561" s="38"/>
      <c r="F561" s="35"/>
      <c r="G561" s="38"/>
      <c r="H561" s="35"/>
    </row>
    <row r="562" spans="2:9" ht="15.75">
      <c r="B562" s="35"/>
      <c r="C562" s="39"/>
      <c r="D562" s="35"/>
      <c r="E562" s="37"/>
      <c r="F562" s="35"/>
      <c r="G562" s="39"/>
      <c r="H562" s="35"/>
    </row>
    <row r="563" spans="2:9" ht="15.75">
      <c r="B563" s="35"/>
      <c r="C563" s="39"/>
      <c r="D563" s="35"/>
      <c r="E563" s="37"/>
      <c r="F563" s="35"/>
      <c r="G563" s="39"/>
      <c r="H563" s="35"/>
    </row>
    <row r="565" spans="2:9">
      <c r="B565" s="43"/>
      <c r="D565" s="44"/>
    </row>
    <row r="566" spans="2:9">
      <c r="B566" s="45"/>
    </row>
    <row r="567" spans="2:9">
      <c r="B567" s="46"/>
      <c r="D567" s="47"/>
    </row>
    <row r="569" spans="2:9">
      <c r="B569" s="55"/>
    </row>
    <row r="571" spans="2:9">
      <c r="B571" s="42"/>
    </row>
    <row r="573" spans="2:9" ht="15.75">
      <c r="B573" s="35"/>
      <c r="C573" s="54"/>
      <c r="D573" s="35"/>
      <c r="E573" s="33"/>
      <c r="F573" s="35"/>
      <c r="G573" s="39"/>
      <c r="H573" s="35"/>
      <c r="I573" s="39"/>
    </row>
    <row r="574" spans="2:9" ht="15.75">
      <c r="B574" s="35"/>
      <c r="C574" s="54"/>
      <c r="D574" s="35"/>
      <c r="E574" s="36"/>
      <c r="F574" s="35"/>
      <c r="G574" s="39"/>
      <c r="H574" s="35"/>
      <c r="I574" s="39"/>
    </row>
    <row r="575" spans="2:9" ht="15.75">
      <c r="B575" s="35"/>
      <c r="C575" s="40"/>
      <c r="D575" s="35"/>
      <c r="E575" s="40"/>
      <c r="F575" s="35"/>
      <c r="G575" s="38"/>
      <c r="H575" s="35"/>
      <c r="I575" s="38"/>
    </row>
    <row r="576" spans="2:9" ht="15.75">
      <c r="B576" s="35"/>
      <c r="C576" s="54"/>
      <c r="D576" s="35"/>
      <c r="E576" s="36"/>
      <c r="F576" s="35"/>
      <c r="G576" s="39"/>
      <c r="H576" s="35"/>
      <c r="I576" s="38"/>
    </row>
    <row r="577" spans="2:9" ht="15.75">
      <c r="B577" s="53"/>
      <c r="C577" s="54"/>
      <c r="D577" s="35"/>
      <c r="E577" s="36"/>
      <c r="F577" s="35"/>
      <c r="G577" s="39"/>
      <c r="H577" s="35"/>
      <c r="I577" s="39"/>
    </row>
    <row r="578" spans="2:9">
      <c r="B578" s="33"/>
      <c r="C578" s="34"/>
      <c r="D578" s="33"/>
      <c r="E578" s="33"/>
      <c r="F578" s="33"/>
      <c r="G578" s="33"/>
      <c r="H578" s="33"/>
      <c r="I578" s="33"/>
    </row>
    <row r="579" spans="2:9" ht="15.75">
      <c r="B579" s="38"/>
      <c r="C579" s="34"/>
      <c r="D579" s="38"/>
      <c r="E579" s="33"/>
      <c r="F579" s="38"/>
      <c r="G579" s="33"/>
      <c r="H579" s="38"/>
      <c r="I579" s="33"/>
    </row>
    <row r="580" spans="2:9" ht="15.75">
      <c r="B580" s="39"/>
      <c r="C580" s="33"/>
      <c r="D580" s="33"/>
      <c r="E580" s="33"/>
      <c r="F580" s="33"/>
      <c r="G580" s="33"/>
      <c r="H580" s="33"/>
      <c r="I580" s="33"/>
    </row>
    <row r="581" spans="2:9" ht="15.75">
      <c r="B581" s="35"/>
      <c r="C581" s="39"/>
      <c r="D581" s="35"/>
      <c r="E581" s="33"/>
      <c r="F581" s="35"/>
      <c r="G581" s="39"/>
      <c r="H581" s="35"/>
      <c r="I581" s="39"/>
    </row>
    <row r="582" spans="2:9" ht="15.75">
      <c r="B582" s="35"/>
      <c r="C582" s="39"/>
      <c r="D582" s="35"/>
      <c r="E582" s="37"/>
      <c r="F582" s="35"/>
      <c r="G582" s="39"/>
      <c r="H582" s="35"/>
      <c r="I582" s="39"/>
    </row>
    <row r="583" spans="2:9" ht="15.75">
      <c r="B583" s="35"/>
      <c r="C583" s="38"/>
      <c r="D583" s="35"/>
      <c r="E583" s="38"/>
      <c r="F583" s="35"/>
      <c r="G583" s="38"/>
      <c r="H583" s="35"/>
      <c r="I583" s="38"/>
    </row>
    <row r="584" spans="2:9" ht="15.75">
      <c r="B584" s="35"/>
      <c r="C584" s="39"/>
      <c r="D584" s="35"/>
      <c r="E584" s="37"/>
      <c r="F584" s="35"/>
      <c r="G584" s="39"/>
      <c r="H584" s="35"/>
      <c r="I584" s="39"/>
    </row>
    <row r="585" spans="2:9" ht="15.75">
      <c r="B585" s="35"/>
      <c r="C585" s="39"/>
      <c r="D585" s="35"/>
      <c r="E585" s="37"/>
      <c r="F585" s="35"/>
      <c r="G585" s="39"/>
      <c r="H585" s="35"/>
      <c r="I585" s="39"/>
    </row>
    <row r="586" spans="2:9">
      <c r="B586" s="33"/>
      <c r="C586" s="33"/>
      <c r="D586" s="33"/>
      <c r="E586" s="33"/>
      <c r="F586" s="33"/>
      <c r="G586" s="33"/>
      <c r="H586" s="33"/>
      <c r="I586" s="33"/>
    </row>
    <row r="587" spans="2:9" ht="15.75">
      <c r="B587" s="38"/>
      <c r="C587" s="33"/>
      <c r="D587" s="38"/>
      <c r="E587" s="33"/>
      <c r="F587" s="38"/>
      <c r="G587" s="33"/>
      <c r="H587" s="38"/>
      <c r="I587" s="33"/>
    </row>
    <row r="588" spans="2:9" ht="15.75">
      <c r="B588" s="39"/>
      <c r="C588" s="33"/>
      <c r="D588" s="33"/>
      <c r="E588" s="33"/>
      <c r="F588" s="33"/>
      <c r="G588" s="33"/>
      <c r="H588" s="33"/>
      <c r="I588" s="33"/>
    </row>
    <row r="589" spans="2:9" ht="15.75">
      <c r="B589" s="35"/>
      <c r="C589" s="39"/>
      <c r="D589" s="35"/>
      <c r="E589" s="33"/>
      <c r="F589" s="35"/>
      <c r="G589" s="39"/>
      <c r="H589" s="35"/>
    </row>
    <row r="590" spans="2:9" ht="15.75">
      <c r="B590" s="35"/>
      <c r="C590" s="39"/>
      <c r="D590" s="35"/>
      <c r="E590" s="37"/>
      <c r="F590" s="35"/>
      <c r="G590" s="39"/>
      <c r="H590" s="35"/>
    </row>
    <row r="591" spans="2:9" ht="15.75">
      <c r="B591" s="35"/>
      <c r="C591" s="38"/>
      <c r="D591" s="35"/>
      <c r="E591" s="38"/>
      <c r="F591" s="35"/>
      <c r="G591" s="38"/>
      <c r="H591" s="35"/>
    </row>
    <row r="592" spans="2:9" ht="15.75">
      <c r="B592" s="35"/>
      <c r="C592" s="39"/>
      <c r="D592" s="35"/>
      <c r="E592" s="37"/>
      <c r="F592" s="35"/>
      <c r="G592" s="39"/>
      <c r="H592" s="35"/>
    </row>
    <row r="593" spans="2:9" ht="15.75">
      <c r="B593" s="35"/>
      <c r="C593" s="39"/>
      <c r="D593" s="35"/>
      <c r="E593" s="37"/>
      <c r="F593" s="35"/>
      <c r="G593" s="39"/>
      <c r="H593" s="35"/>
    </row>
    <row r="595" spans="2:9">
      <c r="B595" s="43"/>
      <c r="D595" s="44"/>
    </row>
    <row r="596" spans="2:9">
      <c r="B596" s="45"/>
    </row>
    <row r="597" spans="2:9">
      <c r="B597" s="46"/>
      <c r="D597" s="47"/>
    </row>
    <row r="599" spans="2:9">
      <c r="B599" s="42"/>
    </row>
    <row r="601" spans="2:9" ht="15.75">
      <c r="B601" s="35"/>
      <c r="C601" s="54"/>
      <c r="D601" s="35"/>
      <c r="E601" s="33"/>
      <c r="F601" s="35"/>
      <c r="G601" s="39"/>
      <c r="H601" s="35"/>
      <c r="I601" s="39"/>
    </row>
    <row r="602" spans="2:9" ht="15.75">
      <c r="B602" s="35"/>
      <c r="C602" s="54"/>
      <c r="D602" s="35"/>
      <c r="E602" s="36"/>
      <c r="F602" s="35"/>
      <c r="G602" s="39"/>
      <c r="H602" s="35"/>
      <c r="I602" s="39"/>
    </row>
    <row r="603" spans="2:9" ht="15.75">
      <c r="B603" s="35"/>
      <c r="C603" s="40"/>
      <c r="D603" s="35"/>
      <c r="E603" s="40"/>
      <c r="F603" s="35"/>
      <c r="G603" s="38"/>
      <c r="H603" s="35"/>
      <c r="I603" s="38"/>
    </row>
    <row r="604" spans="2:9" ht="15.75">
      <c r="B604" s="35"/>
      <c r="C604" s="54"/>
      <c r="D604" s="35"/>
      <c r="E604" s="36"/>
      <c r="F604" s="35"/>
      <c r="G604" s="39"/>
      <c r="H604" s="35"/>
      <c r="I604" s="38"/>
    </row>
    <row r="605" spans="2:9" ht="15.75">
      <c r="B605" s="53"/>
      <c r="C605" s="54"/>
      <c r="D605" s="35"/>
      <c r="E605" s="36"/>
      <c r="F605" s="35"/>
      <c r="G605" s="39"/>
      <c r="H605" s="35"/>
      <c r="I605" s="39"/>
    </row>
    <row r="606" spans="2:9">
      <c r="B606" s="33"/>
      <c r="C606" s="34"/>
      <c r="D606" s="33"/>
      <c r="E606" s="33"/>
      <c r="F606" s="33"/>
      <c r="G606" s="33"/>
      <c r="H606" s="33"/>
      <c r="I606" s="33"/>
    </row>
    <row r="607" spans="2:9" ht="15.75">
      <c r="B607" s="38"/>
      <c r="C607" s="34"/>
      <c r="D607" s="38"/>
      <c r="E607" s="33"/>
      <c r="F607" s="38"/>
      <c r="G607" s="33"/>
      <c r="H607" s="38"/>
      <c r="I607" s="33"/>
    </row>
    <row r="608" spans="2:9" ht="15.75">
      <c r="B608" s="39"/>
      <c r="C608" s="33"/>
      <c r="D608" s="33"/>
      <c r="E608" s="33"/>
      <c r="F608" s="33"/>
      <c r="G608" s="33"/>
      <c r="H608" s="33"/>
      <c r="I608" s="33"/>
    </row>
    <row r="609" spans="2:9" ht="15.75">
      <c r="B609" s="35"/>
      <c r="C609" s="39"/>
      <c r="D609" s="35"/>
      <c r="E609" s="33"/>
      <c r="F609" s="35"/>
      <c r="G609" s="39"/>
      <c r="H609" s="35"/>
      <c r="I609" s="39"/>
    </row>
    <row r="610" spans="2:9" ht="15.75">
      <c r="B610" s="35"/>
      <c r="C610" s="39"/>
      <c r="D610" s="35"/>
      <c r="E610" s="37"/>
      <c r="F610" s="35"/>
      <c r="G610" s="39"/>
      <c r="H610" s="35"/>
      <c r="I610" s="39"/>
    </row>
    <row r="611" spans="2:9" ht="15.75">
      <c r="B611" s="35"/>
      <c r="C611" s="38"/>
      <c r="D611" s="35"/>
      <c r="E611" s="38"/>
      <c r="F611" s="35"/>
      <c r="G611" s="38"/>
      <c r="H611" s="35"/>
      <c r="I611" s="38"/>
    </row>
    <row r="612" spans="2:9" ht="15.75">
      <c r="B612" s="35"/>
      <c r="C612" s="39"/>
      <c r="D612" s="35"/>
      <c r="E612" s="37"/>
      <c r="F612" s="35"/>
      <c r="G612" s="39"/>
      <c r="H612" s="35"/>
      <c r="I612" s="39"/>
    </row>
    <row r="613" spans="2:9" ht="15.75">
      <c r="B613" s="35"/>
      <c r="C613" s="39"/>
      <c r="D613" s="35"/>
      <c r="E613" s="37"/>
      <c r="F613" s="35"/>
      <c r="G613" s="39"/>
      <c r="H613" s="35"/>
      <c r="I613" s="39"/>
    </row>
    <row r="614" spans="2:9">
      <c r="B614" s="33"/>
      <c r="C614" s="33"/>
      <c r="D614" s="33"/>
      <c r="E614" s="33"/>
      <c r="F614" s="33"/>
      <c r="G614" s="33"/>
      <c r="H614" s="33"/>
      <c r="I614" s="33"/>
    </row>
    <row r="615" spans="2:9" ht="15.75">
      <c r="B615" s="38"/>
      <c r="C615" s="33"/>
      <c r="D615" s="38"/>
      <c r="E615" s="33"/>
      <c r="F615" s="38"/>
      <c r="G615" s="33"/>
      <c r="H615" s="38"/>
      <c r="I615" s="33"/>
    </row>
    <row r="616" spans="2:9" ht="15.75">
      <c r="B616" s="39"/>
      <c r="C616" s="33"/>
      <c r="D616" s="33"/>
      <c r="E616" s="33"/>
      <c r="F616" s="33"/>
      <c r="G616" s="33"/>
      <c r="H616" s="33"/>
      <c r="I616" s="33"/>
    </row>
    <row r="617" spans="2:9" ht="15.75">
      <c r="B617" s="35"/>
      <c r="C617" s="39"/>
      <c r="D617" s="35"/>
      <c r="E617" s="33"/>
      <c r="F617" s="35"/>
      <c r="G617" s="39"/>
      <c r="H617" s="35"/>
    </row>
    <row r="618" spans="2:9" ht="15.75">
      <c r="B618" s="35"/>
      <c r="C618" s="39"/>
      <c r="D618" s="35"/>
      <c r="E618" s="37"/>
      <c r="F618" s="35"/>
      <c r="G618" s="39"/>
      <c r="H618" s="35"/>
    </row>
    <row r="619" spans="2:9" ht="15.75">
      <c r="B619" s="35"/>
      <c r="C619" s="38"/>
      <c r="D619" s="35"/>
      <c r="E619" s="38"/>
      <c r="F619" s="35"/>
      <c r="G619" s="38"/>
      <c r="H619" s="35"/>
    </row>
    <row r="620" spans="2:9" ht="15.75">
      <c r="B620" s="35"/>
      <c r="C620" s="39"/>
      <c r="D620" s="35"/>
      <c r="E620" s="37"/>
      <c r="F620" s="35"/>
      <c r="G620" s="39"/>
      <c r="H620" s="35"/>
    </row>
    <row r="621" spans="2:9" ht="15.75">
      <c r="B621" s="35"/>
      <c r="C621" s="39"/>
      <c r="D621" s="35"/>
      <c r="E621" s="37"/>
      <c r="F621" s="35"/>
      <c r="G621" s="39"/>
      <c r="H621" s="35"/>
    </row>
    <row r="623" spans="2:9">
      <c r="B623" s="43"/>
      <c r="D623" s="44"/>
    </row>
    <row r="624" spans="2:9">
      <c r="B624" s="45"/>
    </row>
    <row r="625" spans="2:9">
      <c r="B625" s="46"/>
      <c r="D625" s="47"/>
    </row>
    <row r="627" spans="2:9">
      <c r="B627" s="42"/>
    </row>
    <row r="629" spans="2:9" ht="15.75">
      <c r="B629" s="35"/>
      <c r="C629" s="54"/>
      <c r="D629" s="35"/>
      <c r="E629" s="33"/>
      <c r="F629" s="35"/>
      <c r="G629" s="39"/>
      <c r="H629" s="35"/>
      <c r="I629" s="39"/>
    </row>
    <row r="630" spans="2:9" ht="15.75">
      <c r="B630" s="35"/>
      <c r="C630" s="54"/>
      <c r="D630" s="35"/>
      <c r="E630" s="36"/>
      <c r="F630" s="35"/>
      <c r="G630" s="39"/>
      <c r="H630" s="35"/>
      <c r="I630" s="39"/>
    </row>
    <row r="631" spans="2:9" ht="15.75">
      <c r="B631" s="35"/>
      <c r="C631" s="40"/>
      <c r="D631" s="35"/>
      <c r="E631" s="40"/>
      <c r="F631" s="35"/>
      <c r="G631" s="38"/>
      <c r="H631" s="35"/>
      <c r="I631" s="38"/>
    </row>
    <row r="632" spans="2:9" ht="15.75">
      <c r="B632" s="35"/>
      <c r="C632" s="54"/>
      <c r="D632" s="35"/>
      <c r="E632" s="36"/>
      <c r="F632" s="35"/>
      <c r="G632" s="39"/>
      <c r="H632" s="35"/>
      <c r="I632" s="38"/>
    </row>
    <row r="633" spans="2:9" ht="15.75">
      <c r="B633" s="53"/>
      <c r="C633" s="54"/>
      <c r="D633" s="35"/>
      <c r="E633" s="36"/>
      <c r="F633" s="35"/>
      <c r="G633" s="39"/>
      <c r="H633" s="35"/>
      <c r="I633" s="39"/>
    </row>
    <row r="634" spans="2:9">
      <c r="B634" s="33"/>
      <c r="C634" s="34"/>
      <c r="D634" s="33"/>
      <c r="E634" s="33"/>
      <c r="F634" s="33"/>
      <c r="G634" s="33"/>
      <c r="H634" s="33"/>
      <c r="I634" s="33"/>
    </row>
    <row r="635" spans="2:9" ht="15.75">
      <c r="B635" s="38"/>
      <c r="C635" s="34"/>
      <c r="D635" s="38"/>
      <c r="E635" s="33"/>
      <c r="F635" s="38"/>
      <c r="G635" s="33"/>
      <c r="H635" s="38"/>
      <c r="I635" s="33"/>
    </row>
    <row r="636" spans="2:9" ht="15.75">
      <c r="B636" s="39"/>
      <c r="C636" s="33"/>
      <c r="D636" s="33"/>
      <c r="E636" s="33"/>
      <c r="F636" s="33"/>
      <c r="G636" s="33"/>
      <c r="H636" s="33"/>
      <c r="I636" s="33"/>
    </row>
    <row r="637" spans="2:9" ht="15.75">
      <c r="B637" s="35"/>
      <c r="C637" s="39"/>
      <c r="D637" s="35"/>
      <c r="E637" s="33"/>
      <c r="F637" s="35"/>
      <c r="G637" s="39"/>
      <c r="H637" s="35"/>
      <c r="I637" s="39"/>
    </row>
    <row r="638" spans="2:9" ht="15.75">
      <c r="B638" s="35"/>
      <c r="C638" s="39"/>
      <c r="D638" s="35"/>
      <c r="E638" s="37"/>
      <c r="F638" s="35"/>
      <c r="G638" s="39"/>
      <c r="H638" s="35"/>
      <c r="I638" s="39"/>
    </row>
    <row r="639" spans="2:9" ht="15.75">
      <c r="B639" s="35"/>
      <c r="C639" s="38"/>
      <c r="D639" s="35"/>
      <c r="E639" s="38"/>
      <c r="F639" s="35"/>
      <c r="G639" s="38"/>
      <c r="H639" s="35"/>
      <c r="I639" s="38"/>
    </row>
    <row r="640" spans="2:9" ht="15.75">
      <c r="B640" s="35"/>
      <c r="C640" s="39"/>
      <c r="D640" s="35"/>
      <c r="E640" s="37"/>
      <c r="F640" s="35"/>
      <c r="G640" s="39"/>
      <c r="H640" s="35"/>
      <c r="I640" s="39"/>
    </row>
    <row r="641" spans="2:9" ht="15.75">
      <c r="B641" s="35"/>
      <c r="C641" s="39"/>
      <c r="D641" s="35"/>
      <c r="E641" s="37"/>
      <c r="F641" s="35"/>
      <c r="G641" s="39"/>
      <c r="H641" s="35"/>
      <c r="I641" s="39"/>
    </row>
    <row r="642" spans="2:9">
      <c r="B642" s="33"/>
      <c r="C642" s="33"/>
      <c r="D642" s="33"/>
      <c r="E642" s="33"/>
      <c r="F642" s="33"/>
      <c r="G642" s="33"/>
      <c r="H642" s="33"/>
      <c r="I642" s="33"/>
    </row>
    <row r="643" spans="2:9" ht="15.75">
      <c r="B643" s="38"/>
      <c r="C643" s="33"/>
      <c r="D643" s="38"/>
      <c r="E643" s="33"/>
      <c r="F643" s="38"/>
      <c r="G643" s="33"/>
      <c r="H643" s="38"/>
      <c r="I643" s="33"/>
    </row>
    <row r="644" spans="2:9" ht="15.75">
      <c r="B644" s="39"/>
      <c r="C644" s="33"/>
      <c r="D644" s="33"/>
      <c r="E644" s="33"/>
      <c r="F644" s="33"/>
      <c r="G644" s="33"/>
      <c r="H644" s="33"/>
      <c r="I644" s="33"/>
    </row>
    <row r="645" spans="2:9" ht="15.75">
      <c r="B645" s="35"/>
      <c r="C645" s="39"/>
      <c r="D645" s="35"/>
      <c r="E645" s="33"/>
      <c r="F645" s="35"/>
      <c r="G645" s="39"/>
      <c r="H645" s="35"/>
    </row>
    <row r="646" spans="2:9" ht="15.75">
      <c r="B646" s="35"/>
      <c r="C646" s="39"/>
      <c r="D646" s="35"/>
      <c r="E646" s="37"/>
      <c r="F646" s="35"/>
      <c r="G646" s="39"/>
      <c r="H646" s="35"/>
    </row>
    <row r="647" spans="2:9" ht="15.75">
      <c r="B647" s="35"/>
      <c r="C647" s="38"/>
      <c r="D647" s="35"/>
      <c r="E647" s="38"/>
      <c r="F647" s="35"/>
      <c r="G647" s="38"/>
      <c r="H647" s="35"/>
    </row>
    <row r="648" spans="2:9" ht="15.75">
      <c r="B648" s="35"/>
      <c r="C648" s="39"/>
      <c r="D648" s="35"/>
      <c r="E648" s="37"/>
      <c r="F648" s="35"/>
      <c r="G648" s="39"/>
      <c r="H648" s="35"/>
    </row>
    <row r="649" spans="2:9" ht="15.75">
      <c r="B649" s="35"/>
      <c r="C649" s="39"/>
      <c r="D649" s="35"/>
      <c r="E649" s="37"/>
      <c r="F649" s="35"/>
      <c r="G649" s="39"/>
      <c r="H649" s="35"/>
    </row>
    <row r="651" spans="2:9">
      <c r="B651" s="43"/>
      <c r="D651" s="44"/>
    </row>
    <row r="652" spans="2:9">
      <c r="B652" s="45"/>
    </row>
    <row r="653" spans="2:9">
      <c r="B653" s="46"/>
      <c r="D653" s="47"/>
    </row>
    <row r="655" spans="2:9">
      <c r="B655" s="42"/>
    </row>
    <row r="657" spans="2:9" ht="15.75">
      <c r="B657" s="35"/>
      <c r="C657" s="54"/>
      <c r="D657" s="35"/>
      <c r="E657" s="33"/>
      <c r="F657" s="35"/>
      <c r="G657" s="39"/>
      <c r="H657" s="35"/>
      <c r="I657" s="39"/>
    </row>
    <row r="658" spans="2:9" ht="15.75">
      <c r="B658" s="35"/>
      <c r="C658" s="54"/>
      <c r="D658" s="35"/>
      <c r="E658" s="36"/>
      <c r="F658" s="35"/>
      <c r="G658" s="39"/>
      <c r="H658" s="35"/>
      <c r="I658" s="39"/>
    </row>
    <row r="659" spans="2:9" ht="15.75">
      <c r="B659" s="35"/>
      <c r="C659" s="40"/>
      <c r="D659" s="35"/>
      <c r="E659" s="40"/>
      <c r="F659" s="35"/>
      <c r="G659" s="38"/>
      <c r="H659" s="35"/>
      <c r="I659" s="38"/>
    </row>
    <row r="660" spans="2:9" ht="15.75">
      <c r="B660" s="35"/>
      <c r="C660" s="54"/>
      <c r="D660" s="35"/>
      <c r="E660" s="36"/>
      <c r="F660" s="35"/>
      <c r="G660" s="39"/>
      <c r="H660" s="35"/>
      <c r="I660" s="38"/>
    </row>
    <row r="661" spans="2:9" ht="15.75">
      <c r="B661" s="53"/>
      <c r="C661" s="54"/>
      <c r="D661" s="35"/>
      <c r="E661" s="36"/>
      <c r="F661" s="35"/>
      <c r="G661" s="39"/>
      <c r="H661" s="35"/>
      <c r="I661" s="39"/>
    </row>
    <row r="662" spans="2:9">
      <c r="B662" s="33"/>
      <c r="C662" s="34"/>
      <c r="D662" s="33"/>
      <c r="E662" s="33"/>
      <c r="F662" s="33"/>
      <c r="G662" s="33"/>
      <c r="H662" s="33"/>
      <c r="I662" s="33"/>
    </row>
    <row r="663" spans="2:9" ht="15.75">
      <c r="B663" s="38"/>
      <c r="C663" s="34"/>
      <c r="D663" s="38"/>
      <c r="E663" s="33"/>
      <c r="F663" s="38"/>
      <c r="G663" s="33"/>
      <c r="H663" s="38"/>
      <c r="I663" s="33"/>
    </row>
    <row r="664" spans="2:9" ht="15.75">
      <c r="B664" s="39"/>
      <c r="C664" s="33"/>
      <c r="D664" s="33"/>
      <c r="E664" s="33"/>
      <c r="F664" s="33"/>
      <c r="G664" s="33"/>
      <c r="H664" s="33"/>
      <c r="I664" s="33"/>
    </row>
    <row r="665" spans="2:9" ht="15.75">
      <c r="B665" s="35"/>
      <c r="C665" s="39"/>
      <c r="D665" s="35"/>
      <c r="E665" s="33"/>
      <c r="F665" s="35"/>
      <c r="G665" s="39"/>
      <c r="H665" s="35"/>
      <c r="I665" s="39"/>
    </row>
    <row r="666" spans="2:9" ht="15.75">
      <c r="B666" s="35"/>
      <c r="C666" s="39"/>
      <c r="D666" s="35"/>
      <c r="E666" s="37"/>
      <c r="F666" s="35"/>
      <c r="G666" s="39"/>
      <c r="H666" s="35"/>
      <c r="I666" s="39"/>
    </row>
    <row r="667" spans="2:9" ht="15.75">
      <c r="B667" s="35"/>
      <c r="C667" s="38"/>
      <c r="D667" s="35"/>
      <c r="E667" s="38"/>
      <c r="F667" s="35"/>
      <c r="G667" s="38"/>
      <c r="H667" s="35"/>
      <c r="I667" s="38"/>
    </row>
    <row r="668" spans="2:9" ht="15.75">
      <c r="B668" s="35"/>
      <c r="C668" s="39"/>
      <c r="D668" s="35"/>
      <c r="E668" s="37"/>
      <c r="F668" s="35"/>
      <c r="G668" s="39"/>
      <c r="H668" s="35"/>
      <c r="I668" s="39"/>
    </row>
    <row r="669" spans="2:9" ht="15.75">
      <c r="B669" s="35"/>
      <c r="C669" s="39"/>
      <c r="D669" s="35"/>
      <c r="E669" s="37"/>
      <c r="F669" s="35"/>
      <c r="G669" s="39"/>
      <c r="H669" s="35"/>
      <c r="I669" s="39"/>
    </row>
    <row r="670" spans="2:9">
      <c r="B670" s="33"/>
      <c r="C670" s="33"/>
      <c r="D670" s="33"/>
      <c r="E670" s="33"/>
      <c r="F670" s="33"/>
      <c r="G670" s="33"/>
      <c r="H670" s="33"/>
      <c r="I670" s="33"/>
    </row>
    <row r="671" spans="2:9" ht="15.75">
      <c r="B671" s="38"/>
      <c r="C671" s="33"/>
      <c r="D671" s="38"/>
      <c r="E671" s="33"/>
      <c r="F671" s="38"/>
      <c r="G671" s="33"/>
      <c r="H671" s="38"/>
      <c r="I671" s="33"/>
    </row>
    <row r="672" spans="2:9" ht="15.75">
      <c r="B672" s="39"/>
      <c r="C672" s="33"/>
      <c r="D672" s="33"/>
      <c r="E672" s="33"/>
      <c r="F672" s="33"/>
      <c r="G672" s="33"/>
      <c r="H672" s="33"/>
      <c r="I672" s="33"/>
    </row>
    <row r="673" spans="2:9" ht="15.75">
      <c r="B673" s="35"/>
      <c r="C673" s="39"/>
      <c r="D673" s="35"/>
      <c r="E673" s="33"/>
      <c r="F673" s="35"/>
      <c r="G673" s="39"/>
      <c r="H673" s="35"/>
    </row>
    <row r="674" spans="2:9" ht="15.75">
      <c r="B674" s="35"/>
      <c r="C674" s="39"/>
      <c r="D674" s="35"/>
      <c r="E674" s="37"/>
      <c r="F674" s="35"/>
      <c r="G674" s="39"/>
      <c r="H674" s="35"/>
    </row>
    <row r="675" spans="2:9" ht="15.75">
      <c r="B675" s="35"/>
      <c r="C675" s="38"/>
      <c r="D675" s="35"/>
      <c r="E675" s="38"/>
      <c r="F675" s="35"/>
      <c r="G675" s="38"/>
      <c r="H675" s="35"/>
    </row>
    <row r="676" spans="2:9" ht="15.75">
      <c r="B676" s="35"/>
      <c r="C676" s="39"/>
      <c r="D676" s="35"/>
      <c r="E676" s="37"/>
      <c r="F676" s="35"/>
      <c r="G676" s="39"/>
      <c r="H676" s="35"/>
    </row>
    <row r="677" spans="2:9" ht="15.75">
      <c r="B677" s="35"/>
      <c r="C677" s="39"/>
      <c r="D677" s="35"/>
      <c r="E677" s="37"/>
      <c r="F677" s="35"/>
      <c r="G677" s="39"/>
      <c r="H677" s="35"/>
    </row>
    <row r="679" spans="2:9">
      <c r="B679" s="43"/>
      <c r="D679" s="44"/>
    </row>
    <row r="680" spans="2:9">
      <c r="B680" s="45"/>
    </row>
    <row r="681" spans="2:9">
      <c r="B681" s="46"/>
      <c r="D681" s="47"/>
    </row>
    <row r="683" spans="2:9">
      <c r="B683" s="42"/>
    </row>
    <row r="685" spans="2:9" ht="15.75">
      <c r="B685" s="35"/>
      <c r="C685" s="54"/>
      <c r="D685" s="35"/>
      <c r="E685" s="33"/>
      <c r="F685" s="35"/>
      <c r="G685" s="39"/>
      <c r="H685" s="35"/>
      <c r="I685" s="39"/>
    </row>
    <row r="686" spans="2:9" ht="15.75">
      <c r="B686" s="35"/>
      <c r="C686" s="54"/>
      <c r="D686" s="35"/>
      <c r="E686" s="36"/>
      <c r="F686" s="35"/>
      <c r="G686" s="39"/>
      <c r="H686" s="35"/>
      <c r="I686" s="39"/>
    </row>
    <row r="687" spans="2:9" ht="15.75">
      <c r="B687" s="35"/>
      <c r="C687" s="40"/>
      <c r="D687" s="35"/>
      <c r="E687" s="40"/>
      <c r="F687" s="35"/>
      <c r="G687" s="38"/>
      <c r="H687" s="35"/>
      <c r="I687" s="38"/>
    </row>
    <row r="688" spans="2:9" ht="15.75">
      <c r="B688" s="35"/>
      <c r="C688" s="54"/>
      <c r="D688" s="35"/>
      <c r="E688" s="36"/>
      <c r="F688" s="35"/>
      <c r="G688" s="39"/>
      <c r="H688" s="35"/>
      <c r="I688" s="38"/>
    </row>
    <row r="689" spans="2:9" ht="15.75">
      <c r="B689" s="53"/>
      <c r="C689" s="54"/>
      <c r="D689" s="35"/>
      <c r="E689" s="36"/>
      <c r="F689" s="35"/>
      <c r="G689" s="39"/>
      <c r="H689" s="35"/>
      <c r="I689" s="39"/>
    </row>
    <row r="690" spans="2:9">
      <c r="B690" s="33"/>
      <c r="C690" s="34"/>
      <c r="D690" s="33"/>
      <c r="E690" s="33"/>
      <c r="F690" s="33"/>
      <c r="G690" s="33"/>
      <c r="H690" s="33"/>
      <c r="I690" s="33"/>
    </row>
    <row r="691" spans="2:9" ht="15.75">
      <c r="B691" s="38"/>
      <c r="C691" s="34"/>
      <c r="D691" s="38"/>
      <c r="E691" s="33"/>
      <c r="F691" s="38"/>
      <c r="G691" s="33"/>
      <c r="H691" s="38"/>
      <c r="I691" s="33"/>
    </row>
    <row r="692" spans="2:9" ht="15.75">
      <c r="B692" s="39"/>
      <c r="C692" s="33"/>
      <c r="D692" s="33"/>
      <c r="E692" s="33"/>
      <c r="F692" s="33"/>
      <c r="G692" s="33"/>
      <c r="H692" s="33"/>
      <c r="I692" s="33"/>
    </row>
    <row r="693" spans="2:9" ht="15.75">
      <c r="B693" s="35"/>
      <c r="C693" s="39"/>
      <c r="D693" s="35"/>
      <c r="E693" s="33"/>
      <c r="F693" s="35"/>
      <c r="G693" s="39"/>
      <c r="H693" s="35"/>
      <c r="I693" s="39"/>
    </row>
    <row r="694" spans="2:9" ht="15.75">
      <c r="B694" s="35"/>
      <c r="C694" s="39"/>
      <c r="D694" s="35"/>
      <c r="E694" s="37"/>
      <c r="F694" s="35"/>
      <c r="G694" s="39"/>
      <c r="H694" s="35"/>
      <c r="I694" s="39"/>
    </row>
    <row r="695" spans="2:9" ht="15.75">
      <c r="B695" s="35"/>
      <c r="C695" s="38"/>
      <c r="D695" s="35"/>
      <c r="E695" s="38"/>
      <c r="F695" s="35"/>
      <c r="G695" s="38"/>
      <c r="H695" s="35"/>
      <c r="I695" s="38"/>
    </row>
    <row r="696" spans="2:9" ht="15.75">
      <c r="B696" s="35"/>
      <c r="C696" s="39"/>
      <c r="D696" s="35"/>
      <c r="E696" s="37"/>
      <c r="F696" s="35"/>
      <c r="G696" s="39"/>
      <c r="H696" s="35"/>
      <c r="I696" s="39"/>
    </row>
    <row r="697" spans="2:9" ht="15.75">
      <c r="B697" s="35"/>
      <c r="C697" s="39"/>
      <c r="D697" s="35"/>
      <c r="E697" s="37"/>
      <c r="F697" s="35"/>
      <c r="G697" s="39"/>
      <c r="H697" s="35"/>
      <c r="I697" s="39"/>
    </row>
    <row r="698" spans="2:9">
      <c r="B698" s="33"/>
      <c r="C698" s="33"/>
      <c r="D698" s="33"/>
      <c r="E698" s="33"/>
      <c r="F698" s="33"/>
      <c r="G698" s="33"/>
      <c r="H698" s="33"/>
      <c r="I698" s="33"/>
    </row>
    <row r="699" spans="2:9" ht="15.75">
      <c r="B699" s="38"/>
      <c r="C699" s="33"/>
      <c r="D699" s="38"/>
      <c r="E699" s="33"/>
      <c r="F699" s="38"/>
      <c r="G699" s="33"/>
      <c r="H699" s="38"/>
      <c r="I699" s="33"/>
    </row>
    <row r="700" spans="2:9" ht="15.75">
      <c r="B700" s="39"/>
      <c r="C700" s="33"/>
      <c r="D700" s="33"/>
      <c r="E700" s="33"/>
      <c r="F700" s="33"/>
      <c r="G700" s="33"/>
      <c r="H700" s="33"/>
      <c r="I700" s="33"/>
    </row>
    <row r="701" spans="2:9" ht="15.75">
      <c r="B701" s="35"/>
      <c r="C701" s="39"/>
      <c r="D701" s="35"/>
      <c r="E701" s="33"/>
      <c r="F701" s="35"/>
      <c r="G701" s="39"/>
      <c r="H701" s="35"/>
    </row>
    <row r="702" spans="2:9" ht="15.75">
      <c r="B702" s="35"/>
      <c r="C702" s="39"/>
      <c r="D702" s="35"/>
      <c r="E702" s="37"/>
      <c r="F702" s="35"/>
      <c r="G702" s="39"/>
      <c r="H702" s="35"/>
    </row>
    <row r="703" spans="2:9" ht="15.75">
      <c r="B703" s="35"/>
      <c r="C703" s="38"/>
      <c r="D703" s="35"/>
      <c r="E703" s="38"/>
      <c r="F703" s="35"/>
      <c r="G703" s="38"/>
      <c r="H703" s="35"/>
    </row>
    <row r="704" spans="2:9" ht="15.75">
      <c r="B704" s="35"/>
      <c r="C704" s="39"/>
      <c r="D704" s="35"/>
      <c r="E704" s="37"/>
      <c r="F704" s="35"/>
      <c r="G704" s="39"/>
      <c r="H704" s="35"/>
    </row>
    <row r="705" spans="2:9" ht="15.75">
      <c r="B705" s="35"/>
      <c r="C705" s="39"/>
      <c r="D705" s="35"/>
      <c r="E705" s="37"/>
      <c r="F705" s="35"/>
      <c r="G705" s="39"/>
      <c r="H705" s="35"/>
    </row>
    <row r="707" spans="2:9">
      <c r="B707" s="43"/>
      <c r="D707" s="44"/>
    </row>
    <row r="708" spans="2:9">
      <c r="B708" s="45"/>
    </row>
    <row r="709" spans="2:9">
      <c r="B709" s="46"/>
      <c r="D709" s="47"/>
    </row>
    <row r="711" spans="2:9">
      <c r="B711" s="42"/>
    </row>
    <row r="713" spans="2:9" ht="15.75">
      <c r="B713" s="35"/>
      <c r="C713" s="54"/>
      <c r="D713" s="35"/>
      <c r="E713" s="33"/>
      <c r="F713" s="35"/>
      <c r="G713" s="39"/>
      <c r="H713" s="35"/>
      <c r="I713" s="39"/>
    </row>
    <row r="714" spans="2:9" ht="15.75">
      <c r="B714" s="35"/>
      <c r="C714" s="54"/>
      <c r="D714" s="35"/>
      <c r="E714" s="36"/>
      <c r="F714" s="35"/>
      <c r="G714" s="39"/>
      <c r="H714" s="35"/>
      <c r="I714" s="39"/>
    </row>
    <row r="715" spans="2:9" ht="15.75">
      <c r="B715" s="35"/>
      <c r="C715" s="40"/>
      <c r="D715" s="35"/>
      <c r="E715" s="40"/>
      <c r="F715" s="35"/>
      <c r="G715" s="38"/>
      <c r="H715" s="35"/>
      <c r="I715" s="38"/>
    </row>
    <row r="716" spans="2:9" ht="15.75">
      <c r="B716" s="35"/>
      <c r="C716" s="54"/>
      <c r="D716" s="35"/>
      <c r="E716" s="36"/>
      <c r="F716" s="35"/>
      <c r="G716" s="39"/>
      <c r="H716" s="35"/>
      <c r="I716" s="38"/>
    </row>
    <row r="717" spans="2:9" ht="15.75">
      <c r="B717" s="53"/>
      <c r="C717" s="54"/>
      <c r="D717" s="35"/>
      <c r="E717" s="36"/>
      <c r="F717" s="35"/>
      <c r="G717" s="39"/>
      <c r="H717" s="35"/>
      <c r="I717" s="39"/>
    </row>
    <row r="718" spans="2:9">
      <c r="B718" s="33"/>
      <c r="C718" s="34"/>
      <c r="D718" s="33"/>
      <c r="E718" s="33"/>
      <c r="F718" s="33"/>
      <c r="G718" s="33"/>
      <c r="H718" s="33"/>
      <c r="I718" s="33"/>
    </row>
    <row r="719" spans="2:9" ht="15.75">
      <c r="B719" s="38"/>
      <c r="C719" s="34"/>
      <c r="D719" s="38"/>
      <c r="E719" s="33"/>
      <c r="F719" s="38"/>
      <c r="G719" s="33"/>
      <c r="H719" s="38"/>
      <c r="I719" s="33"/>
    </row>
    <row r="720" spans="2:9" ht="15.75">
      <c r="B720" s="39"/>
      <c r="C720" s="33"/>
      <c r="D720" s="33"/>
      <c r="E720" s="33"/>
      <c r="F720" s="33"/>
      <c r="G720" s="33"/>
      <c r="H720" s="33"/>
      <c r="I720" s="33"/>
    </row>
    <row r="721" spans="2:9" ht="15.75">
      <c r="B721" s="35"/>
      <c r="C721" s="39"/>
      <c r="D721" s="35"/>
      <c r="E721" s="33"/>
      <c r="F721" s="35"/>
      <c r="G721" s="39"/>
      <c r="H721" s="35"/>
      <c r="I721" s="39"/>
    </row>
    <row r="722" spans="2:9" ht="15.75">
      <c r="B722" s="35"/>
      <c r="C722" s="39"/>
      <c r="D722" s="35"/>
      <c r="E722" s="37"/>
      <c r="F722" s="35"/>
      <c r="G722" s="39"/>
      <c r="H722" s="35"/>
      <c r="I722" s="39"/>
    </row>
    <row r="723" spans="2:9" ht="15.75">
      <c r="B723" s="35"/>
      <c r="C723" s="38"/>
      <c r="D723" s="35"/>
      <c r="E723" s="38"/>
      <c r="F723" s="35"/>
      <c r="G723" s="38"/>
      <c r="H723" s="35"/>
      <c r="I723" s="38"/>
    </row>
    <row r="724" spans="2:9" ht="15.75">
      <c r="B724" s="35"/>
      <c r="C724" s="39"/>
      <c r="D724" s="35"/>
      <c r="E724" s="37"/>
      <c r="F724" s="35"/>
      <c r="G724" s="39"/>
      <c r="H724" s="35"/>
      <c r="I724" s="39"/>
    </row>
    <row r="725" spans="2:9" ht="15.75">
      <c r="B725" s="35"/>
      <c r="C725" s="39"/>
      <c r="D725" s="35"/>
      <c r="E725" s="37"/>
      <c r="F725" s="35"/>
      <c r="G725" s="39"/>
      <c r="H725" s="35"/>
      <c r="I725" s="39"/>
    </row>
    <row r="726" spans="2:9">
      <c r="B726" s="33"/>
      <c r="C726" s="33"/>
      <c r="D726" s="33"/>
      <c r="E726" s="33"/>
      <c r="F726" s="33"/>
      <c r="G726" s="33"/>
      <c r="H726" s="33"/>
      <c r="I726" s="33"/>
    </row>
    <row r="727" spans="2:9" ht="15.75">
      <c r="B727" s="38"/>
      <c r="C727" s="33"/>
      <c r="D727" s="38"/>
      <c r="E727" s="33"/>
      <c r="F727" s="38"/>
      <c r="G727" s="33"/>
      <c r="H727" s="38"/>
      <c r="I727" s="33"/>
    </row>
    <row r="728" spans="2:9" ht="15.75">
      <c r="B728" s="39"/>
      <c r="C728" s="33"/>
      <c r="D728" s="33"/>
      <c r="E728" s="33"/>
      <c r="F728" s="33"/>
      <c r="G728" s="33"/>
      <c r="H728" s="33"/>
      <c r="I728" s="33"/>
    </row>
    <row r="729" spans="2:9" ht="15.75">
      <c r="B729" s="35"/>
      <c r="C729" s="39"/>
      <c r="D729" s="35"/>
      <c r="E729" s="33"/>
      <c r="F729" s="35"/>
      <c r="G729" s="39"/>
      <c r="H729" s="35"/>
    </row>
    <row r="730" spans="2:9" ht="15.75">
      <c r="B730" s="35"/>
      <c r="C730" s="39"/>
      <c r="D730" s="35"/>
      <c r="E730" s="37"/>
      <c r="F730" s="35"/>
      <c r="G730" s="39"/>
      <c r="H730" s="35"/>
    </row>
    <row r="731" spans="2:9" ht="15.75">
      <c r="B731" s="35"/>
      <c r="C731" s="38"/>
      <c r="D731" s="35"/>
      <c r="E731" s="38"/>
      <c r="F731" s="35"/>
      <c r="G731" s="38"/>
      <c r="H731" s="35"/>
    </row>
    <row r="732" spans="2:9" ht="15.75">
      <c r="B732" s="35"/>
      <c r="C732" s="39"/>
      <c r="D732" s="35"/>
      <c r="E732" s="37"/>
      <c r="F732" s="35"/>
      <c r="G732" s="39"/>
      <c r="H732" s="35"/>
    </row>
    <row r="733" spans="2:9" ht="15.75">
      <c r="B733" s="35"/>
      <c r="C733" s="39"/>
      <c r="D733" s="35"/>
      <c r="E733" s="37"/>
      <c r="F733" s="35"/>
      <c r="G733" s="39"/>
      <c r="H733" s="35"/>
    </row>
    <row r="735" spans="2:9">
      <c r="B735" s="43"/>
      <c r="D735" s="44"/>
    </row>
    <row r="736" spans="2:9">
      <c r="B736" s="45"/>
    </row>
    <row r="737" spans="2:9">
      <c r="B737" s="46"/>
      <c r="D737" s="47"/>
    </row>
    <row r="739" spans="2:9">
      <c r="B739" s="42"/>
    </row>
    <row r="741" spans="2:9" ht="15.75">
      <c r="B741" s="35"/>
      <c r="C741" s="54"/>
      <c r="D741" s="35"/>
      <c r="E741" s="33"/>
      <c r="F741" s="35"/>
      <c r="G741" s="39"/>
      <c r="H741" s="35"/>
      <c r="I741" s="39"/>
    </row>
    <row r="742" spans="2:9" ht="15.75">
      <c r="B742" s="35"/>
      <c r="C742" s="54"/>
      <c r="D742" s="35"/>
      <c r="E742" s="36"/>
      <c r="F742" s="35"/>
      <c r="G742" s="39"/>
      <c r="H742" s="35"/>
      <c r="I742" s="39"/>
    </row>
    <row r="743" spans="2:9" ht="15.75">
      <c r="B743" s="35"/>
      <c r="C743" s="40"/>
      <c r="D743" s="35"/>
      <c r="E743" s="40"/>
      <c r="F743" s="35"/>
      <c r="G743" s="38"/>
      <c r="H743" s="35"/>
      <c r="I743" s="38"/>
    </row>
    <row r="744" spans="2:9" ht="15.75">
      <c r="B744" s="35"/>
      <c r="C744" s="54"/>
      <c r="D744" s="35"/>
      <c r="E744" s="36"/>
      <c r="F744" s="35"/>
      <c r="G744" s="39"/>
      <c r="H744" s="35"/>
      <c r="I744" s="38"/>
    </row>
    <row r="745" spans="2:9" ht="15.75">
      <c r="B745" s="53"/>
      <c r="C745" s="54"/>
      <c r="D745" s="35"/>
      <c r="E745" s="36"/>
      <c r="F745" s="35"/>
      <c r="G745" s="39"/>
      <c r="H745" s="35"/>
      <c r="I745" s="39"/>
    </row>
    <row r="746" spans="2:9">
      <c r="B746" s="33"/>
      <c r="C746" s="34"/>
      <c r="D746" s="33"/>
      <c r="E746" s="33"/>
      <c r="F746" s="33"/>
      <c r="G746" s="33"/>
      <c r="H746" s="33"/>
      <c r="I746" s="33"/>
    </row>
    <row r="747" spans="2:9" ht="15.75">
      <c r="B747" s="38"/>
      <c r="C747" s="34"/>
      <c r="D747" s="38"/>
      <c r="E747" s="33"/>
      <c r="F747" s="38"/>
      <c r="G747" s="33"/>
      <c r="H747" s="38"/>
      <c r="I747" s="33"/>
    </row>
    <row r="748" spans="2:9" ht="15.75">
      <c r="B748" s="39"/>
      <c r="C748" s="33"/>
      <c r="D748" s="33"/>
      <c r="E748" s="33"/>
      <c r="F748" s="33"/>
      <c r="G748" s="33"/>
      <c r="H748" s="33"/>
      <c r="I748" s="33"/>
    </row>
    <row r="749" spans="2:9" ht="15.75">
      <c r="B749" s="35"/>
      <c r="C749" s="39"/>
      <c r="D749" s="35"/>
      <c r="E749" s="33"/>
      <c r="F749" s="35"/>
      <c r="G749" s="39"/>
      <c r="H749" s="35"/>
      <c r="I749" s="39"/>
    </row>
    <row r="750" spans="2:9" ht="15.75">
      <c r="B750" s="35"/>
      <c r="C750" s="39"/>
      <c r="D750" s="35"/>
      <c r="E750" s="37"/>
      <c r="F750" s="35"/>
      <c r="G750" s="39"/>
      <c r="H750" s="35"/>
      <c r="I750" s="39"/>
    </row>
    <row r="751" spans="2:9" ht="15.75">
      <c r="B751" s="35"/>
      <c r="C751" s="38"/>
      <c r="D751" s="35"/>
      <c r="E751" s="38"/>
      <c r="F751" s="35"/>
      <c r="G751" s="38"/>
      <c r="H751" s="35"/>
      <c r="I751" s="38"/>
    </row>
    <row r="752" spans="2:9" ht="15.75">
      <c r="B752" s="35"/>
      <c r="C752" s="39"/>
      <c r="D752" s="35"/>
      <c r="E752" s="37"/>
      <c r="F752" s="35"/>
      <c r="G752" s="39"/>
      <c r="H752" s="35"/>
      <c r="I752" s="39"/>
    </row>
    <row r="753" spans="2:9" ht="15.75">
      <c r="B753" s="35"/>
      <c r="C753" s="39"/>
      <c r="D753" s="35"/>
      <c r="E753" s="37"/>
      <c r="F753" s="35"/>
      <c r="G753" s="39"/>
      <c r="H753" s="35"/>
      <c r="I753" s="39"/>
    </row>
    <row r="754" spans="2:9">
      <c r="B754" s="33"/>
      <c r="C754" s="33"/>
      <c r="D754" s="33"/>
      <c r="E754" s="33"/>
      <c r="F754" s="33"/>
      <c r="G754" s="33"/>
      <c r="H754" s="33"/>
      <c r="I754" s="33"/>
    </row>
    <row r="755" spans="2:9" ht="15.75">
      <c r="B755" s="38"/>
      <c r="C755" s="33"/>
      <c r="D755" s="38"/>
      <c r="E755" s="33"/>
      <c r="F755" s="38"/>
      <c r="G755" s="33"/>
      <c r="H755" s="38"/>
      <c r="I755" s="33"/>
    </row>
    <row r="756" spans="2:9" ht="15.75">
      <c r="B756" s="39"/>
      <c r="C756" s="33"/>
      <c r="D756" s="33"/>
      <c r="E756" s="33"/>
      <c r="F756" s="33"/>
      <c r="G756" s="33"/>
      <c r="H756" s="33"/>
      <c r="I756" s="33"/>
    </row>
    <row r="757" spans="2:9" ht="15.75">
      <c r="B757" s="35"/>
      <c r="C757" s="39"/>
      <c r="D757" s="35"/>
      <c r="E757" s="33"/>
      <c r="F757" s="35"/>
      <c r="G757" s="39"/>
      <c r="H757" s="35"/>
    </row>
    <row r="758" spans="2:9" ht="15.75">
      <c r="B758" s="35"/>
      <c r="C758" s="39"/>
      <c r="D758" s="35"/>
      <c r="E758" s="37"/>
      <c r="F758" s="35"/>
      <c r="G758" s="39"/>
      <c r="H758" s="35"/>
    </row>
    <row r="759" spans="2:9" ht="15.75">
      <c r="B759" s="35"/>
      <c r="C759" s="38"/>
      <c r="D759" s="35"/>
      <c r="E759" s="38"/>
      <c r="F759" s="35"/>
      <c r="G759" s="38"/>
      <c r="H759" s="35"/>
    </row>
    <row r="760" spans="2:9" ht="15.75">
      <c r="B760" s="35"/>
      <c r="C760" s="39"/>
      <c r="D760" s="35"/>
      <c r="E760" s="37"/>
      <c r="F760" s="35"/>
      <c r="G760" s="39"/>
      <c r="H760" s="35"/>
    </row>
    <row r="761" spans="2:9" ht="15.75">
      <c r="B761" s="35"/>
      <c r="C761" s="39"/>
      <c r="D761" s="35"/>
      <c r="E761" s="37"/>
      <c r="F761" s="35"/>
      <c r="G761" s="39"/>
      <c r="H761" s="35"/>
    </row>
    <row r="763" spans="2:9">
      <c r="B763" s="43"/>
      <c r="D763" s="44"/>
    </row>
    <row r="764" spans="2:9">
      <c r="B764" s="45"/>
    </row>
    <row r="765" spans="2:9">
      <c r="B765" s="46"/>
      <c r="D765" s="47"/>
    </row>
    <row r="767" spans="2:9">
      <c r="B767" s="42"/>
    </row>
    <row r="769" spans="2:9" ht="15.75">
      <c r="B769" s="35"/>
      <c r="C769" s="54"/>
      <c r="D769" s="35"/>
      <c r="E769" s="33"/>
      <c r="F769" s="35"/>
      <c r="G769" s="39"/>
      <c r="H769" s="35"/>
      <c r="I769" s="39"/>
    </row>
    <row r="770" spans="2:9" ht="15.75">
      <c r="B770" s="35"/>
      <c r="C770" s="54"/>
      <c r="D770" s="35"/>
      <c r="E770" s="36"/>
      <c r="F770" s="35"/>
      <c r="G770" s="39"/>
      <c r="H770" s="35"/>
      <c r="I770" s="39"/>
    </row>
    <row r="771" spans="2:9" ht="15.75">
      <c r="B771" s="35"/>
      <c r="C771" s="40"/>
      <c r="D771" s="35"/>
      <c r="E771" s="40"/>
      <c r="F771" s="35"/>
      <c r="G771" s="38"/>
      <c r="H771" s="35"/>
      <c r="I771" s="38"/>
    </row>
    <row r="772" spans="2:9" ht="15.75">
      <c r="B772" s="35"/>
      <c r="C772" s="54"/>
      <c r="D772" s="35"/>
      <c r="E772" s="36"/>
      <c r="F772" s="35"/>
      <c r="G772" s="39"/>
      <c r="H772" s="35"/>
      <c r="I772" s="38"/>
    </row>
    <row r="773" spans="2:9" ht="15.75">
      <c r="B773" s="53"/>
      <c r="C773" s="54"/>
      <c r="D773" s="35"/>
      <c r="E773" s="36"/>
      <c r="F773" s="35"/>
      <c r="G773" s="39"/>
      <c r="H773" s="35"/>
      <c r="I773" s="39"/>
    </row>
    <row r="774" spans="2:9">
      <c r="B774" s="33"/>
      <c r="C774" s="34"/>
      <c r="D774" s="33"/>
      <c r="E774" s="33"/>
      <c r="F774" s="33"/>
      <c r="G774" s="33"/>
      <c r="H774" s="33"/>
      <c r="I774" s="33"/>
    </row>
    <row r="775" spans="2:9" ht="15.75">
      <c r="B775" s="38"/>
      <c r="C775" s="34"/>
      <c r="D775" s="38"/>
      <c r="E775" s="33"/>
      <c r="F775" s="38"/>
      <c r="G775" s="33"/>
      <c r="H775" s="38"/>
      <c r="I775" s="33"/>
    </row>
    <row r="776" spans="2:9" ht="15.75">
      <c r="B776" s="39"/>
      <c r="C776" s="33"/>
      <c r="D776" s="33"/>
      <c r="E776" s="33"/>
      <c r="F776" s="33"/>
      <c r="G776" s="33"/>
      <c r="H776" s="33"/>
      <c r="I776" s="33"/>
    </row>
    <row r="777" spans="2:9" ht="15.75">
      <c r="B777" s="35"/>
      <c r="C777" s="39"/>
      <c r="D777" s="35"/>
      <c r="E777" s="33"/>
      <c r="F777" s="35"/>
      <c r="G777" s="39"/>
      <c r="H777" s="35"/>
      <c r="I777" s="39"/>
    </row>
    <row r="778" spans="2:9" ht="15.75">
      <c r="B778" s="35"/>
      <c r="C778" s="39"/>
      <c r="D778" s="35"/>
      <c r="E778" s="37"/>
      <c r="F778" s="35"/>
      <c r="G778" s="39"/>
      <c r="H778" s="35"/>
      <c r="I778" s="39"/>
    </row>
    <row r="779" spans="2:9" ht="15.75">
      <c r="B779" s="35"/>
      <c r="C779" s="38"/>
      <c r="D779" s="35"/>
      <c r="E779" s="38"/>
      <c r="F779" s="35"/>
      <c r="G779" s="38"/>
      <c r="H779" s="35"/>
      <c r="I779" s="38"/>
    </row>
    <row r="780" spans="2:9" ht="15.75">
      <c r="B780" s="35"/>
      <c r="C780" s="39"/>
      <c r="D780" s="35"/>
      <c r="E780" s="37"/>
      <c r="F780" s="35"/>
      <c r="G780" s="39"/>
      <c r="H780" s="35"/>
      <c r="I780" s="39"/>
    </row>
    <row r="781" spans="2:9" ht="15.75">
      <c r="B781" s="35"/>
      <c r="C781" s="39"/>
      <c r="D781" s="35"/>
      <c r="E781" s="37"/>
      <c r="F781" s="35"/>
      <c r="G781" s="39"/>
      <c r="H781" s="35"/>
      <c r="I781" s="39"/>
    </row>
    <row r="782" spans="2:9">
      <c r="B782" s="33"/>
      <c r="C782" s="33"/>
      <c r="D782" s="33"/>
      <c r="E782" s="33"/>
      <c r="F782" s="33"/>
      <c r="G782" s="33"/>
      <c r="H782" s="33"/>
      <c r="I782" s="33"/>
    </row>
    <row r="783" spans="2:9" ht="15.75">
      <c r="B783" s="38"/>
      <c r="C783" s="33"/>
      <c r="D783" s="38"/>
      <c r="E783" s="33"/>
      <c r="F783" s="38"/>
      <c r="G783" s="33"/>
      <c r="H783" s="38"/>
      <c r="I783" s="33"/>
    </row>
    <row r="784" spans="2:9" ht="15.75">
      <c r="B784" s="39"/>
      <c r="C784" s="33"/>
      <c r="D784" s="33"/>
      <c r="E784" s="33"/>
      <c r="F784" s="33"/>
      <c r="G784" s="33"/>
      <c r="H784" s="33"/>
      <c r="I784" s="33"/>
    </row>
    <row r="785" spans="2:9" ht="15.75">
      <c r="B785" s="35"/>
      <c r="C785" s="39"/>
      <c r="D785" s="35"/>
      <c r="E785" s="33"/>
      <c r="F785" s="35"/>
      <c r="G785" s="39"/>
      <c r="H785" s="35"/>
    </row>
    <row r="786" spans="2:9" ht="15.75">
      <c r="B786" s="35"/>
      <c r="C786" s="39"/>
      <c r="D786" s="35"/>
      <c r="E786" s="37"/>
      <c r="F786" s="35"/>
      <c r="G786" s="39"/>
      <c r="H786" s="35"/>
    </row>
    <row r="787" spans="2:9" ht="15.75">
      <c r="B787" s="35"/>
      <c r="C787" s="38"/>
      <c r="D787" s="35"/>
      <c r="E787" s="38"/>
      <c r="F787" s="35"/>
      <c r="G787" s="38"/>
      <c r="H787" s="35"/>
    </row>
    <row r="788" spans="2:9" ht="15.75">
      <c r="B788" s="35"/>
      <c r="C788" s="39"/>
      <c r="D788" s="35"/>
      <c r="E788" s="37"/>
      <c r="F788" s="35"/>
      <c r="G788" s="39"/>
      <c r="H788" s="35"/>
    </row>
    <row r="789" spans="2:9" ht="15.75">
      <c r="B789" s="35"/>
      <c r="C789" s="39"/>
      <c r="D789" s="35"/>
      <c r="E789" s="37"/>
      <c r="F789" s="35"/>
      <c r="G789" s="39"/>
      <c r="H789" s="35"/>
    </row>
    <row r="791" spans="2:9">
      <c r="B791" s="43"/>
      <c r="D791" s="44"/>
    </row>
    <row r="792" spans="2:9">
      <c r="B792" s="45"/>
    </row>
    <row r="793" spans="2:9">
      <c r="B793" s="46"/>
      <c r="D793" s="47"/>
    </row>
    <row r="794" spans="2:9">
      <c r="B794" s="50"/>
      <c r="C794" s="49"/>
      <c r="D794" s="49"/>
    </row>
    <row r="795" spans="2:9">
      <c r="B795" s="42"/>
    </row>
    <row r="797" spans="2:9" ht="15.75">
      <c r="B797" s="35"/>
      <c r="C797" s="54"/>
      <c r="D797" s="35"/>
      <c r="E797" s="33"/>
      <c r="F797" s="35"/>
      <c r="G797" s="39"/>
      <c r="H797" s="35"/>
      <c r="I797" s="39"/>
    </row>
    <row r="798" spans="2:9" ht="15.75">
      <c r="B798" s="35"/>
      <c r="C798" s="54"/>
      <c r="D798" s="35"/>
      <c r="E798" s="36"/>
      <c r="F798" s="35"/>
      <c r="G798" s="39"/>
      <c r="H798" s="35"/>
      <c r="I798" s="39"/>
    </row>
    <row r="799" spans="2:9" ht="15.75">
      <c r="B799" s="35"/>
      <c r="C799" s="40"/>
      <c r="D799" s="35"/>
      <c r="E799" s="40"/>
      <c r="F799" s="35"/>
      <c r="G799" s="38"/>
      <c r="H799" s="35"/>
      <c r="I799" s="38"/>
    </row>
    <row r="800" spans="2:9" ht="15.75">
      <c r="B800" s="35"/>
      <c r="C800" s="54"/>
      <c r="D800" s="35"/>
      <c r="E800" s="36"/>
      <c r="F800" s="35"/>
      <c r="G800" s="39"/>
      <c r="H800" s="35"/>
      <c r="I800" s="38"/>
    </row>
    <row r="801" spans="2:9" ht="15.75">
      <c r="B801" s="53"/>
      <c r="C801" s="54"/>
      <c r="D801" s="35"/>
      <c r="E801" s="36"/>
      <c r="F801" s="35"/>
      <c r="G801" s="39"/>
      <c r="H801" s="35"/>
      <c r="I801" s="39"/>
    </row>
    <row r="802" spans="2:9">
      <c r="B802" s="33"/>
      <c r="C802" s="34"/>
      <c r="D802" s="33"/>
      <c r="E802" s="33"/>
      <c r="F802" s="33"/>
      <c r="G802" s="33"/>
      <c r="H802" s="33"/>
      <c r="I802" s="33"/>
    </row>
    <row r="803" spans="2:9" ht="15.75">
      <c r="B803" s="38"/>
      <c r="C803" s="34"/>
      <c r="D803" s="38"/>
      <c r="E803" s="33"/>
      <c r="F803" s="38"/>
      <c r="G803" s="33"/>
      <c r="H803" s="38"/>
      <c r="I803" s="33"/>
    </row>
    <row r="804" spans="2:9" ht="15.75">
      <c r="B804" s="39"/>
      <c r="C804" s="33"/>
      <c r="D804" s="33"/>
      <c r="E804" s="33"/>
      <c r="F804" s="33"/>
      <c r="G804" s="33"/>
      <c r="H804" s="33"/>
      <c r="I804" s="33"/>
    </row>
    <row r="805" spans="2:9" ht="15.75">
      <c r="B805" s="35"/>
      <c r="C805" s="39"/>
      <c r="D805" s="35"/>
      <c r="E805" s="33"/>
      <c r="F805" s="35"/>
      <c r="G805" s="39"/>
      <c r="H805" s="35"/>
      <c r="I805" s="39"/>
    </row>
    <row r="806" spans="2:9" ht="15.75">
      <c r="B806" s="35"/>
      <c r="C806" s="39"/>
      <c r="D806" s="35"/>
      <c r="E806" s="37"/>
      <c r="F806" s="35"/>
      <c r="G806" s="39"/>
      <c r="H806" s="35"/>
      <c r="I806" s="39"/>
    </row>
    <row r="807" spans="2:9" ht="15.75">
      <c r="B807" s="35"/>
      <c r="C807" s="38"/>
      <c r="D807" s="35"/>
      <c r="E807" s="38"/>
      <c r="F807" s="35"/>
      <c r="G807" s="38"/>
      <c r="H807" s="35"/>
      <c r="I807" s="38"/>
    </row>
    <row r="808" spans="2:9" ht="15.75">
      <c r="B808" s="35"/>
      <c r="C808" s="39"/>
      <c r="D808" s="35"/>
      <c r="E808" s="37"/>
      <c r="F808" s="35"/>
      <c r="G808" s="39"/>
      <c r="H808" s="35"/>
      <c r="I808" s="39"/>
    </row>
    <row r="809" spans="2:9" ht="15.75">
      <c r="B809" s="35"/>
      <c r="C809" s="39"/>
      <c r="D809" s="35"/>
      <c r="E809" s="37"/>
      <c r="F809" s="35"/>
      <c r="G809" s="39"/>
      <c r="H809" s="35"/>
      <c r="I809" s="39"/>
    </row>
    <row r="810" spans="2:9">
      <c r="B810" s="33"/>
      <c r="C810" s="33"/>
      <c r="D810" s="33"/>
      <c r="E810" s="33"/>
      <c r="F810" s="33"/>
      <c r="G810" s="33"/>
      <c r="H810" s="33"/>
      <c r="I810" s="33"/>
    </row>
    <row r="811" spans="2:9" ht="15.75">
      <c r="B811" s="38"/>
      <c r="C811" s="33"/>
      <c r="D811" s="38"/>
      <c r="E811" s="33"/>
      <c r="F811" s="38"/>
      <c r="G811" s="33"/>
      <c r="H811" s="38"/>
      <c r="I811" s="33"/>
    </row>
    <row r="812" spans="2:9" ht="15.75">
      <c r="B812" s="39"/>
      <c r="C812" s="33"/>
      <c r="D812" s="33"/>
      <c r="E812" s="33"/>
      <c r="F812" s="33"/>
      <c r="G812" s="33"/>
      <c r="H812" s="33"/>
      <c r="I812" s="33"/>
    </row>
    <row r="813" spans="2:9" ht="15.75">
      <c r="B813" s="35"/>
      <c r="C813" s="39"/>
      <c r="D813" s="35"/>
      <c r="E813" s="33"/>
      <c r="F813" s="35"/>
      <c r="G813" s="39"/>
      <c r="H813" s="35"/>
    </row>
    <row r="814" spans="2:9" ht="15.75">
      <c r="B814" s="35"/>
      <c r="C814" s="39"/>
      <c r="D814" s="35"/>
      <c r="E814" s="37"/>
      <c r="F814" s="35"/>
      <c r="G814" s="39"/>
      <c r="H814" s="35"/>
    </row>
    <row r="815" spans="2:9" ht="15.75">
      <c r="B815" s="35"/>
      <c r="C815" s="38"/>
      <c r="D815" s="35"/>
      <c r="E815" s="38"/>
      <c r="F815" s="35"/>
      <c r="G815" s="38"/>
      <c r="H815" s="35"/>
    </row>
    <row r="816" spans="2:9" ht="15.75">
      <c r="B816" s="35"/>
      <c r="C816" s="39"/>
      <c r="D816" s="35"/>
      <c r="E816" s="37"/>
      <c r="F816" s="35"/>
      <c r="G816" s="39"/>
      <c r="H816" s="35"/>
    </row>
    <row r="817" spans="2:9" ht="15.75">
      <c r="B817" s="35"/>
      <c r="C817" s="39"/>
      <c r="D817" s="35"/>
      <c r="E817" s="37"/>
      <c r="F817" s="35"/>
      <c r="G817" s="39"/>
      <c r="H817" s="35"/>
    </row>
    <row r="819" spans="2:9">
      <c r="B819" s="43"/>
      <c r="D819" s="44"/>
    </row>
    <row r="820" spans="2:9">
      <c r="B820" s="45"/>
    </row>
    <row r="821" spans="2:9">
      <c r="B821" s="46"/>
      <c r="D821" s="47"/>
    </row>
    <row r="822" spans="2:9">
      <c r="B822" s="50"/>
      <c r="C822" s="49"/>
      <c r="D822" s="49"/>
    </row>
    <row r="823" spans="2:9">
      <c r="B823" s="42"/>
    </row>
    <row r="825" spans="2:9" ht="15.75">
      <c r="B825" s="35"/>
      <c r="C825" s="54"/>
      <c r="D825" s="35"/>
      <c r="E825" s="33"/>
      <c r="F825" s="35"/>
      <c r="G825" s="39"/>
      <c r="H825" s="35"/>
      <c r="I825" s="39"/>
    </row>
    <row r="826" spans="2:9" ht="15.75">
      <c r="B826" s="35"/>
      <c r="C826" s="54"/>
      <c r="D826" s="35"/>
      <c r="E826" s="36"/>
      <c r="F826" s="35"/>
      <c r="G826" s="39"/>
      <c r="H826" s="35"/>
      <c r="I826" s="39"/>
    </row>
    <row r="827" spans="2:9" ht="15.75">
      <c r="B827" s="35"/>
      <c r="C827" s="40"/>
      <c r="D827" s="35"/>
      <c r="E827" s="40"/>
      <c r="F827" s="35"/>
      <c r="G827" s="38"/>
      <c r="H827" s="35"/>
      <c r="I827" s="38"/>
    </row>
    <row r="828" spans="2:9" ht="15.75">
      <c r="B828" s="35"/>
      <c r="C828" s="54"/>
      <c r="D828" s="35"/>
      <c r="E828" s="36"/>
      <c r="F828" s="35"/>
      <c r="G828" s="39"/>
      <c r="H828" s="35"/>
      <c r="I828" s="38"/>
    </row>
    <row r="829" spans="2:9" ht="15.75">
      <c r="B829" s="53"/>
      <c r="C829" s="54"/>
      <c r="D829" s="35"/>
      <c r="E829" s="36"/>
      <c r="F829" s="35"/>
      <c r="G829" s="39"/>
      <c r="H829" s="35"/>
      <c r="I829" s="39"/>
    </row>
    <row r="830" spans="2:9">
      <c r="B830" s="33"/>
      <c r="C830" s="34"/>
      <c r="D830" s="33"/>
      <c r="E830" s="33"/>
      <c r="F830" s="33"/>
      <c r="G830" s="33"/>
      <c r="H830" s="33"/>
      <c r="I830" s="33"/>
    </row>
    <row r="831" spans="2:9" ht="15.75">
      <c r="B831" s="38"/>
      <c r="C831" s="34"/>
      <c r="D831" s="38"/>
      <c r="E831" s="33"/>
      <c r="F831" s="38"/>
      <c r="G831" s="33"/>
      <c r="H831" s="38"/>
      <c r="I831" s="33"/>
    </row>
    <row r="832" spans="2:9" ht="15.75">
      <c r="B832" s="39"/>
      <c r="C832" s="33"/>
      <c r="D832" s="33"/>
      <c r="E832" s="33"/>
      <c r="F832" s="33"/>
      <c r="G832" s="33"/>
      <c r="H832" s="33"/>
      <c r="I832" s="33"/>
    </row>
    <row r="833" spans="2:9" ht="15.75">
      <c r="B833" s="35"/>
      <c r="C833" s="39"/>
      <c r="D833" s="35"/>
      <c r="E833" s="33"/>
      <c r="F833" s="35"/>
      <c r="G833" s="39"/>
      <c r="H833" s="35"/>
      <c r="I833" s="39"/>
    </row>
    <row r="834" spans="2:9" ht="15.75">
      <c r="B834" s="35"/>
      <c r="C834" s="39"/>
      <c r="D834" s="35"/>
      <c r="E834" s="37"/>
      <c r="F834" s="35"/>
      <c r="G834" s="39"/>
      <c r="H834" s="35"/>
      <c r="I834" s="39"/>
    </row>
    <row r="835" spans="2:9" ht="15.75">
      <c r="B835" s="35"/>
      <c r="C835" s="38"/>
      <c r="D835" s="35"/>
      <c r="E835" s="38"/>
      <c r="F835" s="35"/>
      <c r="G835" s="38"/>
      <c r="H835" s="35"/>
      <c r="I835" s="38"/>
    </row>
    <row r="836" spans="2:9" ht="15.75">
      <c r="B836" s="35"/>
      <c r="C836" s="39"/>
      <c r="D836" s="35"/>
      <c r="E836" s="37"/>
      <c r="F836" s="35"/>
      <c r="G836" s="39"/>
      <c r="H836" s="35"/>
      <c r="I836" s="39"/>
    </row>
    <row r="837" spans="2:9" ht="15.75">
      <c r="B837" s="35"/>
      <c r="C837" s="39"/>
      <c r="D837" s="35"/>
      <c r="E837" s="37"/>
      <c r="F837" s="35"/>
      <c r="G837" s="39"/>
      <c r="H837" s="35"/>
      <c r="I837" s="39"/>
    </row>
    <row r="838" spans="2:9">
      <c r="B838" s="33"/>
      <c r="C838" s="33"/>
      <c r="D838" s="33"/>
      <c r="E838" s="33"/>
      <c r="F838" s="33"/>
      <c r="G838" s="33"/>
      <c r="H838" s="33"/>
      <c r="I838" s="33"/>
    </row>
    <row r="839" spans="2:9" ht="15.75">
      <c r="B839" s="38"/>
      <c r="C839" s="33"/>
      <c r="D839" s="38"/>
      <c r="E839" s="33"/>
      <c r="F839" s="38"/>
      <c r="G839" s="33"/>
      <c r="H839" s="38"/>
      <c r="I839" s="33"/>
    </row>
    <row r="840" spans="2:9" ht="15.75">
      <c r="B840" s="39"/>
      <c r="C840" s="33"/>
      <c r="D840" s="33"/>
      <c r="E840" s="33"/>
      <c r="F840" s="33"/>
      <c r="G840" s="33"/>
      <c r="H840" s="33"/>
      <c r="I840" s="33"/>
    </row>
    <row r="841" spans="2:9" ht="15.75">
      <c r="B841" s="35"/>
      <c r="C841" s="39"/>
      <c r="D841" s="35"/>
      <c r="E841" s="33"/>
      <c r="F841" s="35"/>
      <c r="G841" s="39"/>
      <c r="H841" s="35"/>
    </row>
    <row r="842" spans="2:9" ht="15.75">
      <c r="B842" s="35"/>
      <c r="C842" s="39"/>
      <c r="D842" s="35"/>
      <c r="E842" s="37"/>
      <c r="F842" s="35"/>
      <c r="G842" s="39"/>
      <c r="H842" s="35"/>
    </row>
    <row r="843" spans="2:9" ht="15.75">
      <c r="B843" s="35"/>
      <c r="C843" s="38"/>
      <c r="D843" s="35"/>
      <c r="E843" s="38"/>
      <c r="F843" s="35"/>
      <c r="G843" s="38"/>
      <c r="H843" s="35"/>
    </row>
    <row r="844" spans="2:9" ht="15.75">
      <c r="B844" s="35"/>
      <c r="C844" s="39"/>
      <c r="D844" s="35"/>
      <c r="E844" s="37"/>
      <c r="F844" s="35"/>
      <c r="G844" s="39"/>
      <c r="H844" s="35"/>
    </row>
    <row r="845" spans="2:9" ht="15.75">
      <c r="B845" s="35"/>
      <c r="C845" s="39"/>
      <c r="D845" s="35"/>
      <c r="E845" s="37"/>
      <c r="F845" s="35"/>
      <c r="G845" s="39"/>
      <c r="H845" s="35"/>
    </row>
    <row r="847" spans="2:9">
      <c r="B847" s="43"/>
      <c r="D847" s="44"/>
    </row>
    <row r="848" spans="2:9">
      <c r="B848" s="45"/>
    </row>
    <row r="849" spans="2:9">
      <c r="B849" s="46"/>
      <c r="D849" s="47"/>
    </row>
    <row r="851" spans="2:9">
      <c r="B851" s="55"/>
    </row>
    <row r="853" spans="2:9">
      <c r="B853" s="42"/>
    </row>
    <row r="855" spans="2:9" ht="15.75">
      <c r="B855" s="35"/>
      <c r="C855" s="54"/>
      <c r="D855" s="35"/>
      <c r="E855" s="33"/>
      <c r="F855" s="35"/>
      <c r="G855" s="39"/>
      <c r="H855" s="35"/>
      <c r="I855" s="39"/>
    </row>
    <row r="856" spans="2:9" ht="15.75">
      <c r="B856" s="35"/>
      <c r="C856" s="54"/>
      <c r="D856" s="35"/>
      <c r="E856" s="36"/>
      <c r="F856" s="35"/>
      <c r="G856" s="39"/>
      <c r="H856" s="35"/>
      <c r="I856" s="39"/>
    </row>
    <row r="857" spans="2:9" ht="15.75">
      <c r="B857" s="35"/>
      <c r="C857" s="40"/>
      <c r="D857" s="35"/>
      <c r="E857" s="40"/>
      <c r="F857" s="35"/>
      <c r="G857" s="38"/>
      <c r="H857" s="35"/>
      <c r="I857" s="38"/>
    </row>
    <row r="858" spans="2:9" ht="15.75">
      <c r="B858" s="35"/>
      <c r="C858" s="54"/>
      <c r="D858" s="35"/>
      <c r="E858" s="36"/>
      <c r="F858" s="35"/>
      <c r="G858" s="39"/>
      <c r="H858" s="35"/>
      <c r="I858" s="38"/>
    </row>
    <row r="859" spans="2:9" ht="15.75">
      <c r="B859" s="53"/>
      <c r="C859" s="54"/>
      <c r="D859" s="35"/>
      <c r="E859" s="36"/>
      <c r="F859" s="35"/>
      <c r="G859" s="39"/>
      <c r="H859" s="35"/>
      <c r="I859" s="39"/>
    </row>
    <row r="860" spans="2:9">
      <c r="B860" s="33"/>
      <c r="C860" s="34"/>
      <c r="D860" s="33"/>
      <c r="E860" s="33"/>
      <c r="F860" s="33"/>
      <c r="G860" s="33"/>
      <c r="H860" s="33"/>
      <c r="I860" s="33"/>
    </row>
    <row r="861" spans="2:9" ht="15.75">
      <c r="B861" s="38"/>
      <c r="C861" s="34"/>
      <c r="D861" s="38"/>
      <c r="E861" s="33"/>
      <c r="F861" s="38"/>
      <c r="G861" s="33"/>
      <c r="H861" s="38"/>
      <c r="I861" s="33"/>
    </row>
    <row r="862" spans="2:9" ht="15.75">
      <c r="B862" s="39"/>
      <c r="C862" s="33"/>
      <c r="D862" s="33"/>
      <c r="E862" s="33"/>
      <c r="F862" s="33"/>
      <c r="G862" s="33"/>
      <c r="H862" s="33"/>
      <c r="I862" s="33"/>
    </row>
    <row r="863" spans="2:9" ht="15.75">
      <c r="B863" s="35"/>
      <c r="C863" s="39"/>
      <c r="D863" s="35"/>
      <c r="E863" s="33"/>
      <c r="F863" s="35"/>
      <c r="G863" s="39"/>
      <c r="H863" s="35"/>
      <c r="I863" s="39"/>
    </row>
    <row r="864" spans="2:9" ht="15.75">
      <c r="B864" s="35"/>
      <c r="C864" s="39"/>
      <c r="D864" s="35"/>
      <c r="E864" s="37"/>
      <c r="F864" s="35"/>
      <c r="G864" s="39"/>
      <c r="H864" s="35"/>
      <c r="I864" s="39"/>
    </row>
    <row r="865" spans="2:9" ht="15.75">
      <c r="B865" s="35"/>
      <c r="C865" s="38"/>
      <c r="D865" s="35"/>
      <c r="E865" s="38"/>
      <c r="F865" s="35"/>
      <c r="G865" s="38"/>
      <c r="H865" s="35"/>
      <c r="I865" s="38"/>
    </row>
    <row r="866" spans="2:9" ht="15.75">
      <c r="B866" s="35"/>
      <c r="C866" s="39"/>
      <c r="D866" s="35"/>
      <c r="E866" s="37"/>
      <c r="F866" s="35"/>
      <c r="G866" s="39"/>
      <c r="H866" s="35"/>
      <c r="I866" s="39"/>
    </row>
    <row r="867" spans="2:9" ht="15.75">
      <c r="B867" s="35"/>
      <c r="C867" s="39"/>
      <c r="D867" s="35"/>
      <c r="E867" s="37"/>
      <c r="F867" s="35"/>
      <c r="G867" s="39"/>
      <c r="H867" s="35"/>
      <c r="I867" s="39"/>
    </row>
    <row r="868" spans="2:9">
      <c r="B868" s="33"/>
      <c r="C868" s="33"/>
      <c r="D868" s="33"/>
      <c r="E868" s="33"/>
      <c r="F868" s="33"/>
      <c r="G868" s="33"/>
      <c r="H868" s="33"/>
      <c r="I868" s="33"/>
    </row>
    <row r="869" spans="2:9" ht="15.75">
      <c r="B869" s="38"/>
      <c r="C869" s="33"/>
      <c r="D869" s="38"/>
      <c r="E869" s="33"/>
      <c r="F869" s="38"/>
      <c r="G869" s="33"/>
      <c r="H869" s="38"/>
      <c r="I869" s="33"/>
    </row>
    <row r="870" spans="2:9" ht="15.75">
      <c r="B870" s="39"/>
      <c r="C870" s="33"/>
      <c r="D870" s="33"/>
      <c r="E870" s="33"/>
      <c r="F870" s="33"/>
      <c r="G870" s="33"/>
      <c r="H870" s="33"/>
      <c r="I870" s="33"/>
    </row>
    <row r="871" spans="2:9" ht="15.75">
      <c r="B871" s="35"/>
      <c r="C871" s="39"/>
      <c r="D871" s="35"/>
      <c r="E871" s="33"/>
      <c r="F871" s="35"/>
      <c r="G871" s="39"/>
      <c r="H871" s="35"/>
    </row>
    <row r="872" spans="2:9" ht="15.75">
      <c r="B872" s="35"/>
      <c r="C872" s="39"/>
      <c r="D872" s="35"/>
      <c r="E872" s="37"/>
      <c r="F872" s="35"/>
      <c r="G872" s="39"/>
      <c r="H872" s="35"/>
    </row>
    <row r="873" spans="2:9" ht="15.75">
      <c r="B873" s="35"/>
      <c r="C873" s="38"/>
      <c r="D873" s="35"/>
      <c r="E873" s="38"/>
      <c r="F873" s="35"/>
      <c r="G873" s="38"/>
      <c r="H873" s="35"/>
    </row>
    <row r="874" spans="2:9" ht="15.75">
      <c r="B874" s="35"/>
      <c r="C874" s="39"/>
      <c r="D874" s="35"/>
      <c r="E874" s="37"/>
      <c r="F874" s="35"/>
      <c r="G874" s="39"/>
      <c r="H874" s="35"/>
    </row>
    <row r="875" spans="2:9" ht="15.75">
      <c r="B875" s="35"/>
      <c r="C875" s="39"/>
      <c r="D875" s="35"/>
      <c r="E875" s="37"/>
      <c r="F875" s="35"/>
      <c r="G875" s="39"/>
      <c r="H875" s="35"/>
    </row>
    <row r="877" spans="2:9">
      <c r="B877" s="43"/>
      <c r="D877" s="44"/>
    </row>
    <row r="878" spans="2:9">
      <c r="B878" s="45"/>
    </row>
    <row r="879" spans="2:9">
      <c r="B879" s="46"/>
      <c r="D879" s="47"/>
    </row>
    <row r="881" spans="2:9">
      <c r="B881" s="42"/>
    </row>
    <row r="883" spans="2:9" ht="15.75">
      <c r="B883" s="35"/>
      <c r="C883" s="54"/>
      <c r="D883" s="35"/>
      <c r="E883" s="33"/>
      <c r="F883" s="35"/>
      <c r="G883" s="39"/>
      <c r="H883" s="35"/>
      <c r="I883" s="39"/>
    </row>
    <row r="884" spans="2:9" ht="15.75">
      <c r="B884" s="35"/>
      <c r="C884" s="54"/>
      <c r="D884" s="35"/>
      <c r="E884" s="36"/>
      <c r="F884" s="35"/>
      <c r="G884" s="39"/>
      <c r="H884" s="35"/>
      <c r="I884" s="39"/>
    </row>
    <row r="885" spans="2:9" ht="15.75">
      <c r="B885" s="35"/>
      <c r="C885" s="40"/>
      <c r="D885" s="35"/>
      <c r="E885" s="40"/>
      <c r="F885" s="35"/>
      <c r="G885" s="38"/>
      <c r="H885" s="35"/>
      <c r="I885" s="38"/>
    </row>
    <row r="886" spans="2:9" ht="15.75">
      <c r="B886" s="35"/>
      <c r="C886" s="54"/>
      <c r="D886" s="35"/>
      <c r="E886" s="36"/>
      <c r="F886" s="35"/>
      <c r="G886" s="39"/>
      <c r="H886" s="35"/>
      <c r="I886" s="38"/>
    </row>
    <row r="887" spans="2:9" ht="15.75">
      <c r="B887" s="53"/>
      <c r="C887" s="54"/>
      <c r="D887" s="35"/>
      <c r="E887" s="36"/>
      <c r="F887" s="35"/>
      <c r="G887" s="39"/>
      <c r="H887" s="35"/>
      <c r="I887" s="39"/>
    </row>
    <row r="888" spans="2:9">
      <c r="B888" s="33"/>
      <c r="C888" s="34"/>
      <c r="D888" s="33"/>
      <c r="E888" s="33"/>
      <c r="F888" s="33"/>
      <c r="G888" s="33"/>
      <c r="H888" s="33"/>
      <c r="I888" s="33"/>
    </row>
    <row r="889" spans="2:9" ht="15.75">
      <c r="B889" s="38"/>
      <c r="C889" s="34"/>
      <c r="D889" s="38"/>
      <c r="E889" s="33"/>
      <c r="F889" s="38"/>
      <c r="G889" s="33"/>
      <c r="H889" s="38"/>
      <c r="I889" s="33"/>
    </row>
    <row r="890" spans="2:9" ht="15.75">
      <c r="B890" s="39"/>
      <c r="C890" s="33"/>
      <c r="D890" s="33"/>
      <c r="E890" s="33"/>
      <c r="F890" s="33"/>
      <c r="G890" s="33"/>
      <c r="H890" s="33"/>
      <c r="I890" s="33"/>
    </row>
    <row r="891" spans="2:9" ht="15.75">
      <c r="B891" s="35"/>
      <c r="C891" s="39"/>
      <c r="D891" s="35"/>
      <c r="E891" s="33"/>
      <c r="F891" s="35"/>
      <c r="G891" s="39"/>
      <c r="H891" s="35"/>
      <c r="I891" s="39"/>
    </row>
    <row r="892" spans="2:9" ht="15.75">
      <c r="B892" s="35"/>
      <c r="C892" s="39"/>
      <c r="D892" s="35"/>
      <c r="E892" s="37"/>
      <c r="F892" s="35"/>
      <c r="G892" s="39"/>
      <c r="H892" s="35"/>
      <c r="I892" s="39"/>
    </row>
    <row r="893" spans="2:9" ht="15.75">
      <c r="B893" s="35"/>
      <c r="C893" s="38"/>
      <c r="D893" s="35"/>
      <c r="E893" s="38"/>
      <c r="F893" s="35"/>
      <c r="G893" s="38"/>
      <c r="H893" s="35"/>
      <c r="I893" s="38"/>
    </row>
    <row r="894" spans="2:9" ht="15.75">
      <c r="B894" s="35"/>
      <c r="C894" s="39"/>
      <c r="D894" s="35"/>
      <c r="E894" s="37"/>
      <c r="F894" s="35"/>
      <c r="G894" s="39"/>
      <c r="H894" s="35"/>
      <c r="I894" s="39"/>
    </row>
    <row r="895" spans="2:9" ht="15.75">
      <c r="B895" s="35"/>
      <c r="C895" s="39"/>
      <c r="D895" s="35"/>
      <c r="E895" s="37"/>
      <c r="F895" s="35"/>
      <c r="G895" s="39"/>
      <c r="H895" s="35"/>
      <c r="I895" s="39"/>
    </row>
    <row r="896" spans="2:9">
      <c r="B896" s="33"/>
      <c r="C896" s="33"/>
      <c r="D896" s="33"/>
      <c r="E896" s="33"/>
      <c r="F896" s="33"/>
      <c r="G896" s="33"/>
      <c r="H896" s="33"/>
      <c r="I896" s="33"/>
    </row>
    <row r="897" spans="2:9" ht="15.75">
      <c r="B897" s="38"/>
      <c r="C897" s="33"/>
      <c r="D897" s="38"/>
      <c r="E897" s="33"/>
      <c r="F897" s="38"/>
      <c r="G897" s="33"/>
      <c r="H897" s="38"/>
      <c r="I897" s="33"/>
    </row>
    <row r="898" spans="2:9" ht="15.75">
      <c r="B898" s="39"/>
      <c r="C898" s="33"/>
      <c r="D898" s="33"/>
      <c r="E898" s="33"/>
      <c r="F898" s="33"/>
      <c r="G898" s="33"/>
      <c r="H898" s="33"/>
      <c r="I898" s="33"/>
    </row>
    <row r="899" spans="2:9" ht="15.75">
      <c r="B899" s="35"/>
      <c r="C899" s="39"/>
      <c r="D899" s="35"/>
      <c r="E899" s="33"/>
      <c r="F899" s="35"/>
      <c r="G899" s="39"/>
      <c r="H899" s="35"/>
    </row>
    <row r="900" spans="2:9" ht="15.75">
      <c r="B900" s="35"/>
      <c r="C900" s="39"/>
      <c r="D900" s="35"/>
      <c r="E900" s="37"/>
      <c r="F900" s="35"/>
      <c r="G900" s="39"/>
      <c r="H900" s="35"/>
    </row>
    <row r="901" spans="2:9" ht="15.75">
      <c r="B901" s="35"/>
      <c r="C901" s="38"/>
      <c r="D901" s="35"/>
      <c r="E901" s="38"/>
      <c r="F901" s="35"/>
      <c r="G901" s="38"/>
      <c r="H901" s="35"/>
    </row>
    <row r="902" spans="2:9" ht="15.75">
      <c r="B902" s="35"/>
      <c r="C902" s="39"/>
      <c r="D902" s="35"/>
      <c r="E902" s="37"/>
      <c r="F902" s="35"/>
      <c r="G902" s="39"/>
      <c r="H902" s="35"/>
    </row>
    <row r="903" spans="2:9" ht="15.75">
      <c r="B903" s="35"/>
      <c r="C903" s="39"/>
      <c r="D903" s="35"/>
      <c r="E903" s="37"/>
      <c r="F903" s="35"/>
      <c r="G903" s="39"/>
      <c r="H903" s="35"/>
    </row>
    <row r="905" spans="2:9">
      <c r="B905" s="43"/>
      <c r="D905" s="44"/>
    </row>
    <row r="906" spans="2:9">
      <c r="B906" s="45"/>
    </row>
    <row r="907" spans="2:9">
      <c r="B907" s="46"/>
      <c r="D907" s="47"/>
    </row>
    <row r="909" spans="2:9">
      <c r="B909" s="42"/>
    </row>
    <row r="911" spans="2:9" ht="15.75">
      <c r="B911" s="35"/>
      <c r="C911" s="54"/>
      <c r="D911" s="35"/>
      <c r="E911" s="33"/>
      <c r="F911" s="35"/>
      <c r="G911" s="39"/>
      <c r="H911" s="35"/>
      <c r="I911" s="39"/>
    </row>
    <row r="912" spans="2:9" ht="15.75">
      <c r="B912" s="35"/>
      <c r="C912" s="54"/>
      <c r="D912" s="35"/>
      <c r="E912" s="36"/>
      <c r="F912" s="35"/>
      <c r="G912" s="39"/>
      <c r="H912" s="35"/>
      <c r="I912" s="39"/>
    </row>
    <row r="913" spans="2:9" ht="15.75">
      <c r="B913" s="35"/>
      <c r="C913" s="40"/>
      <c r="D913" s="35"/>
      <c r="E913" s="40"/>
      <c r="F913" s="35"/>
      <c r="G913" s="38"/>
      <c r="H913" s="35"/>
      <c r="I913" s="38"/>
    </row>
    <row r="914" spans="2:9" ht="15.75">
      <c r="B914" s="35"/>
      <c r="C914" s="54"/>
      <c r="D914" s="35"/>
      <c r="E914" s="36"/>
      <c r="F914" s="35"/>
      <c r="G914" s="39"/>
      <c r="H914" s="35"/>
      <c r="I914" s="38"/>
    </row>
    <row r="915" spans="2:9" ht="15.75">
      <c r="B915" s="53"/>
      <c r="C915" s="54"/>
      <c r="D915" s="35"/>
      <c r="E915" s="36"/>
      <c r="F915" s="35"/>
      <c r="G915" s="39"/>
      <c r="H915" s="35"/>
      <c r="I915" s="39"/>
    </row>
    <row r="916" spans="2:9">
      <c r="B916" s="33"/>
      <c r="C916" s="34"/>
      <c r="D916" s="33"/>
      <c r="E916" s="33"/>
      <c r="F916" s="33"/>
      <c r="G916" s="33"/>
      <c r="H916" s="33"/>
      <c r="I916" s="33"/>
    </row>
    <row r="917" spans="2:9" ht="15.75">
      <c r="B917" s="38"/>
      <c r="C917" s="34"/>
      <c r="D917" s="38"/>
      <c r="E917" s="33"/>
      <c r="F917" s="38"/>
      <c r="G917" s="33"/>
      <c r="H917" s="38"/>
      <c r="I917" s="33"/>
    </row>
    <row r="918" spans="2:9" ht="15.75">
      <c r="B918" s="39"/>
      <c r="C918" s="33"/>
      <c r="D918" s="33"/>
      <c r="E918" s="33"/>
      <c r="F918" s="33"/>
      <c r="G918" s="33"/>
      <c r="H918" s="33"/>
      <c r="I918" s="33"/>
    </row>
    <row r="919" spans="2:9" ht="15.75">
      <c r="B919" s="35"/>
      <c r="C919" s="39"/>
      <c r="D919" s="35"/>
      <c r="E919" s="33"/>
      <c r="F919" s="35"/>
      <c r="G919" s="39"/>
      <c r="H919" s="35"/>
      <c r="I919" s="39"/>
    </row>
    <row r="920" spans="2:9" ht="15.75">
      <c r="B920" s="35"/>
      <c r="C920" s="39"/>
      <c r="D920" s="35"/>
      <c r="E920" s="37"/>
      <c r="F920" s="35"/>
      <c r="G920" s="39"/>
      <c r="H920" s="35"/>
      <c r="I920" s="39"/>
    </row>
    <row r="921" spans="2:9" ht="15.75">
      <c r="B921" s="35"/>
      <c r="C921" s="38"/>
      <c r="D921" s="35"/>
      <c r="E921" s="38"/>
      <c r="F921" s="35"/>
      <c r="G921" s="38"/>
      <c r="H921" s="35"/>
      <c r="I921" s="38"/>
    </row>
    <row r="922" spans="2:9" ht="15.75">
      <c r="B922" s="35"/>
      <c r="C922" s="39"/>
      <c r="D922" s="35"/>
      <c r="E922" s="37"/>
      <c r="F922" s="35"/>
      <c r="G922" s="39"/>
      <c r="H922" s="35"/>
      <c r="I922" s="39"/>
    </row>
    <row r="923" spans="2:9" ht="15.75">
      <c r="B923" s="35"/>
      <c r="C923" s="39"/>
      <c r="D923" s="35"/>
      <c r="E923" s="37"/>
      <c r="F923" s="35"/>
      <c r="G923" s="39"/>
      <c r="H923" s="35"/>
      <c r="I923" s="39"/>
    </row>
    <row r="924" spans="2:9">
      <c r="B924" s="33"/>
      <c r="C924" s="33"/>
      <c r="D924" s="33"/>
      <c r="E924" s="33"/>
      <c r="F924" s="33"/>
      <c r="G924" s="33"/>
      <c r="H924" s="33"/>
      <c r="I924" s="33"/>
    </row>
    <row r="925" spans="2:9" ht="15.75">
      <c r="B925" s="38"/>
      <c r="C925" s="33"/>
      <c r="D925" s="38"/>
      <c r="E925" s="33"/>
      <c r="F925" s="38"/>
      <c r="G925" s="33"/>
      <c r="H925" s="38"/>
      <c r="I925" s="33"/>
    </row>
    <row r="926" spans="2:9" ht="15.75">
      <c r="B926" s="39"/>
      <c r="C926" s="33"/>
      <c r="D926" s="33"/>
      <c r="E926" s="33"/>
      <c r="F926" s="33"/>
      <c r="G926" s="33"/>
      <c r="H926" s="33"/>
      <c r="I926" s="33"/>
    </row>
    <row r="927" spans="2:9" ht="15.75">
      <c r="B927" s="35"/>
      <c r="C927" s="39"/>
      <c r="D927" s="35"/>
      <c r="E927" s="33"/>
      <c r="F927" s="35"/>
      <c r="G927" s="39"/>
      <c r="H927" s="35"/>
    </row>
    <row r="928" spans="2:9" ht="15.75">
      <c r="B928" s="35"/>
      <c r="C928" s="39"/>
      <c r="D928" s="35"/>
      <c r="E928" s="37"/>
      <c r="F928" s="35"/>
      <c r="G928" s="39"/>
      <c r="H928" s="35"/>
    </row>
    <row r="929" spans="2:9" ht="15.75">
      <c r="B929" s="35"/>
      <c r="C929" s="38"/>
      <c r="D929" s="35"/>
      <c r="E929" s="38"/>
      <c r="F929" s="35"/>
      <c r="G929" s="38"/>
      <c r="H929" s="35"/>
    </row>
    <row r="930" spans="2:9" ht="15.75">
      <c r="B930" s="35"/>
      <c r="C930" s="39"/>
      <c r="D930" s="35"/>
      <c r="E930" s="37"/>
      <c r="F930" s="35"/>
      <c r="G930" s="39"/>
      <c r="H930" s="35"/>
    </row>
    <row r="931" spans="2:9" ht="15.75">
      <c r="B931" s="35"/>
      <c r="C931" s="39"/>
      <c r="D931" s="35"/>
      <c r="E931" s="37"/>
      <c r="F931" s="35"/>
      <c r="G931" s="39"/>
      <c r="H931" s="35"/>
    </row>
    <row r="933" spans="2:9">
      <c r="B933" s="43"/>
      <c r="D933" s="44"/>
    </row>
    <row r="934" spans="2:9">
      <c r="B934" s="45"/>
    </row>
    <row r="935" spans="2:9">
      <c r="B935" s="46"/>
      <c r="D935" s="47"/>
    </row>
    <row r="937" spans="2:9">
      <c r="B937" s="42"/>
    </row>
    <row r="939" spans="2:9" ht="15.75">
      <c r="B939" s="35"/>
      <c r="C939" s="54"/>
      <c r="D939" s="35"/>
      <c r="E939" s="33"/>
      <c r="F939" s="35"/>
      <c r="G939" s="39"/>
      <c r="H939" s="35"/>
      <c r="I939" s="39"/>
    </row>
    <row r="940" spans="2:9" ht="15.75">
      <c r="B940" s="35"/>
      <c r="C940" s="54"/>
      <c r="D940" s="35"/>
      <c r="E940" s="36"/>
      <c r="F940" s="35"/>
      <c r="G940" s="39"/>
      <c r="H940" s="35"/>
      <c r="I940" s="39"/>
    </row>
    <row r="941" spans="2:9" ht="15.75">
      <c r="B941" s="35"/>
      <c r="C941" s="40"/>
      <c r="D941" s="35"/>
      <c r="E941" s="40"/>
      <c r="F941" s="35"/>
      <c r="G941" s="38"/>
      <c r="H941" s="35"/>
      <c r="I941" s="38"/>
    </row>
    <row r="942" spans="2:9" ht="15.75">
      <c r="B942" s="35"/>
      <c r="C942" s="54"/>
      <c r="D942" s="35"/>
      <c r="E942" s="36"/>
      <c r="F942" s="35"/>
      <c r="G942" s="39"/>
      <c r="H942" s="35"/>
      <c r="I942" s="38"/>
    </row>
    <row r="943" spans="2:9" ht="15.75">
      <c r="B943" s="53"/>
      <c r="C943" s="54"/>
      <c r="D943" s="35"/>
      <c r="E943" s="36"/>
      <c r="F943" s="35"/>
      <c r="G943" s="39"/>
      <c r="H943" s="35"/>
      <c r="I943" s="39"/>
    </row>
    <row r="944" spans="2:9">
      <c r="B944" s="33"/>
      <c r="C944" s="34"/>
      <c r="D944" s="33"/>
      <c r="E944" s="33"/>
      <c r="F944" s="33"/>
      <c r="G944" s="33"/>
      <c r="H944" s="33"/>
      <c r="I944" s="33"/>
    </row>
    <row r="945" spans="2:9" ht="15.75">
      <c r="B945" s="38"/>
      <c r="C945" s="34"/>
      <c r="D945" s="38"/>
      <c r="E945" s="33"/>
      <c r="F945" s="38"/>
      <c r="G945" s="33"/>
      <c r="H945" s="38"/>
      <c r="I945" s="33"/>
    </row>
    <row r="946" spans="2:9" ht="15.75">
      <c r="B946" s="39"/>
      <c r="C946" s="33"/>
      <c r="D946" s="33"/>
      <c r="E946" s="33"/>
      <c r="F946" s="33"/>
      <c r="G946" s="33"/>
      <c r="H946" s="33"/>
      <c r="I946" s="33"/>
    </row>
    <row r="947" spans="2:9" ht="15.75">
      <c r="B947" s="35"/>
      <c r="C947" s="39"/>
      <c r="D947" s="35"/>
      <c r="E947" s="33"/>
      <c r="F947" s="35"/>
      <c r="G947" s="39"/>
      <c r="H947" s="35"/>
      <c r="I947" s="39"/>
    </row>
    <row r="948" spans="2:9" ht="15.75">
      <c r="B948" s="35"/>
      <c r="C948" s="39"/>
      <c r="D948" s="35"/>
      <c r="E948" s="37"/>
      <c r="F948" s="35"/>
      <c r="G948" s="39"/>
      <c r="H948" s="35"/>
      <c r="I948" s="39"/>
    </row>
    <row r="949" spans="2:9" ht="15.75">
      <c r="B949" s="35"/>
      <c r="C949" s="38"/>
      <c r="D949" s="35"/>
      <c r="E949" s="38"/>
      <c r="F949" s="35"/>
      <c r="G949" s="38"/>
      <c r="H949" s="35"/>
      <c r="I949" s="38"/>
    </row>
    <row r="950" spans="2:9" ht="15.75">
      <c r="B950" s="35"/>
      <c r="C950" s="39"/>
      <c r="D950" s="35"/>
      <c r="E950" s="37"/>
      <c r="F950" s="35"/>
      <c r="G950" s="39"/>
      <c r="H950" s="35"/>
      <c r="I950" s="39"/>
    </row>
    <row r="951" spans="2:9" ht="15.75">
      <c r="B951" s="35"/>
      <c r="C951" s="39"/>
      <c r="D951" s="35"/>
      <c r="E951" s="37"/>
      <c r="F951" s="35"/>
      <c r="G951" s="39"/>
      <c r="H951" s="35"/>
      <c r="I951" s="39"/>
    </row>
    <row r="952" spans="2:9">
      <c r="B952" s="33"/>
      <c r="C952" s="33"/>
      <c r="D952" s="33"/>
      <c r="E952" s="33"/>
      <c r="F952" s="33"/>
      <c r="G952" s="33"/>
      <c r="H952" s="33"/>
      <c r="I952" s="33"/>
    </row>
    <row r="953" spans="2:9" ht="15.75">
      <c r="B953" s="38"/>
      <c r="C953" s="33"/>
      <c r="D953" s="38"/>
      <c r="E953" s="33"/>
      <c r="F953" s="38"/>
      <c r="G953" s="33"/>
      <c r="H953" s="38"/>
      <c r="I953" s="33"/>
    </row>
    <row r="954" spans="2:9" ht="15.75">
      <c r="B954" s="39"/>
      <c r="C954" s="33"/>
      <c r="D954" s="33"/>
      <c r="E954" s="33"/>
      <c r="F954" s="33"/>
      <c r="G954" s="33"/>
      <c r="H954" s="33"/>
      <c r="I954" s="33"/>
    </row>
    <row r="955" spans="2:9" ht="15.75">
      <c r="B955" s="35"/>
      <c r="C955" s="39"/>
      <c r="D955" s="35"/>
      <c r="E955" s="33"/>
      <c r="F955" s="35"/>
      <c r="G955" s="39"/>
      <c r="H955" s="35"/>
    </row>
    <row r="956" spans="2:9" ht="15.75">
      <c r="B956" s="35"/>
      <c r="C956" s="39"/>
      <c r="D956" s="35"/>
      <c r="E956" s="37"/>
      <c r="F956" s="35"/>
      <c r="G956" s="39"/>
      <c r="H956" s="35"/>
    </row>
    <row r="957" spans="2:9" ht="15.75">
      <c r="B957" s="35"/>
      <c r="C957" s="38"/>
      <c r="D957" s="35"/>
      <c r="E957" s="38"/>
      <c r="F957" s="35"/>
      <c r="G957" s="38"/>
      <c r="H957" s="35"/>
    </row>
    <row r="958" spans="2:9" ht="15.75">
      <c r="B958" s="35"/>
      <c r="C958" s="39"/>
      <c r="D958" s="35"/>
      <c r="E958" s="37"/>
      <c r="F958" s="35"/>
      <c r="G958" s="39"/>
      <c r="H958" s="35"/>
    </row>
    <row r="959" spans="2:9" ht="15.75">
      <c r="B959" s="35"/>
      <c r="C959" s="39"/>
      <c r="D959" s="35"/>
      <c r="E959" s="37"/>
      <c r="F959" s="35"/>
      <c r="G959" s="39"/>
      <c r="H959" s="35"/>
    </row>
    <row r="961" spans="2:9">
      <c r="B961" s="43"/>
      <c r="D961" s="44"/>
    </row>
    <row r="962" spans="2:9">
      <c r="B962" s="45"/>
    </row>
    <row r="963" spans="2:9">
      <c r="B963" s="46"/>
      <c r="D963" s="47"/>
    </row>
    <row r="965" spans="2:9">
      <c r="B965" s="42"/>
    </row>
    <row r="967" spans="2:9" ht="15.75">
      <c r="B967" s="35"/>
      <c r="C967" s="54"/>
      <c r="D967" s="35"/>
      <c r="E967" s="33"/>
      <c r="F967" s="35"/>
      <c r="G967" s="39"/>
      <c r="H967" s="35"/>
      <c r="I967" s="39"/>
    </row>
    <row r="968" spans="2:9" ht="15.75">
      <c r="B968" s="35"/>
      <c r="C968" s="54"/>
      <c r="D968" s="35"/>
      <c r="E968" s="36"/>
      <c r="F968" s="35"/>
      <c r="G968" s="39"/>
      <c r="H968" s="35"/>
      <c r="I968" s="39"/>
    </row>
    <row r="969" spans="2:9" ht="15.75">
      <c r="B969" s="35"/>
      <c r="C969" s="40"/>
      <c r="D969" s="35"/>
      <c r="E969" s="40"/>
      <c r="F969" s="35"/>
      <c r="G969" s="38"/>
      <c r="H969" s="35"/>
      <c r="I969" s="38"/>
    </row>
    <row r="970" spans="2:9" ht="15.75">
      <c r="B970" s="35"/>
      <c r="C970" s="54"/>
      <c r="D970" s="35"/>
      <c r="E970" s="36"/>
      <c r="F970" s="35"/>
      <c r="G970" s="39"/>
      <c r="H970" s="35"/>
      <c r="I970" s="38"/>
    </row>
    <row r="971" spans="2:9" ht="15.75">
      <c r="B971" s="53"/>
      <c r="C971" s="54"/>
      <c r="D971" s="35"/>
      <c r="E971" s="36"/>
      <c r="F971" s="35"/>
      <c r="G971" s="39"/>
      <c r="H971" s="35"/>
      <c r="I971" s="39"/>
    </row>
    <row r="972" spans="2:9">
      <c r="B972" s="33"/>
      <c r="C972" s="34"/>
      <c r="D972" s="33"/>
      <c r="E972" s="33"/>
      <c r="F972" s="33"/>
      <c r="G972" s="33"/>
      <c r="H972" s="33"/>
      <c r="I972" s="33"/>
    </row>
    <row r="973" spans="2:9" ht="15.75">
      <c r="B973" s="38"/>
      <c r="C973" s="34"/>
      <c r="D973" s="38"/>
      <c r="E973" s="33"/>
      <c r="F973" s="38"/>
      <c r="G973" s="33"/>
      <c r="H973" s="38"/>
      <c r="I973" s="33"/>
    </row>
    <row r="974" spans="2:9" ht="15.75">
      <c r="B974" s="39"/>
      <c r="C974" s="33"/>
      <c r="D974" s="33"/>
      <c r="E974" s="33"/>
      <c r="F974" s="33"/>
      <c r="G974" s="33"/>
      <c r="H974" s="33"/>
      <c r="I974" s="33"/>
    </row>
    <row r="975" spans="2:9" ht="15.75">
      <c r="B975" s="35"/>
      <c r="C975" s="39"/>
      <c r="D975" s="35"/>
      <c r="E975" s="33"/>
      <c r="F975" s="35"/>
      <c r="G975" s="39"/>
      <c r="H975" s="35"/>
      <c r="I975" s="39"/>
    </row>
    <row r="976" spans="2:9" ht="15.75">
      <c r="B976" s="35"/>
      <c r="C976" s="39"/>
      <c r="D976" s="35"/>
      <c r="E976" s="37"/>
      <c r="F976" s="35"/>
      <c r="G976" s="39"/>
      <c r="H976" s="35"/>
      <c r="I976" s="39"/>
    </row>
    <row r="977" spans="2:9" ht="15.75">
      <c r="B977" s="35"/>
      <c r="C977" s="38"/>
      <c r="D977" s="35"/>
      <c r="E977" s="38"/>
      <c r="F977" s="35"/>
      <c r="G977" s="38"/>
      <c r="H977" s="35"/>
      <c r="I977" s="38"/>
    </row>
    <row r="978" spans="2:9" ht="15.75">
      <c r="B978" s="35"/>
      <c r="C978" s="39"/>
      <c r="D978" s="35"/>
      <c r="E978" s="37"/>
      <c r="F978" s="35"/>
      <c r="G978" s="39"/>
      <c r="H978" s="35"/>
      <c r="I978" s="39"/>
    </row>
    <row r="979" spans="2:9" ht="15.75">
      <c r="B979" s="35"/>
      <c r="C979" s="39"/>
      <c r="D979" s="35"/>
      <c r="E979" s="37"/>
      <c r="F979" s="35"/>
      <c r="G979" s="39"/>
      <c r="H979" s="35"/>
      <c r="I979" s="39"/>
    </row>
    <row r="980" spans="2:9">
      <c r="B980" s="33"/>
      <c r="C980" s="33"/>
      <c r="D980" s="33"/>
      <c r="E980" s="33"/>
      <c r="F980" s="33"/>
      <c r="G980" s="33"/>
      <c r="H980" s="33"/>
      <c r="I980" s="33"/>
    </row>
    <row r="981" spans="2:9" ht="15.75">
      <c r="B981" s="38"/>
      <c r="C981" s="33"/>
      <c r="D981" s="38"/>
      <c r="E981" s="33"/>
      <c r="F981" s="38"/>
      <c r="G981" s="33"/>
      <c r="H981" s="38"/>
      <c r="I981" s="33"/>
    </row>
    <row r="982" spans="2:9" ht="15.75">
      <c r="B982" s="39"/>
      <c r="C982" s="33"/>
      <c r="D982" s="33"/>
      <c r="E982" s="33"/>
      <c r="F982" s="33"/>
      <c r="G982" s="33"/>
      <c r="H982" s="33"/>
      <c r="I982" s="33"/>
    </row>
    <row r="983" spans="2:9" ht="15.75">
      <c r="B983" s="35"/>
      <c r="C983" s="39"/>
      <c r="D983" s="35"/>
      <c r="E983" s="33"/>
      <c r="F983" s="35"/>
      <c r="G983" s="39"/>
      <c r="H983" s="35"/>
    </row>
    <row r="984" spans="2:9" ht="15.75">
      <c r="B984" s="35"/>
      <c r="C984" s="39"/>
      <c r="D984" s="35"/>
      <c r="E984" s="37"/>
      <c r="F984" s="35"/>
      <c r="G984" s="39"/>
      <c r="H984" s="35"/>
    </row>
    <row r="985" spans="2:9" ht="15.75">
      <c r="B985" s="35"/>
      <c r="C985" s="38"/>
      <c r="D985" s="35"/>
      <c r="E985" s="38"/>
      <c r="F985" s="35"/>
      <c r="G985" s="38"/>
      <c r="H985" s="35"/>
    </row>
    <row r="986" spans="2:9" ht="15.75">
      <c r="B986" s="35"/>
      <c r="C986" s="39"/>
      <c r="D986" s="35"/>
      <c r="E986" s="37"/>
      <c r="F986" s="35"/>
      <c r="G986" s="39"/>
      <c r="H986" s="35"/>
    </row>
    <row r="987" spans="2:9" ht="15.75">
      <c r="B987" s="35"/>
      <c r="C987" s="39"/>
      <c r="D987" s="35"/>
      <c r="E987" s="37"/>
      <c r="F987" s="35"/>
      <c r="G987" s="39"/>
      <c r="H987" s="35"/>
    </row>
    <row r="989" spans="2:9">
      <c r="B989" s="43"/>
      <c r="D989" s="44"/>
    </row>
    <row r="990" spans="2:9">
      <c r="B990" s="45"/>
    </row>
    <row r="991" spans="2:9">
      <c r="B991" s="46"/>
      <c r="D991" s="47"/>
    </row>
    <row r="993" spans="2:9">
      <c r="B993" s="42"/>
    </row>
    <row r="995" spans="2:9" ht="15.75">
      <c r="B995" s="35"/>
      <c r="C995" s="54"/>
      <c r="D995" s="35"/>
      <c r="E995" s="33"/>
      <c r="F995" s="35"/>
      <c r="G995" s="39"/>
      <c r="H995" s="35"/>
      <c r="I995" s="39"/>
    </row>
    <row r="996" spans="2:9" ht="15.75">
      <c r="B996" s="35"/>
      <c r="C996" s="54"/>
      <c r="D996" s="35"/>
      <c r="E996" s="36"/>
      <c r="F996" s="35"/>
      <c r="G996" s="39"/>
      <c r="H996" s="35"/>
      <c r="I996" s="39"/>
    </row>
    <row r="997" spans="2:9" ht="15.75">
      <c r="B997" s="35"/>
      <c r="C997" s="40"/>
      <c r="D997" s="35"/>
      <c r="E997" s="40"/>
      <c r="F997" s="35"/>
      <c r="G997" s="38"/>
      <c r="H997" s="35"/>
      <c r="I997" s="38"/>
    </row>
    <row r="998" spans="2:9" ht="15.75">
      <c r="B998" s="35"/>
      <c r="C998" s="54"/>
      <c r="D998" s="35"/>
      <c r="E998" s="36"/>
      <c r="F998" s="35"/>
      <c r="G998" s="39"/>
      <c r="H998" s="35"/>
      <c r="I998" s="38"/>
    </row>
    <row r="999" spans="2:9" ht="15.75">
      <c r="B999" s="53"/>
      <c r="C999" s="54"/>
      <c r="D999" s="35"/>
      <c r="E999" s="36"/>
      <c r="F999" s="35"/>
      <c r="G999" s="39"/>
      <c r="H999" s="35"/>
      <c r="I999" s="39"/>
    </row>
    <row r="1000" spans="2:9">
      <c r="B1000" s="33"/>
      <c r="C1000" s="34"/>
      <c r="D1000" s="33"/>
      <c r="E1000" s="33"/>
      <c r="F1000" s="33"/>
      <c r="G1000" s="33"/>
      <c r="H1000" s="33"/>
      <c r="I1000" s="33"/>
    </row>
    <row r="1001" spans="2:9" ht="15.75">
      <c r="B1001" s="38"/>
      <c r="C1001" s="34"/>
      <c r="D1001" s="38"/>
      <c r="E1001" s="33"/>
      <c r="F1001" s="38"/>
      <c r="G1001" s="33"/>
      <c r="H1001" s="38"/>
      <c r="I1001" s="33"/>
    </row>
    <row r="1002" spans="2:9" ht="15.75">
      <c r="B1002" s="39"/>
      <c r="C1002" s="33"/>
      <c r="D1002" s="33"/>
      <c r="E1002" s="33"/>
      <c r="F1002" s="33"/>
      <c r="G1002" s="33"/>
      <c r="H1002" s="33"/>
      <c r="I1002" s="33"/>
    </row>
    <row r="1003" spans="2:9" ht="15.75">
      <c r="B1003" s="35"/>
      <c r="C1003" s="39"/>
      <c r="D1003" s="35"/>
      <c r="E1003" s="33"/>
      <c r="F1003" s="35"/>
      <c r="G1003" s="39"/>
      <c r="H1003" s="35"/>
      <c r="I1003" s="39"/>
    </row>
    <row r="1004" spans="2:9" ht="15.75">
      <c r="B1004" s="35"/>
      <c r="C1004" s="39"/>
      <c r="D1004" s="35"/>
      <c r="E1004" s="37"/>
      <c r="F1004" s="35"/>
      <c r="G1004" s="39"/>
      <c r="H1004" s="35"/>
      <c r="I1004" s="39"/>
    </row>
    <row r="1005" spans="2:9" ht="15.75">
      <c r="B1005" s="35"/>
      <c r="C1005" s="38"/>
      <c r="D1005" s="35"/>
      <c r="E1005" s="38"/>
      <c r="F1005" s="35"/>
      <c r="G1005" s="38"/>
      <c r="H1005" s="35"/>
      <c r="I1005" s="38"/>
    </row>
    <row r="1006" spans="2:9" ht="15.75">
      <c r="B1006" s="35"/>
      <c r="C1006" s="39"/>
      <c r="D1006" s="35"/>
      <c r="E1006" s="37"/>
      <c r="F1006" s="35"/>
      <c r="G1006" s="39"/>
      <c r="H1006" s="35"/>
      <c r="I1006" s="39"/>
    </row>
    <row r="1007" spans="2:9" ht="15.75">
      <c r="B1007" s="35"/>
      <c r="C1007" s="39"/>
      <c r="D1007" s="35"/>
      <c r="E1007" s="37"/>
      <c r="F1007" s="35"/>
      <c r="G1007" s="39"/>
      <c r="H1007" s="35"/>
      <c r="I1007" s="39"/>
    </row>
    <row r="1008" spans="2:9">
      <c r="B1008" s="33"/>
      <c r="C1008" s="33"/>
      <c r="D1008" s="33"/>
      <c r="E1008" s="33"/>
      <c r="F1008" s="33"/>
      <c r="G1008" s="33"/>
      <c r="H1008" s="33"/>
      <c r="I1008" s="33"/>
    </row>
    <row r="1009" spans="2:9" ht="15.75">
      <c r="B1009" s="38"/>
      <c r="C1009" s="33"/>
      <c r="D1009" s="38"/>
      <c r="E1009" s="33"/>
      <c r="F1009" s="38"/>
      <c r="G1009" s="33"/>
      <c r="H1009" s="38"/>
      <c r="I1009" s="33"/>
    </row>
    <row r="1010" spans="2:9" ht="15.75">
      <c r="B1010" s="39"/>
      <c r="C1010" s="33"/>
      <c r="D1010" s="33"/>
      <c r="E1010" s="33"/>
      <c r="F1010" s="33"/>
      <c r="G1010" s="33"/>
      <c r="H1010" s="33"/>
      <c r="I1010" s="33"/>
    </row>
    <row r="1011" spans="2:9" ht="15.75">
      <c r="B1011" s="35"/>
      <c r="C1011" s="39"/>
      <c r="D1011" s="35"/>
      <c r="E1011" s="33"/>
      <c r="F1011" s="35"/>
      <c r="G1011" s="39"/>
      <c r="H1011" s="35"/>
    </row>
    <row r="1012" spans="2:9" ht="15.75">
      <c r="B1012" s="35"/>
      <c r="C1012" s="39"/>
      <c r="D1012" s="35"/>
      <c r="E1012" s="37"/>
      <c r="F1012" s="35"/>
      <c r="G1012" s="39"/>
      <c r="H1012" s="35"/>
    </row>
    <row r="1013" spans="2:9" ht="15.75">
      <c r="B1013" s="35"/>
      <c r="C1013" s="38"/>
      <c r="D1013" s="35"/>
      <c r="E1013" s="38"/>
      <c r="F1013" s="35"/>
      <c r="G1013" s="38"/>
      <c r="H1013" s="35"/>
    </row>
    <row r="1014" spans="2:9" ht="15.75">
      <c r="B1014" s="35"/>
      <c r="C1014" s="39"/>
      <c r="D1014" s="35"/>
      <c r="E1014" s="37"/>
      <c r="F1014" s="35"/>
      <c r="G1014" s="39"/>
      <c r="H1014" s="35"/>
    </row>
    <row r="1015" spans="2:9" ht="15.75">
      <c r="B1015" s="35"/>
      <c r="C1015" s="39"/>
      <c r="D1015" s="35"/>
      <c r="E1015" s="37"/>
      <c r="F1015" s="35"/>
      <c r="G1015" s="39"/>
      <c r="H1015" s="35"/>
    </row>
    <row r="1017" spans="2:9">
      <c r="B1017" s="43"/>
      <c r="D1017" s="44"/>
    </row>
    <row r="1018" spans="2:9">
      <c r="B1018" s="45"/>
    </row>
    <row r="1019" spans="2:9">
      <c r="B1019" s="46"/>
      <c r="D1019" s="47"/>
    </row>
    <row r="1021" spans="2:9">
      <c r="B1021" s="42"/>
    </row>
    <row r="1023" spans="2:9" ht="15.75">
      <c r="B1023" s="35"/>
      <c r="C1023" s="54"/>
      <c r="D1023" s="35"/>
      <c r="E1023" s="33"/>
      <c r="F1023" s="35"/>
      <c r="G1023" s="39"/>
      <c r="H1023" s="35"/>
      <c r="I1023" s="39"/>
    </row>
    <row r="1024" spans="2:9" ht="15.75">
      <c r="B1024" s="35"/>
      <c r="C1024" s="54"/>
      <c r="D1024" s="35"/>
      <c r="E1024" s="36"/>
      <c r="F1024" s="35"/>
      <c r="G1024" s="39"/>
      <c r="H1024" s="35"/>
      <c r="I1024" s="39"/>
    </row>
    <row r="1025" spans="2:9" ht="15.75">
      <c r="B1025" s="35"/>
      <c r="C1025" s="40"/>
      <c r="D1025" s="35"/>
      <c r="E1025" s="40"/>
      <c r="F1025" s="35"/>
      <c r="G1025" s="38"/>
      <c r="H1025" s="35"/>
      <c r="I1025" s="38"/>
    </row>
    <row r="1026" spans="2:9" ht="15.75">
      <c r="B1026" s="35"/>
      <c r="C1026" s="54"/>
      <c r="D1026" s="35"/>
      <c r="E1026" s="36"/>
      <c r="F1026" s="35"/>
      <c r="G1026" s="39"/>
      <c r="H1026" s="35"/>
      <c r="I1026" s="38"/>
    </row>
    <row r="1027" spans="2:9" ht="15.75">
      <c r="B1027" s="53"/>
      <c r="C1027" s="54"/>
      <c r="D1027" s="35"/>
      <c r="E1027" s="36"/>
      <c r="F1027" s="35"/>
      <c r="G1027" s="39"/>
      <c r="H1027" s="35"/>
      <c r="I1027" s="39"/>
    </row>
    <row r="1028" spans="2:9">
      <c r="B1028" s="33"/>
      <c r="C1028" s="34"/>
      <c r="D1028" s="33"/>
      <c r="E1028" s="33"/>
      <c r="F1028" s="33"/>
      <c r="G1028" s="33"/>
      <c r="H1028" s="33"/>
      <c r="I1028" s="33"/>
    </row>
    <row r="1029" spans="2:9" ht="15.75">
      <c r="B1029" s="38"/>
      <c r="C1029" s="34"/>
      <c r="D1029" s="38"/>
      <c r="E1029" s="33"/>
      <c r="F1029" s="38"/>
      <c r="G1029" s="33"/>
      <c r="H1029" s="38"/>
      <c r="I1029" s="33"/>
    </row>
    <row r="1030" spans="2:9" ht="15.75">
      <c r="B1030" s="39"/>
      <c r="C1030" s="33"/>
      <c r="D1030" s="33"/>
      <c r="E1030" s="33"/>
      <c r="F1030" s="33"/>
      <c r="G1030" s="33"/>
      <c r="H1030" s="33"/>
      <c r="I1030" s="33"/>
    </row>
    <row r="1031" spans="2:9" ht="15.75">
      <c r="B1031" s="35"/>
      <c r="C1031" s="39"/>
      <c r="D1031" s="35"/>
      <c r="E1031" s="33"/>
      <c r="F1031" s="35"/>
      <c r="G1031" s="39"/>
      <c r="H1031" s="35"/>
      <c r="I1031" s="39"/>
    </row>
    <row r="1032" spans="2:9" ht="15.75">
      <c r="B1032" s="35"/>
      <c r="C1032" s="39"/>
      <c r="D1032" s="35"/>
      <c r="E1032" s="37"/>
      <c r="F1032" s="35"/>
      <c r="G1032" s="39"/>
      <c r="H1032" s="35"/>
      <c r="I1032" s="39"/>
    </row>
    <row r="1033" spans="2:9" ht="15.75">
      <c r="B1033" s="35"/>
      <c r="C1033" s="38"/>
      <c r="D1033" s="35"/>
      <c r="E1033" s="38"/>
      <c r="F1033" s="35"/>
      <c r="G1033" s="38"/>
      <c r="H1033" s="35"/>
      <c r="I1033" s="38"/>
    </row>
    <row r="1034" spans="2:9" ht="15.75">
      <c r="B1034" s="35"/>
      <c r="C1034" s="39"/>
      <c r="D1034" s="35"/>
      <c r="E1034" s="37"/>
      <c r="F1034" s="35"/>
      <c r="G1034" s="39"/>
      <c r="H1034" s="35"/>
      <c r="I1034" s="39"/>
    </row>
    <row r="1035" spans="2:9" ht="15.75">
      <c r="B1035" s="35"/>
      <c r="C1035" s="39"/>
      <c r="D1035" s="35"/>
      <c r="E1035" s="37"/>
      <c r="F1035" s="35"/>
      <c r="G1035" s="39"/>
      <c r="H1035" s="35"/>
      <c r="I1035" s="39"/>
    </row>
    <row r="1036" spans="2:9">
      <c r="B1036" s="33"/>
      <c r="C1036" s="33"/>
      <c r="D1036" s="33"/>
      <c r="E1036" s="33"/>
      <c r="F1036" s="33"/>
      <c r="G1036" s="33"/>
      <c r="H1036" s="33"/>
      <c r="I1036" s="33"/>
    </row>
    <row r="1037" spans="2:9" ht="15.75">
      <c r="B1037" s="38"/>
      <c r="C1037" s="33"/>
      <c r="D1037" s="38"/>
      <c r="E1037" s="33"/>
      <c r="F1037" s="38"/>
      <c r="G1037" s="33"/>
      <c r="H1037" s="38"/>
      <c r="I1037" s="33"/>
    </row>
    <row r="1038" spans="2:9" ht="15.75">
      <c r="B1038" s="39"/>
      <c r="C1038" s="33"/>
      <c r="D1038" s="33"/>
      <c r="E1038" s="33"/>
      <c r="F1038" s="33"/>
      <c r="G1038" s="33"/>
      <c r="H1038" s="33"/>
      <c r="I1038" s="33"/>
    </row>
    <row r="1039" spans="2:9" ht="15.75">
      <c r="B1039" s="35"/>
      <c r="C1039" s="39"/>
      <c r="D1039" s="35"/>
      <c r="E1039" s="33"/>
      <c r="F1039" s="35"/>
      <c r="G1039" s="39"/>
      <c r="H1039" s="35"/>
    </row>
    <row r="1040" spans="2:9" ht="15.75">
      <c r="B1040" s="35"/>
      <c r="C1040" s="39"/>
      <c r="D1040" s="35"/>
      <c r="E1040" s="37"/>
      <c r="F1040" s="35"/>
      <c r="G1040" s="39"/>
      <c r="H1040" s="35"/>
    </row>
    <row r="1041" spans="2:9" ht="15.75">
      <c r="B1041" s="35"/>
      <c r="C1041" s="38"/>
      <c r="D1041" s="35"/>
      <c r="E1041" s="38"/>
      <c r="F1041" s="35"/>
      <c r="G1041" s="38"/>
      <c r="H1041" s="35"/>
    </row>
    <row r="1042" spans="2:9" ht="15.75">
      <c r="B1042" s="35"/>
      <c r="C1042" s="39"/>
      <c r="D1042" s="35"/>
      <c r="E1042" s="37"/>
      <c r="F1042" s="35"/>
      <c r="G1042" s="39"/>
      <c r="H1042" s="35"/>
    </row>
    <row r="1043" spans="2:9" ht="15.75">
      <c r="B1043" s="35"/>
      <c r="C1043" s="39"/>
      <c r="D1043" s="35"/>
      <c r="E1043" s="37"/>
      <c r="F1043" s="35"/>
      <c r="G1043" s="39"/>
      <c r="H1043" s="35"/>
    </row>
    <row r="1045" spans="2:9">
      <c r="B1045" s="43"/>
      <c r="D1045" s="44"/>
    </row>
    <row r="1046" spans="2:9">
      <c r="B1046" s="45"/>
    </row>
    <row r="1047" spans="2:9">
      <c r="B1047" s="46"/>
      <c r="D1047" s="47"/>
    </row>
    <row r="1049" spans="2:9">
      <c r="B1049" s="42"/>
    </row>
    <row r="1051" spans="2:9" ht="15.75">
      <c r="B1051" s="35"/>
      <c r="C1051" s="54"/>
      <c r="D1051" s="35"/>
      <c r="E1051" s="33"/>
      <c r="F1051" s="35"/>
      <c r="G1051" s="39"/>
      <c r="H1051" s="35"/>
      <c r="I1051" s="39"/>
    </row>
    <row r="1052" spans="2:9" ht="15.75">
      <c r="B1052" s="35"/>
      <c r="C1052" s="54"/>
      <c r="D1052" s="35"/>
      <c r="E1052" s="36"/>
      <c r="F1052" s="35"/>
      <c r="G1052" s="39"/>
      <c r="H1052" s="35"/>
      <c r="I1052" s="39"/>
    </row>
    <row r="1053" spans="2:9" ht="15.75">
      <c r="B1053" s="35"/>
      <c r="C1053" s="40"/>
      <c r="D1053" s="35"/>
      <c r="E1053" s="40"/>
      <c r="F1053" s="35"/>
      <c r="G1053" s="38"/>
      <c r="H1053" s="35"/>
      <c r="I1053" s="38"/>
    </row>
    <row r="1054" spans="2:9" ht="15.75">
      <c r="B1054" s="35"/>
      <c r="C1054" s="54"/>
      <c r="D1054" s="35"/>
      <c r="E1054" s="36"/>
      <c r="F1054" s="35"/>
      <c r="G1054" s="39"/>
      <c r="H1054" s="35"/>
      <c r="I1054" s="38"/>
    </row>
    <row r="1055" spans="2:9" ht="15.75">
      <c r="B1055" s="53"/>
      <c r="C1055" s="54"/>
      <c r="D1055" s="35"/>
      <c r="E1055" s="36"/>
      <c r="F1055" s="35"/>
      <c r="G1055" s="39"/>
      <c r="H1055" s="35"/>
      <c r="I1055" s="39"/>
    </row>
    <row r="1056" spans="2:9">
      <c r="B1056" s="33"/>
      <c r="C1056" s="34"/>
      <c r="D1056" s="33"/>
      <c r="E1056" s="33"/>
      <c r="F1056" s="33"/>
      <c r="G1056" s="33"/>
      <c r="H1056" s="33"/>
      <c r="I1056" s="33"/>
    </row>
    <row r="1057" spans="2:9" ht="15.75">
      <c r="B1057" s="38"/>
      <c r="C1057" s="34"/>
      <c r="D1057" s="38"/>
      <c r="E1057" s="33"/>
      <c r="F1057" s="38"/>
      <c r="G1057" s="33"/>
      <c r="H1057" s="38"/>
      <c r="I1057" s="33"/>
    </row>
    <row r="1058" spans="2:9" ht="15.75">
      <c r="B1058" s="39"/>
      <c r="C1058" s="33"/>
      <c r="D1058" s="33"/>
      <c r="E1058" s="33"/>
      <c r="F1058" s="33"/>
      <c r="G1058" s="33"/>
      <c r="H1058" s="33"/>
      <c r="I1058" s="33"/>
    </row>
    <row r="1059" spans="2:9" ht="15.75">
      <c r="B1059" s="35"/>
      <c r="C1059" s="39"/>
      <c r="D1059" s="35"/>
      <c r="E1059" s="33"/>
      <c r="F1059" s="35"/>
      <c r="G1059" s="39"/>
      <c r="H1059" s="35"/>
      <c r="I1059" s="39"/>
    </row>
    <row r="1060" spans="2:9" ht="15.75">
      <c r="B1060" s="35"/>
      <c r="C1060" s="39"/>
      <c r="D1060" s="35"/>
      <c r="E1060" s="37"/>
      <c r="F1060" s="35"/>
      <c r="G1060" s="39"/>
      <c r="H1060" s="35"/>
      <c r="I1060" s="39"/>
    </row>
    <row r="1061" spans="2:9" ht="15.75">
      <c r="B1061" s="35"/>
      <c r="C1061" s="38"/>
      <c r="D1061" s="35"/>
      <c r="E1061" s="38"/>
      <c r="F1061" s="35"/>
      <c r="G1061" s="38"/>
      <c r="H1061" s="35"/>
      <c r="I1061" s="38"/>
    </row>
    <row r="1062" spans="2:9" ht="15.75">
      <c r="B1062" s="35"/>
      <c r="C1062" s="39"/>
      <c r="D1062" s="35"/>
      <c r="E1062" s="37"/>
      <c r="F1062" s="35"/>
      <c r="G1062" s="39"/>
      <c r="H1062" s="35"/>
      <c r="I1062" s="39"/>
    </row>
    <row r="1063" spans="2:9" ht="15.75">
      <c r="B1063" s="35"/>
      <c r="C1063" s="39"/>
      <c r="D1063" s="35"/>
      <c r="E1063" s="37"/>
      <c r="F1063" s="35"/>
      <c r="G1063" s="39"/>
      <c r="H1063" s="35"/>
      <c r="I1063" s="39"/>
    </row>
    <row r="1064" spans="2:9">
      <c r="B1064" s="33"/>
      <c r="C1064" s="33"/>
      <c r="D1064" s="33"/>
      <c r="E1064" s="33"/>
      <c r="F1064" s="33"/>
      <c r="G1064" s="33"/>
      <c r="H1064" s="33"/>
      <c r="I1064" s="33"/>
    </row>
    <row r="1065" spans="2:9" ht="15.75">
      <c r="B1065" s="38"/>
      <c r="C1065" s="33"/>
      <c r="D1065" s="38"/>
      <c r="E1065" s="33"/>
      <c r="F1065" s="38"/>
      <c r="G1065" s="33"/>
      <c r="H1065" s="38"/>
      <c r="I1065" s="33"/>
    </row>
    <row r="1066" spans="2:9" ht="15.75">
      <c r="B1066" s="39"/>
      <c r="C1066" s="33"/>
      <c r="D1066" s="33"/>
      <c r="E1066" s="33"/>
      <c r="F1066" s="33"/>
      <c r="G1066" s="33"/>
      <c r="H1066" s="33"/>
      <c r="I1066" s="33"/>
    </row>
    <row r="1067" spans="2:9" ht="15.75">
      <c r="B1067" s="35"/>
      <c r="C1067" s="39"/>
      <c r="D1067" s="35"/>
      <c r="E1067" s="33"/>
      <c r="F1067" s="35"/>
      <c r="G1067" s="39"/>
      <c r="H1067" s="35"/>
    </row>
    <row r="1068" spans="2:9" ht="15.75">
      <c r="B1068" s="35"/>
      <c r="C1068" s="39"/>
      <c r="D1068" s="35"/>
      <c r="E1068" s="37"/>
      <c r="F1068" s="35"/>
      <c r="G1068" s="39"/>
      <c r="H1068" s="35"/>
    </row>
    <row r="1069" spans="2:9" ht="15.75">
      <c r="B1069" s="35"/>
      <c r="C1069" s="38"/>
      <c r="D1069" s="35"/>
      <c r="E1069" s="38"/>
      <c r="F1069" s="35"/>
      <c r="G1069" s="38"/>
      <c r="H1069" s="35"/>
    </row>
    <row r="1070" spans="2:9" ht="15.75">
      <c r="B1070" s="35"/>
      <c r="C1070" s="39"/>
      <c r="D1070" s="35"/>
      <c r="E1070" s="37"/>
      <c r="F1070" s="35"/>
      <c r="G1070" s="39"/>
      <c r="H1070" s="35"/>
    </row>
    <row r="1071" spans="2:9" ht="15.75">
      <c r="B1071" s="35"/>
      <c r="C1071" s="39"/>
      <c r="D1071" s="35"/>
      <c r="E1071" s="37"/>
      <c r="F1071" s="35"/>
      <c r="G1071" s="39"/>
      <c r="H1071" s="35"/>
    </row>
    <row r="1073" spans="2:9">
      <c r="B1073" s="43"/>
      <c r="D1073" s="44"/>
    </row>
    <row r="1074" spans="2:9">
      <c r="B1074" s="45"/>
    </row>
    <row r="1075" spans="2:9">
      <c r="B1075" s="46"/>
      <c r="D1075" s="47"/>
    </row>
    <row r="1076" spans="2:9">
      <c r="B1076" s="50"/>
      <c r="C1076" s="49"/>
      <c r="D1076" s="49"/>
    </row>
    <row r="1077" spans="2:9">
      <c r="B1077" s="42"/>
    </row>
    <row r="1079" spans="2:9" ht="15.75">
      <c r="B1079" s="35"/>
      <c r="C1079" s="54"/>
      <c r="D1079" s="35"/>
      <c r="E1079" s="33"/>
      <c r="F1079" s="35"/>
      <c r="G1079" s="39"/>
      <c r="H1079" s="35"/>
      <c r="I1079" s="39"/>
    </row>
    <row r="1080" spans="2:9" ht="15.75">
      <c r="B1080" s="35"/>
      <c r="C1080" s="54"/>
      <c r="D1080" s="35"/>
      <c r="E1080" s="36"/>
      <c r="F1080" s="35"/>
      <c r="G1080" s="39"/>
      <c r="H1080" s="35"/>
      <c r="I1080" s="39"/>
    </row>
    <row r="1081" spans="2:9" ht="15.75">
      <c r="B1081" s="35"/>
      <c r="C1081" s="40"/>
      <c r="D1081" s="35"/>
      <c r="E1081" s="40"/>
      <c r="F1081" s="35"/>
      <c r="G1081" s="38"/>
      <c r="H1081" s="35"/>
      <c r="I1081" s="38"/>
    </row>
    <row r="1082" spans="2:9" ht="15.75">
      <c r="B1082" s="35"/>
      <c r="C1082" s="54"/>
      <c r="D1082" s="35"/>
      <c r="E1082" s="36"/>
      <c r="F1082" s="35"/>
      <c r="G1082" s="39"/>
      <c r="H1082" s="35"/>
      <c r="I1082" s="38"/>
    </row>
    <row r="1083" spans="2:9" ht="15.75">
      <c r="B1083" s="53"/>
      <c r="C1083" s="54"/>
      <c r="D1083" s="35"/>
      <c r="E1083" s="36"/>
      <c r="F1083" s="35"/>
      <c r="G1083" s="39"/>
      <c r="H1083" s="35"/>
      <c r="I1083" s="39"/>
    </row>
    <row r="1084" spans="2:9">
      <c r="B1084" s="33"/>
      <c r="C1084" s="34"/>
      <c r="D1084" s="33"/>
      <c r="E1084" s="33"/>
      <c r="F1084" s="33"/>
      <c r="G1084" s="33"/>
      <c r="H1084" s="33"/>
      <c r="I1084" s="33"/>
    </row>
    <row r="1085" spans="2:9" ht="15.75">
      <c r="B1085" s="38"/>
      <c r="C1085" s="34"/>
      <c r="D1085" s="38"/>
      <c r="E1085" s="33"/>
      <c r="F1085" s="38"/>
      <c r="G1085" s="33"/>
      <c r="H1085" s="38"/>
      <c r="I1085" s="33"/>
    </row>
    <row r="1086" spans="2:9" ht="15.75">
      <c r="B1086" s="39"/>
      <c r="C1086" s="33"/>
      <c r="D1086" s="33"/>
      <c r="E1086" s="33"/>
      <c r="F1086" s="33"/>
      <c r="G1086" s="33"/>
      <c r="H1086" s="33"/>
      <c r="I1086" s="33"/>
    </row>
    <row r="1087" spans="2:9" ht="15.75">
      <c r="B1087" s="35"/>
      <c r="C1087" s="39"/>
      <c r="D1087" s="35"/>
      <c r="E1087" s="33"/>
      <c r="F1087" s="35"/>
      <c r="G1087" s="39"/>
      <c r="H1087" s="35"/>
      <c r="I1087" s="39"/>
    </row>
    <row r="1088" spans="2:9" ht="15.75">
      <c r="B1088" s="35"/>
      <c r="C1088" s="39"/>
      <c r="D1088" s="35"/>
      <c r="E1088" s="37"/>
      <c r="F1088" s="35"/>
      <c r="G1088" s="39"/>
      <c r="H1088" s="35"/>
      <c r="I1088" s="39"/>
    </row>
    <row r="1089" spans="2:9" ht="15.75">
      <c r="B1089" s="35"/>
      <c r="C1089" s="38"/>
      <c r="D1089" s="35"/>
      <c r="E1089" s="38"/>
      <c r="F1089" s="35"/>
      <c r="G1089" s="38"/>
      <c r="H1089" s="35"/>
      <c r="I1089" s="38"/>
    </row>
    <row r="1090" spans="2:9" ht="15.75">
      <c r="B1090" s="35"/>
      <c r="C1090" s="39"/>
      <c r="D1090" s="35"/>
      <c r="E1090" s="37"/>
      <c r="F1090" s="35"/>
      <c r="G1090" s="39"/>
      <c r="H1090" s="35"/>
      <c r="I1090" s="39"/>
    </row>
    <row r="1091" spans="2:9" ht="15.75">
      <c r="B1091" s="35"/>
      <c r="C1091" s="39"/>
      <c r="D1091" s="35"/>
      <c r="E1091" s="37"/>
      <c r="F1091" s="35"/>
      <c r="G1091" s="39"/>
      <c r="H1091" s="35"/>
      <c r="I1091" s="39"/>
    </row>
    <row r="1092" spans="2:9">
      <c r="B1092" s="33"/>
      <c r="C1092" s="33"/>
      <c r="D1092" s="33"/>
      <c r="E1092" s="33"/>
      <c r="F1092" s="33"/>
      <c r="G1092" s="33"/>
      <c r="H1092" s="33"/>
      <c r="I1092" s="33"/>
    </row>
    <row r="1093" spans="2:9" ht="15.75">
      <c r="B1093" s="38"/>
      <c r="C1093" s="33"/>
      <c r="D1093" s="38"/>
      <c r="E1093" s="33"/>
      <c r="F1093" s="38"/>
      <c r="G1093" s="33"/>
      <c r="H1093" s="38"/>
      <c r="I1093" s="33"/>
    </row>
    <row r="1094" spans="2:9" ht="15.75">
      <c r="B1094" s="39"/>
      <c r="C1094" s="33"/>
      <c r="D1094" s="33"/>
      <c r="E1094" s="33"/>
      <c r="F1094" s="33"/>
      <c r="G1094" s="33"/>
      <c r="H1094" s="33"/>
      <c r="I1094" s="33"/>
    </row>
    <row r="1095" spans="2:9" ht="15.75">
      <c r="B1095" s="35"/>
      <c r="C1095" s="39"/>
      <c r="D1095" s="35"/>
      <c r="E1095" s="33"/>
      <c r="F1095" s="35"/>
      <c r="G1095" s="39"/>
      <c r="H1095" s="35"/>
    </row>
    <row r="1096" spans="2:9" ht="15.75">
      <c r="B1096" s="35"/>
      <c r="C1096" s="39"/>
      <c r="D1096" s="35"/>
      <c r="E1096" s="37"/>
      <c r="F1096" s="35"/>
      <c r="G1096" s="39"/>
      <c r="H1096" s="35"/>
    </row>
    <row r="1097" spans="2:9" ht="15.75">
      <c r="B1097" s="35"/>
      <c r="C1097" s="38"/>
      <c r="D1097" s="35"/>
      <c r="E1097" s="38"/>
      <c r="F1097" s="35"/>
      <c r="G1097" s="38"/>
      <c r="H1097" s="35"/>
    </row>
    <row r="1098" spans="2:9" ht="15.75">
      <c r="B1098" s="35"/>
      <c r="C1098" s="39"/>
      <c r="D1098" s="35"/>
      <c r="E1098" s="37"/>
      <c r="F1098" s="35"/>
      <c r="G1098" s="39"/>
      <c r="H1098" s="35"/>
    </row>
    <row r="1099" spans="2:9" ht="15.75">
      <c r="B1099" s="35"/>
      <c r="C1099" s="39"/>
      <c r="D1099" s="35"/>
      <c r="E1099" s="37"/>
      <c r="F1099" s="35"/>
      <c r="G1099" s="39"/>
      <c r="H1099" s="35"/>
    </row>
    <row r="1101" spans="2:9">
      <c r="B1101" s="43"/>
      <c r="D1101" s="44"/>
    </row>
    <row r="1102" spans="2:9">
      <c r="B1102" s="45"/>
    </row>
    <row r="1103" spans="2:9">
      <c r="B1103" s="46"/>
      <c r="D1103" s="47"/>
    </row>
    <row r="1104" spans="2:9">
      <c r="B1104" s="50"/>
      <c r="C1104" s="49"/>
      <c r="D1104" s="49"/>
    </row>
    <row r="1105" spans="2:9">
      <c r="B1105" s="42"/>
    </row>
    <row r="1107" spans="2:9" ht="15.75">
      <c r="B1107" s="35"/>
      <c r="C1107" s="54"/>
      <c r="D1107" s="35"/>
      <c r="E1107" s="33"/>
      <c r="F1107" s="35"/>
      <c r="G1107" s="39"/>
      <c r="H1107" s="35"/>
      <c r="I1107" s="39"/>
    </row>
    <row r="1108" spans="2:9" ht="15.75">
      <c r="B1108" s="35"/>
      <c r="C1108" s="54"/>
      <c r="D1108" s="35"/>
      <c r="E1108" s="36"/>
      <c r="F1108" s="35"/>
      <c r="G1108" s="39"/>
      <c r="H1108" s="35"/>
      <c r="I1108" s="39"/>
    </row>
    <row r="1109" spans="2:9" ht="15.75">
      <c r="B1109" s="35"/>
      <c r="C1109" s="40"/>
      <c r="D1109" s="35"/>
      <c r="E1109" s="40"/>
      <c r="F1109" s="35"/>
      <c r="G1109" s="38"/>
      <c r="H1109" s="35"/>
      <c r="I1109" s="38"/>
    </row>
    <row r="1110" spans="2:9" ht="15.75">
      <c r="B1110" s="35"/>
      <c r="C1110" s="54"/>
      <c r="D1110" s="35"/>
      <c r="E1110" s="36"/>
      <c r="F1110" s="35"/>
      <c r="G1110" s="39"/>
      <c r="H1110" s="35"/>
      <c r="I1110" s="38"/>
    </row>
    <row r="1111" spans="2:9" ht="15.75">
      <c r="B1111" s="53"/>
      <c r="C1111" s="54"/>
      <c r="D1111" s="35"/>
      <c r="E1111" s="36"/>
      <c r="F1111" s="35"/>
      <c r="G1111" s="39"/>
      <c r="H1111" s="35"/>
      <c r="I1111" s="39"/>
    </row>
    <row r="1112" spans="2:9">
      <c r="B1112" s="33"/>
      <c r="C1112" s="34"/>
      <c r="D1112" s="33"/>
      <c r="E1112" s="33"/>
      <c r="F1112" s="33"/>
      <c r="G1112" s="33"/>
      <c r="H1112" s="33"/>
      <c r="I1112" s="33"/>
    </row>
    <row r="1113" spans="2:9" ht="15.75">
      <c r="B1113" s="38"/>
      <c r="C1113" s="34"/>
      <c r="D1113" s="38"/>
      <c r="E1113" s="33"/>
      <c r="F1113" s="38"/>
      <c r="G1113" s="33"/>
      <c r="H1113" s="38"/>
      <c r="I1113" s="33"/>
    </row>
    <row r="1114" spans="2:9" ht="15.75">
      <c r="B1114" s="39"/>
      <c r="C1114" s="33"/>
      <c r="D1114" s="33"/>
      <c r="E1114" s="33"/>
      <c r="F1114" s="33"/>
      <c r="G1114" s="33"/>
      <c r="H1114" s="33"/>
      <c r="I1114" s="33"/>
    </row>
    <row r="1115" spans="2:9" ht="15.75">
      <c r="B1115" s="35"/>
      <c r="C1115" s="39"/>
      <c r="D1115" s="35"/>
      <c r="E1115" s="33"/>
      <c r="F1115" s="35"/>
      <c r="G1115" s="39"/>
      <c r="H1115" s="35"/>
      <c r="I1115" s="39"/>
    </row>
    <row r="1116" spans="2:9" ht="15.75">
      <c r="B1116" s="35"/>
      <c r="C1116" s="39"/>
      <c r="D1116" s="35"/>
      <c r="E1116" s="37"/>
      <c r="F1116" s="35"/>
      <c r="G1116" s="39"/>
      <c r="H1116" s="35"/>
      <c r="I1116" s="39"/>
    </row>
    <row r="1117" spans="2:9" ht="15.75">
      <c r="B1117" s="35"/>
      <c r="C1117" s="38"/>
      <c r="D1117" s="35"/>
      <c r="E1117" s="38"/>
      <c r="F1117" s="35"/>
      <c r="G1117" s="38"/>
      <c r="H1117" s="35"/>
      <c r="I1117" s="38"/>
    </row>
    <row r="1118" spans="2:9" ht="15.75">
      <c r="B1118" s="35"/>
      <c r="C1118" s="39"/>
      <c r="D1118" s="35"/>
      <c r="E1118" s="37"/>
      <c r="F1118" s="35"/>
      <c r="G1118" s="39"/>
      <c r="H1118" s="35"/>
      <c r="I1118" s="39"/>
    </row>
    <row r="1119" spans="2:9" ht="15.75">
      <c r="B1119" s="35"/>
      <c r="C1119" s="39"/>
      <c r="D1119" s="35"/>
      <c r="E1119" s="37"/>
      <c r="F1119" s="35"/>
      <c r="G1119" s="39"/>
      <c r="H1119" s="35"/>
      <c r="I1119" s="39"/>
    </row>
    <row r="1120" spans="2:9">
      <c r="B1120" s="33"/>
      <c r="C1120" s="33"/>
      <c r="D1120" s="33"/>
      <c r="E1120" s="33"/>
      <c r="F1120" s="33"/>
      <c r="G1120" s="33"/>
      <c r="H1120" s="33"/>
      <c r="I1120" s="33"/>
    </row>
    <row r="1121" spans="2:9" ht="15.75">
      <c r="B1121" s="38"/>
      <c r="C1121" s="33"/>
      <c r="D1121" s="38"/>
      <c r="E1121" s="33"/>
      <c r="F1121" s="38"/>
      <c r="G1121" s="33"/>
      <c r="H1121" s="38"/>
      <c r="I1121" s="33"/>
    </row>
    <row r="1122" spans="2:9" ht="15.75">
      <c r="B1122" s="39"/>
      <c r="C1122" s="33"/>
      <c r="D1122" s="33"/>
      <c r="E1122" s="33"/>
      <c r="F1122" s="33"/>
      <c r="G1122" s="33"/>
      <c r="H1122" s="33"/>
      <c r="I1122" s="33"/>
    </row>
    <row r="1123" spans="2:9" ht="15.75">
      <c r="B1123" s="35"/>
      <c r="C1123" s="39"/>
      <c r="D1123" s="35"/>
      <c r="E1123" s="33"/>
      <c r="F1123" s="35"/>
      <c r="G1123" s="39"/>
      <c r="H1123" s="35"/>
    </row>
    <row r="1124" spans="2:9" ht="15.75">
      <c r="B1124" s="35"/>
      <c r="C1124" s="39"/>
      <c r="D1124" s="35"/>
      <c r="E1124" s="37"/>
      <c r="F1124" s="35"/>
      <c r="G1124" s="39"/>
      <c r="H1124" s="35"/>
    </row>
    <row r="1125" spans="2:9" ht="15.75">
      <c r="B1125" s="35"/>
      <c r="C1125" s="38"/>
      <c r="D1125" s="35"/>
      <c r="E1125" s="38"/>
      <c r="F1125" s="35"/>
      <c r="G1125" s="38"/>
      <c r="H1125" s="35"/>
    </row>
    <row r="1126" spans="2:9" ht="15.75">
      <c r="B1126" s="35"/>
      <c r="C1126" s="39"/>
      <c r="D1126" s="35"/>
      <c r="E1126" s="37"/>
      <c r="F1126" s="35"/>
      <c r="G1126" s="39"/>
      <c r="H1126" s="35"/>
    </row>
    <row r="1127" spans="2:9" ht="15.75">
      <c r="B1127" s="35"/>
      <c r="C1127" s="39"/>
      <c r="D1127" s="35"/>
      <c r="E1127" s="37"/>
      <c r="F1127" s="35"/>
      <c r="G1127" s="39"/>
      <c r="H1127" s="35"/>
    </row>
    <row r="1129" spans="2:9">
      <c r="B1129" s="43"/>
      <c r="D1129" s="44"/>
    </row>
    <row r="1130" spans="2:9">
      <c r="B1130" s="45"/>
    </row>
    <row r="1131" spans="2:9">
      <c r="B1131" s="46"/>
      <c r="D1131" s="47"/>
    </row>
    <row r="1133" spans="2:9">
      <c r="B1133" s="55"/>
    </row>
    <row r="1135" spans="2:9">
      <c r="B1135" s="42"/>
    </row>
    <row r="1137" spans="2:9" ht="15.75">
      <c r="B1137" s="35"/>
      <c r="C1137" s="54"/>
      <c r="D1137" s="35"/>
      <c r="E1137" s="33"/>
      <c r="F1137" s="35"/>
      <c r="G1137" s="39"/>
      <c r="H1137" s="35"/>
      <c r="I1137" s="39"/>
    </row>
    <row r="1138" spans="2:9" ht="15.75">
      <c r="B1138" s="35"/>
      <c r="C1138" s="54"/>
      <c r="D1138" s="35"/>
      <c r="E1138" s="36"/>
      <c r="F1138" s="35"/>
      <c r="G1138" s="39"/>
      <c r="H1138" s="35"/>
      <c r="I1138" s="39"/>
    </row>
    <row r="1139" spans="2:9" ht="15.75">
      <c r="B1139" s="35"/>
      <c r="C1139" s="40"/>
      <c r="D1139" s="35"/>
      <c r="E1139" s="40"/>
      <c r="F1139" s="35"/>
      <c r="G1139" s="38"/>
      <c r="H1139" s="35"/>
      <c r="I1139" s="38"/>
    </row>
    <row r="1140" spans="2:9" ht="15.75">
      <c r="B1140" s="35"/>
      <c r="C1140" s="54"/>
      <c r="D1140" s="35"/>
      <c r="E1140" s="36"/>
      <c r="F1140" s="35"/>
      <c r="G1140" s="39"/>
      <c r="H1140" s="35"/>
      <c r="I1140" s="38"/>
    </row>
    <row r="1141" spans="2:9" ht="15.75">
      <c r="B1141" s="53"/>
      <c r="C1141" s="54"/>
      <c r="D1141" s="35"/>
      <c r="E1141" s="36"/>
      <c r="F1141" s="35"/>
      <c r="G1141" s="39"/>
      <c r="H1141" s="35"/>
      <c r="I1141" s="39"/>
    </row>
    <row r="1142" spans="2:9">
      <c r="B1142" s="33"/>
      <c r="C1142" s="34"/>
      <c r="D1142" s="33"/>
      <c r="E1142" s="33"/>
      <c r="F1142" s="33"/>
      <c r="G1142" s="33"/>
      <c r="H1142" s="33"/>
      <c r="I1142" s="33"/>
    </row>
    <row r="1143" spans="2:9" ht="15.75">
      <c r="B1143" s="38"/>
      <c r="C1143" s="34"/>
      <c r="D1143" s="38"/>
      <c r="E1143" s="33"/>
      <c r="F1143" s="38"/>
      <c r="G1143" s="33"/>
      <c r="H1143" s="38"/>
      <c r="I1143" s="33"/>
    </row>
    <row r="1144" spans="2:9" ht="15.75">
      <c r="B1144" s="39"/>
      <c r="C1144" s="33"/>
      <c r="D1144" s="33"/>
      <c r="E1144" s="33"/>
      <c r="F1144" s="33"/>
      <c r="G1144" s="33"/>
      <c r="H1144" s="33"/>
      <c r="I1144" s="33"/>
    </row>
    <row r="1145" spans="2:9" ht="15.75">
      <c r="B1145" s="35"/>
      <c r="C1145" s="39"/>
      <c r="D1145" s="35"/>
      <c r="E1145" s="33"/>
      <c r="F1145" s="35"/>
      <c r="G1145" s="39"/>
      <c r="H1145" s="35"/>
      <c r="I1145" s="39"/>
    </row>
    <row r="1146" spans="2:9" ht="15.75">
      <c r="B1146" s="35"/>
      <c r="C1146" s="39"/>
      <c r="D1146" s="35"/>
      <c r="E1146" s="37"/>
      <c r="F1146" s="35"/>
      <c r="G1146" s="39"/>
      <c r="H1146" s="35"/>
      <c r="I1146" s="39"/>
    </row>
    <row r="1147" spans="2:9" ht="15.75">
      <c r="B1147" s="35"/>
      <c r="C1147" s="38"/>
      <c r="D1147" s="35"/>
      <c r="E1147" s="38"/>
      <c r="F1147" s="35"/>
      <c r="G1147" s="38"/>
      <c r="H1147" s="35"/>
      <c r="I1147" s="38"/>
    </row>
    <row r="1148" spans="2:9" ht="15.75">
      <c r="B1148" s="35"/>
      <c r="C1148" s="39"/>
      <c r="D1148" s="35"/>
      <c r="E1148" s="37"/>
      <c r="F1148" s="35"/>
      <c r="G1148" s="39"/>
      <c r="H1148" s="35"/>
      <c r="I1148" s="39"/>
    </row>
    <row r="1149" spans="2:9" ht="15.75">
      <c r="B1149" s="35"/>
      <c r="C1149" s="39"/>
      <c r="D1149" s="35"/>
      <c r="E1149" s="37"/>
      <c r="F1149" s="35"/>
      <c r="G1149" s="39"/>
      <c r="H1149" s="35"/>
      <c r="I1149" s="39"/>
    </row>
    <row r="1150" spans="2:9">
      <c r="B1150" s="33"/>
      <c r="C1150" s="33"/>
      <c r="D1150" s="33"/>
      <c r="E1150" s="33"/>
      <c r="F1150" s="33"/>
      <c r="G1150" s="33"/>
      <c r="H1150" s="33"/>
      <c r="I1150" s="33"/>
    </row>
    <row r="1151" spans="2:9" ht="15.75">
      <c r="B1151" s="38"/>
      <c r="C1151" s="33"/>
      <c r="D1151" s="38"/>
      <c r="E1151" s="33"/>
      <c r="F1151" s="38"/>
      <c r="G1151" s="33"/>
      <c r="H1151" s="38"/>
      <c r="I1151" s="33"/>
    </row>
    <row r="1152" spans="2:9" ht="15.75">
      <c r="B1152" s="39"/>
      <c r="C1152" s="33"/>
      <c r="D1152" s="33"/>
      <c r="E1152" s="33"/>
      <c r="F1152" s="33"/>
      <c r="G1152" s="33"/>
      <c r="H1152" s="33"/>
      <c r="I1152" s="33"/>
    </row>
    <row r="1153" spans="2:9" ht="15.75">
      <c r="B1153" s="35"/>
      <c r="C1153" s="39"/>
      <c r="D1153" s="35"/>
      <c r="E1153" s="33"/>
      <c r="F1153" s="35"/>
      <c r="G1153" s="39"/>
      <c r="H1153" s="35"/>
    </row>
    <row r="1154" spans="2:9" ht="15.75">
      <c r="B1154" s="35"/>
      <c r="C1154" s="39"/>
      <c r="D1154" s="35"/>
      <c r="E1154" s="37"/>
      <c r="F1154" s="35"/>
      <c r="G1154" s="39"/>
      <c r="H1154" s="35"/>
    </row>
    <row r="1155" spans="2:9" ht="15.75">
      <c r="B1155" s="35"/>
      <c r="C1155" s="38"/>
      <c r="D1155" s="35"/>
      <c r="E1155" s="38"/>
      <c r="F1155" s="35"/>
      <c r="G1155" s="38"/>
      <c r="H1155" s="35"/>
    </row>
    <row r="1156" spans="2:9" ht="15.75">
      <c r="B1156" s="35"/>
      <c r="C1156" s="39"/>
      <c r="D1156" s="35"/>
      <c r="E1156" s="37"/>
      <c r="F1156" s="35"/>
      <c r="G1156" s="39"/>
      <c r="H1156" s="35"/>
    </row>
    <row r="1157" spans="2:9" ht="15.75">
      <c r="B1157" s="35"/>
      <c r="C1157" s="39"/>
      <c r="D1157" s="35"/>
      <c r="E1157" s="37"/>
      <c r="F1157" s="35"/>
      <c r="G1157" s="39"/>
      <c r="H1157" s="35"/>
    </row>
    <row r="1159" spans="2:9">
      <c r="B1159" s="43"/>
      <c r="D1159" s="44"/>
    </row>
    <row r="1160" spans="2:9">
      <c r="B1160" s="45"/>
    </row>
    <row r="1161" spans="2:9">
      <c r="B1161" s="46"/>
      <c r="D1161" s="47"/>
    </row>
    <row r="1163" spans="2:9">
      <c r="B1163" s="42"/>
    </row>
    <row r="1165" spans="2:9" ht="15.75">
      <c r="B1165" s="35"/>
      <c r="C1165" s="54"/>
      <c r="D1165" s="35"/>
      <c r="E1165" s="33"/>
      <c r="F1165" s="35"/>
      <c r="G1165" s="39"/>
      <c r="H1165" s="35"/>
      <c r="I1165" s="39"/>
    </row>
    <row r="1166" spans="2:9" ht="15.75">
      <c r="B1166" s="35"/>
      <c r="C1166" s="54"/>
      <c r="D1166" s="35"/>
      <c r="E1166" s="36"/>
      <c r="F1166" s="35"/>
      <c r="G1166" s="39"/>
      <c r="H1166" s="35"/>
      <c r="I1166" s="39"/>
    </row>
    <row r="1167" spans="2:9" ht="15.75">
      <c r="B1167" s="35"/>
      <c r="C1167" s="40"/>
      <c r="D1167" s="35"/>
      <c r="E1167" s="40"/>
      <c r="F1167" s="35"/>
      <c r="G1167" s="38"/>
      <c r="H1167" s="35"/>
      <c r="I1167" s="38"/>
    </row>
    <row r="1168" spans="2:9" ht="15.75">
      <c r="B1168" s="35"/>
      <c r="C1168" s="54"/>
      <c r="D1168" s="35"/>
      <c r="E1168" s="36"/>
      <c r="F1168" s="35"/>
      <c r="G1168" s="39"/>
      <c r="H1168" s="35"/>
      <c r="I1168" s="38"/>
    </row>
    <row r="1169" spans="2:9" ht="15.75">
      <c r="B1169" s="53"/>
      <c r="C1169" s="54"/>
      <c r="D1169" s="35"/>
      <c r="E1169" s="36"/>
      <c r="F1169" s="35"/>
      <c r="G1169" s="39"/>
      <c r="H1169" s="35"/>
      <c r="I1169" s="39"/>
    </row>
    <row r="1170" spans="2:9">
      <c r="B1170" s="33"/>
      <c r="C1170" s="34"/>
      <c r="D1170" s="33"/>
      <c r="E1170" s="33"/>
      <c r="F1170" s="33"/>
      <c r="G1170" s="33"/>
      <c r="H1170" s="33"/>
      <c r="I1170" s="33"/>
    </row>
    <row r="1171" spans="2:9" ht="15.75">
      <c r="B1171" s="38"/>
      <c r="C1171" s="34"/>
      <c r="D1171" s="38"/>
      <c r="E1171" s="33"/>
      <c r="F1171" s="38"/>
      <c r="G1171" s="33"/>
      <c r="H1171" s="38"/>
      <c r="I1171" s="33"/>
    </row>
    <row r="1172" spans="2:9" ht="15.75">
      <c r="B1172" s="39"/>
      <c r="C1172" s="33"/>
      <c r="D1172" s="33"/>
      <c r="E1172" s="33"/>
      <c r="F1172" s="33"/>
      <c r="G1172" s="33"/>
      <c r="H1172" s="33"/>
      <c r="I1172" s="33"/>
    </row>
    <row r="1173" spans="2:9" ht="15.75">
      <c r="B1173" s="35"/>
      <c r="C1173" s="39"/>
      <c r="D1173" s="35"/>
      <c r="E1173" s="33"/>
      <c r="F1173" s="35"/>
      <c r="G1173" s="39"/>
      <c r="H1173" s="35"/>
      <c r="I1173" s="39"/>
    </row>
    <row r="1174" spans="2:9" ht="15.75">
      <c r="B1174" s="35"/>
      <c r="C1174" s="39"/>
      <c r="D1174" s="35"/>
      <c r="E1174" s="37"/>
      <c r="F1174" s="35"/>
      <c r="G1174" s="39"/>
      <c r="H1174" s="35"/>
      <c r="I1174" s="39"/>
    </row>
    <row r="1175" spans="2:9" ht="15.75">
      <c r="B1175" s="35"/>
      <c r="C1175" s="38"/>
      <c r="D1175" s="35"/>
      <c r="E1175" s="38"/>
      <c r="F1175" s="35"/>
      <c r="G1175" s="38"/>
      <c r="H1175" s="35"/>
      <c r="I1175" s="38"/>
    </row>
    <row r="1176" spans="2:9" ht="15.75">
      <c r="B1176" s="35"/>
      <c r="C1176" s="39"/>
      <c r="D1176" s="35"/>
      <c r="E1176" s="37"/>
      <c r="F1176" s="35"/>
      <c r="G1176" s="39"/>
      <c r="H1176" s="35"/>
      <c r="I1176" s="39"/>
    </row>
    <row r="1177" spans="2:9" ht="15.75">
      <c r="B1177" s="35"/>
      <c r="C1177" s="39"/>
      <c r="D1177" s="35"/>
      <c r="E1177" s="37"/>
      <c r="F1177" s="35"/>
      <c r="G1177" s="39"/>
      <c r="H1177" s="35"/>
      <c r="I1177" s="39"/>
    </row>
    <row r="1178" spans="2:9">
      <c r="B1178" s="33"/>
      <c r="C1178" s="33"/>
      <c r="D1178" s="33"/>
      <c r="E1178" s="33"/>
      <c r="F1178" s="33"/>
      <c r="G1178" s="33"/>
      <c r="H1178" s="33"/>
      <c r="I1178" s="33"/>
    </row>
    <row r="1179" spans="2:9" ht="15.75">
      <c r="B1179" s="38"/>
      <c r="C1179" s="33"/>
      <c r="D1179" s="38"/>
      <c r="E1179" s="33"/>
      <c r="F1179" s="38"/>
      <c r="G1179" s="33"/>
      <c r="H1179" s="38"/>
      <c r="I1179" s="33"/>
    </row>
    <row r="1180" spans="2:9" ht="15.75">
      <c r="B1180" s="39"/>
      <c r="C1180" s="33"/>
      <c r="D1180" s="33"/>
      <c r="E1180" s="33"/>
      <c r="F1180" s="33"/>
      <c r="G1180" s="33"/>
      <c r="H1180" s="33"/>
      <c r="I1180" s="33"/>
    </row>
    <row r="1181" spans="2:9" ht="15.75">
      <c r="B1181" s="35"/>
      <c r="C1181" s="39"/>
      <c r="D1181" s="35"/>
      <c r="E1181" s="33"/>
      <c r="F1181" s="35"/>
      <c r="G1181" s="39"/>
      <c r="H1181" s="35"/>
    </row>
    <row r="1182" spans="2:9" ht="15.75">
      <c r="B1182" s="35"/>
      <c r="C1182" s="39"/>
      <c r="D1182" s="35"/>
      <c r="E1182" s="37"/>
      <c r="F1182" s="35"/>
      <c r="G1182" s="39"/>
      <c r="H1182" s="35"/>
    </row>
    <row r="1183" spans="2:9" ht="15.75">
      <c r="B1183" s="35"/>
      <c r="C1183" s="38"/>
      <c r="D1183" s="35"/>
      <c r="E1183" s="38"/>
      <c r="F1183" s="35"/>
      <c r="G1183" s="38"/>
      <c r="H1183" s="35"/>
    </row>
    <row r="1184" spans="2:9" ht="15.75">
      <c r="B1184" s="35"/>
      <c r="C1184" s="39"/>
      <c r="D1184" s="35"/>
      <c r="E1184" s="37"/>
      <c r="F1184" s="35"/>
      <c r="G1184" s="39"/>
      <c r="H1184" s="35"/>
    </row>
    <row r="1185" spans="2:9" ht="15.75">
      <c r="B1185" s="35"/>
      <c r="C1185" s="39"/>
      <c r="D1185" s="35"/>
      <c r="E1185" s="37"/>
      <c r="F1185" s="35"/>
      <c r="G1185" s="39"/>
      <c r="H1185" s="35"/>
    </row>
    <row r="1187" spans="2:9">
      <c r="B1187" s="43"/>
      <c r="D1187" s="44"/>
    </row>
    <row r="1188" spans="2:9">
      <c r="B1188" s="45"/>
    </row>
    <row r="1189" spans="2:9">
      <c r="B1189" s="46"/>
      <c r="D1189" s="47"/>
    </row>
    <row r="1191" spans="2:9">
      <c r="B1191" s="42"/>
    </row>
    <row r="1193" spans="2:9" ht="15.75">
      <c r="B1193" s="35"/>
      <c r="C1193" s="54"/>
      <c r="D1193" s="35"/>
      <c r="E1193" s="33"/>
      <c r="F1193" s="35"/>
      <c r="G1193" s="39"/>
      <c r="H1193" s="35"/>
      <c r="I1193" s="39"/>
    </row>
    <row r="1194" spans="2:9" ht="15.75">
      <c r="B1194" s="35"/>
      <c r="C1194" s="54"/>
      <c r="D1194" s="35"/>
      <c r="E1194" s="36"/>
      <c r="F1194" s="35"/>
      <c r="G1194" s="39"/>
      <c r="H1194" s="35"/>
      <c r="I1194" s="39"/>
    </row>
    <row r="1195" spans="2:9" ht="15.75">
      <c r="B1195" s="35"/>
      <c r="C1195" s="40"/>
      <c r="D1195" s="35"/>
      <c r="E1195" s="40"/>
      <c r="F1195" s="35"/>
      <c r="G1195" s="38"/>
      <c r="H1195" s="35"/>
      <c r="I1195" s="38"/>
    </row>
    <row r="1196" spans="2:9" ht="15.75">
      <c r="B1196" s="35"/>
      <c r="C1196" s="54"/>
      <c r="D1196" s="35"/>
      <c r="E1196" s="36"/>
      <c r="F1196" s="35"/>
      <c r="G1196" s="39"/>
      <c r="H1196" s="35"/>
      <c r="I1196" s="38"/>
    </row>
    <row r="1197" spans="2:9" ht="15.75">
      <c r="B1197" s="53"/>
      <c r="C1197" s="54"/>
      <c r="D1197" s="35"/>
      <c r="E1197" s="36"/>
      <c r="F1197" s="35"/>
      <c r="G1197" s="39"/>
      <c r="H1197" s="35"/>
      <c r="I1197" s="39"/>
    </row>
    <row r="1198" spans="2:9">
      <c r="B1198" s="33"/>
      <c r="C1198" s="34"/>
      <c r="D1198" s="33"/>
      <c r="E1198" s="33"/>
      <c r="F1198" s="33"/>
      <c r="G1198" s="33"/>
      <c r="H1198" s="33"/>
      <c r="I1198" s="33"/>
    </row>
    <row r="1199" spans="2:9" ht="15.75">
      <c r="B1199" s="38"/>
      <c r="C1199" s="34"/>
      <c r="D1199" s="38"/>
      <c r="E1199" s="33"/>
      <c r="F1199" s="38"/>
      <c r="G1199" s="33"/>
      <c r="H1199" s="38"/>
      <c r="I1199" s="33"/>
    </row>
    <row r="1200" spans="2:9" ht="15.75">
      <c r="B1200" s="39"/>
      <c r="C1200" s="33"/>
      <c r="D1200" s="33"/>
      <c r="E1200" s="33"/>
      <c r="F1200" s="33"/>
      <c r="G1200" s="33"/>
      <c r="H1200" s="33"/>
      <c r="I1200" s="33"/>
    </row>
    <row r="1201" spans="2:9" ht="15.75">
      <c r="B1201" s="35"/>
      <c r="C1201" s="39"/>
      <c r="D1201" s="35"/>
      <c r="E1201" s="33"/>
      <c r="F1201" s="35"/>
      <c r="G1201" s="39"/>
      <c r="H1201" s="35"/>
      <c r="I1201" s="39"/>
    </row>
    <row r="1202" spans="2:9" ht="15.75">
      <c r="B1202" s="35"/>
      <c r="C1202" s="39"/>
      <c r="D1202" s="35"/>
      <c r="E1202" s="37"/>
      <c r="F1202" s="35"/>
      <c r="G1202" s="39"/>
      <c r="H1202" s="35"/>
      <c r="I1202" s="39"/>
    </row>
    <row r="1203" spans="2:9" ht="15.75">
      <c r="B1203" s="35"/>
      <c r="C1203" s="38"/>
      <c r="D1203" s="35"/>
      <c r="E1203" s="38"/>
      <c r="F1203" s="35"/>
      <c r="G1203" s="38"/>
      <c r="H1203" s="35"/>
      <c r="I1203" s="38"/>
    </row>
    <row r="1204" spans="2:9" ht="15.75">
      <c r="B1204" s="35"/>
      <c r="C1204" s="39"/>
      <c r="D1204" s="35"/>
      <c r="E1204" s="37"/>
      <c r="F1204" s="35"/>
      <c r="G1204" s="39"/>
      <c r="H1204" s="35"/>
      <c r="I1204" s="39"/>
    </row>
    <row r="1205" spans="2:9" ht="15.75">
      <c r="B1205" s="35"/>
      <c r="C1205" s="39"/>
      <c r="D1205" s="35"/>
      <c r="E1205" s="37"/>
      <c r="F1205" s="35"/>
      <c r="G1205" s="39"/>
      <c r="H1205" s="35"/>
      <c r="I1205" s="39"/>
    </row>
    <row r="1206" spans="2:9">
      <c r="B1206" s="33"/>
      <c r="C1206" s="33"/>
      <c r="D1206" s="33"/>
      <c r="E1206" s="33"/>
      <c r="F1206" s="33"/>
      <c r="G1206" s="33"/>
      <c r="H1206" s="33"/>
      <c r="I1206" s="33"/>
    </row>
    <row r="1207" spans="2:9" ht="15.75">
      <c r="B1207" s="38"/>
      <c r="C1207" s="33"/>
      <c r="D1207" s="38"/>
      <c r="E1207" s="33"/>
      <c r="F1207" s="38"/>
      <c r="G1207" s="33"/>
      <c r="H1207" s="38"/>
      <c r="I1207" s="33"/>
    </row>
    <row r="1208" spans="2:9" ht="15.75">
      <c r="B1208" s="39"/>
      <c r="C1208" s="33"/>
      <c r="D1208" s="33"/>
      <c r="E1208" s="33"/>
      <c r="F1208" s="33"/>
      <c r="G1208" s="33"/>
      <c r="H1208" s="33"/>
      <c r="I1208" s="33"/>
    </row>
    <row r="1209" spans="2:9" ht="15.75">
      <c r="B1209" s="35"/>
      <c r="C1209" s="39"/>
      <c r="D1209" s="35"/>
      <c r="E1209" s="33"/>
      <c r="F1209" s="35"/>
      <c r="G1209" s="39"/>
      <c r="H1209" s="35"/>
    </row>
    <row r="1210" spans="2:9" ht="15.75">
      <c r="B1210" s="35"/>
      <c r="C1210" s="39"/>
      <c r="D1210" s="35"/>
      <c r="E1210" s="37"/>
      <c r="F1210" s="35"/>
      <c r="G1210" s="39"/>
      <c r="H1210" s="35"/>
    </row>
    <row r="1211" spans="2:9" ht="15.75">
      <c r="B1211" s="35"/>
      <c r="C1211" s="38"/>
      <c r="D1211" s="35"/>
      <c r="E1211" s="38"/>
      <c r="F1211" s="35"/>
      <c r="G1211" s="38"/>
      <c r="H1211" s="35"/>
    </row>
    <row r="1212" spans="2:9" ht="15.75">
      <c r="B1212" s="35"/>
      <c r="C1212" s="39"/>
      <c r="D1212" s="35"/>
      <c r="E1212" s="37"/>
      <c r="F1212" s="35"/>
      <c r="G1212" s="39"/>
      <c r="H1212" s="35"/>
    </row>
    <row r="1213" spans="2:9" ht="15.75">
      <c r="B1213" s="35"/>
      <c r="C1213" s="39"/>
      <c r="D1213" s="35"/>
      <c r="E1213" s="37"/>
      <c r="F1213" s="35"/>
      <c r="G1213" s="39"/>
      <c r="H1213" s="35"/>
    </row>
    <row r="1215" spans="2:9">
      <c r="B1215" s="43"/>
      <c r="D1215" s="44"/>
    </row>
    <row r="1216" spans="2:9">
      <c r="B1216" s="45"/>
    </row>
    <row r="1217" spans="2:9">
      <c r="B1217" s="46"/>
      <c r="D1217" s="47"/>
    </row>
    <row r="1219" spans="2:9">
      <c r="B1219" s="42"/>
    </row>
    <row r="1221" spans="2:9" ht="15.75">
      <c r="B1221" s="35"/>
      <c r="C1221" s="54"/>
      <c r="D1221" s="35"/>
      <c r="E1221" s="33"/>
      <c r="F1221" s="35"/>
      <c r="G1221" s="39"/>
      <c r="H1221" s="35"/>
      <c r="I1221" s="39"/>
    </row>
    <row r="1222" spans="2:9" ht="15.75">
      <c r="B1222" s="35"/>
      <c r="C1222" s="54"/>
      <c r="D1222" s="35"/>
      <c r="E1222" s="36"/>
      <c r="F1222" s="35"/>
      <c r="G1222" s="39"/>
      <c r="H1222" s="35"/>
      <c r="I1222" s="39"/>
    </row>
    <row r="1223" spans="2:9" ht="15.75">
      <c r="B1223" s="35"/>
      <c r="C1223" s="40"/>
      <c r="D1223" s="35"/>
      <c r="E1223" s="40"/>
      <c r="F1223" s="35"/>
      <c r="G1223" s="38"/>
      <c r="H1223" s="35"/>
      <c r="I1223" s="38"/>
    </row>
    <row r="1224" spans="2:9" ht="15.75">
      <c r="B1224" s="35"/>
      <c r="C1224" s="54"/>
      <c r="D1224" s="35"/>
      <c r="E1224" s="36"/>
      <c r="F1224" s="35"/>
      <c r="G1224" s="39"/>
      <c r="H1224" s="35"/>
      <c r="I1224" s="38"/>
    </row>
    <row r="1225" spans="2:9" ht="15.75">
      <c r="B1225" s="53"/>
      <c r="C1225" s="54"/>
      <c r="D1225" s="35"/>
      <c r="E1225" s="36"/>
      <c r="F1225" s="35"/>
      <c r="G1225" s="39"/>
      <c r="H1225" s="35"/>
      <c r="I1225" s="39"/>
    </row>
    <row r="1226" spans="2:9">
      <c r="B1226" s="33"/>
      <c r="C1226" s="34"/>
      <c r="D1226" s="33"/>
      <c r="E1226" s="33"/>
      <c r="F1226" s="33"/>
      <c r="G1226" s="33"/>
      <c r="H1226" s="33"/>
      <c r="I1226" s="33"/>
    </row>
    <row r="1227" spans="2:9" ht="15.75">
      <c r="B1227" s="38"/>
      <c r="C1227" s="34"/>
      <c r="D1227" s="38"/>
      <c r="E1227" s="33"/>
      <c r="F1227" s="38"/>
      <c r="G1227" s="33"/>
      <c r="H1227" s="38"/>
      <c r="I1227" s="33"/>
    </row>
    <row r="1228" spans="2:9" ht="15.75">
      <c r="B1228" s="39"/>
      <c r="C1228" s="33"/>
      <c r="D1228" s="33"/>
      <c r="E1228" s="33"/>
      <c r="F1228" s="33"/>
      <c r="G1228" s="33"/>
      <c r="H1228" s="33"/>
      <c r="I1228" s="33"/>
    </row>
    <row r="1229" spans="2:9" ht="15.75">
      <c r="B1229" s="35"/>
      <c r="C1229" s="39"/>
      <c r="D1229" s="35"/>
      <c r="E1229" s="33"/>
      <c r="F1229" s="35"/>
      <c r="G1229" s="39"/>
      <c r="H1229" s="35"/>
      <c r="I1229" s="39"/>
    </row>
    <row r="1230" spans="2:9" ht="15.75">
      <c r="B1230" s="35"/>
      <c r="C1230" s="39"/>
      <c r="D1230" s="35"/>
      <c r="E1230" s="37"/>
      <c r="F1230" s="35"/>
      <c r="G1230" s="39"/>
      <c r="H1230" s="35"/>
      <c r="I1230" s="39"/>
    </row>
    <row r="1231" spans="2:9" ht="15.75">
      <c r="B1231" s="35"/>
      <c r="C1231" s="38"/>
      <c r="D1231" s="35"/>
      <c r="E1231" s="38"/>
      <c r="F1231" s="35"/>
      <c r="G1231" s="38"/>
      <c r="H1231" s="35"/>
      <c r="I1231" s="38"/>
    </row>
    <row r="1232" spans="2:9" ht="15.75">
      <c r="B1232" s="35"/>
      <c r="C1232" s="39"/>
      <c r="D1232" s="35"/>
      <c r="E1232" s="37"/>
      <c r="F1232" s="35"/>
      <c r="G1232" s="39"/>
      <c r="H1232" s="35"/>
      <c r="I1232" s="39"/>
    </row>
    <row r="1233" spans="2:9" ht="15.75">
      <c r="B1233" s="35"/>
      <c r="C1233" s="39"/>
      <c r="D1233" s="35"/>
      <c r="E1233" s="37"/>
      <c r="F1233" s="35"/>
      <c r="G1233" s="39"/>
      <c r="H1233" s="35"/>
      <c r="I1233" s="39"/>
    </row>
    <row r="1234" spans="2:9">
      <c r="B1234" s="33"/>
      <c r="C1234" s="33"/>
      <c r="D1234" s="33"/>
      <c r="E1234" s="33"/>
      <c r="F1234" s="33"/>
      <c r="G1234" s="33"/>
      <c r="H1234" s="33"/>
      <c r="I1234" s="33"/>
    </row>
    <row r="1235" spans="2:9" ht="15.75">
      <c r="B1235" s="38"/>
      <c r="C1235" s="33"/>
      <c r="D1235" s="38"/>
      <c r="E1235" s="33"/>
      <c r="F1235" s="38"/>
      <c r="G1235" s="33"/>
      <c r="H1235" s="38"/>
      <c r="I1235" s="33"/>
    </row>
    <row r="1236" spans="2:9" ht="15.75">
      <c r="B1236" s="39"/>
      <c r="C1236" s="33"/>
      <c r="D1236" s="33"/>
      <c r="E1236" s="33"/>
      <c r="F1236" s="33"/>
      <c r="G1236" s="33"/>
      <c r="H1236" s="33"/>
      <c r="I1236" s="33"/>
    </row>
    <row r="1237" spans="2:9" ht="15.75">
      <c r="B1237" s="35"/>
      <c r="C1237" s="39"/>
      <c r="D1237" s="35"/>
      <c r="E1237" s="33"/>
      <c r="F1237" s="35"/>
      <c r="G1237" s="39"/>
      <c r="H1237" s="35"/>
    </row>
    <row r="1238" spans="2:9" ht="15.75">
      <c r="B1238" s="35"/>
      <c r="C1238" s="39"/>
      <c r="D1238" s="35"/>
      <c r="E1238" s="37"/>
      <c r="F1238" s="35"/>
      <c r="G1238" s="39"/>
      <c r="H1238" s="35"/>
    </row>
    <row r="1239" spans="2:9" ht="15.75">
      <c r="B1239" s="35"/>
      <c r="C1239" s="38"/>
      <c r="D1239" s="35"/>
      <c r="E1239" s="38"/>
      <c r="F1239" s="35"/>
      <c r="G1239" s="38"/>
      <c r="H1239" s="35"/>
    </row>
    <row r="1240" spans="2:9" ht="15.75">
      <c r="B1240" s="35"/>
      <c r="C1240" s="39"/>
      <c r="D1240" s="35"/>
      <c r="E1240" s="37"/>
      <c r="F1240" s="35"/>
      <c r="G1240" s="39"/>
      <c r="H1240" s="35"/>
    </row>
    <row r="1241" spans="2:9" ht="15.75">
      <c r="B1241" s="35"/>
      <c r="C1241" s="39"/>
      <c r="D1241" s="35"/>
      <c r="E1241" s="37"/>
      <c r="F1241" s="35"/>
      <c r="G1241" s="39"/>
      <c r="H1241" s="35"/>
    </row>
    <row r="1243" spans="2:9">
      <c r="B1243" s="43"/>
      <c r="D1243" s="44"/>
    </row>
    <row r="1244" spans="2:9">
      <c r="B1244" s="45"/>
    </row>
    <row r="1245" spans="2:9">
      <c r="B1245" s="46"/>
      <c r="D1245" s="47"/>
    </row>
    <row r="1247" spans="2:9">
      <c r="B1247" s="42"/>
    </row>
    <row r="1249" spans="2:9" ht="15.75">
      <c r="B1249" s="35"/>
      <c r="C1249" s="54"/>
      <c r="D1249" s="35"/>
      <c r="E1249" s="33"/>
      <c r="F1249" s="35"/>
      <c r="G1249" s="39"/>
      <c r="H1249" s="35"/>
      <c r="I1249" s="39"/>
    </row>
    <row r="1250" spans="2:9" ht="15.75">
      <c r="B1250" s="35"/>
      <c r="C1250" s="54"/>
      <c r="D1250" s="35"/>
      <c r="E1250" s="36"/>
      <c r="F1250" s="35"/>
      <c r="G1250" s="39"/>
      <c r="H1250" s="35"/>
      <c r="I1250" s="39"/>
    </row>
    <row r="1251" spans="2:9" ht="15.75">
      <c r="B1251" s="35"/>
      <c r="C1251" s="40"/>
      <c r="D1251" s="35"/>
      <c r="E1251" s="40"/>
      <c r="F1251" s="35"/>
      <c r="G1251" s="38"/>
      <c r="H1251" s="35"/>
      <c r="I1251" s="38"/>
    </row>
    <row r="1252" spans="2:9" ht="15.75">
      <c r="B1252" s="35"/>
      <c r="C1252" s="54"/>
      <c r="D1252" s="35"/>
      <c r="E1252" s="36"/>
      <c r="F1252" s="35"/>
      <c r="G1252" s="39"/>
      <c r="H1252" s="35"/>
      <c r="I1252" s="38"/>
    </row>
    <row r="1253" spans="2:9" ht="15.75">
      <c r="B1253" s="53"/>
      <c r="C1253" s="54"/>
      <c r="D1253" s="35"/>
      <c r="E1253" s="36"/>
      <c r="F1253" s="35"/>
      <c r="G1253" s="39"/>
      <c r="H1253" s="35"/>
      <c r="I1253" s="39"/>
    </row>
    <row r="1254" spans="2:9">
      <c r="B1254" s="33"/>
      <c r="C1254" s="34"/>
      <c r="D1254" s="33"/>
      <c r="E1254" s="33"/>
      <c r="F1254" s="33"/>
      <c r="G1254" s="33"/>
      <c r="H1254" s="33"/>
      <c r="I1254" s="33"/>
    </row>
    <row r="1255" spans="2:9" ht="15.75">
      <c r="B1255" s="38"/>
      <c r="C1255" s="34"/>
      <c r="D1255" s="38"/>
      <c r="E1255" s="33"/>
      <c r="F1255" s="38"/>
      <c r="G1255" s="33"/>
      <c r="H1255" s="38"/>
      <c r="I1255" s="33"/>
    </row>
    <row r="1256" spans="2:9" ht="15.75">
      <c r="B1256" s="39"/>
      <c r="C1256" s="33"/>
      <c r="D1256" s="33"/>
      <c r="E1256" s="33"/>
      <c r="F1256" s="33"/>
      <c r="G1256" s="33"/>
      <c r="H1256" s="33"/>
      <c r="I1256" s="33"/>
    </row>
    <row r="1257" spans="2:9" ht="15.75">
      <c r="B1257" s="35"/>
      <c r="C1257" s="39"/>
      <c r="D1257" s="35"/>
      <c r="E1257" s="33"/>
      <c r="F1257" s="35"/>
      <c r="G1257" s="39"/>
      <c r="H1257" s="35"/>
      <c r="I1257" s="39"/>
    </row>
    <row r="1258" spans="2:9" ht="15.75">
      <c r="B1258" s="35"/>
      <c r="C1258" s="39"/>
      <c r="D1258" s="35"/>
      <c r="E1258" s="37"/>
      <c r="F1258" s="35"/>
      <c r="G1258" s="39"/>
      <c r="H1258" s="35"/>
      <c r="I1258" s="39"/>
    </row>
    <row r="1259" spans="2:9" ht="15.75">
      <c r="B1259" s="35"/>
      <c r="C1259" s="38"/>
      <c r="D1259" s="35"/>
      <c r="E1259" s="38"/>
      <c r="F1259" s="35"/>
      <c r="G1259" s="38"/>
      <c r="H1259" s="35"/>
      <c r="I1259" s="38"/>
    </row>
    <row r="1260" spans="2:9" ht="15.75">
      <c r="B1260" s="35"/>
      <c r="C1260" s="39"/>
      <c r="D1260" s="35"/>
      <c r="E1260" s="37"/>
      <c r="F1260" s="35"/>
      <c r="G1260" s="39"/>
      <c r="H1260" s="35"/>
      <c r="I1260" s="39"/>
    </row>
    <row r="1261" spans="2:9" ht="15.75">
      <c r="B1261" s="35"/>
      <c r="C1261" s="39"/>
      <c r="D1261" s="35"/>
      <c r="E1261" s="37"/>
      <c r="F1261" s="35"/>
      <c r="G1261" s="39"/>
      <c r="H1261" s="35"/>
      <c r="I1261" s="39"/>
    </row>
    <row r="1262" spans="2:9">
      <c r="B1262" s="33"/>
      <c r="C1262" s="33"/>
      <c r="D1262" s="33"/>
      <c r="E1262" s="33"/>
      <c r="F1262" s="33"/>
      <c r="G1262" s="33"/>
      <c r="H1262" s="33"/>
      <c r="I1262" s="33"/>
    </row>
    <row r="1263" spans="2:9" ht="15.75">
      <c r="B1263" s="38"/>
      <c r="C1263" s="33"/>
      <c r="D1263" s="38"/>
      <c r="E1263" s="33"/>
      <c r="F1263" s="38"/>
      <c r="G1263" s="33"/>
      <c r="H1263" s="38"/>
      <c r="I1263" s="33"/>
    </row>
    <row r="1264" spans="2:9" ht="15.75">
      <c r="B1264" s="39"/>
      <c r="C1264" s="33"/>
      <c r="D1264" s="33"/>
      <c r="E1264" s="33"/>
      <c r="F1264" s="33"/>
      <c r="G1264" s="33"/>
      <c r="H1264" s="33"/>
      <c r="I1264" s="33"/>
    </row>
    <row r="1265" spans="2:9" ht="15.75">
      <c r="B1265" s="35"/>
      <c r="C1265" s="39"/>
      <c r="D1265" s="35"/>
      <c r="E1265" s="33"/>
      <c r="F1265" s="35"/>
      <c r="G1265" s="39"/>
      <c r="H1265" s="35"/>
    </row>
    <row r="1266" spans="2:9" ht="15.75">
      <c r="B1266" s="35"/>
      <c r="C1266" s="39"/>
      <c r="D1266" s="35"/>
      <c r="E1266" s="37"/>
      <c r="F1266" s="35"/>
      <c r="G1266" s="39"/>
      <c r="H1266" s="35"/>
    </row>
    <row r="1267" spans="2:9" ht="15.75">
      <c r="B1267" s="35"/>
      <c r="C1267" s="38"/>
      <c r="D1267" s="35"/>
      <c r="E1267" s="38"/>
      <c r="F1267" s="35"/>
      <c r="G1267" s="38"/>
      <c r="H1267" s="35"/>
    </row>
    <row r="1268" spans="2:9" ht="15.75">
      <c r="B1268" s="35"/>
      <c r="C1268" s="39"/>
      <c r="D1268" s="35"/>
      <c r="E1268" s="37"/>
      <c r="F1268" s="35"/>
      <c r="G1268" s="39"/>
      <c r="H1268" s="35"/>
    </row>
    <row r="1269" spans="2:9" ht="15.75">
      <c r="B1269" s="35"/>
      <c r="C1269" s="39"/>
      <c r="D1269" s="35"/>
      <c r="E1269" s="37"/>
      <c r="F1269" s="35"/>
      <c r="G1269" s="39"/>
      <c r="H1269" s="35"/>
    </row>
    <row r="1271" spans="2:9">
      <c r="B1271" s="43"/>
      <c r="D1271" s="44"/>
    </row>
    <row r="1272" spans="2:9">
      <c r="B1272" s="45"/>
    </row>
    <row r="1273" spans="2:9">
      <c r="B1273" s="46"/>
      <c r="D1273" s="47"/>
    </row>
    <row r="1275" spans="2:9">
      <c r="B1275" s="42"/>
    </row>
    <row r="1277" spans="2:9" ht="15.75">
      <c r="B1277" s="35"/>
      <c r="C1277" s="54"/>
      <c r="D1277" s="35"/>
      <c r="E1277" s="33"/>
      <c r="F1277" s="35"/>
      <c r="G1277" s="39"/>
      <c r="H1277" s="35"/>
      <c r="I1277" s="39"/>
    </row>
    <row r="1278" spans="2:9" ht="15.75">
      <c r="B1278" s="35"/>
      <c r="C1278" s="54"/>
      <c r="D1278" s="35"/>
      <c r="E1278" s="36"/>
      <c r="F1278" s="35"/>
      <c r="G1278" s="39"/>
      <c r="H1278" s="35"/>
      <c r="I1278" s="39"/>
    </row>
    <row r="1279" spans="2:9" ht="15.75">
      <c r="B1279" s="35"/>
      <c r="C1279" s="40"/>
      <c r="D1279" s="35"/>
      <c r="E1279" s="40"/>
      <c r="F1279" s="35"/>
      <c r="G1279" s="38"/>
      <c r="H1279" s="35"/>
      <c r="I1279" s="38"/>
    </row>
    <row r="1280" spans="2:9" ht="15.75">
      <c r="B1280" s="35"/>
      <c r="C1280" s="54"/>
      <c r="D1280" s="35"/>
      <c r="E1280" s="36"/>
      <c r="F1280" s="35"/>
      <c r="G1280" s="39"/>
      <c r="H1280" s="35"/>
      <c r="I1280" s="38"/>
    </row>
    <row r="1281" spans="2:9" ht="15.75">
      <c r="B1281" s="53"/>
      <c r="C1281" s="54"/>
      <c r="D1281" s="35"/>
      <c r="E1281" s="36"/>
      <c r="F1281" s="35"/>
      <c r="G1281" s="39"/>
      <c r="H1281" s="35"/>
      <c r="I1281" s="39"/>
    </row>
    <row r="1282" spans="2:9">
      <c r="B1282" s="33"/>
      <c r="C1282" s="34"/>
      <c r="D1282" s="33"/>
      <c r="E1282" s="33"/>
      <c r="F1282" s="33"/>
      <c r="G1282" s="33"/>
      <c r="H1282" s="33"/>
      <c r="I1282" s="33"/>
    </row>
    <row r="1283" spans="2:9" ht="15.75">
      <c r="B1283" s="38"/>
      <c r="C1283" s="34"/>
      <c r="D1283" s="38"/>
      <c r="E1283" s="33"/>
      <c r="F1283" s="38"/>
      <c r="G1283" s="33"/>
      <c r="H1283" s="38"/>
      <c r="I1283" s="33"/>
    </row>
    <row r="1284" spans="2:9" ht="15.75">
      <c r="B1284" s="39"/>
      <c r="C1284" s="33"/>
      <c r="D1284" s="33"/>
      <c r="E1284" s="33"/>
      <c r="F1284" s="33"/>
      <c r="G1284" s="33"/>
      <c r="H1284" s="33"/>
      <c r="I1284" s="33"/>
    </row>
    <row r="1285" spans="2:9" ht="15.75">
      <c r="B1285" s="35"/>
      <c r="C1285" s="39"/>
      <c r="D1285" s="35"/>
      <c r="E1285" s="33"/>
      <c r="F1285" s="35"/>
      <c r="G1285" s="39"/>
      <c r="H1285" s="35"/>
      <c r="I1285" s="39"/>
    </row>
    <row r="1286" spans="2:9" ht="15.75">
      <c r="B1286" s="35"/>
      <c r="C1286" s="39"/>
      <c r="D1286" s="35"/>
      <c r="E1286" s="37"/>
      <c r="F1286" s="35"/>
      <c r="G1286" s="39"/>
      <c r="H1286" s="35"/>
      <c r="I1286" s="39"/>
    </row>
    <row r="1287" spans="2:9" ht="15.75">
      <c r="B1287" s="35"/>
      <c r="C1287" s="38"/>
      <c r="D1287" s="35"/>
      <c r="E1287" s="38"/>
      <c r="F1287" s="35"/>
      <c r="G1287" s="38"/>
      <c r="H1287" s="35"/>
      <c r="I1287" s="38"/>
    </row>
    <row r="1288" spans="2:9" ht="15.75">
      <c r="B1288" s="35"/>
      <c r="C1288" s="39"/>
      <c r="D1288" s="35"/>
      <c r="E1288" s="37"/>
      <c r="F1288" s="35"/>
      <c r="G1288" s="39"/>
      <c r="H1288" s="35"/>
      <c r="I1288" s="39"/>
    </row>
    <row r="1289" spans="2:9" ht="15.75">
      <c r="B1289" s="35"/>
      <c r="C1289" s="39"/>
      <c r="D1289" s="35"/>
      <c r="E1289" s="37"/>
      <c r="F1289" s="35"/>
      <c r="G1289" s="39"/>
      <c r="H1289" s="35"/>
      <c r="I1289" s="39"/>
    </row>
    <row r="1290" spans="2:9">
      <c r="B1290" s="33"/>
      <c r="C1290" s="33"/>
      <c r="D1290" s="33"/>
      <c r="E1290" s="33"/>
      <c r="F1290" s="33"/>
      <c r="G1290" s="33"/>
      <c r="H1290" s="33"/>
      <c r="I1290" s="33"/>
    </row>
    <row r="1291" spans="2:9" ht="15.75">
      <c r="B1291" s="38"/>
      <c r="C1291" s="33"/>
      <c r="D1291" s="38"/>
      <c r="E1291" s="33"/>
      <c r="F1291" s="38"/>
      <c r="G1291" s="33"/>
      <c r="H1291" s="38"/>
      <c r="I1291" s="33"/>
    </row>
    <row r="1292" spans="2:9" ht="15.75">
      <c r="B1292" s="39"/>
      <c r="C1292" s="33"/>
      <c r="D1292" s="33"/>
      <c r="E1292" s="33"/>
      <c r="F1292" s="33"/>
      <c r="G1292" s="33"/>
      <c r="H1292" s="33"/>
      <c r="I1292" s="33"/>
    </row>
    <row r="1293" spans="2:9" ht="15.75">
      <c r="B1293" s="35"/>
      <c r="C1293" s="39"/>
      <c r="D1293" s="35"/>
      <c r="E1293" s="33"/>
      <c r="F1293" s="35"/>
      <c r="G1293" s="39"/>
      <c r="H1293" s="35"/>
    </row>
    <row r="1294" spans="2:9" ht="15.75">
      <c r="B1294" s="35"/>
      <c r="C1294" s="39"/>
      <c r="D1294" s="35"/>
      <c r="E1294" s="37"/>
      <c r="F1294" s="35"/>
      <c r="G1294" s="39"/>
      <c r="H1294" s="35"/>
    </row>
    <row r="1295" spans="2:9" ht="15.75">
      <c r="B1295" s="35"/>
      <c r="C1295" s="38"/>
      <c r="D1295" s="35"/>
      <c r="E1295" s="38"/>
      <c r="F1295" s="35"/>
      <c r="G1295" s="38"/>
      <c r="H1295" s="35"/>
    </row>
    <row r="1296" spans="2:9" ht="15.75">
      <c r="B1296" s="35"/>
      <c r="C1296" s="39"/>
      <c r="D1296" s="35"/>
      <c r="E1296" s="37"/>
      <c r="F1296" s="35"/>
      <c r="G1296" s="39"/>
      <c r="H1296" s="35"/>
    </row>
    <row r="1297" spans="2:9" ht="15.75">
      <c r="B1297" s="35"/>
      <c r="C1297" s="39"/>
      <c r="D1297" s="35"/>
      <c r="E1297" s="37"/>
      <c r="F1297" s="35"/>
      <c r="G1297" s="39"/>
      <c r="H1297" s="35"/>
    </row>
    <row r="1299" spans="2:9">
      <c r="B1299" s="43"/>
      <c r="D1299" s="44"/>
    </row>
    <row r="1300" spans="2:9">
      <c r="B1300" s="45"/>
    </row>
    <row r="1301" spans="2:9">
      <c r="B1301" s="46"/>
      <c r="D1301" s="47"/>
    </row>
    <row r="1303" spans="2:9">
      <c r="B1303" s="42"/>
    </row>
    <row r="1305" spans="2:9" ht="15.75">
      <c r="B1305" s="35"/>
      <c r="C1305" s="54"/>
      <c r="D1305" s="35"/>
      <c r="E1305" s="33"/>
      <c r="F1305" s="35"/>
      <c r="G1305" s="39"/>
      <c r="H1305" s="35"/>
      <c r="I1305" s="39"/>
    </row>
    <row r="1306" spans="2:9" ht="15.75">
      <c r="B1306" s="35"/>
      <c r="C1306" s="54"/>
      <c r="D1306" s="35"/>
      <c r="E1306" s="36"/>
      <c r="F1306" s="35"/>
      <c r="G1306" s="39"/>
      <c r="H1306" s="35"/>
      <c r="I1306" s="39"/>
    </row>
    <row r="1307" spans="2:9" ht="15.75">
      <c r="B1307" s="35"/>
      <c r="C1307" s="40"/>
      <c r="D1307" s="35"/>
      <c r="E1307" s="40"/>
      <c r="F1307" s="35"/>
      <c r="G1307" s="38"/>
      <c r="H1307" s="35"/>
      <c r="I1307" s="38"/>
    </row>
    <row r="1308" spans="2:9" ht="15.75">
      <c r="B1308" s="35"/>
      <c r="C1308" s="54"/>
      <c r="D1308" s="35"/>
      <c r="E1308" s="36"/>
      <c r="F1308" s="35"/>
      <c r="G1308" s="39"/>
      <c r="H1308" s="35"/>
      <c r="I1308" s="38"/>
    </row>
    <row r="1309" spans="2:9" ht="15.75">
      <c r="B1309" s="53"/>
      <c r="C1309" s="54"/>
      <c r="D1309" s="35"/>
      <c r="E1309" s="36"/>
      <c r="F1309" s="35"/>
      <c r="G1309" s="39"/>
      <c r="H1309" s="35"/>
      <c r="I1309" s="39"/>
    </row>
    <row r="1310" spans="2:9">
      <c r="B1310" s="33"/>
      <c r="C1310" s="34"/>
      <c r="D1310" s="33"/>
      <c r="E1310" s="33"/>
      <c r="F1310" s="33"/>
      <c r="G1310" s="33"/>
      <c r="H1310" s="33"/>
      <c r="I1310" s="33"/>
    </row>
    <row r="1311" spans="2:9" ht="15.75">
      <c r="B1311" s="38"/>
      <c r="C1311" s="34"/>
      <c r="D1311" s="38"/>
      <c r="E1311" s="33"/>
      <c r="F1311" s="38"/>
      <c r="G1311" s="33"/>
      <c r="H1311" s="38"/>
      <c r="I1311" s="33"/>
    </row>
    <row r="1312" spans="2:9" ht="15.75">
      <c r="B1312" s="39"/>
      <c r="C1312" s="33"/>
      <c r="D1312" s="33"/>
      <c r="E1312" s="33"/>
      <c r="F1312" s="33"/>
      <c r="G1312" s="33"/>
      <c r="H1312" s="33"/>
      <c r="I1312" s="33"/>
    </row>
    <row r="1313" spans="2:9" ht="15.75">
      <c r="B1313" s="35"/>
      <c r="C1313" s="39"/>
      <c r="D1313" s="35"/>
      <c r="E1313" s="33"/>
      <c r="F1313" s="35"/>
      <c r="G1313" s="39"/>
      <c r="H1313" s="35"/>
      <c r="I1313" s="39"/>
    </row>
    <row r="1314" spans="2:9" ht="15.75">
      <c r="B1314" s="35"/>
      <c r="C1314" s="39"/>
      <c r="D1314" s="35"/>
      <c r="E1314" s="37"/>
      <c r="F1314" s="35"/>
      <c r="G1314" s="39"/>
      <c r="H1314" s="35"/>
      <c r="I1314" s="39"/>
    </row>
    <row r="1315" spans="2:9" ht="15.75">
      <c r="B1315" s="35"/>
      <c r="C1315" s="38"/>
      <c r="D1315" s="35"/>
      <c r="E1315" s="38"/>
      <c r="F1315" s="35"/>
      <c r="G1315" s="38"/>
      <c r="H1315" s="35"/>
      <c r="I1315" s="38"/>
    </row>
    <row r="1316" spans="2:9" ht="15.75">
      <c r="B1316" s="35"/>
      <c r="C1316" s="39"/>
      <c r="D1316" s="35"/>
      <c r="E1316" s="37"/>
      <c r="F1316" s="35"/>
      <c r="G1316" s="39"/>
      <c r="H1316" s="35"/>
      <c r="I1316" s="39"/>
    </row>
    <row r="1317" spans="2:9" ht="15.75">
      <c r="B1317" s="35"/>
      <c r="C1317" s="39"/>
      <c r="D1317" s="35"/>
      <c r="E1317" s="37"/>
      <c r="F1317" s="35"/>
      <c r="G1317" s="39"/>
      <c r="H1317" s="35"/>
      <c r="I1317" s="39"/>
    </row>
    <row r="1318" spans="2:9">
      <c r="B1318" s="33"/>
      <c r="C1318" s="33"/>
      <c r="D1318" s="33"/>
      <c r="E1318" s="33"/>
      <c r="F1318" s="33"/>
      <c r="G1318" s="33"/>
      <c r="H1318" s="33"/>
      <c r="I1318" s="33"/>
    </row>
    <row r="1319" spans="2:9" ht="15.75">
      <c r="B1319" s="38"/>
      <c r="C1319" s="33"/>
      <c r="D1319" s="38"/>
      <c r="E1319" s="33"/>
      <c r="F1319" s="38"/>
      <c r="G1319" s="33"/>
      <c r="H1319" s="38"/>
      <c r="I1319" s="33"/>
    </row>
    <row r="1320" spans="2:9" ht="15.75">
      <c r="B1320" s="39"/>
      <c r="C1320" s="33"/>
      <c r="D1320" s="33"/>
      <c r="E1320" s="33"/>
      <c r="F1320" s="33"/>
      <c r="G1320" s="33"/>
      <c r="H1320" s="33"/>
      <c r="I1320" s="33"/>
    </row>
    <row r="1321" spans="2:9" ht="15.75">
      <c r="B1321" s="35"/>
      <c r="C1321" s="39"/>
      <c r="D1321" s="35"/>
      <c r="E1321" s="33"/>
      <c r="F1321" s="35"/>
      <c r="G1321" s="39"/>
      <c r="H1321" s="35"/>
    </row>
    <row r="1322" spans="2:9" ht="15.75">
      <c r="B1322" s="35"/>
      <c r="C1322" s="39"/>
      <c r="D1322" s="35"/>
      <c r="E1322" s="37"/>
      <c r="F1322" s="35"/>
      <c r="G1322" s="39"/>
      <c r="H1322" s="35"/>
    </row>
    <row r="1323" spans="2:9" ht="15.75">
      <c r="B1323" s="35"/>
      <c r="C1323" s="38"/>
      <c r="D1323" s="35"/>
      <c r="E1323" s="38"/>
      <c r="F1323" s="35"/>
      <c r="G1323" s="38"/>
      <c r="H1323" s="35"/>
    </row>
    <row r="1324" spans="2:9" ht="15.75">
      <c r="B1324" s="35"/>
      <c r="C1324" s="39"/>
      <c r="D1324" s="35"/>
      <c r="E1324" s="37"/>
      <c r="F1324" s="35"/>
      <c r="G1324" s="39"/>
      <c r="H1324" s="35"/>
    </row>
    <row r="1325" spans="2:9" ht="15.75">
      <c r="B1325" s="35"/>
      <c r="C1325" s="39"/>
      <c r="D1325" s="35"/>
      <c r="E1325" s="37"/>
      <c r="F1325" s="35"/>
      <c r="G1325" s="39"/>
      <c r="H1325" s="35"/>
    </row>
    <row r="1327" spans="2:9">
      <c r="B1327" s="43"/>
      <c r="D1327" s="44"/>
    </row>
    <row r="1328" spans="2:9">
      <c r="B1328" s="45"/>
    </row>
    <row r="1329" spans="2:9">
      <c r="B1329" s="46"/>
      <c r="D1329" s="47"/>
    </row>
    <row r="1331" spans="2:9">
      <c r="B1331" s="42"/>
    </row>
    <row r="1333" spans="2:9" ht="15.75">
      <c r="B1333" s="35"/>
      <c r="C1333" s="54"/>
      <c r="D1333" s="35"/>
      <c r="E1333" s="33"/>
      <c r="F1333" s="35"/>
      <c r="G1333" s="39"/>
      <c r="H1333" s="35"/>
      <c r="I1333" s="39"/>
    </row>
    <row r="1334" spans="2:9" ht="15.75">
      <c r="B1334" s="35"/>
      <c r="C1334" s="54"/>
      <c r="D1334" s="35"/>
      <c r="E1334" s="36"/>
      <c r="F1334" s="35"/>
      <c r="G1334" s="39"/>
      <c r="H1334" s="35"/>
      <c r="I1334" s="39"/>
    </row>
    <row r="1335" spans="2:9" ht="15.75">
      <c r="B1335" s="35"/>
      <c r="C1335" s="40"/>
      <c r="D1335" s="35"/>
      <c r="E1335" s="40"/>
      <c r="F1335" s="35"/>
      <c r="G1335" s="38"/>
      <c r="H1335" s="35"/>
      <c r="I1335" s="38"/>
    </row>
    <row r="1336" spans="2:9" ht="15.75">
      <c r="B1336" s="35"/>
      <c r="C1336" s="54"/>
      <c r="D1336" s="35"/>
      <c r="E1336" s="36"/>
      <c r="F1336" s="35"/>
      <c r="G1336" s="39"/>
      <c r="H1336" s="35"/>
      <c r="I1336" s="38"/>
    </row>
    <row r="1337" spans="2:9" ht="15.75">
      <c r="B1337" s="53"/>
      <c r="C1337" s="54"/>
      <c r="D1337" s="35"/>
      <c r="E1337" s="36"/>
      <c r="F1337" s="35"/>
      <c r="G1337" s="39"/>
      <c r="H1337" s="35"/>
      <c r="I1337" s="39"/>
    </row>
    <row r="1338" spans="2:9">
      <c r="B1338" s="33"/>
      <c r="C1338" s="34"/>
      <c r="D1338" s="33"/>
      <c r="E1338" s="33"/>
      <c r="F1338" s="33"/>
      <c r="G1338" s="33"/>
      <c r="H1338" s="33"/>
      <c r="I1338" s="33"/>
    </row>
    <row r="1339" spans="2:9" ht="15.75">
      <c r="B1339" s="38"/>
      <c r="C1339" s="34"/>
      <c r="D1339" s="38"/>
      <c r="E1339" s="33"/>
      <c r="F1339" s="38"/>
      <c r="G1339" s="33"/>
      <c r="H1339" s="38"/>
      <c r="I1339" s="33"/>
    </row>
    <row r="1340" spans="2:9" ht="15.75">
      <c r="B1340" s="39"/>
      <c r="C1340" s="33"/>
      <c r="D1340" s="33"/>
      <c r="E1340" s="33"/>
      <c r="F1340" s="33"/>
      <c r="G1340" s="33"/>
      <c r="H1340" s="33"/>
      <c r="I1340" s="33"/>
    </row>
    <row r="1341" spans="2:9" ht="15.75">
      <c r="B1341" s="35"/>
      <c r="C1341" s="39"/>
      <c r="D1341" s="35"/>
      <c r="E1341" s="33"/>
      <c r="F1341" s="35"/>
      <c r="G1341" s="39"/>
      <c r="H1341" s="35"/>
      <c r="I1341" s="39"/>
    </row>
    <row r="1342" spans="2:9" ht="15.75">
      <c r="B1342" s="35"/>
      <c r="C1342" s="39"/>
      <c r="D1342" s="35"/>
      <c r="E1342" s="37"/>
      <c r="F1342" s="35"/>
      <c r="G1342" s="39"/>
      <c r="H1342" s="35"/>
      <c r="I1342" s="39"/>
    </row>
    <row r="1343" spans="2:9" ht="15.75">
      <c r="B1343" s="35"/>
      <c r="C1343" s="38"/>
      <c r="D1343" s="35"/>
      <c r="E1343" s="38"/>
      <c r="F1343" s="35"/>
      <c r="G1343" s="38"/>
      <c r="H1343" s="35"/>
      <c r="I1343" s="38"/>
    </row>
    <row r="1344" spans="2:9" ht="15.75">
      <c r="B1344" s="35"/>
      <c r="C1344" s="39"/>
      <c r="D1344" s="35"/>
      <c r="E1344" s="37"/>
      <c r="F1344" s="35"/>
      <c r="G1344" s="39"/>
      <c r="H1344" s="35"/>
      <c r="I1344" s="39"/>
    </row>
    <row r="1345" spans="2:9" ht="15.75">
      <c r="B1345" s="35"/>
      <c r="C1345" s="39"/>
      <c r="D1345" s="35"/>
      <c r="E1345" s="37"/>
      <c r="F1345" s="35"/>
      <c r="G1345" s="39"/>
      <c r="H1345" s="35"/>
      <c r="I1345" s="39"/>
    </row>
    <row r="1346" spans="2:9">
      <c r="B1346" s="33"/>
      <c r="C1346" s="33"/>
      <c r="D1346" s="33"/>
      <c r="E1346" s="33"/>
      <c r="F1346" s="33"/>
      <c r="G1346" s="33"/>
      <c r="H1346" s="33"/>
      <c r="I1346" s="33"/>
    </row>
    <row r="1347" spans="2:9" ht="15.75">
      <c r="B1347" s="38"/>
      <c r="C1347" s="33"/>
      <c r="D1347" s="38"/>
      <c r="E1347" s="33"/>
      <c r="F1347" s="38"/>
      <c r="G1347" s="33"/>
      <c r="H1347" s="38"/>
      <c r="I1347" s="33"/>
    </row>
    <row r="1348" spans="2:9" ht="15.75">
      <c r="B1348" s="39"/>
      <c r="C1348" s="33"/>
      <c r="D1348" s="33"/>
      <c r="E1348" s="33"/>
      <c r="F1348" s="33"/>
      <c r="G1348" s="33"/>
      <c r="H1348" s="33"/>
      <c r="I1348" s="33"/>
    </row>
    <row r="1349" spans="2:9" ht="15.75">
      <c r="B1349" s="35"/>
      <c r="C1349" s="39"/>
      <c r="D1349" s="35"/>
      <c r="E1349" s="33"/>
      <c r="F1349" s="35"/>
      <c r="G1349" s="39"/>
      <c r="H1349" s="35"/>
    </row>
    <row r="1350" spans="2:9" ht="15.75">
      <c r="B1350" s="35"/>
      <c r="C1350" s="39"/>
      <c r="D1350" s="35"/>
      <c r="E1350" s="37"/>
      <c r="F1350" s="35"/>
      <c r="G1350" s="39"/>
      <c r="H1350" s="35"/>
    </row>
    <row r="1351" spans="2:9" ht="15.75">
      <c r="B1351" s="35"/>
      <c r="C1351" s="38"/>
      <c r="D1351" s="35"/>
      <c r="E1351" s="38"/>
      <c r="F1351" s="35"/>
      <c r="G1351" s="38"/>
      <c r="H1351" s="35"/>
    </row>
    <row r="1352" spans="2:9" ht="15.75">
      <c r="B1352" s="35"/>
      <c r="C1352" s="39"/>
      <c r="D1352" s="35"/>
      <c r="E1352" s="37"/>
      <c r="F1352" s="35"/>
      <c r="G1352" s="39"/>
      <c r="H1352" s="35"/>
    </row>
    <row r="1353" spans="2:9" ht="15.75">
      <c r="B1353" s="35"/>
      <c r="C1353" s="39"/>
      <c r="D1353" s="35"/>
      <c r="E1353" s="37"/>
      <c r="F1353" s="35"/>
      <c r="G1353" s="39"/>
      <c r="H1353" s="35"/>
    </row>
    <row r="1355" spans="2:9">
      <c r="B1355" s="43"/>
      <c r="D1355" s="44"/>
    </row>
    <row r="1356" spans="2:9">
      <c r="B1356" s="45"/>
    </row>
    <row r="1357" spans="2:9">
      <c r="B1357" s="46"/>
      <c r="D1357" s="47"/>
    </row>
    <row r="1358" spans="2:9">
      <c r="B1358" s="50"/>
      <c r="C1358" s="49"/>
      <c r="D1358" s="49"/>
    </row>
    <row r="1359" spans="2:9">
      <c r="B1359" s="42"/>
    </row>
    <row r="1361" spans="2:9" ht="15.75">
      <c r="B1361" s="35"/>
      <c r="C1361" s="54"/>
      <c r="D1361" s="35"/>
      <c r="E1361" s="33"/>
      <c r="F1361" s="35"/>
      <c r="G1361" s="39"/>
      <c r="H1361" s="35"/>
      <c r="I1361" s="39"/>
    </row>
    <row r="1362" spans="2:9" ht="15.75">
      <c r="B1362" s="35"/>
      <c r="C1362" s="54"/>
      <c r="D1362" s="35"/>
      <c r="E1362" s="36"/>
      <c r="F1362" s="35"/>
      <c r="G1362" s="39"/>
      <c r="H1362" s="35"/>
      <c r="I1362" s="39"/>
    </row>
    <row r="1363" spans="2:9" ht="15.75">
      <c r="B1363" s="35"/>
      <c r="C1363" s="40"/>
      <c r="D1363" s="35"/>
      <c r="E1363" s="40"/>
      <c r="F1363" s="35"/>
      <c r="G1363" s="38"/>
      <c r="H1363" s="35"/>
      <c r="I1363" s="38"/>
    </row>
    <row r="1364" spans="2:9" ht="15.75">
      <c r="B1364" s="35"/>
      <c r="C1364" s="54"/>
      <c r="D1364" s="35"/>
      <c r="E1364" s="36"/>
      <c r="F1364" s="35"/>
      <c r="G1364" s="39"/>
      <c r="H1364" s="35"/>
      <c r="I1364" s="38"/>
    </row>
    <row r="1365" spans="2:9" ht="15.75">
      <c r="B1365" s="53"/>
      <c r="C1365" s="54"/>
      <c r="D1365" s="35"/>
      <c r="E1365" s="36"/>
      <c r="F1365" s="35"/>
      <c r="G1365" s="39"/>
      <c r="H1365" s="35"/>
      <c r="I1365" s="39"/>
    </row>
    <row r="1366" spans="2:9">
      <c r="B1366" s="33"/>
      <c r="C1366" s="34"/>
      <c r="D1366" s="33"/>
      <c r="E1366" s="33"/>
      <c r="F1366" s="33"/>
      <c r="G1366" s="33"/>
      <c r="H1366" s="33"/>
      <c r="I1366" s="33"/>
    </row>
    <row r="1367" spans="2:9" ht="15.75">
      <c r="B1367" s="38"/>
      <c r="C1367" s="34"/>
      <c r="D1367" s="38"/>
      <c r="E1367" s="33"/>
      <c r="F1367" s="38"/>
      <c r="G1367" s="33"/>
      <c r="H1367" s="38"/>
      <c r="I1367" s="33"/>
    </row>
    <row r="1368" spans="2:9" ht="15.75">
      <c r="B1368" s="39"/>
      <c r="C1368" s="33"/>
      <c r="D1368" s="33"/>
      <c r="E1368" s="33"/>
      <c r="F1368" s="33"/>
      <c r="G1368" s="33"/>
      <c r="H1368" s="33"/>
      <c r="I1368" s="33"/>
    </row>
    <row r="1369" spans="2:9" ht="15.75">
      <c r="B1369" s="35"/>
      <c r="C1369" s="39"/>
      <c r="D1369" s="35"/>
      <c r="E1369" s="33"/>
      <c r="F1369" s="35"/>
      <c r="G1369" s="39"/>
      <c r="H1369" s="35"/>
      <c r="I1369" s="39"/>
    </row>
    <row r="1370" spans="2:9" ht="15.75">
      <c r="B1370" s="35"/>
      <c r="C1370" s="39"/>
      <c r="D1370" s="35"/>
      <c r="E1370" s="37"/>
      <c r="F1370" s="35"/>
      <c r="G1370" s="39"/>
      <c r="H1370" s="35"/>
      <c r="I1370" s="39"/>
    </row>
    <row r="1371" spans="2:9" ht="15.75">
      <c r="B1371" s="35"/>
      <c r="C1371" s="38"/>
      <c r="D1371" s="35"/>
      <c r="E1371" s="38"/>
      <c r="F1371" s="35"/>
      <c r="G1371" s="38"/>
      <c r="H1371" s="35"/>
      <c r="I1371" s="38"/>
    </row>
    <row r="1372" spans="2:9" ht="15.75">
      <c r="B1372" s="35"/>
      <c r="C1372" s="39"/>
      <c r="D1372" s="35"/>
      <c r="E1372" s="37"/>
      <c r="F1372" s="35"/>
      <c r="G1372" s="39"/>
      <c r="H1372" s="35"/>
      <c r="I1372" s="39"/>
    </row>
    <row r="1373" spans="2:9" ht="15.75">
      <c r="B1373" s="35"/>
      <c r="C1373" s="39"/>
      <c r="D1373" s="35"/>
      <c r="E1373" s="37"/>
      <c r="F1373" s="35"/>
      <c r="G1373" s="39"/>
      <c r="H1373" s="35"/>
      <c r="I1373" s="39"/>
    </row>
    <row r="1374" spans="2:9">
      <c r="B1374" s="33"/>
      <c r="C1374" s="33"/>
      <c r="D1374" s="33"/>
      <c r="E1374" s="33"/>
      <c r="F1374" s="33"/>
      <c r="G1374" s="33"/>
      <c r="H1374" s="33"/>
      <c r="I1374" s="33"/>
    </row>
    <row r="1375" spans="2:9" ht="15.75">
      <c r="B1375" s="38"/>
      <c r="C1375" s="33"/>
      <c r="D1375" s="38"/>
      <c r="E1375" s="33"/>
      <c r="F1375" s="38"/>
      <c r="G1375" s="33"/>
      <c r="H1375" s="38"/>
      <c r="I1375" s="33"/>
    </row>
    <row r="1376" spans="2:9" ht="15.75">
      <c r="B1376" s="39"/>
      <c r="C1376" s="33"/>
      <c r="D1376" s="33"/>
      <c r="E1376" s="33"/>
      <c r="F1376" s="33"/>
      <c r="G1376" s="33"/>
      <c r="H1376" s="33"/>
      <c r="I1376" s="33"/>
    </row>
    <row r="1377" spans="2:9" ht="15.75">
      <c r="B1377" s="35"/>
      <c r="C1377" s="39"/>
      <c r="D1377" s="35"/>
      <c r="E1377" s="33"/>
      <c r="F1377" s="35"/>
      <c r="G1377" s="39"/>
      <c r="H1377" s="35"/>
    </row>
    <row r="1378" spans="2:9" ht="15.75">
      <c r="B1378" s="35"/>
      <c r="C1378" s="39"/>
      <c r="D1378" s="35"/>
      <c r="E1378" s="37"/>
      <c r="F1378" s="35"/>
      <c r="G1378" s="39"/>
      <c r="H1378" s="35"/>
    </row>
    <row r="1379" spans="2:9" ht="15.75">
      <c r="B1379" s="35"/>
      <c r="C1379" s="38"/>
      <c r="D1379" s="35"/>
      <c r="E1379" s="38"/>
      <c r="F1379" s="35"/>
      <c r="G1379" s="38"/>
      <c r="H1379" s="35"/>
    </row>
    <row r="1380" spans="2:9" ht="15.75">
      <c r="B1380" s="35"/>
      <c r="C1380" s="39"/>
      <c r="D1380" s="35"/>
      <c r="E1380" s="37"/>
      <c r="F1380" s="35"/>
      <c r="G1380" s="39"/>
      <c r="H1380" s="35"/>
    </row>
    <row r="1381" spans="2:9" ht="15.75">
      <c r="B1381" s="35"/>
      <c r="C1381" s="39"/>
      <c r="D1381" s="35"/>
      <c r="E1381" s="37"/>
      <c r="F1381" s="35"/>
      <c r="G1381" s="39"/>
      <c r="H1381" s="35"/>
    </row>
    <row r="1383" spans="2:9">
      <c r="B1383" s="43"/>
      <c r="D1383" s="44"/>
    </row>
    <row r="1384" spans="2:9">
      <c r="B1384" s="45"/>
    </row>
    <row r="1385" spans="2:9">
      <c r="B1385" s="46"/>
      <c r="D1385" s="47"/>
    </row>
    <row r="1386" spans="2:9">
      <c r="B1386" s="50"/>
      <c r="C1386" s="49"/>
      <c r="D1386" s="49"/>
    </row>
    <row r="1387" spans="2:9">
      <c r="B1387" s="42"/>
    </row>
    <row r="1389" spans="2:9" ht="15.75">
      <c r="B1389" s="35"/>
      <c r="C1389" s="54"/>
      <c r="D1389" s="35"/>
      <c r="E1389" s="33"/>
      <c r="F1389" s="35"/>
      <c r="G1389" s="39"/>
      <c r="H1389" s="35"/>
      <c r="I1389" s="39"/>
    </row>
    <row r="1390" spans="2:9" ht="15.75">
      <c r="B1390" s="35"/>
      <c r="C1390" s="54"/>
      <c r="D1390" s="35"/>
      <c r="E1390" s="36"/>
      <c r="F1390" s="35"/>
      <c r="G1390" s="39"/>
      <c r="H1390" s="35"/>
      <c r="I1390" s="39"/>
    </row>
    <row r="1391" spans="2:9" ht="15.75">
      <c r="B1391" s="35"/>
      <c r="C1391" s="40"/>
      <c r="D1391" s="35"/>
      <c r="E1391" s="40"/>
      <c r="F1391" s="35"/>
      <c r="G1391" s="38"/>
      <c r="H1391" s="35"/>
      <c r="I1391" s="38"/>
    </row>
    <row r="1392" spans="2:9" ht="15.75">
      <c r="B1392" s="35"/>
      <c r="C1392" s="54"/>
      <c r="D1392" s="35"/>
      <c r="E1392" s="36"/>
      <c r="F1392" s="35"/>
      <c r="G1392" s="39"/>
      <c r="H1392" s="35"/>
      <c r="I1392" s="38"/>
    </row>
    <row r="1393" spans="2:9" ht="15.75">
      <c r="B1393" s="53"/>
      <c r="C1393" s="54"/>
      <c r="D1393" s="35"/>
      <c r="E1393" s="36"/>
      <c r="F1393" s="35"/>
      <c r="G1393" s="39"/>
      <c r="H1393" s="35"/>
      <c r="I1393" s="39"/>
    </row>
    <row r="1394" spans="2:9">
      <c r="B1394" s="33"/>
      <c r="C1394" s="34"/>
      <c r="D1394" s="33"/>
      <c r="E1394" s="33"/>
      <c r="F1394" s="33"/>
      <c r="G1394" s="33"/>
      <c r="H1394" s="33"/>
      <c r="I1394" s="33"/>
    </row>
    <row r="1395" spans="2:9" ht="15.75">
      <c r="B1395" s="38"/>
      <c r="C1395" s="34"/>
      <c r="D1395" s="38"/>
      <c r="E1395" s="33"/>
      <c r="F1395" s="38"/>
      <c r="G1395" s="33"/>
      <c r="H1395" s="38"/>
      <c r="I1395" s="33"/>
    </row>
    <row r="1396" spans="2:9" ht="15.75">
      <c r="B1396" s="39"/>
      <c r="C1396" s="33"/>
      <c r="D1396" s="33"/>
      <c r="E1396" s="33"/>
      <c r="F1396" s="33"/>
      <c r="G1396" s="33"/>
      <c r="H1396" s="33"/>
      <c r="I1396" s="33"/>
    </row>
    <row r="1397" spans="2:9" ht="15.75">
      <c r="B1397" s="35"/>
      <c r="C1397" s="39"/>
      <c r="D1397" s="35"/>
      <c r="E1397" s="33"/>
      <c r="F1397" s="35"/>
      <c r="G1397" s="39"/>
      <c r="H1397" s="35"/>
      <c r="I1397" s="39"/>
    </row>
    <row r="1398" spans="2:9" ht="15.75">
      <c r="B1398" s="35"/>
      <c r="C1398" s="39"/>
      <c r="D1398" s="35"/>
      <c r="E1398" s="37"/>
      <c r="F1398" s="35"/>
      <c r="G1398" s="39"/>
      <c r="H1398" s="35"/>
      <c r="I1398" s="39"/>
    </row>
    <row r="1399" spans="2:9" ht="15.75">
      <c r="B1399" s="35"/>
      <c r="C1399" s="38"/>
      <c r="D1399" s="35"/>
      <c r="E1399" s="38"/>
      <c r="F1399" s="35"/>
      <c r="G1399" s="38"/>
      <c r="H1399" s="35"/>
      <c r="I1399" s="38"/>
    </row>
    <row r="1400" spans="2:9" ht="15.75">
      <c r="B1400" s="35"/>
      <c r="C1400" s="39"/>
      <c r="D1400" s="35"/>
      <c r="E1400" s="37"/>
      <c r="F1400" s="35"/>
      <c r="G1400" s="39"/>
      <c r="H1400" s="35"/>
      <c r="I1400" s="39"/>
    </row>
    <row r="1401" spans="2:9" ht="15.75">
      <c r="B1401" s="35"/>
      <c r="C1401" s="39"/>
      <c r="D1401" s="35"/>
      <c r="E1401" s="37"/>
      <c r="F1401" s="35"/>
      <c r="G1401" s="39"/>
      <c r="H1401" s="35"/>
      <c r="I1401" s="39"/>
    </row>
    <row r="1402" spans="2:9">
      <c r="B1402" s="33"/>
      <c r="C1402" s="33"/>
      <c r="D1402" s="33"/>
      <c r="E1402" s="33"/>
      <c r="F1402" s="33"/>
      <c r="G1402" s="33"/>
      <c r="H1402" s="33"/>
      <c r="I1402" s="33"/>
    </row>
    <row r="1403" spans="2:9" ht="15.75">
      <c r="B1403" s="38"/>
      <c r="C1403" s="33"/>
      <c r="D1403" s="38"/>
      <c r="E1403" s="33"/>
      <c r="F1403" s="38"/>
      <c r="G1403" s="33"/>
      <c r="H1403" s="38"/>
      <c r="I1403" s="33"/>
    </row>
    <row r="1404" spans="2:9" ht="15.75">
      <c r="B1404" s="39"/>
      <c r="C1404" s="33"/>
      <c r="D1404" s="33"/>
      <c r="E1404" s="33"/>
      <c r="F1404" s="33"/>
      <c r="G1404" s="33"/>
      <c r="H1404" s="33"/>
      <c r="I1404" s="33"/>
    </row>
    <row r="1405" spans="2:9" ht="15.75">
      <c r="B1405" s="35"/>
      <c r="C1405" s="39"/>
      <c r="D1405" s="35"/>
      <c r="E1405" s="33"/>
      <c r="F1405" s="35"/>
      <c r="G1405" s="39"/>
      <c r="H1405" s="35"/>
    </row>
    <row r="1406" spans="2:9" ht="15.75">
      <c r="B1406" s="35"/>
      <c r="C1406" s="39"/>
      <c r="D1406" s="35"/>
      <c r="E1406" s="37"/>
      <c r="F1406" s="35"/>
      <c r="G1406" s="39"/>
      <c r="H1406" s="35"/>
    </row>
    <row r="1407" spans="2:9" ht="15.75">
      <c r="B1407" s="35"/>
      <c r="C1407" s="38"/>
      <c r="D1407" s="35"/>
      <c r="E1407" s="38"/>
      <c r="F1407" s="35"/>
      <c r="G1407" s="38"/>
      <c r="H1407" s="35"/>
    </row>
    <row r="1408" spans="2:9" ht="15.75">
      <c r="B1408" s="35"/>
      <c r="C1408" s="39"/>
      <c r="D1408" s="35"/>
      <c r="E1408" s="37"/>
      <c r="F1408" s="35"/>
      <c r="G1408" s="39"/>
      <c r="H1408" s="35"/>
    </row>
    <row r="1409" spans="2:9" ht="15.75">
      <c r="B1409" s="35"/>
      <c r="C1409" s="39"/>
      <c r="D1409" s="35"/>
      <c r="E1409" s="37"/>
      <c r="F1409" s="35"/>
      <c r="G1409" s="39"/>
      <c r="H1409" s="35"/>
    </row>
    <row r="1411" spans="2:9">
      <c r="B1411" s="43"/>
      <c r="D1411" s="44"/>
    </row>
    <row r="1412" spans="2:9">
      <c r="B1412" s="45"/>
    </row>
    <row r="1413" spans="2:9">
      <c r="B1413" s="46"/>
      <c r="D1413" s="47"/>
    </row>
    <row r="1415" spans="2:9">
      <c r="B1415" s="55"/>
    </row>
    <row r="1417" spans="2:9">
      <c r="B1417" s="42"/>
    </row>
    <row r="1419" spans="2:9" ht="15.75">
      <c r="B1419" s="35"/>
      <c r="C1419" s="54"/>
      <c r="D1419" s="35"/>
      <c r="E1419" s="33"/>
      <c r="F1419" s="35"/>
      <c r="G1419" s="39"/>
      <c r="H1419" s="35"/>
      <c r="I1419" s="39"/>
    </row>
    <row r="1420" spans="2:9" ht="15.75">
      <c r="B1420" s="35"/>
      <c r="C1420" s="54"/>
      <c r="D1420" s="35"/>
      <c r="E1420" s="36"/>
      <c r="F1420" s="35"/>
      <c r="G1420" s="39"/>
      <c r="H1420" s="35"/>
      <c r="I1420" s="39"/>
    </row>
    <row r="1421" spans="2:9" ht="15.75">
      <c r="B1421" s="35"/>
      <c r="C1421" s="40"/>
      <c r="D1421" s="35"/>
      <c r="E1421" s="40"/>
      <c r="F1421" s="35"/>
      <c r="G1421" s="38"/>
      <c r="H1421" s="35"/>
      <c r="I1421" s="38"/>
    </row>
    <row r="1422" spans="2:9" ht="15.75">
      <c r="B1422" s="35"/>
      <c r="C1422" s="54"/>
      <c r="D1422" s="35"/>
      <c r="E1422" s="36"/>
      <c r="F1422" s="35"/>
      <c r="G1422" s="39"/>
      <c r="H1422" s="35"/>
      <c r="I1422" s="38"/>
    </row>
    <row r="1423" spans="2:9" ht="15.75">
      <c r="B1423" s="53"/>
      <c r="C1423" s="54"/>
      <c r="D1423" s="35"/>
      <c r="E1423" s="36"/>
      <c r="F1423" s="35"/>
      <c r="G1423" s="39"/>
      <c r="H1423" s="35"/>
      <c r="I1423" s="39"/>
    </row>
    <row r="1424" spans="2:9">
      <c r="B1424" s="33"/>
      <c r="C1424" s="34"/>
      <c r="D1424" s="33"/>
      <c r="E1424" s="33"/>
      <c r="F1424" s="33"/>
      <c r="G1424" s="33"/>
      <c r="H1424" s="33"/>
      <c r="I1424" s="33"/>
    </row>
    <row r="1425" spans="2:9" ht="15.75">
      <c r="B1425" s="38"/>
      <c r="C1425" s="34"/>
      <c r="D1425" s="38"/>
      <c r="E1425" s="33"/>
      <c r="F1425" s="38"/>
      <c r="G1425" s="33"/>
      <c r="H1425" s="38"/>
      <c r="I1425" s="33"/>
    </row>
    <row r="1426" spans="2:9" ht="15.75">
      <c r="B1426" s="39"/>
      <c r="C1426" s="33"/>
      <c r="D1426" s="33"/>
      <c r="E1426" s="33"/>
      <c r="F1426" s="33"/>
      <c r="G1426" s="33"/>
      <c r="H1426" s="33"/>
      <c r="I1426" s="33"/>
    </row>
    <row r="1427" spans="2:9" ht="15.75">
      <c r="B1427" s="35"/>
      <c r="C1427" s="39"/>
      <c r="D1427" s="35"/>
      <c r="E1427" s="33"/>
      <c r="F1427" s="35"/>
      <c r="G1427" s="39"/>
      <c r="H1427" s="35"/>
      <c r="I1427" s="39"/>
    </row>
    <row r="1428" spans="2:9" ht="15.75">
      <c r="B1428" s="35"/>
      <c r="C1428" s="39"/>
      <c r="D1428" s="35"/>
      <c r="E1428" s="37"/>
      <c r="F1428" s="35"/>
      <c r="G1428" s="39"/>
      <c r="H1428" s="35"/>
      <c r="I1428" s="39"/>
    </row>
    <row r="1429" spans="2:9" ht="15.75">
      <c r="B1429" s="35"/>
      <c r="C1429" s="38"/>
      <c r="D1429" s="35"/>
      <c r="E1429" s="38"/>
      <c r="F1429" s="35"/>
      <c r="G1429" s="38"/>
      <c r="H1429" s="35"/>
      <c r="I1429" s="38"/>
    </row>
    <row r="1430" spans="2:9" ht="15.75">
      <c r="B1430" s="35"/>
      <c r="C1430" s="39"/>
      <c r="D1430" s="35"/>
      <c r="E1430" s="37"/>
      <c r="F1430" s="35"/>
      <c r="G1430" s="39"/>
      <c r="H1430" s="35"/>
      <c r="I1430" s="39"/>
    </row>
    <row r="1431" spans="2:9" ht="15.75">
      <c r="B1431" s="35"/>
      <c r="C1431" s="39"/>
      <c r="D1431" s="35"/>
      <c r="E1431" s="37"/>
      <c r="F1431" s="35"/>
      <c r="G1431" s="39"/>
      <c r="H1431" s="35"/>
      <c r="I1431" s="39"/>
    </row>
    <row r="1432" spans="2:9">
      <c r="B1432" s="33"/>
      <c r="C1432" s="33"/>
      <c r="D1432" s="33"/>
      <c r="E1432" s="33"/>
      <c r="F1432" s="33"/>
      <c r="G1432" s="33"/>
      <c r="H1432" s="33"/>
      <c r="I1432" s="33"/>
    </row>
    <row r="1433" spans="2:9" ht="15.75">
      <c r="B1433" s="38"/>
      <c r="C1433" s="33"/>
      <c r="D1433" s="38"/>
      <c r="E1433" s="33"/>
      <c r="F1433" s="38"/>
      <c r="G1433" s="33"/>
      <c r="H1433" s="38"/>
      <c r="I1433" s="33"/>
    </row>
    <row r="1434" spans="2:9" ht="15.75">
      <c r="B1434" s="39"/>
      <c r="C1434" s="33"/>
      <c r="D1434" s="33"/>
      <c r="E1434" s="33"/>
      <c r="F1434" s="33"/>
      <c r="G1434" s="33"/>
      <c r="H1434" s="33"/>
      <c r="I1434" s="33"/>
    </row>
    <row r="1435" spans="2:9" ht="15.75">
      <c r="B1435" s="35"/>
      <c r="C1435" s="39"/>
      <c r="D1435" s="35"/>
      <c r="E1435" s="33"/>
      <c r="F1435" s="35"/>
      <c r="G1435" s="39"/>
      <c r="H1435" s="35"/>
    </row>
    <row r="1436" spans="2:9" ht="15.75">
      <c r="B1436" s="35"/>
      <c r="C1436" s="39"/>
      <c r="D1436" s="35"/>
      <c r="E1436" s="37"/>
      <c r="F1436" s="35"/>
      <c r="G1436" s="39"/>
      <c r="H1436" s="35"/>
    </row>
    <row r="1437" spans="2:9" ht="15.75">
      <c r="B1437" s="35"/>
      <c r="C1437" s="38"/>
      <c r="D1437" s="35"/>
      <c r="E1437" s="38"/>
      <c r="F1437" s="35"/>
      <c r="G1437" s="38"/>
      <c r="H1437" s="35"/>
    </row>
    <row r="1438" spans="2:9" ht="15.75">
      <c r="B1438" s="35"/>
      <c r="C1438" s="39"/>
      <c r="D1438" s="35"/>
      <c r="E1438" s="37"/>
      <c r="F1438" s="35"/>
      <c r="G1438" s="39"/>
      <c r="H1438" s="35"/>
    </row>
    <row r="1439" spans="2:9" ht="15.75">
      <c r="B1439" s="35"/>
      <c r="C1439" s="39"/>
      <c r="D1439" s="35"/>
      <c r="E1439" s="37"/>
      <c r="F1439" s="35"/>
      <c r="G1439" s="39"/>
      <c r="H1439" s="35"/>
    </row>
    <row r="1441" spans="2:9">
      <c r="B1441" s="43"/>
      <c r="D1441" s="44"/>
    </row>
    <row r="1442" spans="2:9">
      <c r="B1442" s="45"/>
    </row>
    <row r="1443" spans="2:9">
      <c r="B1443" s="46"/>
      <c r="D1443" s="47"/>
    </row>
    <row r="1445" spans="2:9">
      <c r="B1445" s="42"/>
    </row>
    <row r="1447" spans="2:9" ht="15.75">
      <c r="B1447" s="35"/>
      <c r="C1447" s="54"/>
      <c r="D1447" s="35"/>
      <c r="E1447" s="33"/>
      <c r="F1447" s="35"/>
      <c r="G1447" s="39"/>
      <c r="H1447" s="35"/>
      <c r="I1447" s="39"/>
    </row>
    <row r="1448" spans="2:9" ht="15.75">
      <c r="B1448" s="35"/>
      <c r="C1448" s="54"/>
      <c r="D1448" s="35"/>
      <c r="E1448" s="36"/>
      <c r="F1448" s="35"/>
      <c r="G1448" s="39"/>
      <c r="H1448" s="35"/>
      <c r="I1448" s="39"/>
    </row>
    <row r="1449" spans="2:9" ht="15.75">
      <c r="B1449" s="35"/>
      <c r="C1449" s="40"/>
      <c r="D1449" s="35"/>
      <c r="E1449" s="40"/>
      <c r="F1449" s="35"/>
      <c r="G1449" s="38"/>
      <c r="H1449" s="35"/>
      <c r="I1449" s="38"/>
    </row>
    <row r="1450" spans="2:9" ht="15.75">
      <c r="B1450" s="35"/>
      <c r="C1450" s="54"/>
      <c r="D1450" s="35"/>
      <c r="E1450" s="36"/>
      <c r="F1450" s="35"/>
      <c r="G1450" s="39"/>
      <c r="H1450" s="35"/>
      <c r="I1450" s="38"/>
    </row>
    <row r="1451" spans="2:9" ht="15.75">
      <c r="B1451" s="53"/>
      <c r="C1451" s="54"/>
      <c r="D1451" s="35"/>
      <c r="E1451" s="36"/>
      <c r="F1451" s="35"/>
      <c r="G1451" s="39"/>
      <c r="H1451" s="35"/>
      <c r="I1451" s="39"/>
    </row>
    <row r="1452" spans="2:9">
      <c r="B1452" s="33"/>
      <c r="C1452" s="34"/>
      <c r="D1452" s="33"/>
      <c r="E1452" s="33"/>
      <c r="F1452" s="33"/>
      <c r="G1452" s="33"/>
      <c r="H1452" s="33"/>
      <c r="I1452" s="33"/>
    </row>
    <row r="1453" spans="2:9" ht="15.75">
      <c r="B1453" s="38"/>
      <c r="C1453" s="34"/>
      <c r="D1453" s="38"/>
      <c r="E1453" s="33"/>
      <c r="F1453" s="38"/>
      <c r="G1453" s="33"/>
      <c r="H1453" s="38"/>
      <c r="I1453" s="33"/>
    </row>
    <row r="1454" spans="2:9" ht="15.75">
      <c r="B1454" s="39"/>
      <c r="C1454" s="33"/>
      <c r="D1454" s="33"/>
      <c r="E1454" s="33"/>
      <c r="F1454" s="33"/>
      <c r="G1454" s="33"/>
      <c r="H1454" s="33"/>
      <c r="I1454" s="33"/>
    </row>
    <row r="1455" spans="2:9" ht="15.75">
      <c r="B1455" s="35"/>
      <c r="C1455" s="39"/>
      <c r="D1455" s="35"/>
      <c r="E1455" s="33"/>
      <c r="F1455" s="35"/>
      <c r="G1455" s="39"/>
      <c r="H1455" s="35"/>
      <c r="I1455" s="39"/>
    </row>
    <row r="1456" spans="2:9" ht="15.75">
      <c r="B1456" s="35"/>
      <c r="C1456" s="39"/>
      <c r="D1456" s="35"/>
      <c r="E1456" s="37"/>
      <c r="F1456" s="35"/>
      <c r="G1456" s="39"/>
      <c r="H1456" s="35"/>
      <c r="I1456" s="39"/>
    </row>
    <row r="1457" spans="2:9" ht="15.75">
      <c r="B1457" s="35"/>
      <c r="C1457" s="38"/>
      <c r="D1457" s="35"/>
      <c r="E1457" s="38"/>
      <c r="F1457" s="35"/>
      <c r="G1457" s="38"/>
      <c r="H1457" s="35"/>
      <c r="I1457" s="38"/>
    </row>
    <row r="1458" spans="2:9" ht="15.75">
      <c r="B1458" s="35"/>
      <c r="C1458" s="39"/>
      <c r="D1458" s="35"/>
      <c r="E1458" s="37"/>
      <c r="F1458" s="35"/>
      <c r="G1458" s="39"/>
      <c r="H1458" s="35"/>
      <c r="I1458" s="39"/>
    </row>
    <row r="1459" spans="2:9" ht="15.75">
      <c r="B1459" s="35"/>
      <c r="C1459" s="39"/>
      <c r="D1459" s="35"/>
      <c r="E1459" s="37"/>
      <c r="F1459" s="35"/>
      <c r="G1459" s="39"/>
      <c r="H1459" s="35"/>
      <c r="I1459" s="39"/>
    </row>
    <row r="1460" spans="2:9">
      <c r="B1460" s="33"/>
      <c r="C1460" s="33"/>
      <c r="D1460" s="33"/>
      <c r="E1460" s="33"/>
      <c r="F1460" s="33"/>
      <c r="G1460" s="33"/>
      <c r="H1460" s="33"/>
      <c r="I1460" s="33"/>
    </row>
    <row r="1461" spans="2:9" ht="15.75">
      <c r="B1461" s="38"/>
      <c r="C1461" s="33"/>
      <c r="D1461" s="38"/>
      <c r="E1461" s="33"/>
      <c r="F1461" s="38"/>
      <c r="G1461" s="33"/>
      <c r="H1461" s="38"/>
      <c r="I1461" s="33"/>
    </row>
    <row r="1462" spans="2:9" ht="15.75">
      <c r="B1462" s="39"/>
      <c r="C1462" s="33"/>
      <c r="D1462" s="33"/>
      <c r="E1462" s="33"/>
      <c r="F1462" s="33"/>
      <c r="G1462" s="33"/>
      <c r="H1462" s="33"/>
      <c r="I1462" s="33"/>
    </row>
    <row r="1463" spans="2:9" ht="15.75">
      <c r="B1463" s="35"/>
      <c r="C1463" s="39"/>
      <c r="D1463" s="35"/>
      <c r="E1463" s="33"/>
      <c r="F1463" s="35"/>
      <c r="G1463" s="39"/>
      <c r="H1463" s="35"/>
    </row>
    <row r="1464" spans="2:9" ht="15.75">
      <c r="B1464" s="35"/>
      <c r="C1464" s="39"/>
      <c r="D1464" s="35"/>
      <c r="E1464" s="37"/>
      <c r="F1464" s="35"/>
      <c r="G1464" s="39"/>
      <c r="H1464" s="35"/>
    </row>
    <row r="1465" spans="2:9" ht="15.75">
      <c r="B1465" s="35"/>
      <c r="C1465" s="38"/>
      <c r="D1465" s="35"/>
      <c r="E1465" s="38"/>
      <c r="F1465" s="35"/>
      <c r="G1465" s="38"/>
      <c r="H1465" s="35"/>
    </row>
    <row r="1466" spans="2:9" ht="15.75">
      <c r="B1466" s="35"/>
      <c r="C1466" s="39"/>
      <c r="D1466" s="35"/>
      <c r="E1466" s="37"/>
      <c r="F1466" s="35"/>
      <c r="G1466" s="39"/>
      <c r="H1466" s="35"/>
    </row>
    <row r="1467" spans="2:9" ht="15.75">
      <c r="B1467" s="35"/>
      <c r="C1467" s="39"/>
      <c r="D1467" s="35"/>
      <c r="E1467" s="37"/>
      <c r="F1467" s="35"/>
      <c r="G1467" s="39"/>
      <c r="H1467" s="35"/>
    </row>
    <row r="1469" spans="2:9">
      <c r="B1469" s="43"/>
      <c r="D1469" s="44"/>
    </row>
    <row r="1470" spans="2:9">
      <c r="B1470" s="45"/>
    </row>
    <row r="1471" spans="2:9">
      <c r="B1471" s="46"/>
      <c r="D1471" s="47"/>
    </row>
    <row r="1473" spans="2:9">
      <c r="B1473" s="42"/>
    </row>
    <row r="1475" spans="2:9" ht="15.75">
      <c r="B1475" s="35"/>
      <c r="C1475" s="54"/>
      <c r="D1475" s="35"/>
      <c r="E1475" s="33"/>
      <c r="F1475" s="35"/>
      <c r="G1475" s="39"/>
      <c r="H1475" s="35"/>
      <c r="I1475" s="39"/>
    </row>
    <row r="1476" spans="2:9" ht="15.75">
      <c r="B1476" s="35"/>
      <c r="C1476" s="54"/>
      <c r="D1476" s="35"/>
      <c r="E1476" s="36"/>
      <c r="F1476" s="35"/>
      <c r="G1476" s="39"/>
      <c r="H1476" s="35"/>
      <c r="I1476" s="39"/>
    </row>
    <row r="1477" spans="2:9" ht="15.75">
      <c r="B1477" s="35"/>
      <c r="C1477" s="40"/>
      <c r="D1477" s="35"/>
      <c r="E1477" s="40"/>
      <c r="F1477" s="35"/>
      <c r="G1477" s="38"/>
      <c r="H1477" s="35"/>
      <c r="I1477" s="38"/>
    </row>
    <row r="1478" spans="2:9" ht="15.75">
      <c r="B1478" s="35"/>
      <c r="C1478" s="54"/>
      <c r="D1478" s="35"/>
      <c r="E1478" s="36"/>
      <c r="F1478" s="35"/>
      <c r="G1478" s="39"/>
      <c r="H1478" s="35"/>
      <c r="I1478" s="38"/>
    </row>
    <row r="1479" spans="2:9" ht="15.75">
      <c r="B1479" s="53"/>
      <c r="C1479" s="54"/>
      <c r="D1479" s="35"/>
      <c r="E1479" s="36"/>
      <c r="F1479" s="35"/>
      <c r="G1479" s="39"/>
      <c r="H1479" s="35"/>
      <c r="I1479" s="39"/>
    </row>
    <row r="1480" spans="2:9">
      <c r="B1480" s="33"/>
      <c r="C1480" s="34"/>
      <c r="D1480" s="33"/>
      <c r="E1480" s="33"/>
      <c r="F1480" s="33"/>
      <c r="G1480" s="33"/>
      <c r="H1480" s="33"/>
      <c r="I1480" s="33"/>
    </row>
    <row r="1481" spans="2:9" ht="15.75">
      <c r="B1481" s="38"/>
      <c r="C1481" s="34"/>
      <c r="D1481" s="38"/>
      <c r="E1481" s="33"/>
      <c r="F1481" s="38"/>
      <c r="G1481" s="33"/>
      <c r="H1481" s="38"/>
      <c r="I1481" s="33"/>
    </row>
    <row r="1482" spans="2:9" ht="15.75">
      <c r="B1482" s="39"/>
      <c r="C1482" s="33"/>
      <c r="D1482" s="33"/>
      <c r="E1482" s="33"/>
      <c r="F1482" s="33"/>
      <c r="G1482" s="33"/>
      <c r="H1482" s="33"/>
      <c r="I1482" s="33"/>
    </row>
    <row r="1483" spans="2:9" ht="15.75">
      <c r="B1483" s="35"/>
      <c r="C1483" s="39"/>
      <c r="D1483" s="35"/>
      <c r="E1483" s="33"/>
      <c r="F1483" s="35"/>
      <c r="G1483" s="39"/>
      <c r="H1483" s="35"/>
      <c r="I1483" s="39"/>
    </row>
    <row r="1484" spans="2:9" ht="15.75">
      <c r="B1484" s="35"/>
      <c r="C1484" s="39"/>
      <c r="D1484" s="35"/>
      <c r="E1484" s="37"/>
      <c r="F1484" s="35"/>
      <c r="G1484" s="39"/>
      <c r="H1484" s="35"/>
      <c r="I1484" s="39"/>
    </row>
    <row r="1485" spans="2:9" ht="15.75">
      <c r="B1485" s="35"/>
      <c r="C1485" s="38"/>
      <c r="D1485" s="35"/>
      <c r="E1485" s="38"/>
      <c r="F1485" s="35"/>
      <c r="G1485" s="38"/>
      <c r="H1485" s="35"/>
      <c r="I1485" s="38"/>
    </row>
    <row r="1486" spans="2:9" ht="15.75">
      <c r="B1486" s="35"/>
      <c r="C1486" s="39"/>
      <c r="D1486" s="35"/>
      <c r="E1486" s="37"/>
      <c r="F1486" s="35"/>
      <c r="G1486" s="39"/>
      <c r="H1486" s="35"/>
      <c r="I1486" s="39"/>
    </row>
    <row r="1487" spans="2:9" ht="15.75">
      <c r="B1487" s="35"/>
      <c r="C1487" s="39"/>
      <c r="D1487" s="35"/>
      <c r="E1487" s="37"/>
      <c r="F1487" s="35"/>
      <c r="G1487" s="39"/>
      <c r="H1487" s="35"/>
      <c r="I1487" s="39"/>
    </row>
    <row r="1488" spans="2:9">
      <c r="B1488" s="33"/>
      <c r="C1488" s="33"/>
      <c r="D1488" s="33"/>
      <c r="E1488" s="33"/>
      <c r="F1488" s="33"/>
      <c r="G1488" s="33"/>
      <c r="H1488" s="33"/>
      <c r="I1488" s="33"/>
    </row>
    <row r="1489" spans="2:9" ht="15.75">
      <c r="B1489" s="38"/>
      <c r="C1489" s="33"/>
      <c r="D1489" s="38"/>
      <c r="E1489" s="33"/>
      <c r="F1489" s="38"/>
      <c r="G1489" s="33"/>
      <c r="H1489" s="38"/>
      <c r="I1489" s="33"/>
    </row>
    <row r="1490" spans="2:9" ht="15.75">
      <c r="B1490" s="39"/>
      <c r="C1490" s="33"/>
      <c r="D1490" s="33"/>
      <c r="E1490" s="33"/>
      <c r="F1490" s="33"/>
      <c r="G1490" s="33"/>
      <c r="H1490" s="33"/>
      <c r="I1490" s="33"/>
    </row>
    <row r="1491" spans="2:9" ht="15.75">
      <c r="B1491" s="35"/>
      <c r="C1491" s="39"/>
      <c r="D1491" s="35"/>
      <c r="E1491" s="33"/>
      <c r="F1491" s="35"/>
      <c r="G1491" s="39"/>
      <c r="H1491" s="35"/>
    </row>
    <row r="1492" spans="2:9" ht="15.75">
      <c r="B1492" s="35"/>
      <c r="C1492" s="39"/>
      <c r="D1492" s="35"/>
      <c r="E1492" s="37"/>
      <c r="F1492" s="35"/>
      <c r="G1492" s="39"/>
      <c r="H1492" s="35"/>
    </row>
    <row r="1493" spans="2:9" ht="15.75">
      <c r="B1493" s="35"/>
      <c r="C1493" s="38"/>
      <c r="D1493" s="35"/>
      <c r="E1493" s="38"/>
      <c r="F1493" s="35"/>
      <c r="G1493" s="38"/>
      <c r="H1493" s="35"/>
    </row>
    <row r="1494" spans="2:9" ht="15.75">
      <c r="B1494" s="35"/>
      <c r="C1494" s="39"/>
      <c r="D1494" s="35"/>
      <c r="E1494" s="37"/>
      <c r="F1494" s="35"/>
      <c r="G1494" s="39"/>
      <c r="H1494" s="35"/>
    </row>
    <row r="1495" spans="2:9" ht="15.75">
      <c r="B1495" s="35"/>
      <c r="C1495" s="39"/>
      <c r="D1495" s="35"/>
      <c r="E1495" s="37"/>
      <c r="F1495" s="35"/>
      <c r="G1495" s="39"/>
      <c r="H1495" s="35"/>
    </row>
    <row r="1497" spans="2:9">
      <c r="B1497" s="43"/>
      <c r="D1497" s="44"/>
    </row>
    <row r="1498" spans="2:9">
      <c r="B1498" s="45"/>
    </row>
    <row r="1499" spans="2:9">
      <c r="B1499" s="46"/>
      <c r="D1499" s="47"/>
    </row>
    <row r="1501" spans="2:9">
      <c r="B1501" s="42"/>
    </row>
    <row r="1503" spans="2:9" ht="15.75">
      <c r="B1503" s="35"/>
      <c r="C1503" s="54"/>
      <c r="D1503" s="35"/>
      <c r="E1503" s="33"/>
      <c r="F1503" s="35"/>
      <c r="G1503" s="39"/>
      <c r="H1503" s="35"/>
      <c r="I1503" s="39"/>
    </row>
    <row r="1504" spans="2:9" ht="15.75">
      <c r="B1504" s="35"/>
      <c r="C1504" s="54"/>
      <c r="D1504" s="35"/>
      <c r="E1504" s="36"/>
      <c r="F1504" s="35"/>
      <c r="G1504" s="39"/>
      <c r="H1504" s="35"/>
      <c r="I1504" s="39"/>
    </row>
    <row r="1505" spans="2:9" ht="15.75">
      <c r="B1505" s="35"/>
      <c r="C1505" s="40"/>
      <c r="D1505" s="35"/>
      <c r="E1505" s="40"/>
      <c r="F1505" s="35"/>
      <c r="G1505" s="38"/>
      <c r="H1505" s="35"/>
      <c r="I1505" s="38"/>
    </row>
    <row r="1506" spans="2:9" ht="15.75">
      <c r="B1506" s="35"/>
      <c r="C1506" s="54"/>
      <c r="D1506" s="35"/>
      <c r="E1506" s="36"/>
      <c r="F1506" s="35"/>
      <c r="G1506" s="39"/>
      <c r="H1506" s="35"/>
      <c r="I1506" s="38"/>
    </row>
    <row r="1507" spans="2:9" ht="15.75">
      <c r="B1507" s="53"/>
      <c r="C1507" s="54"/>
      <c r="D1507" s="35"/>
      <c r="E1507" s="36"/>
      <c r="F1507" s="35"/>
      <c r="G1507" s="39"/>
      <c r="H1507" s="35"/>
      <c r="I1507" s="39"/>
    </row>
    <row r="1508" spans="2:9">
      <c r="B1508" s="33"/>
      <c r="C1508" s="34"/>
      <c r="D1508" s="33"/>
      <c r="E1508" s="33"/>
      <c r="F1508" s="33"/>
      <c r="G1508" s="33"/>
      <c r="H1508" s="33"/>
      <c r="I1508" s="33"/>
    </row>
    <row r="1509" spans="2:9" ht="15.75">
      <c r="B1509" s="38"/>
      <c r="C1509" s="34"/>
      <c r="D1509" s="38"/>
      <c r="E1509" s="33"/>
      <c r="F1509" s="38"/>
      <c r="G1509" s="33"/>
      <c r="H1509" s="38"/>
      <c r="I1509" s="33"/>
    </row>
    <row r="1510" spans="2:9" ht="15.75">
      <c r="B1510" s="39"/>
      <c r="C1510" s="33"/>
      <c r="D1510" s="33"/>
      <c r="E1510" s="33"/>
      <c r="F1510" s="33"/>
      <c r="G1510" s="33"/>
      <c r="H1510" s="33"/>
      <c r="I1510" s="33"/>
    </row>
    <row r="1511" spans="2:9" ht="15.75">
      <c r="B1511" s="35"/>
      <c r="C1511" s="39"/>
      <c r="D1511" s="35"/>
      <c r="E1511" s="33"/>
      <c r="F1511" s="35"/>
      <c r="G1511" s="39"/>
      <c r="H1511" s="35"/>
      <c r="I1511" s="39"/>
    </row>
    <row r="1512" spans="2:9" ht="15.75">
      <c r="B1512" s="35"/>
      <c r="C1512" s="39"/>
      <c r="D1512" s="35"/>
      <c r="E1512" s="37"/>
      <c r="F1512" s="35"/>
      <c r="G1512" s="39"/>
      <c r="H1512" s="35"/>
      <c r="I1512" s="39"/>
    </row>
    <row r="1513" spans="2:9" ht="15.75">
      <c r="B1513" s="35"/>
      <c r="C1513" s="38"/>
      <c r="D1513" s="35"/>
      <c r="E1513" s="38"/>
      <c r="F1513" s="35"/>
      <c r="G1513" s="38"/>
      <c r="H1513" s="35"/>
      <c r="I1513" s="38"/>
    </row>
    <row r="1514" spans="2:9" ht="15.75">
      <c r="B1514" s="35"/>
      <c r="C1514" s="39"/>
      <c r="D1514" s="35"/>
      <c r="E1514" s="37"/>
      <c r="F1514" s="35"/>
      <c r="G1514" s="39"/>
      <c r="H1514" s="35"/>
      <c r="I1514" s="39"/>
    </row>
    <row r="1515" spans="2:9" ht="15.75">
      <c r="B1515" s="35"/>
      <c r="C1515" s="39"/>
      <c r="D1515" s="35"/>
      <c r="E1515" s="37"/>
      <c r="F1515" s="35"/>
      <c r="G1515" s="39"/>
      <c r="H1515" s="35"/>
      <c r="I1515" s="39"/>
    </row>
    <row r="1516" spans="2:9">
      <c r="B1516" s="33"/>
      <c r="C1516" s="33"/>
      <c r="D1516" s="33"/>
      <c r="E1516" s="33"/>
      <c r="F1516" s="33"/>
      <c r="G1516" s="33"/>
      <c r="H1516" s="33"/>
      <c r="I1516" s="33"/>
    </row>
    <row r="1517" spans="2:9" ht="15.75">
      <c r="B1517" s="38"/>
      <c r="C1517" s="33"/>
      <c r="D1517" s="38"/>
      <c r="E1517" s="33"/>
      <c r="F1517" s="38"/>
      <c r="G1517" s="33"/>
      <c r="H1517" s="38"/>
      <c r="I1517" s="33"/>
    </row>
    <row r="1518" spans="2:9" ht="15.75">
      <c r="B1518" s="39"/>
      <c r="C1518" s="33"/>
      <c r="D1518" s="33"/>
      <c r="E1518" s="33"/>
      <c r="F1518" s="33"/>
      <c r="G1518" s="33"/>
      <c r="H1518" s="33"/>
      <c r="I1518" s="33"/>
    </row>
    <row r="1519" spans="2:9" ht="15.75">
      <c r="B1519" s="35"/>
      <c r="C1519" s="39"/>
      <c r="D1519" s="35"/>
      <c r="E1519" s="33"/>
      <c r="F1519" s="35"/>
      <c r="G1519" s="39"/>
      <c r="H1519" s="35"/>
    </row>
    <row r="1520" spans="2:9" ht="15.75">
      <c r="B1520" s="35"/>
      <c r="C1520" s="39"/>
      <c r="D1520" s="35"/>
      <c r="E1520" s="37"/>
      <c r="F1520" s="35"/>
      <c r="G1520" s="39"/>
      <c r="H1520" s="35"/>
    </row>
    <row r="1521" spans="2:9" ht="15.75">
      <c r="B1521" s="35"/>
      <c r="C1521" s="38"/>
      <c r="D1521" s="35"/>
      <c r="E1521" s="38"/>
      <c r="F1521" s="35"/>
      <c r="G1521" s="38"/>
      <c r="H1521" s="35"/>
    </row>
    <row r="1522" spans="2:9" ht="15.75">
      <c r="B1522" s="35"/>
      <c r="C1522" s="39"/>
      <c r="D1522" s="35"/>
      <c r="E1522" s="37"/>
      <c r="F1522" s="35"/>
      <c r="G1522" s="39"/>
      <c r="H1522" s="35"/>
    </row>
    <row r="1523" spans="2:9" ht="15.75">
      <c r="B1523" s="35"/>
      <c r="C1523" s="39"/>
      <c r="D1523" s="35"/>
      <c r="E1523" s="37"/>
      <c r="F1523" s="35"/>
      <c r="G1523" s="39"/>
      <c r="H1523" s="35"/>
    </row>
    <row r="1525" spans="2:9">
      <c r="B1525" s="43"/>
      <c r="D1525" s="44"/>
    </row>
    <row r="1526" spans="2:9">
      <c r="B1526" s="45"/>
    </row>
    <row r="1527" spans="2:9">
      <c r="B1527" s="46"/>
      <c r="D1527" s="47"/>
    </row>
    <row r="1529" spans="2:9">
      <c r="B1529" s="42"/>
    </row>
    <row r="1531" spans="2:9" ht="15.75">
      <c r="B1531" s="35"/>
      <c r="C1531" s="54"/>
      <c r="D1531" s="35"/>
      <c r="E1531" s="33"/>
      <c r="F1531" s="35"/>
      <c r="G1531" s="39"/>
      <c r="H1531" s="35"/>
      <c r="I1531" s="39"/>
    </row>
    <row r="1532" spans="2:9" ht="15.75">
      <c r="B1532" s="35"/>
      <c r="C1532" s="54"/>
      <c r="D1532" s="35"/>
      <c r="E1532" s="36"/>
      <c r="F1532" s="35"/>
      <c r="G1532" s="39"/>
      <c r="H1532" s="35"/>
      <c r="I1532" s="39"/>
    </row>
    <row r="1533" spans="2:9" ht="15.75">
      <c r="B1533" s="35"/>
      <c r="C1533" s="40"/>
      <c r="D1533" s="35"/>
      <c r="E1533" s="40"/>
      <c r="F1533" s="35"/>
      <c r="G1533" s="38"/>
      <c r="H1533" s="35"/>
      <c r="I1533" s="38"/>
    </row>
    <row r="1534" spans="2:9" ht="15.75">
      <c r="B1534" s="35"/>
      <c r="C1534" s="54"/>
      <c r="D1534" s="35"/>
      <c r="E1534" s="36"/>
      <c r="F1534" s="35"/>
      <c r="G1534" s="39"/>
      <c r="H1534" s="35"/>
      <c r="I1534" s="38"/>
    </row>
    <row r="1535" spans="2:9" ht="15.75">
      <c r="B1535" s="53"/>
      <c r="C1535" s="54"/>
      <c r="D1535" s="35"/>
      <c r="E1535" s="36"/>
      <c r="F1535" s="35"/>
      <c r="G1535" s="39"/>
      <c r="H1535" s="35"/>
      <c r="I1535" s="39"/>
    </row>
    <row r="1536" spans="2:9">
      <c r="B1536" s="33"/>
      <c r="C1536" s="34"/>
      <c r="D1536" s="33"/>
      <c r="E1536" s="33"/>
      <c r="F1536" s="33"/>
      <c r="G1536" s="33"/>
      <c r="H1536" s="33"/>
      <c r="I1536" s="33"/>
    </row>
    <row r="1537" spans="2:9" ht="15.75">
      <c r="B1537" s="38"/>
      <c r="C1537" s="34"/>
      <c r="D1537" s="38"/>
      <c r="E1537" s="33"/>
      <c r="F1537" s="38"/>
      <c r="G1537" s="33"/>
      <c r="H1537" s="38"/>
      <c r="I1537" s="33"/>
    </row>
    <row r="1538" spans="2:9" ht="15.75">
      <c r="B1538" s="39"/>
      <c r="C1538" s="33"/>
      <c r="D1538" s="33"/>
      <c r="E1538" s="33"/>
      <c r="F1538" s="33"/>
      <c r="G1538" s="33"/>
      <c r="H1538" s="33"/>
      <c r="I1538" s="33"/>
    </row>
    <row r="1539" spans="2:9" ht="15.75">
      <c r="B1539" s="35"/>
      <c r="C1539" s="39"/>
      <c r="D1539" s="35"/>
      <c r="E1539" s="33"/>
      <c r="F1539" s="35"/>
      <c r="G1539" s="39"/>
      <c r="H1539" s="35"/>
      <c r="I1539" s="39"/>
    </row>
    <row r="1540" spans="2:9" ht="15.75">
      <c r="B1540" s="35"/>
      <c r="C1540" s="39"/>
      <c r="D1540" s="35"/>
      <c r="E1540" s="37"/>
      <c r="F1540" s="35"/>
      <c r="G1540" s="39"/>
      <c r="H1540" s="35"/>
      <c r="I1540" s="39"/>
    </row>
    <row r="1541" spans="2:9" ht="15.75">
      <c r="B1541" s="35"/>
      <c r="C1541" s="38"/>
      <c r="D1541" s="35"/>
      <c r="E1541" s="38"/>
      <c r="F1541" s="35"/>
      <c r="G1541" s="38"/>
      <c r="H1541" s="35"/>
      <c r="I1541" s="38"/>
    </row>
    <row r="1542" spans="2:9" ht="15.75">
      <c r="B1542" s="35"/>
      <c r="C1542" s="39"/>
      <c r="D1542" s="35"/>
      <c r="E1542" s="37"/>
      <c r="F1542" s="35"/>
      <c r="G1542" s="39"/>
      <c r="H1542" s="35"/>
      <c r="I1542" s="39"/>
    </row>
    <row r="1543" spans="2:9" ht="15.75">
      <c r="B1543" s="35"/>
      <c r="C1543" s="39"/>
      <c r="D1543" s="35"/>
      <c r="E1543" s="37"/>
      <c r="F1543" s="35"/>
      <c r="G1543" s="39"/>
      <c r="H1543" s="35"/>
      <c r="I1543" s="39"/>
    </row>
    <row r="1544" spans="2:9">
      <c r="B1544" s="33"/>
      <c r="C1544" s="33"/>
      <c r="D1544" s="33"/>
      <c r="E1544" s="33"/>
      <c r="F1544" s="33"/>
      <c r="G1544" s="33"/>
      <c r="H1544" s="33"/>
      <c r="I1544" s="33"/>
    </row>
    <row r="1545" spans="2:9" ht="15.75">
      <c r="B1545" s="38"/>
      <c r="C1545" s="33"/>
      <c r="D1545" s="38"/>
      <c r="E1545" s="33"/>
      <c r="F1545" s="38"/>
      <c r="G1545" s="33"/>
      <c r="H1545" s="38"/>
      <c r="I1545" s="33"/>
    </row>
    <row r="1546" spans="2:9" ht="15.75">
      <c r="B1546" s="39"/>
      <c r="C1546" s="33"/>
      <c r="D1546" s="33"/>
      <c r="E1546" s="33"/>
      <c r="F1546" s="33"/>
      <c r="G1546" s="33"/>
      <c r="H1546" s="33"/>
      <c r="I1546" s="33"/>
    </row>
    <row r="1547" spans="2:9" ht="15.75">
      <c r="B1547" s="35"/>
      <c r="C1547" s="39"/>
      <c r="D1547" s="35"/>
      <c r="E1547" s="33"/>
      <c r="F1547" s="35"/>
      <c r="G1547" s="39"/>
      <c r="H1547" s="35"/>
    </row>
    <row r="1548" spans="2:9" ht="15.75">
      <c r="B1548" s="35"/>
      <c r="C1548" s="39"/>
      <c r="D1548" s="35"/>
      <c r="E1548" s="37"/>
      <c r="F1548" s="35"/>
      <c r="G1548" s="39"/>
      <c r="H1548" s="35"/>
    </row>
    <row r="1549" spans="2:9" ht="15.75">
      <c r="B1549" s="35"/>
      <c r="C1549" s="38"/>
      <c r="D1549" s="35"/>
      <c r="E1549" s="38"/>
      <c r="F1549" s="35"/>
      <c r="G1549" s="38"/>
      <c r="H1549" s="35"/>
    </row>
    <row r="1550" spans="2:9" ht="15.75">
      <c r="B1550" s="35"/>
      <c r="C1550" s="39"/>
      <c r="D1550" s="35"/>
      <c r="E1550" s="37"/>
      <c r="F1550" s="35"/>
      <c r="G1550" s="39"/>
      <c r="H1550" s="35"/>
    </row>
    <row r="1551" spans="2:9" ht="15.75">
      <c r="B1551" s="35"/>
      <c r="C1551" s="39"/>
      <c r="D1551" s="35"/>
      <c r="E1551" s="37"/>
      <c r="F1551" s="35"/>
      <c r="G1551" s="39"/>
      <c r="H1551" s="35"/>
    </row>
    <row r="1553" spans="2:9">
      <c r="B1553" s="43"/>
      <c r="D1553" s="44"/>
    </row>
    <row r="1554" spans="2:9">
      <c r="B1554" s="45"/>
    </row>
    <row r="1555" spans="2:9">
      <c r="B1555" s="46"/>
      <c r="D1555" s="47"/>
    </row>
    <row r="1557" spans="2:9">
      <c r="B1557" s="42"/>
    </row>
    <row r="1559" spans="2:9" ht="15.75">
      <c r="B1559" s="35"/>
      <c r="C1559" s="54"/>
      <c r="D1559" s="35"/>
      <c r="E1559" s="33"/>
      <c r="F1559" s="35"/>
      <c r="G1559" s="39"/>
      <c r="H1559" s="35"/>
      <c r="I1559" s="39"/>
    </row>
    <row r="1560" spans="2:9" ht="15.75">
      <c r="B1560" s="35"/>
      <c r="C1560" s="54"/>
      <c r="D1560" s="35"/>
      <c r="E1560" s="36"/>
      <c r="F1560" s="35"/>
      <c r="G1560" s="39"/>
      <c r="H1560" s="35"/>
      <c r="I1560" s="39"/>
    </row>
    <row r="1561" spans="2:9" ht="15.75">
      <c r="B1561" s="35"/>
      <c r="C1561" s="40"/>
      <c r="D1561" s="35"/>
      <c r="E1561" s="40"/>
      <c r="F1561" s="35"/>
      <c r="G1561" s="38"/>
      <c r="H1561" s="35"/>
      <c r="I1561" s="38"/>
    </row>
    <row r="1562" spans="2:9" ht="15.75">
      <c r="B1562" s="35"/>
      <c r="C1562" s="54"/>
      <c r="D1562" s="35"/>
      <c r="E1562" s="36"/>
      <c r="F1562" s="35"/>
      <c r="G1562" s="39"/>
      <c r="H1562" s="35"/>
      <c r="I1562" s="38"/>
    </row>
    <row r="1563" spans="2:9" ht="15.75">
      <c r="B1563" s="53"/>
      <c r="C1563" s="54"/>
      <c r="D1563" s="35"/>
      <c r="E1563" s="36"/>
      <c r="F1563" s="35"/>
      <c r="G1563" s="39"/>
      <c r="H1563" s="35"/>
      <c r="I1563" s="39"/>
    </row>
    <row r="1564" spans="2:9">
      <c r="B1564" s="33"/>
      <c r="C1564" s="34"/>
      <c r="D1564" s="33"/>
      <c r="E1564" s="33"/>
      <c r="F1564" s="33"/>
      <c r="G1564" s="33"/>
      <c r="H1564" s="33"/>
      <c r="I1564" s="33"/>
    </row>
    <row r="1565" spans="2:9" ht="15.75">
      <c r="B1565" s="38"/>
      <c r="C1565" s="34"/>
      <c r="D1565" s="38"/>
      <c r="E1565" s="33"/>
      <c r="F1565" s="38"/>
      <c r="G1565" s="33"/>
      <c r="H1565" s="38"/>
      <c r="I1565" s="33"/>
    </row>
    <row r="1566" spans="2:9" ht="15.75">
      <c r="B1566" s="39"/>
      <c r="C1566" s="33"/>
      <c r="D1566" s="33"/>
      <c r="E1566" s="33"/>
      <c r="F1566" s="33"/>
      <c r="G1566" s="33"/>
      <c r="H1566" s="33"/>
      <c r="I1566" s="33"/>
    </row>
    <row r="1567" spans="2:9" ht="15.75">
      <c r="B1567" s="35"/>
      <c r="C1567" s="39"/>
      <c r="D1567" s="35"/>
      <c r="E1567" s="33"/>
      <c r="F1567" s="35"/>
      <c r="G1567" s="39"/>
      <c r="H1567" s="35"/>
      <c r="I1567" s="39"/>
    </row>
    <row r="1568" spans="2:9" ht="15.75">
      <c r="B1568" s="35"/>
      <c r="C1568" s="39"/>
      <c r="D1568" s="35"/>
      <c r="E1568" s="37"/>
      <c r="F1568" s="35"/>
      <c r="G1568" s="39"/>
      <c r="H1568" s="35"/>
      <c r="I1568" s="39"/>
    </row>
    <row r="1569" spans="2:9" ht="15.75">
      <c r="B1569" s="35"/>
      <c r="C1569" s="38"/>
      <c r="D1569" s="35"/>
      <c r="E1569" s="38"/>
      <c r="F1569" s="35"/>
      <c r="G1569" s="38"/>
      <c r="H1569" s="35"/>
      <c r="I1569" s="38"/>
    </row>
    <row r="1570" spans="2:9" ht="15.75">
      <c r="B1570" s="35"/>
      <c r="C1570" s="39"/>
      <c r="D1570" s="35"/>
      <c r="E1570" s="37"/>
      <c r="F1570" s="35"/>
      <c r="G1570" s="39"/>
      <c r="H1570" s="35"/>
      <c r="I1570" s="39"/>
    </row>
    <row r="1571" spans="2:9" ht="15.75">
      <c r="B1571" s="35"/>
      <c r="C1571" s="39"/>
      <c r="D1571" s="35"/>
      <c r="E1571" s="37"/>
      <c r="F1571" s="35"/>
      <c r="G1571" s="39"/>
      <c r="H1571" s="35"/>
      <c r="I1571" s="39"/>
    </row>
    <row r="1572" spans="2:9">
      <c r="B1572" s="33"/>
      <c r="C1572" s="33"/>
      <c r="D1572" s="33"/>
      <c r="E1572" s="33"/>
      <c r="F1572" s="33"/>
      <c r="G1572" s="33"/>
      <c r="H1572" s="33"/>
      <c r="I1572" s="33"/>
    </row>
    <row r="1573" spans="2:9" ht="15.75">
      <c r="B1573" s="38"/>
      <c r="C1573" s="33"/>
      <c r="D1573" s="38"/>
      <c r="E1573" s="33"/>
      <c r="F1573" s="38"/>
      <c r="G1573" s="33"/>
      <c r="H1573" s="38"/>
      <c r="I1573" s="33"/>
    </row>
    <row r="1574" spans="2:9" ht="15.75">
      <c r="B1574" s="39"/>
      <c r="C1574" s="33"/>
      <c r="D1574" s="33"/>
      <c r="E1574" s="33"/>
      <c r="F1574" s="33"/>
      <c r="G1574" s="33"/>
      <c r="H1574" s="33"/>
      <c r="I1574" s="33"/>
    </row>
    <row r="1575" spans="2:9" ht="15.75">
      <c r="B1575" s="35"/>
      <c r="C1575" s="39"/>
      <c r="D1575" s="35"/>
      <c r="E1575" s="33"/>
      <c r="F1575" s="35"/>
      <c r="G1575" s="39"/>
      <c r="H1575" s="35"/>
    </row>
    <row r="1576" spans="2:9" ht="15.75">
      <c r="B1576" s="35"/>
      <c r="C1576" s="39"/>
      <c r="D1576" s="35"/>
      <c r="E1576" s="37"/>
      <c r="F1576" s="35"/>
      <c r="G1576" s="39"/>
      <c r="H1576" s="35"/>
    </row>
    <row r="1577" spans="2:9" ht="15.75">
      <c r="B1577" s="35"/>
      <c r="C1577" s="38"/>
      <c r="D1577" s="35"/>
      <c r="E1577" s="38"/>
      <c r="F1577" s="35"/>
      <c r="G1577" s="38"/>
      <c r="H1577" s="35"/>
    </row>
    <row r="1578" spans="2:9" ht="15.75">
      <c r="B1578" s="35"/>
      <c r="C1578" s="39"/>
      <c r="D1578" s="35"/>
      <c r="E1578" s="37"/>
      <c r="F1578" s="35"/>
      <c r="G1578" s="39"/>
      <c r="H1578" s="35"/>
    </row>
    <row r="1579" spans="2:9" ht="15.75">
      <c r="B1579" s="35"/>
      <c r="C1579" s="39"/>
      <c r="D1579" s="35"/>
      <c r="E1579" s="37"/>
      <c r="F1579" s="35"/>
      <c r="G1579" s="39"/>
      <c r="H1579" s="35"/>
    </row>
    <row r="1581" spans="2:9">
      <c r="B1581" s="43"/>
      <c r="D1581" s="44"/>
    </row>
    <row r="1582" spans="2:9">
      <c r="B1582" s="45"/>
    </row>
    <row r="1583" spans="2:9">
      <c r="B1583" s="46"/>
      <c r="D1583" s="47"/>
    </row>
    <row r="1585" spans="2:9">
      <c r="B1585" s="42"/>
    </row>
    <row r="1587" spans="2:9" ht="15.75">
      <c r="B1587" s="35"/>
      <c r="C1587" s="54"/>
      <c r="D1587" s="35"/>
      <c r="E1587" s="33"/>
      <c r="F1587" s="35"/>
      <c r="G1587" s="39"/>
      <c r="H1587" s="35"/>
      <c r="I1587" s="39"/>
    </row>
    <row r="1588" spans="2:9" ht="15.75">
      <c r="B1588" s="35"/>
      <c r="C1588" s="54"/>
      <c r="D1588" s="35"/>
      <c r="E1588" s="36"/>
      <c r="F1588" s="35"/>
      <c r="G1588" s="39"/>
      <c r="H1588" s="35"/>
      <c r="I1588" s="39"/>
    </row>
    <row r="1589" spans="2:9" ht="15.75">
      <c r="B1589" s="35"/>
      <c r="C1589" s="40"/>
      <c r="D1589" s="35"/>
      <c r="E1589" s="40"/>
      <c r="F1589" s="35"/>
      <c r="G1589" s="38"/>
      <c r="H1589" s="35"/>
      <c r="I1589" s="38"/>
    </row>
    <row r="1590" spans="2:9" ht="15.75">
      <c r="B1590" s="35"/>
      <c r="C1590" s="54"/>
      <c r="D1590" s="35"/>
      <c r="E1590" s="36"/>
      <c r="F1590" s="35"/>
      <c r="G1590" s="39"/>
      <c r="H1590" s="35"/>
      <c r="I1590" s="38"/>
    </row>
    <row r="1591" spans="2:9" ht="15.75">
      <c r="B1591" s="53"/>
      <c r="C1591" s="54"/>
      <c r="D1591" s="35"/>
      <c r="E1591" s="36"/>
      <c r="F1591" s="35"/>
      <c r="G1591" s="39"/>
      <c r="H1591" s="35"/>
      <c r="I1591" s="39"/>
    </row>
    <row r="1592" spans="2:9">
      <c r="B1592" s="33"/>
      <c r="C1592" s="34"/>
      <c r="D1592" s="33"/>
      <c r="E1592" s="33"/>
      <c r="F1592" s="33"/>
      <c r="G1592" s="33"/>
      <c r="H1592" s="33"/>
      <c r="I1592" s="33"/>
    </row>
    <row r="1593" spans="2:9" ht="15.75">
      <c r="B1593" s="38"/>
      <c r="C1593" s="34"/>
      <c r="D1593" s="38"/>
      <c r="E1593" s="33"/>
      <c r="F1593" s="38"/>
      <c r="G1593" s="33"/>
      <c r="H1593" s="38"/>
      <c r="I1593" s="33"/>
    </row>
    <row r="1594" spans="2:9" ht="15.75">
      <c r="B1594" s="39"/>
      <c r="C1594" s="33"/>
      <c r="D1594" s="33"/>
      <c r="E1594" s="33"/>
      <c r="F1594" s="33"/>
      <c r="G1594" s="33"/>
      <c r="H1594" s="33"/>
      <c r="I1594" s="33"/>
    </row>
    <row r="1595" spans="2:9" ht="15.75">
      <c r="B1595" s="35"/>
      <c r="C1595" s="39"/>
      <c r="D1595" s="35"/>
      <c r="E1595" s="33"/>
      <c r="F1595" s="35"/>
      <c r="G1595" s="39"/>
      <c r="H1595" s="35"/>
      <c r="I1595" s="39"/>
    </row>
    <row r="1596" spans="2:9" ht="15.75">
      <c r="B1596" s="35"/>
      <c r="C1596" s="39"/>
      <c r="D1596" s="35"/>
      <c r="E1596" s="37"/>
      <c r="F1596" s="35"/>
      <c r="G1596" s="39"/>
      <c r="H1596" s="35"/>
      <c r="I1596" s="39"/>
    </row>
    <row r="1597" spans="2:9" ht="15.75">
      <c r="B1597" s="35"/>
      <c r="C1597" s="38"/>
      <c r="D1597" s="35"/>
      <c r="E1597" s="38"/>
      <c r="F1597" s="35"/>
      <c r="G1597" s="38"/>
      <c r="H1597" s="35"/>
      <c r="I1597" s="38"/>
    </row>
    <row r="1598" spans="2:9" ht="15.75">
      <c r="B1598" s="35"/>
      <c r="C1598" s="39"/>
      <c r="D1598" s="35"/>
      <c r="E1598" s="37"/>
      <c r="F1598" s="35"/>
      <c r="G1598" s="39"/>
      <c r="H1598" s="35"/>
      <c r="I1598" s="39"/>
    </row>
    <row r="1599" spans="2:9" ht="15.75">
      <c r="B1599" s="35"/>
      <c r="C1599" s="39"/>
      <c r="D1599" s="35"/>
      <c r="E1599" s="37"/>
      <c r="F1599" s="35"/>
      <c r="G1599" s="39"/>
      <c r="H1599" s="35"/>
      <c r="I1599" s="39"/>
    </row>
    <row r="1600" spans="2:9">
      <c r="B1600" s="33"/>
      <c r="C1600" s="33"/>
      <c r="D1600" s="33"/>
      <c r="E1600" s="33"/>
      <c r="F1600" s="33"/>
      <c r="G1600" s="33"/>
      <c r="H1600" s="33"/>
      <c r="I1600" s="33"/>
    </row>
    <row r="1601" spans="2:9" ht="15.75">
      <c r="B1601" s="38"/>
      <c r="C1601" s="33"/>
      <c r="D1601" s="38"/>
      <c r="E1601" s="33"/>
      <c r="F1601" s="38"/>
      <c r="G1601" s="33"/>
      <c r="H1601" s="38"/>
      <c r="I1601" s="33"/>
    </row>
    <row r="1602" spans="2:9" ht="15.75">
      <c r="B1602" s="39"/>
      <c r="C1602" s="33"/>
      <c r="D1602" s="33"/>
      <c r="E1602" s="33"/>
      <c r="F1602" s="33"/>
      <c r="G1602" s="33"/>
      <c r="H1602" s="33"/>
      <c r="I1602" s="33"/>
    </row>
    <row r="1603" spans="2:9" ht="15.75">
      <c r="B1603" s="35"/>
      <c r="C1603" s="39"/>
      <c r="D1603" s="35"/>
      <c r="E1603" s="33"/>
      <c r="F1603" s="35"/>
      <c r="G1603" s="39"/>
      <c r="H1603" s="35"/>
    </row>
    <row r="1604" spans="2:9" ht="15.75">
      <c r="B1604" s="35"/>
      <c r="C1604" s="39"/>
      <c r="D1604" s="35"/>
      <c r="E1604" s="37"/>
      <c r="F1604" s="35"/>
      <c r="G1604" s="39"/>
      <c r="H1604" s="35"/>
    </row>
    <row r="1605" spans="2:9" ht="15.75">
      <c r="B1605" s="35"/>
      <c r="C1605" s="38"/>
      <c r="D1605" s="35"/>
      <c r="E1605" s="38"/>
      <c r="F1605" s="35"/>
      <c r="G1605" s="38"/>
      <c r="H1605" s="35"/>
    </row>
    <row r="1606" spans="2:9" ht="15.75">
      <c r="B1606" s="35"/>
      <c r="C1606" s="39"/>
      <c r="D1606" s="35"/>
      <c r="E1606" s="37"/>
      <c r="F1606" s="35"/>
      <c r="G1606" s="39"/>
      <c r="H1606" s="35"/>
    </row>
    <row r="1607" spans="2:9" ht="15.75">
      <c r="B1607" s="35"/>
      <c r="C1607" s="39"/>
      <c r="D1607" s="35"/>
      <c r="E1607" s="37"/>
      <c r="F1607" s="35"/>
      <c r="G1607" s="39"/>
      <c r="H1607" s="35"/>
    </row>
    <row r="1609" spans="2:9">
      <c r="B1609" s="43"/>
      <c r="D1609" s="44"/>
    </row>
    <row r="1610" spans="2:9">
      <c r="B1610" s="45"/>
    </row>
    <row r="1611" spans="2:9">
      <c r="B1611" s="46"/>
      <c r="D1611" s="47"/>
    </row>
    <row r="1613" spans="2:9">
      <c r="B1613" s="42"/>
    </row>
    <row r="1615" spans="2:9" ht="15.75">
      <c r="B1615" s="35"/>
      <c r="C1615" s="54"/>
      <c r="D1615" s="35"/>
      <c r="E1615" s="33"/>
      <c r="F1615" s="35"/>
      <c r="G1615" s="39"/>
      <c r="H1615" s="35"/>
      <c r="I1615" s="39"/>
    </row>
    <row r="1616" spans="2:9" ht="15.75">
      <c r="B1616" s="35"/>
      <c r="C1616" s="54"/>
      <c r="D1616" s="35"/>
      <c r="E1616" s="36"/>
      <c r="F1616" s="35"/>
      <c r="G1616" s="39"/>
      <c r="H1616" s="35"/>
      <c r="I1616" s="39"/>
    </row>
    <row r="1617" spans="2:9" ht="15.75">
      <c r="B1617" s="35"/>
      <c r="C1617" s="40"/>
      <c r="D1617" s="35"/>
      <c r="E1617" s="40"/>
      <c r="F1617" s="35"/>
      <c r="G1617" s="38"/>
      <c r="H1617" s="35"/>
      <c r="I1617" s="38"/>
    </row>
    <row r="1618" spans="2:9" ht="15.75">
      <c r="B1618" s="35"/>
      <c r="C1618" s="54"/>
      <c r="D1618" s="35"/>
      <c r="E1618" s="36"/>
      <c r="F1618" s="35"/>
      <c r="G1618" s="39"/>
      <c r="H1618" s="35"/>
      <c r="I1618" s="38"/>
    </row>
    <row r="1619" spans="2:9" ht="15.75">
      <c r="B1619" s="53"/>
      <c r="C1619" s="54"/>
      <c r="D1619" s="35"/>
      <c r="E1619" s="36"/>
      <c r="F1619" s="35"/>
      <c r="G1619" s="39"/>
      <c r="H1619" s="35"/>
      <c r="I1619" s="39"/>
    </row>
    <row r="1620" spans="2:9">
      <c r="B1620" s="33"/>
      <c r="C1620" s="34"/>
      <c r="D1620" s="33"/>
      <c r="E1620" s="33"/>
      <c r="F1620" s="33"/>
      <c r="G1620" s="33"/>
      <c r="H1620" s="33"/>
      <c r="I1620" s="33"/>
    </row>
    <row r="1621" spans="2:9" ht="15.75">
      <c r="B1621" s="38"/>
      <c r="C1621" s="34"/>
      <c r="D1621" s="38"/>
      <c r="E1621" s="33"/>
      <c r="F1621" s="38"/>
      <c r="G1621" s="33"/>
      <c r="H1621" s="38"/>
      <c r="I1621" s="33"/>
    </row>
    <row r="1622" spans="2:9" ht="15.75">
      <c r="B1622" s="39"/>
      <c r="C1622" s="33"/>
      <c r="D1622" s="33"/>
      <c r="E1622" s="33"/>
      <c r="F1622" s="33"/>
      <c r="G1622" s="33"/>
      <c r="H1622" s="33"/>
      <c r="I1622" s="33"/>
    </row>
    <row r="1623" spans="2:9" ht="15.75">
      <c r="B1623" s="35"/>
      <c r="C1623" s="39"/>
      <c r="D1623" s="35"/>
      <c r="E1623" s="33"/>
      <c r="F1623" s="35"/>
      <c r="G1623" s="39"/>
      <c r="H1623" s="35"/>
      <c r="I1623" s="39"/>
    </row>
    <row r="1624" spans="2:9" ht="15.75">
      <c r="B1624" s="35"/>
      <c r="C1624" s="39"/>
      <c r="D1624" s="35"/>
      <c r="E1624" s="37"/>
      <c r="F1624" s="35"/>
      <c r="G1624" s="39"/>
      <c r="H1624" s="35"/>
      <c r="I1624" s="39"/>
    </row>
    <row r="1625" spans="2:9" ht="15.75">
      <c r="B1625" s="35"/>
      <c r="C1625" s="38"/>
      <c r="D1625" s="35"/>
      <c r="E1625" s="38"/>
      <c r="F1625" s="35"/>
      <c r="G1625" s="38"/>
      <c r="H1625" s="35"/>
      <c r="I1625" s="38"/>
    </row>
    <row r="1626" spans="2:9" ht="15.75">
      <c r="B1626" s="35"/>
      <c r="C1626" s="39"/>
      <c r="D1626" s="35"/>
      <c r="E1626" s="37"/>
      <c r="F1626" s="35"/>
      <c r="G1626" s="39"/>
      <c r="H1626" s="35"/>
      <c r="I1626" s="39"/>
    </row>
    <row r="1627" spans="2:9" ht="15.75">
      <c r="B1627" s="35"/>
      <c r="C1627" s="39"/>
      <c r="D1627" s="35"/>
      <c r="E1627" s="37"/>
      <c r="F1627" s="35"/>
      <c r="G1627" s="39"/>
      <c r="H1627" s="35"/>
      <c r="I1627" s="39"/>
    </row>
    <row r="1628" spans="2:9">
      <c r="B1628" s="33"/>
      <c r="C1628" s="33"/>
      <c r="D1628" s="33"/>
      <c r="E1628" s="33"/>
      <c r="F1628" s="33"/>
      <c r="G1628" s="33"/>
      <c r="H1628" s="33"/>
      <c r="I1628" s="33"/>
    </row>
    <row r="1629" spans="2:9" ht="15.75">
      <c r="B1629" s="38"/>
      <c r="C1629" s="33"/>
      <c r="D1629" s="38"/>
      <c r="E1629" s="33"/>
      <c r="F1629" s="38"/>
      <c r="G1629" s="33"/>
      <c r="H1629" s="38"/>
      <c r="I1629" s="33"/>
    </row>
    <row r="1630" spans="2:9" ht="15.75">
      <c r="B1630" s="39"/>
      <c r="C1630" s="33"/>
      <c r="D1630" s="33"/>
      <c r="E1630" s="33"/>
      <c r="F1630" s="33"/>
      <c r="G1630" s="33"/>
      <c r="H1630" s="33"/>
      <c r="I1630" s="33"/>
    </row>
    <row r="1631" spans="2:9" ht="15.75">
      <c r="B1631" s="35"/>
      <c r="C1631" s="39"/>
      <c r="D1631" s="35"/>
      <c r="E1631" s="33"/>
      <c r="F1631" s="35"/>
      <c r="G1631" s="39"/>
      <c r="H1631" s="35"/>
    </row>
    <row r="1632" spans="2:9" ht="15.75">
      <c r="B1632" s="35"/>
      <c r="C1632" s="39"/>
      <c r="D1632" s="35"/>
      <c r="E1632" s="37"/>
      <c r="F1632" s="35"/>
      <c r="G1632" s="39"/>
      <c r="H1632" s="35"/>
    </row>
    <row r="1633" spans="2:9" ht="15.75">
      <c r="B1633" s="35"/>
      <c r="C1633" s="38"/>
      <c r="D1633" s="35"/>
      <c r="E1633" s="38"/>
      <c r="F1633" s="35"/>
      <c r="G1633" s="38"/>
      <c r="H1633" s="35"/>
    </row>
    <row r="1634" spans="2:9" ht="15.75">
      <c r="B1634" s="35"/>
      <c r="C1634" s="39"/>
      <c r="D1634" s="35"/>
      <c r="E1634" s="37"/>
      <c r="F1634" s="35"/>
      <c r="G1634" s="39"/>
      <c r="H1634" s="35"/>
    </row>
    <row r="1635" spans="2:9" ht="15.75">
      <c r="B1635" s="35"/>
      <c r="C1635" s="39"/>
      <c r="D1635" s="35"/>
      <c r="E1635" s="37"/>
      <c r="F1635" s="35"/>
      <c r="G1635" s="39"/>
      <c r="H1635" s="35"/>
    </row>
    <row r="1637" spans="2:9">
      <c r="B1637" s="43"/>
      <c r="D1637" s="44"/>
    </row>
    <row r="1638" spans="2:9">
      <c r="B1638" s="45"/>
    </row>
    <row r="1639" spans="2:9">
      <c r="B1639" s="46"/>
      <c r="D1639" s="47"/>
    </row>
    <row r="1640" spans="2:9">
      <c r="B1640" s="50"/>
      <c r="C1640" s="49"/>
      <c r="D1640" s="49"/>
    </row>
    <row r="1641" spans="2:9">
      <c r="B1641" s="42"/>
    </row>
    <row r="1643" spans="2:9" ht="15.75">
      <c r="B1643" s="35"/>
      <c r="C1643" s="54"/>
      <c r="D1643" s="35"/>
      <c r="E1643" s="33"/>
      <c r="F1643" s="35"/>
      <c r="G1643" s="39"/>
      <c r="H1643" s="35"/>
      <c r="I1643" s="39"/>
    </row>
    <row r="1644" spans="2:9" ht="15.75">
      <c r="B1644" s="35"/>
      <c r="C1644" s="54"/>
      <c r="D1644" s="35"/>
      <c r="E1644" s="36"/>
      <c r="F1644" s="35"/>
      <c r="G1644" s="39"/>
      <c r="H1644" s="35"/>
      <c r="I1644" s="39"/>
    </row>
    <row r="1645" spans="2:9" ht="15.75">
      <c r="B1645" s="35"/>
      <c r="C1645" s="40"/>
      <c r="D1645" s="35"/>
      <c r="E1645" s="40"/>
      <c r="F1645" s="35"/>
      <c r="G1645" s="38"/>
      <c r="H1645" s="35"/>
      <c r="I1645" s="38"/>
    </row>
    <row r="1646" spans="2:9" ht="15.75">
      <c r="B1646" s="35"/>
      <c r="C1646" s="54"/>
      <c r="D1646" s="35"/>
      <c r="E1646" s="36"/>
      <c r="F1646" s="35"/>
      <c r="G1646" s="39"/>
      <c r="H1646" s="35"/>
      <c r="I1646" s="38"/>
    </row>
    <row r="1647" spans="2:9" ht="15.75">
      <c r="B1647" s="53"/>
      <c r="C1647" s="54"/>
      <c r="D1647" s="35"/>
      <c r="E1647" s="36"/>
      <c r="F1647" s="35"/>
      <c r="G1647" s="39"/>
      <c r="H1647" s="35"/>
      <c r="I1647" s="39"/>
    </row>
    <row r="1648" spans="2:9">
      <c r="B1648" s="33"/>
      <c r="C1648" s="34"/>
      <c r="D1648" s="33"/>
      <c r="E1648" s="33"/>
      <c r="F1648" s="33"/>
      <c r="G1648" s="33"/>
      <c r="H1648" s="33"/>
      <c r="I1648" s="33"/>
    </row>
    <row r="1649" spans="2:9" ht="15.75">
      <c r="B1649" s="38"/>
      <c r="C1649" s="34"/>
      <c r="D1649" s="38"/>
      <c r="E1649" s="33"/>
      <c r="F1649" s="38"/>
      <c r="G1649" s="33"/>
      <c r="H1649" s="38"/>
      <c r="I1649" s="33"/>
    </row>
    <row r="1650" spans="2:9" ht="15.75">
      <c r="B1650" s="39"/>
      <c r="C1650" s="33"/>
      <c r="D1650" s="33"/>
      <c r="E1650" s="33"/>
      <c r="F1650" s="33"/>
      <c r="G1650" s="33"/>
      <c r="H1650" s="33"/>
      <c r="I1650" s="33"/>
    </row>
    <row r="1651" spans="2:9" ht="15.75">
      <c r="B1651" s="35"/>
      <c r="C1651" s="39"/>
      <c r="D1651" s="35"/>
      <c r="E1651" s="33"/>
      <c r="F1651" s="35"/>
      <c r="G1651" s="39"/>
      <c r="H1651" s="35"/>
      <c r="I1651" s="39"/>
    </row>
    <row r="1652" spans="2:9" ht="15.75">
      <c r="B1652" s="35"/>
      <c r="C1652" s="39"/>
      <c r="D1652" s="35"/>
      <c r="E1652" s="37"/>
      <c r="F1652" s="35"/>
      <c r="G1652" s="39"/>
      <c r="H1652" s="35"/>
      <c r="I1652" s="39"/>
    </row>
    <row r="1653" spans="2:9" ht="15.75">
      <c r="B1653" s="35"/>
      <c r="C1653" s="38"/>
      <c r="D1653" s="35"/>
      <c r="E1653" s="38"/>
      <c r="F1653" s="35"/>
      <c r="G1653" s="38"/>
      <c r="H1653" s="35"/>
      <c r="I1653" s="38"/>
    </row>
    <row r="1654" spans="2:9" ht="15.75">
      <c r="B1654" s="35"/>
      <c r="C1654" s="39"/>
      <c r="D1654" s="35"/>
      <c r="E1654" s="37"/>
      <c r="F1654" s="35"/>
      <c r="G1654" s="39"/>
      <c r="H1654" s="35"/>
      <c r="I1654" s="39"/>
    </row>
    <row r="1655" spans="2:9" ht="15.75">
      <c r="B1655" s="35"/>
      <c r="C1655" s="39"/>
      <c r="D1655" s="35"/>
      <c r="E1655" s="37"/>
      <c r="F1655" s="35"/>
      <c r="G1655" s="39"/>
      <c r="H1655" s="35"/>
      <c r="I1655" s="39"/>
    </row>
    <row r="1656" spans="2:9">
      <c r="B1656" s="33"/>
      <c r="C1656" s="33"/>
      <c r="D1656" s="33"/>
      <c r="E1656" s="33"/>
      <c r="F1656" s="33"/>
      <c r="G1656" s="33"/>
      <c r="H1656" s="33"/>
      <c r="I1656" s="33"/>
    </row>
    <row r="1657" spans="2:9" ht="15.75">
      <c r="B1657" s="38"/>
      <c r="C1657" s="33"/>
      <c r="D1657" s="38"/>
      <c r="E1657" s="33"/>
      <c r="F1657" s="38"/>
      <c r="G1657" s="33"/>
      <c r="H1657" s="38"/>
      <c r="I1657" s="33"/>
    </row>
    <row r="1658" spans="2:9" ht="15.75">
      <c r="B1658" s="39"/>
      <c r="C1658" s="33"/>
      <c r="D1658" s="33"/>
      <c r="E1658" s="33"/>
      <c r="F1658" s="33"/>
      <c r="G1658" s="33"/>
      <c r="H1658" s="33"/>
      <c r="I1658" s="33"/>
    </row>
    <row r="1659" spans="2:9" ht="15.75">
      <c r="B1659" s="35"/>
      <c r="C1659" s="39"/>
      <c r="D1659" s="35"/>
      <c r="E1659" s="33"/>
      <c r="F1659" s="35"/>
      <c r="G1659" s="39"/>
      <c r="H1659" s="35"/>
    </row>
    <row r="1660" spans="2:9" ht="15.75">
      <c r="B1660" s="35"/>
      <c r="C1660" s="39"/>
      <c r="D1660" s="35"/>
      <c r="E1660" s="37"/>
      <c r="F1660" s="35"/>
      <c r="G1660" s="39"/>
      <c r="H1660" s="35"/>
    </row>
    <row r="1661" spans="2:9" ht="15.75">
      <c r="B1661" s="35"/>
      <c r="C1661" s="38"/>
      <c r="D1661" s="35"/>
      <c r="E1661" s="38"/>
      <c r="F1661" s="35"/>
      <c r="G1661" s="38"/>
      <c r="H1661" s="35"/>
    </row>
    <row r="1662" spans="2:9" ht="15.75">
      <c r="B1662" s="35"/>
      <c r="C1662" s="39"/>
      <c r="D1662" s="35"/>
      <c r="E1662" s="37"/>
      <c r="F1662" s="35"/>
      <c r="G1662" s="39"/>
      <c r="H1662" s="35"/>
    </row>
    <row r="1663" spans="2:9" ht="15.75">
      <c r="B1663" s="35"/>
      <c r="C1663" s="39"/>
      <c r="D1663" s="35"/>
      <c r="E1663" s="37"/>
      <c r="F1663" s="35"/>
      <c r="G1663" s="39"/>
      <c r="H1663" s="35"/>
    </row>
    <row r="1665" spans="2:9">
      <c r="B1665" s="43"/>
      <c r="D1665" s="44"/>
    </row>
    <row r="1666" spans="2:9">
      <c r="B1666" s="45"/>
    </row>
    <row r="1667" spans="2:9">
      <c r="B1667" s="46"/>
      <c r="D1667" s="47"/>
    </row>
    <row r="1668" spans="2:9">
      <c r="B1668" s="50"/>
      <c r="C1668" s="49"/>
      <c r="D1668" s="49"/>
    </row>
    <row r="1669" spans="2:9">
      <c r="B1669" s="42"/>
    </row>
    <row r="1671" spans="2:9" ht="15.75">
      <c r="B1671" s="35"/>
      <c r="C1671" s="54"/>
      <c r="D1671" s="35"/>
      <c r="E1671" s="33"/>
      <c r="F1671" s="35"/>
      <c r="G1671" s="39"/>
      <c r="H1671" s="35"/>
      <c r="I1671" s="39"/>
    </row>
    <row r="1672" spans="2:9" ht="15.75">
      <c r="B1672" s="35"/>
      <c r="C1672" s="54"/>
      <c r="D1672" s="35"/>
      <c r="E1672" s="36"/>
      <c r="F1672" s="35"/>
      <c r="G1672" s="39"/>
      <c r="H1672" s="35"/>
      <c r="I1672" s="39"/>
    </row>
    <row r="1673" spans="2:9" ht="15.75">
      <c r="B1673" s="35"/>
      <c r="C1673" s="40"/>
      <c r="D1673" s="35"/>
      <c r="E1673" s="40"/>
      <c r="F1673" s="35"/>
      <c r="G1673" s="38"/>
      <c r="H1673" s="35"/>
      <c r="I1673" s="38"/>
    </row>
    <row r="1674" spans="2:9" ht="15.75">
      <c r="B1674" s="35"/>
      <c r="C1674" s="54"/>
      <c r="D1674" s="35"/>
      <c r="E1674" s="36"/>
      <c r="F1674" s="35"/>
      <c r="G1674" s="39"/>
      <c r="H1674" s="35"/>
      <c r="I1674" s="38"/>
    </row>
    <row r="1675" spans="2:9" ht="15.75">
      <c r="B1675" s="53"/>
      <c r="C1675" s="54"/>
      <c r="D1675" s="35"/>
      <c r="E1675" s="36"/>
      <c r="F1675" s="35"/>
      <c r="G1675" s="39"/>
      <c r="H1675" s="35"/>
      <c r="I1675" s="39"/>
    </row>
    <row r="1676" spans="2:9">
      <c r="B1676" s="33"/>
      <c r="C1676" s="34"/>
      <c r="D1676" s="33"/>
      <c r="E1676" s="33"/>
      <c r="F1676" s="33"/>
      <c r="G1676" s="33"/>
      <c r="H1676" s="33"/>
      <c r="I1676" s="33"/>
    </row>
    <row r="1677" spans="2:9" ht="15.75">
      <c r="B1677" s="38"/>
      <c r="C1677" s="34"/>
      <c r="D1677" s="38"/>
      <c r="E1677" s="33"/>
      <c r="F1677" s="38"/>
      <c r="G1677" s="33"/>
      <c r="H1677" s="38"/>
      <c r="I1677" s="33"/>
    </row>
    <row r="1678" spans="2:9" ht="15.75">
      <c r="B1678" s="39"/>
      <c r="C1678" s="33"/>
      <c r="D1678" s="33"/>
      <c r="E1678" s="33"/>
      <c r="F1678" s="33"/>
      <c r="G1678" s="33"/>
      <c r="H1678" s="33"/>
      <c r="I1678" s="33"/>
    </row>
    <row r="1679" spans="2:9" ht="15.75">
      <c r="B1679" s="35"/>
      <c r="C1679" s="39"/>
      <c r="D1679" s="35"/>
      <c r="E1679" s="33"/>
      <c r="F1679" s="35"/>
      <c r="G1679" s="39"/>
      <c r="H1679" s="35"/>
      <c r="I1679" s="39"/>
    </row>
    <row r="1680" spans="2:9" ht="15.75">
      <c r="B1680" s="35"/>
      <c r="C1680" s="39"/>
      <c r="D1680" s="35"/>
      <c r="E1680" s="37"/>
      <c r="F1680" s="35"/>
      <c r="G1680" s="39"/>
      <c r="H1680" s="35"/>
      <c r="I1680" s="39"/>
    </row>
    <row r="1681" spans="2:9" ht="15.75">
      <c r="B1681" s="35"/>
      <c r="C1681" s="38"/>
      <c r="D1681" s="35"/>
      <c r="E1681" s="38"/>
      <c r="F1681" s="35"/>
      <c r="G1681" s="38"/>
      <c r="H1681" s="35"/>
      <c r="I1681" s="38"/>
    </row>
    <row r="1682" spans="2:9" ht="15.75">
      <c r="B1682" s="35"/>
      <c r="C1682" s="39"/>
      <c r="D1682" s="35"/>
      <c r="E1682" s="37"/>
      <c r="F1682" s="35"/>
      <c r="G1682" s="39"/>
      <c r="H1682" s="35"/>
      <c r="I1682" s="39"/>
    </row>
    <row r="1683" spans="2:9" ht="15.75">
      <c r="B1683" s="35"/>
      <c r="C1683" s="39"/>
      <c r="D1683" s="35"/>
      <c r="E1683" s="37"/>
      <c r="F1683" s="35"/>
      <c r="G1683" s="39"/>
      <c r="H1683" s="35"/>
      <c r="I1683" s="39"/>
    </row>
    <row r="1684" spans="2:9">
      <c r="B1684" s="33"/>
      <c r="C1684" s="33"/>
      <c r="D1684" s="33"/>
      <c r="E1684" s="33"/>
      <c r="F1684" s="33"/>
      <c r="G1684" s="33"/>
      <c r="H1684" s="33"/>
      <c r="I1684" s="33"/>
    </row>
    <row r="1685" spans="2:9" ht="15.75">
      <c r="B1685" s="38"/>
      <c r="C1685" s="33"/>
      <c r="D1685" s="38"/>
      <c r="E1685" s="33"/>
      <c r="F1685" s="38"/>
      <c r="G1685" s="33"/>
      <c r="H1685" s="38"/>
      <c r="I1685" s="33"/>
    </row>
    <row r="1686" spans="2:9" ht="15.75">
      <c r="B1686" s="39"/>
      <c r="C1686" s="33"/>
      <c r="D1686" s="33"/>
      <c r="E1686" s="33"/>
      <c r="F1686" s="33"/>
      <c r="G1686" s="33"/>
      <c r="H1686" s="33"/>
      <c r="I1686" s="33"/>
    </row>
    <row r="1687" spans="2:9" ht="15.75">
      <c r="B1687" s="35"/>
      <c r="C1687" s="39"/>
      <c r="D1687" s="35"/>
      <c r="E1687" s="33"/>
      <c r="F1687" s="35"/>
      <c r="G1687" s="39"/>
      <c r="H1687" s="35"/>
    </row>
    <row r="1688" spans="2:9" ht="15.75">
      <c r="B1688" s="35"/>
      <c r="C1688" s="39"/>
      <c r="D1688" s="35"/>
      <c r="E1688" s="37"/>
      <c r="F1688" s="35"/>
      <c r="G1688" s="39"/>
      <c r="H1688" s="35"/>
    </row>
    <row r="1689" spans="2:9" ht="15.75">
      <c r="B1689" s="35"/>
      <c r="C1689" s="38"/>
      <c r="D1689" s="35"/>
      <c r="E1689" s="38"/>
      <c r="F1689" s="35"/>
      <c r="G1689" s="38"/>
      <c r="H1689" s="35"/>
    </row>
    <row r="1690" spans="2:9" ht="15.75">
      <c r="B1690" s="35"/>
      <c r="C1690" s="39"/>
      <c r="D1690" s="35"/>
      <c r="E1690" s="37"/>
      <c r="F1690" s="35"/>
      <c r="G1690" s="39"/>
      <c r="H1690" s="35"/>
    </row>
    <row r="1691" spans="2:9" ht="15.75">
      <c r="B1691" s="35"/>
      <c r="C1691" s="39"/>
      <c r="D1691" s="35"/>
      <c r="E1691" s="37"/>
      <c r="F1691" s="35"/>
      <c r="G1691" s="39"/>
      <c r="H1691" s="35"/>
    </row>
    <row r="1693" spans="2:9">
      <c r="B1693" s="43"/>
      <c r="D1693" s="44"/>
    </row>
    <row r="1694" spans="2:9">
      <c r="B1694" s="45"/>
    </row>
    <row r="1695" spans="2:9">
      <c r="B1695" s="46"/>
      <c r="D1695" s="47"/>
    </row>
    <row r="1697" spans="2:9">
      <c r="B1697" s="55"/>
    </row>
    <row r="1699" spans="2:9">
      <c r="B1699" s="42"/>
    </row>
    <row r="1701" spans="2:9" ht="15.75">
      <c r="B1701" s="35"/>
      <c r="C1701" s="54"/>
      <c r="D1701" s="35"/>
      <c r="E1701" s="33"/>
      <c r="F1701" s="35"/>
      <c r="G1701" s="39"/>
      <c r="H1701" s="35"/>
      <c r="I1701" s="39"/>
    </row>
    <row r="1702" spans="2:9" ht="15.75">
      <c r="B1702" s="35"/>
      <c r="C1702" s="54"/>
      <c r="D1702" s="35"/>
      <c r="E1702" s="36"/>
      <c r="F1702" s="35"/>
      <c r="G1702" s="39"/>
      <c r="H1702" s="35"/>
      <c r="I1702" s="39"/>
    </row>
    <row r="1703" spans="2:9" ht="15.75">
      <c r="B1703" s="35"/>
      <c r="C1703" s="40"/>
      <c r="D1703" s="35"/>
      <c r="E1703" s="40"/>
      <c r="F1703" s="35"/>
      <c r="G1703" s="38"/>
      <c r="H1703" s="35"/>
      <c r="I1703" s="38"/>
    </row>
    <row r="1704" spans="2:9" ht="15.75">
      <c r="B1704" s="35"/>
      <c r="C1704" s="54"/>
      <c r="D1704" s="35"/>
      <c r="E1704" s="36"/>
      <c r="F1704" s="35"/>
      <c r="G1704" s="39"/>
      <c r="H1704" s="35"/>
      <c r="I1704" s="38"/>
    </row>
    <row r="1705" spans="2:9" ht="15.75">
      <c r="B1705" s="53"/>
      <c r="C1705" s="54"/>
      <c r="D1705" s="35"/>
      <c r="E1705" s="36"/>
      <c r="F1705" s="35"/>
      <c r="G1705" s="39"/>
      <c r="H1705" s="35"/>
      <c r="I1705" s="39"/>
    </row>
    <row r="1706" spans="2:9">
      <c r="B1706" s="33"/>
      <c r="C1706" s="34"/>
      <c r="D1706" s="33"/>
      <c r="E1706" s="33"/>
      <c r="F1706" s="33"/>
      <c r="G1706" s="33"/>
      <c r="H1706" s="33"/>
      <c r="I1706" s="33"/>
    </row>
    <row r="1707" spans="2:9" ht="15.75">
      <c r="B1707" s="38"/>
      <c r="C1707" s="34"/>
      <c r="D1707" s="38"/>
      <c r="E1707" s="33"/>
      <c r="F1707" s="38"/>
      <c r="G1707" s="33"/>
      <c r="H1707" s="38"/>
      <c r="I1707" s="33"/>
    </row>
    <row r="1708" spans="2:9" ht="15.75">
      <c r="B1708" s="39"/>
      <c r="C1708" s="33"/>
      <c r="D1708" s="33"/>
      <c r="E1708" s="33"/>
      <c r="F1708" s="33"/>
      <c r="G1708" s="33"/>
      <c r="H1708" s="33"/>
      <c r="I1708" s="33"/>
    </row>
    <row r="1709" spans="2:9" ht="15.75">
      <c r="B1709" s="35"/>
      <c r="C1709" s="39"/>
      <c r="D1709" s="35"/>
      <c r="E1709" s="33"/>
      <c r="F1709" s="35"/>
      <c r="G1709" s="39"/>
      <c r="H1709" s="35"/>
      <c r="I1709" s="39"/>
    </row>
    <row r="1710" spans="2:9" ht="15.75">
      <c r="B1710" s="35"/>
      <c r="C1710" s="39"/>
      <c r="D1710" s="35"/>
      <c r="E1710" s="37"/>
      <c r="F1710" s="35"/>
      <c r="G1710" s="39"/>
      <c r="H1710" s="35"/>
      <c r="I1710" s="39"/>
    </row>
    <row r="1711" spans="2:9" ht="15.75">
      <c r="B1711" s="35"/>
      <c r="C1711" s="38"/>
      <c r="D1711" s="35"/>
      <c r="E1711" s="38"/>
      <c r="F1711" s="35"/>
      <c r="G1711" s="38"/>
      <c r="H1711" s="35"/>
      <c r="I1711" s="38"/>
    </row>
    <row r="1712" spans="2:9" ht="15.75">
      <c r="B1712" s="35"/>
      <c r="C1712" s="39"/>
      <c r="D1712" s="35"/>
      <c r="E1712" s="37"/>
      <c r="F1712" s="35"/>
      <c r="G1712" s="39"/>
      <c r="H1712" s="35"/>
      <c r="I1712" s="39"/>
    </row>
    <row r="1713" spans="2:9" ht="15.75">
      <c r="B1713" s="35"/>
      <c r="C1713" s="39"/>
      <c r="D1713" s="35"/>
      <c r="E1713" s="37"/>
      <c r="F1713" s="35"/>
      <c r="G1713" s="39"/>
      <c r="H1713" s="35"/>
      <c r="I1713" s="39"/>
    </row>
    <row r="1714" spans="2:9">
      <c r="B1714" s="33"/>
      <c r="C1714" s="33"/>
      <c r="D1714" s="33"/>
      <c r="E1714" s="33"/>
      <c r="F1714" s="33"/>
      <c r="G1714" s="33"/>
      <c r="H1714" s="33"/>
      <c r="I1714" s="33"/>
    </row>
    <row r="1715" spans="2:9" ht="15.75">
      <c r="B1715" s="38"/>
      <c r="C1715" s="33"/>
      <c r="D1715" s="38"/>
      <c r="E1715" s="33"/>
      <c r="F1715" s="38"/>
      <c r="G1715" s="33"/>
      <c r="H1715" s="38"/>
      <c r="I1715" s="33"/>
    </row>
    <row r="1716" spans="2:9" ht="15.75">
      <c r="B1716" s="39"/>
      <c r="C1716" s="33"/>
      <c r="D1716" s="33"/>
      <c r="E1716" s="33"/>
      <c r="F1716" s="33"/>
      <c r="G1716" s="33"/>
      <c r="H1716" s="33"/>
      <c r="I1716" s="33"/>
    </row>
    <row r="1717" spans="2:9" ht="15.75">
      <c r="B1717" s="35"/>
      <c r="C1717" s="39"/>
      <c r="D1717" s="35"/>
      <c r="E1717" s="33"/>
      <c r="F1717" s="35"/>
      <c r="G1717" s="39"/>
      <c r="H1717" s="35"/>
    </row>
    <row r="1718" spans="2:9" ht="15.75">
      <c r="B1718" s="35"/>
      <c r="C1718" s="39"/>
      <c r="D1718" s="35"/>
      <c r="E1718" s="37"/>
      <c r="F1718" s="35"/>
      <c r="G1718" s="39"/>
      <c r="H1718" s="35"/>
    </row>
    <row r="1719" spans="2:9" ht="15.75">
      <c r="B1719" s="35"/>
      <c r="C1719" s="38"/>
      <c r="D1719" s="35"/>
      <c r="E1719" s="38"/>
      <c r="F1719" s="35"/>
      <c r="G1719" s="38"/>
      <c r="H1719" s="35"/>
    </row>
    <row r="1720" spans="2:9" ht="15.75">
      <c r="B1720" s="35"/>
      <c r="C1720" s="39"/>
      <c r="D1720" s="35"/>
      <c r="E1720" s="37"/>
      <c r="F1720" s="35"/>
      <c r="G1720" s="39"/>
      <c r="H1720" s="35"/>
    </row>
    <row r="1721" spans="2:9" ht="15.75">
      <c r="B1721" s="35"/>
      <c r="C1721" s="39"/>
      <c r="D1721" s="35"/>
      <c r="E1721" s="37"/>
      <c r="F1721" s="35"/>
      <c r="G1721" s="39"/>
      <c r="H1721" s="35"/>
    </row>
    <row r="1723" spans="2:9">
      <c r="B1723" s="43"/>
      <c r="D1723" s="44"/>
    </row>
    <row r="1724" spans="2:9">
      <c r="B1724" s="45"/>
    </row>
    <row r="1725" spans="2:9">
      <c r="B1725" s="46"/>
      <c r="D1725" s="47"/>
    </row>
    <row r="1727" spans="2:9">
      <c r="B1727" s="42"/>
    </row>
    <row r="1729" spans="2:9" ht="15.75">
      <c r="B1729" s="35"/>
      <c r="C1729" s="54"/>
      <c r="D1729" s="35"/>
      <c r="E1729" s="33"/>
      <c r="F1729" s="35"/>
      <c r="G1729" s="39"/>
      <c r="H1729" s="35"/>
      <c r="I1729" s="39"/>
    </row>
    <row r="1730" spans="2:9" ht="15.75">
      <c r="B1730" s="35"/>
      <c r="C1730" s="54"/>
      <c r="D1730" s="35"/>
      <c r="E1730" s="36"/>
      <c r="F1730" s="35"/>
      <c r="G1730" s="39"/>
      <c r="H1730" s="35"/>
      <c r="I1730" s="39"/>
    </row>
    <row r="1731" spans="2:9" ht="15.75">
      <c r="B1731" s="35"/>
      <c r="C1731" s="40"/>
      <c r="D1731" s="35"/>
      <c r="E1731" s="40"/>
      <c r="F1731" s="35"/>
      <c r="G1731" s="38"/>
      <c r="H1731" s="35"/>
      <c r="I1731" s="38"/>
    </row>
    <row r="1732" spans="2:9" ht="15.75">
      <c r="B1732" s="35"/>
      <c r="C1732" s="54"/>
      <c r="D1732" s="35"/>
      <c r="E1732" s="36"/>
      <c r="F1732" s="35"/>
      <c r="G1732" s="39"/>
      <c r="H1732" s="35"/>
      <c r="I1732" s="38"/>
    </row>
    <row r="1733" spans="2:9" ht="15.75">
      <c r="B1733" s="53"/>
      <c r="C1733" s="54"/>
      <c r="D1733" s="35"/>
      <c r="E1733" s="36"/>
      <c r="F1733" s="35"/>
      <c r="G1733" s="39"/>
      <c r="H1733" s="35"/>
      <c r="I1733" s="39"/>
    </row>
    <row r="1734" spans="2:9">
      <c r="B1734" s="33"/>
      <c r="C1734" s="34"/>
      <c r="D1734" s="33"/>
      <c r="E1734" s="33"/>
      <c r="F1734" s="33"/>
      <c r="G1734" s="33"/>
      <c r="H1734" s="33"/>
      <c r="I1734" s="33"/>
    </row>
    <row r="1735" spans="2:9" ht="15.75">
      <c r="B1735" s="38"/>
      <c r="C1735" s="34"/>
      <c r="D1735" s="38"/>
      <c r="E1735" s="33"/>
      <c r="F1735" s="38"/>
      <c r="G1735" s="33"/>
      <c r="H1735" s="38"/>
      <c r="I1735" s="33"/>
    </row>
    <row r="1736" spans="2:9" ht="15.75">
      <c r="B1736" s="39"/>
      <c r="C1736" s="33"/>
      <c r="D1736" s="33"/>
      <c r="E1736" s="33"/>
      <c r="F1736" s="33"/>
      <c r="G1736" s="33"/>
      <c r="H1736" s="33"/>
      <c r="I1736" s="33"/>
    </row>
    <row r="1737" spans="2:9" ht="15.75">
      <c r="B1737" s="35"/>
      <c r="C1737" s="39"/>
      <c r="D1737" s="35"/>
      <c r="E1737" s="33"/>
      <c r="F1737" s="35"/>
      <c r="G1737" s="39"/>
      <c r="H1737" s="35"/>
      <c r="I1737" s="39"/>
    </row>
    <row r="1738" spans="2:9" ht="15.75">
      <c r="B1738" s="35"/>
      <c r="C1738" s="39"/>
      <c r="D1738" s="35"/>
      <c r="E1738" s="37"/>
      <c r="F1738" s="35"/>
      <c r="G1738" s="39"/>
      <c r="H1738" s="35"/>
      <c r="I1738" s="39"/>
    </row>
    <row r="1739" spans="2:9" ht="15.75">
      <c r="B1739" s="35"/>
      <c r="C1739" s="38"/>
      <c r="D1739" s="35"/>
      <c r="E1739" s="38"/>
      <c r="F1739" s="35"/>
      <c r="G1739" s="38"/>
      <c r="H1739" s="35"/>
      <c r="I1739" s="38"/>
    </row>
    <row r="1740" spans="2:9" ht="15.75">
      <c r="B1740" s="35"/>
      <c r="C1740" s="39"/>
      <c r="D1740" s="35"/>
      <c r="E1740" s="37"/>
      <c r="F1740" s="35"/>
      <c r="G1740" s="39"/>
      <c r="H1740" s="35"/>
      <c r="I1740" s="39"/>
    </row>
    <row r="1741" spans="2:9" ht="15.75">
      <c r="B1741" s="35"/>
      <c r="C1741" s="39"/>
      <c r="D1741" s="35"/>
      <c r="E1741" s="37"/>
      <c r="F1741" s="35"/>
      <c r="G1741" s="39"/>
      <c r="H1741" s="35"/>
      <c r="I1741" s="39"/>
    </row>
    <row r="1742" spans="2:9">
      <c r="B1742" s="33"/>
      <c r="C1742" s="33"/>
      <c r="D1742" s="33"/>
      <c r="E1742" s="33"/>
      <c r="F1742" s="33"/>
      <c r="G1742" s="33"/>
      <c r="H1742" s="33"/>
      <c r="I1742" s="33"/>
    </row>
    <row r="1743" spans="2:9" ht="15.75">
      <c r="B1743" s="38"/>
      <c r="C1743" s="33"/>
      <c r="D1743" s="38"/>
      <c r="E1743" s="33"/>
      <c r="F1743" s="38"/>
      <c r="G1743" s="33"/>
      <c r="H1743" s="38"/>
      <c r="I1743" s="33"/>
    </row>
    <row r="1744" spans="2:9" ht="15.75">
      <c r="B1744" s="39"/>
      <c r="C1744" s="33"/>
      <c r="D1744" s="33"/>
      <c r="E1744" s="33"/>
      <c r="F1744" s="33"/>
      <c r="G1744" s="33"/>
      <c r="H1744" s="33"/>
      <c r="I1744" s="33"/>
    </row>
    <row r="1745" spans="2:9" ht="15.75">
      <c r="B1745" s="35"/>
      <c r="C1745" s="39"/>
      <c r="D1745" s="35"/>
      <c r="E1745" s="33"/>
      <c r="F1745" s="35"/>
      <c r="G1745" s="39"/>
      <c r="H1745" s="35"/>
    </row>
    <row r="1746" spans="2:9" ht="15.75">
      <c r="B1746" s="35"/>
      <c r="C1746" s="39"/>
      <c r="D1746" s="35"/>
      <c r="E1746" s="37"/>
      <c r="F1746" s="35"/>
      <c r="G1746" s="39"/>
      <c r="H1746" s="35"/>
    </row>
    <row r="1747" spans="2:9" ht="15.75">
      <c r="B1747" s="35"/>
      <c r="C1747" s="38"/>
      <c r="D1747" s="35"/>
      <c r="E1747" s="38"/>
      <c r="F1747" s="35"/>
      <c r="G1747" s="38"/>
      <c r="H1747" s="35"/>
    </row>
    <row r="1748" spans="2:9" ht="15.75">
      <c r="B1748" s="35"/>
      <c r="C1748" s="39"/>
      <c r="D1748" s="35"/>
      <c r="E1748" s="37"/>
      <c r="F1748" s="35"/>
      <c r="G1748" s="39"/>
      <c r="H1748" s="35"/>
    </row>
    <row r="1749" spans="2:9" ht="15.75">
      <c r="B1749" s="35"/>
      <c r="C1749" s="39"/>
      <c r="D1749" s="35"/>
      <c r="E1749" s="37"/>
      <c r="F1749" s="35"/>
      <c r="G1749" s="39"/>
      <c r="H1749" s="35"/>
    </row>
    <row r="1751" spans="2:9">
      <c r="B1751" s="43"/>
      <c r="D1751" s="44"/>
    </row>
    <row r="1752" spans="2:9">
      <c r="B1752" s="45"/>
    </row>
    <row r="1753" spans="2:9">
      <c r="B1753" s="46"/>
      <c r="D1753" s="47"/>
    </row>
    <row r="1755" spans="2:9">
      <c r="B1755" s="42"/>
    </row>
    <row r="1757" spans="2:9" ht="15.75">
      <c r="B1757" s="35"/>
      <c r="C1757" s="54"/>
      <c r="D1757" s="35"/>
      <c r="E1757" s="33"/>
      <c r="F1757" s="35"/>
      <c r="G1757" s="39"/>
      <c r="H1757" s="35"/>
      <c r="I1757" s="39"/>
    </row>
    <row r="1758" spans="2:9" ht="15.75">
      <c r="B1758" s="35"/>
      <c r="C1758" s="54"/>
      <c r="D1758" s="35"/>
      <c r="E1758" s="36"/>
      <c r="F1758" s="35"/>
      <c r="G1758" s="39"/>
      <c r="H1758" s="35"/>
      <c r="I1758" s="39"/>
    </row>
    <row r="1759" spans="2:9" ht="15.75">
      <c r="B1759" s="35"/>
      <c r="C1759" s="40"/>
      <c r="D1759" s="35"/>
      <c r="E1759" s="40"/>
      <c r="F1759" s="35"/>
      <c r="G1759" s="38"/>
      <c r="H1759" s="35"/>
      <c r="I1759" s="38"/>
    </row>
    <row r="1760" spans="2:9" ht="15.75">
      <c r="B1760" s="35"/>
      <c r="C1760" s="54"/>
      <c r="D1760" s="35"/>
      <c r="E1760" s="36"/>
      <c r="F1760" s="35"/>
      <c r="G1760" s="39"/>
      <c r="H1760" s="35"/>
      <c r="I1760" s="38"/>
    </row>
    <row r="1761" spans="2:9" ht="15.75">
      <c r="B1761" s="53"/>
      <c r="C1761" s="54"/>
      <c r="D1761" s="35"/>
      <c r="E1761" s="36"/>
      <c r="F1761" s="35"/>
      <c r="G1761" s="39"/>
      <c r="H1761" s="35"/>
      <c r="I1761" s="39"/>
    </row>
    <row r="1762" spans="2:9">
      <c r="B1762" s="33"/>
      <c r="C1762" s="34"/>
      <c r="D1762" s="33"/>
      <c r="E1762" s="33"/>
      <c r="F1762" s="33"/>
      <c r="G1762" s="33"/>
      <c r="H1762" s="33"/>
      <c r="I1762" s="33"/>
    </row>
    <row r="1763" spans="2:9" ht="15.75">
      <c r="B1763" s="38"/>
      <c r="C1763" s="34"/>
      <c r="D1763" s="38"/>
      <c r="E1763" s="33"/>
      <c r="F1763" s="38"/>
      <c r="G1763" s="33"/>
      <c r="H1763" s="38"/>
      <c r="I1763" s="33"/>
    </row>
    <row r="1764" spans="2:9" ht="15.75">
      <c r="B1764" s="39"/>
      <c r="C1764" s="33"/>
      <c r="D1764" s="33"/>
      <c r="E1764" s="33"/>
      <c r="F1764" s="33"/>
      <c r="G1764" s="33"/>
      <c r="H1764" s="33"/>
      <c r="I1764" s="33"/>
    </row>
    <row r="1765" spans="2:9" ht="15.75">
      <c r="B1765" s="35"/>
      <c r="C1765" s="39"/>
      <c r="D1765" s="35"/>
      <c r="E1765" s="33"/>
      <c r="F1765" s="35"/>
      <c r="G1765" s="39"/>
      <c r="H1765" s="35"/>
      <c r="I1765" s="39"/>
    </row>
    <row r="1766" spans="2:9" ht="15.75">
      <c r="B1766" s="35"/>
      <c r="C1766" s="39"/>
      <c r="D1766" s="35"/>
      <c r="E1766" s="37"/>
      <c r="F1766" s="35"/>
      <c r="G1766" s="39"/>
      <c r="H1766" s="35"/>
      <c r="I1766" s="39"/>
    </row>
    <row r="1767" spans="2:9" ht="15.75">
      <c r="B1767" s="35"/>
      <c r="C1767" s="38"/>
      <c r="D1767" s="35"/>
      <c r="E1767" s="38"/>
      <c r="F1767" s="35"/>
      <c r="G1767" s="38"/>
      <c r="H1767" s="35"/>
      <c r="I1767" s="38"/>
    </row>
    <row r="1768" spans="2:9" ht="15.75">
      <c r="B1768" s="35"/>
      <c r="C1768" s="39"/>
      <c r="D1768" s="35"/>
      <c r="E1768" s="37"/>
      <c r="F1768" s="35"/>
      <c r="G1768" s="39"/>
      <c r="H1768" s="35"/>
      <c r="I1768" s="39"/>
    </row>
    <row r="1769" spans="2:9" ht="15.75">
      <c r="B1769" s="35"/>
      <c r="C1769" s="39"/>
      <c r="D1769" s="35"/>
      <c r="E1769" s="37"/>
      <c r="F1769" s="35"/>
      <c r="G1769" s="39"/>
      <c r="H1769" s="35"/>
      <c r="I1769" s="39"/>
    </row>
    <row r="1770" spans="2:9">
      <c r="B1770" s="33"/>
      <c r="C1770" s="33"/>
      <c r="D1770" s="33"/>
      <c r="E1770" s="33"/>
      <c r="F1770" s="33"/>
      <c r="G1770" s="33"/>
      <c r="H1770" s="33"/>
      <c r="I1770" s="33"/>
    </row>
    <row r="1771" spans="2:9" ht="15.75">
      <c r="B1771" s="38"/>
      <c r="C1771" s="33"/>
      <c r="D1771" s="38"/>
      <c r="E1771" s="33"/>
      <c r="F1771" s="38"/>
      <c r="G1771" s="33"/>
      <c r="H1771" s="38"/>
      <c r="I1771" s="33"/>
    </row>
    <row r="1772" spans="2:9" ht="15.75">
      <c r="B1772" s="39"/>
      <c r="C1772" s="33"/>
      <c r="D1772" s="33"/>
      <c r="E1772" s="33"/>
      <c r="F1772" s="33"/>
      <c r="G1772" s="33"/>
      <c r="H1772" s="33"/>
      <c r="I1772" s="33"/>
    </row>
    <row r="1773" spans="2:9" ht="15.75">
      <c r="B1773" s="35"/>
      <c r="C1773" s="39"/>
      <c r="D1773" s="35"/>
      <c r="E1773" s="33"/>
      <c r="F1773" s="35"/>
      <c r="G1773" s="39"/>
      <c r="H1773" s="35"/>
    </row>
    <row r="1774" spans="2:9" ht="15.75">
      <c r="B1774" s="35"/>
      <c r="C1774" s="39"/>
      <c r="D1774" s="35"/>
      <c r="E1774" s="37"/>
      <c r="F1774" s="35"/>
      <c r="G1774" s="39"/>
      <c r="H1774" s="35"/>
    </row>
    <row r="1775" spans="2:9" ht="15.75">
      <c r="B1775" s="35"/>
      <c r="C1775" s="38"/>
      <c r="D1775" s="35"/>
      <c r="E1775" s="38"/>
      <c r="F1775" s="35"/>
      <c r="G1775" s="38"/>
      <c r="H1775" s="35"/>
    </row>
    <row r="1776" spans="2:9" ht="15.75">
      <c r="B1776" s="35"/>
      <c r="C1776" s="39"/>
      <c r="D1776" s="35"/>
      <c r="E1776" s="37"/>
      <c r="F1776" s="35"/>
      <c r="G1776" s="39"/>
      <c r="H1776" s="35"/>
    </row>
    <row r="1777" spans="2:9" ht="15.75">
      <c r="B1777" s="35"/>
      <c r="C1777" s="39"/>
      <c r="D1777" s="35"/>
      <c r="E1777" s="37"/>
      <c r="F1777" s="35"/>
      <c r="G1777" s="39"/>
      <c r="H1777" s="35"/>
    </row>
    <row r="1779" spans="2:9">
      <c r="B1779" s="43"/>
      <c r="D1779" s="44"/>
    </row>
    <row r="1780" spans="2:9">
      <c r="B1780" s="45"/>
    </row>
    <row r="1781" spans="2:9">
      <c r="B1781" s="46"/>
      <c r="D1781" s="47"/>
    </row>
    <row r="1783" spans="2:9">
      <c r="B1783" s="42"/>
    </row>
    <row r="1785" spans="2:9" ht="15.75">
      <c r="B1785" s="35"/>
      <c r="C1785" s="54"/>
      <c r="D1785" s="35"/>
      <c r="E1785" s="33"/>
      <c r="F1785" s="35"/>
      <c r="G1785" s="39"/>
      <c r="H1785" s="35"/>
      <c r="I1785" s="39"/>
    </row>
    <row r="1786" spans="2:9" ht="15.75">
      <c r="B1786" s="35"/>
      <c r="C1786" s="54"/>
      <c r="D1786" s="35"/>
      <c r="E1786" s="36"/>
      <c r="F1786" s="35"/>
      <c r="G1786" s="39"/>
      <c r="H1786" s="35"/>
      <c r="I1786" s="39"/>
    </row>
    <row r="1787" spans="2:9" ht="15.75">
      <c r="B1787" s="35"/>
      <c r="C1787" s="40"/>
      <c r="D1787" s="35"/>
      <c r="E1787" s="40"/>
      <c r="F1787" s="35"/>
      <c r="G1787" s="38"/>
      <c r="H1787" s="35"/>
      <c r="I1787" s="38"/>
    </row>
    <row r="1788" spans="2:9" ht="15.75">
      <c r="B1788" s="35"/>
      <c r="C1788" s="54"/>
      <c r="D1788" s="35"/>
      <c r="E1788" s="36"/>
      <c r="F1788" s="35"/>
      <c r="G1788" s="39"/>
      <c r="H1788" s="35"/>
      <c r="I1788" s="38"/>
    </row>
    <row r="1789" spans="2:9" ht="15.75">
      <c r="B1789" s="53"/>
      <c r="C1789" s="54"/>
      <c r="D1789" s="35"/>
      <c r="E1789" s="36"/>
      <c r="F1789" s="35"/>
      <c r="G1789" s="39"/>
      <c r="H1789" s="35"/>
      <c r="I1789" s="39"/>
    </row>
    <row r="1790" spans="2:9">
      <c r="B1790" s="33"/>
      <c r="C1790" s="34"/>
      <c r="D1790" s="33"/>
      <c r="E1790" s="33"/>
      <c r="F1790" s="33"/>
      <c r="G1790" s="33"/>
      <c r="H1790" s="33"/>
      <c r="I1790" s="33"/>
    </row>
    <row r="1791" spans="2:9" ht="15.75">
      <c r="B1791" s="38"/>
      <c r="C1791" s="34"/>
      <c r="D1791" s="38"/>
      <c r="E1791" s="33"/>
      <c r="F1791" s="38"/>
      <c r="G1791" s="33"/>
      <c r="H1791" s="38"/>
      <c r="I1791" s="33"/>
    </row>
    <row r="1792" spans="2:9" ht="15.75">
      <c r="B1792" s="39"/>
      <c r="C1792" s="33"/>
      <c r="D1792" s="33"/>
      <c r="E1792" s="33"/>
      <c r="F1792" s="33"/>
      <c r="G1792" s="33"/>
      <c r="H1792" s="33"/>
      <c r="I1792" s="33"/>
    </row>
    <row r="1793" spans="2:9" ht="15.75">
      <c r="B1793" s="35"/>
      <c r="C1793" s="39"/>
      <c r="D1793" s="35"/>
      <c r="E1793" s="33"/>
      <c r="F1793" s="35"/>
      <c r="G1793" s="39"/>
      <c r="H1793" s="35"/>
      <c r="I1793" s="39"/>
    </row>
    <row r="1794" spans="2:9" ht="15.75">
      <c r="B1794" s="35"/>
      <c r="C1794" s="39"/>
      <c r="D1794" s="35"/>
      <c r="E1794" s="37"/>
      <c r="F1794" s="35"/>
      <c r="G1794" s="39"/>
      <c r="H1794" s="35"/>
      <c r="I1794" s="39"/>
    </row>
    <row r="1795" spans="2:9" ht="15.75">
      <c r="B1795" s="35"/>
      <c r="C1795" s="38"/>
      <c r="D1795" s="35"/>
      <c r="E1795" s="38"/>
      <c r="F1795" s="35"/>
      <c r="G1795" s="38"/>
      <c r="H1795" s="35"/>
      <c r="I1795" s="38"/>
    </row>
    <row r="1796" spans="2:9" ht="15.75">
      <c r="B1796" s="35"/>
      <c r="C1796" s="39"/>
      <c r="D1796" s="35"/>
      <c r="E1796" s="37"/>
      <c r="F1796" s="35"/>
      <c r="G1796" s="39"/>
      <c r="H1796" s="35"/>
      <c r="I1796" s="39"/>
    </row>
    <row r="1797" spans="2:9" ht="15.75">
      <c r="B1797" s="35"/>
      <c r="C1797" s="39"/>
      <c r="D1797" s="35"/>
      <c r="E1797" s="37"/>
      <c r="F1797" s="35"/>
      <c r="G1797" s="39"/>
      <c r="H1797" s="35"/>
      <c r="I1797" s="39"/>
    </row>
    <row r="1798" spans="2:9">
      <c r="B1798" s="33"/>
      <c r="C1798" s="33"/>
      <c r="D1798" s="33"/>
      <c r="E1798" s="33"/>
      <c r="F1798" s="33"/>
      <c r="G1798" s="33"/>
      <c r="H1798" s="33"/>
      <c r="I1798" s="33"/>
    </row>
    <row r="1799" spans="2:9" ht="15.75">
      <c r="B1799" s="38"/>
      <c r="C1799" s="33"/>
      <c r="D1799" s="38"/>
      <c r="E1799" s="33"/>
      <c r="F1799" s="38"/>
      <c r="G1799" s="33"/>
      <c r="H1799" s="38"/>
      <c r="I1799" s="33"/>
    </row>
    <row r="1800" spans="2:9" ht="15.75">
      <c r="B1800" s="39"/>
      <c r="C1800" s="33"/>
      <c r="D1800" s="33"/>
      <c r="E1800" s="33"/>
      <c r="F1800" s="33"/>
      <c r="G1800" s="33"/>
      <c r="H1800" s="33"/>
      <c r="I1800" s="33"/>
    </row>
    <row r="1801" spans="2:9" ht="15.75">
      <c r="B1801" s="35"/>
      <c r="C1801" s="39"/>
      <c r="D1801" s="35"/>
      <c r="E1801" s="33"/>
      <c r="F1801" s="35"/>
      <c r="G1801" s="39"/>
      <c r="H1801" s="35"/>
    </row>
    <row r="1802" spans="2:9" ht="15.75">
      <c r="B1802" s="35"/>
      <c r="C1802" s="39"/>
      <c r="D1802" s="35"/>
      <c r="E1802" s="37"/>
      <c r="F1802" s="35"/>
      <c r="G1802" s="39"/>
      <c r="H1802" s="35"/>
    </row>
    <row r="1803" spans="2:9" ht="15.75">
      <c r="B1803" s="35"/>
      <c r="C1803" s="38"/>
      <c r="D1803" s="35"/>
      <c r="E1803" s="38"/>
      <c r="F1803" s="35"/>
      <c r="G1803" s="38"/>
      <c r="H1803" s="35"/>
    </row>
    <row r="1804" spans="2:9" ht="15.75">
      <c r="B1804" s="35"/>
      <c r="C1804" s="39"/>
      <c r="D1804" s="35"/>
      <c r="E1804" s="37"/>
      <c r="F1804" s="35"/>
      <c r="G1804" s="39"/>
      <c r="H1804" s="35"/>
    </row>
    <row r="1805" spans="2:9" ht="15.75">
      <c r="B1805" s="35"/>
      <c r="C1805" s="39"/>
      <c r="D1805" s="35"/>
      <c r="E1805" s="37"/>
      <c r="F1805" s="35"/>
      <c r="G1805" s="39"/>
      <c r="H1805" s="35"/>
    </row>
    <row r="1807" spans="2:9">
      <c r="B1807" s="43"/>
      <c r="D1807" s="44"/>
    </row>
    <row r="1808" spans="2:9">
      <c r="B1808" s="45"/>
    </row>
    <row r="1809" spans="2:9">
      <c r="B1809" s="46"/>
      <c r="D1809" s="47"/>
    </row>
    <row r="1811" spans="2:9">
      <c r="B1811" s="42"/>
    </row>
    <row r="1813" spans="2:9" ht="15.75">
      <c r="B1813" s="35"/>
      <c r="C1813" s="54"/>
      <c r="D1813" s="35"/>
      <c r="E1813" s="33"/>
      <c r="F1813" s="35"/>
      <c r="G1813" s="39"/>
      <c r="H1813" s="35"/>
      <c r="I1813" s="39"/>
    </row>
    <row r="1814" spans="2:9" ht="15.75">
      <c r="B1814" s="35"/>
      <c r="C1814" s="54"/>
      <c r="D1814" s="35"/>
      <c r="E1814" s="36"/>
      <c r="F1814" s="35"/>
      <c r="G1814" s="39"/>
      <c r="H1814" s="35"/>
      <c r="I1814" s="39"/>
    </row>
    <row r="1815" spans="2:9" ht="15.75">
      <c r="B1815" s="35"/>
      <c r="C1815" s="40"/>
      <c r="D1815" s="35"/>
      <c r="E1815" s="40"/>
      <c r="F1815" s="35"/>
      <c r="G1815" s="38"/>
      <c r="H1815" s="35"/>
      <c r="I1815" s="38"/>
    </row>
    <row r="1816" spans="2:9" ht="15.75">
      <c r="B1816" s="35"/>
      <c r="C1816" s="54"/>
      <c r="D1816" s="35"/>
      <c r="E1816" s="36"/>
      <c r="F1816" s="35"/>
      <c r="G1816" s="39"/>
      <c r="H1816" s="35"/>
      <c r="I1816" s="38"/>
    </row>
    <row r="1817" spans="2:9" ht="15.75">
      <c r="B1817" s="53"/>
      <c r="C1817" s="54"/>
      <c r="D1817" s="35"/>
      <c r="E1817" s="36"/>
      <c r="F1817" s="35"/>
      <c r="G1817" s="39"/>
      <c r="H1817" s="35"/>
      <c r="I1817" s="39"/>
    </row>
    <row r="1818" spans="2:9">
      <c r="B1818" s="33"/>
      <c r="C1818" s="34"/>
      <c r="D1818" s="33"/>
      <c r="E1818" s="33"/>
      <c r="F1818" s="33"/>
      <c r="G1818" s="33"/>
      <c r="H1818" s="33"/>
      <c r="I1818" s="33"/>
    </row>
    <row r="1819" spans="2:9" ht="15.75">
      <c r="B1819" s="38"/>
      <c r="C1819" s="34"/>
      <c r="D1819" s="38"/>
      <c r="E1819" s="33"/>
      <c r="F1819" s="38"/>
      <c r="G1819" s="33"/>
      <c r="H1819" s="38"/>
      <c r="I1819" s="33"/>
    </row>
    <row r="1820" spans="2:9" ht="15.75">
      <c r="B1820" s="39"/>
      <c r="C1820" s="33"/>
      <c r="D1820" s="33"/>
      <c r="E1820" s="33"/>
      <c r="F1820" s="33"/>
      <c r="G1820" s="33"/>
      <c r="H1820" s="33"/>
      <c r="I1820" s="33"/>
    </row>
    <row r="1821" spans="2:9" ht="15.75">
      <c r="B1821" s="35"/>
      <c r="C1821" s="39"/>
      <c r="D1821" s="35"/>
      <c r="E1821" s="33"/>
      <c r="F1821" s="35"/>
      <c r="G1821" s="39"/>
      <c r="H1821" s="35"/>
      <c r="I1821" s="39"/>
    </row>
    <row r="1822" spans="2:9" ht="15.75">
      <c r="B1822" s="35"/>
      <c r="C1822" s="39"/>
      <c r="D1822" s="35"/>
      <c r="E1822" s="37"/>
      <c r="F1822" s="35"/>
      <c r="G1822" s="39"/>
      <c r="H1822" s="35"/>
      <c r="I1822" s="39"/>
    </row>
    <row r="1823" spans="2:9" ht="15.75">
      <c r="B1823" s="35"/>
      <c r="C1823" s="38"/>
      <c r="D1823" s="35"/>
      <c r="E1823" s="38"/>
      <c r="F1823" s="35"/>
      <c r="G1823" s="38"/>
      <c r="H1823" s="35"/>
      <c r="I1823" s="38"/>
    </row>
    <row r="1824" spans="2:9" ht="15.75">
      <c r="B1824" s="35"/>
      <c r="C1824" s="39"/>
      <c r="D1824" s="35"/>
      <c r="E1824" s="37"/>
      <c r="F1824" s="35"/>
      <c r="G1824" s="39"/>
      <c r="H1824" s="35"/>
      <c r="I1824" s="39"/>
    </row>
    <row r="1825" spans="2:9" ht="15.75">
      <c r="B1825" s="35"/>
      <c r="C1825" s="39"/>
      <c r="D1825" s="35"/>
      <c r="E1825" s="37"/>
      <c r="F1825" s="35"/>
      <c r="G1825" s="39"/>
      <c r="H1825" s="35"/>
      <c r="I1825" s="39"/>
    </row>
    <row r="1826" spans="2:9">
      <c r="B1826" s="33"/>
      <c r="C1826" s="33"/>
      <c r="D1826" s="33"/>
      <c r="E1826" s="33"/>
      <c r="F1826" s="33"/>
      <c r="G1826" s="33"/>
      <c r="H1826" s="33"/>
      <c r="I1826" s="33"/>
    </row>
    <row r="1827" spans="2:9" ht="15.75">
      <c r="B1827" s="38"/>
      <c r="C1827" s="33"/>
      <c r="D1827" s="38"/>
      <c r="E1827" s="33"/>
      <c r="F1827" s="38"/>
      <c r="G1827" s="33"/>
      <c r="H1827" s="38"/>
      <c r="I1827" s="33"/>
    </row>
    <row r="1828" spans="2:9" ht="15.75">
      <c r="B1828" s="39"/>
      <c r="C1828" s="33"/>
      <c r="D1828" s="33"/>
      <c r="E1828" s="33"/>
      <c r="F1828" s="33"/>
      <c r="G1828" s="33"/>
      <c r="H1828" s="33"/>
      <c r="I1828" s="33"/>
    </row>
    <row r="1829" spans="2:9" ht="15.75">
      <c r="B1829" s="35"/>
      <c r="C1829" s="39"/>
      <c r="D1829" s="35"/>
      <c r="E1829" s="33"/>
      <c r="F1829" s="35"/>
      <c r="G1829" s="39"/>
      <c r="H1829" s="35"/>
    </row>
    <row r="1830" spans="2:9" ht="15.75">
      <c r="B1830" s="35"/>
      <c r="C1830" s="39"/>
      <c r="D1830" s="35"/>
      <c r="E1830" s="37"/>
      <c r="F1830" s="35"/>
      <c r="G1830" s="39"/>
      <c r="H1830" s="35"/>
    </row>
    <row r="1831" spans="2:9" ht="15.75">
      <c r="B1831" s="35"/>
      <c r="C1831" s="38"/>
      <c r="D1831" s="35"/>
      <c r="E1831" s="38"/>
      <c r="F1831" s="35"/>
      <c r="G1831" s="38"/>
      <c r="H1831" s="35"/>
    </row>
    <row r="1832" spans="2:9" ht="15.75">
      <c r="B1832" s="35"/>
      <c r="C1832" s="39"/>
      <c r="D1832" s="35"/>
      <c r="E1832" s="37"/>
      <c r="F1832" s="35"/>
      <c r="G1832" s="39"/>
      <c r="H1832" s="35"/>
    </row>
    <row r="1833" spans="2:9" ht="15.75">
      <c r="B1833" s="35"/>
      <c r="C1833" s="39"/>
      <c r="D1833" s="35"/>
      <c r="E1833" s="37"/>
      <c r="F1833" s="35"/>
      <c r="G1833" s="39"/>
      <c r="H1833" s="35"/>
    </row>
    <row r="1835" spans="2:9">
      <c r="B1835" s="43"/>
      <c r="D1835" s="44"/>
    </row>
    <row r="1836" spans="2:9">
      <c r="B1836" s="45"/>
    </row>
    <row r="1837" spans="2:9">
      <c r="B1837" s="46"/>
      <c r="D1837" s="47"/>
    </row>
    <row r="1839" spans="2:9">
      <c r="B1839" s="42"/>
    </row>
    <row r="1841" spans="2:9" ht="15.75">
      <c r="B1841" s="35"/>
      <c r="C1841" s="54"/>
      <c r="D1841" s="35"/>
      <c r="E1841" s="33"/>
      <c r="F1841" s="35"/>
      <c r="G1841" s="39"/>
      <c r="H1841" s="35"/>
      <c r="I1841" s="39"/>
    </row>
    <row r="1842" spans="2:9" ht="15.75">
      <c r="B1842" s="35"/>
      <c r="C1842" s="54"/>
      <c r="D1842" s="35"/>
      <c r="E1842" s="36"/>
      <c r="F1842" s="35"/>
      <c r="G1842" s="39"/>
      <c r="H1842" s="35"/>
      <c r="I1842" s="39"/>
    </row>
    <row r="1843" spans="2:9" ht="15.75">
      <c r="B1843" s="35"/>
      <c r="C1843" s="40"/>
      <c r="D1843" s="35"/>
      <c r="E1843" s="40"/>
      <c r="F1843" s="35"/>
      <c r="G1843" s="38"/>
      <c r="H1843" s="35"/>
      <c r="I1843" s="38"/>
    </row>
    <row r="1844" spans="2:9" ht="15.75">
      <c r="B1844" s="35"/>
      <c r="C1844" s="54"/>
      <c r="D1844" s="35"/>
      <c r="E1844" s="36"/>
      <c r="F1844" s="35"/>
      <c r="G1844" s="39"/>
      <c r="H1844" s="35"/>
      <c r="I1844" s="38"/>
    </row>
    <row r="1845" spans="2:9" ht="15.75">
      <c r="B1845" s="53"/>
      <c r="C1845" s="54"/>
      <c r="D1845" s="35"/>
      <c r="E1845" s="36"/>
      <c r="F1845" s="35"/>
      <c r="G1845" s="39"/>
      <c r="H1845" s="35"/>
      <c r="I1845" s="39"/>
    </row>
    <row r="1846" spans="2:9">
      <c r="B1846" s="33"/>
      <c r="C1846" s="34"/>
      <c r="D1846" s="33"/>
      <c r="E1846" s="33"/>
      <c r="F1846" s="33"/>
      <c r="G1846" s="33"/>
      <c r="H1846" s="33"/>
      <c r="I1846" s="33"/>
    </row>
    <row r="1847" spans="2:9" ht="15.75">
      <c r="B1847" s="38"/>
      <c r="C1847" s="34"/>
      <c r="D1847" s="38"/>
      <c r="E1847" s="33"/>
      <c r="F1847" s="38"/>
      <c r="G1847" s="33"/>
      <c r="H1847" s="38"/>
      <c r="I1847" s="33"/>
    </row>
    <row r="1848" spans="2:9" ht="15.75">
      <c r="B1848" s="39"/>
      <c r="C1848" s="33"/>
      <c r="D1848" s="33"/>
      <c r="E1848" s="33"/>
      <c r="F1848" s="33"/>
      <c r="G1848" s="33"/>
      <c r="H1848" s="33"/>
      <c r="I1848" s="33"/>
    </row>
    <row r="1849" spans="2:9" ht="15.75">
      <c r="B1849" s="35"/>
      <c r="C1849" s="39"/>
      <c r="D1849" s="35"/>
      <c r="E1849" s="33"/>
      <c r="F1849" s="35"/>
      <c r="G1849" s="39"/>
      <c r="H1849" s="35"/>
      <c r="I1849" s="39"/>
    </row>
    <row r="1850" spans="2:9" ht="15.75">
      <c r="B1850" s="35"/>
      <c r="C1850" s="39"/>
      <c r="D1850" s="35"/>
      <c r="E1850" s="37"/>
      <c r="F1850" s="35"/>
      <c r="G1850" s="39"/>
      <c r="H1850" s="35"/>
      <c r="I1850" s="39"/>
    </row>
    <row r="1851" spans="2:9" ht="15.75">
      <c r="B1851" s="35"/>
      <c r="C1851" s="38"/>
      <c r="D1851" s="35"/>
      <c r="E1851" s="38"/>
      <c r="F1851" s="35"/>
      <c r="G1851" s="38"/>
      <c r="H1851" s="35"/>
      <c r="I1851" s="38"/>
    </row>
    <row r="1852" spans="2:9" ht="15.75">
      <c r="B1852" s="35"/>
      <c r="C1852" s="39"/>
      <c r="D1852" s="35"/>
      <c r="E1852" s="37"/>
      <c r="F1852" s="35"/>
      <c r="G1852" s="39"/>
      <c r="H1852" s="35"/>
      <c r="I1852" s="39"/>
    </row>
    <row r="1853" spans="2:9" ht="15.75">
      <c r="B1853" s="35"/>
      <c r="C1853" s="39"/>
      <c r="D1853" s="35"/>
      <c r="E1853" s="37"/>
      <c r="F1853" s="35"/>
      <c r="G1853" s="39"/>
      <c r="H1853" s="35"/>
      <c r="I1853" s="39"/>
    </row>
    <row r="1854" spans="2:9">
      <c r="B1854" s="33"/>
      <c r="C1854" s="33"/>
      <c r="D1854" s="33"/>
      <c r="E1854" s="33"/>
      <c r="F1854" s="33"/>
      <c r="G1854" s="33"/>
      <c r="H1854" s="33"/>
      <c r="I1854" s="33"/>
    </row>
    <row r="1855" spans="2:9" ht="15.75">
      <c r="B1855" s="38"/>
      <c r="C1855" s="33"/>
      <c r="D1855" s="38"/>
      <c r="E1855" s="33"/>
      <c r="F1855" s="38"/>
      <c r="G1855" s="33"/>
      <c r="H1855" s="38"/>
      <c r="I1855" s="33"/>
    </row>
    <row r="1856" spans="2:9" ht="15.75">
      <c r="B1856" s="39"/>
      <c r="C1856" s="33"/>
      <c r="D1856" s="33"/>
      <c r="E1856" s="33"/>
      <c r="F1856" s="33"/>
      <c r="G1856" s="33"/>
      <c r="H1856" s="33"/>
      <c r="I1856" s="33"/>
    </row>
    <row r="1857" spans="2:9" ht="15.75">
      <c r="B1857" s="35"/>
      <c r="C1857" s="39"/>
      <c r="D1857" s="35"/>
      <c r="E1857" s="33"/>
      <c r="F1857" s="35"/>
      <c r="G1857" s="39"/>
      <c r="H1857" s="35"/>
    </row>
    <row r="1858" spans="2:9" ht="15.75">
      <c r="B1858" s="35"/>
      <c r="C1858" s="39"/>
      <c r="D1858" s="35"/>
      <c r="E1858" s="37"/>
      <c r="F1858" s="35"/>
      <c r="G1858" s="39"/>
      <c r="H1858" s="35"/>
    </row>
    <row r="1859" spans="2:9" ht="15.75">
      <c r="B1859" s="35"/>
      <c r="C1859" s="38"/>
      <c r="D1859" s="35"/>
      <c r="E1859" s="38"/>
      <c r="F1859" s="35"/>
      <c r="G1859" s="38"/>
      <c r="H1859" s="35"/>
    </row>
    <row r="1860" spans="2:9" ht="15.75">
      <c r="B1860" s="35"/>
      <c r="C1860" s="39"/>
      <c r="D1860" s="35"/>
      <c r="E1860" s="37"/>
      <c r="F1860" s="35"/>
      <c r="G1860" s="39"/>
      <c r="H1860" s="35"/>
    </row>
    <row r="1861" spans="2:9" ht="15.75">
      <c r="B1861" s="35"/>
      <c r="C1861" s="39"/>
      <c r="D1861" s="35"/>
      <c r="E1861" s="37"/>
      <c r="F1861" s="35"/>
      <c r="G1861" s="39"/>
      <c r="H1861" s="35"/>
    </row>
    <row r="1863" spans="2:9">
      <c r="B1863" s="43"/>
      <c r="D1863" s="44"/>
    </row>
    <row r="1864" spans="2:9">
      <c r="B1864" s="45"/>
    </row>
    <row r="1865" spans="2:9">
      <c r="B1865" s="46"/>
      <c r="D1865" s="47"/>
    </row>
    <row r="1867" spans="2:9">
      <c r="B1867" s="42"/>
    </row>
    <row r="1869" spans="2:9" ht="15.75">
      <c r="B1869" s="35"/>
      <c r="C1869" s="54"/>
      <c r="D1869" s="35"/>
      <c r="E1869" s="33"/>
      <c r="F1869" s="35"/>
      <c r="G1869" s="39"/>
      <c r="H1869" s="35"/>
      <c r="I1869" s="39"/>
    </row>
    <row r="1870" spans="2:9" ht="15.75">
      <c r="B1870" s="35"/>
      <c r="C1870" s="54"/>
      <c r="D1870" s="35"/>
      <c r="E1870" s="36"/>
      <c r="F1870" s="35"/>
      <c r="G1870" s="39"/>
      <c r="H1870" s="35"/>
      <c r="I1870" s="39"/>
    </row>
    <row r="1871" spans="2:9" ht="15.75">
      <c r="B1871" s="35"/>
      <c r="C1871" s="40"/>
      <c r="D1871" s="35"/>
      <c r="E1871" s="40"/>
      <c r="F1871" s="35"/>
      <c r="G1871" s="38"/>
      <c r="H1871" s="35"/>
      <c r="I1871" s="38"/>
    </row>
    <row r="1872" spans="2:9" ht="15.75">
      <c r="B1872" s="35"/>
      <c r="C1872" s="54"/>
      <c r="D1872" s="35"/>
      <c r="E1872" s="36"/>
      <c r="F1872" s="35"/>
      <c r="G1872" s="39"/>
      <c r="H1872" s="35"/>
      <c r="I1872" s="38"/>
    </row>
    <row r="1873" spans="2:9" ht="15.75">
      <c r="B1873" s="53"/>
      <c r="C1873" s="54"/>
      <c r="D1873" s="35"/>
      <c r="E1873" s="36"/>
      <c r="F1873" s="35"/>
      <c r="G1873" s="39"/>
      <c r="H1873" s="35"/>
      <c r="I1873" s="39"/>
    </row>
    <row r="1874" spans="2:9">
      <c r="B1874" s="33"/>
      <c r="C1874" s="34"/>
      <c r="D1874" s="33"/>
      <c r="E1874" s="33"/>
      <c r="F1874" s="33"/>
      <c r="G1874" s="33"/>
      <c r="H1874" s="33"/>
      <c r="I1874" s="33"/>
    </row>
    <row r="1875" spans="2:9" ht="15.75">
      <c r="B1875" s="38"/>
      <c r="C1875" s="34"/>
      <c r="D1875" s="38"/>
      <c r="E1875" s="33"/>
      <c r="F1875" s="38"/>
      <c r="G1875" s="33"/>
      <c r="H1875" s="38"/>
      <c r="I1875" s="33"/>
    </row>
    <row r="1876" spans="2:9" ht="15.75">
      <c r="B1876" s="39"/>
      <c r="C1876" s="33"/>
      <c r="D1876" s="33"/>
      <c r="E1876" s="33"/>
      <c r="F1876" s="33"/>
      <c r="G1876" s="33"/>
      <c r="H1876" s="33"/>
      <c r="I1876" s="33"/>
    </row>
    <row r="1877" spans="2:9" ht="15.75">
      <c r="B1877" s="35"/>
      <c r="C1877" s="39"/>
      <c r="D1877" s="35"/>
      <c r="E1877" s="33"/>
      <c r="F1877" s="35"/>
      <c r="G1877" s="39"/>
      <c r="H1877" s="35"/>
      <c r="I1877" s="39"/>
    </row>
    <row r="1878" spans="2:9" ht="15.75">
      <c r="B1878" s="35"/>
      <c r="C1878" s="39"/>
      <c r="D1878" s="35"/>
      <c r="E1878" s="37"/>
      <c r="F1878" s="35"/>
      <c r="G1878" s="39"/>
      <c r="H1878" s="35"/>
      <c r="I1878" s="39"/>
    </row>
    <row r="1879" spans="2:9" ht="15.75">
      <c r="B1879" s="35"/>
      <c r="C1879" s="38"/>
      <c r="D1879" s="35"/>
      <c r="E1879" s="38"/>
      <c r="F1879" s="35"/>
      <c r="G1879" s="38"/>
      <c r="H1879" s="35"/>
      <c r="I1879" s="38"/>
    </row>
    <row r="1880" spans="2:9" ht="15.75">
      <c r="B1880" s="35"/>
      <c r="C1880" s="39"/>
      <c r="D1880" s="35"/>
      <c r="E1880" s="37"/>
      <c r="F1880" s="35"/>
      <c r="G1880" s="39"/>
      <c r="H1880" s="35"/>
      <c r="I1880" s="39"/>
    </row>
    <row r="1881" spans="2:9" ht="15.75">
      <c r="B1881" s="35"/>
      <c r="C1881" s="39"/>
      <c r="D1881" s="35"/>
      <c r="E1881" s="37"/>
      <c r="F1881" s="35"/>
      <c r="G1881" s="39"/>
      <c r="H1881" s="35"/>
      <c r="I1881" s="39"/>
    </row>
    <row r="1882" spans="2:9">
      <c r="B1882" s="33"/>
      <c r="C1882" s="33"/>
      <c r="D1882" s="33"/>
      <c r="E1882" s="33"/>
      <c r="F1882" s="33"/>
      <c r="G1882" s="33"/>
      <c r="H1882" s="33"/>
      <c r="I1882" s="33"/>
    </row>
    <row r="1883" spans="2:9" ht="15.75">
      <c r="B1883" s="38"/>
      <c r="C1883" s="33"/>
      <c r="D1883" s="38"/>
      <c r="E1883" s="33"/>
      <c r="F1883" s="38"/>
      <c r="G1883" s="33"/>
      <c r="H1883" s="38"/>
      <c r="I1883" s="33"/>
    </row>
    <row r="1884" spans="2:9" ht="15.75">
      <c r="B1884" s="39"/>
      <c r="C1884" s="33"/>
      <c r="D1884" s="33"/>
      <c r="E1884" s="33"/>
      <c r="F1884" s="33"/>
      <c r="G1884" s="33"/>
      <c r="H1884" s="33"/>
      <c r="I1884" s="33"/>
    </row>
    <row r="1885" spans="2:9" ht="15.75">
      <c r="B1885" s="35"/>
      <c r="C1885" s="39"/>
      <c r="D1885" s="35"/>
      <c r="E1885" s="33"/>
      <c r="F1885" s="35"/>
      <c r="G1885" s="39"/>
      <c r="H1885" s="35"/>
    </row>
    <row r="1886" spans="2:9" ht="15.75">
      <c r="B1886" s="35"/>
      <c r="C1886" s="39"/>
      <c r="D1886" s="35"/>
      <c r="E1886" s="37"/>
      <c r="F1886" s="35"/>
      <c r="G1886" s="39"/>
      <c r="H1886" s="35"/>
    </row>
    <row r="1887" spans="2:9" ht="15.75">
      <c r="B1887" s="35"/>
      <c r="C1887" s="38"/>
      <c r="D1887" s="35"/>
      <c r="E1887" s="38"/>
      <c r="F1887" s="35"/>
      <c r="G1887" s="38"/>
      <c r="H1887" s="35"/>
    </row>
    <row r="1888" spans="2:9" ht="15.75">
      <c r="B1888" s="35"/>
      <c r="C1888" s="39"/>
      <c r="D1888" s="35"/>
      <c r="E1888" s="37"/>
      <c r="F1888" s="35"/>
      <c r="G1888" s="39"/>
      <c r="H1888" s="35"/>
    </row>
    <row r="1889" spans="2:9" ht="15.75">
      <c r="B1889" s="35"/>
      <c r="C1889" s="39"/>
      <c r="D1889" s="35"/>
      <c r="E1889" s="37"/>
      <c r="F1889" s="35"/>
      <c r="G1889" s="39"/>
      <c r="H1889" s="35"/>
    </row>
    <row r="1891" spans="2:9">
      <c r="B1891" s="43"/>
      <c r="D1891" s="44"/>
    </row>
    <row r="1892" spans="2:9">
      <c r="B1892" s="45"/>
    </row>
    <row r="1893" spans="2:9">
      <c r="B1893" s="46"/>
      <c r="D1893" s="47"/>
    </row>
    <row r="1895" spans="2:9">
      <c r="B1895" s="42"/>
    </row>
    <row r="1897" spans="2:9" ht="15.75">
      <c r="B1897" s="35"/>
      <c r="C1897" s="54"/>
      <c r="D1897" s="35"/>
      <c r="E1897" s="33"/>
      <c r="F1897" s="35"/>
      <c r="G1897" s="39"/>
      <c r="H1897" s="35"/>
      <c r="I1897" s="39"/>
    </row>
    <row r="1898" spans="2:9" ht="15.75">
      <c r="B1898" s="35"/>
      <c r="C1898" s="54"/>
      <c r="D1898" s="35"/>
      <c r="E1898" s="36"/>
      <c r="F1898" s="35"/>
      <c r="G1898" s="39"/>
      <c r="H1898" s="35"/>
      <c r="I1898" s="39"/>
    </row>
    <row r="1899" spans="2:9" ht="15.75">
      <c r="B1899" s="35"/>
      <c r="C1899" s="40"/>
      <c r="D1899" s="35"/>
      <c r="E1899" s="40"/>
      <c r="F1899" s="35"/>
      <c r="G1899" s="38"/>
      <c r="H1899" s="35"/>
      <c r="I1899" s="38"/>
    </row>
    <row r="1900" spans="2:9" ht="15.75">
      <c r="B1900" s="35"/>
      <c r="C1900" s="54"/>
      <c r="D1900" s="35"/>
      <c r="E1900" s="36"/>
      <c r="F1900" s="35"/>
      <c r="G1900" s="39"/>
      <c r="H1900" s="35"/>
      <c r="I1900" s="38"/>
    </row>
    <row r="1901" spans="2:9" ht="15.75">
      <c r="B1901" s="53"/>
      <c r="C1901" s="54"/>
      <c r="D1901" s="35"/>
      <c r="E1901" s="36"/>
      <c r="F1901" s="35"/>
      <c r="G1901" s="39"/>
      <c r="H1901" s="35"/>
      <c r="I1901" s="39"/>
    </row>
    <row r="1902" spans="2:9">
      <c r="B1902" s="33"/>
      <c r="C1902" s="34"/>
      <c r="D1902" s="33"/>
      <c r="E1902" s="33"/>
      <c r="F1902" s="33"/>
      <c r="G1902" s="33"/>
      <c r="H1902" s="33"/>
      <c r="I1902" s="33"/>
    </row>
    <row r="1903" spans="2:9" ht="15.75">
      <c r="B1903" s="38"/>
      <c r="C1903" s="34"/>
      <c r="D1903" s="38"/>
      <c r="E1903" s="33"/>
      <c r="F1903" s="38"/>
      <c r="G1903" s="33"/>
      <c r="H1903" s="38"/>
      <c r="I1903" s="33"/>
    </row>
    <row r="1904" spans="2:9" ht="15.75">
      <c r="B1904" s="39"/>
      <c r="C1904" s="33"/>
      <c r="D1904" s="33"/>
      <c r="E1904" s="33"/>
      <c r="F1904" s="33"/>
      <c r="G1904" s="33"/>
      <c r="H1904" s="33"/>
      <c r="I1904" s="33"/>
    </row>
    <row r="1905" spans="2:9" ht="15.75">
      <c r="B1905" s="35"/>
      <c r="C1905" s="39"/>
      <c r="D1905" s="35"/>
      <c r="E1905" s="33"/>
      <c r="F1905" s="35"/>
      <c r="G1905" s="39"/>
      <c r="H1905" s="35"/>
      <c r="I1905" s="39"/>
    </row>
    <row r="1906" spans="2:9" ht="15.75">
      <c r="B1906" s="35"/>
      <c r="C1906" s="39"/>
      <c r="D1906" s="35"/>
      <c r="E1906" s="37"/>
      <c r="F1906" s="35"/>
      <c r="G1906" s="39"/>
      <c r="H1906" s="35"/>
      <c r="I1906" s="39"/>
    </row>
    <row r="1907" spans="2:9" ht="15.75">
      <c r="B1907" s="35"/>
      <c r="C1907" s="38"/>
      <c r="D1907" s="35"/>
      <c r="E1907" s="38"/>
      <c r="F1907" s="35"/>
      <c r="G1907" s="38"/>
      <c r="H1907" s="35"/>
      <c r="I1907" s="38"/>
    </row>
    <row r="1908" spans="2:9" ht="15.75">
      <c r="B1908" s="35"/>
      <c r="C1908" s="39"/>
      <c r="D1908" s="35"/>
      <c r="E1908" s="37"/>
      <c r="F1908" s="35"/>
      <c r="G1908" s="39"/>
      <c r="H1908" s="35"/>
      <c r="I1908" s="39"/>
    </row>
    <row r="1909" spans="2:9" ht="15.75">
      <c r="B1909" s="35"/>
      <c r="C1909" s="39"/>
      <c r="D1909" s="35"/>
      <c r="E1909" s="37"/>
      <c r="F1909" s="35"/>
      <c r="G1909" s="39"/>
      <c r="H1909" s="35"/>
      <c r="I1909" s="39"/>
    </row>
    <row r="1910" spans="2:9">
      <c r="B1910" s="33"/>
      <c r="C1910" s="33"/>
      <c r="D1910" s="33"/>
      <c r="E1910" s="33"/>
      <c r="F1910" s="33"/>
      <c r="G1910" s="33"/>
      <c r="H1910" s="33"/>
      <c r="I1910" s="33"/>
    </row>
    <row r="1911" spans="2:9" ht="15.75">
      <c r="B1911" s="38"/>
      <c r="C1911" s="33"/>
      <c r="D1911" s="38"/>
      <c r="E1911" s="33"/>
      <c r="F1911" s="38"/>
      <c r="G1911" s="33"/>
      <c r="H1911" s="38"/>
      <c r="I1911" s="33"/>
    </row>
    <row r="1912" spans="2:9" ht="15.75">
      <c r="B1912" s="39"/>
      <c r="C1912" s="33"/>
      <c r="D1912" s="33"/>
      <c r="E1912" s="33"/>
      <c r="F1912" s="33"/>
      <c r="G1912" s="33"/>
      <c r="H1912" s="33"/>
      <c r="I1912" s="33"/>
    </row>
    <row r="1913" spans="2:9" ht="15.75">
      <c r="B1913" s="35"/>
      <c r="C1913" s="39"/>
      <c r="D1913" s="35"/>
      <c r="E1913" s="33"/>
      <c r="F1913" s="35"/>
      <c r="G1913" s="39"/>
      <c r="H1913" s="35"/>
    </row>
    <row r="1914" spans="2:9" ht="15.75">
      <c r="B1914" s="35"/>
      <c r="C1914" s="39"/>
      <c r="D1914" s="35"/>
      <c r="E1914" s="37"/>
      <c r="F1914" s="35"/>
      <c r="G1914" s="39"/>
      <c r="H1914" s="35"/>
    </row>
    <row r="1915" spans="2:9" ht="15.75">
      <c r="B1915" s="35"/>
      <c r="C1915" s="38"/>
      <c r="D1915" s="35"/>
      <c r="E1915" s="38"/>
      <c r="F1915" s="35"/>
      <c r="G1915" s="38"/>
      <c r="H1915" s="35"/>
    </row>
    <row r="1916" spans="2:9" ht="15.75">
      <c r="B1916" s="35"/>
      <c r="C1916" s="39"/>
      <c r="D1916" s="35"/>
      <c r="E1916" s="37"/>
      <c r="F1916" s="35"/>
      <c r="G1916" s="39"/>
      <c r="H1916" s="35"/>
    </row>
    <row r="1917" spans="2:9" ht="15.75">
      <c r="B1917" s="35"/>
      <c r="C1917" s="39"/>
      <c r="D1917" s="35"/>
      <c r="E1917" s="37"/>
      <c r="F1917" s="35"/>
      <c r="G1917" s="39"/>
      <c r="H1917" s="35"/>
    </row>
    <row r="1919" spans="2:9">
      <c r="B1919" s="43"/>
      <c r="D1919" s="44"/>
    </row>
    <row r="1920" spans="2:9">
      <c r="B1920" s="45"/>
    </row>
    <row r="1921" spans="2:9">
      <c r="B1921" s="46"/>
      <c r="D1921" s="47"/>
    </row>
    <row r="1922" spans="2:9">
      <c r="B1922" s="50"/>
      <c r="C1922" s="49"/>
      <c r="D1922" s="49"/>
    </row>
    <row r="1923" spans="2:9">
      <c r="B1923" s="42"/>
    </row>
    <row r="1925" spans="2:9" ht="15.75">
      <c r="B1925" s="35"/>
      <c r="C1925" s="54"/>
      <c r="D1925" s="35"/>
      <c r="E1925" s="33"/>
      <c r="F1925" s="35"/>
      <c r="G1925" s="39"/>
      <c r="H1925" s="35"/>
      <c r="I1925" s="39"/>
    </row>
    <row r="1926" spans="2:9" ht="15.75">
      <c r="B1926" s="35"/>
      <c r="C1926" s="54"/>
      <c r="D1926" s="35"/>
      <c r="E1926" s="36"/>
      <c r="F1926" s="35"/>
      <c r="G1926" s="39"/>
      <c r="H1926" s="35"/>
      <c r="I1926" s="39"/>
    </row>
    <row r="1927" spans="2:9" ht="15.75">
      <c r="B1927" s="35"/>
      <c r="C1927" s="40"/>
      <c r="D1927" s="35"/>
      <c r="E1927" s="40"/>
      <c r="F1927" s="35"/>
      <c r="G1927" s="38"/>
      <c r="H1927" s="35"/>
      <c r="I1927" s="38"/>
    </row>
    <row r="1928" spans="2:9" ht="15.75">
      <c r="B1928" s="35"/>
      <c r="C1928" s="54"/>
      <c r="D1928" s="35"/>
      <c r="E1928" s="36"/>
      <c r="F1928" s="35"/>
      <c r="G1928" s="39"/>
      <c r="H1928" s="35"/>
      <c r="I1928" s="38"/>
    </row>
    <row r="1929" spans="2:9" ht="15.75">
      <c r="B1929" s="53"/>
      <c r="C1929" s="54"/>
      <c r="D1929" s="35"/>
      <c r="E1929" s="36"/>
      <c r="F1929" s="35"/>
      <c r="G1929" s="39"/>
      <c r="H1929" s="35"/>
      <c r="I1929" s="39"/>
    </row>
    <row r="1930" spans="2:9">
      <c r="B1930" s="33"/>
      <c r="C1930" s="34"/>
      <c r="D1930" s="33"/>
      <c r="E1930" s="33"/>
      <c r="F1930" s="33"/>
      <c r="G1930" s="33"/>
      <c r="H1930" s="33"/>
      <c r="I1930" s="33"/>
    </row>
    <row r="1931" spans="2:9" ht="15.75">
      <c r="B1931" s="38"/>
      <c r="C1931" s="34"/>
      <c r="D1931" s="38"/>
      <c r="E1931" s="33"/>
      <c r="F1931" s="38"/>
      <c r="G1931" s="33"/>
      <c r="H1931" s="38"/>
      <c r="I1931" s="33"/>
    </row>
    <row r="1932" spans="2:9" ht="15.75">
      <c r="B1932" s="39"/>
      <c r="C1932" s="33"/>
      <c r="D1932" s="33"/>
      <c r="E1932" s="33"/>
      <c r="F1932" s="33"/>
      <c r="G1932" s="33"/>
      <c r="H1932" s="33"/>
      <c r="I1932" s="33"/>
    </row>
    <row r="1933" spans="2:9" ht="15.75">
      <c r="B1933" s="35"/>
      <c r="C1933" s="39"/>
      <c r="D1933" s="35"/>
      <c r="E1933" s="33"/>
      <c r="F1933" s="35"/>
      <c r="G1933" s="39"/>
      <c r="H1933" s="35"/>
      <c r="I1933" s="39"/>
    </row>
    <row r="1934" spans="2:9" ht="15.75">
      <c r="B1934" s="35"/>
      <c r="C1934" s="39"/>
      <c r="D1934" s="35"/>
      <c r="E1934" s="37"/>
      <c r="F1934" s="35"/>
      <c r="G1934" s="39"/>
      <c r="H1934" s="35"/>
      <c r="I1934" s="39"/>
    </row>
    <row r="1935" spans="2:9" ht="15.75">
      <c r="B1935" s="35"/>
      <c r="C1935" s="38"/>
      <c r="D1935" s="35"/>
      <c r="E1935" s="38"/>
      <c r="F1935" s="35"/>
      <c r="G1935" s="38"/>
      <c r="H1935" s="35"/>
      <c r="I1935" s="38"/>
    </row>
    <row r="1936" spans="2:9" ht="15.75">
      <c r="B1936" s="35"/>
      <c r="C1936" s="39"/>
      <c r="D1936" s="35"/>
      <c r="E1936" s="37"/>
      <c r="F1936" s="35"/>
      <c r="G1936" s="39"/>
      <c r="H1936" s="35"/>
      <c r="I1936" s="39"/>
    </row>
    <row r="1937" spans="2:9" ht="15.75">
      <c r="B1937" s="35"/>
      <c r="C1937" s="39"/>
      <c r="D1937" s="35"/>
      <c r="E1937" s="37"/>
      <c r="F1937" s="35"/>
      <c r="G1937" s="39"/>
      <c r="H1937" s="35"/>
      <c r="I1937" s="39"/>
    </row>
    <row r="1938" spans="2:9">
      <c r="B1938" s="33"/>
      <c r="C1938" s="33"/>
      <c r="D1938" s="33"/>
      <c r="E1938" s="33"/>
      <c r="F1938" s="33"/>
      <c r="G1938" s="33"/>
      <c r="H1938" s="33"/>
      <c r="I1938" s="33"/>
    </row>
    <row r="1939" spans="2:9" ht="15.75">
      <c r="B1939" s="38"/>
      <c r="C1939" s="33"/>
      <c r="D1939" s="38"/>
      <c r="E1939" s="33"/>
      <c r="F1939" s="38"/>
      <c r="G1939" s="33"/>
      <c r="H1939" s="38"/>
      <c r="I1939" s="33"/>
    </row>
    <row r="1940" spans="2:9" ht="15.75">
      <c r="B1940" s="39"/>
      <c r="C1940" s="33"/>
      <c r="D1940" s="33"/>
      <c r="E1940" s="33"/>
      <c r="F1940" s="33"/>
      <c r="G1940" s="33"/>
      <c r="H1940" s="33"/>
      <c r="I1940" s="33"/>
    </row>
    <row r="1941" spans="2:9" ht="15.75">
      <c r="B1941" s="35"/>
      <c r="C1941" s="39"/>
      <c r="D1941" s="35"/>
      <c r="E1941" s="33"/>
      <c r="F1941" s="35"/>
      <c r="G1941" s="39"/>
      <c r="H1941" s="35"/>
    </row>
    <row r="1942" spans="2:9" ht="15.75">
      <c r="B1942" s="35"/>
      <c r="C1942" s="39"/>
      <c r="D1942" s="35"/>
      <c r="E1942" s="37"/>
      <c r="F1942" s="35"/>
      <c r="G1942" s="39"/>
      <c r="H1942" s="35"/>
    </row>
    <row r="1943" spans="2:9" ht="15.75">
      <c r="B1943" s="35"/>
      <c r="C1943" s="38"/>
      <c r="D1943" s="35"/>
      <c r="E1943" s="38"/>
      <c r="F1943" s="35"/>
      <c r="G1943" s="38"/>
      <c r="H1943" s="35"/>
    </row>
    <row r="1944" spans="2:9" ht="15.75">
      <c r="B1944" s="35"/>
      <c r="C1944" s="39"/>
      <c r="D1944" s="35"/>
      <c r="E1944" s="37"/>
      <c r="F1944" s="35"/>
      <c r="G1944" s="39"/>
      <c r="H1944" s="35"/>
    </row>
    <row r="1945" spans="2:9" ht="15.75">
      <c r="B1945" s="35"/>
      <c r="C1945" s="39"/>
      <c r="D1945" s="35"/>
      <c r="E1945" s="37"/>
      <c r="F1945" s="35"/>
      <c r="G1945" s="39"/>
      <c r="H1945" s="35"/>
    </row>
    <row r="1947" spans="2:9">
      <c r="B1947" s="43"/>
      <c r="D1947" s="44"/>
    </row>
    <row r="1948" spans="2:9">
      <c r="B1948" s="45"/>
    </row>
    <row r="1949" spans="2:9">
      <c r="B1949" s="46"/>
      <c r="D1949" s="47"/>
    </row>
    <row r="1950" spans="2:9">
      <c r="B1950" s="50"/>
      <c r="C1950" s="49"/>
      <c r="D1950" s="49"/>
    </row>
    <row r="1951" spans="2:9">
      <c r="B1951" s="42"/>
    </row>
    <row r="1953" spans="2:9" ht="15.75">
      <c r="B1953" s="35"/>
      <c r="C1953" s="54"/>
      <c r="D1953" s="35"/>
      <c r="E1953" s="33"/>
      <c r="F1953" s="35"/>
      <c r="G1953" s="39"/>
      <c r="H1953" s="35"/>
      <c r="I1953" s="39"/>
    </row>
    <row r="1954" spans="2:9" ht="15.75">
      <c r="B1954" s="35"/>
      <c r="C1954" s="54"/>
      <c r="D1954" s="35"/>
      <c r="E1954" s="36"/>
      <c r="F1954" s="35"/>
      <c r="G1954" s="39"/>
      <c r="H1954" s="35"/>
      <c r="I1954" s="39"/>
    </row>
    <row r="1955" spans="2:9" ht="15.75">
      <c r="B1955" s="35"/>
      <c r="C1955" s="40"/>
      <c r="D1955" s="35"/>
      <c r="E1955" s="40"/>
      <c r="F1955" s="35"/>
      <c r="G1955" s="38"/>
      <c r="H1955" s="35"/>
      <c r="I1955" s="38"/>
    </row>
    <row r="1956" spans="2:9" ht="15.75">
      <c r="B1956" s="35"/>
      <c r="C1956" s="54"/>
      <c r="D1956" s="35"/>
      <c r="E1956" s="36"/>
      <c r="F1956" s="35"/>
      <c r="G1956" s="39"/>
      <c r="H1956" s="35"/>
      <c r="I1956" s="38"/>
    </row>
    <row r="1957" spans="2:9" ht="15.75">
      <c r="B1957" s="53"/>
      <c r="C1957" s="54"/>
      <c r="D1957" s="35"/>
      <c r="E1957" s="36"/>
      <c r="F1957" s="35"/>
      <c r="G1957" s="39"/>
      <c r="H1957" s="35"/>
      <c r="I1957" s="39"/>
    </row>
    <row r="1958" spans="2:9">
      <c r="B1958" s="33"/>
      <c r="C1958" s="34"/>
      <c r="D1958" s="33"/>
      <c r="E1958" s="33"/>
      <c r="F1958" s="33"/>
      <c r="G1958" s="33"/>
      <c r="H1958" s="33"/>
      <c r="I1958" s="33"/>
    </row>
    <row r="1959" spans="2:9" ht="15.75">
      <c r="B1959" s="38"/>
      <c r="C1959" s="34"/>
      <c r="D1959" s="38"/>
      <c r="E1959" s="33"/>
      <c r="F1959" s="38"/>
      <c r="G1959" s="33"/>
      <c r="H1959" s="38"/>
      <c r="I1959" s="33"/>
    </row>
    <row r="1960" spans="2:9" ht="15.75">
      <c r="B1960" s="39"/>
      <c r="C1960" s="33"/>
      <c r="D1960" s="33"/>
      <c r="E1960" s="33"/>
      <c r="F1960" s="33"/>
      <c r="G1960" s="33"/>
      <c r="H1960" s="33"/>
      <c r="I1960" s="33"/>
    </row>
    <row r="1961" spans="2:9" ht="15.75">
      <c r="B1961" s="35"/>
      <c r="C1961" s="39"/>
      <c r="D1961" s="35"/>
      <c r="E1961" s="33"/>
      <c r="F1961" s="35"/>
      <c r="G1961" s="39"/>
      <c r="H1961" s="35"/>
      <c r="I1961" s="39"/>
    </row>
    <row r="1962" spans="2:9" ht="15.75">
      <c r="B1962" s="35"/>
      <c r="C1962" s="39"/>
      <c r="D1962" s="35"/>
      <c r="E1962" s="37"/>
      <c r="F1962" s="35"/>
      <c r="G1962" s="39"/>
      <c r="H1962" s="35"/>
      <c r="I1962" s="39"/>
    </row>
    <row r="1963" spans="2:9" ht="15.75">
      <c r="B1963" s="35"/>
      <c r="C1963" s="38"/>
      <c r="D1963" s="35"/>
      <c r="E1963" s="38"/>
      <c r="F1963" s="35"/>
      <c r="G1963" s="38"/>
      <c r="H1963" s="35"/>
      <c r="I1963" s="38"/>
    </row>
    <row r="1964" spans="2:9" ht="15.75">
      <c r="B1964" s="35"/>
      <c r="C1964" s="39"/>
      <c r="D1964" s="35"/>
      <c r="E1964" s="37"/>
      <c r="F1964" s="35"/>
      <c r="G1964" s="39"/>
      <c r="H1964" s="35"/>
      <c r="I1964" s="39"/>
    </row>
    <row r="1965" spans="2:9" ht="15.75">
      <c r="B1965" s="35"/>
      <c r="C1965" s="39"/>
      <c r="D1965" s="35"/>
      <c r="E1965" s="37"/>
      <c r="F1965" s="35"/>
      <c r="G1965" s="39"/>
      <c r="H1965" s="35"/>
      <c r="I1965" s="39"/>
    </row>
    <row r="1966" spans="2:9">
      <c r="B1966" s="33"/>
      <c r="C1966" s="33"/>
      <c r="D1966" s="33"/>
      <c r="E1966" s="33"/>
      <c r="F1966" s="33"/>
      <c r="G1966" s="33"/>
      <c r="H1966" s="33"/>
      <c r="I1966" s="33"/>
    </row>
    <row r="1967" spans="2:9" ht="15.75">
      <c r="B1967" s="38"/>
      <c r="C1967" s="33"/>
      <c r="D1967" s="38"/>
      <c r="E1967" s="33"/>
      <c r="F1967" s="38"/>
      <c r="G1967" s="33"/>
      <c r="H1967" s="38"/>
      <c r="I1967" s="33"/>
    </row>
    <row r="1968" spans="2:9" ht="15.75">
      <c r="B1968" s="39"/>
      <c r="C1968" s="33"/>
      <c r="D1968" s="33"/>
      <c r="E1968" s="33"/>
      <c r="F1968" s="33"/>
      <c r="G1968" s="33"/>
      <c r="H1968" s="33"/>
      <c r="I1968" s="33"/>
    </row>
    <row r="1969" spans="2:9" ht="15.75">
      <c r="B1969" s="35"/>
      <c r="C1969" s="39"/>
      <c r="D1969" s="35"/>
      <c r="E1969" s="33"/>
      <c r="F1969" s="35"/>
      <c r="G1969" s="39"/>
      <c r="H1969" s="35"/>
    </row>
    <row r="1970" spans="2:9" ht="15.75">
      <c r="B1970" s="35"/>
      <c r="C1970" s="39"/>
      <c r="D1970" s="35"/>
      <c r="E1970" s="37"/>
      <c r="F1970" s="35"/>
      <c r="G1970" s="39"/>
      <c r="H1970" s="35"/>
    </row>
    <row r="1971" spans="2:9" ht="15.75">
      <c r="B1971" s="35"/>
      <c r="C1971" s="38"/>
      <c r="D1971" s="35"/>
      <c r="E1971" s="38"/>
      <c r="F1971" s="35"/>
      <c r="G1971" s="38"/>
      <c r="H1971" s="35"/>
    </row>
    <row r="1972" spans="2:9" ht="15.75">
      <c r="B1972" s="35"/>
      <c r="C1972" s="39"/>
      <c r="D1972" s="35"/>
      <c r="E1972" s="37"/>
      <c r="F1972" s="35"/>
      <c r="G1972" s="39"/>
      <c r="H1972" s="35"/>
    </row>
    <row r="1973" spans="2:9" ht="15.75">
      <c r="B1973" s="35"/>
      <c r="C1973" s="39"/>
      <c r="D1973" s="35"/>
      <c r="E1973" s="37"/>
      <c r="F1973" s="35"/>
      <c r="G1973" s="39"/>
      <c r="H1973" s="35"/>
    </row>
    <row r="1975" spans="2:9">
      <c r="B1975" s="43"/>
      <c r="D1975" s="44"/>
    </row>
    <row r="1976" spans="2:9">
      <c r="B1976" s="45"/>
    </row>
    <row r="1977" spans="2:9">
      <c r="B1977" s="46"/>
      <c r="D1977" s="47"/>
    </row>
    <row r="1979" spans="2:9">
      <c r="B1979" s="55"/>
    </row>
    <row r="1981" spans="2:9">
      <c r="B1981" s="42"/>
    </row>
    <row r="1983" spans="2:9" ht="15.75">
      <c r="B1983" s="35"/>
      <c r="C1983" s="54"/>
      <c r="D1983" s="35"/>
      <c r="E1983" s="33"/>
      <c r="F1983" s="35"/>
      <c r="G1983" s="39"/>
      <c r="H1983" s="35"/>
      <c r="I1983" s="39"/>
    </row>
    <row r="1984" spans="2:9" ht="15.75">
      <c r="B1984" s="35"/>
      <c r="C1984" s="54"/>
      <c r="D1984" s="35"/>
      <c r="E1984" s="36"/>
      <c r="F1984" s="35"/>
      <c r="G1984" s="39"/>
      <c r="H1984" s="35"/>
      <c r="I1984" s="39"/>
    </row>
    <row r="1985" spans="2:9" ht="15.75">
      <c r="B1985" s="35"/>
      <c r="C1985" s="40"/>
      <c r="D1985" s="35"/>
      <c r="E1985" s="40"/>
      <c r="F1985" s="35"/>
      <c r="G1985" s="38"/>
      <c r="H1985" s="35"/>
      <c r="I1985" s="38"/>
    </row>
    <row r="1986" spans="2:9" ht="15.75">
      <c r="B1986" s="35"/>
      <c r="C1986" s="54"/>
      <c r="D1986" s="35"/>
      <c r="E1986" s="36"/>
      <c r="F1986" s="35"/>
      <c r="G1986" s="39"/>
      <c r="H1986" s="35"/>
      <c r="I1986" s="38"/>
    </row>
    <row r="1987" spans="2:9" ht="15.75">
      <c r="B1987" s="53"/>
      <c r="C1987" s="54"/>
      <c r="D1987" s="35"/>
      <c r="E1987" s="36"/>
      <c r="F1987" s="35"/>
      <c r="G1987" s="39"/>
      <c r="H1987" s="35"/>
      <c r="I1987" s="39"/>
    </row>
    <row r="1988" spans="2:9">
      <c r="B1988" s="33"/>
      <c r="C1988" s="34"/>
      <c r="D1988" s="33"/>
      <c r="E1988" s="33"/>
      <c r="F1988" s="33"/>
      <c r="G1988" s="33"/>
      <c r="H1988" s="33"/>
      <c r="I1988" s="33"/>
    </row>
    <row r="1989" spans="2:9" ht="15.75">
      <c r="B1989" s="38"/>
      <c r="C1989" s="34"/>
      <c r="D1989" s="38"/>
      <c r="E1989" s="33"/>
      <c r="F1989" s="38"/>
      <c r="G1989" s="33"/>
      <c r="H1989" s="38"/>
      <c r="I1989" s="33"/>
    </row>
    <row r="1990" spans="2:9" ht="15.75">
      <c r="B1990" s="39"/>
      <c r="C1990" s="33"/>
      <c r="D1990" s="33"/>
      <c r="E1990" s="33"/>
      <c r="F1990" s="33"/>
      <c r="G1990" s="33"/>
      <c r="H1990" s="33"/>
      <c r="I1990" s="33"/>
    </row>
    <row r="1991" spans="2:9" ht="15.75">
      <c r="B1991" s="35"/>
      <c r="C1991" s="39"/>
      <c r="D1991" s="35"/>
      <c r="E1991" s="33"/>
      <c r="F1991" s="35"/>
      <c r="G1991" s="39"/>
      <c r="H1991" s="35"/>
      <c r="I1991" s="39"/>
    </row>
    <row r="1992" spans="2:9" ht="15.75">
      <c r="B1992" s="35"/>
      <c r="C1992" s="39"/>
      <c r="D1992" s="35"/>
      <c r="E1992" s="37"/>
      <c r="F1992" s="35"/>
      <c r="G1992" s="39"/>
      <c r="H1992" s="35"/>
      <c r="I1992" s="39"/>
    </row>
    <row r="1993" spans="2:9" ht="15.75">
      <c r="B1993" s="35"/>
      <c r="C1993" s="38"/>
      <c r="D1993" s="35"/>
      <c r="E1993" s="38"/>
      <c r="F1993" s="35"/>
      <c r="G1993" s="38"/>
      <c r="H1993" s="35"/>
      <c r="I1993" s="38"/>
    </row>
    <row r="1994" spans="2:9" ht="15.75">
      <c r="B1994" s="35"/>
      <c r="C1994" s="39"/>
      <c r="D1994" s="35"/>
      <c r="E1994" s="37"/>
      <c r="F1994" s="35"/>
      <c r="G1994" s="39"/>
      <c r="H1994" s="35"/>
      <c r="I1994" s="39"/>
    </row>
    <row r="1995" spans="2:9" ht="15.75">
      <c r="B1995" s="35"/>
      <c r="C1995" s="39"/>
      <c r="D1995" s="35"/>
      <c r="E1995" s="37"/>
      <c r="F1995" s="35"/>
      <c r="G1995" s="39"/>
      <c r="H1995" s="35"/>
      <c r="I1995" s="39"/>
    </row>
    <row r="1996" spans="2:9">
      <c r="B1996" s="33"/>
      <c r="C1996" s="33"/>
      <c r="D1996" s="33"/>
      <c r="E1996" s="33"/>
      <c r="F1996" s="33"/>
      <c r="G1996" s="33"/>
      <c r="H1996" s="33"/>
      <c r="I1996" s="33"/>
    </row>
    <row r="1997" spans="2:9" ht="15.75">
      <c r="B1997" s="38"/>
      <c r="C1997" s="33"/>
      <c r="D1997" s="38"/>
      <c r="E1997" s="33"/>
      <c r="F1997" s="38"/>
      <c r="G1997" s="33"/>
      <c r="H1997" s="38"/>
      <c r="I1997" s="33"/>
    </row>
    <row r="1998" spans="2:9" ht="15.75">
      <c r="B1998" s="39"/>
      <c r="C1998" s="33"/>
      <c r="D1998" s="33"/>
      <c r="E1998" s="33"/>
      <c r="F1998" s="33"/>
      <c r="G1998" s="33"/>
      <c r="H1998" s="33"/>
      <c r="I1998" s="33"/>
    </row>
    <row r="1999" spans="2:9" ht="15.75">
      <c r="B1999" s="35"/>
      <c r="C1999" s="39"/>
      <c r="D1999" s="35"/>
      <c r="E1999" s="33"/>
      <c r="F1999" s="35"/>
      <c r="G1999" s="39"/>
      <c r="H1999" s="35"/>
    </row>
    <row r="2000" spans="2:9" ht="15.75">
      <c r="B2000" s="35"/>
      <c r="C2000" s="39"/>
      <c r="D2000" s="35"/>
      <c r="E2000" s="37"/>
      <c r="F2000" s="35"/>
      <c r="G2000" s="39"/>
      <c r="H2000" s="35"/>
    </row>
    <row r="2001" spans="2:9" ht="15.75">
      <c r="B2001" s="35"/>
      <c r="C2001" s="38"/>
      <c r="D2001" s="35"/>
      <c r="E2001" s="38"/>
      <c r="F2001" s="35"/>
      <c r="G2001" s="38"/>
      <c r="H2001" s="35"/>
    </row>
    <row r="2002" spans="2:9" ht="15.75">
      <c r="B2002" s="35"/>
      <c r="C2002" s="39"/>
      <c r="D2002" s="35"/>
      <c r="E2002" s="37"/>
      <c r="F2002" s="35"/>
      <c r="G2002" s="39"/>
      <c r="H2002" s="35"/>
    </row>
    <row r="2003" spans="2:9" ht="15.75">
      <c r="B2003" s="35"/>
      <c r="C2003" s="39"/>
      <c r="D2003" s="35"/>
      <c r="E2003" s="37"/>
      <c r="F2003" s="35"/>
      <c r="G2003" s="39"/>
      <c r="H2003" s="35"/>
    </row>
    <row r="2005" spans="2:9">
      <c r="B2005" s="43"/>
      <c r="D2005" s="44"/>
    </row>
    <row r="2006" spans="2:9">
      <c r="B2006" s="45"/>
    </row>
    <row r="2007" spans="2:9">
      <c r="B2007" s="46"/>
      <c r="D2007" s="47"/>
    </row>
    <row r="2009" spans="2:9">
      <c r="B2009" s="42"/>
    </row>
    <row r="2011" spans="2:9" ht="15.75">
      <c r="B2011" s="35"/>
      <c r="C2011" s="54"/>
      <c r="D2011" s="35"/>
      <c r="E2011" s="33"/>
      <c r="F2011" s="35"/>
      <c r="G2011" s="39"/>
      <c r="H2011" s="35"/>
      <c r="I2011" s="39"/>
    </row>
    <row r="2012" spans="2:9" ht="15.75">
      <c r="B2012" s="35"/>
      <c r="C2012" s="54"/>
      <c r="D2012" s="35"/>
      <c r="E2012" s="36"/>
      <c r="F2012" s="35"/>
      <c r="G2012" s="39"/>
      <c r="H2012" s="35"/>
      <c r="I2012" s="39"/>
    </row>
    <row r="2013" spans="2:9" ht="15.75">
      <c r="B2013" s="35"/>
      <c r="C2013" s="40"/>
      <c r="D2013" s="35"/>
      <c r="E2013" s="40"/>
      <c r="F2013" s="35"/>
      <c r="G2013" s="38"/>
      <c r="H2013" s="35"/>
      <c r="I2013" s="38"/>
    </row>
    <row r="2014" spans="2:9" ht="15.75">
      <c r="B2014" s="35"/>
      <c r="C2014" s="54"/>
      <c r="D2014" s="35"/>
      <c r="E2014" s="36"/>
      <c r="F2014" s="35"/>
      <c r="G2014" s="39"/>
      <c r="H2014" s="35"/>
      <c r="I2014" s="38"/>
    </row>
    <row r="2015" spans="2:9" ht="15.75">
      <c r="B2015" s="53"/>
      <c r="C2015" s="54"/>
      <c r="D2015" s="35"/>
      <c r="E2015" s="36"/>
      <c r="F2015" s="35"/>
      <c r="G2015" s="39"/>
      <c r="H2015" s="35"/>
      <c r="I2015" s="39"/>
    </row>
    <row r="2016" spans="2:9">
      <c r="B2016" s="33"/>
      <c r="C2016" s="34"/>
      <c r="D2016" s="33"/>
      <c r="E2016" s="33"/>
      <c r="F2016" s="33"/>
      <c r="G2016" s="33"/>
      <c r="H2016" s="33"/>
      <c r="I2016" s="33"/>
    </row>
    <row r="2017" spans="2:9" ht="15.75">
      <c r="B2017" s="38"/>
      <c r="C2017" s="34"/>
      <c r="D2017" s="38"/>
      <c r="E2017" s="33"/>
      <c r="F2017" s="38"/>
      <c r="G2017" s="33"/>
      <c r="H2017" s="38"/>
      <c r="I2017" s="33"/>
    </row>
    <row r="2018" spans="2:9" ht="15.75">
      <c r="B2018" s="39"/>
      <c r="C2018" s="33"/>
      <c r="D2018" s="33"/>
      <c r="E2018" s="33"/>
      <c r="F2018" s="33"/>
      <c r="G2018" s="33"/>
      <c r="H2018" s="33"/>
      <c r="I2018" s="33"/>
    </row>
    <row r="2019" spans="2:9" ht="15.75">
      <c r="B2019" s="35"/>
      <c r="C2019" s="39"/>
      <c r="D2019" s="35"/>
      <c r="E2019" s="33"/>
      <c r="F2019" s="35"/>
      <c r="G2019" s="39"/>
      <c r="H2019" s="35"/>
      <c r="I2019" s="39"/>
    </row>
    <row r="2020" spans="2:9" ht="15.75">
      <c r="B2020" s="35"/>
      <c r="C2020" s="39"/>
      <c r="D2020" s="35"/>
      <c r="E2020" s="37"/>
      <c r="F2020" s="35"/>
      <c r="G2020" s="39"/>
      <c r="H2020" s="35"/>
      <c r="I2020" s="39"/>
    </row>
    <row r="2021" spans="2:9" ht="15.75">
      <c r="B2021" s="35"/>
      <c r="C2021" s="38"/>
      <c r="D2021" s="35"/>
      <c r="E2021" s="38"/>
      <c r="F2021" s="35"/>
      <c r="G2021" s="38"/>
      <c r="H2021" s="35"/>
      <c r="I2021" s="38"/>
    </row>
    <row r="2022" spans="2:9" ht="15.75">
      <c r="B2022" s="35"/>
      <c r="C2022" s="39"/>
      <c r="D2022" s="35"/>
      <c r="E2022" s="37"/>
      <c r="F2022" s="35"/>
      <c r="G2022" s="39"/>
      <c r="H2022" s="35"/>
      <c r="I2022" s="39"/>
    </row>
    <row r="2023" spans="2:9" ht="15.75">
      <c r="B2023" s="35"/>
      <c r="C2023" s="39"/>
      <c r="D2023" s="35"/>
      <c r="E2023" s="37"/>
      <c r="F2023" s="35"/>
      <c r="G2023" s="39"/>
      <c r="H2023" s="35"/>
      <c r="I2023" s="39"/>
    </row>
    <row r="2024" spans="2:9">
      <c r="B2024" s="33"/>
      <c r="C2024" s="33"/>
      <c r="D2024" s="33"/>
      <c r="E2024" s="33"/>
      <c r="F2024" s="33"/>
      <c r="G2024" s="33"/>
      <c r="H2024" s="33"/>
      <c r="I2024" s="33"/>
    </row>
    <row r="2025" spans="2:9" ht="15.75">
      <c r="B2025" s="38"/>
      <c r="C2025" s="33"/>
      <c r="D2025" s="38"/>
      <c r="E2025" s="33"/>
      <c r="F2025" s="38"/>
      <c r="G2025" s="33"/>
      <c r="H2025" s="38"/>
      <c r="I2025" s="33"/>
    </row>
    <row r="2026" spans="2:9" ht="15.75">
      <c r="B2026" s="39"/>
      <c r="C2026" s="33"/>
      <c r="D2026" s="33"/>
      <c r="E2026" s="33"/>
      <c r="F2026" s="33"/>
      <c r="G2026" s="33"/>
      <c r="H2026" s="33"/>
      <c r="I2026" s="33"/>
    </row>
    <row r="2027" spans="2:9" ht="15.75">
      <c r="B2027" s="35"/>
      <c r="C2027" s="39"/>
      <c r="D2027" s="35"/>
      <c r="E2027" s="33"/>
      <c r="F2027" s="35"/>
      <c r="G2027" s="39"/>
      <c r="H2027" s="35"/>
    </row>
    <row r="2028" spans="2:9" ht="15.75">
      <c r="B2028" s="35"/>
      <c r="C2028" s="39"/>
      <c r="D2028" s="35"/>
      <c r="E2028" s="37"/>
      <c r="F2028" s="35"/>
      <c r="G2028" s="39"/>
      <c r="H2028" s="35"/>
    </row>
    <row r="2029" spans="2:9" ht="15.75">
      <c r="B2029" s="35"/>
      <c r="C2029" s="38"/>
      <c r="D2029" s="35"/>
      <c r="E2029" s="38"/>
      <c r="F2029" s="35"/>
      <c r="G2029" s="38"/>
      <c r="H2029" s="35"/>
    </row>
    <row r="2030" spans="2:9" ht="15.75">
      <c r="B2030" s="35"/>
      <c r="C2030" s="39"/>
      <c r="D2030" s="35"/>
      <c r="E2030" s="37"/>
      <c r="F2030" s="35"/>
      <c r="G2030" s="39"/>
      <c r="H2030" s="35"/>
    </row>
    <row r="2031" spans="2:9" ht="15.75">
      <c r="B2031" s="35"/>
      <c r="C2031" s="39"/>
      <c r="D2031" s="35"/>
      <c r="E2031" s="37"/>
      <c r="F2031" s="35"/>
      <c r="G2031" s="39"/>
      <c r="H2031" s="35"/>
    </row>
    <row r="2033" spans="2:9">
      <c r="B2033" s="43"/>
      <c r="D2033" s="44"/>
    </row>
    <row r="2034" spans="2:9">
      <c r="B2034" s="45"/>
    </row>
    <row r="2035" spans="2:9">
      <c r="B2035" s="46"/>
      <c r="D2035" s="47"/>
    </row>
    <row r="2037" spans="2:9">
      <c r="B2037" s="42"/>
    </row>
    <row r="2039" spans="2:9" ht="15.75">
      <c r="B2039" s="35"/>
      <c r="C2039" s="54"/>
      <c r="D2039" s="35"/>
      <c r="E2039" s="33"/>
      <c r="F2039" s="35"/>
      <c r="G2039" s="39"/>
      <c r="H2039" s="35"/>
      <c r="I2039" s="39"/>
    </row>
    <row r="2040" spans="2:9" ht="15.75">
      <c r="B2040" s="35"/>
      <c r="C2040" s="54"/>
      <c r="D2040" s="35"/>
      <c r="E2040" s="36"/>
      <c r="F2040" s="35"/>
      <c r="G2040" s="39"/>
      <c r="H2040" s="35"/>
      <c r="I2040" s="39"/>
    </row>
    <row r="2041" spans="2:9" ht="15.75">
      <c r="B2041" s="35"/>
      <c r="C2041" s="40"/>
      <c r="D2041" s="35"/>
      <c r="E2041" s="40"/>
      <c r="F2041" s="35"/>
      <c r="G2041" s="38"/>
      <c r="H2041" s="35"/>
      <c r="I2041" s="38"/>
    </row>
    <row r="2042" spans="2:9" ht="15.75">
      <c r="B2042" s="35"/>
      <c r="C2042" s="54"/>
      <c r="D2042" s="35"/>
      <c r="E2042" s="36"/>
      <c r="F2042" s="35"/>
      <c r="G2042" s="39"/>
      <c r="H2042" s="35"/>
      <c r="I2042" s="38"/>
    </row>
    <row r="2043" spans="2:9" ht="15.75">
      <c r="B2043" s="53"/>
      <c r="C2043" s="54"/>
      <c r="D2043" s="35"/>
      <c r="E2043" s="36"/>
      <c r="F2043" s="35"/>
      <c r="G2043" s="39"/>
      <c r="H2043" s="35"/>
      <c r="I2043" s="39"/>
    </row>
    <row r="2044" spans="2:9">
      <c r="B2044" s="33"/>
      <c r="C2044" s="34"/>
      <c r="D2044" s="33"/>
      <c r="E2044" s="33"/>
      <c r="F2044" s="33"/>
      <c r="G2044" s="33"/>
      <c r="H2044" s="33"/>
      <c r="I2044" s="33"/>
    </row>
    <row r="2045" spans="2:9" ht="15.75">
      <c r="B2045" s="38"/>
      <c r="C2045" s="34"/>
      <c r="D2045" s="38"/>
      <c r="E2045" s="33"/>
      <c r="F2045" s="38"/>
      <c r="G2045" s="33"/>
      <c r="H2045" s="38"/>
      <c r="I2045" s="33"/>
    </row>
    <row r="2046" spans="2:9" ht="15.75">
      <c r="B2046" s="39"/>
      <c r="C2046" s="33"/>
      <c r="D2046" s="33"/>
      <c r="E2046" s="33"/>
      <c r="F2046" s="33"/>
      <c r="G2046" s="33"/>
      <c r="H2046" s="33"/>
      <c r="I2046" s="33"/>
    </row>
    <row r="2047" spans="2:9" ht="15.75">
      <c r="B2047" s="35"/>
      <c r="C2047" s="39"/>
      <c r="D2047" s="35"/>
      <c r="E2047" s="33"/>
      <c r="F2047" s="35"/>
      <c r="G2047" s="39"/>
      <c r="H2047" s="35"/>
      <c r="I2047" s="39"/>
    </row>
    <row r="2048" spans="2:9" ht="15.75">
      <c r="B2048" s="35"/>
      <c r="C2048" s="39"/>
      <c r="D2048" s="35"/>
      <c r="E2048" s="37"/>
      <c r="F2048" s="35"/>
      <c r="G2048" s="39"/>
      <c r="H2048" s="35"/>
      <c r="I2048" s="39"/>
    </row>
    <row r="2049" spans="2:9" ht="15.75">
      <c r="B2049" s="35"/>
      <c r="C2049" s="38"/>
      <c r="D2049" s="35"/>
      <c r="E2049" s="38"/>
      <c r="F2049" s="35"/>
      <c r="G2049" s="38"/>
      <c r="H2049" s="35"/>
      <c r="I2049" s="38"/>
    </row>
    <row r="2050" spans="2:9" ht="15.75">
      <c r="B2050" s="35"/>
      <c r="C2050" s="39"/>
      <c r="D2050" s="35"/>
      <c r="E2050" s="37"/>
      <c r="F2050" s="35"/>
      <c r="G2050" s="39"/>
      <c r="H2050" s="35"/>
      <c r="I2050" s="39"/>
    </row>
    <row r="2051" spans="2:9" ht="15.75">
      <c r="B2051" s="35"/>
      <c r="C2051" s="39"/>
      <c r="D2051" s="35"/>
      <c r="E2051" s="37"/>
      <c r="F2051" s="35"/>
      <c r="G2051" s="39"/>
      <c r="H2051" s="35"/>
      <c r="I2051" s="39"/>
    </row>
    <row r="2052" spans="2:9">
      <c r="B2052" s="33"/>
      <c r="C2052" s="33"/>
      <c r="D2052" s="33"/>
      <c r="E2052" s="33"/>
      <c r="F2052" s="33"/>
      <c r="G2052" s="33"/>
      <c r="H2052" s="33"/>
      <c r="I2052" s="33"/>
    </row>
    <row r="2053" spans="2:9" ht="15.75">
      <c r="B2053" s="38"/>
      <c r="C2053" s="33"/>
      <c r="D2053" s="38"/>
      <c r="E2053" s="33"/>
      <c r="F2053" s="38"/>
      <c r="G2053" s="33"/>
      <c r="H2053" s="38"/>
      <c r="I2053" s="33"/>
    </row>
    <row r="2054" spans="2:9" ht="15.75">
      <c r="B2054" s="39"/>
      <c r="C2054" s="33"/>
      <c r="D2054" s="33"/>
      <c r="E2054" s="33"/>
      <c r="F2054" s="33"/>
      <c r="G2054" s="33"/>
      <c r="H2054" s="33"/>
      <c r="I2054" s="33"/>
    </row>
    <row r="2055" spans="2:9" ht="15.75">
      <c r="B2055" s="35"/>
      <c r="C2055" s="39"/>
      <c r="D2055" s="35"/>
      <c r="E2055" s="33"/>
      <c r="F2055" s="35"/>
      <c r="G2055" s="39"/>
      <c r="H2055" s="35"/>
    </row>
    <row r="2056" spans="2:9" ht="15.75">
      <c r="B2056" s="35"/>
      <c r="C2056" s="39"/>
      <c r="D2056" s="35"/>
      <c r="E2056" s="37"/>
      <c r="F2056" s="35"/>
      <c r="G2056" s="39"/>
      <c r="H2056" s="35"/>
    </row>
    <row r="2057" spans="2:9" ht="15.75">
      <c r="B2057" s="35"/>
      <c r="C2057" s="38"/>
      <c r="D2057" s="35"/>
      <c r="E2057" s="38"/>
      <c r="F2057" s="35"/>
      <c r="G2057" s="38"/>
      <c r="H2057" s="35"/>
    </row>
    <row r="2058" spans="2:9" ht="15.75">
      <c r="B2058" s="35"/>
      <c r="C2058" s="39"/>
      <c r="D2058" s="35"/>
      <c r="E2058" s="37"/>
      <c r="F2058" s="35"/>
      <c r="G2058" s="39"/>
      <c r="H2058" s="35"/>
    </row>
    <row r="2059" spans="2:9" ht="15.75">
      <c r="B2059" s="35"/>
      <c r="C2059" s="39"/>
      <c r="D2059" s="35"/>
      <c r="E2059" s="37"/>
      <c r="F2059" s="35"/>
      <c r="G2059" s="39"/>
      <c r="H2059" s="35"/>
    </row>
    <row r="2061" spans="2:9">
      <c r="B2061" s="43"/>
      <c r="D2061" s="44"/>
    </row>
    <row r="2062" spans="2:9">
      <c r="B2062" s="45"/>
    </row>
    <row r="2063" spans="2:9">
      <c r="B2063" s="46"/>
      <c r="D2063" s="47"/>
    </row>
    <row r="2065" spans="2:9">
      <c r="B2065" s="42"/>
    </row>
    <row r="2067" spans="2:9" ht="15.75">
      <c r="B2067" s="35"/>
      <c r="C2067" s="54"/>
      <c r="D2067" s="35"/>
      <c r="E2067" s="33"/>
      <c r="F2067" s="35"/>
      <c r="G2067" s="39"/>
      <c r="H2067" s="35"/>
      <c r="I2067" s="39"/>
    </row>
    <row r="2068" spans="2:9" ht="15.75">
      <c r="B2068" s="35"/>
      <c r="C2068" s="54"/>
      <c r="D2068" s="35"/>
      <c r="E2068" s="36"/>
      <c r="F2068" s="35"/>
      <c r="G2068" s="39"/>
      <c r="H2068" s="35"/>
      <c r="I2068" s="39"/>
    </row>
    <row r="2069" spans="2:9" ht="15.75">
      <c r="B2069" s="35"/>
      <c r="C2069" s="40"/>
      <c r="D2069" s="35"/>
      <c r="E2069" s="40"/>
      <c r="F2069" s="35"/>
      <c r="G2069" s="38"/>
      <c r="H2069" s="35"/>
      <c r="I2069" s="38"/>
    </row>
    <row r="2070" spans="2:9" ht="15.75">
      <c r="B2070" s="35"/>
      <c r="C2070" s="54"/>
      <c r="D2070" s="35"/>
      <c r="E2070" s="36"/>
      <c r="F2070" s="35"/>
      <c r="G2070" s="39"/>
      <c r="H2070" s="35"/>
      <c r="I2070" s="38"/>
    </row>
    <row r="2071" spans="2:9" ht="15.75">
      <c r="B2071" s="53"/>
      <c r="C2071" s="54"/>
      <c r="D2071" s="35"/>
      <c r="E2071" s="36"/>
      <c r="F2071" s="35"/>
      <c r="G2071" s="39"/>
      <c r="H2071" s="35"/>
      <c r="I2071" s="39"/>
    </row>
    <row r="2072" spans="2:9">
      <c r="B2072" s="33"/>
      <c r="C2072" s="34"/>
      <c r="D2072" s="33"/>
      <c r="E2072" s="33"/>
      <c r="F2072" s="33"/>
      <c r="G2072" s="33"/>
      <c r="H2072" s="33"/>
      <c r="I2072" s="33"/>
    </row>
    <row r="2073" spans="2:9" ht="15.75">
      <c r="B2073" s="38"/>
      <c r="C2073" s="34"/>
      <c r="D2073" s="38"/>
      <c r="E2073" s="33"/>
      <c r="F2073" s="38"/>
      <c r="G2073" s="33"/>
      <c r="H2073" s="38"/>
      <c r="I2073" s="33"/>
    </row>
    <row r="2074" spans="2:9" ht="15.75">
      <c r="B2074" s="39"/>
      <c r="C2074" s="33"/>
      <c r="D2074" s="33"/>
      <c r="E2074" s="33"/>
      <c r="F2074" s="33"/>
      <c r="G2074" s="33"/>
      <c r="H2074" s="33"/>
      <c r="I2074" s="33"/>
    </row>
    <row r="2075" spans="2:9" ht="15.75">
      <c r="B2075" s="35"/>
      <c r="C2075" s="39"/>
      <c r="D2075" s="35"/>
      <c r="E2075" s="33"/>
      <c r="F2075" s="35"/>
      <c r="G2075" s="39"/>
      <c r="H2075" s="35"/>
      <c r="I2075" s="39"/>
    </row>
    <row r="2076" spans="2:9" ht="15.75">
      <c r="B2076" s="35"/>
      <c r="C2076" s="39"/>
      <c r="D2076" s="35"/>
      <c r="E2076" s="37"/>
      <c r="F2076" s="35"/>
      <c r="G2076" s="39"/>
      <c r="H2076" s="35"/>
      <c r="I2076" s="39"/>
    </row>
    <row r="2077" spans="2:9" ht="15.75">
      <c r="B2077" s="35"/>
      <c r="C2077" s="38"/>
      <c r="D2077" s="35"/>
      <c r="E2077" s="38"/>
      <c r="F2077" s="35"/>
      <c r="G2077" s="38"/>
      <c r="H2077" s="35"/>
      <c r="I2077" s="38"/>
    </row>
    <row r="2078" spans="2:9" ht="15.75">
      <c r="B2078" s="35"/>
      <c r="C2078" s="39"/>
      <c r="D2078" s="35"/>
      <c r="E2078" s="37"/>
      <c r="F2078" s="35"/>
      <c r="G2078" s="39"/>
      <c r="H2078" s="35"/>
      <c r="I2078" s="39"/>
    </row>
    <row r="2079" spans="2:9" ht="15.75">
      <c r="B2079" s="35"/>
      <c r="C2079" s="39"/>
      <c r="D2079" s="35"/>
      <c r="E2079" s="37"/>
      <c r="F2079" s="35"/>
      <c r="G2079" s="39"/>
      <c r="H2079" s="35"/>
      <c r="I2079" s="39"/>
    </row>
    <row r="2080" spans="2:9">
      <c r="B2080" s="33"/>
      <c r="C2080" s="33"/>
      <c r="D2080" s="33"/>
      <c r="E2080" s="33"/>
      <c r="F2080" s="33"/>
      <c r="G2080" s="33"/>
      <c r="H2080" s="33"/>
      <c r="I2080" s="33"/>
    </row>
    <row r="2081" spans="2:9" ht="15.75">
      <c r="B2081" s="38"/>
      <c r="C2081" s="33"/>
      <c r="D2081" s="38"/>
      <c r="E2081" s="33"/>
      <c r="F2081" s="38"/>
      <c r="G2081" s="33"/>
      <c r="H2081" s="38"/>
      <c r="I2081" s="33"/>
    </row>
    <row r="2082" spans="2:9" ht="15.75">
      <c r="B2082" s="39"/>
      <c r="C2082" s="33"/>
      <c r="D2082" s="33"/>
      <c r="E2082" s="33"/>
      <c r="F2082" s="33"/>
      <c r="G2082" s="33"/>
      <c r="H2082" s="33"/>
      <c r="I2082" s="33"/>
    </row>
    <row r="2083" spans="2:9" ht="15.75">
      <c r="B2083" s="35"/>
      <c r="C2083" s="39"/>
      <c r="D2083" s="35"/>
      <c r="E2083" s="33"/>
      <c r="F2083" s="35"/>
      <c r="G2083" s="39"/>
      <c r="H2083" s="35"/>
    </row>
    <row r="2084" spans="2:9" ht="15.75">
      <c r="B2084" s="35"/>
      <c r="C2084" s="39"/>
      <c r="D2084" s="35"/>
      <c r="E2084" s="37"/>
      <c r="F2084" s="35"/>
      <c r="G2084" s="39"/>
      <c r="H2084" s="35"/>
    </row>
    <row r="2085" spans="2:9" ht="15.75">
      <c r="B2085" s="35"/>
      <c r="C2085" s="38"/>
      <c r="D2085" s="35"/>
      <c r="E2085" s="38"/>
      <c r="F2085" s="35"/>
      <c r="G2085" s="38"/>
      <c r="H2085" s="35"/>
    </row>
    <row r="2086" spans="2:9" ht="15.75">
      <c r="B2086" s="35"/>
      <c r="C2086" s="39"/>
      <c r="D2086" s="35"/>
      <c r="E2086" s="37"/>
      <c r="F2086" s="35"/>
      <c r="G2086" s="39"/>
      <c r="H2086" s="35"/>
    </row>
    <row r="2087" spans="2:9" ht="15.75">
      <c r="B2087" s="35"/>
      <c r="C2087" s="39"/>
      <c r="D2087" s="35"/>
      <c r="E2087" s="37"/>
      <c r="F2087" s="35"/>
      <c r="G2087" s="39"/>
      <c r="H2087" s="35"/>
    </row>
    <row r="2089" spans="2:9">
      <c r="B2089" s="43"/>
      <c r="D2089" s="44"/>
    </row>
    <row r="2090" spans="2:9">
      <c r="B2090" s="45"/>
    </row>
    <row r="2091" spans="2:9">
      <c r="B2091" s="46"/>
      <c r="D2091" s="47"/>
    </row>
    <row r="2093" spans="2:9">
      <c r="B2093" s="42"/>
    </row>
    <row r="2095" spans="2:9" ht="15.75">
      <c r="B2095" s="35"/>
      <c r="C2095" s="54"/>
      <c r="D2095" s="35"/>
      <c r="E2095" s="33"/>
      <c r="F2095" s="35"/>
      <c r="G2095" s="39"/>
      <c r="H2095" s="35"/>
      <c r="I2095" s="39"/>
    </row>
    <row r="2096" spans="2:9" ht="15.75">
      <c r="B2096" s="35"/>
      <c r="C2096" s="54"/>
      <c r="D2096" s="35"/>
      <c r="E2096" s="36"/>
      <c r="F2096" s="35"/>
      <c r="G2096" s="39"/>
      <c r="H2096" s="35"/>
      <c r="I2096" s="39"/>
    </row>
    <row r="2097" spans="2:9" ht="15.75">
      <c r="B2097" s="35"/>
      <c r="C2097" s="40"/>
      <c r="D2097" s="35"/>
      <c r="E2097" s="40"/>
      <c r="F2097" s="35"/>
      <c r="G2097" s="38"/>
      <c r="H2097" s="35"/>
      <c r="I2097" s="38"/>
    </row>
    <row r="2098" spans="2:9" ht="15.75">
      <c r="B2098" s="35"/>
      <c r="C2098" s="54"/>
      <c r="D2098" s="35"/>
      <c r="E2098" s="36"/>
      <c r="F2098" s="35"/>
      <c r="G2098" s="39"/>
      <c r="H2098" s="35"/>
      <c r="I2098" s="38"/>
    </row>
    <row r="2099" spans="2:9" ht="15.75">
      <c r="B2099" s="53"/>
      <c r="C2099" s="54"/>
      <c r="D2099" s="35"/>
      <c r="E2099" s="36"/>
      <c r="F2099" s="35"/>
      <c r="G2099" s="39"/>
      <c r="H2099" s="35"/>
      <c r="I2099" s="39"/>
    </row>
    <row r="2100" spans="2:9">
      <c r="B2100" s="33"/>
      <c r="C2100" s="34"/>
      <c r="D2100" s="33"/>
      <c r="E2100" s="33"/>
      <c r="F2100" s="33"/>
      <c r="G2100" s="33"/>
      <c r="H2100" s="33"/>
      <c r="I2100" s="33"/>
    </row>
    <row r="2101" spans="2:9" ht="15.75">
      <c r="B2101" s="38"/>
      <c r="C2101" s="34"/>
      <c r="D2101" s="38"/>
      <c r="E2101" s="33"/>
      <c r="F2101" s="38"/>
      <c r="G2101" s="33"/>
      <c r="H2101" s="38"/>
      <c r="I2101" s="33"/>
    </row>
    <row r="2102" spans="2:9" ht="15.75">
      <c r="B2102" s="39"/>
      <c r="C2102" s="33"/>
      <c r="D2102" s="33"/>
      <c r="E2102" s="33"/>
      <c r="F2102" s="33"/>
      <c r="G2102" s="33"/>
      <c r="H2102" s="33"/>
      <c r="I2102" s="33"/>
    </row>
    <row r="2103" spans="2:9" ht="15.75">
      <c r="B2103" s="35"/>
      <c r="C2103" s="39"/>
      <c r="D2103" s="35"/>
      <c r="E2103" s="33"/>
      <c r="F2103" s="35"/>
      <c r="G2103" s="39"/>
      <c r="H2103" s="35"/>
      <c r="I2103" s="39"/>
    </row>
    <row r="2104" spans="2:9" ht="15.75">
      <c r="B2104" s="35"/>
      <c r="C2104" s="39"/>
      <c r="D2104" s="35"/>
      <c r="E2104" s="37"/>
      <c r="F2104" s="35"/>
      <c r="G2104" s="39"/>
      <c r="H2104" s="35"/>
      <c r="I2104" s="39"/>
    </row>
    <row r="2105" spans="2:9" ht="15.75">
      <c r="B2105" s="35"/>
      <c r="C2105" s="38"/>
      <c r="D2105" s="35"/>
      <c r="E2105" s="38"/>
      <c r="F2105" s="35"/>
      <c r="G2105" s="38"/>
      <c r="H2105" s="35"/>
      <c r="I2105" s="38"/>
    </row>
    <row r="2106" spans="2:9" ht="15.75">
      <c r="B2106" s="35"/>
      <c r="C2106" s="39"/>
      <c r="D2106" s="35"/>
      <c r="E2106" s="37"/>
      <c r="F2106" s="35"/>
      <c r="G2106" s="39"/>
      <c r="H2106" s="35"/>
      <c r="I2106" s="39"/>
    </row>
    <row r="2107" spans="2:9" ht="15.75">
      <c r="B2107" s="35"/>
      <c r="C2107" s="39"/>
      <c r="D2107" s="35"/>
      <c r="E2107" s="37"/>
      <c r="F2107" s="35"/>
      <c r="G2107" s="39"/>
      <c r="H2107" s="35"/>
      <c r="I2107" s="39"/>
    </row>
    <row r="2108" spans="2:9">
      <c r="B2108" s="33"/>
      <c r="C2108" s="33"/>
      <c r="D2108" s="33"/>
      <c r="E2108" s="33"/>
      <c r="F2108" s="33"/>
      <c r="G2108" s="33"/>
      <c r="H2108" s="33"/>
      <c r="I2108" s="33"/>
    </row>
    <row r="2109" spans="2:9" ht="15.75">
      <c r="B2109" s="38"/>
      <c r="C2109" s="33"/>
      <c r="D2109" s="38"/>
      <c r="E2109" s="33"/>
      <c r="F2109" s="38"/>
      <c r="G2109" s="33"/>
      <c r="H2109" s="38"/>
      <c r="I2109" s="33"/>
    </row>
    <row r="2110" spans="2:9" ht="15.75">
      <c r="B2110" s="39"/>
      <c r="C2110" s="33"/>
      <c r="D2110" s="33"/>
      <c r="E2110" s="33"/>
      <c r="F2110" s="33"/>
      <c r="G2110" s="33"/>
      <c r="H2110" s="33"/>
      <c r="I2110" s="33"/>
    </row>
    <row r="2111" spans="2:9" ht="15.75">
      <c r="B2111" s="35"/>
      <c r="C2111" s="39"/>
      <c r="D2111" s="35"/>
      <c r="E2111" s="33"/>
      <c r="F2111" s="35"/>
      <c r="G2111" s="39"/>
      <c r="H2111" s="35"/>
    </row>
    <row r="2112" spans="2:9" ht="15.75">
      <c r="B2112" s="35"/>
      <c r="C2112" s="39"/>
      <c r="D2112" s="35"/>
      <c r="E2112" s="37"/>
      <c r="F2112" s="35"/>
      <c r="G2112" s="39"/>
      <c r="H2112" s="35"/>
    </row>
    <row r="2113" spans="2:9" ht="15.75">
      <c r="B2113" s="35"/>
      <c r="C2113" s="38"/>
      <c r="D2113" s="35"/>
      <c r="E2113" s="38"/>
      <c r="F2113" s="35"/>
      <c r="G2113" s="38"/>
      <c r="H2113" s="35"/>
    </row>
    <row r="2114" spans="2:9" ht="15.75">
      <c r="B2114" s="35"/>
      <c r="C2114" s="39"/>
      <c r="D2114" s="35"/>
      <c r="E2114" s="37"/>
      <c r="F2114" s="35"/>
      <c r="G2114" s="39"/>
      <c r="H2114" s="35"/>
    </row>
    <row r="2115" spans="2:9" ht="15.75">
      <c r="B2115" s="35"/>
      <c r="C2115" s="39"/>
      <c r="D2115" s="35"/>
      <c r="E2115" s="37"/>
      <c r="F2115" s="35"/>
      <c r="G2115" s="39"/>
      <c r="H2115" s="35"/>
    </row>
    <row r="2117" spans="2:9">
      <c r="B2117" s="43"/>
      <c r="D2117" s="44"/>
    </row>
    <row r="2118" spans="2:9">
      <c r="B2118" s="45"/>
    </row>
    <row r="2119" spans="2:9">
      <c r="B2119" s="46"/>
      <c r="D2119" s="47"/>
    </row>
    <row r="2121" spans="2:9">
      <c r="B2121" s="42"/>
    </row>
    <row r="2123" spans="2:9" ht="15.75">
      <c r="B2123" s="35"/>
      <c r="C2123" s="54"/>
      <c r="D2123" s="35"/>
      <c r="E2123" s="33"/>
      <c r="F2123" s="35"/>
      <c r="G2123" s="39"/>
      <c r="H2123" s="35"/>
      <c r="I2123" s="39"/>
    </row>
    <row r="2124" spans="2:9" ht="15.75">
      <c r="B2124" s="35"/>
      <c r="C2124" s="54"/>
      <c r="D2124" s="35"/>
      <c r="E2124" s="36"/>
      <c r="F2124" s="35"/>
      <c r="G2124" s="39"/>
      <c r="H2124" s="35"/>
      <c r="I2124" s="39"/>
    </row>
    <row r="2125" spans="2:9" ht="15.75">
      <c r="B2125" s="35"/>
      <c r="C2125" s="40"/>
      <c r="D2125" s="35"/>
      <c r="E2125" s="40"/>
      <c r="F2125" s="35"/>
      <c r="G2125" s="38"/>
      <c r="H2125" s="35"/>
      <c r="I2125" s="38"/>
    </row>
    <row r="2126" spans="2:9" ht="15.75">
      <c r="B2126" s="35"/>
      <c r="C2126" s="54"/>
      <c r="D2126" s="35"/>
      <c r="E2126" s="36"/>
      <c r="F2126" s="35"/>
      <c r="G2126" s="39"/>
      <c r="H2126" s="35"/>
      <c r="I2126" s="38"/>
    </row>
    <row r="2127" spans="2:9" ht="15.75">
      <c r="B2127" s="53"/>
      <c r="C2127" s="54"/>
      <c r="D2127" s="35"/>
      <c r="E2127" s="36"/>
      <c r="F2127" s="35"/>
      <c r="G2127" s="39"/>
      <c r="H2127" s="35"/>
      <c r="I2127" s="39"/>
    </row>
    <row r="2128" spans="2:9">
      <c r="B2128" s="33"/>
      <c r="C2128" s="34"/>
      <c r="D2128" s="33"/>
      <c r="E2128" s="33"/>
      <c r="F2128" s="33"/>
      <c r="G2128" s="33"/>
      <c r="H2128" s="33"/>
      <c r="I2128" s="33"/>
    </row>
    <row r="2129" spans="2:9" ht="15.75">
      <c r="B2129" s="38"/>
      <c r="C2129" s="34"/>
      <c r="D2129" s="38"/>
      <c r="E2129" s="33"/>
      <c r="F2129" s="38"/>
      <c r="G2129" s="33"/>
      <c r="H2129" s="38"/>
      <c r="I2129" s="33"/>
    </row>
    <row r="2130" spans="2:9" ht="15.75">
      <c r="B2130" s="39"/>
      <c r="C2130" s="33"/>
      <c r="D2130" s="33"/>
      <c r="E2130" s="33"/>
      <c r="F2130" s="33"/>
      <c r="G2130" s="33"/>
      <c r="H2130" s="33"/>
      <c r="I2130" s="33"/>
    </row>
    <row r="2131" spans="2:9" ht="15.75">
      <c r="B2131" s="35"/>
      <c r="C2131" s="39"/>
      <c r="D2131" s="35"/>
      <c r="E2131" s="33"/>
      <c r="F2131" s="35"/>
      <c r="G2131" s="39"/>
      <c r="H2131" s="35"/>
      <c r="I2131" s="39"/>
    </row>
    <row r="2132" spans="2:9" ht="15.75">
      <c r="B2132" s="35"/>
      <c r="C2132" s="39"/>
      <c r="D2132" s="35"/>
      <c r="E2132" s="37"/>
      <c r="F2132" s="35"/>
      <c r="G2132" s="39"/>
      <c r="H2132" s="35"/>
      <c r="I2132" s="39"/>
    </row>
    <row r="2133" spans="2:9" ht="15.75">
      <c r="B2133" s="35"/>
      <c r="C2133" s="38"/>
      <c r="D2133" s="35"/>
      <c r="E2133" s="38"/>
      <c r="F2133" s="35"/>
      <c r="G2133" s="38"/>
      <c r="H2133" s="35"/>
      <c r="I2133" s="38"/>
    </row>
    <row r="2134" spans="2:9" ht="15.75">
      <c r="B2134" s="35"/>
      <c r="C2134" s="39"/>
      <c r="D2134" s="35"/>
      <c r="E2134" s="37"/>
      <c r="F2134" s="35"/>
      <c r="G2134" s="39"/>
      <c r="H2134" s="35"/>
      <c r="I2134" s="39"/>
    </row>
    <row r="2135" spans="2:9" ht="15.75">
      <c r="B2135" s="35"/>
      <c r="C2135" s="39"/>
      <c r="D2135" s="35"/>
      <c r="E2135" s="37"/>
      <c r="F2135" s="35"/>
      <c r="G2135" s="39"/>
      <c r="H2135" s="35"/>
      <c r="I2135" s="39"/>
    </row>
    <row r="2136" spans="2:9">
      <c r="B2136" s="33"/>
      <c r="C2136" s="33"/>
      <c r="D2136" s="33"/>
      <c r="E2136" s="33"/>
      <c r="F2136" s="33"/>
      <c r="G2136" s="33"/>
      <c r="H2136" s="33"/>
      <c r="I2136" s="33"/>
    </row>
    <row r="2137" spans="2:9" ht="15.75">
      <c r="B2137" s="38"/>
      <c r="C2137" s="33"/>
      <c r="D2137" s="38"/>
      <c r="E2137" s="33"/>
      <c r="F2137" s="38"/>
      <c r="G2137" s="33"/>
      <c r="H2137" s="38"/>
      <c r="I2137" s="33"/>
    </row>
    <row r="2138" spans="2:9" ht="15.75">
      <c r="B2138" s="39"/>
      <c r="C2138" s="33"/>
      <c r="D2138" s="33"/>
      <c r="E2138" s="33"/>
      <c r="F2138" s="33"/>
      <c r="G2138" s="33"/>
      <c r="H2138" s="33"/>
      <c r="I2138" s="33"/>
    </row>
    <row r="2139" spans="2:9" ht="15.75">
      <c r="B2139" s="35"/>
      <c r="C2139" s="39"/>
      <c r="D2139" s="35"/>
      <c r="E2139" s="33"/>
      <c r="F2139" s="35"/>
      <c r="G2139" s="39"/>
      <c r="H2139" s="35"/>
    </row>
    <row r="2140" spans="2:9" ht="15.75">
      <c r="B2140" s="35"/>
      <c r="C2140" s="39"/>
      <c r="D2140" s="35"/>
      <c r="E2140" s="37"/>
      <c r="F2140" s="35"/>
      <c r="G2140" s="39"/>
      <c r="H2140" s="35"/>
    </row>
    <row r="2141" spans="2:9" ht="15.75">
      <c r="B2141" s="35"/>
      <c r="C2141" s="38"/>
      <c r="D2141" s="35"/>
      <c r="E2141" s="38"/>
      <c r="F2141" s="35"/>
      <c r="G2141" s="38"/>
      <c r="H2141" s="35"/>
    </row>
    <row r="2142" spans="2:9" ht="15.75">
      <c r="B2142" s="35"/>
      <c r="C2142" s="39"/>
      <c r="D2142" s="35"/>
      <c r="E2142" s="37"/>
      <c r="F2142" s="35"/>
      <c r="G2142" s="39"/>
      <c r="H2142" s="35"/>
    </row>
    <row r="2143" spans="2:9" ht="15.75">
      <c r="B2143" s="35"/>
      <c r="C2143" s="39"/>
      <c r="D2143" s="35"/>
      <c r="E2143" s="37"/>
      <c r="F2143" s="35"/>
      <c r="G2143" s="39"/>
      <c r="H2143" s="35"/>
    </row>
    <row r="2145" spans="2:9">
      <c r="B2145" s="43"/>
      <c r="D2145" s="44"/>
    </row>
    <row r="2146" spans="2:9">
      <c r="B2146" s="45"/>
    </row>
    <row r="2147" spans="2:9">
      <c r="B2147" s="46"/>
      <c r="D2147" s="47"/>
    </row>
    <row r="2149" spans="2:9">
      <c r="B2149" s="42"/>
    </row>
    <row r="2151" spans="2:9" ht="15.75">
      <c r="B2151" s="35"/>
      <c r="C2151" s="54"/>
      <c r="D2151" s="35"/>
      <c r="E2151" s="33"/>
      <c r="F2151" s="35"/>
      <c r="G2151" s="39"/>
      <c r="H2151" s="35"/>
      <c r="I2151" s="39"/>
    </row>
    <row r="2152" spans="2:9" ht="15.75">
      <c r="B2152" s="35"/>
      <c r="C2152" s="54"/>
      <c r="D2152" s="35"/>
      <c r="E2152" s="36"/>
      <c r="F2152" s="35"/>
      <c r="G2152" s="39"/>
      <c r="H2152" s="35"/>
      <c r="I2152" s="39"/>
    </row>
    <row r="2153" spans="2:9" ht="15.75">
      <c r="B2153" s="35"/>
      <c r="C2153" s="40"/>
      <c r="D2153" s="35"/>
      <c r="E2153" s="40"/>
      <c r="F2153" s="35"/>
      <c r="G2153" s="38"/>
      <c r="H2153" s="35"/>
      <c r="I2153" s="38"/>
    </row>
    <row r="2154" spans="2:9" ht="15.75">
      <c r="B2154" s="35"/>
      <c r="C2154" s="54"/>
      <c r="D2154" s="35"/>
      <c r="E2154" s="36"/>
      <c r="F2154" s="35"/>
      <c r="G2154" s="39"/>
      <c r="H2154" s="35"/>
      <c r="I2154" s="38"/>
    </row>
    <row r="2155" spans="2:9" ht="15.75">
      <c r="B2155" s="53"/>
      <c r="C2155" s="54"/>
      <c r="D2155" s="35"/>
      <c r="E2155" s="36"/>
      <c r="F2155" s="35"/>
      <c r="G2155" s="39"/>
      <c r="H2155" s="35"/>
      <c r="I2155" s="39"/>
    </row>
    <row r="2156" spans="2:9">
      <c r="B2156" s="33"/>
      <c r="C2156" s="34"/>
      <c r="D2156" s="33"/>
      <c r="E2156" s="33"/>
      <c r="F2156" s="33"/>
      <c r="G2156" s="33"/>
      <c r="H2156" s="33"/>
      <c r="I2156" s="33"/>
    </row>
    <row r="2157" spans="2:9" ht="15.75">
      <c r="B2157" s="38"/>
      <c r="C2157" s="34"/>
      <c r="D2157" s="38"/>
      <c r="E2157" s="33"/>
      <c r="F2157" s="38"/>
      <c r="G2157" s="33"/>
      <c r="H2157" s="38"/>
      <c r="I2157" s="33"/>
    </row>
    <row r="2158" spans="2:9" ht="15.75">
      <c r="B2158" s="39"/>
      <c r="C2158" s="33"/>
      <c r="D2158" s="33"/>
      <c r="E2158" s="33"/>
      <c r="F2158" s="33"/>
      <c r="G2158" s="33"/>
      <c r="H2158" s="33"/>
      <c r="I2158" s="33"/>
    </row>
    <row r="2159" spans="2:9" ht="15.75">
      <c r="B2159" s="35"/>
      <c r="C2159" s="39"/>
      <c r="D2159" s="35"/>
      <c r="E2159" s="33"/>
      <c r="F2159" s="35"/>
      <c r="G2159" s="39"/>
      <c r="H2159" s="35"/>
      <c r="I2159" s="39"/>
    </row>
    <row r="2160" spans="2:9" ht="15.75">
      <c r="B2160" s="35"/>
      <c r="C2160" s="39"/>
      <c r="D2160" s="35"/>
      <c r="E2160" s="37"/>
      <c r="F2160" s="35"/>
      <c r="G2160" s="39"/>
      <c r="H2160" s="35"/>
      <c r="I2160" s="39"/>
    </row>
    <row r="2161" spans="2:9" ht="15.75">
      <c r="B2161" s="35"/>
      <c r="C2161" s="38"/>
      <c r="D2161" s="35"/>
      <c r="E2161" s="38"/>
      <c r="F2161" s="35"/>
      <c r="G2161" s="38"/>
      <c r="H2161" s="35"/>
      <c r="I2161" s="38"/>
    </row>
    <row r="2162" spans="2:9" ht="15.75">
      <c r="B2162" s="35"/>
      <c r="C2162" s="39"/>
      <c r="D2162" s="35"/>
      <c r="E2162" s="37"/>
      <c r="F2162" s="35"/>
      <c r="G2162" s="39"/>
      <c r="H2162" s="35"/>
      <c r="I2162" s="39"/>
    </row>
    <row r="2163" spans="2:9" ht="15.75">
      <c r="B2163" s="35"/>
      <c r="C2163" s="39"/>
      <c r="D2163" s="35"/>
      <c r="E2163" s="37"/>
      <c r="F2163" s="35"/>
      <c r="G2163" s="39"/>
      <c r="H2163" s="35"/>
      <c r="I2163" s="39"/>
    </row>
    <row r="2164" spans="2:9">
      <c r="B2164" s="33"/>
      <c r="C2164" s="33"/>
      <c r="D2164" s="33"/>
      <c r="E2164" s="33"/>
      <c r="F2164" s="33"/>
      <c r="G2164" s="33"/>
      <c r="H2164" s="33"/>
      <c r="I2164" s="33"/>
    </row>
    <row r="2165" spans="2:9" ht="15.75">
      <c r="B2165" s="38"/>
      <c r="C2165" s="33"/>
      <c r="D2165" s="38"/>
      <c r="E2165" s="33"/>
      <c r="F2165" s="38"/>
      <c r="G2165" s="33"/>
      <c r="H2165" s="38"/>
      <c r="I2165" s="33"/>
    </row>
    <row r="2166" spans="2:9" ht="15.75">
      <c r="B2166" s="39"/>
      <c r="C2166" s="33"/>
      <c r="D2166" s="33"/>
      <c r="E2166" s="33"/>
      <c r="F2166" s="33"/>
      <c r="G2166" s="33"/>
      <c r="H2166" s="33"/>
      <c r="I2166" s="33"/>
    </row>
    <row r="2167" spans="2:9" ht="15.75">
      <c r="B2167" s="35"/>
      <c r="C2167" s="39"/>
      <c r="D2167" s="35"/>
      <c r="E2167" s="33"/>
      <c r="F2167" s="35"/>
      <c r="G2167" s="39"/>
      <c r="H2167" s="35"/>
    </row>
    <row r="2168" spans="2:9" ht="15.75">
      <c r="B2168" s="35"/>
      <c r="C2168" s="39"/>
      <c r="D2168" s="35"/>
      <c r="E2168" s="37"/>
      <c r="F2168" s="35"/>
      <c r="G2168" s="39"/>
      <c r="H2168" s="35"/>
    </row>
    <row r="2169" spans="2:9" ht="15.75">
      <c r="B2169" s="35"/>
      <c r="C2169" s="38"/>
      <c r="D2169" s="35"/>
      <c r="E2169" s="38"/>
      <c r="F2169" s="35"/>
      <c r="G2169" s="38"/>
      <c r="H2169" s="35"/>
    </row>
    <row r="2170" spans="2:9" ht="15.75">
      <c r="B2170" s="35"/>
      <c r="C2170" s="39"/>
      <c r="D2170" s="35"/>
      <c r="E2170" s="37"/>
      <c r="F2170" s="35"/>
      <c r="G2170" s="39"/>
      <c r="H2170" s="35"/>
    </row>
    <row r="2171" spans="2:9" ht="15.75">
      <c r="B2171" s="35"/>
      <c r="C2171" s="39"/>
      <c r="D2171" s="35"/>
      <c r="E2171" s="37"/>
      <c r="F2171" s="35"/>
      <c r="G2171" s="39"/>
      <c r="H2171" s="35"/>
    </row>
    <row r="2173" spans="2:9">
      <c r="B2173" s="43"/>
      <c r="D2173" s="44"/>
    </row>
    <row r="2174" spans="2:9">
      <c r="B2174" s="45"/>
    </row>
    <row r="2175" spans="2:9">
      <c r="B2175" s="46"/>
      <c r="D2175" s="47"/>
    </row>
    <row r="2177" spans="2:9">
      <c r="B2177" s="42"/>
    </row>
    <row r="2179" spans="2:9" ht="15.75">
      <c r="B2179" s="35"/>
      <c r="C2179" s="54"/>
      <c r="D2179" s="35"/>
      <c r="E2179" s="33"/>
      <c r="F2179" s="35"/>
      <c r="G2179" s="39"/>
      <c r="H2179" s="35"/>
      <c r="I2179" s="39"/>
    </row>
    <row r="2180" spans="2:9" ht="15.75">
      <c r="B2180" s="35"/>
      <c r="C2180" s="54"/>
      <c r="D2180" s="35"/>
      <c r="E2180" s="36"/>
      <c r="F2180" s="35"/>
      <c r="G2180" s="39"/>
      <c r="H2180" s="35"/>
      <c r="I2180" s="39"/>
    </row>
    <row r="2181" spans="2:9" ht="15.75">
      <c r="B2181" s="35"/>
      <c r="C2181" s="40"/>
      <c r="D2181" s="35"/>
      <c r="E2181" s="40"/>
      <c r="F2181" s="35"/>
      <c r="G2181" s="38"/>
      <c r="H2181" s="35"/>
      <c r="I2181" s="38"/>
    </row>
    <row r="2182" spans="2:9" ht="15.75">
      <c r="B2182" s="35"/>
      <c r="C2182" s="54"/>
      <c r="D2182" s="35"/>
      <c r="E2182" s="36"/>
      <c r="F2182" s="35"/>
      <c r="G2182" s="39"/>
      <c r="H2182" s="35"/>
      <c r="I2182" s="38"/>
    </row>
    <row r="2183" spans="2:9" ht="15.75">
      <c r="B2183" s="53"/>
      <c r="C2183" s="54"/>
      <c r="D2183" s="35"/>
      <c r="E2183" s="36"/>
      <c r="F2183" s="35"/>
      <c r="G2183" s="39"/>
      <c r="H2183" s="35"/>
      <c r="I2183" s="39"/>
    </row>
    <row r="2184" spans="2:9">
      <c r="B2184" s="33"/>
      <c r="C2184" s="34"/>
      <c r="D2184" s="33"/>
      <c r="E2184" s="33"/>
      <c r="F2184" s="33"/>
      <c r="G2184" s="33"/>
      <c r="H2184" s="33"/>
      <c r="I2184" s="33"/>
    </row>
    <row r="2185" spans="2:9" ht="15.75">
      <c r="B2185" s="38"/>
      <c r="C2185" s="34"/>
      <c r="D2185" s="38"/>
      <c r="E2185" s="33"/>
      <c r="F2185" s="38"/>
      <c r="G2185" s="33"/>
      <c r="H2185" s="38"/>
      <c r="I2185" s="33"/>
    </row>
    <row r="2186" spans="2:9" ht="15.75">
      <c r="B2186" s="39"/>
      <c r="C2186" s="33"/>
      <c r="D2186" s="33"/>
      <c r="E2186" s="33"/>
      <c r="F2186" s="33"/>
      <c r="G2186" s="33"/>
      <c r="H2186" s="33"/>
      <c r="I2186" s="33"/>
    </row>
    <row r="2187" spans="2:9" ht="15.75">
      <c r="B2187" s="35"/>
      <c r="C2187" s="39"/>
      <c r="D2187" s="35"/>
      <c r="E2187" s="33"/>
      <c r="F2187" s="35"/>
      <c r="G2187" s="39"/>
      <c r="H2187" s="35"/>
      <c r="I2187" s="39"/>
    </row>
    <row r="2188" spans="2:9" ht="15.75">
      <c r="B2188" s="35"/>
      <c r="C2188" s="39"/>
      <c r="D2188" s="35"/>
      <c r="E2188" s="37"/>
      <c r="F2188" s="35"/>
      <c r="G2188" s="39"/>
      <c r="H2188" s="35"/>
      <c r="I2188" s="39"/>
    </row>
    <row r="2189" spans="2:9" ht="15.75">
      <c r="B2189" s="35"/>
      <c r="C2189" s="38"/>
      <c r="D2189" s="35"/>
      <c r="E2189" s="38"/>
      <c r="F2189" s="35"/>
      <c r="G2189" s="38"/>
      <c r="H2189" s="35"/>
      <c r="I2189" s="38"/>
    </row>
    <row r="2190" spans="2:9" ht="15.75">
      <c r="B2190" s="35"/>
      <c r="C2190" s="39"/>
      <c r="D2190" s="35"/>
      <c r="E2190" s="37"/>
      <c r="F2190" s="35"/>
      <c r="G2190" s="39"/>
      <c r="H2190" s="35"/>
      <c r="I2190" s="39"/>
    </row>
    <row r="2191" spans="2:9" ht="15.75">
      <c r="B2191" s="35"/>
      <c r="C2191" s="39"/>
      <c r="D2191" s="35"/>
      <c r="E2191" s="37"/>
      <c r="F2191" s="35"/>
      <c r="G2191" s="39"/>
      <c r="H2191" s="35"/>
      <c r="I2191" s="39"/>
    </row>
    <row r="2192" spans="2:9">
      <c r="B2192" s="33"/>
      <c r="C2192" s="33"/>
      <c r="D2192" s="33"/>
      <c r="E2192" s="33"/>
      <c r="F2192" s="33"/>
      <c r="G2192" s="33"/>
      <c r="H2192" s="33"/>
      <c r="I2192" s="33"/>
    </row>
    <row r="2193" spans="2:9" ht="15.75">
      <c r="B2193" s="38"/>
      <c r="C2193" s="33"/>
      <c r="D2193" s="38"/>
      <c r="E2193" s="33"/>
      <c r="F2193" s="38"/>
      <c r="G2193" s="33"/>
      <c r="H2193" s="38"/>
      <c r="I2193" s="33"/>
    </row>
    <row r="2194" spans="2:9" ht="15.75">
      <c r="B2194" s="39"/>
      <c r="C2194" s="33"/>
      <c r="D2194" s="33"/>
      <c r="E2194" s="33"/>
      <c r="F2194" s="33"/>
      <c r="G2194" s="33"/>
      <c r="H2194" s="33"/>
      <c r="I2194" s="33"/>
    </row>
    <row r="2195" spans="2:9" ht="15.75">
      <c r="B2195" s="35"/>
      <c r="C2195" s="39"/>
      <c r="D2195" s="35"/>
      <c r="E2195" s="33"/>
      <c r="F2195" s="35"/>
      <c r="G2195" s="39"/>
      <c r="H2195" s="35"/>
    </row>
    <row r="2196" spans="2:9" ht="15.75">
      <c r="B2196" s="35"/>
      <c r="C2196" s="39"/>
      <c r="D2196" s="35"/>
      <c r="E2196" s="37"/>
      <c r="F2196" s="35"/>
      <c r="G2196" s="39"/>
      <c r="H2196" s="35"/>
    </row>
    <row r="2197" spans="2:9" ht="15.75">
      <c r="B2197" s="35"/>
      <c r="C2197" s="38"/>
      <c r="D2197" s="35"/>
      <c r="E2197" s="38"/>
      <c r="F2197" s="35"/>
      <c r="G2197" s="38"/>
      <c r="H2197" s="35"/>
    </row>
    <row r="2198" spans="2:9" ht="15.75">
      <c r="B2198" s="35"/>
      <c r="C2198" s="39"/>
      <c r="D2198" s="35"/>
      <c r="E2198" s="37"/>
      <c r="F2198" s="35"/>
      <c r="G2198" s="39"/>
      <c r="H2198" s="35"/>
    </row>
    <row r="2199" spans="2:9" ht="15.75">
      <c r="B2199" s="35"/>
      <c r="C2199" s="39"/>
      <c r="D2199" s="35"/>
      <c r="E2199" s="37"/>
      <c r="F2199" s="35"/>
      <c r="G2199" s="39"/>
      <c r="H2199" s="35"/>
    </row>
    <row r="2201" spans="2:9">
      <c r="B2201" s="43"/>
      <c r="D2201" s="44"/>
    </row>
    <row r="2202" spans="2:9">
      <c r="B2202" s="45"/>
    </row>
    <row r="2203" spans="2:9">
      <c r="B2203" s="46"/>
      <c r="D2203" s="47"/>
    </row>
    <row r="2204" spans="2:9">
      <c r="B2204" s="50"/>
      <c r="C2204" s="49"/>
      <c r="D2204" s="49"/>
    </row>
    <row r="2205" spans="2:9">
      <c r="B2205" s="42"/>
    </row>
    <row r="2207" spans="2:9" ht="15.75">
      <c r="B2207" s="35"/>
      <c r="C2207" s="54"/>
      <c r="D2207" s="35"/>
      <c r="E2207" s="33"/>
      <c r="F2207" s="35"/>
      <c r="G2207" s="39"/>
      <c r="H2207" s="35"/>
      <c r="I2207" s="39"/>
    </row>
    <row r="2208" spans="2:9" ht="15.75">
      <c r="B2208" s="35"/>
      <c r="C2208" s="54"/>
      <c r="D2208" s="35"/>
      <c r="E2208" s="36"/>
      <c r="F2208" s="35"/>
      <c r="G2208" s="39"/>
      <c r="H2208" s="35"/>
      <c r="I2208" s="39"/>
    </row>
    <row r="2209" spans="2:9" ht="15.75">
      <c r="B2209" s="35"/>
      <c r="C2209" s="40"/>
      <c r="D2209" s="35"/>
      <c r="E2209" s="40"/>
      <c r="F2209" s="35"/>
      <c r="G2209" s="38"/>
      <c r="H2209" s="35"/>
      <c r="I2209" s="38"/>
    </row>
    <row r="2210" spans="2:9" ht="15.75">
      <c r="B2210" s="35"/>
      <c r="C2210" s="54"/>
      <c r="D2210" s="35"/>
      <c r="E2210" s="36"/>
      <c r="F2210" s="35"/>
      <c r="G2210" s="39"/>
      <c r="H2210" s="35"/>
      <c r="I2210" s="38"/>
    </row>
    <row r="2211" spans="2:9" ht="15.75">
      <c r="B2211" s="53"/>
      <c r="C2211" s="54"/>
      <c r="D2211" s="35"/>
      <c r="E2211" s="36"/>
      <c r="F2211" s="35"/>
      <c r="G2211" s="39"/>
      <c r="H2211" s="35"/>
      <c r="I2211" s="39"/>
    </row>
    <row r="2212" spans="2:9">
      <c r="B2212" s="33"/>
      <c r="C2212" s="34"/>
      <c r="D2212" s="33"/>
      <c r="E2212" s="33"/>
      <c r="F2212" s="33"/>
      <c r="G2212" s="33"/>
      <c r="H2212" s="33"/>
      <c r="I2212" s="33"/>
    </row>
    <row r="2213" spans="2:9" ht="15.75">
      <c r="B2213" s="38"/>
      <c r="C2213" s="34"/>
      <c r="D2213" s="38"/>
      <c r="E2213" s="33"/>
      <c r="F2213" s="38"/>
      <c r="G2213" s="33"/>
      <c r="H2213" s="38"/>
      <c r="I2213" s="33"/>
    </row>
    <row r="2214" spans="2:9" ht="15.75">
      <c r="B2214" s="39"/>
      <c r="C2214" s="33"/>
      <c r="D2214" s="33"/>
      <c r="E2214" s="33"/>
      <c r="F2214" s="33"/>
      <c r="G2214" s="33"/>
      <c r="H2214" s="33"/>
      <c r="I2214" s="33"/>
    </row>
    <row r="2215" spans="2:9" ht="15.75">
      <c r="B2215" s="35"/>
      <c r="C2215" s="39"/>
      <c r="D2215" s="35"/>
      <c r="E2215" s="33"/>
      <c r="F2215" s="35"/>
      <c r="G2215" s="39"/>
      <c r="H2215" s="35"/>
      <c r="I2215" s="39"/>
    </row>
    <row r="2216" spans="2:9" ht="15.75">
      <c r="B2216" s="35"/>
      <c r="C2216" s="39"/>
      <c r="D2216" s="35"/>
      <c r="E2216" s="37"/>
      <c r="F2216" s="35"/>
      <c r="G2216" s="39"/>
      <c r="H2216" s="35"/>
      <c r="I2216" s="39"/>
    </row>
    <row r="2217" spans="2:9" ht="15.75">
      <c r="B2217" s="35"/>
      <c r="C2217" s="38"/>
      <c r="D2217" s="35"/>
      <c r="E2217" s="38"/>
      <c r="F2217" s="35"/>
      <c r="G2217" s="38"/>
      <c r="H2217" s="35"/>
      <c r="I2217" s="38"/>
    </row>
    <row r="2218" spans="2:9" ht="15.75">
      <c r="B2218" s="35"/>
      <c r="C2218" s="39"/>
      <c r="D2218" s="35"/>
      <c r="E2218" s="37"/>
      <c r="F2218" s="35"/>
      <c r="G2218" s="39"/>
      <c r="H2218" s="35"/>
      <c r="I2218" s="39"/>
    </row>
    <row r="2219" spans="2:9" ht="15.75">
      <c r="B2219" s="35"/>
      <c r="C2219" s="39"/>
      <c r="D2219" s="35"/>
      <c r="E2219" s="37"/>
      <c r="F2219" s="35"/>
      <c r="G2219" s="39"/>
      <c r="H2219" s="35"/>
      <c r="I2219" s="39"/>
    </row>
    <row r="2220" spans="2:9">
      <c r="B2220" s="33"/>
      <c r="C2220" s="33"/>
      <c r="D2220" s="33"/>
      <c r="E2220" s="33"/>
      <c r="F2220" s="33"/>
      <c r="G2220" s="33"/>
      <c r="H2220" s="33"/>
      <c r="I2220" s="33"/>
    </row>
    <row r="2221" spans="2:9" ht="15.75">
      <c r="B2221" s="38"/>
      <c r="C2221" s="33"/>
      <c r="D2221" s="38"/>
      <c r="E2221" s="33"/>
      <c r="F2221" s="38"/>
      <c r="G2221" s="33"/>
      <c r="H2221" s="38"/>
      <c r="I2221" s="33"/>
    </row>
    <row r="2222" spans="2:9" ht="15.75">
      <c r="B2222" s="39"/>
      <c r="C2222" s="33"/>
      <c r="D2222" s="33"/>
      <c r="E2222" s="33"/>
      <c r="F2222" s="33"/>
      <c r="G2222" s="33"/>
      <c r="H2222" s="33"/>
      <c r="I2222" s="33"/>
    </row>
    <row r="2223" spans="2:9" ht="15.75">
      <c r="B2223" s="35"/>
      <c r="C2223" s="39"/>
      <c r="D2223" s="35"/>
      <c r="E2223" s="33"/>
      <c r="F2223" s="35"/>
      <c r="G2223" s="39"/>
      <c r="H2223" s="35"/>
    </row>
    <row r="2224" spans="2:9" ht="15.75">
      <c r="B2224" s="35"/>
      <c r="C2224" s="39"/>
      <c r="D2224" s="35"/>
      <c r="E2224" s="37"/>
      <c r="F2224" s="35"/>
      <c r="G2224" s="39"/>
      <c r="H2224" s="35"/>
    </row>
    <row r="2225" spans="2:9" ht="15.75">
      <c r="B2225" s="35"/>
      <c r="C2225" s="38"/>
      <c r="D2225" s="35"/>
      <c r="E2225" s="38"/>
      <c r="F2225" s="35"/>
      <c r="G2225" s="38"/>
      <c r="H2225" s="35"/>
    </row>
    <row r="2226" spans="2:9" ht="15.75">
      <c r="B2226" s="35"/>
      <c r="C2226" s="39"/>
      <c r="D2226" s="35"/>
      <c r="E2226" s="37"/>
      <c r="F2226" s="35"/>
      <c r="G2226" s="39"/>
      <c r="H2226" s="35"/>
    </row>
    <row r="2227" spans="2:9" ht="15.75">
      <c r="B2227" s="35"/>
      <c r="C2227" s="39"/>
      <c r="D2227" s="35"/>
      <c r="E2227" s="37"/>
      <c r="F2227" s="35"/>
      <c r="G2227" s="39"/>
      <c r="H2227" s="35"/>
    </row>
    <row r="2229" spans="2:9">
      <c r="B2229" s="43"/>
      <c r="D2229" s="44"/>
    </row>
    <row r="2230" spans="2:9">
      <c r="B2230" s="45"/>
    </row>
    <row r="2231" spans="2:9">
      <c r="B2231" s="46"/>
      <c r="D2231" s="47"/>
    </row>
    <row r="2232" spans="2:9">
      <c r="B2232" s="50"/>
      <c r="C2232" s="49"/>
      <c r="D2232" s="49"/>
    </row>
    <row r="2233" spans="2:9">
      <c r="B2233" s="42"/>
    </row>
    <row r="2235" spans="2:9" ht="15.75">
      <c r="B2235" s="35"/>
      <c r="C2235" s="54"/>
      <c r="D2235" s="35"/>
      <c r="E2235" s="33"/>
      <c r="F2235" s="35"/>
      <c r="G2235" s="39"/>
      <c r="H2235" s="35"/>
      <c r="I2235" s="39"/>
    </row>
    <row r="2236" spans="2:9" ht="15.75">
      <c r="B2236" s="35"/>
      <c r="C2236" s="54"/>
      <c r="D2236" s="35"/>
      <c r="E2236" s="36"/>
      <c r="F2236" s="35"/>
      <c r="G2236" s="39"/>
      <c r="H2236" s="35"/>
      <c r="I2236" s="39"/>
    </row>
    <row r="2237" spans="2:9" ht="15.75">
      <c r="B2237" s="35"/>
      <c r="C2237" s="40"/>
      <c r="D2237" s="35"/>
      <c r="E2237" s="40"/>
      <c r="F2237" s="35"/>
      <c r="G2237" s="38"/>
      <c r="H2237" s="35"/>
      <c r="I2237" s="38"/>
    </row>
    <row r="2238" spans="2:9" ht="15.75">
      <c r="B2238" s="35"/>
      <c r="C2238" s="54"/>
      <c r="D2238" s="35"/>
      <c r="E2238" s="36"/>
      <c r="F2238" s="35"/>
      <c r="G2238" s="39"/>
      <c r="H2238" s="35"/>
      <c r="I2238" s="38"/>
    </row>
    <row r="2239" spans="2:9" ht="15.75">
      <c r="B2239" s="53"/>
      <c r="C2239" s="54"/>
      <c r="D2239" s="35"/>
      <c r="E2239" s="36"/>
      <c r="F2239" s="35"/>
      <c r="G2239" s="39"/>
      <c r="H2239" s="35"/>
      <c r="I2239" s="39"/>
    </row>
    <row r="2240" spans="2:9">
      <c r="B2240" s="33"/>
      <c r="C2240" s="34"/>
      <c r="D2240" s="33"/>
      <c r="E2240" s="33"/>
      <c r="F2240" s="33"/>
      <c r="G2240" s="33"/>
      <c r="H2240" s="33"/>
      <c r="I2240" s="33"/>
    </row>
    <row r="2241" spans="2:9" ht="15.75">
      <c r="B2241" s="38"/>
      <c r="C2241" s="34"/>
      <c r="D2241" s="38"/>
      <c r="E2241" s="33"/>
      <c r="F2241" s="38"/>
      <c r="G2241" s="33"/>
      <c r="H2241" s="38"/>
      <c r="I2241" s="33"/>
    </row>
    <row r="2242" spans="2:9" ht="15.75">
      <c r="B2242" s="39"/>
      <c r="C2242" s="33"/>
      <c r="D2242" s="33"/>
      <c r="E2242" s="33"/>
      <c r="F2242" s="33"/>
      <c r="G2242" s="33"/>
      <c r="H2242" s="33"/>
      <c r="I2242" s="33"/>
    </row>
    <row r="2243" spans="2:9" ht="15.75">
      <c r="B2243" s="35"/>
      <c r="C2243" s="39"/>
      <c r="D2243" s="35"/>
      <c r="E2243" s="33"/>
      <c r="F2243" s="35"/>
      <c r="G2243" s="39"/>
      <c r="H2243" s="35"/>
      <c r="I2243" s="39"/>
    </row>
    <row r="2244" spans="2:9" ht="15.75">
      <c r="B2244" s="35"/>
      <c r="C2244" s="39"/>
      <c r="D2244" s="35"/>
      <c r="E2244" s="37"/>
      <c r="F2244" s="35"/>
      <c r="G2244" s="39"/>
      <c r="H2244" s="35"/>
      <c r="I2244" s="39"/>
    </row>
    <row r="2245" spans="2:9" ht="15.75">
      <c r="B2245" s="35"/>
      <c r="C2245" s="38"/>
      <c r="D2245" s="35"/>
      <c r="E2245" s="38"/>
      <c r="F2245" s="35"/>
      <c r="G2245" s="38"/>
      <c r="H2245" s="35"/>
      <c r="I2245" s="38"/>
    </row>
    <row r="2246" spans="2:9" ht="15.75">
      <c r="B2246" s="35"/>
      <c r="C2246" s="39"/>
      <c r="D2246" s="35"/>
      <c r="E2246" s="37"/>
      <c r="F2246" s="35"/>
      <c r="G2246" s="39"/>
      <c r="H2246" s="35"/>
      <c r="I2246" s="39"/>
    </row>
    <row r="2247" spans="2:9" ht="15.75">
      <c r="B2247" s="35"/>
      <c r="C2247" s="39"/>
      <c r="D2247" s="35"/>
      <c r="E2247" s="37"/>
      <c r="F2247" s="35"/>
      <c r="G2247" s="39"/>
      <c r="H2247" s="35"/>
      <c r="I2247" s="39"/>
    </row>
    <row r="2248" spans="2:9">
      <c r="B2248" s="33"/>
      <c r="C2248" s="33"/>
      <c r="D2248" s="33"/>
      <c r="E2248" s="33"/>
      <c r="F2248" s="33"/>
      <c r="G2248" s="33"/>
      <c r="H2248" s="33"/>
      <c r="I2248" s="33"/>
    </row>
    <row r="2249" spans="2:9" ht="15.75">
      <c r="B2249" s="38"/>
      <c r="C2249" s="33"/>
      <c r="D2249" s="38"/>
      <c r="E2249" s="33"/>
      <c r="F2249" s="38"/>
      <c r="G2249" s="33"/>
      <c r="H2249" s="38"/>
      <c r="I2249" s="33"/>
    </row>
    <row r="2250" spans="2:9" ht="15.75">
      <c r="B2250" s="39"/>
      <c r="C2250" s="33"/>
      <c r="D2250" s="33"/>
      <c r="E2250" s="33"/>
      <c r="F2250" s="33"/>
      <c r="G2250" s="33"/>
      <c r="H2250" s="33"/>
      <c r="I2250" s="33"/>
    </row>
    <row r="2251" spans="2:9" ht="15.75">
      <c r="B2251" s="35"/>
      <c r="C2251" s="39"/>
      <c r="D2251" s="35"/>
      <c r="E2251" s="33"/>
      <c r="F2251" s="35"/>
      <c r="G2251" s="39"/>
      <c r="H2251" s="35"/>
    </row>
    <row r="2252" spans="2:9" ht="15.75">
      <c r="B2252" s="35"/>
      <c r="C2252" s="39"/>
      <c r="D2252" s="35"/>
      <c r="E2252" s="37"/>
      <c r="F2252" s="35"/>
      <c r="G2252" s="39"/>
      <c r="H2252" s="35"/>
    </row>
    <row r="2253" spans="2:9" ht="15.75">
      <c r="B2253" s="35"/>
      <c r="C2253" s="38"/>
      <c r="D2253" s="35"/>
      <c r="E2253" s="38"/>
      <c r="F2253" s="35"/>
      <c r="G2253" s="38"/>
      <c r="H2253" s="35"/>
    </row>
    <row r="2254" spans="2:9" ht="15.75">
      <c r="B2254" s="35"/>
      <c r="C2254" s="39"/>
      <c r="D2254" s="35"/>
      <c r="E2254" s="37"/>
      <c r="F2254" s="35"/>
      <c r="G2254" s="39"/>
      <c r="H2254" s="35"/>
    </row>
    <row r="2255" spans="2:9" ht="15.75">
      <c r="B2255" s="35"/>
      <c r="C2255" s="39"/>
      <c r="D2255" s="35"/>
      <c r="E2255" s="37"/>
      <c r="F2255" s="35"/>
      <c r="G2255" s="39"/>
      <c r="H2255" s="35"/>
    </row>
    <row r="2257" spans="2:9">
      <c r="B2257" s="43"/>
      <c r="D2257" s="44"/>
    </row>
    <row r="2258" spans="2:9">
      <c r="B2258" s="45"/>
    </row>
    <row r="2259" spans="2:9">
      <c r="B2259" s="46"/>
      <c r="D2259" s="47"/>
    </row>
    <row r="2261" spans="2:9">
      <c r="B2261" s="55"/>
    </row>
    <row r="2263" spans="2:9">
      <c r="B2263" s="42"/>
    </row>
    <row r="2265" spans="2:9" ht="15.75">
      <c r="B2265" s="35"/>
      <c r="C2265" s="54"/>
      <c r="D2265" s="35"/>
      <c r="E2265" s="33"/>
      <c r="F2265" s="35"/>
      <c r="G2265" s="39"/>
      <c r="H2265" s="35"/>
      <c r="I2265" s="39"/>
    </row>
    <row r="2266" spans="2:9" ht="15.75">
      <c r="B2266" s="35"/>
      <c r="C2266" s="54"/>
      <c r="D2266" s="35"/>
      <c r="E2266" s="36"/>
      <c r="F2266" s="35"/>
      <c r="G2266" s="39"/>
      <c r="H2266" s="35"/>
      <c r="I2266" s="39"/>
    </row>
    <row r="2267" spans="2:9" ht="15.75">
      <c r="B2267" s="35"/>
      <c r="C2267" s="40"/>
      <c r="D2267" s="35"/>
      <c r="E2267" s="40"/>
      <c r="F2267" s="35"/>
      <c r="G2267" s="38"/>
      <c r="H2267" s="35"/>
      <c r="I2267" s="38"/>
    </row>
    <row r="2268" spans="2:9" ht="15.75">
      <c r="B2268" s="35"/>
      <c r="C2268" s="54"/>
      <c r="D2268" s="35"/>
      <c r="E2268" s="36"/>
      <c r="F2268" s="35"/>
      <c r="G2268" s="39"/>
      <c r="H2268" s="35"/>
      <c r="I2268" s="38"/>
    </row>
    <row r="2269" spans="2:9" ht="15.75">
      <c r="B2269" s="53"/>
      <c r="C2269" s="54"/>
      <c r="D2269" s="35"/>
      <c r="E2269" s="36"/>
      <c r="F2269" s="35"/>
      <c r="G2269" s="39"/>
      <c r="H2269" s="35"/>
      <c r="I2269" s="39"/>
    </row>
    <row r="2270" spans="2:9">
      <c r="B2270" s="33"/>
      <c r="C2270" s="34"/>
      <c r="D2270" s="33"/>
      <c r="E2270" s="33"/>
      <c r="F2270" s="33"/>
      <c r="G2270" s="33"/>
      <c r="H2270" s="33"/>
      <c r="I2270" s="33"/>
    </row>
    <row r="2271" spans="2:9" ht="15.75">
      <c r="B2271" s="38"/>
      <c r="C2271" s="34"/>
      <c r="D2271" s="38"/>
      <c r="E2271" s="33"/>
      <c r="F2271" s="38"/>
      <c r="G2271" s="33"/>
      <c r="H2271" s="38"/>
      <c r="I2271" s="33"/>
    </row>
    <row r="2272" spans="2:9" ht="15.75">
      <c r="B2272" s="39"/>
      <c r="C2272" s="33"/>
      <c r="D2272" s="33"/>
      <c r="E2272" s="33"/>
      <c r="F2272" s="33"/>
      <c r="G2272" s="33"/>
      <c r="H2272" s="33"/>
      <c r="I2272" s="33"/>
    </row>
    <row r="2273" spans="2:9" ht="15.75">
      <c r="B2273" s="35"/>
      <c r="C2273" s="39"/>
      <c r="D2273" s="35"/>
      <c r="E2273" s="33"/>
      <c r="F2273" s="35"/>
      <c r="G2273" s="39"/>
      <c r="H2273" s="35"/>
      <c r="I2273" s="39"/>
    </row>
    <row r="2274" spans="2:9" ht="15.75">
      <c r="B2274" s="35"/>
      <c r="C2274" s="39"/>
      <c r="D2274" s="35"/>
      <c r="E2274" s="37"/>
      <c r="F2274" s="35"/>
      <c r="G2274" s="39"/>
      <c r="H2274" s="35"/>
      <c r="I2274" s="39"/>
    </row>
    <row r="2275" spans="2:9" ht="15.75">
      <c r="B2275" s="35"/>
      <c r="C2275" s="38"/>
      <c r="D2275" s="35"/>
      <c r="E2275" s="38"/>
      <c r="F2275" s="35"/>
      <c r="G2275" s="38"/>
      <c r="H2275" s="35"/>
      <c r="I2275" s="38"/>
    </row>
    <row r="2276" spans="2:9" ht="15.75">
      <c r="B2276" s="35"/>
      <c r="C2276" s="39"/>
      <c r="D2276" s="35"/>
      <c r="E2276" s="37"/>
      <c r="F2276" s="35"/>
      <c r="G2276" s="39"/>
      <c r="H2276" s="35"/>
      <c r="I2276" s="39"/>
    </row>
    <row r="2277" spans="2:9" ht="15.75">
      <c r="B2277" s="35"/>
      <c r="C2277" s="39"/>
      <c r="D2277" s="35"/>
      <c r="E2277" s="37"/>
      <c r="F2277" s="35"/>
      <c r="G2277" s="39"/>
      <c r="H2277" s="35"/>
      <c r="I2277" s="39"/>
    </row>
    <row r="2278" spans="2:9">
      <c r="B2278" s="33"/>
      <c r="C2278" s="33"/>
      <c r="D2278" s="33"/>
      <c r="E2278" s="33"/>
      <c r="F2278" s="33"/>
      <c r="G2278" s="33"/>
      <c r="H2278" s="33"/>
      <c r="I2278" s="33"/>
    </row>
    <row r="2279" spans="2:9" ht="15.75">
      <c r="B2279" s="38"/>
      <c r="C2279" s="33"/>
      <c r="D2279" s="38"/>
      <c r="E2279" s="33"/>
      <c r="F2279" s="38"/>
      <c r="G2279" s="33"/>
      <c r="H2279" s="38"/>
      <c r="I2279" s="33"/>
    </row>
    <row r="2280" spans="2:9" ht="15.75">
      <c r="B2280" s="39"/>
      <c r="C2280" s="33"/>
      <c r="D2280" s="33"/>
      <c r="E2280" s="33"/>
      <c r="F2280" s="33"/>
      <c r="G2280" s="33"/>
      <c r="H2280" s="33"/>
      <c r="I2280" s="33"/>
    </row>
    <row r="2281" spans="2:9" ht="15.75">
      <c r="B2281" s="35"/>
      <c r="C2281" s="39"/>
      <c r="D2281" s="35"/>
      <c r="E2281" s="33"/>
      <c r="F2281" s="35"/>
      <c r="G2281" s="39"/>
      <c r="H2281" s="35"/>
    </row>
    <row r="2282" spans="2:9" ht="15.75">
      <c r="B2282" s="35"/>
      <c r="C2282" s="39"/>
      <c r="D2282" s="35"/>
      <c r="E2282" s="37"/>
      <c r="F2282" s="35"/>
      <c r="G2282" s="39"/>
      <c r="H2282" s="35"/>
    </row>
    <row r="2283" spans="2:9" ht="15.75">
      <c r="B2283" s="35"/>
      <c r="C2283" s="38"/>
      <c r="D2283" s="35"/>
      <c r="E2283" s="38"/>
      <c r="F2283" s="35"/>
      <c r="G2283" s="38"/>
      <c r="H2283" s="35"/>
    </row>
    <row r="2284" spans="2:9" ht="15.75">
      <c r="B2284" s="35"/>
      <c r="C2284" s="39"/>
      <c r="D2284" s="35"/>
      <c r="E2284" s="37"/>
      <c r="F2284" s="35"/>
      <c r="G2284" s="39"/>
      <c r="H2284" s="35"/>
    </row>
    <row r="2285" spans="2:9" ht="15.75">
      <c r="B2285" s="35"/>
      <c r="C2285" s="39"/>
      <c r="D2285" s="35"/>
      <c r="E2285" s="37"/>
      <c r="F2285" s="35"/>
      <c r="G2285" s="39"/>
      <c r="H2285" s="35"/>
    </row>
    <row r="2287" spans="2:9">
      <c r="B2287" s="43"/>
      <c r="D2287" s="44"/>
    </row>
    <row r="2288" spans="2:9">
      <c r="B2288" s="45"/>
    </row>
    <row r="2289" spans="2:9">
      <c r="B2289" s="46"/>
      <c r="D2289" s="47"/>
    </row>
    <row r="2291" spans="2:9">
      <c r="B2291" s="42"/>
    </row>
    <row r="2293" spans="2:9" ht="15.75">
      <c r="B2293" s="35"/>
      <c r="C2293" s="54"/>
      <c r="D2293" s="35"/>
      <c r="E2293" s="33"/>
      <c r="F2293" s="35"/>
      <c r="G2293" s="39"/>
      <c r="H2293" s="35"/>
      <c r="I2293" s="39"/>
    </row>
    <row r="2294" spans="2:9" ht="15.75">
      <c r="B2294" s="35"/>
      <c r="C2294" s="54"/>
      <c r="D2294" s="35"/>
      <c r="E2294" s="36"/>
      <c r="F2294" s="35"/>
      <c r="G2294" s="39"/>
      <c r="H2294" s="35"/>
      <c r="I2294" s="39"/>
    </row>
    <row r="2295" spans="2:9" ht="15.75">
      <c r="B2295" s="35"/>
      <c r="C2295" s="40"/>
      <c r="D2295" s="35"/>
      <c r="E2295" s="40"/>
      <c r="F2295" s="35"/>
      <c r="G2295" s="38"/>
      <c r="H2295" s="35"/>
      <c r="I2295" s="38"/>
    </row>
    <row r="2296" spans="2:9" ht="15.75">
      <c r="B2296" s="35"/>
      <c r="C2296" s="54"/>
      <c r="D2296" s="35"/>
      <c r="E2296" s="36"/>
      <c r="F2296" s="35"/>
      <c r="G2296" s="39"/>
      <c r="H2296" s="35"/>
      <c r="I2296" s="38"/>
    </row>
    <row r="2297" spans="2:9" ht="15.75">
      <c r="B2297" s="53"/>
      <c r="C2297" s="54"/>
      <c r="D2297" s="35"/>
      <c r="E2297" s="36"/>
      <c r="F2297" s="35"/>
      <c r="G2297" s="39"/>
      <c r="H2297" s="35"/>
      <c r="I2297" s="39"/>
    </row>
    <row r="2298" spans="2:9">
      <c r="B2298" s="33"/>
      <c r="C2298" s="34"/>
      <c r="D2298" s="33"/>
      <c r="E2298" s="33"/>
      <c r="F2298" s="33"/>
      <c r="G2298" s="33"/>
      <c r="H2298" s="33"/>
      <c r="I2298" s="33"/>
    </row>
    <row r="2299" spans="2:9" ht="15.75">
      <c r="B2299" s="38"/>
      <c r="C2299" s="34"/>
      <c r="D2299" s="38"/>
      <c r="E2299" s="33"/>
      <c r="F2299" s="38"/>
      <c r="G2299" s="33"/>
      <c r="H2299" s="38"/>
      <c r="I2299" s="33"/>
    </row>
    <row r="2300" spans="2:9" ht="15.75">
      <c r="B2300" s="39"/>
      <c r="C2300" s="33"/>
      <c r="D2300" s="33"/>
      <c r="E2300" s="33"/>
      <c r="F2300" s="33"/>
      <c r="G2300" s="33"/>
      <c r="H2300" s="33"/>
      <c r="I2300" s="33"/>
    </row>
    <row r="2301" spans="2:9" ht="15.75">
      <c r="B2301" s="35"/>
      <c r="C2301" s="39"/>
      <c r="D2301" s="35"/>
      <c r="E2301" s="33"/>
      <c r="F2301" s="35"/>
      <c r="G2301" s="39"/>
      <c r="H2301" s="35"/>
      <c r="I2301" s="39"/>
    </row>
    <row r="2302" spans="2:9" ht="15.75">
      <c r="B2302" s="35"/>
      <c r="C2302" s="39"/>
      <c r="D2302" s="35"/>
      <c r="E2302" s="37"/>
      <c r="F2302" s="35"/>
      <c r="G2302" s="39"/>
      <c r="H2302" s="35"/>
      <c r="I2302" s="39"/>
    </row>
    <row r="2303" spans="2:9" ht="15.75">
      <c r="B2303" s="35"/>
      <c r="C2303" s="38"/>
      <c r="D2303" s="35"/>
      <c r="E2303" s="38"/>
      <c r="F2303" s="35"/>
      <c r="G2303" s="38"/>
      <c r="H2303" s="35"/>
      <c r="I2303" s="38"/>
    </row>
    <row r="2304" spans="2:9" ht="15.75">
      <c r="B2304" s="35"/>
      <c r="C2304" s="39"/>
      <c r="D2304" s="35"/>
      <c r="E2304" s="37"/>
      <c r="F2304" s="35"/>
      <c r="G2304" s="39"/>
      <c r="H2304" s="35"/>
      <c r="I2304" s="39"/>
    </row>
    <row r="2305" spans="2:9" ht="15.75">
      <c r="B2305" s="35"/>
      <c r="C2305" s="39"/>
      <c r="D2305" s="35"/>
      <c r="E2305" s="37"/>
      <c r="F2305" s="35"/>
      <c r="G2305" s="39"/>
      <c r="H2305" s="35"/>
      <c r="I2305" s="39"/>
    </row>
    <row r="2306" spans="2:9">
      <c r="B2306" s="33"/>
      <c r="C2306" s="33"/>
      <c r="D2306" s="33"/>
      <c r="E2306" s="33"/>
      <c r="F2306" s="33"/>
      <c r="G2306" s="33"/>
      <c r="H2306" s="33"/>
      <c r="I2306" s="33"/>
    </row>
    <row r="2307" spans="2:9" ht="15.75">
      <c r="B2307" s="38"/>
      <c r="C2307" s="33"/>
      <c r="D2307" s="38"/>
      <c r="E2307" s="33"/>
      <c r="F2307" s="38"/>
      <c r="G2307" s="33"/>
      <c r="H2307" s="38"/>
      <c r="I2307" s="33"/>
    </row>
    <row r="2308" spans="2:9" ht="15.75">
      <c r="B2308" s="39"/>
      <c r="C2308" s="33"/>
      <c r="D2308" s="33"/>
      <c r="E2308" s="33"/>
      <c r="F2308" s="33"/>
      <c r="G2308" s="33"/>
      <c r="H2308" s="33"/>
      <c r="I2308" s="33"/>
    </row>
    <row r="2309" spans="2:9" ht="15.75">
      <c r="B2309" s="35"/>
      <c r="C2309" s="39"/>
      <c r="D2309" s="35"/>
      <c r="E2309" s="33"/>
      <c r="F2309" s="35"/>
      <c r="G2309" s="39"/>
      <c r="H2309" s="35"/>
    </row>
    <row r="2310" spans="2:9" ht="15.75">
      <c r="B2310" s="35"/>
      <c r="C2310" s="39"/>
      <c r="D2310" s="35"/>
      <c r="E2310" s="37"/>
      <c r="F2310" s="35"/>
      <c r="G2310" s="39"/>
      <c r="H2310" s="35"/>
    </row>
    <row r="2311" spans="2:9" ht="15.75">
      <c r="B2311" s="35"/>
      <c r="C2311" s="38"/>
      <c r="D2311" s="35"/>
      <c r="E2311" s="38"/>
      <c r="F2311" s="35"/>
      <c r="G2311" s="38"/>
      <c r="H2311" s="35"/>
    </row>
    <row r="2312" spans="2:9" ht="15.75">
      <c r="B2312" s="35"/>
      <c r="C2312" s="39"/>
      <c r="D2312" s="35"/>
      <c r="E2312" s="37"/>
      <c r="F2312" s="35"/>
      <c r="G2312" s="39"/>
      <c r="H2312" s="35"/>
    </row>
    <row r="2313" spans="2:9" ht="15.75">
      <c r="B2313" s="35"/>
      <c r="C2313" s="39"/>
      <c r="D2313" s="35"/>
      <c r="E2313" s="37"/>
      <c r="F2313" s="35"/>
      <c r="G2313" s="39"/>
      <c r="H2313" s="35"/>
    </row>
    <row r="2315" spans="2:9">
      <c r="B2315" s="43"/>
      <c r="D2315" s="44"/>
    </row>
    <row r="2316" spans="2:9">
      <c r="B2316" s="45"/>
    </row>
    <row r="2317" spans="2:9">
      <c r="B2317" s="46"/>
      <c r="D2317" s="47"/>
    </row>
    <row r="2319" spans="2:9">
      <c r="B2319" s="42"/>
    </row>
    <row r="2321" spans="2:9" ht="15.75">
      <c r="B2321" s="35"/>
      <c r="C2321" s="54"/>
      <c r="D2321" s="35"/>
      <c r="E2321" s="33"/>
      <c r="F2321" s="35"/>
      <c r="G2321" s="39"/>
      <c r="H2321" s="35"/>
      <c r="I2321" s="39"/>
    </row>
    <row r="2322" spans="2:9" ht="15.75">
      <c r="B2322" s="35"/>
      <c r="C2322" s="54"/>
      <c r="D2322" s="35"/>
      <c r="E2322" s="36"/>
      <c r="F2322" s="35"/>
      <c r="G2322" s="39"/>
      <c r="H2322" s="35"/>
      <c r="I2322" s="39"/>
    </row>
    <row r="2323" spans="2:9" ht="15.75">
      <c r="B2323" s="35"/>
      <c r="C2323" s="40"/>
      <c r="D2323" s="35"/>
      <c r="E2323" s="40"/>
      <c r="F2323" s="35"/>
      <c r="G2323" s="38"/>
      <c r="H2323" s="35"/>
      <c r="I2323" s="38"/>
    </row>
    <row r="2324" spans="2:9" ht="15.75">
      <c r="B2324" s="35"/>
      <c r="C2324" s="54"/>
      <c r="D2324" s="35"/>
      <c r="E2324" s="36"/>
      <c r="F2324" s="35"/>
      <c r="G2324" s="39"/>
      <c r="H2324" s="35"/>
      <c r="I2324" s="38"/>
    </row>
    <row r="2325" spans="2:9" ht="15.75">
      <c r="B2325" s="53"/>
      <c r="C2325" s="54"/>
      <c r="D2325" s="35"/>
      <c r="E2325" s="36"/>
      <c r="F2325" s="35"/>
      <c r="G2325" s="39"/>
      <c r="H2325" s="35"/>
      <c r="I2325" s="39"/>
    </row>
    <row r="2326" spans="2:9">
      <c r="B2326" s="33"/>
      <c r="C2326" s="34"/>
      <c r="D2326" s="33"/>
      <c r="E2326" s="33"/>
      <c r="F2326" s="33"/>
      <c r="G2326" s="33"/>
      <c r="H2326" s="33"/>
      <c r="I2326" s="33"/>
    </row>
    <row r="2327" spans="2:9" ht="15.75">
      <c r="B2327" s="38"/>
      <c r="C2327" s="34"/>
      <c r="D2327" s="38"/>
      <c r="E2327" s="33"/>
      <c r="F2327" s="38"/>
      <c r="G2327" s="33"/>
      <c r="H2327" s="38"/>
      <c r="I2327" s="33"/>
    </row>
    <row r="2328" spans="2:9" ht="15.75">
      <c r="B2328" s="39"/>
      <c r="C2328" s="33"/>
      <c r="D2328" s="33"/>
      <c r="E2328" s="33"/>
      <c r="F2328" s="33"/>
      <c r="G2328" s="33"/>
      <c r="H2328" s="33"/>
      <c r="I2328" s="33"/>
    </row>
    <row r="2329" spans="2:9" ht="15.75">
      <c r="B2329" s="35"/>
      <c r="C2329" s="39"/>
      <c r="D2329" s="35"/>
      <c r="E2329" s="33"/>
      <c r="F2329" s="35"/>
      <c r="G2329" s="39"/>
      <c r="H2329" s="35"/>
      <c r="I2329" s="39"/>
    </row>
    <row r="2330" spans="2:9" ht="15.75">
      <c r="B2330" s="35"/>
      <c r="C2330" s="39"/>
      <c r="D2330" s="35"/>
      <c r="E2330" s="37"/>
      <c r="F2330" s="35"/>
      <c r="G2330" s="39"/>
      <c r="H2330" s="35"/>
      <c r="I2330" s="39"/>
    </row>
    <row r="2331" spans="2:9" ht="15.75">
      <c r="B2331" s="35"/>
      <c r="C2331" s="38"/>
      <c r="D2331" s="35"/>
      <c r="E2331" s="38"/>
      <c r="F2331" s="35"/>
      <c r="G2331" s="38"/>
      <c r="H2331" s="35"/>
      <c r="I2331" s="38"/>
    </row>
    <row r="2332" spans="2:9" ht="15.75">
      <c r="B2332" s="35"/>
      <c r="C2332" s="39"/>
      <c r="D2332" s="35"/>
      <c r="E2332" s="37"/>
      <c r="F2332" s="35"/>
      <c r="G2332" s="39"/>
      <c r="H2332" s="35"/>
      <c r="I2332" s="39"/>
    </row>
    <row r="2333" spans="2:9" ht="15.75">
      <c r="B2333" s="35"/>
      <c r="C2333" s="39"/>
      <c r="D2333" s="35"/>
      <c r="E2333" s="37"/>
      <c r="F2333" s="35"/>
      <c r="G2333" s="39"/>
      <c r="H2333" s="35"/>
      <c r="I2333" s="39"/>
    </row>
    <row r="2334" spans="2:9">
      <c r="B2334" s="33"/>
      <c r="C2334" s="33"/>
      <c r="D2334" s="33"/>
      <c r="E2334" s="33"/>
      <c r="F2334" s="33"/>
      <c r="G2334" s="33"/>
      <c r="H2334" s="33"/>
      <c r="I2334" s="33"/>
    </row>
    <row r="2335" spans="2:9" ht="15.75">
      <c r="B2335" s="38"/>
      <c r="C2335" s="33"/>
      <c r="D2335" s="38"/>
      <c r="E2335" s="33"/>
      <c r="F2335" s="38"/>
      <c r="G2335" s="33"/>
      <c r="H2335" s="38"/>
      <c r="I2335" s="33"/>
    </row>
    <row r="2336" spans="2:9" ht="15.75">
      <c r="B2336" s="39"/>
      <c r="C2336" s="33"/>
      <c r="D2336" s="33"/>
      <c r="E2336" s="33"/>
      <c r="F2336" s="33"/>
      <c r="G2336" s="33"/>
      <c r="H2336" s="33"/>
      <c r="I2336" s="33"/>
    </row>
    <row r="2337" spans="2:9" ht="15.75">
      <c r="B2337" s="35"/>
      <c r="C2337" s="39"/>
      <c r="D2337" s="35"/>
      <c r="E2337" s="33"/>
      <c r="F2337" s="35"/>
      <c r="G2337" s="39"/>
      <c r="H2337" s="35"/>
    </row>
    <row r="2338" spans="2:9" ht="15.75">
      <c r="B2338" s="35"/>
      <c r="C2338" s="39"/>
      <c r="D2338" s="35"/>
      <c r="E2338" s="37"/>
      <c r="F2338" s="35"/>
      <c r="G2338" s="39"/>
      <c r="H2338" s="35"/>
    </row>
    <row r="2339" spans="2:9" ht="15.75">
      <c r="B2339" s="35"/>
      <c r="C2339" s="38"/>
      <c r="D2339" s="35"/>
      <c r="E2339" s="38"/>
      <c r="F2339" s="35"/>
      <c r="G2339" s="38"/>
      <c r="H2339" s="35"/>
    </row>
    <row r="2340" spans="2:9" ht="15.75">
      <c r="B2340" s="35"/>
      <c r="C2340" s="39"/>
      <c r="D2340" s="35"/>
      <c r="E2340" s="37"/>
      <c r="F2340" s="35"/>
      <c r="G2340" s="39"/>
      <c r="H2340" s="35"/>
    </row>
    <row r="2341" spans="2:9" ht="15.75">
      <c r="B2341" s="35"/>
      <c r="C2341" s="39"/>
      <c r="D2341" s="35"/>
      <c r="E2341" s="37"/>
      <c r="F2341" s="35"/>
      <c r="G2341" s="39"/>
      <c r="H2341" s="35"/>
    </row>
    <row r="2343" spans="2:9">
      <c r="B2343" s="43"/>
      <c r="D2343" s="44"/>
    </row>
    <row r="2344" spans="2:9">
      <c r="B2344" s="45"/>
    </row>
    <row r="2345" spans="2:9">
      <c r="B2345" s="46"/>
      <c r="D2345" s="47"/>
    </row>
    <row r="2347" spans="2:9">
      <c r="B2347" s="42"/>
    </row>
    <row r="2349" spans="2:9" ht="15.75">
      <c r="B2349" s="35"/>
      <c r="C2349" s="54"/>
      <c r="D2349" s="35"/>
      <c r="E2349" s="33"/>
      <c r="F2349" s="35"/>
      <c r="G2349" s="39"/>
      <c r="H2349" s="35"/>
      <c r="I2349" s="39"/>
    </row>
    <row r="2350" spans="2:9" ht="15.75">
      <c r="B2350" s="35"/>
      <c r="C2350" s="54"/>
      <c r="D2350" s="35"/>
      <c r="E2350" s="36"/>
      <c r="F2350" s="35"/>
      <c r="G2350" s="39"/>
      <c r="H2350" s="35"/>
      <c r="I2350" s="39"/>
    </row>
    <row r="2351" spans="2:9" ht="15.75">
      <c r="B2351" s="35"/>
      <c r="C2351" s="40"/>
      <c r="D2351" s="35"/>
      <c r="E2351" s="40"/>
      <c r="F2351" s="35"/>
      <c r="G2351" s="38"/>
      <c r="H2351" s="35"/>
      <c r="I2351" s="38"/>
    </row>
    <row r="2352" spans="2:9" ht="15.75">
      <c r="B2352" s="35"/>
      <c r="C2352" s="54"/>
      <c r="D2352" s="35"/>
      <c r="E2352" s="36"/>
      <c r="F2352" s="35"/>
      <c r="G2352" s="39"/>
      <c r="H2352" s="35"/>
      <c r="I2352" s="38"/>
    </row>
    <row r="2353" spans="2:9" ht="15.75">
      <c r="B2353" s="53"/>
      <c r="C2353" s="54"/>
      <c r="D2353" s="35"/>
      <c r="E2353" s="36"/>
      <c r="F2353" s="35"/>
      <c r="G2353" s="39"/>
      <c r="H2353" s="35"/>
      <c r="I2353" s="39"/>
    </row>
    <row r="2354" spans="2:9">
      <c r="B2354" s="33"/>
      <c r="C2354" s="34"/>
      <c r="D2354" s="33"/>
      <c r="E2354" s="33"/>
      <c r="F2354" s="33"/>
      <c r="G2354" s="33"/>
      <c r="H2354" s="33"/>
      <c r="I2354" s="33"/>
    </row>
    <row r="2355" spans="2:9" ht="15.75">
      <c r="B2355" s="38"/>
      <c r="C2355" s="34"/>
      <c r="D2355" s="38"/>
      <c r="E2355" s="33"/>
      <c r="F2355" s="38"/>
      <c r="G2355" s="33"/>
      <c r="H2355" s="38"/>
      <c r="I2355" s="33"/>
    </row>
    <row r="2356" spans="2:9" ht="15.75">
      <c r="B2356" s="39"/>
      <c r="C2356" s="33"/>
      <c r="D2356" s="33"/>
      <c r="E2356" s="33"/>
      <c r="F2356" s="33"/>
      <c r="G2356" s="33"/>
      <c r="H2356" s="33"/>
      <c r="I2356" s="33"/>
    </row>
    <row r="2357" spans="2:9" ht="15.75">
      <c r="B2357" s="35"/>
      <c r="C2357" s="39"/>
      <c r="D2357" s="35"/>
      <c r="E2357" s="33"/>
      <c r="F2357" s="35"/>
      <c r="G2357" s="39"/>
      <c r="H2357" s="35"/>
      <c r="I2357" s="39"/>
    </row>
    <row r="2358" spans="2:9" ht="15.75">
      <c r="B2358" s="35"/>
      <c r="C2358" s="39"/>
      <c r="D2358" s="35"/>
      <c r="E2358" s="37"/>
      <c r="F2358" s="35"/>
      <c r="G2358" s="39"/>
      <c r="H2358" s="35"/>
      <c r="I2358" s="39"/>
    </row>
    <row r="2359" spans="2:9" ht="15.75">
      <c r="B2359" s="35"/>
      <c r="C2359" s="38"/>
      <c r="D2359" s="35"/>
      <c r="E2359" s="38"/>
      <c r="F2359" s="35"/>
      <c r="G2359" s="38"/>
      <c r="H2359" s="35"/>
      <c r="I2359" s="38"/>
    </row>
    <row r="2360" spans="2:9" ht="15.75">
      <c r="B2360" s="35"/>
      <c r="C2360" s="39"/>
      <c r="D2360" s="35"/>
      <c r="E2360" s="37"/>
      <c r="F2360" s="35"/>
      <c r="G2360" s="39"/>
      <c r="H2360" s="35"/>
      <c r="I2360" s="39"/>
    </row>
    <row r="2361" spans="2:9" ht="15.75">
      <c r="B2361" s="35"/>
      <c r="C2361" s="39"/>
      <c r="D2361" s="35"/>
      <c r="E2361" s="37"/>
      <c r="F2361" s="35"/>
      <c r="G2361" s="39"/>
      <c r="H2361" s="35"/>
      <c r="I2361" s="39"/>
    </row>
    <row r="2362" spans="2:9">
      <c r="B2362" s="33"/>
      <c r="C2362" s="33"/>
      <c r="D2362" s="33"/>
      <c r="E2362" s="33"/>
      <c r="F2362" s="33"/>
      <c r="G2362" s="33"/>
      <c r="H2362" s="33"/>
      <c r="I2362" s="33"/>
    </row>
    <row r="2363" spans="2:9" ht="15.75">
      <c r="B2363" s="38"/>
      <c r="C2363" s="33"/>
      <c r="D2363" s="38"/>
      <c r="E2363" s="33"/>
      <c r="F2363" s="38"/>
      <c r="G2363" s="33"/>
      <c r="H2363" s="38"/>
      <c r="I2363" s="33"/>
    </row>
    <row r="2364" spans="2:9" ht="15.75">
      <c r="B2364" s="39"/>
      <c r="C2364" s="33"/>
      <c r="D2364" s="33"/>
      <c r="E2364" s="33"/>
      <c r="F2364" s="33"/>
      <c r="G2364" s="33"/>
      <c r="H2364" s="33"/>
      <c r="I2364" s="33"/>
    </row>
    <row r="2365" spans="2:9" ht="15.75">
      <c r="B2365" s="35"/>
      <c r="C2365" s="39"/>
      <c r="D2365" s="35"/>
      <c r="E2365" s="33"/>
      <c r="F2365" s="35"/>
      <c r="G2365" s="39"/>
      <c r="H2365" s="35"/>
    </row>
    <row r="2366" spans="2:9" ht="15.75">
      <c r="B2366" s="35"/>
      <c r="C2366" s="39"/>
      <c r="D2366" s="35"/>
      <c r="E2366" s="37"/>
      <c r="F2366" s="35"/>
      <c r="G2366" s="39"/>
      <c r="H2366" s="35"/>
    </row>
    <row r="2367" spans="2:9" ht="15.75">
      <c r="B2367" s="35"/>
      <c r="C2367" s="38"/>
      <c r="D2367" s="35"/>
      <c r="E2367" s="38"/>
      <c r="F2367" s="35"/>
      <c r="G2367" s="38"/>
      <c r="H2367" s="35"/>
    </row>
    <row r="2368" spans="2:9" ht="15.75">
      <c r="B2368" s="35"/>
      <c r="C2368" s="39"/>
      <c r="D2368" s="35"/>
      <c r="E2368" s="37"/>
      <c r="F2368" s="35"/>
      <c r="G2368" s="39"/>
      <c r="H2368" s="35"/>
    </row>
    <row r="2369" spans="2:9" ht="15.75">
      <c r="B2369" s="35"/>
      <c r="C2369" s="39"/>
      <c r="D2369" s="35"/>
      <c r="E2369" s="37"/>
      <c r="F2369" s="35"/>
      <c r="G2369" s="39"/>
      <c r="H2369" s="35"/>
    </row>
    <row r="2371" spans="2:9">
      <c r="B2371" s="43"/>
      <c r="D2371" s="44"/>
    </row>
    <row r="2372" spans="2:9">
      <c r="B2372" s="45"/>
    </row>
    <row r="2373" spans="2:9">
      <c r="B2373" s="46"/>
      <c r="D2373" s="47"/>
    </row>
    <row r="2375" spans="2:9">
      <c r="B2375" s="42"/>
    </row>
    <row r="2377" spans="2:9" ht="15.75">
      <c r="B2377" s="35"/>
      <c r="C2377" s="54"/>
      <c r="D2377" s="35"/>
      <c r="E2377" s="33"/>
      <c r="F2377" s="35"/>
      <c r="G2377" s="39"/>
      <c r="H2377" s="35"/>
      <c r="I2377" s="39"/>
    </row>
    <row r="2378" spans="2:9" ht="15.75">
      <c r="B2378" s="35"/>
      <c r="C2378" s="54"/>
      <c r="D2378" s="35"/>
      <c r="E2378" s="36"/>
      <c r="F2378" s="35"/>
      <c r="G2378" s="39"/>
      <c r="H2378" s="35"/>
      <c r="I2378" s="39"/>
    </row>
    <row r="2379" spans="2:9" ht="15.75">
      <c r="B2379" s="35"/>
      <c r="C2379" s="40"/>
      <c r="D2379" s="35"/>
      <c r="E2379" s="40"/>
      <c r="F2379" s="35"/>
      <c r="G2379" s="38"/>
      <c r="H2379" s="35"/>
      <c r="I2379" s="38"/>
    </row>
    <row r="2380" spans="2:9" ht="15.75">
      <c r="B2380" s="35"/>
      <c r="C2380" s="54"/>
      <c r="D2380" s="35"/>
      <c r="E2380" s="36"/>
      <c r="F2380" s="35"/>
      <c r="G2380" s="39"/>
      <c r="H2380" s="35"/>
      <c r="I2380" s="38"/>
    </row>
    <row r="2381" spans="2:9" ht="15.75">
      <c r="B2381" s="53"/>
      <c r="C2381" s="54"/>
      <c r="D2381" s="35"/>
      <c r="E2381" s="36"/>
      <c r="F2381" s="35"/>
      <c r="G2381" s="39"/>
      <c r="H2381" s="35"/>
      <c r="I2381" s="39"/>
    </row>
    <row r="2382" spans="2:9">
      <c r="B2382" s="33"/>
      <c r="C2382" s="34"/>
      <c r="D2382" s="33"/>
      <c r="E2382" s="33"/>
      <c r="F2382" s="33"/>
      <c r="G2382" s="33"/>
      <c r="H2382" s="33"/>
      <c r="I2382" s="33"/>
    </row>
    <row r="2383" spans="2:9" ht="15.75">
      <c r="B2383" s="38"/>
      <c r="C2383" s="34"/>
      <c r="D2383" s="38"/>
      <c r="E2383" s="33"/>
      <c r="F2383" s="38"/>
      <c r="G2383" s="33"/>
      <c r="H2383" s="38"/>
      <c r="I2383" s="33"/>
    </row>
    <row r="2384" spans="2:9" ht="15.75">
      <c r="B2384" s="39"/>
      <c r="C2384" s="33"/>
      <c r="D2384" s="33"/>
      <c r="E2384" s="33"/>
      <c r="F2384" s="33"/>
      <c r="G2384" s="33"/>
      <c r="H2384" s="33"/>
      <c r="I2384" s="33"/>
    </row>
    <row r="2385" spans="2:9" ht="15.75">
      <c r="B2385" s="35"/>
      <c r="C2385" s="39"/>
      <c r="D2385" s="35"/>
      <c r="E2385" s="33"/>
      <c r="F2385" s="35"/>
      <c r="G2385" s="39"/>
      <c r="H2385" s="35"/>
      <c r="I2385" s="39"/>
    </row>
    <row r="2386" spans="2:9" ht="15.75">
      <c r="B2386" s="35"/>
      <c r="C2386" s="39"/>
      <c r="D2386" s="35"/>
      <c r="E2386" s="37"/>
      <c r="F2386" s="35"/>
      <c r="G2386" s="39"/>
      <c r="H2386" s="35"/>
      <c r="I2386" s="39"/>
    </row>
    <row r="2387" spans="2:9" ht="15.75">
      <c r="B2387" s="35"/>
      <c r="C2387" s="38"/>
      <c r="D2387" s="35"/>
      <c r="E2387" s="38"/>
      <c r="F2387" s="35"/>
      <c r="G2387" s="38"/>
      <c r="H2387" s="35"/>
      <c r="I2387" s="38"/>
    </row>
    <row r="2388" spans="2:9" ht="15.75">
      <c r="B2388" s="35"/>
      <c r="C2388" s="39"/>
      <c r="D2388" s="35"/>
      <c r="E2388" s="37"/>
      <c r="F2388" s="35"/>
      <c r="G2388" s="39"/>
      <c r="H2388" s="35"/>
      <c r="I2388" s="39"/>
    </row>
    <row r="2389" spans="2:9" ht="15.75">
      <c r="B2389" s="35"/>
      <c r="C2389" s="39"/>
      <c r="D2389" s="35"/>
      <c r="E2389" s="37"/>
      <c r="F2389" s="35"/>
      <c r="G2389" s="39"/>
      <c r="H2389" s="35"/>
      <c r="I2389" s="39"/>
    </row>
    <row r="2390" spans="2:9">
      <c r="B2390" s="33"/>
      <c r="C2390" s="33"/>
      <c r="D2390" s="33"/>
      <c r="E2390" s="33"/>
      <c r="F2390" s="33"/>
      <c r="G2390" s="33"/>
      <c r="H2390" s="33"/>
      <c r="I2390" s="33"/>
    </row>
    <row r="2391" spans="2:9" ht="15.75">
      <c r="B2391" s="38"/>
      <c r="C2391" s="33"/>
      <c r="D2391" s="38"/>
      <c r="E2391" s="33"/>
      <c r="F2391" s="38"/>
      <c r="G2391" s="33"/>
      <c r="H2391" s="38"/>
      <c r="I2391" s="33"/>
    </row>
    <row r="2392" spans="2:9" ht="15.75">
      <c r="B2392" s="39"/>
      <c r="C2392" s="33"/>
      <c r="D2392" s="33"/>
      <c r="E2392" s="33"/>
      <c r="F2392" s="33"/>
      <c r="G2392" s="33"/>
      <c r="H2392" s="33"/>
      <c r="I2392" s="33"/>
    </row>
    <row r="2393" spans="2:9" ht="15.75">
      <c r="B2393" s="35"/>
      <c r="C2393" s="39"/>
      <c r="D2393" s="35"/>
      <c r="E2393" s="33"/>
      <c r="F2393" s="35"/>
      <c r="G2393" s="39"/>
      <c r="H2393" s="35"/>
    </row>
    <row r="2394" spans="2:9" ht="15.75">
      <c r="B2394" s="35"/>
      <c r="C2394" s="39"/>
      <c r="D2394" s="35"/>
      <c r="E2394" s="37"/>
      <c r="F2394" s="35"/>
      <c r="G2394" s="39"/>
      <c r="H2394" s="35"/>
    </row>
    <row r="2395" spans="2:9" ht="15.75">
      <c r="B2395" s="35"/>
      <c r="C2395" s="38"/>
      <c r="D2395" s="35"/>
      <c r="E2395" s="38"/>
      <c r="F2395" s="35"/>
      <c r="G2395" s="38"/>
      <c r="H2395" s="35"/>
    </row>
    <row r="2396" spans="2:9" ht="15.75">
      <c r="B2396" s="35"/>
      <c r="C2396" s="39"/>
      <c r="D2396" s="35"/>
      <c r="E2396" s="37"/>
      <c r="F2396" s="35"/>
      <c r="G2396" s="39"/>
      <c r="H2396" s="35"/>
    </row>
    <row r="2397" spans="2:9" ht="15.75">
      <c r="B2397" s="35"/>
      <c r="C2397" s="39"/>
      <c r="D2397" s="35"/>
      <c r="E2397" s="37"/>
      <c r="F2397" s="35"/>
      <c r="G2397" s="39"/>
      <c r="H2397" s="35"/>
    </row>
    <row r="2399" spans="2:9">
      <c r="B2399" s="43"/>
      <c r="D2399" s="44"/>
    </row>
    <row r="2400" spans="2:9">
      <c r="B2400" s="45"/>
    </row>
    <row r="2401" spans="2:9">
      <c r="B2401" s="46"/>
      <c r="D2401" s="47"/>
    </row>
    <row r="2403" spans="2:9">
      <c r="B2403" s="42"/>
    </row>
    <row r="2405" spans="2:9" ht="15.75">
      <c r="B2405" s="35"/>
      <c r="C2405" s="54"/>
      <c r="D2405" s="35"/>
      <c r="E2405" s="33"/>
      <c r="F2405" s="35"/>
      <c r="G2405" s="39"/>
      <c r="H2405" s="35"/>
      <c r="I2405" s="39"/>
    </row>
    <row r="2406" spans="2:9" ht="15.75">
      <c r="B2406" s="35"/>
      <c r="C2406" s="54"/>
      <c r="D2406" s="35"/>
      <c r="E2406" s="36"/>
      <c r="F2406" s="35"/>
      <c r="G2406" s="39"/>
      <c r="H2406" s="35"/>
      <c r="I2406" s="39"/>
    </row>
    <row r="2407" spans="2:9" ht="15.75">
      <c r="B2407" s="35"/>
      <c r="C2407" s="40"/>
      <c r="D2407" s="35"/>
      <c r="E2407" s="40"/>
      <c r="F2407" s="35"/>
      <c r="G2407" s="38"/>
      <c r="H2407" s="35"/>
      <c r="I2407" s="38"/>
    </row>
    <row r="2408" spans="2:9" ht="15.75">
      <c r="B2408" s="35"/>
      <c r="C2408" s="54"/>
      <c r="D2408" s="35"/>
      <c r="E2408" s="36"/>
      <c r="F2408" s="35"/>
      <c r="G2408" s="39"/>
      <c r="H2408" s="35"/>
      <c r="I2408" s="38"/>
    </row>
    <row r="2409" spans="2:9" ht="15.75">
      <c r="B2409" s="53"/>
      <c r="C2409" s="54"/>
      <c r="D2409" s="35"/>
      <c r="E2409" s="36"/>
      <c r="F2409" s="35"/>
      <c r="G2409" s="39"/>
      <c r="H2409" s="35"/>
      <c r="I2409" s="39"/>
    </row>
    <row r="2410" spans="2:9">
      <c r="B2410" s="33"/>
      <c r="C2410" s="34"/>
      <c r="D2410" s="33"/>
      <c r="E2410" s="33"/>
      <c r="F2410" s="33"/>
      <c r="G2410" s="33"/>
      <c r="H2410" s="33"/>
      <c r="I2410" s="33"/>
    </row>
    <row r="2411" spans="2:9" ht="15.75">
      <c r="B2411" s="38"/>
      <c r="C2411" s="34"/>
      <c r="D2411" s="38"/>
      <c r="E2411" s="33"/>
      <c r="F2411" s="38"/>
      <c r="G2411" s="33"/>
      <c r="H2411" s="38"/>
      <c r="I2411" s="33"/>
    </row>
    <row r="2412" spans="2:9" ht="15.75">
      <c r="B2412" s="39"/>
      <c r="C2412" s="33"/>
      <c r="D2412" s="33"/>
      <c r="E2412" s="33"/>
      <c r="F2412" s="33"/>
      <c r="G2412" s="33"/>
      <c r="H2412" s="33"/>
      <c r="I2412" s="33"/>
    </row>
    <row r="2413" spans="2:9" ht="15.75">
      <c r="B2413" s="35"/>
      <c r="C2413" s="39"/>
      <c r="D2413" s="35"/>
      <c r="E2413" s="33"/>
      <c r="F2413" s="35"/>
      <c r="G2413" s="39"/>
      <c r="H2413" s="35"/>
      <c r="I2413" s="39"/>
    </row>
    <row r="2414" spans="2:9" ht="15.75">
      <c r="B2414" s="35"/>
      <c r="C2414" s="39"/>
      <c r="D2414" s="35"/>
      <c r="E2414" s="37"/>
      <c r="F2414" s="35"/>
      <c r="G2414" s="39"/>
      <c r="H2414" s="35"/>
      <c r="I2414" s="39"/>
    </row>
    <row r="2415" spans="2:9" ht="15.75">
      <c r="B2415" s="35"/>
      <c r="C2415" s="38"/>
      <c r="D2415" s="35"/>
      <c r="E2415" s="38"/>
      <c r="F2415" s="35"/>
      <c r="G2415" s="38"/>
      <c r="H2415" s="35"/>
      <c r="I2415" s="38"/>
    </row>
    <row r="2416" spans="2:9" ht="15.75">
      <c r="B2416" s="35"/>
      <c r="C2416" s="39"/>
      <c r="D2416" s="35"/>
      <c r="E2416" s="37"/>
      <c r="F2416" s="35"/>
      <c r="G2416" s="39"/>
      <c r="H2416" s="35"/>
      <c r="I2416" s="39"/>
    </row>
    <row r="2417" spans="2:9" ht="15.75">
      <c r="B2417" s="35"/>
      <c r="C2417" s="39"/>
      <c r="D2417" s="35"/>
      <c r="E2417" s="37"/>
      <c r="F2417" s="35"/>
      <c r="G2417" s="39"/>
      <c r="H2417" s="35"/>
      <c r="I2417" s="39"/>
    </row>
    <row r="2418" spans="2:9">
      <c r="B2418" s="33"/>
      <c r="C2418" s="33"/>
      <c r="D2418" s="33"/>
      <c r="E2418" s="33"/>
      <c r="F2418" s="33"/>
      <c r="G2418" s="33"/>
      <c r="H2418" s="33"/>
      <c r="I2418" s="33"/>
    </row>
    <row r="2419" spans="2:9" ht="15.75">
      <c r="B2419" s="38"/>
      <c r="C2419" s="33"/>
      <c r="D2419" s="38"/>
      <c r="E2419" s="33"/>
      <c r="F2419" s="38"/>
      <c r="G2419" s="33"/>
      <c r="H2419" s="38"/>
      <c r="I2419" s="33"/>
    </row>
    <row r="2420" spans="2:9" ht="15.75">
      <c r="B2420" s="39"/>
      <c r="C2420" s="33"/>
      <c r="D2420" s="33"/>
      <c r="E2420" s="33"/>
      <c r="F2420" s="33"/>
      <c r="G2420" s="33"/>
      <c r="H2420" s="33"/>
      <c r="I2420" s="33"/>
    </row>
    <row r="2421" spans="2:9" ht="15.75">
      <c r="B2421" s="35"/>
      <c r="C2421" s="39"/>
      <c r="D2421" s="35"/>
      <c r="E2421" s="33"/>
      <c r="F2421" s="35"/>
      <c r="G2421" s="39"/>
      <c r="H2421" s="35"/>
    </row>
    <row r="2422" spans="2:9" ht="15.75">
      <c r="B2422" s="35"/>
      <c r="C2422" s="39"/>
      <c r="D2422" s="35"/>
      <c r="E2422" s="37"/>
      <c r="F2422" s="35"/>
      <c r="G2422" s="39"/>
      <c r="H2422" s="35"/>
    </row>
    <row r="2423" spans="2:9" ht="15.75">
      <c r="B2423" s="35"/>
      <c r="C2423" s="38"/>
      <c r="D2423" s="35"/>
      <c r="E2423" s="38"/>
      <c r="F2423" s="35"/>
      <c r="G2423" s="38"/>
      <c r="H2423" s="35"/>
    </row>
    <row r="2424" spans="2:9" ht="15.75">
      <c r="B2424" s="35"/>
      <c r="C2424" s="39"/>
      <c r="D2424" s="35"/>
      <c r="E2424" s="37"/>
      <c r="F2424" s="35"/>
      <c r="G2424" s="39"/>
      <c r="H2424" s="35"/>
    </row>
    <row r="2425" spans="2:9" ht="15.75">
      <c r="B2425" s="35"/>
      <c r="C2425" s="39"/>
      <c r="D2425" s="35"/>
      <c r="E2425" s="37"/>
      <c r="F2425" s="35"/>
      <c r="G2425" s="39"/>
      <c r="H2425" s="35"/>
    </row>
    <row r="2427" spans="2:9">
      <c r="B2427" s="43"/>
      <c r="D2427" s="44"/>
    </row>
    <row r="2428" spans="2:9">
      <c r="B2428" s="45"/>
    </row>
    <row r="2429" spans="2:9">
      <c r="B2429" s="46"/>
      <c r="D2429" s="47"/>
    </row>
    <row r="2431" spans="2:9">
      <c r="B2431" s="42"/>
    </row>
    <row r="2433" spans="2:9" ht="15.75">
      <c r="B2433" s="35"/>
      <c r="C2433" s="54"/>
      <c r="D2433" s="35"/>
      <c r="E2433" s="33"/>
      <c r="F2433" s="35"/>
      <c r="G2433" s="39"/>
      <c r="H2433" s="35"/>
      <c r="I2433" s="39"/>
    </row>
    <row r="2434" spans="2:9" ht="15.75">
      <c r="B2434" s="35"/>
      <c r="C2434" s="54"/>
      <c r="D2434" s="35"/>
      <c r="E2434" s="36"/>
      <c r="F2434" s="35"/>
      <c r="G2434" s="39"/>
      <c r="H2434" s="35"/>
      <c r="I2434" s="39"/>
    </row>
    <row r="2435" spans="2:9" ht="15.75">
      <c r="B2435" s="35"/>
      <c r="C2435" s="40"/>
      <c r="D2435" s="35"/>
      <c r="E2435" s="40"/>
      <c r="F2435" s="35"/>
      <c r="G2435" s="38"/>
      <c r="H2435" s="35"/>
      <c r="I2435" s="38"/>
    </row>
    <row r="2436" spans="2:9" ht="15.75">
      <c r="B2436" s="35"/>
      <c r="C2436" s="54"/>
      <c r="D2436" s="35"/>
      <c r="E2436" s="36"/>
      <c r="F2436" s="35"/>
      <c r="G2436" s="39"/>
      <c r="H2436" s="35"/>
      <c r="I2436" s="38"/>
    </row>
    <row r="2437" spans="2:9" ht="15.75">
      <c r="B2437" s="53"/>
      <c r="C2437" s="54"/>
      <c r="D2437" s="35"/>
      <c r="E2437" s="36"/>
      <c r="F2437" s="35"/>
      <c r="G2437" s="39"/>
      <c r="H2437" s="35"/>
      <c r="I2437" s="39"/>
    </row>
    <row r="2438" spans="2:9">
      <c r="B2438" s="33"/>
      <c r="C2438" s="34"/>
      <c r="D2438" s="33"/>
      <c r="E2438" s="33"/>
      <c r="F2438" s="33"/>
      <c r="G2438" s="33"/>
      <c r="H2438" s="33"/>
      <c r="I2438" s="33"/>
    </row>
    <row r="2439" spans="2:9" ht="15.75">
      <c r="B2439" s="38"/>
      <c r="C2439" s="34"/>
      <c r="D2439" s="38"/>
      <c r="E2439" s="33"/>
      <c r="F2439" s="38"/>
      <c r="G2439" s="33"/>
      <c r="H2439" s="38"/>
      <c r="I2439" s="33"/>
    </row>
    <row r="2440" spans="2:9" ht="15.75">
      <c r="B2440" s="39"/>
      <c r="C2440" s="33"/>
      <c r="D2440" s="33"/>
      <c r="E2440" s="33"/>
      <c r="F2440" s="33"/>
      <c r="G2440" s="33"/>
      <c r="H2440" s="33"/>
      <c r="I2440" s="33"/>
    </row>
    <row r="2441" spans="2:9" ht="15.75">
      <c r="B2441" s="35"/>
      <c r="C2441" s="39"/>
      <c r="D2441" s="35"/>
      <c r="E2441" s="33"/>
      <c r="F2441" s="35"/>
      <c r="G2441" s="39"/>
      <c r="H2441" s="35"/>
      <c r="I2441" s="39"/>
    </row>
    <row r="2442" spans="2:9" ht="15.75">
      <c r="B2442" s="35"/>
      <c r="C2442" s="39"/>
      <c r="D2442" s="35"/>
      <c r="E2442" s="37"/>
      <c r="F2442" s="35"/>
      <c r="G2442" s="39"/>
      <c r="H2442" s="35"/>
      <c r="I2442" s="39"/>
    </row>
    <row r="2443" spans="2:9" ht="15.75">
      <c r="B2443" s="35"/>
      <c r="C2443" s="38"/>
      <c r="D2443" s="35"/>
      <c r="E2443" s="38"/>
      <c r="F2443" s="35"/>
      <c r="G2443" s="38"/>
      <c r="H2443" s="35"/>
      <c r="I2443" s="38"/>
    </row>
    <row r="2444" spans="2:9" ht="15.75">
      <c r="B2444" s="35"/>
      <c r="C2444" s="39"/>
      <c r="D2444" s="35"/>
      <c r="E2444" s="37"/>
      <c r="F2444" s="35"/>
      <c r="G2444" s="39"/>
      <c r="H2444" s="35"/>
      <c r="I2444" s="39"/>
    </row>
    <row r="2445" spans="2:9" ht="15.75">
      <c r="B2445" s="35"/>
      <c r="C2445" s="39"/>
      <c r="D2445" s="35"/>
      <c r="E2445" s="37"/>
      <c r="F2445" s="35"/>
      <c r="G2445" s="39"/>
      <c r="H2445" s="35"/>
      <c r="I2445" s="39"/>
    </row>
    <row r="2446" spans="2:9">
      <c r="B2446" s="33"/>
      <c r="C2446" s="33"/>
      <c r="D2446" s="33"/>
      <c r="E2446" s="33"/>
      <c r="F2446" s="33"/>
      <c r="G2446" s="33"/>
      <c r="H2446" s="33"/>
      <c r="I2446" s="33"/>
    </row>
    <row r="2447" spans="2:9" ht="15.75">
      <c r="B2447" s="38"/>
      <c r="C2447" s="33"/>
      <c r="D2447" s="38"/>
      <c r="E2447" s="33"/>
      <c r="F2447" s="38"/>
      <c r="G2447" s="33"/>
      <c r="H2447" s="38"/>
      <c r="I2447" s="33"/>
    </row>
    <row r="2448" spans="2:9" ht="15.75">
      <c r="B2448" s="39"/>
      <c r="C2448" s="33"/>
      <c r="D2448" s="33"/>
      <c r="E2448" s="33"/>
      <c r="F2448" s="33"/>
      <c r="G2448" s="33"/>
      <c r="H2448" s="33"/>
      <c r="I2448" s="33"/>
    </row>
    <row r="2449" spans="2:9" ht="15.75">
      <c r="B2449" s="35"/>
      <c r="C2449" s="39"/>
      <c r="D2449" s="35"/>
      <c r="E2449" s="33"/>
      <c r="F2449" s="35"/>
      <c r="G2449" s="39"/>
      <c r="H2449" s="35"/>
    </row>
    <row r="2450" spans="2:9" ht="15.75">
      <c r="B2450" s="35"/>
      <c r="C2450" s="39"/>
      <c r="D2450" s="35"/>
      <c r="E2450" s="37"/>
      <c r="F2450" s="35"/>
      <c r="G2450" s="39"/>
      <c r="H2450" s="35"/>
    </row>
    <row r="2451" spans="2:9" ht="15.75">
      <c r="B2451" s="35"/>
      <c r="C2451" s="38"/>
      <c r="D2451" s="35"/>
      <c r="E2451" s="38"/>
      <c r="F2451" s="35"/>
      <c r="G2451" s="38"/>
      <c r="H2451" s="35"/>
    </row>
    <row r="2452" spans="2:9" ht="15.75">
      <c r="B2452" s="35"/>
      <c r="C2452" s="39"/>
      <c r="D2452" s="35"/>
      <c r="E2452" s="37"/>
      <c r="F2452" s="35"/>
      <c r="G2452" s="39"/>
      <c r="H2452" s="35"/>
    </row>
    <row r="2453" spans="2:9" ht="15.75">
      <c r="B2453" s="35"/>
      <c r="C2453" s="39"/>
      <c r="D2453" s="35"/>
      <c r="E2453" s="37"/>
      <c r="F2453" s="35"/>
      <c r="G2453" s="39"/>
      <c r="H2453" s="35"/>
    </row>
    <row r="2455" spans="2:9">
      <c r="B2455" s="43"/>
      <c r="D2455" s="44"/>
    </row>
    <row r="2456" spans="2:9">
      <c r="B2456" s="45"/>
    </row>
    <row r="2457" spans="2:9">
      <c r="B2457" s="46"/>
      <c r="D2457" s="47"/>
    </row>
    <row r="2459" spans="2:9">
      <c r="B2459" s="42"/>
    </row>
    <row r="2461" spans="2:9" ht="15.75">
      <c r="B2461" s="35"/>
      <c r="C2461" s="54"/>
      <c r="D2461" s="35"/>
      <c r="E2461" s="33"/>
      <c r="F2461" s="35"/>
      <c r="G2461" s="39"/>
      <c r="H2461" s="35"/>
      <c r="I2461" s="39"/>
    </row>
    <row r="2462" spans="2:9" ht="15.75">
      <c r="B2462" s="35"/>
      <c r="C2462" s="54"/>
      <c r="D2462" s="35"/>
      <c r="E2462" s="36"/>
      <c r="F2462" s="35"/>
      <c r="G2462" s="39"/>
      <c r="H2462" s="35"/>
      <c r="I2462" s="39"/>
    </row>
    <row r="2463" spans="2:9" ht="15.75">
      <c r="B2463" s="35"/>
      <c r="C2463" s="40"/>
      <c r="D2463" s="35"/>
      <c r="E2463" s="40"/>
      <c r="F2463" s="35"/>
      <c r="G2463" s="38"/>
      <c r="H2463" s="35"/>
      <c r="I2463" s="38"/>
    </row>
    <row r="2464" spans="2:9" ht="15.75">
      <c r="B2464" s="35"/>
      <c r="C2464" s="54"/>
      <c r="D2464" s="35"/>
      <c r="E2464" s="36"/>
      <c r="F2464" s="35"/>
      <c r="G2464" s="39"/>
      <c r="H2464" s="35"/>
      <c r="I2464" s="38"/>
    </row>
    <row r="2465" spans="2:9" ht="15.75">
      <c r="B2465" s="53"/>
      <c r="C2465" s="54"/>
      <c r="D2465" s="35"/>
      <c r="E2465" s="36"/>
      <c r="F2465" s="35"/>
      <c r="G2465" s="39"/>
      <c r="H2465" s="35"/>
      <c r="I2465" s="39"/>
    </row>
    <row r="2466" spans="2:9">
      <c r="B2466" s="33"/>
      <c r="C2466" s="34"/>
      <c r="D2466" s="33"/>
      <c r="E2466" s="33"/>
      <c r="F2466" s="33"/>
      <c r="G2466" s="33"/>
      <c r="H2466" s="33"/>
      <c r="I2466" s="33"/>
    </row>
    <row r="2467" spans="2:9" ht="15.75">
      <c r="B2467" s="38"/>
      <c r="C2467" s="34"/>
      <c r="D2467" s="38"/>
      <c r="E2467" s="33"/>
      <c r="F2467" s="38"/>
      <c r="G2467" s="33"/>
      <c r="H2467" s="38"/>
      <c r="I2467" s="33"/>
    </row>
    <row r="2468" spans="2:9" ht="15.75">
      <c r="B2468" s="39"/>
      <c r="C2468" s="33"/>
      <c r="D2468" s="33"/>
      <c r="E2468" s="33"/>
      <c r="F2468" s="33"/>
      <c r="G2468" s="33"/>
      <c r="H2468" s="33"/>
      <c r="I2468" s="33"/>
    </row>
    <row r="2469" spans="2:9" ht="15.75">
      <c r="B2469" s="35"/>
      <c r="C2469" s="39"/>
      <c r="D2469" s="35"/>
      <c r="E2469" s="33"/>
      <c r="F2469" s="35"/>
      <c r="G2469" s="39"/>
      <c r="H2469" s="35"/>
      <c r="I2469" s="39"/>
    </row>
    <row r="2470" spans="2:9" ht="15.75">
      <c r="B2470" s="35"/>
      <c r="C2470" s="39"/>
      <c r="D2470" s="35"/>
      <c r="E2470" s="37"/>
      <c r="F2470" s="35"/>
      <c r="G2470" s="39"/>
      <c r="H2470" s="35"/>
      <c r="I2470" s="39"/>
    </row>
    <row r="2471" spans="2:9" ht="15.75">
      <c r="B2471" s="35"/>
      <c r="C2471" s="38"/>
      <c r="D2471" s="35"/>
      <c r="E2471" s="38"/>
      <c r="F2471" s="35"/>
      <c r="G2471" s="38"/>
      <c r="H2471" s="35"/>
      <c r="I2471" s="38"/>
    </row>
    <row r="2472" spans="2:9" ht="15.75">
      <c r="B2472" s="35"/>
      <c r="C2472" s="39"/>
      <c r="D2472" s="35"/>
      <c r="E2472" s="37"/>
      <c r="F2472" s="35"/>
      <c r="G2472" s="39"/>
      <c r="H2472" s="35"/>
      <c r="I2472" s="39"/>
    </row>
    <row r="2473" spans="2:9" ht="15.75">
      <c r="B2473" s="35"/>
      <c r="C2473" s="39"/>
      <c r="D2473" s="35"/>
      <c r="E2473" s="37"/>
      <c r="F2473" s="35"/>
      <c r="G2473" s="39"/>
      <c r="H2473" s="35"/>
      <c r="I2473" s="39"/>
    </row>
    <row r="2474" spans="2:9">
      <c r="B2474" s="33"/>
      <c r="C2474" s="33"/>
      <c r="D2474" s="33"/>
      <c r="E2474" s="33"/>
      <c r="F2474" s="33"/>
      <c r="G2474" s="33"/>
      <c r="H2474" s="33"/>
      <c r="I2474" s="33"/>
    </row>
    <row r="2475" spans="2:9" ht="15.75">
      <c r="B2475" s="38"/>
      <c r="C2475" s="33"/>
      <c r="D2475" s="38"/>
      <c r="E2475" s="33"/>
      <c r="F2475" s="38"/>
      <c r="G2475" s="33"/>
      <c r="H2475" s="38"/>
      <c r="I2475" s="33"/>
    </row>
    <row r="2476" spans="2:9" ht="15.75">
      <c r="B2476" s="39"/>
      <c r="C2476" s="33"/>
      <c r="D2476" s="33"/>
      <c r="E2476" s="33"/>
      <c r="F2476" s="33"/>
      <c r="G2476" s="33"/>
      <c r="H2476" s="33"/>
      <c r="I2476" s="33"/>
    </row>
    <row r="2477" spans="2:9" ht="15.75">
      <c r="B2477" s="35"/>
      <c r="C2477" s="39"/>
      <c r="D2477" s="35"/>
      <c r="E2477" s="33"/>
      <c r="F2477" s="35"/>
      <c r="G2477" s="39"/>
      <c r="H2477" s="35"/>
    </row>
    <row r="2478" spans="2:9" ht="15.75">
      <c r="B2478" s="35"/>
      <c r="C2478" s="39"/>
      <c r="D2478" s="35"/>
      <c r="E2478" s="37"/>
      <c r="F2478" s="35"/>
      <c r="G2478" s="39"/>
      <c r="H2478" s="35"/>
    </row>
    <row r="2479" spans="2:9" ht="15.75">
      <c r="B2479" s="35"/>
      <c r="C2479" s="38"/>
      <c r="D2479" s="35"/>
      <c r="E2479" s="38"/>
      <c r="F2479" s="35"/>
      <c r="G2479" s="38"/>
      <c r="H2479" s="35"/>
    </row>
    <row r="2480" spans="2:9" ht="15.75">
      <c r="B2480" s="35"/>
      <c r="C2480" s="39"/>
      <c r="D2480" s="35"/>
      <c r="E2480" s="37"/>
      <c r="F2480" s="35"/>
      <c r="G2480" s="39"/>
      <c r="H2480" s="35"/>
    </row>
    <row r="2481" spans="2:9" ht="15.75">
      <c r="B2481" s="35"/>
      <c r="C2481" s="39"/>
      <c r="D2481" s="35"/>
      <c r="E2481" s="37"/>
      <c r="F2481" s="35"/>
      <c r="G2481" s="39"/>
      <c r="H2481" s="35"/>
    </row>
    <row r="2483" spans="2:9">
      <c r="B2483" s="43"/>
      <c r="D2483" s="44"/>
    </row>
    <row r="2484" spans="2:9">
      <c r="B2484" s="45"/>
    </row>
    <row r="2485" spans="2:9">
      <c r="B2485" s="46"/>
      <c r="D2485" s="47"/>
    </row>
    <row r="2486" spans="2:9">
      <c r="B2486" s="50"/>
      <c r="C2486" s="49"/>
      <c r="D2486" s="49"/>
    </row>
    <row r="2487" spans="2:9">
      <c r="B2487" s="42"/>
    </row>
    <row r="2489" spans="2:9" ht="15.75">
      <c r="B2489" s="35"/>
      <c r="C2489" s="54"/>
      <c r="D2489" s="35"/>
      <c r="E2489" s="33"/>
      <c r="F2489" s="35"/>
      <c r="G2489" s="39"/>
      <c r="H2489" s="35"/>
      <c r="I2489" s="39"/>
    </row>
    <row r="2490" spans="2:9" ht="15.75">
      <c r="B2490" s="35"/>
      <c r="C2490" s="54"/>
      <c r="D2490" s="35"/>
      <c r="E2490" s="36"/>
      <c r="F2490" s="35"/>
      <c r="G2490" s="39"/>
      <c r="H2490" s="35"/>
      <c r="I2490" s="39"/>
    </row>
    <row r="2491" spans="2:9" ht="15.75">
      <c r="B2491" s="35"/>
      <c r="C2491" s="40"/>
      <c r="D2491" s="35"/>
      <c r="E2491" s="40"/>
      <c r="F2491" s="35"/>
      <c r="G2491" s="38"/>
      <c r="H2491" s="35"/>
      <c r="I2491" s="38"/>
    </row>
    <row r="2492" spans="2:9" ht="15.75">
      <c r="B2492" s="35"/>
      <c r="C2492" s="54"/>
      <c r="D2492" s="35"/>
      <c r="E2492" s="36"/>
      <c r="F2492" s="35"/>
      <c r="G2492" s="39"/>
      <c r="H2492" s="35"/>
      <c r="I2492" s="38"/>
    </row>
    <row r="2493" spans="2:9" ht="15.75">
      <c r="B2493" s="53"/>
      <c r="C2493" s="54"/>
      <c r="D2493" s="35"/>
      <c r="E2493" s="36"/>
      <c r="F2493" s="35"/>
      <c r="G2493" s="39"/>
      <c r="H2493" s="35"/>
      <c r="I2493" s="39"/>
    </row>
    <row r="2494" spans="2:9">
      <c r="B2494" s="33"/>
      <c r="C2494" s="34"/>
      <c r="D2494" s="33"/>
      <c r="E2494" s="33"/>
      <c r="F2494" s="33"/>
      <c r="G2494" s="33"/>
      <c r="H2494" s="33"/>
      <c r="I2494" s="33"/>
    </row>
    <row r="2495" spans="2:9" ht="15.75">
      <c r="B2495" s="38"/>
      <c r="C2495" s="34"/>
      <c r="D2495" s="38"/>
      <c r="E2495" s="33"/>
      <c r="F2495" s="38"/>
      <c r="G2495" s="33"/>
      <c r="H2495" s="38"/>
      <c r="I2495" s="33"/>
    </row>
    <row r="2496" spans="2:9" ht="15.75">
      <c r="B2496" s="39"/>
      <c r="C2496" s="33"/>
      <c r="D2496" s="33"/>
      <c r="E2496" s="33"/>
      <c r="F2496" s="33"/>
      <c r="G2496" s="33"/>
      <c r="H2496" s="33"/>
      <c r="I2496" s="33"/>
    </row>
    <row r="2497" spans="2:9" ht="15.75">
      <c r="B2497" s="35"/>
      <c r="C2497" s="39"/>
      <c r="D2497" s="35"/>
      <c r="E2497" s="33"/>
      <c r="F2497" s="35"/>
      <c r="G2497" s="39"/>
      <c r="H2497" s="35"/>
      <c r="I2497" s="39"/>
    </row>
    <row r="2498" spans="2:9" ht="15.75">
      <c r="B2498" s="35"/>
      <c r="C2498" s="39"/>
      <c r="D2498" s="35"/>
      <c r="E2498" s="37"/>
      <c r="F2498" s="35"/>
      <c r="G2498" s="39"/>
      <c r="H2498" s="35"/>
      <c r="I2498" s="39"/>
    </row>
    <row r="2499" spans="2:9" ht="15.75">
      <c r="B2499" s="35"/>
      <c r="C2499" s="38"/>
      <c r="D2499" s="35"/>
      <c r="E2499" s="38"/>
      <c r="F2499" s="35"/>
      <c r="G2499" s="38"/>
      <c r="H2499" s="35"/>
      <c r="I2499" s="38"/>
    </row>
    <row r="2500" spans="2:9" ht="15.75">
      <c r="B2500" s="35"/>
      <c r="C2500" s="39"/>
      <c r="D2500" s="35"/>
      <c r="E2500" s="37"/>
      <c r="F2500" s="35"/>
      <c r="G2500" s="39"/>
      <c r="H2500" s="35"/>
      <c r="I2500" s="39"/>
    </row>
    <row r="2501" spans="2:9" ht="15.75">
      <c r="B2501" s="35"/>
      <c r="C2501" s="39"/>
      <c r="D2501" s="35"/>
      <c r="E2501" s="37"/>
      <c r="F2501" s="35"/>
      <c r="G2501" s="39"/>
      <c r="H2501" s="35"/>
      <c r="I2501" s="39"/>
    </row>
    <row r="2502" spans="2:9">
      <c r="B2502" s="33"/>
      <c r="C2502" s="33"/>
      <c r="D2502" s="33"/>
      <c r="E2502" s="33"/>
      <c r="F2502" s="33"/>
      <c r="G2502" s="33"/>
      <c r="H2502" s="33"/>
      <c r="I2502" s="33"/>
    </row>
    <row r="2503" spans="2:9" ht="15.75">
      <c r="B2503" s="38"/>
      <c r="C2503" s="33"/>
      <c r="D2503" s="38"/>
      <c r="E2503" s="33"/>
      <c r="F2503" s="38"/>
      <c r="G2503" s="33"/>
      <c r="H2503" s="38"/>
      <c r="I2503" s="33"/>
    </row>
    <row r="2504" spans="2:9" ht="15.75">
      <c r="B2504" s="39"/>
      <c r="C2504" s="33"/>
      <c r="D2504" s="33"/>
      <c r="E2504" s="33"/>
      <c r="F2504" s="33"/>
      <c r="G2504" s="33"/>
      <c r="H2504" s="33"/>
      <c r="I2504" s="33"/>
    </row>
    <row r="2505" spans="2:9" ht="15.75">
      <c r="B2505" s="35"/>
      <c r="C2505" s="39"/>
      <c r="D2505" s="35"/>
      <c r="E2505" s="33"/>
      <c r="F2505" s="35"/>
      <c r="G2505" s="39"/>
      <c r="H2505" s="35"/>
    </row>
    <row r="2506" spans="2:9" ht="15.75">
      <c r="B2506" s="35"/>
      <c r="C2506" s="39"/>
      <c r="D2506" s="35"/>
      <c r="E2506" s="37"/>
      <c r="F2506" s="35"/>
      <c r="G2506" s="39"/>
      <c r="H2506" s="35"/>
    </row>
    <row r="2507" spans="2:9" ht="15.75">
      <c r="B2507" s="35"/>
      <c r="C2507" s="38"/>
      <c r="D2507" s="35"/>
      <c r="E2507" s="38"/>
      <c r="F2507" s="35"/>
      <c r="G2507" s="38"/>
      <c r="H2507" s="35"/>
    </row>
    <row r="2508" spans="2:9" ht="15.75">
      <c r="B2508" s="35"/>
      <c r="C2508" s="39"/>
      <c r="D2508" s="35"/>
      <c r="E2508" s="37"/>
      <c r="F2508" s="35"/>
      <c r="G2508" s="39"/>
      <c r="H2508" s="35"/>
    </row>
    <row r="2509" spans="2:9" ht="15.75">
      <c r="B2509" s="35"/>
      <c r="C2509" s="39"/>
      <c r="D2509" s="35"/>
      <c r="E2509" s="37"/>
      <c r="F2509" s="35"/>
      <c r="G2509" s="39"/>
      <c r="H2509" s="35"/>
    </row>
    <row r="2511" spans="2:9">
      <c r="B2511" s="43"/>
      <c r="D2511" s="44"/>
    </row>
    <row r="2512" spans="2:9">
      <c r="B2512" s="45"/>
    </row>
    <row r="2513" spans="2:9">
      <c r="B2513" s="46"/>
      <c r="D2513" s="47"/>
    </row>
    <row r="2514" spans="2:9">
      <c r="B2514" s="50"/>
      <c r="C2514" s="49"/>
      <c r="D2514" s="49"/>
    </row>
    <row r="2515" spans="2:9">
      <c r="B2515" s="42"/>
    </row>
    <row r="2517" spans="2:9" ht="15.75">
      <c r="B2517" s="35"/>
      <c r="C2517" s="54"/>
      <c r="D2517" s="35"/>
      <c r="E2517" s="33"/>
      <c r="F2517" s="35"/>
      <c r="G2517" s="39"/>
      <c r="H2517" s="35"/>
      <c r="I2517" s="39"/>
    </row>
    <row r="2518" spans="2:9" ht="15.75">
      <c r="B2518" s="35"/>
      <c r="C2518" s="54"/>
      <c r="D2518" s="35"/>
      <c r="E2518" s="36"/>
      <c r="F2518" s="35"/>
      <c r="G2518" s="39"/>
      <c r="H2518" s="35"/>
      <c r="I2518" s="39"/>
    </row>
    <row r="2519" spans="2:9" ht="15.75">
      <c r="B2519" s="35"/>
      <c r="C2519" s="40"/>
      <c r="D2519" s="35"/>
      <c r="E2519" s="40"/>
      <c r="F2519" s="35"/>
      <c r="G2519" s="38"/>
      <c r="H2519" s="35"/>
      <c r="I2519" s="38"/>
    </row>
    <row r="2520" spans="2:9" ht="15.75">
      <c r="B2520" s="35"/>
      <c r="C2520" s="54"/>
      <c r="D2520" s="35"/>
      <c r="E2520" s="36"/>
      <c r="F2520" s="35"/>
      <c r="G2520" s="39"/>
      <c r="H2520" s="35"/>
      <c r="I2520" s="38"/>
    </row>
    <row r="2521" spans="2:9" ht="15.75">
      <c r="B2521" s="53"/>
      <c r="C2521" s="54"/>
      <c r="D2521" s="35"/>
      <c r="E2521" s="36"/>
      <c r="F2521" s="35"/>
      <c r="G2521" s="39"/>
      <c r="H2521" s="35"/>
      <c r="I2521" s="39"/>
    </row>
    <row r="2522" spans="2:9">
      <c r="B2522" s="33"/>
      <c r="C2522" s="34"/>
      <c r="D2522" s="33"/>
      <c r="E2522" s="33"/>
      <c r="F2522" s="33"/>
      <c r="G2522" s="33"/>
      <c r="H2522" s="33"/>
      <c r="I2522" s="33"/>
    </row>
    <row r="2523" spans="2:9" ht="15.75">
      <c r="B2523" s="38"/>
      <c r="C2523" s="34"/>
      <c r="D2523" s="38"/>
      <c r="E2523" s="33"/>
      <c r="F2523" s="38"/>
      <c r="G2523" s="33"/>
      <c r="H2523" s="38"/>
      <c r="I2523" s="33"/>
    </row>
    <row r="2524" spans="2:9" ht="15.75">
      <c r="B2524" s="39"/>
      <c r="C2524" s="33"/>
      <c r="D2524" s="33"/>
      <c r="E2524" s="33"/>
      <c r="F2524" s="33"/>
      <c r="G2524" s="33"/>
      <c r="H2524" s="33"/>
      <c r="I2524" s="33"/>
    </row>
    <row r="2525" spans="2:9" ht="15.75">
      <c r="B2525" s="35"/>
      <c r="C2525" s="39"/>
      <c r="D2525" s="35"/>
      <c r="E2525" s="33"/>
      <c r="F2525" s="35"/>
      <c r="G2525" s="39"/>
      <c r="H2525" s="35"/>
      <c r="I2525" s="39"/>
    </row>
    <row r="2526" spans="2:9" ht="15.75">
      <c r="B2526" s="35"/>
      <c r="C2526" s="39"/>
      <c r="D2526" s="35"/>
      <c r="E2526" s="37"/>
      <c r="F2526" s="35"/>
      <c r="G2526" s="39"/>
      <c r="H2526" s="35"/>
      <c r="I2526" s="39"/>
    </row>
    <row r="2527" spans="2:9" ht="15.75">
      <c r="B2527" s="35"/>
      <c r="C2527" s="38"/>
      <c r="D2527" s="35"/>
      <c r="E2527" s="38"/>
      <c r="F2527" s="35"/>
      <c r="G2527" s="38"/>
      <c r="H2527" s="35"/>
      <c r="I2527" s="38"/>
    </row>
    <row r="2528" spans="2:9" ht="15.75">
      <c r="B2528" s="35"/>
      <c r="C2528" s="39"/>
      <c r="D2528" s="35"/>
      <c r="E2528" s="37"/>
      <c r="F2528" s="35"/>
      <c r="G2528" s="39"/>
      <c r="H2528" s="35"/>
      <c r="I2528" s="39"/>
    </row>
    <row r="2529" spans="2:9" ht="15.75">
      <c r="B2529" s="35"/>
      <c r="C2529" s="39"/>
      <c r="D2529" s="35"/>
      <c r="E2529" s="37"/>
      <c r="F2529" s="35"/>
      <c r="G2529" s="39"/>
      <c r="H2529" s="35"/>
      <c r="I2529" s="39"/>
    </row>
    <row r="2530" spans="2:9">
      <c r="B2530" s="33"/>
      <c r="C2530" s="33"/>
      <c r="D2530" s="33"/>
      <c r="E2530" s="33"/>
      <c r="F2530" s="33"/>
      <c r="G2530" s="33"/>
      <c r="H2530" s="33"/>
      <c r="I2530" s="33"/>
    </row>
    <row r="2531" spans="2:9" ht="15.75">
      <c r="B2531" s="38"/>
      <c r="C2531" s="33"/>
      <c r="D2531" s="38"/>
      <c r="E2531" s="33"/>
      <c r="F2531" s="38"/>
      <c r="G2531" s="33"/>
      <c r="H2531" s="38"/>
      <c r="I2531" s="33"/>
    </row>
    <row r="2532" spans="2:9" ht="15.75">
      <c r="B2532" s="39"/>
      <c r="C2532" s="33"/>
      <c r="D2532" s="33"/>
      <c r="E2532" s="33"/>
      <c r="F2532" s="33"/>
      <c r="G2532" s="33"/>
      <c r="H2532" s="33"/>
      <c r="I2532" s="33"/>
    </row>
    <row r="2533" spans="2:9" ht="15.75">
      <c r="B2533" s="35"/>
      <c r="C2533" s="39"/>
      <c r="D2533" s="35"/>
      <c r="E2533" s="33"/>
      <c r="F2533" s="35"/>
      <c r="G2533" s="39"/>
      <c r="H2533" s="35"/>
    </row>
    <row r="2534" spans="2:9" ht="15.75">
      <c r="B2534" s="35"/>
      <c r="C2534" s="39"/>
      <c r="D2534" s="35"/>
      <c r="E2534" s="37"/>
      <c r="F2534" s="35"/>
      <c r="G2534" s="39"/>
      <c r="H2534" s="35"/>
    </row>
    <row r="2535" spans="2:9" ht="15.75">
      <c r="B2535" s="35"/>
      <c r="C2535" s="38"/>
      <c r="D2535" s="35"/>
      <c r="E2535" s="38"/>
      <c r="F2535" s="35"/>
      <c r="G2535" s="38"/>
      <c r="H2535" s="35"/>
    </row>
    <row r="2536" spans="2:9" ht="15.75">
      <c r="B2536" s="35"/>
      <c r="C2536" s="39"/>
      <c r="D2536" s="35"/>
      <c r="E2536" s="37"/>
      <c r="F2536" s="35"/>
      <c r="G2536" s="39"/>
      <c r="H2536" s="35"/>
    </row>
    <row r="2537" spans="2:9" ht="15.75">
      <c r="B2537" s="35"/>
      <c r="C2537" s="39"/>
      <c r="D2537" s="35"/>
      <c r="E2537" s="37"/>
      <c r="F2537" s="35"/>
      <c r="G2537" s="39"/>
      <c r="H2537" s="35"/>
    </row>
    <row r="2539" spans="2:9">
      <c r="B2539" s="43"/>
      <c r="D2539" s="44"/>
    </row>
    <row r="2540" spans="2:9">
      <c r="B2540" s="45"/>
    </row>
    <row r="2541" spans="2:9">
      <c r="B2541" s="46"/>
      <c r="D2541" s="47"/>
    </row>
    <row r="2543" spans="2:9">
      <c r="B2543" s="55"/>
    </row>
    <row r="2545" spans="2:9">
      <c r="B2545" s="42"/>
    </row>
    <row r="2547" spans="2:9" ht="15.75">
      <c r="B2547" s="35"/>
      <c r="C2547" s="54"/>
      <c r="D2547" s="35"/>
      <c r="E2547" s="33"/>
      <c r="F2547" s="35"/>
      <c r="G2547" s="39"/>
      <c r="H2547" s="35"/>
      <c r="I2547" s="39"/>
    </row>
    <row r="2548" spans="2:9" ht="15.75">
      <c r="B2548" s="35"/>
      <c r="C2548" s="54"/>
      <c r="D2548" s="35"/>
      <c r="E2548" s="36"/>
      <c r="F2548" s="35"/>
      <c r="G2548" s="39"/>
      <c r="H2548" s="35"/>
      <c r="I2548" s="39"/>
    </row>
    <row r="2549" spans="2:9" ht="15.75">
      <c r="B2549" s="35"/>
      <c r="C2549" s="40"/>
      <c r="D2549" s="35"/>
      <c r="E2549" s="40"/>
      <c r="F2549" s="35"/>
      <c r="G2549" s="38"/>
      <c r="H2549" s="35"/>
      <c r="I2549" s="38"/>
    </row>
    <row r="2550" spans="2:9" ht="15.75">
      <c r="B2550" s="35"/>
      <c r="C2550" s="54"/>
      <c r="D2550" s="35"/>
      <c r="E2550" s="36"/>
      <c r="F2550" s="35"/>
      <c r="G2550" s="39"/>
      <c r="H2550" s="35"/>
      <c r="I2550" s="38"/>
    </row>
    <row r="2551" spans="2:9" ht="15.75">
      <c r="B2551" s="53"/>
      <c r="C2551" s="54"/>
      <c r="D2551" s="35"/>
      <c r="E2551" s="36"/>
      <c r="F2551" s="35"/>
      <c r="G2551" s="39"/>
      <c r="H2551" s="35"/>
      <c r="I2551" s="39"/>
    </row>
    <row r="2552" spans="2:9">
      <c r="B2552" s="33"/>
      <c r="C2552" s="34"/>
      <c r="D2552" s="33"/>
      <c r="E2552" s="33"/>
      <c r="F2552" s="33"/>
      <c r="G2552" s="33"/>
      <c r="H2552" s="33"/>
      <c r="I2552" s="33"/>
    </row>
    <row r="2553" spans="2:9" ht="15.75">
      <c r="B2553" s="38"/>
      <c r="C2553" s="34"/>
      <c r="D2553" s="38"/>
      <c r="E2553" s="33"/>
      <c r="F2553" s="38"/>
      <c r="G2553" s="33"/>
      <c r="H2553" s="38"/>
      <c r="I2553" s="33"/>
    </row>
    <row r="2554" spans="2:9" ht="15.75">
      <c r="B2554" s="39"/>
      <c r="C2554" s="33"/>
      <c r="D2554" s="33"/>
      <c r="E2554" s="33"/>
      <c r="F2554" s="33"/>
      <c r="G2554" s="33"/>
      <c r="H2554" s="33"/>
      <c r="I2554" s="33"/>
    </row>
    <row r="2555" spans="2:9" ht="15.75">
      <c r="B2555" s="35"/>
      <c r="C2555" s="39"/>
      <c r="D2555" s="35"/>
      <c r="E2555" s="33"/>
      <c r="F2555" s="35"/>
      <c r="G2555" s="39"/>
      <c r="H2555" s="35"/>
      <c r="I2555" s="39"/>
    </row>
    <row r="2556" spans="2:9" ht="15.75">
      <c r="B2556" s="35"/>
      <c r="C2556" s="39"/>
      <c r="D2556" s="35"/>
      <c r="E2556" s="37"/>
      <c r="F2556" s="35"/>
      <c r="G2556" s="39"/>
      <c r="H2556" s="35"/>
      <c r="I2556" s="39"/>
    </row>
    <row r="2557" spans="2:9" ht="15.75">
      <c r="B2557" s="35"/>
      <c r="C2557" s="38"/>
      <c r="D2557" s="35"/>
      <c r="E2557" s="38"/>
      <c r="F2557" s="35"/>
      <c r="G2557" s="38"/>
      <c r="H2557" s="35"/>
      <c r="I2557" s="38"/>
    </row>
    <row r="2558" spans="2:9" ht="15.75">
      <c r="B2558" s="35"/>
      <c r="C2558" s="39"/>
      <c r="D2558" s="35"/>
      <c r="E2558" s="37"/>
      <c r="F2558" s="35"/>
      <c r="G2558" s="39"/>
      <c r="H2558" s="35"/>
      <c r="I2558" s="39"/>
    </row>
    <row r="2559" spans="2:9" ht="15.75">
      <c r="B2559" s="35"/>
      <c r="C2559" s="39"/>
      <c r="D2559" s="35"/>
      <c r="E2559" s="37"/>
      <c r="F2559" s="35"/>
      <c r="G2559" s="39"/>
      <c r="H2559" s="35"/>
      <c r="I2559" s="39"/>
    </row>
    <row r="2560" spans="2:9">
      <c r="B2560" s="33"/>
      <c r="C2560" s="33"/>
      <c r="D2560" s="33"/>
      <c r="E2560" s="33"/>
      <c r="F2560" s="33"/>
      <c r="G2560" s="33"/>
      <c r="H2560" s="33"/>
      <c r="I2560" s="33"/>
    </row>
    <row r="2561" spans="2:9" ht="15.75">
      <c r="B2561" s="38"/>
      <c r="C2561" s="33"/>
      <c r="D2561" s="38"/>
      <c r="E2561" s="33"/>
      <c r="F2561" s="38"/>
      <c r="G2561" s="33"/>
      <c r="H2561" s="38"/>
      <c r="I2561" s="33"/>
    </row>
    <row r="2562" spans="2:9" ht="15.75">
      <c r="B2562" s="39"/>
      <c r="C2562" s="33"/>
      <c r="D2562" s="33"/>
      <c r="E2562" s="33"/>
      <c r="F2562" s="33"/>
      <c r="G2562" s="33"/>
      <c r="H2562" s="33"/>
      <c r="I2562" s="33"/>
    </row>
    <row r="2563" spans="2:9" ht="15.75">
      <c r="B2563" s="35"/>
      <c r="C2563" s="39"/>
      <c r="D2563" s="35"/>
      <c r="E2563" s="33"/>
      <c r="F2563" s="35"/>
      <c r="G2563" s="39"/>
      <c r="H2563" s="35"/>
    </row>
    <row r="2564" spans="2:9" ht="15.75">
      <c r="B2564" s="35"/>
      <c r="C2564" s="39"/>
      <c r="D2564" s="35"/>
      <c r="E2564" s="37"/>
      <c r="F2564" s="35"/>
      <c r="G2564" s="39"/>
      <c r="H2564" s="35"/>
    </row>
    <row r="2565" spans="2:9" ht="15.75">
      <c r="B2565" s="35"/>
      <c r="C2565" s="38"/>
      <c r="D2565" s="35"/>
      <c r="E2565" s="38"/>
      <c r="F2565" s="35"/>
      <c r="G2565" s="38"/>
      <c r="H2565" s="35"/>
    </row>
    <row r="2566" spans="2:9" ht="15.75">
      <c r="B2566" s="35"/>
      <c r="C2566" s="39"/>
      <c r="D2566" s="35"/>
      <c r="E2566" s="37"/>
      <c r="F2566" s="35"/>
      <c r="G2566" s="39"/>
      <c r="H2566" s="35"/>
    </row>
    <row r="2567" spans="2:9" ht="15.75">
      <c r="B2567" s="35"/>
      <c r="C2567" s="39"/>
      <c r="D2567" s="35"/>
      <c r="E2567" s="37"/>
      <c r="F2567" s="35"/>
      <c r="G2567" s="39"/>
      <c r="H2567" s="35"/>
    </row>
    <row r="2569" spans="2:9">
      <c r="B2569" s="43"/>
      <c r="D2569" s="44"/>
    </row>
    <row r="2570" spans="2:9">
      <c r="B2570" s="45"/>
    </row>
    <row r="2571" spans="2:9">
      <c r="B2571" s="46"/>
      <c r="D2571" s="47"/>
    </row>
    <row r="2573" spans="2:9">
      <c r="B2573" s="42"/>
    </row>
    <row r="2575" spans="2:9" ht="15.75">
      <c r="B2575" s="35"/>
      <c r="C2575" s="54"/>
      <c r="D2575" s="35"/>
      <c r="E2575" s="33"/>
      <c r="F2575" s="35"/>
      <c r="G2575" s="39"/>
      <c r="H2575" s="35"/>
      <c r="I2575" s="39"/>
    </row>
    <row r="2576" spans="2:9" ht="15.75">
      <c r="B2576" s="35"/>
      <c r="C2576" s="54"/>
      <c r="D2576" s="35"/>
      <c r="E2576" s="36"/>
      <c r="F2576" s="35"/>
      <c r="G2576" s="39"/>
      <c r="H2576" s="35"/>
      <c r="I2576" s="39"/>
    </row>
    <row r="2577" spans="2:9" ht="15.75">
      <c r="B2577" s="35"/>
      <c r="C2577" s="40"/>
      <c r="D2577" s="35"/>
      <c r="E2577" s="40"/>
      <c r="F2577" s="35"/>
      <c r="G2577" s="38"/>
      <c r="H2577" s="35"/>
      <c r="I2577" s="38"/>
    </row>
    <row r="2578" spans="2:9" ht="15.75">
      <c r="B2578" s="35"/>
      <c r="C2578" s="54"/>
      <c r="D2578" s="35"/>
      <c r="E2578" s="36"/>
      <c r="F2578" s="35"/>
      <c r="G2578" s="39"/>
      <c r="H2578" s="35"/>
      <c r="I2578" s="38"/>
    </row>
    <row r="2579" spans="2:9" ht="15.75">
      <c r="B2579" s="53"/>
      <c r="C2579" s="54"/>
      <c r="D2579" s="35"/>
      <c r="E2579" s="36"/>
      <c r="F2579" s="35"/>
      <c r="G2579" s="39"/>
      <c r="H2579" s="35"/>
      <c r="I2579" s="39"/>
    </row>
    <row r="2580" spans="2:9">
      <c r="B2580" s="33"/>
      <c r="C2580" s="34"/>
      <c r="D2580" s="33"/>
      <c r="E2580" s="33"/>
      <c r="F2580" s="33"/>
      <c r="G2580" s="33"/>
      <c r="H2580" s="33"/>
      <c r="I2580" s="33"/>
    </row>
    <row r="2581" spans="2:9" ht="15.75">
      <c r="B2581" s="38"/>
      <c r="C2581" s="34"/>
      <c r="D2581" s="38"/>
      <c r="E2581" s="33"/>
      <c r="F2581" s="38"/>
      <c r="G2581" s="33"/>
      <c r="H2581" s="38"/>
      <c r="I2581" s="33"/>
    </row>
    <row r="2582" spans="2:9" ht="15.75">
      <c r="B2582" s="39"/>
      <c r="C2582" s="33"/>
      <c r="D2582" s="33"/>
      <c r="E2582" s="33"/>
      <c r="F2582" s="33"/>
      <c r="G2582" s="33"/>
      <c r="H2582" s="33"/>
      <c r="I2582" s="33"/>
    </row>
    <row r="2583" spans="2:9" ht="15.75">
      <c r="B2583" s="35"/>
      <c r="C2583" s="39"/>
      <c r="D2583" s="35"/>
      <c r="E2583" s="33"/>
      <c r="F2583" s="35"/>
      <c r="G2583" s="39"/>
      <c r="H2583" s="35"/>
      <c r="I2583" s="39"/>
    </row>
    <row r="2584" spans="2:9" ht="15.75">
      <c r="B2584" s="35"/>
      <c r="C2584" s="39"/>
      <c r="D2584" s="35"/>
      <c r="E2584" s="37"/>
      <c r="F2584" s="35"/>
      <c r="G2584" s="39"/>
      <c r="H2584" s="35"/>
      <c r="I2584" s="39"/>
    </row>
    <row r="2585" spans="2:9" ht="15.75">
      <c r="B2585" s="35"/>
      <c r="C2585" s="38"/>
      <c r="D2585" s="35"/>
      <c r="E2585" s="38"/>
      <c r="F2585" s="35"/>
      <c r="G2585" s="38"/>
      <c r="H2585" s="35"/>
      <c r="I2585" s="38"/>
    </row>
    <row r="2586" spans="2:9" ht="15.75">
      <c r="B2586" s="35"/>
      <c r="C2586" s="39"/>
      <c r="D2586" s="35"/>
      <c r="E2586" s="37"/>
      <c r="F2586" s="35"/>
      <c r="G2586" s="39"/>
      <c r="H2586" s="35"/>
      <c r="I2586" s="39"/>
    </row>
    <row r="2587" spans="2:9" ht="15.75">
      <c r="B2587" s="35"/>
      <c r="C2587" s="39"/>
      <c r="D2587" s="35"/>
      <c r="E2587" s="37"/>
      <c r="F2587" s="35"/>
      <c r="G2587" s="39"/>
      <c r="H2587" s="35"/>
      <c r="I2587" s="39"/>
    </row>
    <row r="2588" spans="2:9">
      <c r="B2588" s="33"/>
      <c r="C2588" s="33"/>
      <c r="D2588" s="33"/>
      <c r="E2588" s="33"/>
      <c r="F2588" s="33"/>
      <c r="G2588" s="33"/>
      <c r="H2588" s="33"/>
      <c r="I2588" s="33"/>
    </row>
    <row r="2589" spans="2:9" ht="15.75">
      <c r="B2589" s="38"/>
      <c r="C2589" s="33"/>
      <c r="D2589" s="38"/>
      <c r="E2589" s="33"/>
      <c r="F2589" s="38"/>
      <c r="G2589" s="33"/>
      <c r="H2589" s="38"/>
      <c r="I2589" s="33"/>
    </row>
    <row r="2590" spans="2:9" ht="15.75">
      <c r="B2590" s="39"/>
      <c r="C2590" s="33"/>
      <c r="D2590" s="33"/>
      <c r="E2590" s="33"/>
      <c r="F2590" s="33"/>
      <c r="G2590" s="33"/>
      <c r="H2590" s="33"/>
      <c r="I2590" s="33"/>
    </row>
    <row r="2591" spans="2:9" ht="15.75">
      <c r="B2591" s="35"/>
      <c r="C2591" s="39"/>
      <c r="D2591" s="35"/>
      <c r="E2591" s="33"/>
      <c r="F2591" s="35"/>
      <c r="G2591" s="39"/>
      <c r="H2591" s="35"/>
    </row>
    <row r="2592" spans="2:9" ht="15.75">
      <c r="B2592" s="35"/>
      <c r="C2592" s="39"/>
      <c r="D2592" s="35"/>
      <c r="E2592" s="37"/>
      <c r="F2592" s="35"/>
      <c r="G2592" s="39"/>
      <c r="H2592" s="35"/>
    </row>
    <row r="2593" spans="2:9" ht="15.75">
      <c r="B2593" s="35"/>
      <c r="C2593" s="38"/>
      <c r="D2593" s="35"/>
      <c r="E2593" s="38"/>
      <c r="F2593" s="35"/>
      <c r="G2593" s="38"/>
      <c r="H2593" s="35"/>
    </row>
    <row r="2594" spans="2:9" ht="15.75">
      <c r="B2594" s="35"/>
      <c r="C2594" s="39"/>
      <c r="D2594" s="35"/>
      <c r="E2594" s="37"/>
      <c r="F2594" s="35"/>
      <c r="G2594" s="39"/>
      <c r="H2594" s="35"/>
    </row>
    <row r="2595" spans="2:9" ht="15.75">
      <c r="B2595" s="35"/>
      <c r="C2595" s="39"/>
      <c r="D2595" s="35"/>
      <c r="E2595" s="37"/>
      <c r="F2595" s="35"/>
      <c r="G2595" s="39"/>
      <c r="H2595" s="35"/>
    </row>
    <row r="2597" spans="2:9">
      <c r="B2597" s="43"/>
      <c r="D2597" s="44"/>
    </row>
    <row r="2598" spans="2:9">
      <c r="B2598" s="45"/>
    </row>
    <row r="2599" spans="2:9">
      <c r="B2599" s="46"/>
      <c r="D2599" s="47"/>
    </row>
    <row r="2601" spans="2:9">
      <c r="B2601" s="42"/>
    </row>
    <row r="2603" spans="2:9" ht="15.75">
      <c r="B2603" s="35"/>
      <c r="C2603" s="54"/>
      <c r="D2603" s="35"/>
      <c r="E2603" s="33"/>
      <c r="F2603" s="35"/>
      <c r="G2603" s="39"/>
      <c r="H2603" s="35"/>
      <c r="I2603" s="39"/>
    </row>
    <row r="2604" spans="2:9" ht="15.75">
      <c r="B2604" s="35"/>
      <c r="C2604" s="54"/>
      <c r="D2604" s="35"/>
      <c r="E2604" s="36"/>
      <c r="F2604" s="35"/>
      <c r="G2604" s="39"/>
      <c r="H2604" s="35"/>
      <c r="I2604" s="39"/>
    </row>
    <row r="2605" spans="2:9" ht="15.75">
      <c r="B2605" s="35"/>
      <c r="C2605" s="40"/>
      <c r="D2605" s="35"/>
      <c r="E2605" s="40"/>
      <c r="F2605" s="35"/>
      <c r="G2605" s="38"/>
      <c r="H2605" s="35"/>
      <c r="I2605" s="38"/>
    </row>
    <row r="2606" spans="2:9" ht="15.75">
      <c r="B2606" s="35"/>
      <c r="C2606" s="54"/>
      <c r="D2606" s="35"/>
      <c r="E2606" s="36"/>
      <c r="F2606" s="35"/>
      <c r="G2606" s="39"/>
      <c r="H2606" s="35"/>
      <c r="I2606" s="38"/>
    </row>
    <row r="2607" spans="2:9" ht="15.75">
      <c r="B2607" s="53"/>
      <c r="C2607" s="54"/>
      <c r="D2607" s="35"/>
      <c r="E2607" s="36"/>
      <c r="F2607" s="35"/>
      <c r="G2607" s="39"/>
      <c r="H2607" s="35"/>
      <c r="I2607" s="39"/>
    </row>
    <row r="2608" spans="2:9">
      <c r="B2608" s="33"/>
      <c r="C2608" s="34"/>
      <c r="D2608" s="33"/>
      <c r="E2608" s="33"/>
      <c r="F2608" s="33"/>
      <c r="G2608" s="33"/>
      <c r="H2608" s="33"/>
      <c r="I2608" s="33"/>
    </row>
    <row r="2609" spans="2:9" ht="15.75">
      <c r="B2609" s="38"/>
      <c r="C2609" s="34"/>
      <c r="D2609" s="38"/>
      <c r="E2609" s="33"/>
      <c r="F2609" s="38"/>
      <c r="G2609" s="33"/>
      <c r="H2609" s="38"/>
      <c r="I2609" s="33"/>
    </row>
    <row r="2610" spans="2:9" ht="15.75">
      <c r="B2610" s="39"/>
      <c r="C2610" s="33"/>
      <c r="D2610" s="33"/>
      <c r="E2610" s="33"/>
      <c r="F2610" s="33"/>
      <c r="G2610" s="33"/>
      <c r="H2610" s="33"/>
      <c r="I2610" s="33"/>
    </row>
    <row r="2611" spans="2:9" ht="15.75">
      <c r="B2611" s="35"/>
      <c r="C2611" s="39"/>
      <c r="D2611" s="35"/>
      <c r="E2611" s="33"/>
      <c r="F2611" s="35"/>
      <c r="G2611" s="39"/>
      <c r="H2611" s="35"/>
      <c r="I2611" s="39"/>
    </row>
    <row r="2612" spans="2:9" ht="15.75">
      <c r="B2612" s="35"/>
      <c r="C2612" s="39"/>
      <c r="D2612" s="35"/>
      <c r="E2612" s="37"/>
      <c r="F2612" s="35"/>
      <c r="G2612" s="39"/>
      <c r="H2612" s="35"/>
      <c r="I2612" s="39"/>
    </row>
    <row r="2613" spans="2:9" ht="15.75">
      <c r="B2613" s="35"/>
      <c r="C2613" s="38"/>
      <c r="D2613" s="35"/>
      <c r="E2613" s="38"/>
      <c r="F2613" s="35"/>
      <c r="G2613" s="38"/>
      <c r="H2613" s="35"/>
      <c r="I2613" s="38"/>
    </row>
    <row r="2614" spans="2:9" ht="15.75">
      <c r="B2614" s="35"/>
      <c r="C2614" s="39"/>
      <c r="D2614" s="35"/>
      <c r="E2614" s="37"/>
      <c r="F2614" s="35"/>
      <c r="G2614" s="39"/>
      <c r="H2614" s="35"/>
      <c r="I2614" s="39"/>
    </row>
    <row r="2615" spans="2:9" ht="15.75">
      <c r="B2615" s="35"/>
      <c r="C2615" s="39"/>
      <c r="D2615" s="35"/>
      <c r="E2615" s="37"/>
      <c r="F2615" s="35"/>
      <c r="G2615" s="39"/>
      <c r="H2615" s="35"/>
      <c r="I2615" s="39"/>
    </row>
    <row r="2616" spans="2:9">
      <c r="B2616" s="33"/>
      <c r="C2616" s="33"/>
      <c r="D2616" s="33"/>
      <c r="E2616" s="33"/>
      <c r="F2616" s="33"/>
      <c r="G2616" s="33"/>
      <c r="H2616" s="33"/>
      <c r="I2616" s="33"/>
    </row>
    <row r="2617" spans="2:9" ht="15.75">
      <c r="B2617" s="38"/>
      <c r="C2617" s="33"/>
      <c r="D2617" s="38"/>
      <c r="E2617" s="33"/>
      <c r="F2617" s="38"/>
      <c r="G2617" s="33"/>
      <c r="H2617" s="38"/>
      <c r="I2617" s="33"/>
    </row>
    <row r="2618" spans="2:9" ht="15.75">
      <c r="B2618" s="39"/>
      <c r="C2618" s="33"/>
      <c r="D2618" s="33"/>
      <c r="E2618" s="33"/>
      <c r="F2618" s="33"/>
      <c r="G2618" s="33"/>
      <c r="H2618" s="33"/>
      <c r="I2618" s="33"/>
    </row>
    <row r="2619" spans="2:9" ht="15.75">
      <c r="B2619" s="35"/>
      <c r="C2619" s="39"/>
      <c r="D2619" s="35"/>
      <c r="E2619" s="33"/>
      <c r="F2619" s="35"/>
      <c r="G2619" s="39"/>
      <c r="H2619" s="35"/>
    </row>
    <row r="2620" spans="2:9" ht="15.75">
      <c r="B2620" s="35"/>
      <c r="C2620" s="39"/>
      <c r="D2620" s="35"/>
      <c r="E2620" s="37"/>
      <c r="F2620" s="35"/>
      <c r="G2620" s="39"/>
      <c r="H2620" s="35"/>
    </row>
    <row r="2621" spans="2:9" ht="15.75">
      <c r="B2621" s="35"/>
      <c r="C2621" s="38"/>
      <c r="D2621" s="35"/>
      <c r="E2621" s="38"/>
      <c r="F2621" s="35"/>
      <c r="G2621" s="38"/>
      <c r="H2621" s="35"/>
    </row>
    <row r="2622" spans="2:9" ht="15.75">
      <c r="B2622" s="35"/>
      <c r="C2622" s="39"/>
      <c r="D2622" s="35"/>
      <c r="E2622" s="37"/>
      <c r="F2622" s="35"/>
      <c r="G2622" s="39"/>
      <c r="H2622" s="35"/>
    </row>
    <row r="2623" spans="2:9" ht="15.75">
      <c r="B2623" s="35"/>
      <c r="C2623" s="39"/>
      <c r="D2623" s="35"/>
      <c r="E2623" s="37"/>
      <c r="F2623" s="35"/>
      <c r="G2623" s="39"/>
      <c r="H2623" s="35"/>
    </row>
    <row r="2625" spans="2:9">
      <c r="B2625" s="43"/>
      <c r="D2625" s="44"/>
    </row>
    <row r="2626" spans="2:9">
      <c r="B2626" s="45"/>
    </row>
    <row r="2627" spans="2:9">
      <c r="B2627" s="46"/>
      <c r="D2627" s="47"/>
    </row>
    <row r="2629" spans="2:9">
      <c r="B2629" s="42"/>
    </row>
    <row r="2631" spans="2:9" ht="15.75">
      <c r="B2631" s="35"/>
      <c r="C2631" s="54"/>
      <c r="D2631" s="35"/>
      <c r="E2631" s="33"/>
      <c r="F2631" s="35"/>
      <c r="G2631" s="39"/>
      <c r="H2631" s="35"/>
      <c r="I2631" s="39"/>
    </row>
    <row r="2632" spans="2:9" ht="15.75">
      <c r="B2632" s="35"/>
      <c r="C2632" s="54"/>
      <c r="D2632" s="35"/>
      <c r="E2632" s="36"/>
      <c r="F2632" s="35"/>
      <c r="G2632" s="39"/>
      <c r="H2632" s="35"/>
      <c r="I2632" s="39"/>
    </row>
    <row r="2633" spans="2:9" ht="15.75">
      <c r="B2633" s="35"/>
      <c r="C2633" s="40"/>
      <c r="D2633" s="35"/>
      <c r="E2633" s="40"/>
      <c r="F2633" s="35"/>
      <c r="G2633" s="38"/>
      <c r="H2633" s="35"/>
      <c r="I2633" s="38"/>
    </row>
    <row r="2634" spans="2:9" ht="15.75">
      <c r="B2634" s="35"/>
      <c r="C2634" s="54"/>
      <c r="D2634" s="35"/>
      <c r="E2634" s="36"/>
      <c r="F2634" s="35"/>
      <c r="G2634" s="39"/>
      <c r="H2634" s="35"/>
      <c r="I2634" s="38"/>
    </row>
    <row r="2635" spans="2:9" ht="15.75">
      <c r="B2635" s="53"/>
      <c r="C2635" s="54"/>
      <c r="D2635" s="35"/>
      <c r="E2635" s="36"/>
      <c r="F2635" s="35"/>
      <c r="G2635" s="39"/>
      <c r="H2635" s="35"/>
      <c r="I2635" s="39"/>
    </row>
    <row r="2636" spans="2:9">
      <c r="B2636" s="33"/>
      <c r="C2636" s="34"/>
      <c r="D2636" s="33"/>
      <c r="E2636" s="33"/>
      <c r="F2636" s="33"/>
      <c r="G2636" s="33"/>
      <c r="H2636" s="33"/>
      <c r="I2636" s="33"/>
    </row>
    <row r="2637" spans="2:9" ht="15.75">
      <c r="B2637" s="38"/>
      <c r="C2637" s="34"/>
      <c r="D2637" s="38"/>
      <c r="E2637" s="33"/>
      <c r="F2637" s="38"/>
      <c r="G2637" s="33"/>
      <c r="H2637" s="38"/>
      <c r="I2637" s="33"/>
    </row>
    <row r="2638" spans="2:9" ht="15.75">
      <c r="B2638" s="39"/>
      <c r="C2638" s="33"/>
      <c r="D2638" s="33"/>
      <c r="E2638" s="33"/>
      <c r="F2638" s="33"/>
      <c r="G2638" s="33"/>
      <c r="H2638" s="33"/>
      <c r="I2638" s="33"/>
    </row>
    <row r="2639" spans="2:9" ht="15.75">
      <c r="B2639" s="35"/>
      <c r="C2639" s="39"/>
      <c r="D2639" s="35"/>
      <c r="E2639" s="33"/>
      <c r="F2639" s="35"/>
      <c r="G2639" s="39"/>
      <c r="H2639" s="35"/>
      <c r="I2639" s="39"/>
    </row>
    <row r="2640" spans="2:9" ht="15.75">
      <c r="B2640" s="35"/>
      <c r="C2640" s="39"/>
      <c r="D2640" s="35"/>
      <c r="E2640" s="37"/>
      <c r="F2640" s="35"/>
      <c r="G2640" s="39"/>
      <c r="H2640" s="35"/>
      <c r="I2640" s="39"/>
    </row>
    <row r="2641" spans="2:9" ht="15.75">
      <c r="B2641" s="35"/>
      <c r="C2641" s="38"/>
      <c r="D2641" s="35"/>
      <c r="E2641" s="38"/>
      <c r="F2641" s="35"/>
      <c r="G2641" s="38"/>
      <c r="H2641" s="35"/>
      <c r="I2641" s="38"/>
    </row>
    <row r="2642" spans="2:9" ht="15.75">
      <c r="B2642" s="35"/>
      <c r="C2642" s="39"/>
      <c r="D2642" s="35"/>
      <c r="E2642" s="37"/>
      <c r="F2642" s="35"/>
      <c r="G2642" s="39"/>
      <c r="H2642" s="35"/>
      <c r="I2642" s="39"/>
    </row>
    <row r="2643" spans="2:9" ht="15.75">
      <c r="B2643" s="35"/>
      <c r="C2643" s="39"/>
      <c r="D2643" s="35"/>
      <c r="E2643" s="37"/>
      <c r="F2643" s="35"/>
      <c r="G2643" s="39"/>
      <c r="H2643" s="35"/>
      <c r="I2643" s="39"/>
    </row>
    <row r="2644" spans="2:9">
      <c r="B2644" s="33"/>
      <c r="C2644" s="33"/>
      <c r="D2644" s="33"/>
      <c r="E2644" s="33"/>
      <c r="F2644" s="33"/>
      <c r="G2644" s="33"/>
      <c r="H2644" s="33"/>
      <c r="I2644" s="33"/>
    </row>
    <row r="2645" spans="2:9" ht="15.75">
      <c r="B2645" s="38"/>
      <c r="C2645" s="33"/>
      <c r="D2645" s="38"/>
      <c r="E2645" s="33"/>
      <c r="F2645" s="38"/>
      <c r="G2645" s="33"/>
      <c r="H2645" s="38"/>
      <c r="I2645" s="33"/>
    </row>
    <row r="2646" spans="2:9" ht="15.75">
      <c r="B2646" s="39"/>
      <c r="C2646" s="33"/>
      <c r="D2646" s="33"/>
      <c r="E2646" s="33"/>
      <c r="F2646" s="33"/>
      <c r="G2646" s="33"/>
      <c r="H2646" s="33"/>
      <c r="I2646" s="33"/>
    </row>
    <row r="2647" spans="2:9" ht="15.75">
      <c r="B2647" s="35"/>
      <c r="C2647" s="39"/>
      <c r="D2647" s="35"/>
      <c r="E2647" s="33"/>
      <c r="F2647" s="35"/>
      <c r="G2647" s="39"/>
      <c r="H2647" s="35"/>
    </row>
    <row r="2648" spans="2:9" ht="15.75">
      <c r="B2648" s="35"/>
      <c r="C2648" s="39"/>
      <c r="D2648" s="35"/>
      <c r="E2648" s="37"/>
      <c r="F2648" s="35"/>
      <c r="G2648" s="39"/>
      <c r="H2648" s="35"/>
    </row>
    <row r="2649" spans="2:9" ht="15.75">
      <c r="B2649" s="35"/>
      <c r="C2649" s="38"/>
      <c r="D2649" s="35"/>
      <c r="E2649" s="38"/>
      <c r="F2649" s="35"/>
      <c r="G2649" s="38"/>
      <c r="H2649" s="35"/>
    </row>
    <row r="2650" spans="2:9" ht="15.75">
      <c r="B2650" s="35"/>
      <c r="C2650" s="39"/>
      <c r="D2650" s="35"/>
      <c r="E2650" s="37"/>
      <c r="F2650" s="35"/>
      <c r="G2650" s="39"/>
      <c r="H2650" s="35"/>
    </row>
    <row r="2651" spans="2:9" ht="15.75">
      <c r="B2651" s="35"/>
      <c r="C2651" s="39"/>
      <c r="D2651" s="35"/>
      <c r="E2651" s="37"/>
      <c r="F2651" s="35"/>
      <c r="G2651" s="39"/>
      <c r="H2651" s="35"/>
    </row>
    <row r="2653" spans="2:9">
      <c r="B2653" s="43"/>
      <c r="D2653" s="44"/>
    </row>
    <row r="2654" spans="2:9">
      <c r="B2654" s="45"/>
    </row>
    <row r="2655" spans="2:9">
      <c r="B2655" s="46"/>
      <c r="D2655" s="47"/>
    </row>
    <row r="2657" spans="2:9">
      <c r="B2657" s="42"/>
    </row>
    <row r="2659" spans="2:9" ht="15.75">
      <c r="B2659" s="35"/>
      <c r="C2659" s="54"/>
      <c r="D2659" s="35"/>
      <c r="E2659" s="33"/>
      <c r="F2659" s="35"/>
      <c r="G2659" s="39"/>
      <c r="H2659" s="35"/>
      <c r="I2659" s="39"/>
    </row>
    <row r="2660" spans="2:9" ht="15.75">
      <c r="B2660" s="35"/>
      <c r="C2660" s="54"/>
      <c r="D2660" s="35"/>
      <c r="E2660" s="36"/>
      <c r="F2660" s="35"/>
      <c r="G2660" s="39"/>
      <c r="H2660" s="35"/>
      <c r="I2660" s="39"/>
    </row>
    <row r="2661" spans="2:9" ht="15.75">
      <c r="B2661" s="35"/>
      <c r="C2661" s="40"/>
      <c r="D2661" s="35"/>
      <c r="E2661" s="40"/>
      <c r="F2661" s="35"/>
      <c r="G2661" s="38"/>
      <c r="H2661" s="35"/>
      <c r="I2661" s="38"/>
    </row>
    <row r="2662" spans="2:9" ht="15.75">
      <c r="B2662" s="35"/>
      <c r="C2662" s="54"/>
      <c r="D2662" s="35"/>
      <c r="E2662" s="36"/>
      <c r="F2662" s="35"/>
      <c r="G2662" s="39"/>
      <c r="H2662" s="35"/>
      <c r="I2662" s="38"/>
    </row>
    <row r="2663" spans="2:9" ht="15.75">
      <c r="B2663" s="53"/>
      <c r="C2663" s="54"/>
      <c r="D2663" s="35"/>
      <c r="E2663" s="36"/>
      <c r="F2663" s="35"/>
      <c r="G2663" s="39"/>
      <c r="H2663" s="35"/>
      <c r="I2663" s="39"/>
    </row>
    <row r="2664" spans="2:9">
      <c r="B2664" s="33"/>
      <c r="C2664" s="34"/>
      <c r="D2664" s="33"/>
      <c r="E2664" s="33"/>
      <c r="F2664" s="33"/>
      <c r="G2664" s="33"/>
      <c r="H2664" s="33"/>
      <c r="I2664" s="33"/>
    </row>
    <row r="2665" spans="2:9" ht="15.75">
      <c r="B2665" s="38"/>
      <c r="C2665" s="34"/>
      <c r="D2665" s="38"/>
      <c r="E2665" s="33"/>
      <c r="F2665" s="38"/>
      <c r="G2665" s="33"/>
      <c r="H2665" s="38"/>
      <c r="I2665" s="33"/>
    </row>
    <row r="2666" spans="2:9" ht="15.75">
      <c r="B2666" s="39"/>
      <c r="C2666" s="33"/>
      <c r="D2666" s="33"/>
      <c r="E2666" s="33"/>
      <c r="F2666" s="33"/>
      <c r="G2666" s="33"/>
      <c r="H2666" s="33"/>
      <c r="I2666" s="33"/>
    </row>
    <row r="2667" spans="2:9" ht="15.75">
      <c r="B2667" s="35"/>
      <c r="C2667" s="39"/>
      <c r="D2667" s="35"/>
      <c r="E2667" s="33"/>
      <c r="F2667" s="35"/>
      <c r="G2667" s="39"/>
      <c r="H2667" s="35"/>
      <c r="I2667" s="39"/>
    </row>
    <row r="2668" spans="2:9" ht="15.75">
      <c r="B2668" s="35"/>
      <c r="C2668" s="39"/>
      <c r="D2668" s="35"/>
      <c r="E2668" s="37"/>
      <c r="F2668" s="35"/>
      <c r="G2668" s="39"/>
      <c r="H2668" s="35"/>
      <c r="I2668" s="39"/>
    </row>
    <row r="2669" spans="2:9" ht="15.75">
      <c r="B2669" s="35"/>
      <c r="C2669" s="38"/>
      <c r="D2669" s="35"/>
      <c r="E2669" s="38"/>
      <c r="F2669" s="35"/>
      <c r="G2669" s="38"/>
      <c r="H2669" s="35"/>
      <c r="I2669" s="38"/>
    </row>
    <row r="2670" spans="2:9" ht="15.75">
      <c r="B2670" s="35"/>
      <c r="C2670" s="39"/>
      <c r="D2670" s="35"/>
      <c r="E2670" s="37"/>
      <c r="F2670" s="35"/>
      <c r="G2670" s="39"/>
      <c r="H2670" s="35"/>
      <c r="I2670" s="39"/>
    </row>
    <row r="2671" spans="2:9" ht="15.75">
      <c r="B2671" s="35"/>
      <c r="C2671" s="39"/>
      <c r="D2671" s="35"/>
      <c r="E2671" s="37"/>
      <c r="F2671" s="35"/>
      <c r="G2671" s="39"/>
      <c r="H2671" s="35"/>
      <c r="I2671" s="39"/>
    </row>
    <row r="2672" spans="2:9">
      <c r="B2672" s="33"/>
      <c r="C2672" s="33"/>
      <c r="D2672" s="33"/>
      <c r="E2672" s="33"/>
      <c r="F2672" s="33"/>
      <c r="G2672" s="33"/>
      <c r="H2672" s="33"/>
      <c r="I2672" s="33"/>
    </row>
    <row r="2673" spans="2:9" ht="15.75">
      <c r="B2673" s="38"/>
      <c r="C2673" s="33"/>
      <c r="D2673" s="38"/>
      <c r="E2673" s="33"/>
      <c r="F2673" s="38"/>
      <c r="G2673" s="33"/>
      <c r="H2673" s="38"/>
      <c r="I2673" s="33"/>
    </row>
    <row r="2674" spans="2:9" ht="15.75">
      <c r="B2674" s="39"/>
      <c r="C2674" s="33"/>
      <c r="D2674" s="33"/>
      <c r="E2674" s="33"/>
      <c r="F2674" s="33"/>
      <c r="G2674" s="33"/>
      <c r="H2674" s="33"/>
      <c r="I2674" s="33"/>
    </row>
    <row r="2675" spans="2:9" ht="15.75">
      <c r="B2675" s="35"/>
      <c r="C2675" s="39"/>
      <c r="D2675" s="35"/>
      <c r="E2675" s="33"/>
      <c r="F2675" s="35"/>
      <c r="G2675" s="39"/>
      <c r="H2675" s="35"/>
    </row>
    <row r="2676" spans="2:9" ht="15.75">
      <c r="B2676" s="35"/>
      <c r="C2676" s="39"/>
      <c r="D2676" s="35"/>
      <c r="E2676" s="37"/>
      <c r="F2676" s="35"/>
      <c r="G2676" s="39"/>
      <c r="H2676" s="35"/>
    </row>
    <row r="2677" spans="2:9" ht="15.75">
      <c r="B2677" s="35"/>
      <c r="C2677" s="38"/>
      <c r="D2677" s="35"/>
      <c r="E2677" s="38"/>
      <c r="F2677" s="35"/>
      <c r="G2677" s="38"/>
      <c r="H2677" s="35"/>
    </row>
    <row r="2678" spans="2:9" ht="15.75">
      <c r="B2678" s="35"/>
      <c r="C2678" s="39"/>
      <c r="D2678" s="35"/>
      <c r="E2678" s="37"/>
      <c r="F2678" s="35"/>
      <c r="G2678" s="39"/>
      <c r="H2678" s="35"/>
    </row>
    <row r="2679" spans="2:9" ht="15.75">
      <c r="B2679" s="35"/>
      <c r="C2679" s="39"/>
      <c r="D2679" s="35"/>
      <c r="E2679" s="37"/>
      <c r="F2679" s="35"/>
      <c r="G2679" s="39"/>
      <c r="H2679" s="35"/>
    </row>
    <row r="2681" spans="2:9">
      <c r="B2681" s="43"/>
      <c r="D2681" s="44"/>
    </row>
    <row r="2682" spans="2:9">
      <c r="B2682" s="45"/>
    </row>
    <row r="2683" spans="2:9">
      <c r="B2683" s="46"/>
      <c r="D2683" s="47"/>
    </row>
    <row r="2685" spans="2:9">
      <c r="B2685" s="42"/>
    </row>
    <row r="2687" spans="2:9" ht="15.75">
      <c r="B2687" s="35"/>
      <c r="C2687" s="54"/>
      <c r="D2687" s="35"/>
      <c r="E2687" s="33"/>
      <c r="F2687" s="35"/>
      <c r="G2687" s="39"/>
      <c r="H2687" s="35"/>
      <c r="I2687" s="39"/>
    </row>
    <row r="2688" spans="2:9" ht="15.75">
      <c r="B2688" s="35"/>
      <c r="C2688" s="54"/>
      <c r="D2688" s="35"/>
      <c r="E2688" s="36"/>
      <c r="F2688" s="35"/>
      <c r="G2688" s="39"/>
      <c r="H2688" s="35"/>
      <c r="I2688" s="39"/>
    </row>
    <row r="2689" spans="2:9" ht="15.75">
      <c r="B2689" s="35"/>
      <c r="C2689" s="40"/>
      <c r="D2689" s="35"/>
      <c r="E2689" s="40"/>
      <c r="F2689" s="35"/>
      <c r="G2689" s="38"/>
      <c r="H2689" s="35"/>
      <c r="I2689" s="38"/>
    </row>
    <row r="2690" spans="2:9" ht="15.75">
      <c r="B2690" s="35"/>
      <c r="C2690" s="54"/>
      <c r="D2690" s="35"/>
      <c r="E2690" s="36"/>
      <c r="F2690" s="35"/>
      <c r="G2690" s="39"/>
      <c r="H2690" s="35"/>
      <c r="I2690" s="38"/>
    </row>
    <row r="2691" spans="2:9" ht="15.75">
      <c r="B2691" s="53"/>
      <c r="C2691" s="54"/>
      <c r="D2691" s="35"/>
      <c r="E2691" s="36"/>
      <c r="F2691" s="35"/>
      <c r="G2691" s="39"/>
      <c r="H2691" s="35"/>
      <c r="I2691" s="39"/>
    </row>
    <row r="2692" spans="2:9">
      <c r="B2692" s="33"/>
      <c r="C2692" s="34"/>
      <c r="D2692" s="33"/>
      <c r="E2692" s="33"/>
      <c r="F2692" s="33"/>
      <c r="G2692" s="33"/>
      <c r="H2692" s="33"/>
      <c r="I2692" s="33"/>
    </row>
    <row r="2693" spans="2:9" ht="15.75">
      <c r="B2693" s="38"/>
      <c r="C2693" s="34"/>
      <c r="D2693" s="38"/>
      <c r="E2693" s="33"/>
      <c r="F2693" s="38"/>
      <c r="G2693" s="33"/>
      <c r="H2693" s="38"/>
      <c r="I2693" s="33"/>
    </row>
    <row r="2694" spans="2:9" ht="15.75">
      <c r="B2694" s="39"/>
      <c r="C2694" s="33"/>
      <c r="D2694" s="33"/>
      <c r="E2694" s="33"/>
      <c r="F2694" s="33"/>
      <c r="G2694" s="33"/>
      <c r="H2694" s="33"/>
      <c r="I2694" s="33"/>
    </row>
    <row r="2695" spans="2:9" ht="15.75">
      <c r="B2695" s="35"/>
      <c r="C2695" s="39"/>
      <c r="D2695" s="35"/>
      <c r="E2695" s="33"/>
      <c r="F2695" s="35"/>
      <c r="G2695" s="39"/>
      <c r="H2695" s="35"/>
      <c r="I2695" s="39"/>
    </row>
    <row r="2696" spans="2:9" ht="15.75">
      <c r="B2696" s="35"/>
      <c r="C2696" s="39"/>
      <c r="D2696" s="35"/>
      <c r="E2696" s="37"/>
      <c r="F2696" s="35"/>
      <c r="G2696" s="39"/>
      <c r="H2696" s="35"/>
      <c r="I2696" s="39"/>
    </row>
    <row r="2697" spans="2:9" ht="15.75">
      <c r="B2697" s="35"/>
      <c r="C2697" s="38"/>
      <c r="D2697" s="35"/>
      <c r="E2697" s="38"/>
      <c r="F2697" s="35"/>
      <c r="G2697" s="38"/>
      <c r="H2697" s="35"/>
      <c r="I2697" s="38"/>
    </row>
    <row r="2698" spans="2:9" ht="15.75">
      <c r="B2698" s="35"/>
      <c r="C2698" s="39"/>
      <c r="D2698" s="35"/>
      <c r="E2698" s="37"/>
      <c r="F2698" s="35"/>
      <c r="G2698" s="39"/>
      <c r="H2698" s="35"/>
      <c r="I2698" s="39"/>
    </row>
    <row r="2699" spans="2:9" ht="15.75">
      <c r="B2699" s="35"/>
      <c r="C2699" s="39"/>
      <c r="D2699" s="35"/>
      <c r="E2699" s="37"/>
      <c r="F2699" s="35"/>
      <c r="G2699" s="39"/>
      <c r="H2699" s="35"/>
      <c r="I2699" s="39"/>
    </row>
    <row r="2700" spans="2:9">
      <c r="B2700" s="33"/>
      <c r="C2700" s="33"/>
      <c r="D2700" s="33"/>
      <c r="E2700" s="33"/>
      <c r="F2700" s="33"/>
      <c r="G2700" s="33"/>
      <c r="H2700" s="33"/>
      <c r="I2700" s="33"/>
    </row>
    <row r="2701" spans="2:9" ht="15.75">
      <c r="B2701" s="38"/>
      <c r="C2701" s="33"/>
      <c r="D2701" s="38"/>
      <c r="E2701" s="33"/>
      <c r="F2701" s="38"/>
      <c r="G2701" s="33"/>
      <c r="H2701" s="38"/>
      <c r="I2701" s="33"/>
    </row>
    <row r="2702" spans="2:9" ht="15.75">
      <c r="B2702" s="39"/>
      <c r="C2702" s="33"/>
      <c r="D2702" s="33"/>
      <c r="E2702" s="33"/>
      <c r="F2702" s="33"/>
      <c r="G2702" s="33"/>
      <c r="H2702" s="33"/>
      <c r="I2702" s="33"/>
    </row>
    <row r="2703" spans="2:9" ht="15.75">
      <c r="B2703" s="35"/>
      <c r="C2703" s="39"/>
      <c r="D2703" s="35"/>
      <c r="E2703" s="33"/>
      <c r="F2703" s="35"/>
      <c r="G2703" s="39"/>
      <c r="H2703" s="35"/>
    </row>
    <row r="2704" spans="2:9" ht="15.75">
      <c r="B2704" s="35"/>
      <c r="C2704" s="39"/>
      <c r="D2704" s="35"/>
      <c r="E2704" s="37"/>
      <c r="F2704" s="35"/>
      <c r="G2704" s="39"/>
      <c r="H2704" s="35"/>
    </row>
    <row r="2705" spans="2:9" ht="15.75">
      <c r="B2705" s="35"/>
      <c r="C2705" s="38"/>
      <c r="D2705" s="35"/>
      <c r="E2705" s="38"/>
      <c r="F2705" s="35"/>
      <c r="G2705" s="38"/>
      <c r="H2705" s="35"/>
    </row>
    <row r="2706" spans="2:9" ht="15.75">
      <c r="B2706" s="35"/>
      <c r="C2706" s="39"/>
      <c r="D2706" s="35"/>
      <c r="E2706" s="37"/>
      <c r="F2706" s="35"/>
      <c r="G2706" s="39"/>
      <c r="H2706" s="35"/>
    </row>
    <row r="2707" spans="2:9" ht="15.75">
      <c r="B2707" s="35"/>
      <c r="C2707" s="39"/>
      <c r="D2707" s="35"/>
      <c r="E2707" s="37"/>
      <c r="F2707" s="35"/>
      <c r="G2707" s="39"/>
      <c r="H2707" s="35"/>
    </row>
    <row r="2709" spans="2:9">
      <c r="B2709" s="43"/>
      <c r="D2709" s="44"/>
    </row>
    <row r="2710" spans="2:9">
      <c r="B2710" s="45"/>
    </row>
    <row r="2711" spans="2:9">
      <c r="B2711" s="46"/>
      <c r="D2711" s="47"/>
    </row>
    <row r="2713" spans="2:9">
      <c r="B2713" s="42"/>
    </row>
    <row r="2715" spans="2:9" ht="15.75">
      <c r="B2715" s="35"/>
      <c r="C2715" s="54"/>
      <c r="D2715" s="35"/>
      <c r="E2715" s="33"/>
      <c r="F2715" s="35"/>
      <c r="G2715" s="39"/>
      <c r="H2715" s="35"/>
      <c r="I2715" s="39"/>
    </row>
    <row r="2716" spans="2:9" ht="15.75">
      <c r="B2716" s="35"/>
      <c r="C2716" s="54"/>
      <c r="D2716" s="35"/>
      <c r="E2716" s="36"/>
      <c r="F2716" s="35"/>
      <c r="G2716" s="39"/>
      <c r="H2716" s="35"/>
      <c r="I2716" s="39"/>
    </row>
    <row r="2717" spans="2:9" ht="15.75">
      <c r="B2717" s="35"/>
      <c r="C2717" s="40"/>
      <c r="D2717" s="35"/>
      <c r="E2717" s="40"/>
      <c r="F2717" s="35"/>
      <c r="G2717" s="38"/>
      <c r="H2717" s="35"/>
      <c r="I2717" s="38"/>
    </row>
    <row r="2718" spans="2:9" ht="15.75">
      <c r="B2718" s="35"/>
      <c r="C2718" s="54"/>
      <c r="D2718" s="35"/>
      <c r="E2718" s="36"/>
      <c r="F2718" s="35"/>
      <c r="G2718" s="39"/>
      <c r="H2718" s="35"/>
      <c r="I2718" s="38"/>
    </row>
    <row r="2719" spans="2:9" ht="15.75">
      <c r="B2719" s="53"/>
      <c r="C2719" s="54"/>
      <c r="D2719" s="35"/>
      <c r="E2719" s="36"/>
      <c r="F2719" s="35"/>
      <c r="G2719" s="39"/>
      <c r="H2719" s="35"/>
      <c r="I2719" s="39"/>
    </row>
    <row r="2720" spans="2:9">
      <c r="B2720" s="33"/>
      <c r="C2720" s="34"/>
      <c r="D2720" s="33"/>
      <c r="E2720" s="33"/>
      <c r="F2720" s="33"/>
      <c r="G2720" s="33"/>
      <c r="H2720" s="33"/>
      <c r="I2720" s="33"/>
    </row>
    <row r="2721" spans="2:9" ht="15.75">
      <c r="B2721" s="38"/>
      <c r="C2721" s="34"/>
      <c r="D2721" s="38"/>
      <c r="E2721" s="33"/>
      <c r="F2721" s="38"/>
      <c r="G2721" s="33"/>
      <c r="H2721" s="38"/>
      <c r="I2721" s="33"/>
    </row>
    <row r="2722" spans="2:9" ht="15.75">
      <c r="B2722" s="39"/>
      <c r="C2722" s="33"/>
      <c r="D2722" s="33"/>
      <c r="E2722" s="33"/>
      <c r="F2722" s="33"/>
      <c r="G2722" s="33"/>
      <c r="H2722" s="33"/>
      <c r="I2722" s="33"/>
    </row>
    <row r="2723" spans="2:9" ht="15.75">
      <c r="B2723" s="35"/>
      <c r="C2723" s="39"/>
      <c r="D2723" s="35"/>
      <c r="E2723" s="33"/>
      <c r="F2723" s="35"/>
      <c r="G2723" s="39"/>
      <c r="H2723" s="35"/>
      <c r="I2723" s="39"/>
    </row>
    <row r="2724" spans="2:9" ht="15.75">
      <c r="B2724" s="35"/>
      <c r="C2724" s="39"/>
      <c r="D2724" s="35"/>
      <c r="E2724" s="37"/>
      <c r="F2724" s="35"/>
      <c r="G2724" s="39"/>
      <c r="H2724" s="35"/>
      <c r="I2724" s="39"/>
    </row>
    <row r="2725" spans="2:9" ht="15.75">
      <c r="B2725" s="35"/>
      <c r="C2725" s="38"/>
      <c r="D2725" s="35"/>
      <c r="E2725" s="38"/>
      <c r="F2725" s="35"/>
      <c r="G2725" s="38"/>
      <c r="H2725" s="35"/>
      <c r="I2725" s="38"/>
    </row>
    <row r="2726" spans="2:9" ht="15.75">
      <c r="B2726" s="35"/>
      <c r="C2726" s="39"/>
      <c r="D2726" s="35"/>
      <c r="E2726" s="37"/>
      <c r="F2726" s="35"/>
      <c r="G2726" s="39"/>
      <c r="H2726" s="35"/>
      <c r="I2726" s="39"/>
    </row>
    <row r="2727" spans="2:9" ht="15.75">
      <c r="B2727" s="35"/>
      <c r="C2727" s="39"/>
      <c r="D2727" s="35"/>
      <c r="E2727" s="37"/>
      <c r="F2727" s="35"/>
      <c r="G2727" s="39"/>
      <c r="H2727" s="35"/>
      <c r="I2727" s="39"/>
    </row>
    <row r="2728" spans="2:9">
      <c r="B2728" s="33"/>
      <c r="C2728" s="33"/>
      <c r="D2728" s="33"/>
      <c r="E2728" s="33"/>
      <c r="F2728" s="33"/>
      <c r="G2728" s="33"/>
      <c r="H2728" s="33"/>
      <c r="I2728" s="33"/>
    </row>
    <row r="2729" spans="2:9" ht="15.75">
      <c r="B2729" s="38"/>
      <c r="C2729" s="33"/>
      <c r="D2729" s="38"/>
      <c r="E2729" s="33"/>
      <c r="F2729" s="38"/>
      <c r="G2729" s="33"/>
      <c r="H2729" s="38"/>
      <c r="I2729" s="33"/>
    </row>
    <row r="2730" spans="2:9" ht="15.75">
      <c r="B2730" s="39"/>
      <c r="C2730" s="33"/>
      <c r="D2730" s="33"/>
      <c r="E2730" s="33"/>
      <c r="F2730" s="33"/>
      <c r="G2730" s="33"/>
      <c r="H2730" s="33"/>
      <c r="I2730" s="33"/>
    </row>
    <row r="2731" spans="2:9" ht="15.75">
      <c r="B2731" s="35"/>
      <c r="C2731" s="39"/>
      <c r="D2731" s="35"/>
      <c r="E2731" s="33"/>
      <c r="F2731" s="35"/>
      <c r="G2731" s="39"/>
      <c r="H2731" s="35"/>
    </row>
    <row r="2732" spans="2:9" ht="15.75">
      <c r="B2732" s="35"/>
      <c r="C2732" s="39"/>
      <c r="D2732" s="35"/>
      <c r="E2732" s="37"/>
      <c r="F2732" s="35"/>
      <c r="G2732" s="39"/>
      <c r="H2732" s="35"/>
    </row>
    <row r="2733" spans="2:9" ht="15.75">
      <c r="B2733" s="35"/>
      <c r="C2733" s="38"/>
      <c r="D2733" s="35"/>
      <c r="E2733" s="38"/>
      <c r="F2733" s="35"/>
      <c r="G2733" s="38"/>
      <c r="H2733" s="35"/>
    </row>
    <row r="2734" spans="2:9" ht="15.75">
      <c r="B2734" s="35"/>
      <c r="C2734" s="39"/>
      <c r="D2734" s="35"/>
      <c r="E2734" s="37"/>
      <c r="F2734" s="35"/>
      <c r="G2734" s="39"/>
      <c r="H2734" s="35"/>
    </row>
    <row r="2735" spans="2:9" ht="15.75">
      <c r="B2735" s="35"/>
      <c r="C2735" s="39"/>
      <c r="D2735" s="35"/>
      <c r="E2735" s="37"/>
      <c r="F2735" s="35"/>
      <c r="G2735" s="39"/>
      <c r="H2735" s="35"/>
    </row>
    <row r="2737" spans="2:9">
      <c r="B2737" s="43"/>
      <c r="D2737" s="44"/>
    </row>
    <row r="2738" spans="2:9">
      <c r="B2738" s="45"/>
    </row>
    <row r="2739" spans="2:9">
      <c r="B2739" s="46"/>
      <c r="D2739" s="47"/>
    </row>
    <row r="2741" spans="2:9">
      <c r="B2741" s="42"/>
    </row>
    <row r="2743" spans="2:9" ht="15.75">
      <c r="B2743" s="35"/>
      <c r="C2743" s="54"/>
      <c r="D2743" s="35"/>
      <c r="E2743" s="33"/>
      <c r="F2743" s="35"/>
      <c r="G2743" s="39"/>
      <c r="H2743" s="35"/>
      <c r="I2743" s="39"/>
    </row>
    <row r="2744" spans="2:9" ht="15.75">
      <c r="B2744" s="35"/>
      <c r="C2744" s="54"/>
      <c r="D2744" s="35"/>
      <c r="E2744" s="36"/>
      <c r="F2744" s="35"/>
      <c r="G2744" s="39"/>
      <c r="H2744" s="35"/>
      <c r="I2744" s="39"/>
    </row>
    <row r="2745" spans="2:9" ht="15.75">
      <c r="B2745" s="35"/>
      <c r="C2745" s="40"/>
      <c r="D2745" s="35"/>
      <c r="E2745" s="40"/>
      <c r="F2745" s="35"/>
      <c r="G2745" s="38"/>
      <c r="H2745" s="35"/>
      <c r="I2745" s="38"/>
    </row>
    <row r="2746" spans="2:9" ht="15.75">
      <c r="B2746" s="35"/>
      <c r="C2746" s="54"/>
      <c r="D2746" s="35"/>
      <c r="E2746" s="36"/>
      <c r="F2746" s="35"/>
      <c r="G2746" s="39"/>
      <c r="H2746" s="35"/>
      <c r="I2746" s="38"/>
    </row>
    <row r="2747" spans="2:9" ht="15.75">
      <c r="B2747" s="53"/>
      <c r="C2747" s="54"/>
      <c r="D2747" s="35"/>
      <c r="E2747" s="36"/>
      <c r="F2747" s="35"/>
      <c r="G2747" s="39"/>
      <c r="H2747" s="35"/>
      <c r="I2747" s="39"/>
    </row>
    <row r="2748" spans="2:9">
      <c r="B2748" s="33"/>
      <c r="C2748" s="34"/>
      <c r="D2748" s="33"/>
      <c r="E2748" s="33"/>
      <c r="F2748" s="33"/>
      <c r="G2748" s="33"/>
      <c r="H2748" s="33"/>
      <c r="I2748" s="33"/>
    </row>
    <row r="2749" spans="2:9" ht="15.75">
      <c r="B2749" s="38"/>
      <c r="C2749" s="34"/>
      <c r="D2749" s="38"/>
      <c r="E2749" s="33"/>
      <c r="F2749" s="38"/>
      <c r="G2749" s="33"/>
      <c r="H2749" s="38"/>
      <c r="I2749" s="33"/>
    </row>
    <row r="2750" spans="2:9" ht="15.75">
      <c r="B2750" s="39"/>
      <c r="C2750" s="33"/>
      <c r="D2750" s="33"/>
      <c r="E2750" s="33"/>
      <c r="F2750" s="33"/>
      <c r="G2750" s="33"/>
      <c r="H2750" s="33"/>
      <c r="I2750" s="33"/>
    </row>
    <row r="2751" spans="2:9" ht="15.75">
      <c r="B2751" s="35"/>
      <c r="C2751" s="39"/>
      <c r="D2751" s="35"/>
      <c r="E2751" s="33"/>
      <c r="F2751" s="35"/>
      <c r="G2751" s="39"/>
      <c r="H2751" s="35"/>
      <c r="I2751" s="39"/>
    </row>
    <row r="2752" spans="2:9" ht="15.75">
      <c r="B2752" s="35"/>
      <c r="C2752" s="39"/>
      <c r="D2752" s="35"/>
      <c r="E2752" s="37"/>
      <c r="F2752" s="35"/>
      <c r="G2752" s="39"/>
      <c r="H2752" s="35"/>
      <c r="I2752" s="39"/>
    </row>
    <row r="2753" spans="2:9" ht="15.75">
      <c r="B2753" s="35"/>
      <c r="C2753" s="38"/>
      <c r="D2753" s="35"/>
      <c r="E2753" s="38"/>
      <c r="F2753" s="35"/>
      <c r="G2753" s="38"/>
      <c r="H2753" s="35"/>
      <c r="I2753" s="38"/>
    </row>
    <row r="2754" spans="2:9" ht="15.75">
      <c r="B2754" s="35"/>
      <c r="C2754" s="39"/>
      <c r="D2754" s="35"/>
      <c r="E2754" s="37"/>
      <c r="F2754" s="35"/>
      <c r="G2754" s="39"/>
      <c r="H2754" s="35"/>
      <c r="I2754" s="39"/>
    </row>
    <row r="2755" spans="2:9" ht="15.75">
      <c r="B2755" s="35"/>
      <c r="C2755" s="39"/>
      <c r="D2755" s="35"/>
      <c r="E2755" s="37"/>
      <c r="F2755" s="35"/>
      <c r="G2755" s="39"/>
      <c r="H2755" s="35"/>
      <c r="I2755" s="39"/>
    </row>
    <row r="2756" spans="2:9">
      <c r="B2756" s="33"/>
      <c r="C2756" s="33"/>
      <c r="D2756" s="33"/>
      <c r="E2756" s="33"/>
      <c r="F2756" s="33"/>
      <c r="G2756" s="33"/>
      <c r="H2756" s="33"/>
      <c r="I2756" s="33"/>
    </row>
    <row r="2757" spans="2:9" ht="15.75">
      <c r="B2757" s="38"/>
      <c r="C2757" s="33"/>
      <c r="D2757" s="38"/>
      <c r="E2757" s="33"/>
      <c r="F2757" s="38"/>
      <c r="G2757" s="33"/>
      <c r="H2757" s="38"/>
      <c r="I2757" s="33"/>
    </row>
    <row r="2758" spans="2:9" ht="15.75">
      <c r="B2758" s="39"/>
      <c r="C2758" s="33"/>
      <c r="D2758" s="33"/>
      <c r="E2758" s="33"/>
      <c r="F2758" s="33"/>
      <c r="G2758" s="33"/>
      <c r="H2758" s="33"/>
      <c r="I2758" s="33"/>
    </row>
    <row r="2759" spans="2:9" ht="15.75">
      <c r="B2759" s="35"/>
      <c r="C2759" s="39"/>
      <c r="D2759" s="35"/>
      <c r="E2759" s="33"/>
      <c r="F2759" s="35"/>
      <c r="G2759" s="39"/>
      <c r="H2759" s="35"/>
    </row>
    <row r="2760" spans="2:9" ht="15.75">
      <c r="B2760" s="35"/>
      <c r="C2760" s="39"/>
      <c r="D2760" s="35"/>
      <c r="E2760" s="37"/>
      <c r="F2760" s="35"/>
      <c r="G2760" s="39"/>
      <c r="H2760" s="35"/>
    </row>
    <row r="2761" spans="2:9" ht="15.75">
      <c r="B2761" s="35"/>
      <c r="C2761" s="38"/>
      <c r="D2761" s="35"/>
      <c r="E2761" s="38"/>
      <c r="F2761" s="35"/>
      <c r="G2761" s="38"/>
      <c r="H2761" s="35"/>
    </row>
    <row r="2762" spans="2:9" ht="15.75">
      <c r="B2762" s="35"/>
      <c r="C2762" s="39"/>
      <c r="D2762" s="35"/>
      <c r="E2762" s="37"/>
      <c r="F2762" s="35"/>
      <c r="G2762" s="39"/>
      <c r="H2762" s="35"/>
    </row>
    <row r="2763" spans="2:9" ht="15.75">
      <c r="B2763" s="35"/>
      <c r="C2763" s="39"/>
      <c r="D2763" s="35"/>
      <c r="E2763" s="37"/>
      <c r="F2763" s="35"/>
      <c r="G2763" s="39"/>
      <c r="H2763" s="35"/>
    </row>
    <row r="2765" spans="2:9">
      <c r="B2765" s="43"/>
      <c r="D2765" s="44"/>
    </row>
    <row r="2766" spans="2:9">
      <c r="B2766" s="45"/>
    </row>
    <row r="2767" spans="2:9">
      <c r="B2767" s="46"/>
      <c r="D2767" s="47"/>
    </row>
    <row r="2768" spans="2:9">
      <c r="B2768" s="50"/>
      <c r="C2768" s="49"/>
      <c r="D2768" s="49"/>
    </row>
    <row r="2769" spans="2:9">
      <c r="B2769" s="42"/>
    </row>
    <row r="2771" spans="2:9" ht="15.75">
      <c r="B2771" s="35"/>
      <c r="C2771" s="54"/>
      <c r="D2771" s="35"/>
      <c r="E2771" s="33"/>
      <c r="F2771" s="35"/>
      <c r="G2771" s="39"/>
      <c r="H2771" s="35"/>
      <c r="I2771" s="39"/>
    </row>
    <row r="2772" spans="2:9" ht="15.75">
      <c r="B2772" s="35"/>
      <c r="C2772" s="54"/>
      <c r="D2772" s="35"/>
      <c r="E2772" s="36"/>
      <c r="F2772" s="35"/>
      <c r="G2772" s="39"/>
      <c r="H2772" s="35"/>
      <c r="I2772" s="39"/>
    </row>
    <row r="2773" spans="2:9" ht="15.75">
      <c r="B2773" s="35"/>
      <c r="C2773" s="40"/>
      <c r="D2773" s="35"/>
      <c r="E2773" s="40"/>
      <c r="F2773" s="35"/>
      <c r="G2773" s="38"/>
      <c r="H2773" s="35"/>
      <c r="I2773" s="38"/>
    </row>
    <row r="2774" spans="2:9" ht="15.75">
      <c r="B2774" s="35"/>
      <c r="C2774" s="54"/>
      <c r="D2774" s="35"/>
      <c r="E2774" s="36"/>
      <c r="F2774" s="35"/>
      <c r="G2774" s="39"/>
      <c r="H2774" s="35"/>
      <c r="I2774" s="38"/>
    </row>
    <row r="2775" spans="2:9" ht="15.75">
      <c r="B2775" s="53"/>
      <c r="C2775" s="54"/>
      <c r="D2775" s="35"/>
      <c r="E2775" s="36"/>
      <c r="F2775" s="35"/>
      <c r="G2775" s="39"/>
      <c r="H2775" s="35"/>
      <c r="I2775" s="39"/>
    </row>
    <row r="2776" spans="2:9">
      <c r="B2776" s="33"/>
      <c r="C2776" s="34"/>
      <c r="D2776" s="33"/>
      <c r="E2776" s="33"/>
      <c r="F2776" s="33"/>
      <c r="G2776" s="33"/>
      <c r="H2776" s="33"/>
      <c r="I2776" s="33"/>
    </row>
    <row r="2777" spans="2:9" ht="15.75">
      <c r="B2777" s="38"/>
      <c r="C2777" s="34"/>
      <c r="D2777" s="38"/>
      <c r="E2777" s="33"/>
      <c r="F2777" s="38"/>
      <c r="G2777" s="33"/>
      <c r="H2777" s="38"/>
      <c r="I2777" s="33"/>
    </row>
    <row r="2778" spans="2:9" ht="15.75">
      <c r="B2778" s="39"/>
      <c r="C2778" s="33"/>
      <c r="D2778" s="33"/>
      <c r="E2778" s="33"/>
      <c r="F2778" s="33"/>
      <c r="G2778" s="33"/>
      <c r="H2778" s="33"/>
      <c r="I2778" s="33"/>
    </row>
    <row r="2779" spans="2:9" ht="15.75">
      <c r="B2779" s="35"/>
      <c r="C2779" s="39"/>
      <c r="D2779" s="35"/>
      <c r="E2779" s="33"/>
      <c r="F2779" s="35"/>
      <c r="G2779" s="39"/>
      <c r="H2779" s="35"/>
      <c r="I2779" s="39"/>
    </row>
    <row r="2780" spans="2:9" ht="15.75">
      <c r="B2780" s="35"/>
      <c r="C2780" s="39"/>
      <c r="D2780" s="35"/>
      <c r="E2780" s="37"/>
      <c r="F2780" s="35"/>
      <c r="G2780" s="39"/>
      <c r="H2780" s="35"/>
      <c r="I2780" s="39"/>
    </row>
    <row r="2781" spans="2:9" ht="15.75">
      <c r="B2781" s="35"/>
      <c r="C2781" s="38"/>
      <c r="D2781" s="35"/>
      <c r="E2781" s="38"/>
      <c r="F2781" s="35"/>
      <c r="G2781" s="38"/>
      <c r="H2781" s="35"/>
      <c r="I2781" s="38"/>
    </row>
    <row r="2782" spans="2:9" ht="15.75">
      <c r="B2782" s="35"/>
      <c r="C2782" s="39"/>
      <c r="D2782" s="35"/>
      <c r="E2782" s="37"/>
      <c r="F2782" s="35"/>
      <c r="G2782" s="39"/>
      <c r="H2782" s="35"/>
      <c r="I2782" s="39"/>
    </row>
    <row r="2783" spans="2:9" ht="15.75">
      <c r="B2783" s="35"/>
      <c r="C2783" s="39"/>
      <c r="D2783" s="35"/>
      <c r="E2783" s="37"/>
      <c r="F2783" s="35"/>
      <c r="G2783" s="39"/>
      <c r="H2783" s="35"/>
      <c r="I2783" s="39"/>
    </row>
    <row r="2784" spans="2:9">
      <c r="B2784" s="33"/>
      <c r="C2784" s="33"/>
      <c r="D2784" s="33"/>
      <c r="E2784" s="33"/>
      <c r="F2784" s="33"/>
      <c r="G2784" s="33"/>
      <c r="H2784" s="33"/>
      <c r="I2784" s="33"/>
    </row>
    <row r="2785" spans="2:9" ht="15.75">
      <c r="B2785" s="38"/>
      <c r="C2785" s="33"/>
      <c r="D2785" s="38"/>
      <c r="E2785" s="33"/>
      <c r="F2785" s="38"/>
      <c r="G2785" s="33"/>
      <c r="H2785" s="38"/>
      <c r="I2785" s="33"/>
    </row>
    <row r="2786" spans="2:9" ht="15.75">
      <c r="B2786" s="39"/>
      <c r="C2786" s="33"/>
      <c r="D2786" s="33"/>
      <c r="E2786" s="33"/>
      <c r="F2786" s="33"/>
      <c r="G2786" s="33"/>
      <c r="H2786" s="33"/>
      <c r="I2786" s="33"/>
    </row>
    <row r="2787" spans="2:9" ht="15.75">
      <c r="B2787" s="35"/>
      <c r="C2787" s="39"/>
      <c r="D2787" s="35"/>
      <c r="E2787" s="33"/>
      <c r="F2787" s="35"/>
      <c r="G2787" s="39"/>
      <c r="H2787" s="35"/>
    </row>
    <row r="2788" spans="2:9" ht="15.75">
      <c r="B2788" s="35"/>
      <c r="C2788" s="39"/>
      <c r="D2788" s="35"/>
      <c r="E2788" s="37"/>
      <c r="F2788" s="35"/>
      <c r="G2788" s="39"/>
      <c r="H2788" s="35"/>
    </row>
    <row r="2789" spans="2:9" ht="15.75">
      <c r="B2789" s="35"/>
      <c r="C2789" s="38"/>
      <c r="D2789" s="35"/>
      <c r="E2789" s="38"/>
      <c r="F2789" s="35"/>
      <c r="G2789" s="38"/>
      <c r="H2789" s="35"/>
    </row>
    <row r="2790" spans="2:9" ht="15.75">
      <c r="B2790" s="35"/>
      <c r="C2790" s="39"/>
      <c r="D2790" s="35"/>
      <c r="E2790" s="37"/>
      <c r="F2790" s="35"/>
      <c r="G2790" s="39"/>
      <c r="H2790" s="35"/>
    </row>
    <row r="2791" spans="2:9" ht="15.75">
      <c r="B2791" s="35"/>
      <c r="C2791" s="39"/>
      <c r="D2791" s="35"/>
      <c r="E2791" s="37"/>
      <c r="F2791" s="35"/>
      <c r="G2791" s="39"/>
      <c r="H2791" s="35"/>
    </row>
    <row r="2793" spans="2:9">
      <c r="B2793" s="43"/>
      <c r="D2793" s="44"/>
    </row>
    <row r="2794" spans="2:9">
      <c r="B2794" s="45"/>
    </row>
    <row r="2795" spans="2:9">
      <c r="B2795" s="46"/>
      <c r="D2795" s="47"/>
    </row>
    <row r="2796" spans="2:9">
      <c r="B2796" s="50"/>
      <c r="C2796" s="49"/>
      <c r="D2796" s="49"/>
    </row>
    <row r="2797" spans="2:9">
      <c r="B2797" s="42"/>
    </row>
    <row r="2799" spans="2:9" ht="15.75">
      <c r="B2799" s="35"/>
      <c r="C2799" s="54"/>
      <c r="D2799" s="35"/>
      <c r="E2799" s="33"/>
      <c r="F2799" s="35"/>
      <c r="G2799" s="39"/>
      <c r="H2799" s="35"/>
      <c r="I2799" s="39"/>
    </row>
    <row r="2800" spans="2:9" ht="15.75">
      <c r="B2800" s="35"/>
      <c r="C2800" s="54"/>
      <c r="D2800" s="35"/>
      <c r="E2800" s="36"/>
      <c r="F2800" s="35"/>
      <c r="G2800" s="39"/>
      <c r="H2800" s="35"/>
      <c r="I2800" s="39"/>
    </row>
    <row r="2801" spans="2:9" ht="15.75">
      <c r="B2801" s="35"/>
      <c r="C2801" s="40"/>
      <c r="D2801" s="35"/>
      <c r="E2801" s="40"/>
      <c r="F2801" s="35"/>
      <c r="G2801" s="38"/>
      <c r="H2801" s="35"/>
      <c r="I2801" s="38"/>
    </row>
    <row r="2802" spans="2:9" ht="15.75">
      <c r="B2802" s="35"/>
      <c r="C2802" s="54"/>
      <c r="D2802" s="35"/>
      <c r="E2802" s="36"/>
      <c r="F2802" s="35"/>
      <c r="G2802" s="39"/>
      <c r="H2802" s="35"/>
      <c r="I2802" s="38"/>
    </row>
    <row r="2803" spans="2:9" ht="15.75">
      <c r="B2803" s="53"/>
      <c r="C2803" s="54"/>
      <c r="D2803" s="35"/>
      <c r="E2803" s="36"/>
      <c r="F2803" s="35"/>
      <c r="G2803" s="39"/>
      <c r="H2803" s="35"/>
      <c r="I2803" s="39"/>
    </row>
    <row r="2804" spans="2:9">
      <c r="B2804" s="33"/>
      <c r="C2804" s="34"/>
      <c r="D2804" s="33"/>
      <c r="E2804" s="33"/>
      <c r="F2804" s="33"/>
      <c r="G2804" s="33"/>
      <c r="H2804" s="33"/>
      <c r="I2804" s="33"/>
    </row>
    <row r="2805" spans="2:9" ht="15.75">
      <c r="B2805" s="38"/>
      <c r="C2805" s="34"/>
      <c r="D2805" s="38"/>
      <c r="E2805" s="33"/>
      <c r="F2805" s="38"/>
      <c r="G2805" s="33"/>
      <c r="H2805" s="38"/>
      <c r="I2805" s="33"/>
    </row>
    <row r="2806" spans="2:9" ht="15.75">
      <c r="B2806" s="39"/>
      <c r="C2806" s="33"/>
      <c r="D2806" s="33"/>
      <c r="E2806" s="33"/>
      <c r="F2806" s="33"/>
      <c r="G2806" s="33"/>
      <c r="H2806" s="33"/>
      <c r="I2806" s="33"/>
    </row>
    <row r="2807" spans="2:9" ht="15.75">
      <c r="B2807" s="35"/>
      <c r="C2807" s="39"/>
      <c r="D2807" s="35"/>
      <c r="E2807" s="33"/>
      <c r="F2807" s="35"/>
      <c r="G2807" s="39"/>
      <c r="H2807" s="35"/>
      <c r="I2807" s="39"/>
    </row>
    <row r="2808" spans="2:9" ht="15.75">
      <c r="B2808" s="35"/>
      <c r="C2808" s="39"/>
      <c r="D2808" s="35"/>
      <c r="E2808" s="37"/>
      <c r="F2808" s="35"/>
      <c r="G2808" s="39"/>
      <c r="H2808" s="35"/>
      <c r="I2808" s="39"/>
    </row>
    <row r="2809" spans="2:9" ht="15.75">
      <c r="B2809" s="35"/>
      <c r="C2809" s="38"/>
      <c r="D2809" s="35"/>
      <c r="E2809" s="38"/>
      <c r="F2809" s="35"/>
      <c r="G2809" s="38"/>
      <c r="H2809" s="35"/>
      <c r="I2809" s="38"/>
    </row>
    <row r="2810" spans="2:9" ht="15.75">
      <c r="B2810" s="35"/>
      <c r="C2810" s="39"/>
      <c r="D2810" s="35"/>
      <c r="E2810" s="37"/>
      <c r="F2810" s="35"/>
      <c r="G2810" s="39"/>
      <c r="H2810" s="35"/>
      <c r="I2810" s="39"/>
    </row>
    <row r="2811" spans="2:9" ht="15.75">
      <c r="B2811" s="35"/>
      <c r="C2811" s="39"/>
      <c r="D2811" s="35"/>
      <c r="E2811" s="37"/>
      <c r="F2811" s="35"/>
      <c r="G2811" s="39"/>
      <c r="H2811" s="35"/>
      <c r="I2811" s="39"/>
    </row>
    <row r="2812" spans="2:9">
      <c r="B2812" s="33"/>
      <c r="C2812" s="33"/>
      <c r="D2812" s="33"/>
      <c r="E2812" s="33"/>
      <c r="F2812" s="33"/>
      <c r="G2812" s="33"/>
      <c r="H2812" s="33"/>
      <c r="I2812" s="33"/>
    </row>
    <row r="2813" spans="2:9" ht="15.75">
      <c r="B2813" s="38"/>
      <c r="C2813" s="33"/>
      <c r="D2813" s="38"/>
      <c r="E2813" s="33"/>
      <c r="F2813" s="38"/>
      <c r="G2813" s="33"/>
      <c r="H2813" s="38"/>
      <c r="I2813" s="33"/>
    </row>
    <row r="2814" spans="2:9" ht="15.75">
      <c r="B2814" s="39"/>
      <c r="C2814" s="33"/>
      <c r="D2814" s="33"/>
      <c r="E2814" s="33"/>
      <c r="F2814" s="33"/>
      <c r="G2814" s="33"/>
      <c r="H2814" s="33"/>
      <c r="I2814" s="33"/>
    </row>
    <row r="2815" spans="2:9" ht="15.75">
      <c r="B2815" s="35"/>
      <c r="C2815" s="39"/>
      <c r="D2815" s="35"/>
      <c r="E2815" s="33"/>
      <c r="F2815" s="35"/>
      <c r="G2815" s="39"/>
      <c r="H2815" s="35"/>
    </row>
    <row r="2816" spans="2:9" ht="15.75">
      <c r="B2816" s="35"/>
      <c r="C2816" s="39"/>
      <c r="D2816" s="35"/>
      <c r="E2816" s="37"/>
      <c r="F2816" s="35"/>
      <c r="G2816" s="39"/>
      <c r="H2816" s="35"/>
    </row>
    <row r="2817" spans="2:9" ht="15.75">
      <c r="B2817" s="35"/>
      <c r="C2817" s="38"/>
      <c r="D2817" s="35"/>
      <c r="E2817" s="38"/>
      <c r="F2817" s="35"/>
      <c r="G2817" s="38"/>
      <c r="H2817" s="35"/>
    </row>
    <row r="2818" spans="2:9" ht="15.75">
      <c r="B2818" s="35"/>
      <c r="C2818" s="39"/>
      <c r="D2818" s="35"/>
      <c r="E2818" s="37"/>
      <c r="F2818" s="35"/>
      <c r="G2818" s="39"/>
      <c r="H2818" s="35"/>
    </row>
    <row r="2819" spans="2:9" ht="15.75">
      <c r="B2819" s="35"/>
      <c r="C2819" s="39"/>
      <c r="D2819" s="35"/>
      <c r="E2819" s="37"/>
      <c r="F2819" s="35"/>
      <c r="G2819" s="39"/>
      <c r="H2819" s="35"/>
    </row>
    <row r="2821" spans="2:9">
      <c r="B2821" s="43"/>
      <c r="D2821" s="44"/>
    </row>
    <row r="2822" spans="2:9">
      <c r="B2822" s="45"/>
    </row>
    <row r="2823" spans="2:9">
      <c r="B2823" s="46"/>
      <c r="D2823" s="47"/>
    </row>
    <row r="2825" spans="2:9">
      <c r="B2825" s="55"/>
    </row>
    <row r="2827" spans="2:9">
      <c r="B2827" s="42"/>
    </row>
    <row r="2829" spans="2:9" ht="15.75">
      <c r="B2829" s="35"/>
      <c r="C2829" s="54"/>
      <c r="D2829" s="35"/>
      <c r="E2829" s="33"/>
      <c r="F2829" s="35"/>
      <c r="G2829" s="39"/>
      <c r="H2829" s="35"/>
      <c r="I2829" s="39"/>
    </row>
    <row r="2830" spans="2:9" ht="15.75">
      <c r="B2830" s="35"/>
      <c r="C2830" s="54"/>
      <c r="D2830" s="35"/>
      <c r="E2830" s="36"/>
      <c r="F2830" s="35"/>
      <c r="G2830" s="39"/>
      <c r="H2830" s="35"/>
      <c r="I2830" s="39"/>
    </row>
    <row r="2831" spans="2:9" ht="15.75">
      <c r="B2831" s="35"/>
      <c r="C2831" s="40"/>
      <c r="D2831" s="35"/>
      <c r="E2831" s="40"/>
      <c r="F2831" s="35"/>
      <c r="G2831" s="38"/>
      <c r="H2831" s="35"/>
      <c r="I2831" s="38"/>
    </row>
    <row r="2832" spans="2:9" ht="15.75">
      <c r="B2832" s="35"/>
      <c r="C2832" s="54"/>
      <c r="D2832" s="35"/>
      <c r="E2832" s="36"/>
      <c r="F2832" s="35"/>
      <c r="G2832" s="39"/>
      <c r="H2832" s="35"/>
      <c r="I2832" s="38"/>
    </row>
    <row r="2833" spans="2:9" ht="15.75">
      <c r="B2833" s="53"/>
      <c r="C2833" s="54"/>
      <c r="D2833" s="35"/>
      <c r="E2833" s="36"/>
      <c r="F2833" s="35"/>
      <c r="G2833" s="39"/>
      <c r="H2833" s="35"/>
      <c r="I2833" s="39"/>
    </row>
    <row r="2834" spans="2:9">
      <c r="B2834" s="33"/>
      <c r="C2834" s="34"/>
      <c r="D2834" s="33"/>
      <c r="E2834" s="33"/>
      <c r="F2834" s="33"/>
      <c r="G2834" s="33"/>
      <c r="H2834" s="33"/>
      <c r="I2834" s="33"/>
    </row>
    <row r="2835" spans="2:9" ht="15.75">
      <c r="B2835" s="38"/>
      <c r="C2835" s="34"/>
      <c r="D2835" s="38"/>
      <c r="E2835" s="33"/>
      <c r="F2835" s="38"/>
      <c r="G2835" s="33"/>
      <c r="H2835" s="38"/>
      <c r="I2835" s="33"/>
    </row>
    <row r="2836" spans="2:9" ht="15.75">
      <c r="B2836" s="39"/>
      <c r="C2836" s="33"/>
      <c r="D2836" s="33"/>
      <c r="E2836" s="33"/>
      <c r="F2836" s="33"/>
      <c r="G2836" s="33"/>
      <c r="H2836" s="33"/>
      <c r="I2836" s="33"/>
    </row>
    <row r="2837" spans="2:9" ht="15.75">
      <c r="B2837" s="35"/>
      <c r="C2837" s="39"/>
      <c r="D2837" s="35"/>
      <c r="E2837" s="33"/>
      <c r="F2837" s="35"/>
      <c r="G2837" s="39"/>
      <c r="H2837" s="35"/>
      <c r="I2837" s="39"/>
    </row>
    <row r="2838" spans="2:9" ht="15.75">
      <c r="B2838" s="35"/>
      <c r="C2838" s="39"/>
      <c r="D2838" s="35"/>
      <c r="E2838" s="37"/>
      <c r="F2838" s="35"/>
      <c r="G2838" s="39"/>
      <c r="H2838" s="35"/>
      <c r="I2838" s="39"/>
    </row>
    <row r="2839" spans="2:9" ht="15.75">
      <c r="B2839" s="35"/>
      <c r="C2839" s="38"/>
      <c r="D2839" s="35"/>
      <c r="E2839" s="38"/>
      <c r="F2839" s="35"/>
      <c r="G2839" s="38"/>
      <c r="H2839" s="35"/>
      <c r="I2839" s="38"/>
    </row>
    <row r="2840" spans="2:9" ht="15.75">
      <c r="B2840" s="35"/>
      <c r="C2840" s="39"/>
      <c r="D2840" s="35"/>
      <c r="E2840" s="37"/>
      <c r="F2840" s="35"/>
      <c r="G2840" s="39"/>
      <c r="H2840" s="35"/>
      <c r="I2840" s="39"/>
    </row>
    <row r="2841" spans="2:9" ht="15.75">
      <c r="B2841" s="35"/>
      <c r="C2841" s="39"/>
      <c r="D2841" s="35"/>
      <c r="E2841" s="37"/>
      <c r="F2841" s="35"/>
      <c r="G2841" s="39"/>
      <c r="H2841" s="35"/>
      <c r="I2841" s="39"/>
    </row>
    <row r="2842" spans="2:9">
      <c r="B2842" s="33"/>
      <c r="C2842" s="33"/>
      <c r="D2842" s="33"/>
      <c r="E2842" s="33"/>
      <c r="F2842" s="33"/>
      <c r="G2842" s="33"/>
      <c r="H2842" s="33"/>
      <c r="I2842" s="33"/>
    </row>
    <row r="2843" spans="2:9" ht="15.75">
      <c r="B2843" s="38"/>
      <c r="C2843" s="33"/>
      <c r="D2843" s="38"/>
      <c r="E2843" s="33"/>
      <c r="F2843" s="38"/>
      <c r="G2843" s="33"/>
      <c r="H2843" s="38"/>
      <c r="I2843" s="33"/>
    </row>
    <row r="2844" spans="2:9" ht="15.75">
      <c r="B2844" s="39"/>
      <c r="C2844" s="33"/>
      <c r="D2844" s="33"/>
      <c r="E2844" s="33"/>
      <c r="F2844" s="33"/>
      <c r="G2844" s="33"/>
      <c r="H2844" s="33"/>
      <c r="I2844" s="33"/>
    </row>
    <row r="2845" spans="2:9" ht="15.75">
      <c r="B2845" s="35"/>
      <c r="C2845" s="39"/>
      <c r="D2845" s="35"/>
      <c r="E2845" s="33"/>
      <c r="F2845" s="35"/>
      <c r="G2845" s="39"/>
      <c r="H2845" s="35"/>
    </row>
    <row r="2846" spans="2:9" ht="15.75">
      <c r="B2846" s="35"/>
      <c r="C2846" s="39"/>
      <c r="D2846" s="35"/>
      <c r="E2846" s="37"/>
      <c r="F2846" s="35"/>
      <c r="G2846" s="39"/>
      <c r="H2846" s="35"/>
    </row>
    <row r="2847" spans="2:9" ht="15.75">
      <c r="B2847" s="35"/>
      <c r="C2847" s="38"/>
      <c r="D2847" s="35"/>
      <c r="E2847" s="38"/>
      <c r="F2847" s="35"/>
      <c r="G2847" s="38"/>
      <c r="H2847" s="35"/>
    </row>
    <row r="2848" spans="2:9" ht="15.75">
      <c r="B2848" s="35"/>
      <c r="C2848" s="39"/>
      <c r="D2848" s="35"/>
      <c r="E2848" s="37"/>
      <c r="F2848" s="35"/>
      <c r="G2848" s="39"/>
      <c r="H2848" s="35"/>
    </row>
    <row r="2849" spans="2:9" ht="15.75">
      <c r="B2849" s="35"/>
      <c r="C2849" s="39"/>
      <c r="D2849" s="35"/>
      <c r="E2849" s="37"/>
      <c r="F2849" s="35"/>
      <c r="G2849" s="39"/>
      <c r="H2849" s="35"/>
    </row>
    <row r="2851" spans="2:9">
      <c r="B2851" s="43"/>
      <c r="D2851" s="44"/>
    </row>
    <row r="2852" spans="2:9">
      <c r="B2852" s="45"/>
    </row>
    <row r="2853" spans="2:9">
      <c r="B2853" s="46"/>
      <c r="D2853" s="47"/>
    </row>
    <row r="2855" spans="2:9">
      <c r="B2855" s="42"/>
    </row>
    <row r="2857" spans="2:9" ht="15.75">
      <c r="B2857" s="35"/>
      <c r="C2857" s="54"/>
      <c r="D2857" s="35"/>
      <c r="E2857" s="33"/>
      <c r="F2857" s="35"/>
      <c r="G2857" s="39"/>
      <c r="H2857" s="35"/>
      <c r="I2857" s="39"/>
    </row>
    <row r="2858" spans="2:9" ht="15.75">
      <c r="B2858" s="35"/>
      <c r="C2858" s="54"/>
      <c r="D2858" s="35"/>
      <c r="E2858" s="36"/>
      <c r="F2858" s="35"/>
      <c r="G2858" s="39"/>
      <c r="H2858" s="35"/>
      <c r="I2858" s="39"/>
    </row>
    <row r="2859" spans="2:9" ht="15.75">
      <c r="B2859" s="35"/>
      <c r="C2859" s="40"/>
      <c r="D2859" s="35"/>
      <c r="E2859" s="40"/>
      <c r="F2859" s="35"/>
      <c r="G2859" s="38"/>
      <c r="H2859" s="35"/>
      <c r="I2859" s="38"/>
    </row>
    <row r="2860" spans="2:9" ht="15.75">
      <c r="B2860" s="35"/>
      <c r="C2860" s="54"/>
      <c r="D2860" s="35"/>
      <c r="E2860" s="36"/>
      <c r="F2860" s="35"/>
      <c r="G2860" s="39"/>
      <c r="H2860" s="35"/>
      <c r="I2860" s="38"/>
    </row>
    <row r="2861" spans="2:9" ht="15.75">
      <c r="B2861" s="53"/>
      <c r="C2861" s="54"/>
      <c r="D2861" s="35"/>
      <c r="E2861" s="36"/>
      <c r="F2861" s="35"/>
      <c r="G2861" s="39"/>
      <c r="H2861" s="35"/>
      <c r="I2861" s="39"/>
    </row>
    <row r="2862" spans="2:9">
      <c r="B2862" s="33"/>
      <c r="C2862" s="34"/>
      <c r="D2862" s="33"/>
      <c r="E2862" s="33"/>
      <c r="F2862" s="33"/>
      <c r="G2862" s="33"/>
      <c r="H2862" s="33"/>
      <c r="I2862" s="33"/>
    </row>
    <row r="2863" spans="2:9" ht="15.75">
      <c r="B2863" s="38"/>
      <c r="C2863" s="34"/>
      <c r="D2863" s="38"/>
      <c r="E2863" s="33"/>
      <c r="F2863" s="38"/>
      <c r="G2863" s="33"/>
      <c r="H2863" s="38"/>
      <c r="I2863" s="33"/>
    </row>
    <row r="2864" spans="2:9" ht="15.75">
      <c r="B2864" s="39"/>
      <c r="C2864" s="33"/>
      <c r="D2864" s="33"/>
      <c r="E2864" s="33"/>
      <c r="F2864" s="33"/>
      <c r="G2864" s="33"/>
      <c r="H2864" s="33"/>
      <c r="I2864" s="33"/>
    </row>
    <row r="2865" spans="2:9" ht="15.75">
      <c r="B2865" s="35"/>
      <c r="C2865" s="39"/>
      <c r="D2865" s="35"/>
      <c r="E2865" s="33"/>
      <c r="F2865" s="35"/>
      <c r="G2865" s="39"/>
      <c r="H2865" s="35"/>
      <c r="I2865" s="39"/>
    </row>
    <row r="2866" spans="2:9" ht="15.75">
      <c r="B2866" s="35"/>
      <c r="C2866" s="39"/>
      <c r="D2866" s="35"/>
      <c r="E2866" s="37"/>
      <c r="F2866" s="35"/>
      <c r="G2866" s="39"/>
      <c r="H2866" s="35"/>
      <c r="I2866" s="39"/>
    </row>
    <row r="2867" spans="2:9" ht="15.75">
      <c r="B2867" s="35"/>
      <c r="C2867" s="38"/>
      <c r="D2867" s="35"/>
      <c r="E2867" s="38"/>
      <c r="F2867" s="35"/>
      <c r="G2867" s="38"/>
      <c r="H2867" s="35"/>
      <c r="I2867" s="38"/>
    </row>
    <row r="2868" spans="2:9" ht="15.75">
      <c r="B2868" s="35"/>
      <c r="C2868" s="39"/>
      <c r="D2868" s="35"/>
      <c r="E2868" s="37"/>
      <c r="F2868" s="35"/>
      <c r="G2868" s="39"/>
      <c r="H2868" s="35"/>
      <c r="I2868" s="39"/>
    </row>
    <row r="2869" spans="2:9" ht="15.75">
      <c r="B2869" s="35"/>
      <c r="C2869" s="39"/>
      <c r="D2869" s="35"/>
      <c r="E2869" s="37"/>
      <c r="F2869" s="35"/>
      <c r="G2869" s="39"/>
      <c r="H2869" s="35"/>
      <c r="I2869" s="39"/>
    </row>
    <row r="2870" spans="2:9">
      <c r="B2870" s="33"/>
      <c r="C2870" s="33"/>
      <c r="D2870" s="33"/>
      <c r="E2870" s="33"/>
      <c r="F2870" s="33"/>
      <c r="G2870" s="33"/>
      <c r="H2870" s="33"/>
      <c r="I2870" s="33"/>
    </row>
    <row r="2871" spans="2:9" ht="15.75">
      <c r="B2871" s="38"/>
      <c r="C2871" s="33"/>
      <c r="D2871" s="38"/>
      <c r="E2871" s="33"/>
      <c r="F2871" s="38"/>
      <c r="G2871" s="33"/>
      <c r="H2871" s="38"/>
      <c r="I2871" s="33"/>
    </row>
    <row r="2872" spans="2:9" ht="15.75">
      <c r="B2872" s="39"/>
      <c r="C2872" s="33"/>
      <c r="D2872" s="33"/>
      <c r="E2872" s="33"/>
      <c r="F2872" s="33"/>
      <c r="G2872" s="33"/>
      <c r="H2872" s="33"/>
      <c r="I2872" s="33"/>
    </row>
    <row r="2873" spans="2:9" ht="15.75">
      <c r="B2873" s="35"/>
      <c r="C2873" s="39"/>
      <c r="D2873" s="35"/>
      <c r="E2873" s="33"/>
      <c r="F2873" s="35"/>
      <c r="G2873" s="39"/>
      <c r="H2873" s="35"/>
    </row>
    <row r="2874" spans="2:9" ht="15.75">
      <c r="B2874" s="35"/>
      <c r="C2874" s="39"/>
      <c r="D2874" s="35"/>
      <c r="E2874" s="37"/>
      <c r="F2874" s="35"/>
      <c r="G2874" s="39"/>
      <c r="H2874" s="35"/>
    </row>
    <row r="2875" spans="2:9" ht="15.75">
      <c r="B2875" s="35"/>
      <c r="C2875" s="38"/>
      <c r="D2875" s="35"/>
      <c r="E2875" s="38"/>
      <c r="F2875" s="35"/>
      <c r="G2875" s="38"/>
      <c r="H2875" s="35"/>
    </row>
    <row r="2876" spans="2:9" ht="15.75">
      <c r="B2876" s="35"/>
      <c r="C2876" s="39"/>
      <c r="D2876" s="35"/>
      <c r="E2876" s="37"/>
      <c r="F2876" s="35"/>
      <c r="G2876" s="39"/>
      <c r="H2876" s="35"/>
    </row>
    <row r="2877" spans="2:9" ht="15.75">
      <c r="B2877" s="35"/>
      <c r="C2877" s="39"/>
      <c r="D2877" s="35"/>
      <c r="E2877" s="37"/>
      <c r="F2877" s="35"/>
      <c r="G2877" s="39"/>
      <c r="H2877" s="35"/>
    </row>
    <row r="2879" spans="2:9">
      <c r="B2879" s="43"/>
      <c r="D2879" s="44"/>
    </row>
    <row r="2880" spans="2:9">
      <c r="B2880" s="45"/>
    </row>
    <row r="2881" spans="2:9">
      <c r="B2881" s="46"/>
      <c r="D2881" s="47"/>
    </row>
    <row r="2883" spans="2:9">
      <c r="B2883" s="42"/>
    </row>
    <row r="2885" spans="2:9" ht="15.75">
      <c r="B2885" s="35"/>
      <c r="C2885" s="54"/>
      <c r="D2885" s="35"/>
      <c r="E2885" s="33"/>
      <c r="F2885" s="35"/>
      <c r="G2885" s="39"/>
      <c r="H2885" s="35"/>
      <c r="I2885" s="39"/>
    </row>
    <row r="2886" spans="2:9" ht="15.75">
      <c r="B2886" s="35"/>
      <c r="C2886" s="54"/>
      <c r="D2886" s="35"/>
      <c r="E2886" s="36"/>
      <c r="F2886" s="35"/>
      <c r="G2886" s="39"/>
      <c r="H2886" s="35"/>
      <c r="I2886" s="39"/>
    </row>
    <row r="2887" spans="2:9" ht="15.75">
      <c r="B2887" s="35"/>
      <c r="C2887" s="40"/>
      <c r="D2887" s="35"/>
      <c r="E2887" s="40"/>
      <c r="F2887" s="35"/>
      <c r="G2887" s="38"/>
      <c r="H2887" s="35"/>
      <c r="I2887" s="38"/>
    </row>
    <row r="2888" spans="2:9" ht="15.75">
      <c r="B2888" s="35"/>
      <c r="C2888" s="54"/>
      <c r="D2888" s="35"/>
      <c r="E2888" s="36"/>
      <c r="F2888" s="35"/>
      <c r="G2888" s="39"/>
      <c r="H2888" s="35"/>
      <c r="I2888" s="38"/>
    </row>
    <row r="2889" spans="2:9" ht="15.75">
      <c r="B2889" s="53"/>
      <c r="C2889" s="54"/>
      <c r="D2889" s="35"/>
      <c r="E2889" s="36"/>
      <c r="F2889" s="35"/>
      <c r="G2889" s="39"/>
      <c r="H2889" s="35"/>
      <c r="I2889" s="39"/>
    </row>
    <row r="2890" spans="2:9">
      <c r="B2890" s="33"/>
      <c r="C2890" s="34"/>
      <c r="D2890" s="33"/>
      <c r="E2890" s="33"/>
      <c r="F2890" s="33"/>
      <c r="G2890" s="33"/>
      <c r="H2890" s="33"/>
      <c r="I2890" s="33"/>
    </row>
    <row r="2891" spans="2:9" ht="15.75">
      <c r="B2891" s="38"/>
      <c r="C2891" s="34"/>
      <c r="D2891" s="38"/>
      <c r="E2891" s="33"/>
      <c r="F2891" s="38"/>
      <c r="G2891" s="33"/>
      <c r="H2891" s="38"/>
      <c r="I2891" s="33"/>
    </row>
    <row r="2892" spans="2:9" ht="15.75">
      <c r="B2892" s="39"/>
      <c r="C2892" s="33"/>
      <c r="D2892" s="33"/>
      <c r="E2892" s="33"/>
      <c r="F2892" s="33"/>
      <c r="G2892" s="33"/>
      <c r="H2892" s="33"/>
      <c r="I2892" s="33"/>
    </row>
    <row r="2893" spans="2:9" ht="15.75">
      <c r="B2893" s="35"/>
      <c r="C2893" s="39"/>
      <c r="D2893" s="35"/>
      <c r="E2893" s="33"/>
      <c r="F2893" s="35"/>
      <c r="G2893" s="39"/>
      <c r="H2893" s="35"/>
      <c r="I2893" s="39"/>
    </row>
    <row r="2894" spans="2:9" ht="15.75">
      <c r="B2894" s="35"/>
      <c r="C2894" s="39"/>
      <c r="D2894" s="35"/>
      <c r="E2894" s="37"/>
      <c r="F2894" s="35"/>
      <c r="G2894" s="39"/>
      <c r="H2894" s="35"/>
      <c r="I2894" s="39"/>
    </row>
    <row r="2895" spans="2:9" ht="15.75">
      <c r="B2895" s="35"/>
      <c r="C2895" s="38"/>
      <c r="D2895" s="35"/>
      <c r="E2895" s="38"/>
      <c r="F2895" s="35"/>
      <c r="G2895" s="38"/>
      <c r="H2895" s="35"/>
      <c r="I2895" s="38"/>
    </row>
    <row r="2896" spans="2:9" ht="15.75">
      <c r="B2896" s="35"/>
      <c r="C2896" s="39"/>
      <c r="D2896" s="35"/>
      <c r="E2896" s="37"/>
      <c r="F2896" s="35"/>
      <c r="G2896" s="39"/>
      <c r="H2896" s="35"/>
      <c r="I2896" s="39"/>
    </row>
    <row r="2897" spans="2:9" ht="15.75">
      <c r="B2897" s="35"/>
      <c r="C2897" s="39"/>
      <c r="D2897" s="35"/>
      <c r="E2897" s="37"/>
      <c r="F2897" s="35"/>
      <c r="G2897" s="39"/>
      <c r="H2897" s="35"/>
      <c r="I2897" s="39"/>
    </row>
    <row r="2898" spans="2:9">
      <c r="B2898" s="33"/>
      <c r="C2898" s="33"/>
      <c r="D2898" s="33"/>
      <c r="E2898" s="33"/>
      <c r="F2898" s="33"/>
      <c r="G2898" s="33"/>
      <c r="H2898" s="33"/>
      <c r="I2898" s="33"/>
    </row>
    <row r="2899" spans="2:9" ht="15.75">
      <c r="B2899" s="38"/>
      <c r="C2899" s="33"/>
      <c r="D2899" s="38"/>
      <c r="E2899" s="33"/>
      <c r="F2899" s="38"/>
      <c r="G2899" s="33"/>
      <c r="H2899" s="38"/>
      <c r="I2899" s="33"/>
    </row>
    <row r="2900" spans="2:9" ht="15.75">
      <c r="B2900" s="39"/>
      <c r="C2900" s="33"/>
      <c r="D2900" s="33"/>
      <c r="E2900" s="33"/>
      <c r="F2900" s="33"/>
      <c r="G2900" s="33"/>
      <c r="H2900" s="33"/>
      <c r="I2900" s="33"/>
    </row>
    <row r="2901" spans="2:9" ht="15.75">
      <c r="B2901" s="35"/>
      <c r="C2901" s="39"/>
      <c r="D2901" s="35"/>
      <c r="E2901" s="33"/>
      <c r="F2901" s="35"/>
      <c r="G2901" s="39"/>
      <c r="H2901" s="35"/>
    </row>
    <row r="2902" spans="2:9" ht="15.75">
      <c r="B2902" s="35"/>
      <c r="C2902" s="39"/>
      <c r="D2902" s="35"/>
      <c r="E2902" s="37"/>
      <c r="F2902" s="35"/>
      <c r="G2902" s="39"/>
      <c r="H2902" s="35"/>
    </row>
    <row r="2903" spans="2:9" ht="15.75">
      <c r="B2903" s="35"/>
      <c r="C2903" s="38"/>
      <c r="D2903" s="35"/>
      <c r="E2903" s="38"/>
      <c r="F2903" s="35"/>
      <c r="G2903" s="38"/>
      <c r="H2903" s="35"/>
    </row>
    <row r="2904" spans="2:9" ht="15.75">
      <c r="B2904" s="35"/>
      <c r="C2904" s="39"/>
      <c r="D2904" s="35"/>
      <c r="E2904" s="37"/>
      <c r="F2904" s="35"/>
      <c r="G2904" s="39"/>
      <c r="H2904" s="35"/>
    </row>
    <row r="2905" spans="2:9" ht="15.75">
      <c r="B2905" s="35"/>
      <c r="C2905" s="39"/>
      <c r="D2905" s="35"/>
      <c r="E2905" s="37"/>
      <c r="F2905" s="35"/>
      <c r="G2905" s="39"/>
      <c r="H2905" s="35"/>
    </row>
    <row r="2907" spans="2:9">
      <c r="B2907" s="43"/>
      <c r="D2907" s="44"/>
    </row>
    <row r="2908" spans="2:9">
      <c r="B2908" s="45"/>
    </row>
    <row r="2909" spans="2:9">
      <c r="B2909" s="46"/>
      <c r="D2909" s="47"/>
    </row>
    <row r="2911" spans="2:9">
      <c r="B2911" s="42"/>
    </row>
    <row r="2913" spans="2:9" ht="15.75">
      <c r="B2913" s="35"/>
      <c r="C2913" s="54"/>
      <c r="D2913" s="35"/>
      <c r="E2913" s="33"/>
      <c r="F2913" s="35"/>
      <c r="G2913" s="39"/>
      <c r="H2913" s="35"/>
      <c r="I2913" s="39"/>
    </row>
    <row r="2914" spans="2:9" ht="15.75">
      <c r="B2914" s="35"/>
      <c r="C2914" s="54"/>
      <c r="D2914" s="35"/>
      <c r="E2914" s="36"/>
      <c r="F2914" s="35"/>
      <c r="G2914" s="39"/>
      <c r="H2914" s="35"/>
      <c r="I2914" s="39"/>
    </row>
    <row r="2915" spans="2:9" ht="15.75">
      <c r="B2915" s="35"/>
      <c r="C2915" s="40"/>
      <c r="D2915" s="35"/>
      <c r="E2915" s="40"/>
      <c r="F2915" s="35"/>
      <c r="G2915" s="38"/>
      <c r="H2915" s="35"/>
      <c r="I2915" s="38"/>
    </row>
    <row r="2916" spans="2:9" ht="15.75">
      <c r="B2916" s="35"/>
      <c r="C2916" s="54"/>
      <c r="D2916" s="35"/>
      <c r="E2916" s="36"/>
      <c r="F2916" s="35"/>
      <c r="G2916" s="39"/>
      <c r="H2916" s="35"/>
      <c r="I2916" s="38"/>
    </row>
    <row r="2917" spans="2:9" ht="15.75">
      <c r="B2917" s="53"/>
      <c r="C2917" s="54"/>
      <c r="D2917" s="35"/>
      <c r="E2917" s="36"/>
      <c r="F2917" s="35"/>
      <c r="G2917" s="39"/>
      <c r="H2917" s="35"/>
      <c r="I2917" s="39"/>
    </row>
    <row r="2918" spans="2:9">
      <c r="B2918" s="33"/>
      <c r="C2918" s="34"/>
      <c r="D2918" s="33"/>
      <c r="E2918" s="33"/>
      <c r="F2918" s="33"/>
      <c r="G2918" s="33"/>
      <c r="H2918" s="33"/>
      <c r="I2918" s="33"/>
    </row>
    <row r="2919" spans="2:9" ht="15.75">
      <c r="B2919" s="38"/>
      <c r="C2919" s="34"/>
      <c r="D2919" s="38"/>
      <c r="E2919" s="33"/>
      <c r="F2919" s="38"/>
      <c r="G2919" s="33"/>
      <c r="H2919" s="38"/>
      <c r="I2919" s="33"/>
    </row>
    <row r="2920" spans="2:9" ht="15.75">
      <c r="B2920" s="39"/>
      <c r="C2920" s="33"/>
      <c r="D2920" s="33"/>
      <c r="E2920" s="33"/>
      <c r="F2920" s="33"/>
      <c r="G2920" s="33"/>
      <c r="H2920" s="33"/>
      <c r="I2920" s="33"/>
    </row>
    <row r="2921" spans="2:9" ht="15.75">
      <c r="B2921" s="35"/>
      <c r="C2921" s="39"/>
      <c r="D2921" s="35"/>
      <c r="E2921" s="33"/>
      <c r="F2921" s="35"/>
      <c r="G2921" s="39"/>
      <c r="H2921" s="35"/>
      <c r="I2921" s="39"/>
    </row>
    <row r="2922" spans="2:9" ht="15.75">
      <c r="B2922" s="35"/>
      <c r="C2922" s="39"/>
      <c r="D2922" s="35"/>
      <c r="E2922" s="37"/>
      <c r="F2922" s="35"/>
      <c r="G2922" s="39"/>
      <c r="H2922" s="35"/>
      <c r="I2922" s="39"/>
    </row>
    <row r="2923" spans="2:9" ht="15.75">
      <c r="B2923" s="35"/>
      <c r="C2923" s="38"/>
      <c r="D2923" s="35"/>
      <c r="E2923" s="38"/>
      <c r="F2923" s="35"/>
      <c r="G2923" s="38"/>
      <c r="H2923" s="35"/>
      <c r="I2923" s="38"/>
    </row>
    <row r="2924" spans="2:9" ht="15.75">
      <c r="B2924" s="35"/>
      <c r="C2924" s="39"/>
      <c r="D2924" s="35"/>
      <c r="E2924" s="37"/>
      <c r="F2924" s="35"/>
      <c r="G2924" s="39"/>
      <c r="H2924" s="35"/>
      <c r="I2924" s="39"/>
    </row>
    <row r="2925" spans="2:9" ht="15.75">
      <c r="B2925" s="35"/>
      <c r="C2925" s="39"/>
      <c r="D2925" s="35"/>
      <c r="E2925" s="37"/>
      <c r="F2925" s="35"/>
      <c r="G2925" s="39"/>
      <c r="H2925" s="35"/>
      <c r="I2925" s="39"/>
    </row>
    <row r="2926" spans="2:9">
      <c r="B2926" s="33"/>
      <c r="C2926" s="33"/>
      <c r="D2926" s="33"/>
      <c r="E2926" s="33"/>
      <c r="F2926" s="33"/>
      <c r="G2926" s="33"/>
      <c r="H2926" s="33"/>
      <c r="I2926" s="33"/>
    </row>
    <row r="2927" spans="2:9" ht="15.75">
      <c r="B2927" s="38"/>
      <c r="C2927" s="33"/>
      <c r="D2927" s="38"/>
      <c r="E2927" s="33"/>
      <c r="F2927" s="38"/>
      <c r="G2927" s="33"/>
      <c r="H2927" s="38"/>
      <c r="I2927" s="33"/>
    </row>
    <row r="2928" spans="2:9" ht="15.75">
      <c r="B2928" s="39"/>
      <c r="C2928" s="33"/>
      <c r="D2928" s="33"/>
      <c r="E2928" s="33"/>
      <c r="F2928" s="33"/>
      <c r="G2928" s="33"/>
      <c r="H2928" s="33"/>
      <c r="I2928" s="33"/>
    </row>
    <row r="2929" spans="2:9" ht="15.75">
      <c r="B2929" s="35"/>
      <c r="C2929" s="39"/>
      <c r="D2929" s="35"/>
      <c r="E2929" s="33"/>
      <c r="F2929" s="35"/>
      <c r="G2929" s="39"/>
      <c r="H2929" s="35"/>
    </row>
    <row r="2930" spans="2:9" ht="15.75">
      <c r="B2930" s="35"/>
      <c r="C2930" s="39"/>
      <c r="D2930" s="35"/>
      <c r="E2930" s="37"/>
      <c r="F2930" s="35"/>
      <c r="G2930" s="39"/>
      <c r="H2930" s="35"/>
    </row>
    <row r="2931" spans="2:9" ht="15.75">
      <c r="B2931" s="35"/>
      <c r="C2931" s="38"/>
      <c r="D2931" s="35"/>
      <c r="E2931" s="38"/>
      <c r="F2931" s="35"/>
      <c r="G2931" s="38"/>
      <c r="H2931" s="35"/>
    </row>
    <row r="2932" spans="2:9" ht="15.75">
      <c r="B2932" s="35"/>
      <c r="C2932" s="39"/>
      <c r="D2932" s="35"/>
      <c r="E2932" s="37"/>
      <c r="F2932" s="35"/>
      <c r="G2932" s="39"/>
      <c r="H2932" s="35"/>
    </row>
    <row r="2933" spans="2:9" ht="15.75">
      <c r="B2933" s="35"/>
      <c r="C2933" s="39"/>
      <c r="D2933" s="35"/>
      <c r="E2933" s="37"/>
      <c r="F2933" s="35"/>
      <c r="G2933" s="39"/>
      <c r="H2933" s="35"/>
    </row>
    <row r="2935" spans="2:9">
      <c r="B2935" s="43"/>
      <c r="D2935" s="44"/>
    </row>
    <row r="2936" spans="2:9">
      <c r="B2936" s="45"/>
    </row>
    <row r="2937" spans="2:9">
      <c r="B2937" s="46"/>
      <c r="D2937" s="47"/>
    </row>
    <row r="2939" spans="2:9">
      <c r="B2939" s="42"/>
    </row>
    <row r="2941" spans="2:9" ht="15.75">
      <c r="B2941" s="35"/>
      <c r="C2941" s="54"/>
      <c r="D2941" s="35"/>
      <c r="E2941" s="33"/>
      <c r="F2941" s="35"/>
      <c r="G2941" s="39"/>
      <c r="H2941" s="35"/>
      <c r="I2941" s="39"/>
    </row>
    <row r="2942" spans="2:9" ht="15.75">
      <c r="B2942" s="35"/>
      <c r="C2942" s="54"/>
      <c r="D2942" s="35"/>
      <c r="E2942" s="36"/>
      <c r="F2942" s="35"/>
      <c r="G2942" s="39"/>
      <c r="H2942" s="35"/>
      <c r="I2942" s="39"/>
    </row>
    <row r="2943" spans="2:9" ht="15.75">
      <c r="B2943" s="35"/>
      <c r="C2943" s="40"/>
      <c r="D2943" s="35"/>
      <c r="E2943" s="40"/>
      <c r="F2943" s="35"/>
      <c r="G2943" s="38"/>
      <c r="H2943" s="35"/>
      <c r="I2943" s="38"/>
    </row>
    <row r="2944" spans="2:9" ht="15.75">
      <c r="B2944" s="35"/>
      <c r="C2944" s="54"/>
      <c r="D2944" s="35"/>
      <c r="E2944" s="36"/>
      <c r="F2944" s="35"/>
      <c r="G2944" s="39"/>
      <c r="H2944" s="35"/>
      <c r="I2944" s="38"/>
    </row>
    <row r="2945" spans="2:9" ht="15.75">
      <c r="B2945" s="53"/>
      <c r="C2945" s="54"/>
      <c r="D2945" s="35"/>
      <c r="E2945" s="36"/>
      <c r="F2945" s="35"/>
      <c r="G2945" s="39"/>
      <c r="H2945" s="35"/>
      <c r="I2945" s="39"/>
    </row>
    <row r="2946" spans="2:9">
      <c r="B2946" s="33"/>
      <c r="C2946" s="34"/>
      <c r="D2946" s="33"/>
      <c r="E2946" s="33"/>
      <c r="F2946" s="33"/>
      <c r="G2946" s="33"/>
      <c r="H2946" s="33"/>
      <c r="I2946" s="33"/>
    </row>
    <row r="2947" spans="2:9" ht="15.75">
      <c r="B2947" s="38"/>
      <c r="C2947" s="34"/>
      <c r="D2947" s="38"/>
      <c r="E2947" s="33"/>
      <c r="F2947" s="38"/>
      <c r="G2947" s="33"/>
      <c r="H2947" s="38"/>
      <c r="I2947" s="33"/>
    </row>
    <row r="2948" spans="2:9" ht="15.75">
      <c r="B2948" s="39"/>
      <c r="C2948" s="33"/>
      <c r="D2948" s="33"/>
      <c r="E2948" s="33"/>
      <c r="F2948" s="33"/>
      <c r="G2948" s="33"/>
      <c r="H2948" s="33"/>
      <c r="I2948" s="33"/>
    </row>
    <row r="2949" spans="2:9" ht="15.75">
      <c r="B2949" s="35"/>
      <c r="C2949" s="39"/>
      <c r="D2949" s="35"/>
      <c r="E2949" s="33"/>
      <c r="F2949" s="35"/>
      <c r="G2949" s="39"/>
      <c r="H2949" s="35"/>
      <c r="I2949" s="39"/>
    </row>
    <row r="2950" spans="2:9" ht="15.75">
      <c r="B2950" s="35"/>
      <c r="C2950" s="39"/>
      <c r="D2950" s="35"/>
      <c r="E2950" s="37"/>
      <c r="F2950" s="35"/>
      <c r="G2950" s="39"/>
      <c r="H2950" s="35"/>
      <c r="I2950" s="39"/>
    </row>
    <row r="2951" spans="2:9" ht="15.75">
      <c r="B2951" s="35"/>
      <c r="C2951" s="38"/>
      <c r="D2951" s="35"/>
      <c r="E2951" s="38"/>
      <c r="F2951" s="35"/>
      <c r="G2951" s="38"/>
      <c r="H2951" s="35"/>
      <c r="I2951" s="38"/>
    </row>
    <row r="2952" spans="2:9" ht="15.75">
      <c r="B2952" s="35"/>
      <c r="C2952" s="39"/>
      <c r="D2952" s="35"/>
      <c r="E2952" s="37"/>
      <c r="F2952" s="35"/>
      <c r="G2952" s="39"/>
      <c r="H2952" s="35"/>
      <c r="I2952" s="39"/>
    </row>
    <row r="2953" spans="2:9" ht="15.75">
      <c r="B2953" s="35"/>
      <c r="C2953" s="39"/>
      <c r="D2953" s="35"/>
      <c r="E2953" s="37"/>
      <c r="F2953" s="35"/>
      <c r="G2953" s="39"/>
      <c r="H2953" s="35"/>
      <c r="I2953" s="39"/>
    </row>
    <row r="2954" spans="2:9">
      <c r="B2954" s="33"/>
      <c r="C2954" s="33"/>
      <c r="D2954" s="33"/>
      <c r="E2954" s="33"/>
      <c r="F2954" s="33"/>
      <c r="G2954" s="33"/>
      <c r="H2954" s="33"/>
      <c r="I2954" s="33"/>
    </row>
    <row r="2955" spans="2:9" ht="15.75">
      <c r="B2955" s="38"/>
      <c r="C2955" s="33"/>
      <c r="D2955" s="38"/>
      <c r="E2955" s="33"/>
      <c r="F2955" s="38"/>
      <c r="G2955" s="33"/>
      <c r="H2955" s="38"/>
      <c r="I2955" s="33"/>
    </row>
    <row r="2956" spans="2:9" ht="15.75">
      <c r="B2956" s="39"/>
      <c r="C2956" s="33"/>
      <c r="D2956" s="33"/>
      <c r="E2956" s="33"/>
      <c r="F2956" s="33"/>
      <c r="G2956" s="33"/>
      <c r="H2956" s="33"/>
      <c r="I2956" s="33"/>
    </row>
    <row r="2957" spans="2:9" ht="15.75">
      <c r="B2957" s="35"/>
      <c r="C2957" s="39"/>
      <c r="D2957" s="35"/>
      <c r="E2957" s="33"/>
      <c r="F2957" s="35"/>
      <c r="G2957" s="39"/>
      <c r="H2957" s="35"/>
    </row>
    <row r="2958" spans="2:9" ht="15.75">
      <c r="B2958" s="35"/>
      <c r="C2958" s="39"/>
      <c r="D2958" s="35"/>
      <c r="E2958" s="37"/>
      <c r="F2958" s="35"/>
      <c r="G2958" s="39"/>
      <c r="H2958" s="35"/>
    </row>
    <row r="2959" spans="2:9" ht="15.75">
      <c r="B2959" s="35"/>
      <c r="C2959" s="38"/>
      <c r="D2959" s="35"/>
      <c r="E2959" s="38"/>
      <c r="F2959" s="35"/>
      <c r="G2959" s="38"/>
      <c r="H2959" s="35"/>
    </row>
    <row r="2960" spans="2:9" ht="15.75">
      <c r="B2960" s="35"/>
      <c r="C2960" s="39"/>
      <c r="D2960" s="35"/>
      <c r="E2960" s="37"/>
      <c r="F2960" s="35"/>
      <c r="G2960" s="39"/>
      <c r="H2960" s="35"/>
    </row>
    <row r="2961" spans="2:9" ht="15.75">
      <c r="B2961" s="35"/>
      <c r="C2961" s="39"/>
      <c r="D2961" s="35"/>
      <c r="E2961" s="37"/>
      <c r="F2961" s="35"/>
      <c r="G2961" s="39"/>
      <c r="H2961" s="35"/>
    </row>
    <row r="2963" spans="2:9">
      <c r="B2963" s="43"/>
      <c r="D2963" s="44"/>
    </row>
    <row r="2964" spans="2:9">
      <c r="B2964" s="45"/>
    </row>
    <row r="2965" spans="2:9">
      <c r="B2965" s="46"/>
      <c r="D2965" s="47"/>
    </row>
    <row r="2967" spans="2:9">
      <c r="B2967" s="42"/>
    </row>
    <row r="2969" spans="2:9" ht="15.75">
      <c r="B2969" s="35"/>
      <c r="C2969" s="54"/>
      <c r="D2969" s="35"/>
      <c r="E2969" s="33"/>
      <c r="F2969" s="35"/>
      <c r="G2969" s="39"/>
      <c r="H2969" s="35"/>
      <c r="I2969" s="39"/>
    </row>
    <row r="2970" spans="2:9" ht="15.75">
      <c r="B2970" s="35"/>
      <c r="C2970" s="54"/>
      <c r="D2970" s="35"/>
      <c r="E2970" s="36"/>
      <c r="F2970" s="35"/>
      <c r="G2970" s="39"/>
      <c r="H2970" s="35"/>
      <c r="I2970" s="39"/>
    </row>
    <row r="2971" spans="2:9" ht="15.75">
      <c r="B2971" s="35"/>
      <c r="C2971" s="40"/>
      <c r="D2971" s="35"/>
      <c r="E2971" s="40"/>
      <c r="F2971" s="35"/>
      <c r="G2971" s="38"/>
      <c r="H2971" s="35"/>
      <c r="I2971" s="38"/>
    </row>
    <row r="2972" spans="2:9" ht="15.75">
      <c r="B2972" s="35"/>
      <c r="C2972" s="54"/>
      <c r="D2972" s="35"/>
      <c r="E2972" s="36"/>
      <c r="F2972" s="35"/>
      <c r="G2972" s="39"/>
      <c r="H2972" s="35"/>
      <c r="I2972" s="38"/>
    </row>
    <row r="2973" spans="2:9" ht="15.75">
      <c r="B2973" s="53"/>
      <c r="C2973" s="54"/>
      <c r="D2973" s="35"/>
      <c r="E2973" s="36"/>
      <c r="F2973" s="35"/>
      <c r="G2973" s="39"/>
      <c r="H2973" s="35"/>
      <c r="I2973" s="39"/>
    </row>
    <row r="2974" spans="2:9">
      <c r="B2974" s="33"/>
      <c r="C2974" s="34"/>
      <c r="D2974" s="33"/>
      <c r="E2974" s="33"/>
      <c r="F2974" s="33"/>
      <c r="G2974" s="33"/>
      <c r="H2974" s="33"/>
      <c r="I2974" s="33"/>
    </row>
    <row r="2975" spans="2:9" ht="15.75">
      <c r="B2975" s="38"/>
      <c r="C2975" s="34"/>
      <c r="D2975" s="38"/>
      <c r="E2975" s="33"/>
      <c r="F2975" s="38"/>
      <c r="G2975" s="33"/>
      <c r="H2975" s="38"/>
      <c r="I2975" s="33"/>
    </row>
    <row r="2976" spans="2:9" ht="15.75">
      <c r="B2976" s="39"/>
      <c r="C2976" s="33"/>
      <c r="D2976" s="33"/>
      <c r="E2976" s="33"/>
      <c r="F2976" s="33"/>
      <c r="G2976" s="33"/>
      <c r="H2976" s="33"/>
      <c r="I2976" s="33"/>
    </row>
    <row r="2977" spans="2:9" ht="15.75">
      <c r="B2977" s="35"/>
      <c r="C2977" s="39"/>
      <c r="D2977" s="35"/>
      <c r="E2977" s="33"/>
      <c r="F2977" s="35"/>
      <c r="G2977" s="39"/>
      <c r="H2977" s="35"/>
      <c r="I2977" s="39"/>
    </row>
    <row r="2978" spans="2:9" ht="15.75">
      <c r="B2978" s="35"/>
      <c r="C2978" s="39"/>
      <c r="D2978" s="35"/>
      <c r="E2978" s="37"/>
      <c r="F2978" s="35"/>
      <c r="G2978" s="39"/>
      <c r="H2978" s="35"/>
      <c r="I2978" s="39"/>
    </row>
    <row r="2979" spans="2:9" ht="15.75">
      <c r="B2979" s="35"/>
      <c r="C2979" s="38"/>
      <c r="D2979" s="35"/>
      <c r="E2979" s="38"/>
      <c r="F2979" s="35"/>
      <c r="G2979" s="38"/>
      <c r="H2979" s="35"/>
      <c r="I2979" s="38"/>
    </row>
    <row r="2980" spans="2:9" ht="15.75">
      <c r="B2980" s="35"/>
      <c r="C2980" s="39"/>
      <c r="D2980" s="35"/>
      <c r="E2980" s="37"/>
      <c r="F2980" s="35"/>
      <c r="G2980" s="39"/>
      <c r="H2980" s="35"/>
      <c r="I2980" s="39"/>
    </row>
    <row r="2981" spans="2:9" ht="15.75">
      <c r="B2981" s="35"/>
      <c r="C2981" s="39"/>
      <c r="D2981" s="35"/>
      <c r="E2981" s="37"/>
      <c r="F2981" s="35"/>
      <c r="G2981" s="39"/>
      <c r="H2981" s="35"/>
      <c r="I2981" s="39"/>
    </row>
    <row r="2982" spans="2:9">
      <c r="B2982" s="33"/>
      <c r="C2982" s="33"/>
      <c r="D2982" s="33"/>
      <c r="E2982" s="33"/>
      <c r="F2982" s="33"/>
      <c r="G2982" s="33"/>
      <c r="H2982" s="33"/>
      <c r="I2982" s="33"/>
    </row>
    <row r="2983" spans="2:9" ht="15.75">
      <c r="B2983" s="38"/>
      <c r="C2983" s="33"/>
      <c r="D2983" s="38"/>
      <c r="E2983" s="33"/>
      <c r="F2983" s="38"/>
      <c r="G2983" s="33"/>
      <c r="H2983" s="38"/>
      <c r="I2983" s="33"/>
    </row>
    <row r="2984" spans="2:9" ht="15.75">
      <c r="B2984" s="39"/>
      <c r="C2984" s="33"/>
      <c r="D2984" s="33"/>
      <c r="E2984" s="33"/>
      <c r="F2984" s="33"/>
      <c r="G2984" s="33"/>
      <c r="H2984" s="33"/>
      <c r="I2984" s="33"/>
    </row>
    <row r="2985" spans="2:9" ht="15.75">
      <c r="B2985" s="35"/>
      <c r="C2985" s="39"/>
      <c r="D2985" s="35"/>
      <c r="E2985" s="33"/>
      <c r="F2985" s="35"/>
      <c r="G2985" s="39"/>
      <c r="H2985" s="35"/>
    </row>
    <row r="2986" spans="2:9" ht="15.75">
      <c r="B2986" s="35"/>
      <c r="C2986" s="39"/>
      <c r="D2986" s="35"/>
      <c r="E2986" s="37"/>
      <c r="F2986" s="35"/>
      <c r="G2986" s="39"/>
      <c r="H2986" s="35"/>
    </row>
    <row r="2987" spans="2:9" ht="15.75">
      <c r="B2987" s="35"/>
      <c r="C2987" s="38"/>
      <c r="D2987" s="35"/>
      <c r="E2987" s="38"/>
      <c r="F2987" s="35"/>
      <c r="G2987" s="38"/>
      <c r="H2987" s="35"/>
    </row>
    <row r="2988" spans="2:9" ht="15.75">
      <c r="B2988" s="35"/>
      <c r="C2988" s="39"/>
      <c r="D2988" s="35"/>
      <c r="E2988" s="37"/>
      <c r="F2988" s="35"/>
      <c r="G2988" s="39"/>
      <c r="H2988" s="35"/>
    </row>
    <row r="2989" spans="2:9" ht="15.75">
      <c r="B2989" s="35"/>
      <c r="C2989" s="39"/>
      <c r="D2989" s="35"/>
      <c r="E2989" s="37"/>
      <c r="F2989" s="35"/>
      <c r="G2989" s="39"/>
      <c r="H2989" s="35"/>
    </row>
    <row r="2991" spans="2:9">
      <c r="B2991" s="43"/>
      <c r="D2991" s="44"/>
    </row>
    <row r="2992" spans="2:9">
      <c r="B2992" s="45"/>
    </row>
    <row r="2993" spans="2:9">
      <c r="B2993" s="46"/>
      <c r="D2993" s="47"/>
    </row>
    <row r="2995" spans="2:9">
      <c r="B2995" s="42"/>
    </row>
    <row r="2997" spans="2:9" ht="15.75">
      <c r="B2997" s="35"/>
      <c r="C2997" s="54"/>
      <c r="D2997" s="35"/>
      <c r="E2997" s="33"/>
      <c r="F2997" s="35"/>
      <c r="G2997" s="39"/>
      <c r="H2997" s="35"/>
      <c r="I2997" s="39"/>
    </row>
    <row r="2998" spans="2:9" ht="15.75">
      <c r="B2998" s="35"/>
      <c r="C2998" s="54"/>
      <c r="D2998" s="35"/>
      <c r="E2998" s="36"/>
      <c r="F2998" s="35"/>
      <c r="G2998" s="39"/>
      <c r="H2998" s="35"/>
      <c r="I2998" s="39"/>
    </row>
    <row r="2999" spans="2:9" ht="15.75">
      <c r="B2999" s="35"/>
      <c r="C2999" s="40"/>
      <c r="D2999" s="35"/>
      <c r="E2999" s="40"/>
      <c r="F2999" s="35"/>
      <c r="G2999" s="38"/>
      <c r="H2999" s="35"/>
      <c r="I2999" s="38"/>
    </row>
    <row r="3000" spans="2:9" ht="15.75">
      <c r="B3000" s="35"/>
      <c r="C3000" s="54"/>
      <c r="D3000" s="35"/>
      <c r="E3000" s="36"/>
      <c r="F3000" s="35"/>
      <c r="G3000" s="39"/>
      <c r="H3000" s="35"/>
      <c r="I3000" s="38"/>
    </row>
    <row r="3001" spans="2:9" ht="15.75">
      <c r="B3001" s="53"/>
      <c r="C3001" s="54"/>
      <c r="D3001" s="35"/>
      <c r="E3001" s="36"/>
      <c r="F3001" s="35"/>
      <c r="G3001" s="39"/>
      <c r="H3001" s="35"/>
      <c r="I3001" s="39"/>
    </row>
    <row r="3002" spans="2:9">
      <c r="B3002" s="33"/>
      <c r="C3002" s="34"/>
      <c r="D3002" s="33"/>
      <c r="E3002" s="33"/>
      <c r="F3002" s="33"/>
      <c r="G3002" s="33"/>
      <c r="H3002" s="33"/>
      <c r="I3002" s="33"/>
    </row>
    <row r="3003" spans="2:9" ht="15.75">
      <c r="B3003" s="38"/>
      <c r="C3003" s="34"/>
      <c r="D3003" s="38"/>
      <c r="E3003" s="33"/>
      <c r="F3003" s="38"/>
      <c r="G3003" s="33"/>
      <c r="H3003" s="38"/>
      <c r="I3003" s="33"/>
    </row>
    <row r="3004" spans="2:9" ht="15.75">
      <c r="B3004" s="39"/>
      <c r="C3004" s="33"/>
      <c r="D3004" s="33"/>
      <c r="E3004" s="33"/>
      <c r="F3004" s="33"/>
      <c r="G3004" s="33"/>
      <c r="H3004" s="33"/>
      <c r="I3004" s="33"/>
    </row>
    <row r="3005" spans="2:9" ht="15.75">
      <c r="B3005" s="35"/>
      <c r="C3005" s="39"/>
      <c r="D3005" s="35"/>
      <c r="E3005" s="33"/>
      <c r="F3005" s="35"/>
      <c r="G3005" s="39"/>
      <c r="H3005" s="35"/>
      <c r="I3005" s="39"/>
    </row>
    <row r="3006" spans="2:9" ht="15.75">
      <c r="B3006" s="35"/>
      <c r="C3006" s="39"/>
      <c r="D3006" s="35"/>
      <c r="E3006" s="37"/>
      <c r="F3006" s="35"/>
      <c r="G3006" s="39"/>
      <c r="H3006" s="35"/>
      <c r="I3006" s="39"/>
    </row>
    <row r="3007" spans="2:9" ht="15.75">
      <c r="B3007" s="35"/>
      <c r="C3007" s="38"/>
      <c r="D3007" s="35"/>
      <c r="E3007" s="38"/>
      <c r="F3007" s="35"/>
      <c r="G3007" s="38"/>
      <c r="H3007" s="35"/>
      <c r="I3007" s="38"/>
    </row>
    <row r="3008" spans="2:9" ht="15.75">
      <c r="B3008" s="35"/>
      <c r="C3008" s="39"/>
      <c r="D3008" s="35"/>
      <c r="E3008" s="37"/>
      <c r="F3008" s="35"/>
      <c r="G3008" s="39"/>
      <c r="H3008" s="35"/>
      <c r="I3008" s="39"/>
    </row>
    <row r="3009" spans="2:9" ht="15.75">
      <c r="B3009" s="35"/>
      <c r="C3009" s="39"/>
      <c r="D3009" s="35"/>
      <c r="E3009" s="37"/>
      <c r="F3009" s="35"/>
      <c r="G3009" s="39"/>
      <c r="H3009" s="35"/>
      <c r="I3009" s="39"/>
    </row>
    <row r="3010" spans="2:9">
      <c r="B3010" s="33"/>
      <c r="C3010" s="33"/>
      <c r="D3010" s="33"/>
      <c r="E3010" s="33"/>
      <c r="F3010" s="33"/>
      <c r="G3010" s="33"/>
      <c r="H3010" s="33"/>
      <c r="I3010" s="33"/>
    </row>
    <row r="3011" spans="2:9" ht="15.75">
      <c r="B3011" s="38"/>
      <c r="C3011" s="33"/>
      <c r="D3011" s="38"/>
      <c r="E3011" s="33"/>
      <c r="F3011" s="38"/>
      <c r="G3011" s="33"/>
      <c r="H3011" s="38"/>
      <c r="I3011" s="33"/>
    </row>
    <row r="3012" spans="2:9" ht="15.75">
      <c r="B3012" s="39"/>
      <c r="C3012" s="33"/>
      <c r="D3012" s="33"/>
      <c r="E3012" s="33"/>
      <c r="F3012" s="33"/>
      <c r="G3012" s="33"/>
      <c r="H3012" s="33"/>
      <c r="I3012" s="33"/>
    </row>
    <row r="3013" spans="2:9" ht="15.75">
      <c r="B3013" s="35"/>
      <c r="C3013" s="39"/>
      <c r="D3013" s="35"/>
      <c r="E3013" s="33"/>
      <c r="F3013" s="35"/>
      <c r="G3013" s="39"/>
      <c r="H3013" s="35"/>
    </row>
    <row r="3014" spans="2:9" ht="15.75">
      <c r="B3014" s="35"/>
      <c r="C3014" s="39"/>
      <c r="D3014" s="35"/>
      <c r="E3014" s="37"/>
      <c r="F3014" s="35"/>
      <c r="G3014" s="39"/>
      <c r="H3014" s="35"/>
    </row>
    <row r="3015" spans="2:9" ht="15.75">
      <c r="B3015" s="35"/>
      <c r="C3015" s="38"/>
      <c r="D3015" s="35"/>
      <c r="E3015" s="38"/>
      <c r="F3015" s="35"/>
      <c r="G3015" s="38"/>
      <c r="H3015" s="35"/>
    </row>
    <row r="3016" spans="2:9" ht="15.75">
      <c r="B3016" s="35"/>
      <c r="C3016" s="39"/>
      <c r="D3016" s="35"/>
      <c r="E3016" s="37"/>
      <c r="F3016" s="35"/>
      <c r="G3016" s="39"/>
      <c r="H3016" s="35"/>
    </row>
    <row r="3017" spans="2:9" ht="15.75">
      <c r="B3017" s="35"/>
      <c r="C3017" s="39"/>
      <c r="D3017" s="35"/>
      <c r="E3017" s="37"/>
      <c r="F3017" s="35"/>
      <c r="G3017" s="39"/>
      <c r="H3017" s="35"/>
    </row>
    <row r="3019" spans="2:9">
      <c r="B3019" s="43"/>
      <c r="D3019" s="44"/>
    </row>
    <row r="3020" spans="2:9">
      <c r="B3020" s="45"/>
    </row>
    <row r="3021" spans="2:9">
      <c r="B3021" s="46"/>
      <c r="D3021" s="47"/>
    </row>
    <row r="3023" spans="2:9">
      <c r="B3023" s="42"/>
    </row>
    <row r="3025" spans="2:9" ht="15.75">
      <c r="B3025" s="35"/>
      <c r="C3025" s="54"/>
      <c r="D3025" s="35"/>
      <c r="E3025" s="33"/>
      <c r="F3025" s="35"/>
      <c r="G3025" s="39"/>
      <c r="H3025" s="35"/>
      <c r="I3025" s="39"/>
    </row>
    <row r="3026" spans="2:9" ht="15.75">
      <c r="B3026" s="35"/>
      <c r="C3026" s="54"/>
      <c r="D3026" s="35"/>
      <c r="E3026" s="36"/>
      <c r="F3026" s="35"/>
      <c r="G3026" s="39"/>
      <c r="H3026" s="35"/>
      <c r="I3026" s="39"/>
    </row>
    <row r="3027" spans="2:9" ht="15.75">
      <c r="B3027" s="35"/>
      <c r="C3027" s="40"/>
      <c r="D3027" s="35"/>
      <c r="E3027" s="40"/>
      <c r="F3027" s="35"/>
      <c r="G3027" s="38"/>
      <c r="H3027" s="35"/>
      <c r="I3027" s="38"/>
    </row>
    <row r="3028" spans="2:9" ht="15.75">
      <c r="B3028" s="35"/>
      <c r="C3028" s="54"/>
      <c r="D3028" s="35"/>
      <c r="E3028" s="36"/>
      <c r="F3028" s="35"/>
      <c r="G3028" s="39"/>
      <c r="H3028" s="35"/>
      <c r="I3028" s="38"/>
    </row>
    <row r="3029" spans="2:9" ht="15.75">
      <c r="B3029" s="53"/>
      <c r="C3029" s="54"/>
      <c r="D3029" s="35"/>
      <c r="E3029" s="36"/>
      <c r="F3029" s="35"/>
      <c r="G3029" s="39"/>
      <c r="H3029" s="35"/>
      <c r="I3029" s="39"/>
    </row>
    <row r="3030" spans="2:9">
      <c r="B3030" s="33"/>
      <c r="C3030" s="34"/>
      <c r="D3030" s="33"/>
      <c r="E3030" s="33"/>
      <c r="F3030" s="33"/>
      <c r="G3030" s="33"/>
      <c r="H3030" s="33"/>
      <c r="I3030" s="33"/>
    </row>
    <row r="3031" spans="2:9" ht="15.75">
      <c r="B3031" s="38"/>
      <c r="C3031" s="34"/>
      <c r="D3031" s="38"/>
      <c r="E3031" s="33"/>
      <c r="F3031" s="38"/>
      <c r="G3031" s="33"/>
      <c r="H3031" s="38"/>
      <c r="I3031" s="33"/>
    </row>
    <row r="3032" spans="2:9" ht="15.75">
      <c r="B3032" s="39"/>
      <c r="C3032" s="33"/>
      <c r="D3032" s="33"/>
      <c r="E3032" s="33"/>
      <c r="F3032" s="33"/>
      <c r="G3032" s="33"/>
      <c r="H3032" s="33"/>
      <c r="I3032" s="33"/>
    </row>
    <row r="3033" spans="2:9" ht="15.75">
      <c r="B3033" s="35"/>
      <c r="C3033" s="39"/>
      <c r="D3033" s="35"/>
      <c r="E3033" s="33"/>
      <c r="F3033" s="35"/>
      <c r="G3033" s="39"/>
      <c r="H3033" s="35"/>
      <c r="I3033" s="39"/>
    </row>
    <row r="3034" spans="2:9" ht="15.75">
      <c r="B3034" s="35"/>
      <c r="C3034" s="39"/>
      <c r="D3034" s="35"/>
      <c r="E3034" s="37"/>
      <c r="F3034" s="35"/>
      <c r="G3034" s="39"/>
      <c r="H3034" s="35"/>
      <c r="I3034" s="39"/>
    </row>
    <row r="3035" spans="2:9" ht="15.75">
      <c r="B3035" s="35"/>
      <c r="C3035" s="38"/>
      <c r="D3035" s="35"/>
      <c r="E3035" s="38"/>
      <c r="F3035" s="35"/>
      <c r="G3035" s="38"/>
      <c r="H3035" s="35"/>
      <c r="I3035" s="38"/>
    </row>
    <row r="3036" spans="2:9" ht="15.75">
      <c r="B3036" s="35"/>
      <c r="C3036" s="39"/>
      <c r="D3036" s="35"/>
      <c r="E3036" s="37"/>
      <c r="F3036" s="35"/>
      <c r="G3036" s="39"/>
      <c r="H3036" s="35"/>
      <c r="I3036" s="39"/>
    </row>
    <row r="3037" spans="2:9" ht="15.75">
      <c r="B3037" s="35"/>
      <c r="C3037" s="39"/>
      <c r="D3037" s="35"/>
      <c r="E3037" s="37"/>
      <c r="F3037" s="35"/>
      <c r="G3037" s="39"/>
      <c r="H3037" s="35"/>
      <c r="I3037" s="39"/>
    </row>
    <row r="3038" spans="2:9">
      <c r="B3038" s="33"/>
      <c r="C3038" s="33"/>
      <c r="D3038" s="33"/>
      <c r="E3038" s="33"/>
      <c r="F3038" s="33"/>
      <c r="G3038" s="33"/>
      <c r="H3038" s="33"/>
      <c r="I3038" s="33"/>
    </row>
    <row r="3039" spans="2:9" ht="15.75">
      <c r="B3039" s="38"/>
      <c r="C3039" s="33"/>
      <c r="D3039" s="38"/>
      <c r="E3039" s="33"/>
      <c r="F3039" s="38"/>
      <c r="G3039" s="33"/>
      <c r="H3039" s="38"/>
      <c r="I3039" s="33"/>
    </row>
    <row r="3040" spans="2:9" ht="15.75">
      <c r="B3040" s="39"/>
      <c r="C3040" s="33"/>
      <c r="D3040" s="33"/>
      <c r="E3040" s="33"/>
      <c r="F3040" s="33"/>
      <c r="G3040" s="33"/>
      <c r="H3040" s="33"/>
      <c r="I3040" s="33"/>
    </row>
    <row r="3041" spans="2:9" ht="15.75">
      <c r="B3041" s="35"/>
      <c r="C3041" s="39"/>
      <c r="D3041" s="35"/>
      <c r="E3041" s="33"/>
      <c r="F3041" s="35"/>
      <c r="G3041" s="39"/>
      <c r="H3041" s="35"/>
    </row>
    <row r="3042" spans="2:9" ht="15.75">
      <c r="B3042" s="35"/>
      <c r="C3042" s="39"/>
      <c r="D3042" s="35"/>
      <c r="E3042" s="37"/>
      <c r="F3042" s="35"/>
      <c r="G3042" s="39"/>
      <c r="H3042" s="35"/>
    </row>
    <row r="3043" spans="2:9" ht="15.75">
      <c r="B3043" s="35"/>
      <c r="C3043" s="38"/>
      <c r="D3043" s="35"/>
      <c r="E3043" s="38"/>
      <c r="F3043" s="35"/>
      <c r="G3043" s="38"/>
      <c r="H3043" s="35"/>
    </row>
    <row r="3044" spans="2:9" ht="15.75">
      <c r="B3044" s="35"/>
      <c r="C3044" s="39"/>
      <c r="D3044" s="35"/>
      <c r="E3044" s="37"/>
      <c r="F3044" s="35"/>
      <c r="G3044" s="39"/>
      <c r="H3044" s="35"/>
    </row>
    <row r="3045" spans="2:9" ht="15.75">
      <c r="B3045" s="35"/>
      <c r="C3045" s="39"/>
      <c r="D3045" s="35"/>
      <c r="E3045" s="37"/>
      <c r="F3045" s="35"/>
      <c r="G3045" s="39"/>
      <c r="H3045" s="35"/>
    </row>
    <row r="3047" spans="2:9">
      <c r="B3047" s="43"/>
      <c r="D3047" s="44"/>
    </row>
    <row r="3048" spans="2:9">
      <c r="B3048" s="45"/>
    </row>
    <row r="3049" spans="2:9">
      <c r="B3049" s="46"/>
      <c r="D3049" s="47"/>
    </row>
    <row r="3050" spans="2:9">
      <c r="B3050" s="50"/>
      <c r="C3050" s="49"/>
      <c r="D3050" s="49"/>
    </row>
    <row r="3051" spans="2:9">
      <c r="B3051" s="42"/>
    </row>
    <row r="3053" spans="2:9" ht="15.75">
      <c r="B3053" s="35"/>
      <c r="C3053" s="54"/>
      <c r="D3053" s="35"/>
      <c r="E3053" s="33"/>
      <c r="F3053" s="35"/>
      <c r="G3053" s="39"/>
      <c r="H3053" s="35"/>
      <c r="I3053" s="39"/>
    </row>
    <row r="3054" spans="2:9" ht="15.75">
      <c r="B3054" s="35"/>
      <c r="C3054" s="54"/>
      <c r="D3054" s="35"/>
      <c r="E3054" s="36"/>
      <c r="F3054" s="35"/>
      <c r="G3054" s="39"/>
      <c r="H3054" s="35"/>
      <c r="I3054" s="39"/>
    </row>
    <row r="3055" spans="2:9" ht="15.75">
      <c r="B3055" s="35"/>
      <c r="C3055" s="40"/>
      <c r="D3055" s="35"/>
      <c r="E3055" s="40"/>
      <c r="F3055" s="35"/>
      <c r="G3055" s="38"/>
      <c r="H3055" s="35"/>
      <c r="I3055" s="38"/>
    </row>
    <row r="3056" spans="2:9" ht="15.75">
      <c r="B3056" s="35"/>
      <c r="C3056" s="54"/>
      <c r="D3056" s="35"/>
      <c r="E3056" s="36"/>
      <c r="F3056" s="35"/>
      <c r="G3056" s="39"/>
      <c r="H3056" s="35"/>
      <c r="I3056" s="38"/>
    </row>
    <row r="3057" spans="2:9" ht="15.75">
      <c r="B3057" s="53"/>
      <c r="C3057" s="54"/>
      <c r="D3057" s="35"/>
      <c r="E3057" s="36"/>
      <c r="F3057" s="35"/>
      <c r="G3057" s="39"/>
      <c r="H3057" s="35"/>
      <c r="I3057" s="39"/>
    </row>
    <row r="3058" spans="2:9">
      <c r="B3058" s="33"/>
      <c r="C3058" s="34"/>
      <c r="D3058" s="33"/>
      <c r="E3058" s="33"/>
      <c r="F3058" s="33"/>
      <c r="G3058" s="33"/>
      <c r="H3058" s="33"/>
      <c r="I3058" s="33"/>
    </row>
    <row r="3059" spans="2:9" ht="15.75">
      <c r="B3059" s="38"/>
      <c r="C3059" s="34"/>
      <c r="D3059" s="38"/>
      <c r="E3059" s="33"/>
      <c r="F3059" s="38"/>
      <c r="G3059" s="33"/>
      <c r="H3059" s="38"/>
      <c r="I3059" s="33"/>
    </row>
    <row r="3060" spans="2:9" ht="15.75">
      <c r="B3060" s="39"/>
      <c r="C3060" s="33"/>
      <c r="D3060" s="33"/>
      <c r="E3060" s="33"/>
      <c r="F3060" s="33"/>
      <c r="G3060" s="33"/>
      <c r="H3060" s="33"/>
      <c r="I3060" s="33"/>
    </row>
    <row r="3061" spans="2:9" ht="15.75">
      <c r="B3061" s="35"/>
      <c r="C3061" s="39"/>
      <c r="D3061" s="35"/>
      <c r="E3061" s="33"/>
      <c r="F3061" s="35"/>
      <c r="G3061" s="39"/>
      <c r="H3061" s="35"/>
      <c r="I3061" s="39"/>
    </row>
    <row r="3062" spans="2:9" ht="15.75">
      <c r="B3062" s="35"/>
      <c r="C3062" s="39"/>
      <c r="D3062" s="35"/>
      <c r="E3062" s="37"/>
      <c r="F3062" s="35"/>
      <c r="G3062" s="39"/>
      <c r="H3062" s="35"/>
      <c r="I3062" s="39"/>
    </row>
    <row r="3063" spans="2:9" ht="15.75">
      <c r="B3063" s="35"/>
      <c r="C3063" s="38"/>
      <c r="D3063" s="35"/>
      <c r="E3063" s="38"/>
      <c r="F3063" s="35"/>
      <c r="G3063" s="38"/>
      <c r="H3063" s="35"/>
      <c r="I3063" s="38"/>
    </row>
    <row r="3064" spans="2:9" ht="15.75">
      <c r="B3064" s="35"/>
      <c r="C3064" s="39"/>
      <c r="D3064" s="35"/>
      <c r="E3064" s="37"/>
      <c r="F3064" s="35"/>
      <c r="G3064" s="39"/>
      <c r="H3064" s="35"/>
      <c r="I3064" s="39"/>
    </row>
    <row r="3065" spans="2:9" ht="15.75">
      <c r="B3065" s="35"/>
      <c r="C3065" s="39"/>
      <c r="D3065" s="35"/>
      <c r="E3065" s="37"/>
      <c r="F3065" s="35"/>
      <c r="G3065" s="39"/>
      <c r="H3065" s="35"/>
      <c r="I3065" s="39"/>
    </row>
    <row r="3066" spans="2:9">
      <c r="B3066" s="33"/>
      <c r="C3066" s="33"/>
      <c r="D3066" s="33"/>
      <c r="E3066" s="33"/>
      <c r="F3066" s="33"/>
      <c r="G3066" s="33"/>
      <c r="H3066" s="33"/>
      <c r="I3066" s="33"/>
    </row>
    <row r="3067" spans="2:9" ht="15.75">
      <c r="B3067" s="38"/>
      <c r="C3067" s="33"/>
      <c r="D3067" s="38"/>
      <c r="E3067" s="33"/>
      <c r="F3067" s="38"/>
      <c r="G3067" s="33"/>
      <c r="H3067" s="38"/>
      <c r="I3067" s="33"/>
    </row>
    <row r="3068" spans="2:9" ht="15.75">
      <c r="B3068" s="39"/>
      <c r="C3068" s="33"/>
      <c r="D3068" s="33"/>
      <c r="E3068" s="33"/>
      <c r="F3068" s="33"/>
      <c r="G3068" s="33"/>
      <c r="H3068" s="33"/>
      <c r="I3068" s="33"/>
    </row>
    <row r="3069" spans="2:9" ht="15.75">
      <c r="B3069" s="35"/>
      <c r="C3069" s="39"/>
      <c r="D3069" s="35"/>
      <c r="E3069" s="33"/>
      <c r="F3069" s="35"/>
      <c r="G3069" s="39"/>
      <c r="H3069" s="35"/>
    </row>
    <row r="3070" spans="2:9" ht="15.75">
      <c r="B3070" s="35"/>
      <c r="C3070" s="39"/>
      <c r="D3070" s="35"/>
      <c r="E3070" s="37"/>
      <c r="F3070" s="35"/>
      <c r="G3070" s="39"/>
      <c r="H3070" s="35"/>
    </row>
    <row r="3071" spans="2:9" ht="15.75">
      <c r="B3071" s="35"/>
      <c r="C3071" s="38"/>
      <c r="D3071" s="35"/>
      <c r="E3071" s="38"/>
      <c r="F3071" s="35"/>
      <c r="G3071" s="38"/>
      <c r="H3071" s="35"/>
    </row>
    <row r="3072" spans="2:9" ht="15.75">
      <c r="B3072" s="35"/>
      <c r="C3072" s="39"/>
      <c r="D3072" s="35"/>
      <c r="E3072" s="37"/>
      <c r="F3072" s="35"/>
      <c r="G3072" s="39"/>
      <c r="H3072" s="35"/>
    </row>
    <row r="3073" spans="2:9" ht="15.75">
      <c r="B3073" s="35"/>
      <c r="C3073" s="39"/>
      <c r="D3073" s="35"/>
      <c r="E3073" s="37"/>
      <c r="F3073" s="35"/>
      <c r="G3073" s="39"/>
      <c r="H3073" s="35"/>
    </row>
    <row r="3075" spans="2:9">
      <c r="B3075" s="43"/>
      <c r="D3075" s="44"/>
    </row>
    <row r="3076" spans="2:9">
      <c r="B3076" s="45"/>
    </row>
    <row r="3077" spans="2:9">
      <c r="B3077" s="46"/>
      <c r="D3077" s="47"/>
    </row>
    <row r="3078" spans="2:9">
      <c r="B3078" s="50"/>
      <c r="C3078" s="49"/>
      <c r="D3078" s="49"/>
    </row>
    <row r="3079" spans="2:9">
      <c r="B3079" s="42"/>
    </row>
    <row r="3081" spans="2:9" ht="15.75">
      <c r="B3081" s="35"/>
      <c r="C3081" s="54"/>
      <c r="D3081" s="35"/>
      <c r="E3081" s="33"/>
      <c r="F3081" s="35"/>
      <c r="G3081" s="39"/>
      <c r="H3081" s="35"/>
      <c r="I3081" s="39"/>
    </row>
    <row r="3082" spans="2:9" ht="15.75">
      <c r="B3082" s="35"/>
      <c r="C3082" s="54"/>
      <c r="D3082" s="35"/>
      <c r="E3082" s="36"/>
      <c r="F3082" s="35"/>
      <c r="G3082" s="39"/>
      <c r="H3082" s="35"/>
      <c r="I3082" s="39"/>
    </row>
    <row r="3083" spans="2:9" ht="15.75">
      <c r="B3083" s="35"/>
      <c r="C3083" s="40"/>
      <c r="D3083" s="35"/>
      <c r="E3083" s="40"/>
      <c r="F3083" s="35"/>
      <c r="G3083" s="38"/>
      <c r="H3083" s="35"/>
      <c r="I3083" s="38"/>
    </row>
    <row r="3084" spans="2:9" ht="15.75">
      <c r="B3084" s="35"/>
      <c r="C3084" s="54"/>
      <c r="D3084" s="35"/>
      <c r="E3084" s="36"/>
      <c r="F3084" s="35"/>
      <c r="G3084" s="39"/>
      <c r="H3084" s="35"/>
      <c r="I3084" s="38"/>
    </row>
    <row r="3085" spans="2:9" ht="15.75">
      <c r="B3085" s="53"/>
      <c r="C3085" s="54"/>
      <c r="D3085" s="35"/>
      <c r="E3085" s="36"/>
      <c r="F3085" s="35"/>
      <c r="G3085" s="39"/>
      <c r="H3085" s="35"/>
      <c r="I3085" s="39"/>
    </row>
    <row r="3086" spans="2:9">
      <c r="B3086" s="33"/>
      <c r="C3086" s="34"/>
      <c r="D3086" s="33"/>
      <c r="E3086" s="33"/>
      <c r="F3086" s="33"/>
      <c r="G3086" s="33"/>
      <c r="H3086" s="33"/>
      <c r="I3086" s="33"/>
    </row>
    <row r="3087" spans="2:9" ht="15.75">
      <c r="B3087" s="38"/>
      <c r="C3087" s="34"/>
      <c r="D3087" s="38"/>
      <c r="E3087" s="33"/>
      <c r="F3087" s="38"/>
      <c r="G3087" s="33"/>
      <c r="H3087" s="38"/>
      <c r="I3087" s="33"/>
    </row>
    <row r="3088" spans="2:9" ht="15.75">
      <c r="B3088" s="39"/>
      <c r="C3088" s="33"/>
      <c r="D3088" s="33"/>
      <c r="E3088" s="33"/>
      <c r="F3088" s="33"/>
      <c r="G3088" s="33"/>
      <c r="H3088" s="33"/>
      <c r="I3088" s="33"/>
    </row>
    <row r="3089" spans="2:9" ht="15.75">
      <c r="B3089" s="35"/>
      <c r="C3089" s="39"/>
      <c r="D3089" s="35"/>
      <c r="E3089" s="33"/>
      <c r="F3089" s="35"/>
      <c r="G3089" s="39"/>
      <c r="H3089" s="35"/>
      <c r="I3089" s="39"/>
    </row>
    <row r="3090" spans="2:9" ht="15.75">
      <c r="B3090" s="35"/>
      <c r="C3090" s="39"/>
      <c r="D3090" s="35"/>
      <c r="E3090" s="37"/>
      <c r="F3090" s="35"/>
      <c r="G3090" s="39"/>
      <c r="H3090" s="35"/>
      <c r="I3090" s="39"/>
    </row>
    <row r="3091" spans="2:9" ht="15.75">
      <c r="B3091" s="35"/>
      <c r="C3091" s="38"/>
      <c r="D3091" s="35"/>
      <c r="E3091" s="38"/>
      <c r="F3091" s="35"/>
      <c r="G3091" s="38"/>
      <c r="H3091" s="35"/>
      <c r="I3091" s="38"/>
    </row>
    <row r="3092" spans="2:9" ht="15.75">
      <c r="B3092" s="35"/>
      <c r="C3092" s="39"/>
      <c r="D3092" s="35"/>
      <c r="E3092" s="37"/>
      <c r="F3092" s="35"/>
      <c r="G3092" s="39"/>
      <c r="H3092" s="35"/>
      <c r="I3092" s="39"/>
    </row>
    <row r="3093" spans="2:9" ht="15.75">
      <c r="B3093" s="35"/>
      <c r="C3093" s="39"/>
      <c r="D3093" s="35"/>
      <c r="E3093" s="37"/>
      <c r="F3093" s="35"/>
      <c r="G3093" s="39"/>
      <c r="H3093" s="35"/>
      <c r="I3093" s="39"/>
    </row>
    <row r="3094" spans="2:9">
      <c r="B3094" s="33"/>
      <c r="C3094" s="33"/>
      <c r="D3094" s="33"/>
      <c r="E3094" s="33"/>
      <c r="F3094" s="33"/>
      <c r="G3094" s="33"/>
      <c r="H3094" s="33"/>
      <c r="I3094" s="33"/>
    </row>
    <row r="3095" spans="2:9" ht="15.75">
      <c r="B3095" s="38"/>
      <c r="C3095" s="33"/>
      <c r="D3095" s="38"/>
      <c r="E3095" s="33"/>
      <c r="F3095" s="38"/>
      <c r="G3095" s="33"/>
      <c r="H3095" s="38"/>
      <c r="I3095" s="33"/>
    </row>
    <row r="3096" spans="2:9" ht="15.75">
      <c r="B3096" s="39"/>
      <c r="C3096" s="33"/>
      <c r="D3096" s="33"/>
      <c r="E3096" s="33"/>
      <c r="F3096" s="33"/>
      <c r="G3096" s="33"/>
      <c r="H3096" s="33"/>
      <c r="I3096" s="33"/>
    </row>
    <row r="3097" spans="2:9" ht="15.75">
      <c r="B3097" s="35"/>
      <c r="C3097" s="39"/>
      <c r="D3097" s="35"/>
      <c r="E3097" s="33"/>
      <c r="F3097" s="35"/>
      <c r="G3097" s="39"/>
      <c r="H3097" s="35"/>
    </row>
    <row r="3098" spans="2:9" ht="15.75">
      <c r="B3098" s="35"/>
      <c r="C3098" s="39"/>
      <c r="D3098" s="35"/>
      <c r="E3098" s="37"/>
      <c r="F3098" s="35"/>
      <c r="G3098" s="39"/>
      <c r="H3098" s="35"/>
    </row>
    <row r="3099" spans="2:9" ht="15.75">
      <c r="B3099" s="35"/>
      <c r="C3099" s="38"/>
      <c r="D3099" s="35"/>
      <c r="E3099" s="38"/>
      <c r="F3099" s="35"/>
      <c r="G3099" s="38"/>
      <c r="H3099" s="35"/>
    </row>
    <row r="3100" spans="2:9" ht="15.75">
      <c r="B3100" s="35"/>
      <c r="C3100" s="39"/>
      <c r="D3100" s="35"/>
      <c r="E3100" s="37"/>
      <c r="F3100" s="35"/>
      <c r="G3100" s="39"/>
      <c r="H3100" s="35"/>
    </row>
    <row r="3101" spans="2:9" ht="15.75">
      <c r="B3101" s="35"/>
      <c r="C3101" s="39"/>
      <c r="D3101" s="35"/>
      <c r="E3101" s="37"/>
      <c r="F3101" s="35"/>
      <c r="G3101" s="39"/>
      <c r="H3101" s="35"/>
    </row>
    <row r="3103" spans="2:9">
      <c r="B3103" s="43"/>
      <c r="D3103" s="44"/>
    </row>
    <row r="3104" spans="2:9">
      <c r="B3104" s="45"/>
    </row>
    <row r="3105" spans="2:9">
      <c r="B3105" s="46"/>
      <c r="D3105" s="47"/>
    </row>
    <row r="3107" spans="2:9">
      <c r="B3107" s="55"/>
    </row>
    <row r="3109" spans="2:9">
      <c r="B3109" s="42"/>
    </row>
    <row r="3111" spans="2:9" ht="15.75">
      <c r="B3111" s="35"/>
      <c r="C3111" s="54"/>
      <c r="D3111" s="35"/>
      <c r="E3111" s="33"/>
      <c r="F3111" s="35"/>
      <c r="G3111" s="39"/>
      <c r="H3111" s="35"/>
      <c r="I3111" s="39"/>
    </row>
    <row r="3112" spans="2:9" ht="15.75">
      <c r="B3112" s="35"/>
      <c r="C3112" s="54"/>
      <c r="D3112" s="35"/>
      <c r="E3112" s="36"/>
      <c r="F3112" s="35"/>
      <c r="G3112" s="39"/>
      <c r="H3112" s="35"/>
      <c r="I3112" s="39"/>
    </row>
    <row r="3113" spans="2:9" ht="15.75">
      <c r="B3113" s="35"/>
      <c r="C3113" s="40"/>
      <c r="D3113" s="35"/>
      <c r="E3113" s="40"/>
      <c r="F3113" s="35"/>
      <c r="G3113" s="38"/>
      <c r="H3113" s="35"/>
      <c r="I3113" s="38"/>
    </row>
    <row r="3114" spans="2:9" ht="15.75">
      <c r="B3114" s="35"/>
      <c r="C3114" s="54"/>
      <c r="D3114" s="35"/>
      <c r="E3114" s="36"/>
      <c r="F3114" s="35"/>
      <c r="G3114" s="39"/>
      <c r="H3114" s="35"/>
      <c r="I3114" s="38"/>
    </row>
    <row r="3115" spans="2:9" ht="15.75">
      <c r="B3115" s="53"/>
      <c r="C3115" s="54"/>
      <c r="D3115" s="35"/>
      <c r="E3115" s="36"/>
      <c r="F3115" s="35"/>
      <c r="G3115" s="39"/>
      <c r="H3115" s="35"/>
      <c r="I3115" s="39"/>
    </row>
    <row r="3116" spans="2:9">
      <c r="B3116" s="33"/>
      <c r="C3116" s="34"/>
      <c r="D3116" s="33"/>
      <c r="E3116" s="33"/>
      <c r="F3116" s="33"/>
      <c r="G3116" s="33"/>
      <c r="H3116" s="33"/>
      <c r="I3116" s="33"/>
    </row>
    <row r="3117" spans="2:9" ht="15.75">
      <c r="B3117" s="38"/>
      <c r="C3117" s="34"/>
      <c r="D3117" s="38"/>
      <c r="E3117" s="33"/>
      <c r="F3117" s="38"/>
      <c r="G3117" s="33"/>
      <c r="H3117" s="38"/>
      <c r="I3117" s="33"/>
    </row>
    <row r="3118" spans="2:9" ht="15.75">
      <c r="B3118" s="39"/>
      <c r="C3118" s="33"/>
      <c r="D3118" s="33"/>
      <c r="E3118" s="33"/>
      <c r="F3118" s="33"/>
      <c r="G3118" s="33"/>
      <c r="H3118" s="33"/>
      <c r="I3118" s="33"/>
    </row>
    <row r="3119" spans="2:9" ht="15.75">
      <c r="B3119" s="35"/>
      <c r="C3119" s="39"/>
      <c r="D3119" s="35"/>
      <c r="E3119" s="33"/>
      <c r="F3119" s="35"/>
      <c r="G3119" s="39"/>
      <c r="H3119" s="35"/>
      <c r="I3119" s="39"/>
    </row>
    <row r="3120" spans="2:9" ht="15.75">
      <c r="B3120" s="35"/>
      <c r="C3120" s="39"/>
      <c r="D3120" s="35"/>
      <c r="E3120" s="37"/>
      <c r="F3120" s="35"/>
      <c r="G3120" s="39"/>
      <c r="H3120" s="35"/>
      <c r="I3120" s="39"/>
    </row>
    <row r="3121" spans="2:9" ht="15.75">
      <c r="B3121" s="35"/>
      <c r="C3121" s="38"/>
      <c r="D3121" s="35"/>
      <c r="E3121" s="38"/>
      <c r="F3121" s="35"/>
      <c r="G3121" s="38"/>
      <c r="H3121" s="35"/>
      <c r="I3121" s="38"/>
    </row>
    <row r="3122" spans="2:9" ht="15.75">
      <c r="B3122" s="35"/>
      <c r="C3122" s="39"/>
      <c r="D3122" s="35"/>
      <c r="E3122" s="37"/>
      <c r="F3122" s="35"/>
      <c r="G3122" s="39"/>
      <c r="H3122" s="35"/>
      <c r="I3122" s="39"/>
    </row>
    <row r="3123" spans="2:9" ht="15.75">
      <c r="B3123" s="35"/>
      <c r="C3123" s="39"/>
      <c r="D3123" s="35"/>
      <c r="E3123" s="37"/>
      <c r="F3123" s="35"/>
      <c r="G3123" s="39"/>
      <c r="H3123" s="35"/>
      <c r="I3123" s="39"/>
    </row>
    <row r="3124" spans="2:9">
      <c r="B3124" s="33"/>
      <c r="C3124" s="33"/>
      <c r="D3124" s="33"/>
      <c r="E3124" s="33"/>
      <c r="F3124" s="33"/>
      <c r="G3124" s="33"/>
      <c r="H3124" s="33"/>
      <c r="I3124" s="33"/>
    </row>
    <row r="3125" spans="2:9" ht="15.75">
      <c r="B3125" s="38"/>
      <c r="C3125" s="33"/>
      <c r="D3125" s="38"/>
      <c r="E3125" s="33"/>
      <c r="F3125" s="38"/>
      <c r="G3125" s="33"/>
      <c r="H3125" s="38"/>
      <c r="I3125" s="33"/>
    </row>
    <row r="3126" spans="2:9" ht="15.75">
      <c r="B3126" s="39"/>
      <c r="C3126" s="33"/>
      <c r="D3126" s="33"/>
      <c r="E3126" s="33"/>
      <c r="F3126" s="33"/>
      <c r="G3126" s="33"/>
      <c r="H3126" s="33"/>
      <c r="I3126" s="33"/>
    </row>
    <row r="3127" spans="2:9" ht="15.75">
      <c r="B3127" s="35"/>
      <c r="C3127" s="39"/>
      <c r="D3127" s="35"/>
      <c r="E3127" s="33"/>
      <c r="F3127" s="35"/>
      <c r="G3127" s="39"/>
      <c r="H3127" s="35"/>
    </row>
    <row r="3128" spans="2:9" ht="15.75">
      <c r="B3128" s="35"/>
      <c r="C3128" s="39"/>
      <c r="D3128" s="35"/>
      <c r="E3128" s="37"/>
      <c r="F3128" s="35"/>
      <c r="G3128" s="39"/>
      <c r="H3128" s="35"/>
    </row>
    <row r="3129" spans="2:9" ht="15.75">
      <c r="B3129" s="35"/>
      <c r="C3129" s="38"/>
      <c r="D3129" s="35"/>
      <c r="E3129" s="38"/>
      <c r="F3129" s="35"/>
      <c r="G3129" s="38"/>
      <c r="H3129" s="35"/>
    </row>
    <row r="3130" spans="2:9" ht="15.75">
      <c r="B3130" s="35"/>
      <c r="C3130" s="39"/>
      <c r="D3130" s="35"/>
      <c r="E3130" s="37"/>
      <c r="F3130" s="35"/>
      <c r="G3130" s="39"/>
      <c r="H3130" s="35"/>
    </row>
    <row r="3131" spans="2:9" ht="15.75">
      <c r="B3131" s="35"/>
      <c r="C3131" s="39"/>
      <c r="D3131" s="35"/>
      <c r="E3131" s="37"/>
      <c r="F3131" s="35"/>
      <c r="G3131" s="39"/>
      <c r="H3131" s="35"/>
    </row>
    <row r="3133" spans="2:9">
      <c r="B3133" s="43"/>
      <c r="D3133" s="44"/>
    </row>
    <row r="3134" spans="2:9">
      <c r="B3134" s="45"/>
    </row>
    <row r="3135" spans="2:9">
      <c r="B3135" s="46"/>
      <c r="D3135" s="47"/>
    </row>
    <row r="3137" spans="2:9">
      <c r="B3137" s="42"/>
    </row>
    <row r="3139" spans="2:9" ht="15.75">
      <c r="B3139" s="35"/>
      <c r="C3139" s="54"/>
      <c r="D3139" s="35"/>
      <c r="E3139" s="33"/>
      <c r="F3139" s="35"/>
      <c r="G3139" s="39"/>
      <c r="H3139" s="35"/>
      <c r="I3139" s="39"/>
    </row>
    <row r="3140" spans="2:9" ht="15.75">
      <c r="B3140" s="35"/>
      <c r="C3140" s="54"/>
      <c r="D3140" s="35"/>
      <c r="E3140" s="36"/>
      <c r="F3140" s="35"/>
      <c r="G3140" s="39"/>
      <c r="H3140" s="35"/>
      <c r="I3140" s="39"/>
    </row>
    <row r="3141" spans="2:9" ht="15.75">
      <c r="B3141" s="35"/>
      <c r="C3141" s="40"/>
      <c r="D3141" s="35"/>
      <c r="E3141" s="40"/>
      <c r="F3141" s="35"/>
      <c r="G3141" s="38"/>
      <c r="H3141" s="35"/>
      <c r="I3141" s="38"/>
    </row>
    <row r="3142" spans="2:9" ht="15.75">
      <c r="B3142" s="35"/>
      <c r="C3142" s="54"/>
      <c r="D3142" s="35"/>
      <c r="E3142" s="36"/>
      <c r="F3142" s="35"/>
      <c r="G3142" s="39"/>
      <c r="H3142" s="35"/>
      <c r="I3142" s="38"/>
    </row>
    <row r="3143" spans="2:9" ht="15.75">
      <c r="B3143" s="53"/>
      <c r="C3143" s="54"/>
      <c r="D3143" s="35"/>
      <c r="E3143" s="36"/>
      <c r="F3143" s="35"/>
      <c r="G3143" s="39"/>
      <c r="H3143" s="35"/>
      <c r="I3143" s="39"/>
    </row>
    <row r="3144" spans="2:9">
      <c r="B3144" s="33"/>
      <c r="C3144" s="34"/>
      <c r="D3144" s="33"/>
      <c r="E3144" s="33"/>
      <c r="F3144" s="33"/>
      <c r="G3144" s="33"/>
      <c r="H3144" s="33"/>
      <c r="I3144" s="33"/>
    </row>
    <row r="3145" spans="2:9" ht="15.75">
      <c r="B3145" s="38"/>
      <c r="C3145" s="34"/>
      <c r="D3145" s="38"/>
      <c r="E3145" s="33"/>
      <c r="F3145" s="38"/>
      <c r="G3145" s="33"/>
      <c r="H3145" s="38"/>
      <c r="I3145" s="33"/>
    </row>
    <row r="3146" spans="2:9" ht="15.75">
      <c r="B3146" s="39"/>
      <c r="C3146" s="33"/>
      <c r="D3146" s="33"/>
      <c r="E3146" s="33"/>
      <c r="F3146" s="33"/>
      <c r="G3146" s="33"/>
      <c r="H3146" s="33"/>
      <c r="I3146" s="33"/>
    </row>
    <row r="3147" spans="2:9" ht="15.75">
      <c r="B3147" s="35"/>
      <c r="C3147" s="39"/>
      <c r="D3147" s="35"/>
      <c r="E3147" s="33"/>
      <c r="F3147" s="35"/>
      <c r="G3147" s="39"/>
      <c r="H3147" s="35"/>
      <c r="I3147" s="39"/>
    </row>
    <row r="3148" spans="2:9" ht="15.75">
      <c r="B3148" s="35"/>
      <c r="C3148" s="39"/>
      <c r="D3148" s="35"/>
      <c r="E3148" s="37"/>
      <c r="F3148" s="35"/>
      <c r="G3148" s="39"/>
      <c r="H3148" s="35"/>
      <c r="I3148" s="39"/>
    </row>
    <row r="3149" spans="2:9" ht="15.75">
      <c r="B3149" s="35"/>
      <c r="C3149" s="38"/>
      <c r="D3149" s="35"/>
      <c r="E3149" s="38"/>
      <c r="F3149" s="35"/>
      <c r="G3149" s="38"/>
      <c r="H3149" s="35"/>
      <c r="I3149" s="38"/>
    </row>
    <row r="3150" spans="2:9" ht="15.75">
      <c r="B3150" s="35"/>
      <c r="C3150" s="39"/>
      <c r="D3150" s="35"/>
      <c r="E3150" s="37"/>
      <c r="F3150" s="35"/>
      <c r="G3150" s="39"/>
      <c r="H3150" s="35"/>
      <c r="I3150" s="39"/>
    </row>
    <row r="3151" spans="2:9" ht="15.75">
      <c r="B3151" s="35"/>
      <c r="C3151" s="39"/>
      <c r="D3151" s="35"/>
      <c r="E3151" s="37"/>
      <c r="F3151" s="35"/>
      <c r="G3151" s="39"/>
      <c r="H3151" s="35"/>
      <c r="I3151" s="39"/>
    </row>
    <row r="3152" spans="2:9">
      <c r="B3152" s="33"/>
      <c r="C3152" s="33"/>
      <c r="D3152" s="33"/>
      <c r="E3152" s="33"/>
      <c r="F3152" s="33"/>
      <c r="G3152" s="33"/>
      <c r="H3152" s="33"/>
      <c r="I3152" s="33"/>
    </row>
    <row r="3153" spans="2:9" ht="15.75">
      <c r="B3153" s="38"/>
      <c r="C3153" s="33"/>
      <c r="D3153" s="38"/>
      <c r="E3153" s="33"/>
      <c r="F3153" s="38"/>
      <c r="G3153" s="33"/>
      <c r="H3153" s="38"/>
      <c r="I3153" s="33"/>
    </row>
    <row r="3154" spans="2:9" ht="15.75">
      <c r="B3154" s="39"/>
      <c r="C3154" s="33"/>
      <c r="D3154" s="33"/>
      <c r="E3154" s="33"/>
      <c r="F3154" s="33"/>
      <c r="G3154" s="33"/>
      <c r="H3154" s="33"/>
      <c r="I3154" s="33"/>
    </row>
    <row r="3155" spans="2:9" ht="15.75">
      <c r="B3155" s="35"/>
      <c r="C3155" s="39"/>
      <c r="D3155" s="35"/>
      <c r="E3155" s="33"/>
      <c r="F3155" s="35"/>
      <c r="G3155" s="39"/>
      <c r="H3155" s="35"/>
    </row>
    <row r="3156" spans="2:9" ht="15.75">
      <c r="B3156" s="35"/>
      <c r="C3156" s="39"/>
      <c r="D3156" s="35"/>
      <c r="E3156" s="37"/>
      <c r="F3156" s="35"/>
      <c r="G3156" s="39"/>
      <c r="H3156" s="35"/>
    </row>
    <row r="3157" spans="2:9" ht="15.75">
      <c r="B3157" s="35"/>
      <c r="C3157" s="38"/>
      <c r="D3157" s="35"/>
      <c r="E3157" s="38"/>
      <c r="F3157" s="35"/>
      <c r="G3157" s="38"/>
      <c r="H3157" s="35"/>
    </row>
    <row r="3158" spans="2:9" ht="15.75">
      <c r="B3158" s="35"/>
      <c r="C3158" s="39"/>
      <c r="D3158" s="35"/>
      <c r="E3158" s="37"/>
      <c r="F3158" s="35"/>
      <c r="G3158" s="39"/>
      <c r="H3158" s="35"/>
    </row>
    <row r="3159" spans="2:9" ht="15.75">
      <c r="B3159" s="35"/>
      <c r="C3159" s="39"/>
      <c r="D3159" s="35"/>
      <c r="E3159" s="37"/>
      <c r="F3159" s="35"/>
      <c r="G3159" s="39"/>
      <c r="H3159" s="35"/>
    </row>
    <row r="3161" spans="2:9">
      <c r="B3161" s="43"/>
      <c r="D3161" s="44"/>
    </row>
    <row r="3162" spans="2:9">
      <c r="B3162" s="45"/>
    </row>
    <row r="3163" spans="2:9">
      <c r="B3163" s="46"/>
      <c r="D3163" s="47"/>
    </row>
    <row r="3165" spans="2:9">
      <c r="B3165" s="42"/>
    </row>
    <row r="3167" spans="2:9" ht="15.75">
      <c r="B3167" s="35"/>
      <c r="C3167" s="54"/>
      <c r="D3167" s="35"/>
      <c r="E3167" s="33"/>
      <c r="F3167" s="35"/>
      <c r="G3167" s="39"/>
      <c r="H3167" s="35"/>
      <c r="I3167" s="39"/>
    </row>
    <row r="3168" spans="2:9" ht="15.75">
      <c r="B3168" s="35"/>
      <c r="C3168" s="54"/>
      <c r="D3168" s="35"/>
      <c r="E3168" s="36"/>
      <c r="F3168" s="35"/>
      <c r="G3168" s="39"/>
      <c r="H3168" s="35"/>
      <c r="I3168" s="39"/>
    </row>
    <row r="3169" spans="2:9" ht="15.75">
      <c r="B3169" s="35"/>
      <c r="C3169" s="40"/>
      <c r="D3169" s="35"/>
      <c r="E3169" s="40"/>
      <c r="F3169" s="35"/>
      <c r="G3169" s="38"/>
      <c r="H3169" s="35"/>
      <c r="I3169" s="38"/>
    </row>
    <row r="3170" spans="2:9" ht="15.75">
      <c r="B3170" s="35"/>
      <c r="C3170" s="54"/>
      <c r="D3170" s="35"/>
      <c r="E3170" s="36"/>
      <c r="F3170" s="35"/>
      <c r="G3170" s="39"/>
      <c r="H3170" s="35"/>
      <c r="I3170" s="38"/>
    </row>
    <row r="3171" spans="2:9" ht="15.75">
      <c r="B3171" s="53"/>
      <c r="C3171" s="54"/>
      <c r="D3171" s="35"/>
      <c r="E3171" s="36"/>
      <c r="F3171" s="35"/>
      <c r="G3171" s="39"/>
      <c r="H3171" s="35"/>
      <c r="I3171" s="39"/>
    </row>
    <row r="3172" spans="2:9">
      <c r="B3172" s="33"/>
      <c r="C3172" s="34"/>
      <c r="D3172" s="33"/>
      <c r="E3172" s="33"/>
      <c r="F3172" s="33"/>
      <c r="G3172" s="33"/>
      <c r="H3172" s="33"/>
      <c r="I3172" s="33"/>
    </row>
    <row r="3173" spans="2:9" ht="15.75">
      <c r="B3173" s="38"/>
      <c r="C3173" s="34"/>
      <c r="D3173" s="38"/>
      <c r="E3173" s="33"/>
      <c r="F3173" s="38"/>
      <c r="G3173" s="33"/>
      <c r="H3173" s="38"/>
      <c r="I3173" s="33"/>
    </row>
    <row r="3174" spans="2:9" ht="15.75">
      <c r="B3174" s="39"/>
      <c r="C3174" s="33"/>
      <c r="D3174" s="33"/>
      <c r="E3174" s="33"/>
      <c r="F3174" s="33"/>
      <c r="G3174" s="33"/>
      <c r="H3174" s="33"/>
      <c r="I3174" s="33"/>
    </row>
    <row r="3175" spans="2:9" ht="15.75">
      <c r="B3175" s="35"/>
      <c r="C3175" s="39"/>
      <c r="D3175" s="35"/>
      <c r="E3175" s="33"/>
      <c r="F3175" s="35"/>
      <c r="G3175" s="39"/>
      <c r="H3175" s="35"/>
      <c r="I3175" s="39"/>
    </row>
    <row r="3176" spans="2:9" ht="15.75">
      <c r="B3176" s="35"/>
      <c r="C3176" s="39"/>
      <c r="D3176" s="35"/>
      <c r="E3176" s="37"/>
      <c r="F3176" s="35"/>
      <c r="G3176" s="39"/>
      <c r="H3176" s="35"/>
      <c r="I3176" s="39"/>
    </row>
    <row r="3177" spans="2:9" ht="15.75">
      <c r="B3177" s="35"/>
      <c r="C3177" s="38"/>
      <c r="D3177" s="35"/>
      <c r="E3177" s="38"/>
      <c r="F3177" s="35"/>
      <c r="G3177" s="38"/>
      <c r="H3177" s="35"/>
      <c r="I3177" s="38"/>
    </row>
    <row r="3178" spans="2:9" ht="15.75">
      <c r="B3178" s="35"/>
      <c r="C3178" s="39"/>
      <c r="D3178" s="35"/>
      <c r="E3178" s="37"/>
      <c r="F3178" s="35"/>
      <c r="G3178" s="39"/>
      <c r="H3178" s="35"/>
      <c r="I3178" s="39"/>
    </row>
    <row r="3179" spans="2:9" ht="15.75">
      <c r="B3179" s="35"/>
      <c r="C3179" s="39"/>
      <c r="D3179" s="35"/>
      <c r="E3179" s="37"/>
      <c r="F3179" s="35"/>
      <c r="G3179" s="39"/>
      <c r="H3179" s="35"/>
      <c r="I3179" s="39"/>
    </row>
    <row r="3180" spans="2:9">
      <c r="B3180" s="33"/>
      <c r="C3180" s="33"/>
      <c r="D3180" s="33"/>
      <c r="E3180" s="33"/>
      <c r="F3180" s="33"/>
      <c r="G3180" s="33"/>
      <c r="H3180" s="33"/>
      <c r="I3180" s="33"/>
    </row>
    <row r="3181" spans="2:9" ht="15.75">
      <c r="B3181" s="38"/>
      <c r="C3181" s="33"/>
      <c r="D3181" s="38"/>
      <c r="E3181" s="33"/>
      <c r="F3181" s="38"/>
      <c r="G3181" s="33"/>
      <c r="H3181" s="38"/>
      <c r="I3181" s="33"/>
    </row>
    <row r="3182" spans="2:9" ht="15.75">
      <c r="B3182" s="39"/>
      <c r="C3182" s="33"/>
      <c r="D3182" s="33"/>
      <c r="E3182" s="33"/>
      <c r="F3182" s="33"/>
      <c r="G3182" s="33"/>
      <c r="H3182" s="33"/>
      <c r="I3182" s="33"/>
    </row>
    <row r="3183" spans="2:9" ht="15.75">
      <c r="B3183" s="35"/>
      <c r="C3183" s="39"/>
      <c r="D3183" s="35"/>
      <c r="E3183" s="33"/>
      <c r="F3183" s="35"/>
      <c r="G3183" s="39"/>
      <c r="H3183" s="35"/>
    </row>
    <row r="3184" spans="2:9" ht="15.75">
      <c r="B3184" s="35"/>
      <c r="C3184" s="39"/>
      <c r="D3184" s="35"/>
      <c r="E3184" s="37"/>
      <c r="F3184" s="35"/>
      <c r="G3184" s="39"/>
      <c r="H3184" s="35"/>
    </row>
    <row r="3185" spans="2:9" ht="15.75">
      <c r="B3185" s="35"/>
      <c r="C3185" s="38"/>
      <c r="D3185" s="35"/>
      <c r="E3185" s="38"/>
      <c r="F3185" s="35"/>
      <c r="G3185" s="38"/>
      <c r="H3185" s="35"/>
    </row>
    <row r="3186" spans="2:9" ht="15.75">
      <c r="B3186" s="35"/>
      <c r="C3186" s="39"/>
      <c r="D3186" s="35"/>
      <c r="E3186" s="37"/>
      <c r="F3186" s="35"/>
      <c r="G3186" s="39"/>
      <c r="H3186" s="35"/>
    </row>
    <row r="3187" spans="2:9" ht="15.75">
      <c r="B3187" s="35"/>
      <c r="C3187" s="39"/>
      <c r="D3187" s="35"/>
      <c r="E3187" s="37"/>
      <c r="F3187" s="35"/>
      <c r="G3187" s="39"/>
      <c r="H3187" s="35"/>
    </row>
    <row r="3189" spans="2:9">
      <c r="B3189" s="43"/>
      <c r="D3189" s="44"/>
    </row>
    <row r="3190" spans="2:9">
      <c r="B3190" s="45"/>
    </row>
    <row r="3191" spans="2:9">
      <c r="B3191" s="46"/>
      <c r="D3191" s="47"/>
    </row>
    <row r="3193" spans="2:9">
      <c r="B3193" s="42"/>
    </row>
    <row r="3195" spans="2:9" ht="15.75">
      <c r="B3195" s="35"/>
      <c r="C3195" s="54"/>
      <c r="D3195" s="35"/>
      <c r="E3195" s="33"/>
      <c r="F3195" s="35"/>
      <c r="G3195" s="39"/>
      <c r="H3195" s="35"/>
      <c r="I3195" s="39"/>
    </row>
    <row r="3196" spans="2:9" ht="15.75">
      <c r="B3196" s="35"/>
      <c r="C3196" s="54"/>
      <c r="D3196" s="35"/>
      <c r="E3196" s="36"/>
      <c r="F3196" s="35"/>
      <c r="G3196" s="39"/>
      <c r="H3196" s="35"/>
      <c r="I3196" s="39"/>
    </row>
    <row r="3197" spans="2:9" ht="15.75">
      <c r="B3197" s="35"/>
      <c r="C3197" s="40"/>
      <c r="D3197" s="35"/>
      <c r="E3197" s="40"/>
      <c r="F3197" s="35"/>
      <c r="G3197" s="38"/>
      <c r="H3197" s="35"/>
      <c r="I3197" s="38"/>
    </row>
    <row r="3198" spans="2:9" ht="15.75">
      <c r="B3198" s="35"/>
      <c r="C3198" s="54"/>
      <c r="D3198" s="35"/>
      <c r="E3198" s="36"/>
      <c r="F3198" s="35"/>
      <c r="G3198" s="39"/>
      <c r="H3198" s="35"/>
      <c r="I3198" s="38"/>
    </row>
    <row r="3199" spans="2:9" ht="15.75">
      <c r="B3199" s="53"/>
      <c r="C3199" s="54"/>
      <c r="D3199" s="35"/>
      <c r="E3199" s="36"/>
      <c r="F3199" s="35"/>
      <c r="G3199" s="39"/>
      <c r="H3199" s="35"/>
      <c r="I3199" s="39"/>
    </row>
    <row r="3200" spans="2:9">
      <c r="B3200" s="33"/>
      <c r="C3200" s="34"/>
      <c r="D3200" s="33"/>
      <c r="E3200" s="33"/>
      <c r="F3200" s="33"/>
      <c r="G3200" s="33"/>
      <c r="H3200" s="33"/>
      <c r="I3200" s="33"/>
    </row>
    <row r="3201" spans="2:9" ht="15.75">
      <c r="B3201" s="38"/>
      <c r="C3201" s="34"/>
      <c r="D3201" s="38"/>
      <c r="E3201" s="33"/>
      <c r="F3201" s="38"/>
      <c r="G3201" s="33"/>
      <c r="H3201" s="38"/>
      <c r="I3201" s="33"/>
    </row>
    <row r="3202" spans="2:9" ht="15.75">
      <c r="B3202" s="39"/>
      <c r="C3202" s="33"/>
      <c r="D3202" s="33"/>
      <c r="E3202" s="33"/>
      <c r="F3202" s="33"/>
      <c r="G3202" s="33"/>
      <c r="H3202" s="33"/>
      <c r="I3202" s="33"/>
    </row>
    <row r="3203" spans="2:9" ht="15.75">
      <c r="B3203" s="35"/>
      <c r="C3203" s="39"/>
      <c r="D3203" s="35"/>
      <c r="E3203" s="33"/>
      <c r="F3203" s="35"/>
      <c r="G3203" s="39"/>
      <c r="H3203" s="35"/>
      <c r="I3203" s="39"/>
    </row>
    <row r="3204" spans="2:9" ht="15.75">
      <c r="B3204" s="35"/>
      <c r="C3204" s="39"/>
      <c r="D3204" s="35"/>
      <c r="E3204" s="37"/>
      <c r="F3204" s="35"/>
      <c r="G3204" s="39"/>
      <c r="H3204" s="35"/>
      <c r="I3204" s="39"/>
    </row>
    <row r="3205" spans="2:9" ht="15.75">
      <c r="B3205" s="35"/>
      <c r="C3205" s="38"/>
      <c r="D3205" s="35"/>
      <c r="E3205" s="38"/>
      <c r="F3205" s="35"/>
      <c r="G3205" s="38"/>
      <c r="H3205" s="35"/>
      <c r="I3205" s="38"/>
    </row>
    <row r="3206" spans="2:9" ht="15.75">
      <c r="B3206" s="35"/>
      <c r="C3206" s="39"/>
      <c r="D3206" s="35"/>
      <c r="E3206" s="37"/>
      <c r="F3206" s="35"/>
      <c r="G3206" s="39"/>
      <c r="H3206" s="35"/>
      <c r="I3206" s="39"/>
    </row>
    <row r="3207" spans="2:9" ht="15.75">
      <c r="B3207" s="35"/>
      <c r="C3207" s="39"/>
      <c r="D3207" s="35"/>
      <c r="E3207" s="37"/>
      <c r="F3207" s="35"/>
      <c r="G3207" s="39"/>
      <c r="H3207" s="35"/>
      <c r="I3207" s="39"/>
    </row>
    <row r="3208" spans="2:9">
      <c r="B3208" s="33"/>
      <c r="C3208" s="33"/>
      <c r="D3208" s="33"/>
      <c r="E3208" s="33"/>
      <c r="F3208" s="33"/>
      <c r="G3208" s="33"/>
      <c r="H3208" s="33"/>
      <c r="I3208" s="33"/>
    </row>
    <row r="3209" spans="2:9" ht="15.75">
      <c r="B3209" s="38"/>
      <c r="C3209" s="33"/>
      <c r="D3209" s="38"/>
      <c r="E3209" s="33"/>
      <c r="F3209" s="38"/>
      <c r="G3209" s="33"/>
      <c r="H3209" s="38"/>
      <c r="I3209" s="33"/>
    </row>
    <row r="3210" spans="2:9" ht="15.75">
      <c r="B3210" s="39"/>
      <c r="C3210" s="33"/>
      <c r="D3210" s="33"/>
      <c r="E3210" s="33"/>
      <c r="F3210" s="33"/>
      <c r="G3210" s="33"/>
      <c r="H3210" s="33"/>
      <c r="I3210" s="33"/>
    </row>
    <row r="3211" spans="2:9" ht="15.75">
      <c r="B3211" s="35"/>
      <c r="C3211" s="39"/>
      <c r="D3211" s="35"/>
      <c r="E3211" s="33"/>
      <c r="F3211" s="35"/>
      <c r="G3211" s="39"/>
      <c r="H3211" s="35"/>
    </row>
    <row r="3212" spans="2:9" ht="15.75">
      <c r="B3212" s="35"/>
      <c r="C3212" s="39"/>
      <c r="D3212" s="35"/>
      <c r="E3212" s="37"/>
      <c r="F3212" s="35"/>
      <c r="G3212" s="39"/>
      <c r="H3212" s="35"/>
    </row>
    <row r="3213" spans="2:9" ht="15.75">
      <c r="B3213" s="35"/>
      <c r="C3213" s="38"/>
      <c r="D3213" s="35"/>
      <c r="E3213" s="38"/>
      <c r="F3213" s="35"/>
      <c r="G3213" s="38"/>
      <c r="H3213" s="35"/>
    </row>
    <row r="3214" spans="2:9" ht="15.75">
      <c r="B3214" s="35"/>
      <c r="C3214" s="39"/>
      <c r="D3214" s="35"/>
      <c r="E3214" s="37"/>
      <c r="F3214" s="35"/>
      <c r="G3214" s="39"/>
      <c r="H3214" s="35"/>
    </row>
    <row r="3215" spans="2:9" ht="15.75">
      <c r="B3215" s="35"/>
      <c r="C3215" s="39"/>
      <c r="D3215" s="35"/>
      <c r="E3215" s="37"/>
      <c r="F3215" s="35"/>
      <c r="G3215" s="39"/>
      <c r="H3215" s="35"/>
    </row>
    <row r="3217" spans="2:9">
      <c r="B3217" s="43"/>
      <c r="D3217" s="44"/>
    </row>
    <row r="3218" spans="2:9">
      <c r="B3218" s="45"/>
    </row>
    <row r="3219" spans="2:9">
      <c r="B3219" s="46"/>
      <c r="D3219" s="47"/>
    </row>
    <row r="3221" spans="2:9">
      <c r="B3221" s="42"/>
    </row>
    <row r="3223" spans="2:9" ht="15.75">
      <c r="B3223" s="35"/>
      <c r="C3223" s="54"/>
      <c r="D3223" s="35"/>
      <c r="E3223" s="33"/>
      <c r="F3223" s="35"/>
      <c r="G3223" s="39"/>
      <c r="H3223" s="35"/>
      <c r="I3223" s="39"/>
    </row>
    <row r="3224" spans="2:9" ht="15.75">
      <c r="B3224" s="35"/>
      <c r="C3224" s="54"/>
      <c r="D3224" s="35"/>
      <c r="E3224" s="36"/>
      <c r="F3224" s="35"/>
      <c r="G3224" s="39"/>
      <c r="H3224" s="35"/>
      <c r="I3224" s="39"/>
    </row>
    <row r="3225" spans="2:9" ht="15.75">
      <c r="B3225" s="35"/>
      <c r="C3225" s="40"/>
      <c r="D3225" s="35"/>
      <c r="E3225" s="40"/>
      <c r="F3225" s="35"/>
      <c r="G3225" s="38"/>
      <c r="H3225" s="35"/>
      <c r="I3225" s="38"/>
    </row>
    <row r="3226" spans="2:9" ht="15.75">
      <c r="B3226" s="35"/>
      <c r="C3226" s="54"/>
      <c r="D3226" s="35"/>
      <c r="E3226" s="36"/>
      <c r="F3226" s="35"/>
      <c r="G3226" s="39"/>
      <c r="H3226" s="35"/>
      <c r="I3226" s="38"/>
    </row>
    <row r="3227" spans="2:9" ht="15.75">
      <c r="B3227" s="53"/>
      <c r="C3227" s="54"/>
      <c r="D3227" s="35"/>
      <c r="E3227" s="36"/>
      <c r="F3227" s="35"/>
      <c r="G3227" s="39"/>
      <c r="H3227" s="35"/>
      <c r="I3227" s="39"/>
    </row>
    <row r="3228" spans="2:9">
      <c r="B3228" s="33"/>
      <c r="C3228" s="34"/>
      <c r="D3228" s="33"/>
      <c r="E3228" s="33"/>
      <c r="F3228" s="33"/>
      <c r="G3228" s="33"/>
      <c r="H3228" s="33"/>
      <c r="I3228" s="33"/>
    </row>
    <row r="3229" spans="2:9" ht="15.75">
      <c r="B3229" s="38"/>
      <c r="C3229" s="34"/>
      <c r="D3229" s="38"/>
      <c r="E3229" s="33"/>
      <c r="F3229" s="38"/>
      <c r="G3229" s="33"/>
      <c r="H3229" s="38"/>
      <c r="I3229" s="33"/>
    </row>
    <row r="3230" spans="2:9" ht="15.75">
      <c r="B3230" s="39"/>
      <c r="C3230" s="33"/>
      <c r="D3230" s="33"/>
      <c r="E3230" s="33"/>
      <c r="F3230" s="33"/>
      <c r="G3230" s="33"/>
      <c r="H3230" s="33"/>
      <c r="I3230" s="33"/>
    </row>
    <row r="3231" spans="2:9" ht="15.75">
      <c r="B3231" s="35"/>
      <c r="C3231" s="39"/>
      <c r="D3231" s="35"/>
      <c r="E3231" s="33"/>
      <c r="F3231" s="35"/>
      <c r="G3231" s="39"/>
      <c r="H3231" s="35"/>
      <c r="I3231" s="39"/>
    </row>
    <row r="3232" spans="2:9" ht="15.75">
      <c r="B3232" s="35"/>
      <c r="C3232" s="39"/>
      <c r="D3232" s="35"/>
      <c r="E3232" s="37"/>
      <c r="F3232" s="35"/>
      <c r="G3232" s="39"/>
      <c r="H3232" s="35"/>
      <c r="I3232" s="39"/>
    </row>
    <row r="3233" spans="2:9" ht="15.75">
      <c r="B3233" s="35"/>
      <c r="C3233" s="38"/>
      <c r="D3233" s="35"/>
      <c r="E3233" s="38"/>
      <c r="F3233" s="35"/>
      <c r="G3233" s="38"/>
      <c r="H3233" s="35"/>
      <c r="I3233" s="38"/>
    </row>
    <row r="3234" spans="2:9" ht="15.75">
      <c r="B3234" s="35"/>
      <c r="C3234" s="39"/>
      <c r="D3234" s="35"/>
      <c r="E3234" s="37"/>
      <c r="F3234" s="35"/>
      <c r="G3234" s="39"/>
      <c r="H3234" s="35"/>
      <c r="I3234" s="39"/>
    </row>
    <row r="3235" spans="2:9" ht="15.75">
      <c r="B3235" s="35"/>
      <c r="C3235" s="39"/>
      <c r="D3235" s="35"/>
      <c r="E3235" s="37"/>
      <c r="F3235" s="35"/>
      <c r="G3235" s="39"/>
      <c r="H3235" s="35"/>
      <c r="I3235" s="39"/>
    </row>
    <row r="3236" spans="2:9">
      <c r="B3236" s="33"/>
      <c r="C3236" s="33"/>
      <c r="D3236" s="33"/>
      <c r="E3236" s="33"/>
      <c r="F3236" s="33"/>
      <c r="G3236" s="33"/>
      <c r="H3236" s="33"/>
      <c r="I3236" s="33"/>
    </row>
    <row r="3237" spans="2:9" ht="15.75">
      <c r="B3237" s="38"/>
      <c r="C3237" s="33"/>
      <c r="D3237" s="38"/>
      <c r="E3237" s="33"/>
      <c r="F3237" s="38"/>
      <c r="G3237" s="33"/>
      <c r="H3237" s="38"/>
      <c r="I3237" s="33"/>
    </row>
    <row r="3238" spans="2:9" ht="15.75">
      <c r="B3238" s="39"/>
      <c r="C3238" s="33"/>
      <c r="D3238" s="33"/>
      <c r="E3238" s="33"/>
      <c r="F3238" s="33"/>
      <c r="G3238" s="33"/>
      <c r="H3238" s="33"/>
      <c r="I3238" s="33"/>
    </row>
    <row r="3239" spans="2:9" ht="15.75">
      <c r="B3239" s="35"/>
      <c r="C3239" s="39"/>
      <c r="D3239" s="35"/>
      <c r="E3239" s="33"/>
      <c r="F3239" s="35"/>
      <c r="G3239" s="39"/>
      <c r="H3239" s="35"/>
    </row>
    <row r="3240" spans="2:9" ht="15.75">
      <c r="B3240" s="35"/>
      <c r="C3240" s="39"/>
      <c r="D3240" s="35"/>
      <c r="E3240" s="37"/>
      <c r="F3240" s="35"/>
      <c r="G3240" s="39"/>
      <c r="H3240" s="35"/>
    </row>
    <row r="3241" spans="2:9" ht="15.75">
      <c r="B3241" s="35"/>
      <c r="C3241" s="38"/>
      <c r="D3241" s="35"/>
      <c r="E3241" s="38"/>
      <c r="F3241" s="35"/>
      <c r="G3241" s="38"/>
      <c r="H3241" s="35"/>
    </row>
    <row r="3242" spans="2:9" ht="15.75">
      <c r="B3242" s="35"/>
      <c r="C3242" s="39"/>
      <c r="D3242" s="35"/>
      <c r="E3242" s="37"/>
      <c r="F3242" s="35"/>
      <c r="G3242" s="39"/>
      <c r="H3242" s="35"/>
    </row>
    <row r="3243" spans="2:9" ht="15.75">
      <c r="B3243" s="35"/>
      <c r="C3243" s="39"/>
      <c r="D3243" s="35"/>
      <c r="E3243" s="37"/>
      <c r="F3243" s="35"/>
      <c r="G3243" s="39"/>
      <c r="H3243" s="35"/>
    </row>
    <row r="3245" spans="2:9">
      <c r="B3245" s="43"/>
      <c r="D3245" s="44"/>
    </row>
    <row r="3246" spans="2:9">
      <c r="B3246" s="45"/>
    </row>
    <row r="3247" spans="2:9">
      <c r="B3247" s="46"/>
      <c r="D3247" s="47"/>
    </row>
    <row r="3249" spans="2:9">
      <c r="B3249" s="42"/>
    </row>
    <row r="3251" spans="2:9" ht="15.75">
      <c r="B3251" s="35"/>
      <c r="C3251" s="54"/>
      <c r="D3251" s="35"/>
      <c r="E3251" s="33"/>
      <c r="F3251" s="35"/>
      <c r="G3251" s="39"/>
      <c r="H3251" s="35"/>
      <c r="I3251" s="39"/>
    </row>
    <row r="3252" spans="2:9" ht="15.75">
      <c r="B3252" s="35"/>
      <c r="C3252" s="54"/>
      <c r="D3252" s="35"/>
      <c r="E3252" s="36"/>
      <c r="F3252" s="35"/>
      <c r="G3252" s="39"/>
      <c r="H3252" s="35"/>
      <c r="I3252" s="39"/>
    </row>
    <row r="3253" spans="2:9" ht="15.75">
      <c r="B3253" s="35"/>
      <c r="C3253" s="40"/>
      <c r="D3253" s="35"/>
      <c r="E3253" s="40"/>
      <c r="F3253" s="35"/>
      <c r="G3253" s="38"/>
      <c r="H3253" s="35"/>
      <c r="I3253" s="38"/>
    </row>
    <row r="3254" spans="2:9" ht="15.75">
      <c r="B3254" s="35"/>
      <c r="C3254" s="54"/>
      <c r="D3254" s="35"/>
      <c r="E3254" s="36"/>
      <c r="F3254" s="35"/>
      <c r="G3254" s="39"/>
      <c r="H3254" s="35"/>
      <c r="I3254" s="38"/>
    </row>
    <row r="3255" spans="2:9" ht="15.75">
      <c r="B3255" s="53"/>
      <c r="C3255" s="54"/>
      <c r="D3255" s="35"/>
      <c r="E3255" s="36"/>
      <c r="F3255" s="35"/>
      <c r="G3255" s="39"/>
      <c r="H3255" s="35"/>
      <c r="I3255" s="39"/>
    </row>
    <row r="3256" spans="2:9">
      <c r="B3256" s="33"/>
      <c r="C3256" s="34"/>
      <c r="D3256" s="33"/>
      <c r="E3256" s="33"/>
      <c r="F3256" s="33"/>
      <c r="G3256" s="33"/>
      <c r="H3256" s="33"/>
      <c r="I3256" s="33"/>
    </row>
    <row r="3257" spans="2:9" ht="15.75">
      <c r="B3257" s="38"/>
      <c r="C3257" s="34"/>
      <c r="D3257" s="38"/>
      <c r="E3257" s="33"/>
      <c r="F3257" s="38"/>
      <c r="G3257" s="33"/>
      <c r="H3257" s="38"/>
      <c r="I3257" s="33"/>
    </row>
    <row r="3258" spans="2:9" ht="15.75">
      <c r="B3258" s="39"/>
      <c r="C3258" s="33"/>
      <c r="D3258" s="33"/>
      <c r="E3258" s="33"/>
      <c r="F3258" s="33"/>
      <c r="G3258" s="33"/>
      <c r="H3258" s="33"/>
      <c r="I3258" s="33"/>
    </row>
    <row r="3259" spans="2:9" ht="15.75">
      <c r="B3259" s="35"/>
      <c r="C3259" s="39"/>
      <c r="D3259" s="35"/>
      <c r="E3259" s="33"/>
      <c r="F3259" s="35"/>
      <c r="G3259" s="39"/>
      <c r="H3259" s="35"/>
      <c r="I3259" s="39"/>
    </row>
    <row r="3260" spans="2:9" ht="15.75">
      <c r="B3260" s="35"/>
      <c r="C3260" s="39"/>
      <c r="D3260" s="35"/>
      <c r="E3260" s="37"/>
      <c r="F3260" s="35"/>
      <c r="G3260" s="39"/>
      <c r="H3260" s="35"/>
      <c r="I3260" s="39"/>
    </row>
    <row r="3261" spans="2:9" ht="15.75">
      <c r="B3261" s="35"/>
      <c r="C3261" s="38"/>
      <c r="D3261" s="35"/>
      <c r="E3261" s="38"/>
      <c r="F3261" s="35"/>
      <c r="G3261" s="38"/>
      <c r="H3261" s="35"/>
      <c r="I3261" s="38"/>
    </row>
    <row r="3262" spans="2:9" ht="15.75">
      <c r="B3262" s="35"/>
      <c r="C3262" s="39"/>
      <c r="D3262" s="35"/>
      <c r="E3262" s="37"/>
      <c r="F3262" s="35"/>
      <c r="G3262" s="39"/>
      <c r="H3262" s="35"/>
      <c r="I3262" s="39"/>
    </row>
    <row r="3263" spans="2:9" ht="15.75">
      <c r="B3263" s="35"/>
      <c r="C3263" s="39"/>
      <c r="D3263" s="35"/>
      <c r="E3263" s="37"/>
      <c r="F3263" s="35"/>
      <c r="G3263" s="39"/>
      <c r="H3263" s="35"/>
      <c r="I3263" s="39"/>
    </row>
    <row r="3264" spans="2:9">
      <c r="B3264" s="33"/>
      <c r="C3264" s="33"/>
      <c r="D3264" s="33"/>
      <c r="E3264" s="33"/>
      <c r="F3264" s="33"/>
      <c r="G3264" s="33"/>
      <c r="H3264" s="33"/>
      <c r="I3264" s="33"/>
    </row>
    <row r="3265" spans="2:9" ht="15.75">
      <c r="B3265" s="38"/>
      <c r="C3265" s="33"/>
      <c r="D3265" s="38"/>
      <c r="E3265" s="33"/>
      <c r="F3265" s="38"/>
      <c r="G3265" s="33"/>
      <c r="H3265" s="38"/>
      <c r="I3265" s="33"/>
    </row>
    <row r="3266" spans="2:9" ht="15.75">
      <c r="B3266" s="39"/>
      <c r="C3266" s="33"/>
      <c r="D3266" s="33"/>
      <c r="E3266" s="33"/>
      <c r="F3266" s="33"/>
      <c r="G3266" s="33"/>
      <c r="H3266" s="33"/>
      <c r="I3266" s="33"/>
    </row>
    <row r="3267" spans="2:9" ht="15.75">
      <c r="B3267" s="35"/>
      <c r="C3267" s="39"/>
      <c r="D3267" s="35"/>
      <c r="E3267" s="33"/>
      <c r="F3267" s="35"/>
      <c r="G3267" s="39"/>
      <c r="H3267" s="35"/>
    </row>
    <row r="3268" spans="2:9" ht="15.75">
      <c r="B3268" s="35"/>
      <c r="C3268" s="39"/>
      <c r="D3268" s="35"/>
      <c r="E3268" s="37"/>
      <c r="F3268" s="35"/>
      <c r="G3268" s="39"/>
      <c r="H3268" s="35"/>
    </row>
    <row r="3269" spans="2:9" ht="15.75">
      <c r="B3269" s="35"/>
      <c r="C3269" s="38"/>
      <c r="D3269" s="35"/>
      <c r="E3269" s="38"/>
      <c r="F3269" s="35"/>
      <c r="G3269" s="38"/>
      <c r="H3269" s="35"/>
    </row>
    <row r="3270" spans="2:9" ht="15.75">
      <c r="B3270" s="35"/>
      <c r="C3270" s="39"/>
      <c r="D3270" s="35"/>
      <c r="E3270" s="37"/>
      <c r="F3270" s="35"/>
      <c r="G3270" s="39"/>
      <c r="H3270" s="35"/>
    </row>
    <row r="3271" spans="2:9" ht="15.75">
      <c r="B3271" s="35"/>
      <c r="C3271" s="39"/>
      <c r="D3271" s="35"/>
      <c r="E3271" s="37"/>
      <c r="F3271" s="35"/>
      <c r="G3271" s="39"/>
      <c r="H3271" s="35"/>
    </row>
    <row r="3273" spans="2:9">
      <c r="B3273" s="43"/>
      <c r="D3273" s="44"/>
    </row>
    <row r="3274" spans="2:9">
      <c r="B3274" s="45"/>
    </row>
    <row r="3275" spans="2:9">
      <c r="B3275" s="46"/>
      <c r="D3275" s="47"/>
    </row>
    <row r="3277" spans="2:9">
      <c r="B3277" s="42"/>
    </row>
    <row r="3279" spans="2:9" ht="15.75">
      <c r="B3279" s="35"/>
      <c r="C3279" s="54"/>
      <c r="D3279" s="35"/>
      <c r="E3279" s="33"/>
      <c r="F3279" s="35"/>
      <c r="G3279" s="39"/>
      <c r="H3279" s="35"/>
      <c r="I3279" s="39"/>
    </row>
    <row r="3280" spans="2:9" ht="15.75">
      <c r="B3280" s="35"/>
      <c r="C3280" s="54"/>
      <c r="D3280" s="35"/>
      <c r="E3280" s="36"/>
      <c r="F3280" s="35"/>
      <c r="G3280" s="39"/>
      <c r="H3280" s="35"/>
      <c r="I3280" s="39"/>
    </row>
    <row r="3281" spans="2:9" ht="15.75">
      <c r="B3281" s="35"/>
      <c r="C3281" s="40"/>
      <c r="D3281" s="35"/>
      <c r="E3281" s="40"/>
      <c r="F3281" s="35"/>
      <c r="G3281" s="38"/>
      <c r="H3281" s="35"/>
      <c r="I3281" s="38"/>
    </row>
    <row r="3282" spans="2:9" ht="15.75">
      <c r="B3282" s="35"/>
      <c r="C3282" s="54"/>
      <c r="D3282" s="35"/>
      <c r="E3282" s="36"/>
      <c r="F3282" s="35"/>
      <c r="G3282" s="39"/>
      <c r="H3282" s="35"/>
      <c r="I3282" s="38"/>
    </row>
    <row r="3283" spans="2:9" ht="15.75">
      <c r="B3283" s="53"/>
      <c r="C3283" s="54"/>
      <c r="D3283" s="35"/>
      <c r="E3283" s="36"/>
      <c r="F3283" s="35"/>
      <c r="G3283" s="39"/>
      <c r="H3283" s="35"/>
      <c r="I3283" s="39"/>
    </row>
    <row r="3284" spans="2:9">
      <c r="B3284" s="33"/>
      <c r="C3284" s="34"/>
      <c r="D3284" s="33"/>
      <c r="E3284" s="33"/>
      <c r="F3284" s="33"/>
      <c r="G3284" s="33"/>
      <c r="H3284" s="33"/>
      <c r="I3284" s="33"/>
    </row>
    <row r="3285" spans="2:9" ht="15.75">
      <c r="B3285" s="38"/>
      <c r="C3285" s="34"/>
      <c r="D3285" s="38"/>
      <c r="E3285" s="33"/>
      <c r="F3285" s="38"/>
      <c r="G3285" s="33"/>
      <c r="H3285" s="38"/>
      <c r="I3285" s="33"/>
    </row>
    <row r="3286" spans="2:9" ht="15.75">
      <c r="B3286" s="39"/>
      <c r="C3286" s="33"/>
      <c r="D3286" s="33"/>
      <c r="E3286" s="33"/>
      <c r="F3286" s="33"/>
      <c r="G3286" s="33"/>
      <c r="H3286" s="33"/>
      <c r="I3286" s="33"/>
    </row>
    <row r="3287" spans="2:9" ht="15.75">
      <c r="B3287" s="35"/>
      <c r="C3287" s="39"/>
      <c r="D3287" s="35"/>
      <c r="E3287" s="33"/>
      <c r="F3287" s="35"/>
      <c r="G3287" s="39"/>
      <c r="H3287" s="35"/>
      <c r="I3287" s="39"/>
    </row>
    <row r="3288" spans="2:9" ht="15.75">
      <c r="B3288" s="35"/>
      <c r="C3288" s="39"/>
      <c r="D3288" s="35"/>
      <c r="E3288" s="37"/>
      <c r="F3288" s="35"/>
      <c r="G3288" s="39"/>
      <c r="H3288" s="35"/>
      <c r="I3288" s="39"/>
    </row>
    <row r="3289" spans="2:9" ht="15.75">
      <c r="B3289" s="35"/>
      <c r="C3289" s="38"/>
      <c r="D3289" s="35"/>
      <c r="E3289" s="38"/>
      <c r="F3289" s="35"/>
      <c r="G3289" s="38"/>
      <c r="H3289" s="35"/>
      <c r="I3289" s="38"/>
    </row>
    <row r="3290" spans="2:9" ht="15.75">
      <c r="B3290" s="35"/>
      <c r="C3290" s="39"/>
      <c r="D3290" s="35"/>
      <c r="E3290" s="37"/>
      <c r="F3290" s="35"/>
      <c r="G3290" s="39"/>
      <c r="H3290" s="35"/>
      <c r="I3290" s="39"/>
    </row>
    <row r="3291" spans="2:9" ht="15.75">
      <c r="B3291" s="35"/>
      <c r="C3291" s="39"/>
      <c r="D3291" s="35"/>
      <c r="E3291" s="37"/>
      <c r="F3291" s="35"/>
      <c r="G3291" s="39"/>
      <c r="H3291" s="35"/>
      <c r="I3291" s="39"/>
    </row>
    <row r="3292" spans="2:9">
      <c r="B3292" s="33"/>
      <c r="C3292" s="33"/>
      <c r="D3292" s="33"/>
      <c r="E3292" s="33"/>
      <c r="F3292" s="33"/>
      <c r="G3292" s="33"/>
      <c r="H3292" s="33"/>
      <c r="I3292" s="33"/>
    </row>
    <row r="3293" spans="2:9" ht="15.75">
      <c r="B3293" s="38"/>
      <c r="C3293" s="33"/>
      <c r="D3293" s="38"/>
      <c r="E3293" s="33"/>
      <c r="F3293" s="38"/>
      <c r="G3293" s="33"/>
      <c r="H3293" s="38"/>
      <c r="I3293" s="33"/>
    </row>
    <row r="3294" spans="2:9" ht="15.75">
      <c r="B3294" s="39"/>
      <c r="C3294" s="33"/>
      <c r="D3294" s="33"/>
      <c r="E3294" s="33"/>
      <c r="F3294" s="33"/>
      <c r="G3294" s="33"/>
      <c r="H3294" s="33"/>
      <c r="I3294" s="33"/>
    </row>
    <row r="3295" spans="2:9" ht="15.75">
      <c r="B3295" s="35"/>
      <c r="C3295" s="39"/>
      <c r="D3295" s="35"/>
      <c r="E3295" s="33"/>
      <c r="F3295" s="35"/>
      <c r="G3295" s="39"/>
      <c r="H3295" s="35"/>
    </row>
    <row r="3296" spans="2:9" ht="15.75">
      <c r="B3296" s="35"/>
      <c r="C3296" s="39"/>
      <c r="D3296" s="35"/>
      <c r="E3296" s="37"/>
      <c r="F3296" s="35"/>
      <c r="G3296" s="39"/>
      <c r="H3296" s="35"/>
    </row>
    <row r="3297" spans="2:9" ht="15.75">
      <c r="B3297" s="35"/>
      <c r="C3297" s="38"/>
      <c r="D3297" s="35"/>
      <c r="E3297" s="38"/>
      <c r="F3297" s="35"/>
      <c r="G3297" s="38"/>
      <c r="H3297" s="35"/>
    </row>
    <row r="3298" spans="2:9" ht="15.75">
      <c r="B3298" s="35"/>
      <c r="C3298" s="39"/>
      <c r="D3298" s="35"/>
      <c r="E3298" s="37"/>
      <c r="F3298" s="35"/>
      <c r="G3298" s="39"/>
      <c r="H3298" s="35"/>
    </row>
    <row r="3299" spans="2:9" ht="15.75">
      <c r="B3299" s="35"/>
      <c r="C3299" s="39"/>
      <c r="D3299" s="35"/>
      <c r="E3299" s="37"/>
      <c r="F3299" s="35"/>
      <c r="G3299" s="39"/>
      <c r="H3299" s="35"/>
    </row>
    <row r="3301" spans="2:9">
      <c r="B3301" s="43"/>
      <c r="D3301" s="44"/>
    </row>
    <row r="3302" spans="2:9">
      <c r="B3302" s="45"/>
    </row>
    <row r="3303" spans="2:9">
      <c r="B3303" s="46"/>
      <c r="D3303" s="47"/>
    </row>
    <row r="3305" spans="2:9">
      <c r="B3305" s="42"/>
    </row>
    <row r="3307" spans="2:9" ht="15.75">
      <c r="B3307" s="35"/>
      <c r="C3307" s="54"/>
      <c r="D3307" s="35"/>
      <c r="E3307" s="33"/>
      <c r="F3307" s="35"/>
      <c r="G3307" s="39"/>
      <c r="H3307" s="35"/>
      <c r="I3307" s="39"/>
    </row>
    <row r="3308" spans="2:9" ht="15.75">
      <c r="B3308" s="35"/>
      <c r="C3308" s="54"/>
      <c r="D3308" s="35"/>
      <c r="E3308" s="36"/>
      <c r="F3308" s="35"/>
      <c r="G3308" s="39"/>
      <c r="H3308" s="35"/>
      <c r="I3308" s="39"/>
    </row>
    <row r="3309" spans="2:9" ht="15.75">
      <c r="B3309" s="35"/>
      <c r="C3309" s="40"/>
      <c r="D3309" s="35"/>
      <c r="E3309" s="40"/>
      <c r="F3309" s="35"/>
      <c r="G3309" s="38"/>
      <c r="H3309" s="35"/>
      <c r="I3309" s="38"/>
    </row>
    <row r="3310" spans="2:9" ht="15.75">
      <c r="B3310" s="35"/>
      <c r="C3310" s="54"/>
      <c r="D3310" s="35"/>
      <c r="E3310" s="36"/>
      <c r="F3310" s="35"/>
      <c r="G3310" s="39"/>
      <c r="H3310" s="35"/>
      <c r="I3310" s="38"/>
    </row>
    <row r="3311" spans="2:9" ht="15.75">
      <c r="B3311" s="53"/>
      <c r="C3311" s="54"/>
      <c r="D3311" s="35"/>
      <c r="E3311" s="36"/>
      <c r="F3311" s="35"/>
      <c r="G3311" s="39"/>
      <c r="H3311" s="35"/>
      <c r="I3311" s="39"/>
    </row>
    <row r="3312" spans="2:9">
      <c r="B3312" s="33"/>
      <c r="C3312" s="34"/>
      <c r="D3312" s="33"/>
      <c r="E3312" s="33"/>
      <c r="F3312" s="33"/>
      <c r="G3312" s="33"/>
      <c r="H3312" s="33"/>
      <c r="I3312" s="33"/>
    </row>
    <row r="3313" spans="2:9" ht="15.75">
      <c r="B3313" s="38"/>
      <c r="C3313" s="34"/>
      <c r="D3313" s="38"/>
      <c r="E3313" s="33"/>
      <c r="F3313" s="38"/>
      <c r="G3313" s="33"/>
      <c r="H3313" s="38"/>
      <c r="I3313" s="33"/>
    </row>
    <row r="3314" spans="2:9" ht="15.75">
      <c r="B3314" s="39"/>
      <c r="C3314" s="33"/>
      <c r="D3314" s="33"/>
      <c r="E3314" s="33"/>
      <c r="F3314" s="33"/>
      <c r="G3314" s="33"/>
      <c r="H3314" s="33"/>
      <c r="I3314" s="33"/>
    </row>
    <row r="3315" spans="2:9" ht="15.75">
      <c r="B3315" s="35"/>
      <c r="C3315" s="39"/>
      <c r="D3315" s="35"/>
      <c r="E3315" s="33"/>
      <c r="F3315" s="35"/>
      <c r="G3315" s="39"/>
      <c r="H3315" s="35"/>
      <c r="I3315" s="39"/>
    </row>
    <row r="3316" spans="2:9" ht="15.75">
      <c r="B3316" s="35"/>
      <c r="C3316" s="39"/>
      <c r="D3316" s="35"/>
      <c r="E3316" s="37"/>
      <c r="F3316" s="35"/>
      <c r="G3316" s="39"/>
      <c r="H3316" s="35"/>
      <c r="I3316" s="39"/>
    </row>
    <row r="3317" spans="2:9" ht="15.75">
      <c r="B3317" s="35"/>
      <c r="C3317" s="38"/>
      <c r="D3317" s="35"/>
      <c r="E3317" s="38"/>
      <c r="F3317" s="35"/>
      <c r="G3317" s="38"/>
      <c r="H3317" s="35"/>
      <c r="I3317" s="38"/>
    </row>
    <row r="3318" spans="2:9" ht="15.75">
      <c r="B3318" s="35"/>
      <c r="C3318" s="39"/>
      <c r="D3318" s="35"/>
      <c r="E3318" s="37"/>
      <c r="F3318" s="35"/>
      <c r="G3318" s="39"/>
      <c r="H3318" s="35"/>
      <c r="I3318" s="39"/>
    </row>
    <row r="3319" spans="2:9" ht="15.75">
      <c r="B3319" s="35"/>
      <c r="C3319" s="39"/>
      <c r="D3319" s="35"/>
      <c r="E3319" s="37"/>
      <c r="F3319" s="35"/>
      <c r="G3319" s="39"/>
      <c r="H3319" s="35"/>
      <c r="I3319" s="39"/>
    </row>
    <row r="3320" spans="2:9">
      <c r="B3320" s="33"/>
      <c r="C3320" s="33"/>
      <c r="D3320" s="33"/>
      <c r="E3320" s="33"/>
      <c r="F3320" s="33"/>
      <c r="G3320" s="33"/>
      <c r="H3320" s="33"/>
      <c r="I3320" s="33"/>
    </row>
    <row r="3321" spans="2:9" ht="15.75">
      <c r="B3321" s="38"/>
      <c r="C3321" s="33"/>
      <c r="D3321" s="38"/>
      <c r="E3321" s="33"/>
      <c r="F3321" s="38"/>
      <c r="G3321" s="33"/>
      <c r="H3321" s="38"/>
      <c r="I3321" s="33"/>
    </row>
    <row r="3322" spans="2:9" ht="15.75">
      <c r="B3322" s="39"/>
      <c r="C3322" s="33"/>
      <c r="D3322" s="33"/>
      <c r="E3322" s="33"/>
      <c r="F3322" s="33"/>
      <c r="G3322" s="33"/>
      <c r="H3322" s="33"/>
      <c r="I3322" s="33"/>
    </row>
    <row r="3323" spans="2:9" ht="15.75">
      <c r="B3323" s="35"/>
      <c r="C3323" s="39"/>
      <c r="D3323" s="35"/>
      <c r="E3323" s="33"/>
      <c r="F3323" s="35"/>
      <c r="G3323" s="39"/>
      <c r="H3323" s="35"/>
    </row>
    <row r="3324" spans="2:9" ht="15.75">
      <c r="B3324" s="35"/>
      <c r="C3324" s="39"/>
      <c r="D3324" s="35"/>
      <c r="E3324" s="37"/>
      <c r="F3324" s="35"/>
      <c r="G3324" s="39"/>
      <c r="H3324" s="35"/>
    </row>
    <row r="3325" spans="2:9" ht="15.75">
      <c r="B3325" s="35"/>
      <c r="C3325" s="38"/>
      <c r="D3325" s="35"/>
      <c r="E3325" s="38"/>
      <c r="F3325" s="35"/>
      <c r="G3325" s="38"/>
      <c r="H3325" s="35"/>
    </row>
    <row r="3326" spans="2:9" ht="15.75">
      <c r="B3326" s="35"/>
      <c r="C3326" s="39"/>
      <c r="D3326" s="35"/>
      <c r="E3326" s="37"/>
      <c r="F3326" s="35"/>
      <c r="G3326" s="39"/>
      <c r="H3326" s="35"/>
    </row>
    <row r="3327" spans="2:9" ht="15.75">
      <c r="B3327" s="35"/>
      <c r="C3327" s="39"/>
      <c r="D3327" s="35"/>
      <c r="E3327" s="37"/>
      <c r="F3327" s="35"/>
      <c r="G3327" s="39"/>
      <c r="H3327" s="35"/>
    </row>
    <row r="3329" spans="2:9">
      <c r="B3329" s="43"/>
      <c r="D3329" s="44"/>
    </row>
    <row r="3330" spans="2:9">
      <c r="B3330" s="45"/>
    </row>
    <row r="3331" spans="2:9">
      <c r="B3331" s="46"/>
      <c r="D3331" s="47"/>
    </row>
    <row r="3332" spans="2:9">
      <c r="B3332" s="50"/>
      <c r="C3332" s="49"/>
      <c r="D3332" s="49"/>
    </row>
    <row r="3333" spans="2:9">
      <c r="B3333" s="42"/>
    </row>
    <row r="3335" spans="2:9" ht="15.75">
      <c r="B3335" s="35"/>
      <c r="C3335" s="54"/>
      <c r="D3335" s="35"/>
      <c r="E3335" s="33"/>
      <c r="F3335" s="35"/>
      <c r="G3335" s="39"/>
      <c r="H3335" s="35"/>
      <c r="I3335" s="39"/>
    </row>
    <row r="3336" spans="2:9" ht="15.75">
      <c r="B3336" s="35"/>
      <c r="C3336" s="54"/>
      <c r="D3336" s="35"/>
      <c r="E3336" s="36"/>
      <c r="F3336" s="35"/>
      <c r="G3336" s="39"/>
      <c r="H3336" s="35"/>
      <c r="I3336" s="39"/>
    </row>
    <row r="3337" spans="2:9" ht="15.75">
      <c r="B3337" s="35"/>
      <c r="C3337" s="40"/>
      <c r="D3337" s="35"/>
      <c r="E3337" s="40"/>
      <c r="F3337" s="35"/>
      <c r="G3337" s="38"/>
      <c r="H3337" s="35"/>
      <c r="I3337" s="38"/>
    </row>
    <row r="3338" spans="2:9" ht="15.75">
      <c r="B3338" s="35"/>
      <c r="C3338" s="54"/>
      <c r="D3338" s="35"/>
      <c r="E3338" s="36"/>
      <c r="F3338" s="35"/>
      <c r="G3338" s="39"/>
      <c r="H3338" s="35"/>
      <c r="I3338" s="38"/>
    </row>
    <row r="3339" spans="2:9" ht="15.75">
      <c r="B3339" s="53"/>
      <c r="C3339" s="54"/>
      <c r="D3339" s="35"/>
      <c r="E3339" s="36"/>
      <c r="F3339" s="35"/>
      <c r="G3339" s="39"/>
      <c r="H3339" s="35"/>
      <c r="I3339" s="39"/>
    </row>
    <row r="3340" spans="2:9">
      <c r="B3340" s="33"/>
      <c r="C3340" s="34"/>
      <c r="D3340" s="33"/>
      <c r="E3340" s="33"/>
      <c r="F3340" s="33"/>
      <c r="G3340" s="33"/>
      <c r="H3340" s="33"/>
      <c r="I3340" s="33"/>
    </row>
    <row r="3341" spans="2:9" ht="15.75">
      <c r="B3341" s="38"/>
      <c r="C3341" s="34"/>
      <c r="D3341" s="38"/>
      <c r="E3341" s="33"/>
      <c r="F3341" s="38"/>
      <c r="G3341" s="33"/>
      <c r="H3341" s="38"/>
      <c r="I3341" s="33"/>
    </row>
    <row r="3342" spans="2:9" ht="15.75">
      <c r="B3342" s="39"/>
      <c r="C3342" s="33"/>
      <c r="D3342" s="33"/>
      <c r="E3342" s="33"/>
      <c r="F3342" s="33"/>
      <c r="G3342" s="33"/>
      <c r="H3342" s="33"/>
      <c r="I3342" s="33"/>
    </row>
    <row r="3343" spans="2:9" ht="15.75">
      <c r="B3343" s="35"/>
      <c r="C3343" s="39"/>
      <c r="D3343" s="35"/>
      <c r="E3343" s="33"/>
      <c r="F3343" s="35"/>
      <c r="G3343" s="39"/>
      <c r="H3343" s="35"/>
      <c r="I3343" s="39"/>
    </row>
    <row r="3344" spans="2:9" ht="15.75">
      <c r="B3344" s="35"/>
      <c r="C3344" s="39"/>
      <c r="D3344" s="35"/>
      <c r="E3344" s="37"/>
      <c r="F3344" s="35"/>
      <c r="G3344" s="39"/>
      <c r="H3344" s="35"/>
      <c r="I3344" s="39"/>
    </row>
    <row r="3345" spans="2:9" ht="15.75">
      <c r="B3345" s="35"/>
      <c r="C3345" s="38"/>
      <c r="D3345" s="35"/>
      <c r="E3345" s="38"/>
      <c r="F3345" s="35"/>
      <c r="G3345" s="38"/>
      <c r="H3345" s="35"/>
      <c r="I3345" s="38"/>
    </row>
    <row r="3346" spans="2:9" ht="15.75">
      <c r="B3346" s="35"/>
      <c r="C3346" s="39"/>
      <c r="D3346" s="35"/>
      <c r="E3346" s="37"/>
      <c r="F3346" s="35"/>
      <c r="G3346" s="39"/>
      <c r="H3346" s="35"/>
      <c r="I3346" s="39"/>
    </row>
    <row r="3347" spans="2:9" ht="15.75">
      <c r="B3347" s="35"/>
      <c r="C3347" s="39"/>
      <c r="D3347" s="35"/>
      <c r="E3347" s="37"/>
      <c r="F3347" s="35"/>
      <c r="G3347" s="39"/>
      <c r="H3347" s="35"/>
      <c r="I3347" s="39"/>
    </row>
    <row r="3348" spans="2:9">
      <c r="B3348" s="33"/>
      <c r="C3348" s="33"/>
      <c r="D3348" s="33"/>
      <c r="E3348" s="33"/>
      <c r="F3348" s="33"/>
      <c r="G3348" s="33"/>
      <c r="H3348" s="33"/>
      <c r="I3348" s="33"/>
    </row>
    <row r="3349" spans="2:9" ht="15.75">
      <c r="B3349" s="38"/>
      <c r="C3349" s="33"/>
      <c r="D3349" s="38"/>
      <c r="E3349" s="33"/>
      <c r="F3349" s="38"/>
      <c r="G3349" s="33"/>
      <c r="H3349" s="38"/>
      <c r="I3349" s="33"/>
    </row>
    <row r="3350" spans="2:9" ht="15.75">
      <c r="B3350" s="39"/>
      <c r="C3350" s="33"/>
      <c r="D3350" s="33"/>
      <c r="E3350" s="33"/>
      <c r="F3350" s="33"/>
      <c r="G3350" s="33"/>
      <c r="H3350" s="33"/>
      <c r="I3350" s="33"/>
    </row>
    <row r="3351" spans="2:9" ht="15.75">
      <c r="B3351" s="35"/>
      <c r="C3351" s="39"/>
      <c r="D3351" s="35"/>
      <c r="E3351" s="33"/>
      <c r="F3351" s="35"/>
      <c r="G3351" s="39"/>
      <c r="H3351" s="35"/>
    </row>
    <row r="3352" spans="2:9" ht="15.75">
      <c r="B3352" s="35"/>
      <c r="C3352" s="39"/>
      <c r="D3352" s="35"/>
      <c r="E3352" s="37"/>
      <c r="F3352" s="35"/>
      <c r="G3352" s="39"/>
      <c r="H3352" s="35"/>
    </row>
    <row r="3353" spans="2:9" ht="15.75">
      <c r="B3353" s="35"/>
      <c r="C3353" s="38"/>
      <c r="D3353" s="35"/>
      <c r="E3353" s="38"/>
      <c r="F3353" s="35"/>
      <c r="G3353" s="38"/>
      <c r="H3353" s="35"/>
    </row>
    <row r="3354" spans="2:9" ht="15.75">
      <c r="B3354" s="35"/>
      <c r="C3354" s="39"/>
      <c r="D3354" s="35"/>
      <c r="E3354" s="37"/>
      <c r="F3354" s="35"/>
      <c r="G3354" s="39"/>
      <c r="H3354" s="35"/>
    </row>
    <row r="3355" spans="2:9" ht="15.75">
      <c r="B3355" s="35"/>
      <c r="C3355" s="39"/>
      <c r="D3355" s="35"/>
      <c r="E3355" s="37"/>
      <c r="F3355" s="35"/>
      <c r="G3355" s="39"/>
      <c r="H3355" s="35"/>
    </row>
    <row r="3357" spans="2:9">
      <c r="B3357" s="43"/>
      <c r="D3357" s="44"/>
    </row>
    <row r="3358" spans="2:9">
      <c r="B3358" s="45"/>
    </row>
    <row r="3359" spans="2:9">
      <c r="B3359" s="46"/>
      <c r="D3359" s="47"/>
    </row>
    <row r="3360" spans="2:9">
      <c r="B3360" s="50"/>
      <c r="C3360" s="49"/>
      <c r="D3360" s="49"/>
    </row>
    <row r="3361" spans="2:9">
      <c r="B3361" s="42"/>
    </row>
    <row r="3363" spans="2:9" ht="15.75">
      <c r="B3363" s="35"/>
      <c r="C3363" s="54"/>
      <c r="D3363" s="35"/>
      <c r="E3363" s="33"/>
      <c r="F3363" s="35"/>
      <c r="G3363" s="39"/>
      <c r="H3363" s="35"/>
      <c r="I3363" s="39"/>
    </row>
    <row r="3364" spans="2:9" ht="15.75">
      <c r="B3364" s="35"/>
      <c r="C3364" s="54"/>
      <c r="D3364" s="35"/>
      <c r="E3364" s="36"/>
      <c r="F3364" s="35"/>
      <c r="G3364" s="39"/>
      <c r="H3364" s="35"/>
      <c r="I3364" s="39"/>
    </row>
    <row r="3365" spans="2:9" ht="15.75">
      <c r="B3365" s="35"/>
      <c r="C3365" s="40"/>
      <c r="D3365" s="35"/>
      <c r="E3365" s="40"/>
      <c r="F3365" s="35"/>
      <c r="G3365" s="38"/>
      <c r="H3365" s="35"/>
      <c r="I3365" s="38"/>
    </row>
    <row r="3366" spans="2:9" ht="15.75">
      <c r="B3366" s="35"/>
      <c r="C3366" s="54"/>
      <c r="D3366" s="35"/>
      <c r="E3366" s="36"/>
      <c r="F3366" s="35"/>
      <c r="G3366" s="39"/>
      <c r="H3366" s="35"/>
      <c r="I3366" s="38"/>
    </row>
    <row r="3367" spans="2:9" ht="15.75">
      <c r="B3367" s="53"/>
      <c r="C3367" s="54"/>
      <c r="D3367" s="35"/>
      <c r="E3367" s="36"/>
      <c r="F3367" s="35"/>
      <c r="G3367" s="39"/>
      <c r="H3367" s="35"/>
      <c r="I3367" s="39"/>
    </row>
    <row r="3368" spans="2:9">
      <c r="B3368" s="33"/>
      <c r="C3368" s="34"/>
      <c r="D3368" s="33"/>
      <c r="E3368" s="33"/>
      <c r="F3368" s="33"/>
      <c r="G3368" s="33"/>
      <c r="H3368" s="33"/>
      <c r="I3368" s="33"/>
    </row>
    <row r="3369" spans="2:9" ht="15.75">
      <c r="B3369" s="38"/>
      <c r="C3369" s="34"/>
      <c r="D3369" s="38"/>
      <c r="E3369" s="33"/>
      <c r="F3369" s="38"/>
      <c r="G3369" s="33"/>
      <c r="H3369" s="38"/>
      <c r="I3369" s="33"/>
    </row>
    <row r="3370" spans="2:9" ht="15.75">
      <c r="B3370" s="39"/>
      <c r="C3370" s="33"/>
      <c r="D3370" s="33"/>
      <c r="E3370" s="33"/>
      <c r="F3370" s="33"/>
      <c r="G3370" s="33"/>
      <c r="H3370" s="33"/>
      <c r="I3370" s="33"/>
    </row>
    <row r="3371" spans="2:9" ht="15.75">
      <c r="B3371" s="35"/>
      <c r="C3371" s="39"/>
      <c r="D3371" s="35"/>
      <c r="E3371" s="33"/>
      <c r="F3371" s="35"/>
      <c r="G3371" s="39"/>
      <c r="H3371" s="35"/>
      <c r="I3371" s="39"/>
    </row>
    <row r="3372" spans="2:9" ht="15.75">
      <c r="B3372" s="35"/>
      <c r="C3372" s="39"/>
      <c r="D3372" s="35"/>
      <c r="E3372" s="37"/>
      <c r="F3372" s="35"/>
      <c r="G3372" s="39"/>
      <c r="H3372" s="35"/>
      <c r="I3372" s="39"/>
    </row>
    <row r="3373" spans="2:9" ht="15.75">
      <c r="B3373" s="35"/>
      <c r="C3373" s="38"/>
      <c r="D3373" s="35"/>
      <c r="E3373" s="38"/>
      <c r="F3373" s="35"/>
      <c r="G3373" s="38"/>
      <c r="H3373" s="35"/>
      <c r="I3373" s="38"/>
    </row>
    <row r="3374" spans="2:9" ht="15.75">
      <c r="B3374" s="35"/>
      <c r="C3374" s="39"/>
      <c r="D3374" s="35"/>
      <c r="E3374" s="37"/>
      <c r="F3374" s="35"/>
      <c r="G3374" s="39"/>
      <c r="H3374" s="35"/>
      <c r="I3374" s="39"/>
    </row>
    <row r="3375" spans="2:9" ht="15.75">
      <c r="B3375" s="35"/>
      <c r="C3375" s="39"/>
      <c r="D3375" s="35"/>
      <c r="E3375" s="37"/>
      <c r="F3375" s="35"/>
      <c r="G3375" s="39"/>
      <c r="H3375" s="35"/>
      <c r="I3375" s="39"/>
    </row>
    <row r="3376" spans="2:9">
      <c r="B3376" s="33"/>
      <c r="C3376" s="33"/>
      <c r="D3376" s="33"/>
      <c r="E3376" s="33"/>
      <c r="F3376" s="33"/>
      <c r="G3376" s="33"/>
      <c r="H3376" s="33"/>
      <c r="I3376" s="33"/>
    </row>
    <row r="3377" spans="2:9" ht="15.75">
      <c r="B3377" s="38"/>
      <c r="C3377" s="33"/>
      <c r="D3377" s="38"/>
      <c r="E3377" s="33"/>
      <c r="F3377" s="38"/>
      <c r="G3377" s="33"/>
      <c r="H3377" s="38"/>
      <c r="I3377" s="33"/>
    </row>
    <row r="3378" spans="2:9" ht="15.75">
      <c r="B3378" s="39"/>
      <c r="C3378" s="33"/>
      <c r="D3378" s="33"/>
      <c r="E3378" s="33"/>
      <c r="F3378" s="33"/>
      <c r="G3378" s="33"/>
      <c r="H3378" s="33"/>
      <c r="I3378" s="33"/>
    </row>
    <row r="3379" spans="2:9" ht="15.75">
      <c r="B3379" s="35"/>
      <c r="C3379" s="39"/>
      <c r="D3379" s="35"/>
      <c r="E3379" s="33"/>
      <c r="F3379" s="35"/>
      <c r="G3379" s="39"/>
      <c r="H3379" s="35"/>
    </row>
    <row r="3380" spans="2:9" ht="15.75">
      <c r="B3380" s="35"/>
      <c r="C3380" s="39"/>
      <c r="D3380" s="35"/>
      <c r="E3380" s="37"/>
      <c r="F3380" s="35"/>
      <c r="G3380" s="39"/>
      <c r="H3380" s="35"/>
    </row>
    <row r="3381" spans="2:9" ht="15.75">
      <c r="B3381" s="35"/>
      <c r="C3381" s="38"/>
      <c r="D3381" s="35"/>
      <c r="E3381" s="38"/>
      <c r="F3381" s="35"/>
      <c r="G3381" s="38"/>
      <c r="H3381" s="35"/>
    </row>
    <row r="3382" spans="2:9" ht="15.75">
      <c r="B3382" s="35"/>
      <c r="C3382" s="39"/>
      <c r="D3382" s="35"/>
      <c r="E3382" s="37"/>
      <c r="F3382" s="35"/>
      <c r="G3382" s="39"/>
      <c r="H3382" s="35"/>
    </row>
    <row r="3383" spans="2:9" ht="15.75">
      <c r="B3383" s="35"/>
      <c r="C3383" s="39"/>
      <c r="D3383" s="35"/>
      <c r="E3383" s="37"/>
      <c r="F3383" s="35"/>
      <c r="G3383" s="39"/>
      <c r="H3383" s="35"/>
    </row>
    <row r="3385" spans="2:9">
      <c r="B3385" s="43"/>
      <c r="D3385" s="44"/>
    </row>
    <row r="3386" spans="2:9">
      <c r="B3386" s="45"/>
    </row>
    <row r="3387" spans="2:9">
      <c r="B3387" s="46"/>
      <c r="D3387" s="47"/>
    </row>
    <row r="3389" spans="2:9">
      <c r="B3389" s="55"/>
    </row>
    <row r="3391" spans="2:9">
      <c r="B3391" s="42"/>
    </row>
    <row r="3393" spans="2:9" ht="15.75">
      <c r="B3393" s="35"/>
      <c r="C3393" s="54"/>
      <c r="D3393" s="35"/>
      <c r="E3393" s="33"/>
      <c r="F3393" s="35"/>
      <c r="G3393" s="39"/>
      <c r="H3393" s="35"/>
      <c r="I3393" s="39"/>
    </row>
    <row r="3394" spans="2:9" ht="15.75">
      <c r="B3394" s="35"/>
      <c r="C3394" s="54"/>
      <c r="D3394" s="35"/>
      <c r="E3394" s="36"/>
      <c r="F3394" s="35"/>
      <c r="G3394" s="39"/>
      <c r="H3394" s="35"/>
      <c r="I3394" s="39"/>
    </row>
    <row r="3395" spans="2:9" ht="15.75">
      <c r="B3395" s="35"/>
      <c r="C3395" s="40"/>
      <c r="D3395" s="35"/>
      <c r="E3395" s="40"/>
      <c r="F3395" s="35"/>
      <c r="G3395" s="38"/>
      <c r="H3395" s="35"/>
      <c r="I3395" s="38"/>
    </row>
    <row r="3396" spans="2:9" ht="15.75">
      <c r="B3396" s="35"/>
      <c r="C3396" s="54"/>
      <c r="D3396" s="35"/>
      <c r="E3396" s="36"/>
      <c r="F3396" s="35"/>
      <c r="G3396" s="39"/>
      <c r="H3396" s="35"/>
      <c r="I3396" s="38"/>
    </row>
    <row r="3397" spans="2:9" ht="15.75">
      <c r="B3397" s="53"/>
      <c r="C3397" s="54"/>
      <c r="D3397" s="35"/>
      <c r="E3397" s="36"/>
      <c r="F3397" s="35"/>
      <c r="G3397" s="39"/>
      <c r="H3397" s="35"/>
      <c r="I3397" s="39"/>
    </row>
    <row r="3398" spans="2:9">
      <c r="B3398" s="33"/>
      <c r="C3398" s="34"/>
      <c r="D3398" s="33"/>
      <c r="E3398" s="33"/>
      <c r="F3398" s="33"/>
      <c r="G3398" s="33"/>
      <c r="H3398" s="33"/>
      <c r="I3398" s="33"/>
    </row>
    <row r="3399" spans="2:9" ht="15.75">
      <c r="B3399" s="38"/>
      <c r="C3399" s="34"/>
      <c r="D3399" s="38"/>
      <c r="E3399" s="33"/>
      <c r="F3399" s="38"/>
      <c r="G3399" s="33"/>
      <c r="H3399" s="38"/>
      <c r="I3399" s="33"/>
    </row>
    <row r="3400" spans="2:9" ht="15.75">
      <c r="B3400" s="39"/>
      <c r="C3400" s="33"/>
      <c r="D3400" s="33"/>
      <c r="E3400" s="33"/>
      <c r="F3400" s="33"/>
      <c r="G3400" s="33"/>
      <c r="H3400" s="33"/>
      <c r="I3400" s="33"/>
    </row>
    <row r="3401" spans="2:9" ht="15.75">
      <c r="B3401" s="35"/>
      <c r="C3401" s="39"/>
      <c r="D3401" s="35"/>
      <c r="E3401" s="33"/>
      <c r="F3401" s="35"/>
      <c r="G3401" s="39"/>
      <c r="H3401" s="35"/>
      <c r="I3401" s="39"/>
    </row>
    <row r="3402" spans="2:9" ht="15.75">
      <c r="B3402" s="35"/>
      <c r="C3402" s="39"/>
      <c r="D3402" s="35"/>
      <c r="E3402" s="37"/>
      <c r="F3402" s="35"/>
      <c r="G3402" s="39"/>
      <c r="H3402" s="35"/>
      <c r="I3402" s="39"/>
    </row>
    <row r="3403" spans="2:9" ht="15.75">
      <c r="B3403" s="35"/>
      <c r="C3403" s="38"/>
      <c r="D3403" s="35"/>
      <c r="E3403" s="38"/>
      <c r="F3403" s="35"/>
      <c r="G3403" s="38"/>
      <c r="H3403" s="35"/>
      <c r="I3403" s="38"/>
    </row>
    <row r="3404" spans="2:9" ht="15.75">
      <c r="B3404" s="35"/>
      <c r="C3404" s="39"/>
      <c r="D3404" s="35"/>
      <c r="E3404" s="37"/>
      <c r="F3404" s="35"/>
      <c r="G3404" s="39"/>
      <c r="H3404" s="35"/>
      <c r="I3404" s="39"/>
    </row>
    <row r="3405" spans="2:9" ht="15.75">
      <c r="B3405" s="35"/>
      <c r="C3405" s="39"/>
      <c r="D3405" s="35"/>
      <c r="E3405" s="37"/>
      <c r="F3405" s="35"/>
      <c r="G3405" s="39"/>
      <c r="H3405" s="35"/>
      <c r="I3405" s="39"/>
    </row>
    <row r="3406" spans="2:9">
      <c r="B3406" s="33"/>
      <c r="C3406" s="33"/>
      <c r="D3406" s="33"/>
      <c r="E3406" s="33"/>
      <c r="F3406" s="33"/>
      <c r="G3406" s="33"/>
      <c r="H3406" s="33"/>
      <c r="I3406" s="33"/>
    </row>
    <row r="3407" spans="2:9" ht="15.75">
      <c r="B3407" s="38"/>
      <c r="C3407" s="33"/>
      <c r="D3407" s="38"/>
      <c r="E3407" s="33"/>
      <c r="F3407" s="38"/>
      <c r="G3407" s="33"/>
      <c r="H3407" s="38"/>
      <c r="I3407" s="33"/>
    </row>
    <row r="3408" spans="2:9" ht="15.75">
      <c r="B3408" s="39"/>
      <c r="C3408" s="33"/>
      <c r="D3408" s="33"/>
      <c r="E3408" s="33"/>
      <c r="F3408" s="33"/>
      <c r="G3408" s="33"/>
      <c r="H3408" s="33"/>
      <c r="I3408" s="33"/>
    </row>
    <row r="3409" spans="2:9" ht="15.75">
      <c r="B3409" s="35"/>
      <c r="C3409" s="39"/>
      <c r="D3409" s="35"/>
      <c r="E3409" s="33"/>
      <c r="F3409" s="35"/>
      <c r="G3409" s="39"/>
      <c r="H3409" s="35"/>
    </row>
    <row r="3410" spans="2:9" ht="15.75">
      <c r="B3410" s="35"/>
      <c r="C3410" s="39"/>
      <c r="D3410" s="35"/>
      <c r="E3410" s="37"/>
      <c r="F3410" s="35"/>
      <c r="G3410" s="39"/>
      <c r="H3410" s="35"/>
    </row>
    <row r="3411" spans="2:9" ht="15.75">
      <c r="B3411" s="35"/>
      <c r="C3411" s="38"/>
      <c r="D3411" s="35"/>
      <c r="E3411" s="38"/>
      <c r="F3411" s="35"/>
      <c r="G3411" s="38"/>
      <c r="H3411" s="35"/>
    </row>
    <row r="3412" spans="2:9" ht="15.75">
      <c r="B3412" s="35"/>
      <c r="C3412" s="39"/>
      <c r="D3412" s="35"/>
      <c r="E3412" s="37"/>
      <c r="F3412" s="35"/>
      <c r="G3412" s="39"/>
      <c r="H3412" s="35"/>
    </row>
    <row r="3413" spans="2:9" ht="15.75">
      <c r="B3413" s="35"/>
      <c r="C3413" s="39"/>
      <c r="D3413" s="35"/>
      <c r="E3413" s="37"/>
      <c r="F3413" s="35"/>
      <c r="G3413" s="39"/>
      <c r="H3413" s="35"/>
    </row>
    <row r="3415" spans="2:9">
      <c r="B3415" s="43"/>
      <c r="D3415" s="44"/>
    </row>
    <row r="3416" spans="2:9">
      <c r="B3416" s="45"/>
    </row>
    <row r="3417" spans="2:9">
      <c r="B3417" s="46"/>
      <c r="D3417" s="47"/>
    </row>
    <row r="3419" spans="2:9">
      <c r="B3419" s="42"/>
    </row>
    <row r="3421" spans="2:9" ht="15.75">
      <c r="B3421" s="35"/>
      <c r="C3421" s="54"/>
      <c r="D3421" s="35"/>
      <c r="E3421" s="33"/>
      <c r="F3421" s="35"/>
      <c r="G3421" s="39"/>
      <c r="H3421" s="35"/>
      <c r="I3421" s="39"/>
    </row>
    <row r="3422" spans="2:9" ht="15.75">
      <c r="B3422" s="35"/>
      <c r="C3422" s="54"/>
      <c r="D3422" s="35"/>
      <c r="E3422" s="36"/>
      <c r="F3422" s="35"/>
      <c r="G3422" s="39"/>
      <c r="H3422" s="35"/>
      <c r="I3422" s="39"/>
    </row>
    <row r="3423" spans="2:9" ht="15.75">
      <c r="B3423" s="35"/>
      <c r="C3423" s="40"/>
      <c r="D3423" s="35"/>
      <c r="E3423" s="40"/>
      <c r="F3423" s="35"/>
      <c r="G3423" s="38"/>
      <c r="H3423" s="35"/>
      <c r="I3423" s="38"/>
    </row>
    <row r="3424" spans="2:9" ht="15.75">
      <c r="B3424" s="35"/>
      <c r="C3424" s="54"/>
      <c r="D3424" s="35"/>
      <c r="E3424" s="36"/>
      <c r="F3424" s="35"/>
      <c r="G3424" s="39"/>
      <c r="H3424" s="35"/>
      <c r="I3424" s="38"/>
    </row>
    <row r="3425" spans="2:9" ht="15.75">
      <c r="B3425" s="53"/>
      <c r="C3425" s="54"/>
      <c r="D3425" s="35"/>
      <c r="E3425" s="36"/>
      <c r="F3425" s="35"/>
      <c r="G3425" s="39"/>
      <c r="H3425" s="35"/>
      <c r="I3425" s="39"/>
    </row>
    <row r="3426" spans="2:9">
      <c r="B3426" s="33"/>
      <c r="C3426" s="34"/>
      <c r="D3426" s="33"/>
      <c r="E3426" s="33"/>
      <c r="F3426" s="33"/>
      <c r="G3426" s="33"/>
      <c r="H3426" s="33"/>
      <c r="I3426" s="33"/>
    </row>
    <row r="3427" spans="2:9" ht="15.75">
      <c r="B3427" s="38"/>
      <c r="C3427" s="34"/>
      <c r="D3427" s="38"/>
      <c r="E3427" s="33"/>
      <c r="F3427" s="38"/>
      <c r="G3427" s="33"/>
      <c r="H3427" s="38"/>
      <c r="I3427" s="33"/>
    </row>
    <row r="3428" spans="2:9" ht="15.75">
      <c r="B3428" s="39"/>
      <c r="C3428" s="33"/>
      <c r="D3428" s="33"/>
      <c r="E3428" s="33"/>
      <c r="F3428" s="33"/>
      <c r="G3428" s="33"/>
      <c r="H3428" s="33"/>
      <c r="I3428" s="33"/>
    </row>
    <row r="3429" spans="2:9" ht="15.75">
      <c r="B3429" s="35"/>
      <c r="C3429" s="39"/>
      <c r="D3429" s="35"/>
      <c r="E3429" s="33"/>
      <c r="F3429" s="35"/>
      <c r="G3429" s="39"/>
      <c r="H3429" s="35"/>
      <c r="I3429" s="39"/>
    </row>
    <row r="3430" spans="2:9" ht="15.75">
      <c r="B3430" s="35"/>
      <c r="C3430" s="39"/>
      <c r="D3430" s="35"/>
      <c r="E3430" s="37"/>
      <c r="F3430" s="35"/>
      <c r="G3430" s="39"/>
      <c r="H3430" s="35"/>
      <c r="I3430" s="39"/>
    </row>
    <row r="3431" spans="2:9" ht="15.75">
      <c r="B3431" s="35"/>
      <c r="C3431" s="38"/>
      <c r="D3431" s="35"/>
      <c r="E3431" s="38"/>
      <c r="F3431" s="35"/>
      <c r="G3431" s="38"/>
      <c r="H3431" s="35"/>
      <c r="I3431" s="38"/>
    </row>
    <row r="3432" spans="2:9" ht="15.75">
      <c r="B3432" s="35"/>
      <c r="C3432" s="39"/>
      <c r="D3432" s="35"/>
      <c r="E3432" s="37"/>
      <c r="F3432" s="35"/>
      <c r="G3432" s="39"/>
      <c r="H3432" s="35"/>
      <c r="I3432" s="39"/>
    </row>
    <row r="3433" spans="2:9" ht="15.75">
      <c r="B3433" s="35"/>
      <c r="C3433" s="39"/>
      <c r="D3433" s="35"/>
      <c r="E3433" s="37"/>
      <c r="F3433" s="35"/>
      <c r="G3433" s="39"/>
      <c r="H3433" s="35"/>
      <c r="I3433" s="39"/>
    </row>
    <row r="3434" spans="2:9">
      <c r="B3434" s="33"/>
      <c r="C3434" s="33"/>
      <c r="D3434" s="33"/>
      <c r="E3434" s="33"/>
      <c r="F3434" s="33"/>
      <c r="G3434" s="33"/>
      <c r="H3434" s="33"/>
      <c r="I3434" s="33"/>
    </row>
    <row r="3435" spans="2:9" ht="15.75">
      <c r="B3435" s="38"/>
      <c r="C3435" s="33"/>
      <c r="D3435" s="38"/>
      <c r="E3435" s="33"/>
      <c r="F3435" s="38"/>
      <c r="G3435" s="33"/>
      <c r="H3435" s="38"/>
      <c r="I3435" s="33"/>
    </row>
    <row r="3436" spans="2:9" ht="15.75">
      <c r="B3436" s="39"/>
      <c r="C3436" s="33"/>
      <c r="D3436" s="33"/>
      <c r="E3436" s="33"/>
      <c r="F3436" s="33"/>
      <c r="G3436" s="33"/>
      <c r="H3436" s="33"/>
      <c r="I3436" s="33"/>
    </row>
    <row r="3437" spans="2:9" ht="15.75">
      <c r="B3437" s="35"/>
      <c r="C3437" s="39"/>
      <c r="D3437" s="35"/>
      <c r="E3437" s="33"/>
      <c r="F3437" s="35"/>
      <c r="G3437" s="39"/>
      <c r="H3437" s="35"/>
    </row>
    <row r="3438" spans="2:9" ht="15.75">
      <c r="B3438" s="35"/>
      <c r="C3438" s="39"/>
      <c r="D3438" s="35"/>
      <c r="E3438" s="37"/>
      <c r="F3438" s="35"/>
      <c r="G3438" s="39"/>
      <c r="H3438" s="35"/>
    </row>
    <row r="3439" spans="2:9" ht="15.75">
      <c r="B3439" s="35"/>
      <c r="C3439" s="38"/>
      <c r="D3439" s="35"/>
      <c r="E3439" s="38"/>
      <c r="F3439" s="35"/>
      <c r="G3439" s="38"/>
      <c r="H3439" s="35"/>
    </row>
    <row r="3440" spans="2:9" ht="15.75">
      <c r="B3440" s="35"/>
      <c r="C3440" s="39"/>
      <c r="D3440" s="35"/>
      <c r="E3440" s="37"/>
      <c r="F3440" s="35"/>
      <c r="G3440" s="39"/>
      <c r="H3440" s="35"/>
    </row>
    <row r="3441" spans="2:9" ht="15.75">
      <c r="B3441" s="35"/>
      <c r="C3441" s="39"/>
      <c r="D3441" s="35"/>
      <c r="E3441" s="37"/>
      <c r="F3441" s="35"/>
      <c r="G3441" s="39"/>
      <c r="H3441" s="35"/>
    </row>
    <row r="3443" spans="2:9">
      <c r="B3443" s="43"/>
      <c r="D3443" s="44"/>
    </row>
    <row r="3444" spans="2:9">
      <c r="B3444" s="45"/>
    </row>
    <row r="3445" spans="2:9">
      <c r="B3445" s="46"/>
      <c r="D3445" s="47"/>
    </row>
    <row r="3447" spans="2:9">
      <c r="B3447" s="42"/>
    </row>
    <row r="3449" spans="2:9" ht="15.75">
      <c r="B3449" s="35"/>
      <c r="C3449" s="54"/>
      <c r="D3449" s="35"/>
      <c r="E3449" s="33"/>
      <c r="F3449" s="35"/>
      <c r="G3449" s="39"/>
      <c r="H3449" s="35"/>
      <c r="I3449" s="39"/>
    </row>
    <row r="3450" spans="2:9" ht="15.75">
      <c r="B3450" s="35"/>
      <c r="C3450" s="54"/>
      <c r="D3450" s="35"/>
      <c r="E3450" s="36"/>
      <c r="F3450" s="35"/>
      <c r="G3450" s="39"/>
      <c r="H3450" s="35"/>
      <c r="I3450" s="39"/>
    </row>
    <row r="3451" spans="2:9" ht="15.75">
      <c r="B3451" s="35"/>
      <c r="C3451" s="40"/>
      <c r="D3451" s="35"/>
      <c r="E3451" s="40"/>
      <c r="F3451" s="35"/>
      <c r="G3451" s="38"/>
      <c r="H3451" s="35"/>
      <c r="I3451" s="38"/>
    </row>
    <row r="3452" spans="2:9" ht="15.75">
      <c r="B3452" s="35"/>
      <c r="C3452" s="54"/>
      <c r="D3452" s="35"/>
      <c r="E3452" s="36"/>
      <c r="F3452" s="35"/>
      <c r="G3452" s="39"/>
      <c r="H3452" s="35"/>
      <c r="I3452" s="38"/>
    </row>
    <row r="3453" spans="2:9" ht="15.75">
      <c r="B3453" s="53"/>
      <c r="C3453" s="54"/>
      <c r="D3453" s="35"/>
      <c r="E3453" s="36"/>
      <c r="F3453" s="35"/>
      <c r="G3453" s="39"/>
      <c r="H3453" s="35"/>
      <c r="I3453" s="39"/>
    </row>
    <row r="3454" spans="2:9">
      <c r="B3454" s="33"/>
      <c r="C3454" s="34"/>
      <c r="D3454" s="33"/>
      <c r="E3454" s="33"/>
      <c r="F3454" s="33"/>
      <c r="G3454" s="33"/>
      <c r="H3454" s="33"/>
      <c r="I3454" s="33"/>
    </row>
    <row r="3455" spans="2:9" ht="15.75">
      <c r="B3455" s="38"/>
      <c r="C3455" s="34"/>
      <c r="D3455" s="38"/>
      <c r="E3455" s="33"/>
      <c r="F3455" s="38"/>
      <c r="G3455" s="33"/>
      <c r="H3455" s="38"/>
      <c r="I3455" s="33"/>
    </row>
    <row r="3456" spans="2:9" ht="15.75">
      <c r="B3456" s="39"/>
      <c r="C3456" s="33"/>
      <c r="D3456" s="33"/>
      <c r="E3456" s="33"/>
      <c r="F3456" s="33"/>
      <c r="G3456" s="33"/>
      <c r="H3456" s="33"/>
      <c r="I3456" s="33"/>
    </row>
    <row r="3457" spans="2:9" ht="15.75">
      <c r="B3457" s="35"/>
      <c r="C3457" s="39"/>
      <c r="D3457" s="35"/>
      <c r="E3457" s="33"/>
      <c r="F3457" s="35"/>
      <c r="G3457" s="39"/>
      <c r="H3457" s="35"/>
      <c r="I3457" s="39"/>
    </row>
    <row r="3458" spans="2:9" ht="15.75">
      <c r="B3458" s="35"/>
      <c r="C3458" s="39"/>
      <c r="D3458" s="35"/>
      <c r="E3458" s="37"/>
      <c r="F3458" s="35"/>
      <c r="G3458" s="39"/>
      <c r="H3458" s="35"/>
      <c r="I3458" s="39"/>
    </row>
    <row r="3459" spans="2:9" ht="15.75">
      <c r="B3459" s="35"/>
      <c r="C3459" s="38"/>
      <c r="D3459" s="35"/>
      <c r="E3459" s="38"/>
      <c r="F3459" s="35"/>
      <c r="G3459" s="38"/>
      <c r="H3459" s="35"/>
      <c r="I3459" s="38"/>
    </row>
    <row r="3460" spans="2:9" ht="15.75">
      <c r="B3460" s="35"/>
      <c r="C3460" s="39"/>
      <c r="D3460" s="35"/>
      <c r="E3460" s="37"/>
      <c r="F3460" s="35"/>
      <c r="G3460" s="39"/>
      <c r="H3460" s="35"/>
      <c r="I3460" s="39"/>
    </row>
    <row r="3461" spans="2:9" ht="15.75">
      <c r="B3461" s="35"/>
      <c r="C3461" s="39"/>
      <c r="D3461" s="35"/>
      <c r="E3461" s="37"/>
      <c r="F3461" s="35"/>
      <c r="G3461" s="39"/>
      <c r="H3461" s="35"/>
      <c r="I3461" s="39"/>
    </row>
    <row r="3462" spans="2:9">
      <c r="B3462" s="33"/>
      <c r="C3462" s="33"/>
      <c r="D3462" s="33"/>
      <c r="E3462" s="33"/>
      <c r="F3462" s="33"/>
      <c r="G3462" s="33"/>
      <c r="H3462" s="33"/>
      <c r="I3462" s="33"/>
    </row>
    <row r="3463" spans="2:9" ht="15.75">
      <c r="B3463" s="38"/>
      <c r="C3463" s="33"/>
      <c r="D3463" s="38"/>
      <c r="E3463" s="33"/>
      <c r="F3463" s="38"/>
      <c r="G3463" s="33"/>
      <c r="H3463" s="38"/>
      <c r="I3463" s="33"/>
    </row>
    <row r="3464" spans="2:9" ht="15.75">
      <c r="B3464" s="39"/>
      <c r="C3464" s="33"/>
      <c r="D3464" s="33"/>
      <c r="E3464" s="33"/>
      <c r="F3464" s="33"/>
      <c r="G3464" s="33"/>
      <c r="H3464" s="33"/>
      <c r="I3464" s="33"/>
    </row>
    <row r="3465" spans="2:9" ht="15.75">
      <c r="B3465" s="35"/>
      <c r="C3465" s="39"/>
      <c r="D3465" s="35"/>
      <c r="E3465" s="33"/>
      <c r="F3465" s="35"/>
      <c r="G3465" s="39"/>
      <c r="H3465" s="35"/>
    </row>
    <row r="3466" spans="2:9" ht="15.75">
      <c r="B3466" s="35"/>
      <c r="C3466" s="39"/>
      <c r="D3466" s="35"/>
      <c r="E3466" s="37"/>
      <c r="F3466" s="35"/>
      <c r="G3466" s="39"/>
      <c r="H3466" s="35"/>
    </row>
    <row r="3467" spans="2:9" ht="15.75">
      <c r="B3467" s="35"/>
      <c r="C3467" s="38"/>
      <c r="D3467" s="35"/>
      <c r="E3467" s="38"/>
      <c r="F3467" s="35"/>
      <c r="G3467" s="38"/>
      <c r="H3467" s="35"/>
    </row>
    <row r="3468" spans="2:9" ht="15.75">
      <c r="B3468" s="35"/>
      <c r="C3468" s="39"/>
      <c r="D3468" s="35"/>
      <c r="E3468" s="37"/>
      <c r="F3468" s="35"/>
      <c r="G3468" s="39"/>
      <c r="H3468" s="35"/>
    </row>
    <row r="3469" spans="2:9" ht="15.75">
      <c r="B3469" s="35"/>
      <c r="C3469" s="39"/>
      <c r="D3469" s="35"/>
      <c r="E3469" s="37"/>
      <c r="F3469" s="35"/>
      <c r="G3469" s="39"/>
      <c r="H3469" s="35"/>
    </row>
    <row r="3471" spans="2:9">
      <c r="B3471" s="43"/>
      <c r="D3471" s="44"/>
    </row>
    <row r="3472" spans="2:9">
      <c r="B3472" s="45"/>
    </row>
    <row r="3473" spans="2:9">
      <c r="B3473" s="46"/>
      <c r="D3473" s="47"/>
    </row>
    <row r="3475" spans="2:9">
      <c r="B3475" s="42"/>
    </row>
    <row r="3477" spans="2:9" ht="15.75">
      <c r="B3477" s="35"/>
      <c r="C3477" s="54"/>
      <c r="D3477" s="35"/>
      <c r="E3477" s="33"/>
      <c r="F3477" s="35"/>
      <c r="G3477" s="39"/>
      <c r="H3477" s="35"/>
      <c r="I3477" s="39"/>
    </row>
    <row r="3478" spans="2:9" ht="15.75">
      <c r="B3478" s="35"/>
      <c r="C3478" s="54"/>
      <c r="D3478" s="35"/>
      <c r="E3478" s="36"/>
      <c r="F3478" s="35"/>
      <c r="G3478" s="39"/>
      <c r="H3478" s="35"/>
      <c r="I3478" s="39"/>
    </row>
    <row r="3479" spans="2:9" ht="15.75">
      <c r="B3479" s="35"/>
      <c r="C3479" s="40"/>
      <c r="D3479" s="35"/>
      <c r="E3479" s="40"/>
      <c r="F3479" s="35"/>
      <c r="G3479" s="38"/>
      <c r="H3479" s="35"/>
      <c r="I3479" s="38"/>
    </row>
    <row r="3480" spans="2:9" ht="15.75">
      <c r="B3480" s="35"/>
      <c r="C3480" s="54"/>
      <c r="D3480" s="35"/>
      <c r="E3480" s="36"/>
      <c r="F3480" s="35"/>
      <c r="G3480" s="39"/>
      <c r="H3480" s="35"/>
      <c r="I3480" s="38"/>
    </row>
    <row r="3481" spans="2:9" ht="15.75">
      <c r="B3481" s="53"/>
      <c r="C3481" s="54"/>
      <c r="D3481" s="35"/>
      <c r="E3481" s="36"/>
      <c r="F3481" s="35"/>
      <c r="G3481" s="39"/>
      <c r="H3481" s="35"/>
      <c r="I3481" s="39"/>
    </row>
    <row r="3482" spans="2:9">
      <c r="B3482" s="33"/>
      <c r="C3482" s="34"/>
      <c r="D3482" s="33"/>
      <c r="E3482" s="33"/>
      <c r="F3482" s="33"/>
      <c r="G3482" s="33"/>
      <c r="H3482" s="33"/>
      <c r="I3482" s="33"/>
    </row>
    <row r="3483" spans="2:9" ht="15.75">
      <c r="B3483" s="38"/>
      <c r="C3483" s="34"/>
      <c r="D3483" s="38"/>
      <c r="E3483" s="33"/>
      <c r="F3483" s="38"/>
      <c r="G3483" s="33"/>
      <c r="H3483" s="38"/>
      <c r="I3483" s="33"/>
    </row>
    <row r="3484" spans="2:9" ht="15.75">
      <c r="B3484" s="39"/>
      <c r="C3484" s="33"/>
      <c r="D3484" s="33"/>
      <c r="E3484" s="33"/>
      <c r="F3484" s="33"/>
      <c r="G3484" s="33"/>
      <c r="H3484" s="33"/>
      <c r="I3484" s="33"/>
    </row>
    <row r="3485" spans="2:9" ht="15.75">
      <c r="B3485" s="35"/>
      <c r="C3485" s="39"/>
      <c r="D3485" s="35"/>
      <c r="E3485" s="33"/>
      <c r="F3485" s="35"/>
      <c r="G3485" s="39"/>
      <c r="H3485" s="35"/>
      <c r="I3485" s="39"/>
    </row>
    <row r="3486" spans="2:9" ht="15.75">
      <c r="B3486" s="35"/>
      <c r="C3486" s="39"/>
      <c r="D3486" s="35"/>
      <c r="E3486" s="37"/>
      <c r="F3486" s="35"/>
      <c r="G3486" s="39"/>
      <c r="H3486" s="35"/>
      <c r="I3486" s="39"/>
    </row>
    <row r="3487" spans="2:9" ht="15.75">
      <c r="B3487" s="35"/>
      <c r="C3487" s="38"/>
      <c r="D3487" s="35"/>
      <c r="E3487" s="38"/>
      <c r="F3487" s="35"/>
      <c r="G3487" s="38"/>
      <c r="H3487" s="35"/>
      <c r="I3487" s="38"/>
    </row>
    <row r="3488" spans="2:9" ht="15.75">
      <c r="B3488" s="35"/>
      <c r="C3488" s="39"/>
      <c r="D3488" s="35"/>
      <c r="E3488" s="37"/>
      <c r="F3488" s="35"/>
      <c r="G3488" s="39"/>
      <c r="H3488" s="35"/>
      <c r="I3488" s="39"/>
    </row>
    <row r="3489" spans="2:9" ht="15.75">
      <c r="B3489" s="35"/>
      <c r="C3489" s="39"/>
      <c r="D3489" s="35"/>
      <c r="E3489" s="37"/>
      <c r="F3489" s="35"/>
      <c r="G3489" s="39"/>
      <c r="H3489" s="35"/>
      <c r="I3489" s="39"/>
    </row>
    <row r="3490" spans="2:9">
      <c r="B3490" s="33"/>
      <c r="C3490" s="33"/>
      <c r="D3490" s="33"/>
      <c r="E3490" s="33"/>
      <c r="F3490" s="33"/>
      <c r="G3490" s="33"/>
      <c r="H3490" s="33"/>
      <c r="I3490" s="33"/>
    </row>
    <row r="3491" spans="2:9" ht="15.75">
      <c r="B3491" s="38"/>
      <c r="C3491" s="33"/>
      <c r="D3491" s="38"/>
      <c r="E3491" s="33"/>
      <c r="F3491" s="38"/>
      <c r="G3491" s="33"/>
      <c r="H3491" s="38"/>
      <c r="I3491" s="33"/>
    </row>
    <row r="3492" spans="2:9" ht="15.75">
      <c r="B3492" s="39"/>
      <c r="C3492" s="33"/>
      <c r="D3492" s="33"/>
      <c r="E3492" s="33"/>
      <c r="F3492" s="33"/>
      <c r="G3492" s="33"/>
      <c r="H3492" s="33"/>
      <c r="I3492" s="33"/>
    </row>
    <row r="3493" spans="2:9" ht="15.75">
      <c r="B3493" s="35"/>
      <c r="C3493" s="39"/>
      <c r="D3493" s="35"/>
      <c r="E3493" s="33"/>
      <c r="F3493" s="35"/>
      <c r="G3493" s="39"/>
      <c r="H3493" s="35"/>
    </row>
    <row r="3494" spans="2:9" ht="15.75">
      <c r="B3494" s="35"/>
      <c r="C3494" s="39"/>
      <c r="D3494" s="35"/>
      <c r="E3494" s="37"/>
      <c r="F3494" s="35"/>
      <c r="G3494" s="39"/>
      <c r="H3494" s="35"/>
    </row>
    <row r="3495" spans="2:9" ht="15.75">
      <c r="B3495" s="35"/>
      <c r="C3495" s="38"/>
      <c r="D3495" s="35"/>
      <c r="E3495" s="38"/>
      <c r="F3495" s="35"/>
      <c r="G3495" s="38"/>
      <c r="H3495" s="35"/>
    </row>
    <row r="3496" spans="2:9" ht="15.75">
      <c r="B3496" s="35"/>
      <c r="C3496" s="39"/>
      <c r="D3496" s="35"/>
      <c r="E3496" s="37"/>
      <c r="F3496" s="35"/>
      <c r="G3496" s="39"/>
      <c r="H3496" s="35"/>
    </row>
    <row r="3497" spans="2:9" ht="15.75">
      <c r="B3497" s="35"/>
      <c r="C3497" s="39"/>
      <c r="D3497" s="35"/>
      <c r="E3497" s="37"/>
      <c r="F3497" s="35"/>
      <c r="G3497" s="39"/>
      <c r="H3497" s="35"/>
    </row>
    <row r="3499" spans="2:9">
      <c r="B3499" s="43"/>
      <c r="D3499" s="44"/>
    </row>
    <row r="3500" spans="2:9">
      <c r="B3500" s="45"/>
    </row>
    <row r="3501" spans="2:9">
      <c r="B3501" s="46"/>
      <c r="D3501" s="47"/>
    </row>
    <row r="3503" spans="2:9">
      <c r="B3503" s="42"/>
    </row>
    <row r="3505" spans="2:9" ht="15.75">
      <c r="B3505" s="35"/>
      <c r="C3505" s="54"/>
      <c r="D3505" s="35"/>
      <c r="E3505" s="33"/>
      <c r="F3505" s="35"/>
      <c r="G3505" s="39"/>
      <c r="H3505" s="35"/>
      <c r="I3505" s="39"/>
    </row>
    <row r="3506" spans="2:9" ht="15.75">
      <c r="B3506" s="35"/>
      <c r="C3506" s="54"/>
      <c r="D3506" s="35"/>
      <c r="E3506" s="36"/>
      <c r="F3506" s="35"/>
      <c r="G3506" s="39"/>
      <c r="H3506" s="35"/>
      <c r="I3506" s="39"/>
    </row>
    <row r="3507" spans="2:9" ht="15.75">
      <c r="B3507" s="35"/>
      <c r="C3507" s="40"/>
      <c r="D3507" s="35"/>
      <c r="E3507" s="40"/>
      <c r="F3507" s="35"/>
      <c r="G3507" s="38"/>
      <c r="H3507" s="35"/>
      <c r="I3507" s="38"/>
    </row>
    <row r="3508" spans="2:9" ht="15.75">
      <c r="B3508" s="35"/>
      <c r="C3508" s="54"/>
      <c r="D3508" s="35"/>
      <c r="E3508" s="36"/>
      <c r="F3508" s="35"/>
      <c r="G3508" s="39"/>
      <c r="H3508" s="35"/>
      <c r="I3508" s="38"/>
    </row>
    <row r="3509" spans="2:9" ht="15.75">
      <c r="B3509" s="53"/>
      <c r="C3509" s="54"/>
      <c r="D3509" s="35"/>
      <c r="E3509" s="36"/>
      <c r="F3509" s="35"/>
      <c r="G3509" s="39"/>
      <c r="H3509" s="35"/>
      <c r="I3509" s="39"/>
    </row>
    <row r="3510" spans="2:9">
      <c r="B3510" s="33"/>
      <c r="C3510" s="34"/>
      <c r="D3510" s="33"/>
      <c r="E3510" s="33"/>
      <c r="F3510" s="33"/>
      <c r="G3510" s="33"/>
      <c r="H3510" s="33"/>
      <c r="I3510" s="33"/>
    </row>
    <row r="3511" spans="2:9" ht="15.75">
      <c r="B3511" s="38"/>
      <c r="C3511" s="34"/>
      <c r="D3511" s="38"/>
      <c r="E3511" s="33"/>
      <c r="F3511" s="38"/>
      <c r="G3511" s="33"/>
      <c r="H3511" s="38"/>
      <c r="I3511" s="33"/>
    </row>
    <row r="3512" spans="2:9" ht="15.75">
      <c r="B3512" s="39"/>
      <c r="C3512" s="33"/>
      <c r="D3512" s="33"/>
      <c r="E3512" s="33"/>
      <c r="F3512" s="33"/>
      <c r="G3512" s="33"/>
      <c r="H3512" s="33"/>
      <c r="I3512" s="33"/>
    </row>
    <row r="3513" spans="2:9" ht="15.75">
      <c r="B3513" s="35"/>
      <c r="C3513" s="39"/>
      <c r="D3513" s="35"/>
      <c r="E3513" s="33"/>
      <c r="F3513" s="35"/>
      <c r="G3513" s="39"/>
      <c r="H3513" s="35"/>
      <c r="I3513" s="39"/>
    </row>
    <row r="3514" spans="2:9" ht="15.75">
      <c r="B3514" s="35"/>
      <c r="C3514" s="39"/>
      <c r="D3514" s="35"/>
      <c r="E3514" s="37"/>
      <c r="F3514" s="35"/>
      <c r="G3514" s="39"/>
      <c r="H3514" s="35"/>
      <c r="I3514" s="39"/>
    </row>
    <row r="3515" spans="2:9" ht="15.75">
      <c r="B3515" s="35"/>
      <c r="C3515" s="38"/>
      <c r="D3515" s="35"/>
      <c r="E3515" s="38"/>
      <c r="F3515" s="35"/>
      <c r="G3515" s="38"/>
      <c r="H3515" s="35"/>
      <c r="I3515" s="38"/>
    </row>
    <row r="3516" spans="2:9" ht="15.75">
      <c r="B3516" s="35"/>
      <c r="C3516" s="39"/>
      <c r="D3516" s="35"/>
      <c r="E3516" s="37"/>
      <c r="F3516" s="35"/>
      <c r="G3516" s="39"/>
      <c r="H3516" s="35"/>
      <c r="I3516" s="39"/>
    </row>
    <row r="3517" spans="2:9" ht="15.75">
      <c r="B3517" s="35"/>
      <c r="C3517" s="39"/>
      <c r="D3517" s="35"/>
      <c r="E3517" s="37"/>
      <c r="F3517" s="35"/>
      <c r="G3517" s="39"/>
      <c r="H3517" s="35"/>
      <c r="I3517" s="39"/>
    </row>
    <row r="3518" spans="2:9">
      <c r="B3518" s="33"/>
      <c r="C3518" s="33"/>
      <c r="D3518" s="33"/>
      <c r="E3518" s="33"/>
      <c r="F3518" s="33"/>
      <c r="G3518" s="33"/>
      <c r="H3518" s="33"/>
      <c r="I3518" s="33"/>
    </row>
    <row r="3519" spans="2:9" ht="15.75">
      <c r="B3519" s="38"/>
      <c r="C3519" s="33"/>
      <c r="D3519" s="38"/>
      <c r="E3519" s="33"/>
      <c r="F3519" s="38"/>
      <c r="G3519" s="33"/>
      <c r="H3519" s="38"/>
      <c r="I3519" s="33"/>
    </row>
    <row r="3520" spans="2:9" ht="15.75">
      <c r="B3520" s="39"/>
      <c r="C3520" s="33"/>
      <c r="D3520" s="33"/>
      <c r="E3520" s="33"/>
      <c r="F3520" s="33"/>
      <c r="G3520" s="33"/>
      <c r="H3520" s="33"/>
      <c r="I3520" s="33"/>
    </row>
    <row r="3521" spans="2:9" ht="15.75">
      <c r="B3521" s="35"/>
      <c r="C3521" s="39"/>
      <c r="D3521" s="35"/>
      <c r="E3521" s="33"/>
      <c r="F3521" s="35"/>
      <c r="G3521" s="39"/>
      <c r="H3521" s="35"/>
    </row>
    <row r="3522" spans="2:9" ht="15.75">
      <c r="B3522" s="35"/>
      <c r="C3522" s="39"/>
      <c r="D3522" s="35"/>
      <c r="E3522" s="37"/>
      <c r="F3522" s="35"/>
      <c r="G3522" s="39"/>
      <c r="H3522" s="35"/>
    </row>
    <row r="3523" spans="2:9" ht="15.75">
      <c r="B3523" s="35"/>
      <c r="C3523" s="38"/>
      <c r="D3523" s="35"/>
      <c r="E3523" s="38"/>
      <c r="F3523" s="35"/>
      <c r="G3523" s="38"/>
      <c r="H3523" s="35"/>
    </row>
    <row r="3524" spans="2:9" ht="15.75">
      <c r="B3524" s="35"/>
      <c r="C3524" s="39"/>
      <c r="D3524" s="35"/>
      <c r="E3524" s="37"/>
      <c r="F3524" s="35"/>
      <c r="G3524" s="39"/>
      <c r="H3524" s="35"/>
    </row>
    <row r="3525" spans="2:9" ht="15.75">
      <c r="B3525" s="35"/>
      <c r="C3525" s="39"/>
      <c r="D3525" s="35"/>
      <c r="E3525" s="37"/>
      <c r="F3525" s="35"/>
      <c r="G3525" s="39"/>
      <c r="H3525" s="35"/>
    </row>
    <row r="3527" spans="2:9">
      <c r="B3527" s="43"/>
      <c r="D3527" s="44"/>
    </row>
    <row r="3528" spans="2:9">
      <c r="B3528" s="45"/>
    </row>
    <row r="3529" spans="2:9">
      <c r="B3529" s="46"/>
      <c r="D3529" s="47"/>
    </row>
    <row r="3531" spans="2:9">
      <c r="B3531" s="42"/>
    </row>
    <row r="3533" spans="2:9" ht="15.75">
      <c r="B3533" s="35"/>
      <c r="C3533" s="54"/>
      <c r="D3533" s="35"/>
      <c r="E3533" s="33"/>
      <c r="F3533" s="35"/>
      <c r="G3533" s="39"/>
      <c r="H3533" s="35"/>
      <c r="I3533" s="39"/>
    </row>
    <row r="3534" spans="2:9" ht="15.75">
      <c r="B3534" s="35"/>
      <c r="C3534" s="54"/>
      <c r="D3534" s="35"/>
      <c r="E3534" s="36"/>
      <c r="F3534" s="35"/>
      <c r="G3534" s="39"/>
      <c r="H3534" s="35"/>
      <c r="I3534" s="39"/>
    </row>
    <row r="3535" spans="2:9" ht="15.75">
      <c r="B3535" s="35"/>
      <c r="C3535" s="40"/>
      <c r="D3535" s="35"/>
      <c r="E3535" s="40"/>
      <c r="F3535" s="35"/>
      <c r="G3535" s="38"/>
      <c r="H3535" s="35"/>
      <c r="I3535" s="38"/>
    </row>
    <row r="3536" spans="2:9" ht="15.75">
      <c r="B3536" s="35"/>
      <c r="C3536" s="54"/>
      <c r="D3536" s="35"/>
      <c r="E3536" s="36"/>
      <c r="F3536" s="35"/>
      <c r="G3536" s="39"/>
      <c r="H3536" s="35"/>
      <c r="I3536" s="38"/>
    </row>
    <row r="3537" spans="2:9" ht="15.75">
      <c r="B3537" s="53"/>
      <c r="C3537" s="54"/>
      <c r="D3537" s="35"/>
      <c r="E3537" s="36"/>
      <c r="F3537" s="35"/>
      <c r="G3537" s="39"/>
      <c r="H3537" s="35"/>
      <c r="I3537" s="39"/>
    </row>
    <row r="3538" spans="2:9">
      <c r="B3538" s="33"/>
      <c r="C3538" s="34"/>
      <c r="D3538" s="33"/>
      <c r="E3538" s="33"/>
      <c r="F3538" s="33"/>
      <c r="G3538" s="33"/>
      <c r="H3538" s="33"/>
      <c r="I3538" s="33"/>
    </row>
    <row r="3539" spans="2:9" ht="15.75">
      <c r="B3539" s="38"/>
      <c r="C3539" s="34"/>
      <c r="D3539" s="38"/>
      <c r="E3539" s="33"/>
      <c r="F3539" s="38"/>
      <c r="G3539" s="33"/>
      <c r="H3539" s="38"/>
      <c r="I3539" s="33"/>
    </row>
    <row r="3540" spans="2:9" ht="15.75">
      <c r="B3540" s="39"/>
      <c r="C3540" s="33"/>
      <c r="D3540" s="33"/>
      <c r="E3540" s="33"/>
      <c r="F3540" s="33"/>
      <c r="G3540" s="33"/>
      <c r="H3540" s="33"/>
      <c r="I3540" s="33"/>
    </row>
    <row r="3541" spans="2:9" ht="15.75">
      <c r="B3541" s="35"/>
      <c r="C3541" s="39"/>
      <c r="D3541" s="35"/>
      <c r="E3541" s="33"/>
      <c r="F3541" s="35"/>
      <c r="G3541" s="39"/>
      <c r="H3541" s="35"/>
      <c r="I3541" s="39"/>
    </row>
    <row r="3542" spans="2:9" ht="15.75">
      <c r="B3542" s="35"/>
      <c r="C3542" s="39"/>
      <c r="D3542" s="35"/>
      <c r="E3542" s="37"/>
      <c r="F3542" s="35"/>
      <c r="G3542" s="39"/>
      <c r="H3542" s="35"/>
      <c r="I3542" s="39"/>
    </row>
    <row r="3543" spans="2:9" ht="15.75">
      <c r="B3543" s="35"/>
      <c r="C3543" s="38"/>
      <c r="D3543" s="35"/>
      <c r="E3543" s="38"/>
      <c r="F3543" s="35"/>
      <c r="G3543" s="38"/>
      <c r="H3543" s="35"/>
      <c r="I3543" s="38"/>
    </row>
    <row r="3544" spans="2:9" ht="15.75">
      <c r="B3544" s="35"/>
      <c r="C3544" s="39"/>
      <c r="D3544" s="35"/>
      <c r="E3544" s="37"/>
      <c r="F3544" s="35"/>
      <c r="G3544" s="39"/>
      <c r="H3544" s="35"/>
      <c r="I3544" s="39"/>
    </row>
    <row r="3545" spans="2:9" ht="15.75">
      <c r="B3545" s="35"/>
      <c r="C3545" s="39"/>
      <c r="D3545" s="35"/>
      <c r="E3545" s="37"/>
      <c r="F3545" s="35"/>
      <c r="G3545" s="39"/>
      <c r="H3545" s="35"/>
      <c r="I3545" s="39"/>
    </row>
    <row r="3546" spans="2:9">
      <c r="B3546" s="33"/>
      <c r="C3546" s="33"/>
      <c r="D3546" s="33"/>
      <c r="E3546" s="33"/>
      <c r="F3546" s="33"/>
      <c r="G3546" s="33"/>
      <c r="H3546" s="33"/>
      <c r="I3546" s="33"/>
    </row>
    <row r="3547" spans="2:9" ht="15.75">
      <c r="B3547" s="38"/>
      <c r="C3547" s="33"/>
      <c r="D3547" s="38"/>
      <c r="E3547" s="33"/>
      <c r="F3547" s="38"/>
      <c r="G3547" s="33"/>
      <c r="H3547" s="38"/>
      <c r="I3547" s="33"/>
    </row>
    <row r="3548" spans="2:9" ht="15.75">
      <c r="B3548" s="39"/>
      <c r="C3548" s="33"/>
      <c r="D3548" s="33"/>
      <c r="E3548" s="33"/>
      <c r="F3548" s="33"/>
      <c r="G3548" s="33"/>
      <c r="H3548" s="33"/>
      <c r="I3548" s="33"/>
    </row>
    <row r="3549" spans="2:9" ht="15.75">
      <c r="B3549" s="35"/>
      <c r="C3549" s="39"/>
      <c r="D3549" s="35"/>
      <c r="E3549" s="33"/>
      <c r="F3549" s="35"/>
      <c r="G3549" s="39"/>
      <c r="H3549" s="35"/>
    </row>
    <row r="3550" spans="2:9" ht="15.75">
      <c r="B3550" s="35"/>
      <c r="C3550" s="39"/>
      <c r="D3550" s="35"/>
      <c r="E3550" s="37"/>
      <c r="F3550" s="35"/>
      <c r="G3550" s="39"/>
      <c r="H3550" s="35"/>
    </row>
    <row r="3551" spans="2:9" ht="15.75">
      <c r="B3551" s="35"/>
      <c r="C3551" s="38"/>
      <c r="D3551" s="35"/>
      <c r="E3551" s="38"/>
      <c r="F3551" s="35"/>
      <c r="G3551" s="38"/>
      <c r="H3551" s="35"/>
    </row>
    <row r="3552" spans="2:9" ht="15.75">
      <c r="B3552" s="35"/>
      <c r="C3552" s="39"/>
      <c r="D3552" s="35"/>
      <c r="E3552" s="37"/>
      <c r="F3552" s="35"/>
      <c r="G3552" s="39"/>
      <c r="H3552" s="35"/>
    </row>
    <row r="3553" spans="2:9" ht="15.75">
      <c r="B3553" s="35"/>
      <c r="C3553" s="39"/>
      <c r="D3553" s="35"/>
      <c r="E3553" s="37"/>
      <c r="F3553" s="35"/>
      <c r="G3553" s="39"/>
      <c r="H3553" s="35"/>
    </row>
    <row r="3555" spans="2:9">
      <c r="B3555" s="43"/>
      <c r="D3555" s="44"/>
    </row>
    <row r="3556" spans="2:9">
      <c r="B3556" s="45"/>
    </row>
    <row r="3557" spans="2:9">
      <c r="B3557" s="46"/>
      <c r="D3557" s="47"/>
    </row>
    <row r="3559" spans="2:9">
      <c r="B3559" s="42"/>
    </row>
    <row r="3561" spans="2:9" ht="15.75">
      <c r="B3561" s="35"/>
      <c r="C3561" s="54"/>
      <c r="D3561" s="35"/>
      <c r="E3561" s="33"/>
      <c r="F3561" s="35"/>
      <c r="G3561" s="39"/>
      <c r="H3561" s="35"/>
      <c r="I3561" s="39"/>
    </row>
    <row r="3562" spans="2:9" ht="15.75">
      <c r="B3562" s="35"/>
      <c r="C3562" s="54"/>
      <c r="D3562" s="35"/>
      <c r="E3562" s="36"/>
      <c r="F3562" s="35"/>
      <c r="G3562" s="39"/>
      <c r="H3562" s="35"/>
      <c r="I3562" s="39"/>
    </row>
    <row r="3563" spans="2:9" ht="15.75">
      <c r="B3563" s="35"/>
      <c r="C3563" s="40"/>
      <c r="D3563" s="35"/>
      <c r="E3563" s="40"/>
      <c r="F3563" s="35"/>
      <c r="G3563" s="38"/>
      <c r="H3563" s="35"/>
      <c r="I3563" s="38"/>
    </row>
    <row r="3564" spans="2:9" ht="15.75">
      <c r="B3564" s="35"/>
      <c r="C3564" s="54"/>
      <c r="D3564" s="35"/>
      <c r="E3564" s="36"/>
      <c r="F3564" s="35"/>
      <c r="G3564" s="39"/>
      <c r="H3564" s="35"/>
      <c r="I3564" s="38"/>
    </row>
    <row r="3565" spans="2:9" ht="15.75">
      <c r="B3565" s="53"/>
      <c r="C3565" s="54"/>
      <c r="D3565" s="35"/>
      <c r="E3565" s="36"/>
      <c r="F3565" s="35"/>
      <c r="G3565" s="39"/>
      <c r="H3565" s="35"/>
      <c r="I3565" s="39"/>
    </row>
    <row r="3566" spans="2:9">
      <c r="B3566" s="33"/>
      <c r="C3566" s="34"/>
      <c r="D3566" s="33"/>
      <c r="E3566" s="33"/>
      <c r="F3566" s="33"/>
      <c r="G3566" s="33"/>
      <c r="H3566" s="33"/>
      <c r="I3566" s="33"/>
    </row>
    <row r="3567" spans="2:9" ht="15.75">
      <c r="B3567" s="38"/>
      <c r="C3567" s="34"/>
      <c r="D3567" s="38"/>
      <c r="E3567" s="33"/>
      <c r="F3567" s="38"/>
      <c r="G3567" s="33"/>
      <c r="H3567" s="38"/>
      <c r="I3567" s="33"/>
    </row>
    <row r="3568" spans="2:9" ht="15.75">
      <c r="B3568" s="39"/>
      <c r="C3568" s="33"/>
      <c r="D3568" s="33"/>
      <c r="E3568" s="33"/>
      <c r="F3568" s="33"/>
      <c r="G3568" s="33"/>
      <c r="H3568" s="33"/>
      <c r="I3568" s="33"/>
    </row>
    <row r="3569" spans="2:9" ht="15.75">
      <c r="B3569" s="35"/>
      <c r="C3569" s="39"/>
      <c r="D3569" s="35"/>
      <c r="E3569" s="33"/>
      <c r="F3569" s="35"/>
      <c r="G3569" s="39"/>
      <c r="H3569" s="35"/>
      <c r="I3569" s="39"/>
    </row>
    <row r="3570" spans="2:9" ht="15.75">
      <c r="B3570" s="35"/>
      <c r="C3570" s="39"/>
      <c r="D3570" s="35"/>
      <c r="E3570" s="37"/>
      <c r="F3570" s="35"/>
      <c r="G3570" s="39"/>
      <c r="H3570" s="35"/>
      <c r="I3570" s="39"/>
    </row>
    <row r="3571" spans="2:9" ht="15.75">
      <c r="B3571" s="35"/>
      <c r="C3571" s="38"/>
      <c r="D3571" s="35"/>
      <c r="E3571" s="38"/>
      <c r="F3571" s="35"/>
      <c r="G3571" s="38"/>
      <c r="H3571" s="35"/>
      <c r="I3571" s="38"/>
    </row>
    <row r="3572" spans="2:9" ht="15.75">
      <c r="B3572" s="35"/>
      <c r="C3572" s="39"/>
      <c r="D3572" s="35"/>
      <c r="E3572" s="37"/>
      <c r="F3572" s="35"/>
      <c r="G3572" s="39"/>
      <c r="H3572" s="35"/>
      <c r="I3572" s="39"/>
    </row>
    <row r="3573" spans="2:9" ht="15.75">
      <c r="B3573" s="35"/>
      <c r="C3573" s="39"/>
      <c r="D3573" s="35"/>
      <c r="E3573" s="37"/>
      <c r="F3573" s="35"/>
      <c r="G3573" s="39"/>
      <c r="H3573" s="35"/>
      <c r="I3573" s="39"/>
    </row>
    <row r="3574" spans="2:9">
      <c r="B3574" s="33"/>
      <c r="C3574" s="33"/>
      <c r="D3574" s="33"/>
      <c r="E3574" s="33"/>
      <c r="F3574" s="33"/>
      <c r="G3574" s="33"/>
      <c r="H3574" s="33"/>
      <c r="I3574" s="33"/>
    </row>
    <row r="3575" spans="2:9" ht="15.75">
      <c r="B3575" s="38"/>
      <c r="C3575" s="33"/>
      <c r="D3575" s="38"/>
      <c r="E3575" s="33"/>
      <c r="F3575" s="38"/>
      <c r="G3575" s="33"/>
      <c r="H3575" s="38"/>
      <c r="I3575" s="33"/>
    </row>
    <row r="3576" spans="2:9" ht="15.75">
      <c r="B3576" s="39"/>
      <c r="C3576" s="33"/>
      <c r="D3576" s="33"/>
      <c r="E3576" s="33"/>
      <c r="F3576" s="33"/>
      <c r="G3576" s="33"/>
      <c r="H3576" s="33"/>
      <c r="I3576" s="33"/>
    </row>
    <row r="3577" spans="2:9" ht="15.75">
      <c r="B3577" s="35"/>
      <c r="C3577" s="39"/>
      <c r="D3577" s="35"/>
      <c r="E3577" s="33"/>
      <c r="F3577" s="35"/>
      <c r="G3577" s="39"/>
      <c r="H3577" s="35"/>
    </row>
    <row r="3578" spans="2:9" ht="15.75">
      <c r="B3578" s="35"/>
      <c r="C3578" s="39"/>
      <c r="D3578" s="35"/>
      <c r="E3578" s="37"/>
      <c r="F3578" s="35"/>
      <c r="G3578" s="39"/>
      <c r="H3578" s="35"/>
    </row>
    <row r="3579" spans="2:9" ht="15.75">
      <c r="B3579" s="35"/>
      <c r="C3579" s="38"/>
      <c r="D3579" s="35"/>
      <c r="E3579" s="38"/>
      <c r="F3579" s="35"/>
      <c r="G3579" s="38"/>
      <c r="H3579" s="35"/>
    </row>
    <row r="3580" spans="2:9" ht="15.75">
      <c r="B3580" s="35"/>
      <c r="C3580" s="39"/>
      <c r="D3580" s="35"/>
      <c r="E3580" s="37"/>
      <c r="F3580" s="35"/>
      <c r="G3580" s="39"/>
      <c r="H3580" s="35"/>
    </row>
    <row r="3581" spans="2:9" ht="15.75">
      <c r="B3581" s="35"/>
      <c r="C3581" s="39"/>
      <c r="D3581" s="35"/>
      <c r="E3581" s="37"/>
      <c r="F3581" s="35"/>
      <c r="G3581" s="39"/>
      <c r="H3581" s="35"/>
    </row>
    <row r="3583" spans="2:9">
      <c r="B3583" s="43"/>
      <c r="D3583" s="44"/>
    </row>
    <row r="3584" spans="2:9">
      <c r="B3584" s="45"/>
    </row>
    <row r="3585" spans="2:9">
      <c r="B3585" s="46"/>
      <c r="D3585" s="47"/>
    </row>
    <row r="3587" spans="2:9">
      <c r="B3587" s="42"/>
    </row>
    <row r="3589" spans="2:9" ht="15.75">
      <c r="B3589" s="35"/>
      <c r="C3589" s="54"/>
      <c r="D3589" s="35"/>
      <c r="E3589" s="33"/>
      <c r="F3589" s="35"/>
      <c r="G3589" s="39"/>
      <c r="H3589" s="35"/>
      <c r="I3589" s="39"/>
    </row>
    <row r="3590" spans="2:9" ht="15.75">
      <c r="B3590" s="35"/>
      <c r="C3590" s="54"/>
      <c r="D3590" s="35"/>
      <c r="E3590" s="36"/>
      <c r="F3590" s="35"/>
      <c r="G3590" s="39"/>
      <c r="H3590" s="35"/>
      <c r="I3590" s="39"/>
    </row>
    <row r="3591" spans="2:9" ht="15.75">
      <c r="B3591" s="35"/>
      <c r="C3591" s="40"/>
      <c r="D3591" s="35"/>
      <c r="E3591" s="40"/>
      <c r="F3591" s="35"/>
      <c r="G3591" s="38"/>
      <c r="H3591" s="35"/>
      <c r="I3591" s="38"/>
    </row>
    <row r="3592" spans="2:9" ht="15.75">
      <c r="B3592" s="35"/>
      <c r="C3592" s="54"/>
      <c r="D3592" s="35"/>
      <c r="E3592" s="36"/>
      <c r="F3592" s="35"/>
      <c r="G3592" s="39"/>
      <c r="H3592" s="35"/>
      <c r="I3592" s="38"/>
    </row>
    <row r="3593" spans="2:9" ht="15.75">
      <c r="B3593" s="53"/>
      <c r="C3593" s="54"/>
      <c r="D3593" s="35"/>
      <c r="E3593" s="36"/>
      <c r="F3593" s="35"/>
      <c r="G3593" s="39"/>
      <c r="H3593" s="35"/>
      <c r="I3593" s="39"/>
    </row>
    <row r="3594" spans="2:9">
      <c r="B3594" s="33"/>
      <c r="C3594" s="34"/>
      <c r="D3594" s="33"/>
      <c r="E3594" s="33"/>
      <c r="F3594" s="33"/>
      <c r="G3594" s="33"/>
      <c r="H3594" s="33"/>
      <c r="I3594" s="33"/>
    </row>
    <row r="3595" spans="2:9" ht="15.75">
      <c r="B3595" s="38"/>
      <c r="C3595" s="34"/>
      <c r="D3595" s="38"/>
      <c r="E3595" s="33"/>
      <c r="F3595" s="38"/>
      <c r="G3595" s="33"/>
      <c r="H3595" s="38"/>
      <c r="I3595" s="33"/>
    </row>
    <row r="3596" spans="2:9" ht="15.75">
      <c r="B3596" s="39"/>
      <c r="C3596" s="33"/>
      <c r="D3596" s="33"/>
      <c r="E3596" s="33"/>
      <c r="F3596" s="33"/>
      <c r="G3596" s="33"/>
      <c r="H3596" s="33"/>
      <c r="I3596" s="33"/>
    </row>
    <row r="3597" spans="2:9" ht="15.75">
      <c r="B3597" s="35"/>
      <c r="C3597" s="39"/>
      <c r="D3597" s="35"/>
      <c r="E3597" s="33"/>
      <c r="F3597" s="35"/>
      <c r="G3597" s="39"/>
      <c r="H3597" s="35"/>
      <c r="I3597" s="39"/>
    </row>
    <row r="3598" spans="2:9" ht="15.75">
      <c r="B3598" s="35"/>
      <c r="C3598" s="39"/>
      <c r="D3598" s="35"/>
      <c r="E3598" s="37"/>
      <c r="F3598" s="35"/>
      <c r="G3598" s="39"/>
      <c r="H3598" s="35"/>
      <c r="I3598" s="39"/>
    </row>
    <row r="3599" spans="2:9" ht="15.75">
      <c r="B3599" s="35"/>
      <c r="C3599" s="38"/>
      <c r="D3599" s="35"/>
      <c r="E3599" s="38"/>
      <c r="F3599" s="35"/>
      <c r="G3599" s="38"/>
      <c r="H3599" s="35"/>
      <c r="I3599" s="38"/>
    </row>
    <row r="3600" spans="2:9" ht="15.75">
      <c r="B3600" s="35"/>
      <c r="C3600" s="39"/>
      <c r="D3600" s="35"/>
      <c r="E3600" s="37"/>
      <c r="F3600" s="35"/>
      <c r="G3600" s="39"/>
      <c r="H3600" s="35"/>
      <c r="I3600" s="39"/>
    </row>
    <row r="3601" spans="2:9" ht="15.75">
      <c r="B3601" s="35"/>
      <c r="C3601" s="39"/>
      <c r="D3601" s="35"/>
      <c r="E3601" s="37"/>
      <c r="F3601" s="35"/>
      <c r="G3601" s="39"/>
      <c r="H3601" s="35"/>
      <c r="I3601" s="39"/>
    </row>
    <row r="3602" spans="2:9">
      <c r="B3602" s="33"/>
      <c r="C3602" s="33"/>
      <c r="D3602" s="33"/>
      <c r="E3602" s="33"/>
      <c r="F3602" s="33"/>
      <c r="G3602" s="33"/>
      <c r="H3602" s="33"/>
      <c r="I3602" s="33"/>
    </row>
    <row r="3603" spans="2:9" ht="15.75">
      <c r="B3603" s="38"/>
      <c r="C3603" s="33"/>
      <c r="D3603" s="38"/>
      <c r="E3603" s="33"/>
      <c r="F3603" s="38"/>
      <c r="G3603" s="33"/>
      <c r="H3603" s="38"/>
      <c r="I3603" s="33"/>
    </row>
    <row r="3604" spans="2:9" ht="15.75">
      <c r="B3604" s="39"/>
      <c r="C3604" s="33"/>
      <c r="D3604" s="33"/>
      <c r="E3604" s="33"/>
      <c r="F3604" s="33"/>
      <c r="G3604" s="33"/>
      <c r="H3604" s="33"/>
      <c r="I3604" s="33"/>
    </row>
    <row r="3605" spans="2:9" ht="15.75">
      <c r="B3605" s="35"/>
      <c r="C3605" s="39"/>
      <c r="D3605" s="35"/>
      <c r="E3605" s="33"/>
      <c r="F3605" s="35"/>
      <c r="G3605" s="39"/>
      <c r="H3605" s="35"/>
    </row>
    <row r="3606" spans="2:9" ht="15.75">
      <c r="B3606" s="35"/>
      <c r="C3606" s="39"/>
      <c r="D3606" s="35"/>
      <c r="E3606" s="37"/>
      <c r="F3606" s="35"/>
      <c r="G3606" s="39"/>
      <c r="H3606" s="35"/>
    </row>
    <row r="3607" spans="2:9" ht="15.75">
      <c r="B3607" s="35"/>
      <c r="C3607" s="38"/>
      <c r="D3607" s="35"/>
      <c r="E3607" s="38"/>
      <c r="F3607" s="35"/>
      <c r="G3607" s="38"/>
      <c r="H3607" s="35"/>
    </row>
    <row r="3608" spans="2:9" ht="15.75">
      <c r="B3608" s="35"/>
      <c r="C3608" s="39"/>
      <c r="D3608" s="35"/>
      <c r="E3608" s="37"/>
      <c r="F3608" s="35"/>
      <c r="G3608" s="39"/>
      <c r="H3608" s="35"/>
    </row>
    <row r="3609" spans="2:9" ht="15.75">
      <c r="B3609" s="35"/>
      <c r="C3609" s="39"/>
      <c r="D3609" s="35"/>
      <c r="E3609" s="37"/>
      <c r="F3609" s="35"/>
      <c r="G3609" s="39"/>
      <c r="H3609" s="35"/>
    </row>
    <row r="3611" spans="2:9">
      <c r="B3611" s="43"/>
      <c r="D3611" s="44"/>
    </row>
    <row r="3612" spans="2:9">
      <c r="B3612" s="45"/>
    </row>
    <row r="3613" spans="2:9">
      <c r="B3613" s="46"/>
      <c r="D3613" s="47"/>
    </row>
    <row r="3614" spans="2:9">
      <c r="B3614" s="50"/>
      <c r="C3614" s="49"/>
      <c r="D3614" s="49"/>
    </row>
    <row r="3615" spans="2:9">
      <c r="B3615" s="42"/>
    </row>
    <row r="3617" spans="2:9" ht="15.75">
      <c r="B3617" s="35"/>
      <c r="C3617" s="54"/>
      <c r="D3617" s="35"/>
      <c r="E3617" s="33"/>
      <c r="F3617" s="35"/>
      <c r="G3617" s="39"/>
      <c r="H3617" s="35"/>
      <c r="I3617" s="39"/>
    </row>
    <row r="3618" spans="2:9" ht="15.75">
      <c r="B3618" s="35"/>
      <c r="C3618" s="54"/>
      <c r="D3618" s="35"/>
      <c r="E3618" s="36"/>
      <c r="F3618" s="35"/>
      <c r="G3618" s="39"/>
      <c r="H3618" s="35"/>
      <c r="I3618" s="39"/>
    </row>
    <row r="3619" spans="2:9" ht="15.75">
      <c r="B3619" s="35"/>
      <c r="C3619" s="40"/>
      <c r="D3619" s="35"/>
      <c r="E3619" s="40"/>
      <c r="F3619" s="35"/>
      <c r="G3619" s="38"/>
      <c r="H3619" s="35"/>
      <c r="I3619" s="38"/>
    </row>
    <row r="3620" spans="2:9" ht="15.75">
      <c r="B3620" s="35"/>
      <c r="C3620" s="54"/>
      <c r="D3620" s="35"/>
      <c r="E3620" s="36"/>
      <c r="F3620" s="35"/>
      <c r="G3620" s="39"/>
      <c r="H3620" s="35"/>
      <c r="I3620" s="38"/>
    </row>
    <row r="3621" spans="2:9" ht="15.75">
      <c r="B3621" s="53"/>
      <c r="C3621" s="54"/>
      <c r="D3621" s="35"/>
      <c r="E3621" s="36"/>
      <c r="F3621" s="35"/>
      <c r="G3621" s="39"/>
      <c r="H3621" s="35"/>
      <c r="I3621" s="39"/>
    </row>
    <row r="3622" spans="2:9">
      <c r="B3622" s="33"/>
      <c r="C3622" s="34"/>
      <c r="D3622" s="33"/>
      <c r="E3622" s="33"/>
      <c r="F3622" s="33"/>
      <c r="G3622" s="33"/>
      <c r="H3622" s="33"/>
      <c r="I3622" s="33"/>
    </row>
    <row r="3623" spans="2:9" ht="15.75">
      <c r="B3623" s="38"/>
      <c r="C3623" s="34"/>
      <c r="D3623" s="38"/>
      <c r="E3623" s="33"/>
      <c r="F3623" s="38"/>
      <c r="G3623" s="33"/>
      <c r="H3623" s="38"/>
      <c r="I3623" s="33"/>
    </row>
    <row r="3624" spans="2:9" ht="15.75">
      <c r="B3624" s="39"/>
      <c r="C3624" s="33"/>
      <c r="D3624" s="33"/>
      <c r="E3624" s="33"/>
      <c r="F3624" s="33"/>
      <c r="G3624" s="33"/>
      <c r="H3624" s="33"/>
      <c r="I3624" s="33"/>
    </row>
    <row r="3625" spans="2:9" ht="15.75">
      <c r="B3625" s="35"/>
      <c r="C3625" s="39"/>
      <c r="D3625" s="35"/>
      <c r="E3625" s="33"/>
      <c r="F3625" s="35"/>
      <c r="G3625" s="39"/>
      <c r="H3625" s="35"/>
      <c r="I3625" s="39"/>
    </row>
    <row r="3626" spans="2:9" ht="15.75">
      <c r="B3626" s="35"/>
      <c r="C3626" s="39"/>
      <c r="D3626" s="35"/>
      <c r="E3626" s="37"/>
      <c r="F3626" s="35"/>
      <c r="G3626" s="39"/>
      <c r="H3626" s="35"/>
      <c r="I3626" s="39"/>
    </row>
    <row r="3627" spans="2:9" ht="15.75">
      <c r="B3627" s="35"/>
      <c r="C3627" s="38"/>
      <c r="D3627" s="35"/>
      <c r="E3627" s="38"/>
      <c r="F3627" s="35"/>
      <c r="G3627" s="38"/>
      <c r="H3627" s="35"/>
      <c r="I3627" s="38"/>
    </row>
    <row r="3628" spans="2:9" ht="15.75">
      <c r="B3628" s="35"/>
      <c r="C3628" s="39"/>
      <c r="D3628" s="35"/>
      <c r="E3628" s="37"/>
      <c r="F3628" s="35"/>
      <c r="G3628" s="39"/>
      <c r="H3628" s="35"/>
      <c r="I3628" s="39"/>
    </row>
    <row r="3629" spans="2:9" ht="15.75">
      <c r="B3629" s="35"/>
      <c r="C3629" s="39"/>
      <c r="D3629" s="35"/>
      <c r="E3629" s="37"/>
      <c r="F3629" s="35"/>
      <c r="G3629" s="39"/>
      <c r="H3629" s="35"/>
      <c r="I3629" s="39"/>
    </row>
    <row r="3630" spans="2:9">
      <c r="B3630" s="33"/>
      <c r="C3630" s="33"/>
      <c r="D3630" s="33"/>
      <c r="E3630" s="33"/>
      <c r="F3630" s="33"/>
      <c r="G3630" s="33"/>
      <c r="H3630" s="33"/>
      <c r="I3630" s="33"/>
    </row>
    <row r="3631" spans="2:9" ht="15.75">
      <c r="B3631" s="38"/>
      <c r="C3631" s="33"/>
      <c r="D3631" s="38"/>
      <c r="E3631" s="33"/>
      <c r="F3631" s="38"/>
      <c r="G3631" s="33"/>
      <c r="H3631" s="38"/>
      <c r="I3631" s="33"/>
    </row>
    <row r="3632" spans="2:9" ht="15.75">
      <c r="B3632" s="39"/>
      <c r="C3632" s="33"/>
      <c r="D3632" s="33"/>
      <c r="E3632" s="33"/>
      <c r="F3632" s="33"/>
      <c r="G3632" s="33"/>
      <c r="H3632" s="33"/>
      <c r="I3632" s="33"/>
    </row>
    <row r="3633" spans="2:9" ht="15.75">
      <c r="B3633" s="35"/>
      <c r="C3633" s="39"/>
      <c r="D3633" s="35"/>
      <c r="E3633" s="33"/>
      <c r="F3633" s="35"/>
      <c r="G3633" s="39"/>
      <c r="H3633" s="35"/>
    </row>
    <row r="3634" spans="2:9" ht="15.75">
      <c r="B3634" s="35"/>
      <c r="C3634" s="39"/>
      <c r="D3634" s="35"/>
      <c r="E3634" s="37"/>
      <c r="F3634" s="35"/>
      <c r="G3634" s="39"/>
      <c r="H3634" s="35"/>
    </row>
    <row r="3635" spans="2:9" ht="15.75">
      <c r="B3635" s="35"/>
      <c r="C3635" s="38"/>
      <c r="D3635" s="35"/>
      <c r="E3635" s="38"/>
      <c r="F3635" s="35"/>
      <c r="G3635" s="38"/>
      <c r="H3635" s="35"/>
    </row>
    <row r="3636" spans="2:9" ht="15.75">
      <c r="B3636" s="35"/>
      <c r="C3636" s="39"/>
      <c r="D3636" s="35"/>
      <c r="E3636" s="37"/>
      <c r="F3636" s="35"/>
      <c r="G3636" s="39"/>
      <c r="H3636" s="35"/>
    </row>
    <row r="3637" spans="2:9" ht="15.75">
      <c r="B3637" s="35"/>
      <c r="C3637" s="39"/>
      <c r="D3637" s="35"/>
      <c r="E3637" s="37"/>
      <c r="F3637" s="35"/>
      <c r="G3637" s="39"/>
      <c r="H3637" s="35"/>
    </row>
    <row r="3639" spans="2:9">
      <c r="B3639" s="43"/>
      <c r="D3639" s="44"/>
    </row>
    <row r="3640" spans="2:9">
      <c r="B3640" s="45"/>
    </row>
    <row r="3641" spans="2:9">
      <c r="B3641" s="46"/>
      <c r="D3641" s="47"/>
    </row>
    <row r="3642" spans="2:9">
      <c r="B3642" s="50"/>
      <c r="C3642" s="49"/>
      <c r="D3642" s="49"/>
    </row>
    <row r="3643" spans="2:9">
      <c r="B3643" s="42"/>
    </row>
    <row r="3645" spans="2:9" ht="15.75">
      <c r="B3645" s="35"/>
      <c r="C3645" s="54"/>
      <c r="D3645" s="35"/>
      <c r="E3645" s="33"/>
      <c r="F3645" s="35"/>
      <c r="G3645" s="39"/>
      <c r="H3645" s="35"/>
      <c r="I3645" s="39"/>
    </row>
    <row r="3646" spans="2:9" ht="15.75">
      <c r="B3646" s="35"/>
      <c r="C3646" s="54"/>
      <c r="D3646" s="35"/>
      <c r="E3646" s="36"/>
      <c r="F3646" s="35"/>
      <c r="G3646" s="39"/>
      <c r="H3646" s="35"/>
      <c r="I3646" s="39"/>
    </row>
    <row r="3647" spans="2:9" ht="15.75">
      <c r="B3647" s="35"/>
      <c r="C3647" s="40"/>
      <c r="D3647" s="35"/>
      <c r="E3647" s="40"/>
      <c r="F3647" s="35"/>
      <c r="G3647" s="38"/>
      <c r="H3647" s="35"/>
      <c r="I3647" s="38"/>
    </row>
    <row r="3648" spans="2:9" ht="15.75">
      <c r="B3648" s="35"/>
      <c r="C3648" s="54"/>
      <c r="D3648" s="35"/>
      <c r="E3648" s="36"/>
      <c r="F3648" s="35"/>
      <c r="G3648" s="39"/>
      <c r="H3648" s="35"/>
      <c r="I3648" s="38"/>
    </row>
    <row r="3649" spans="2:9" ht="15.75">
      <c r="B3649" s="53"/>
      <c r="C3649" s="54"/>
      <c r="D3649" s="35"/>
      <c r="E3649" s="36"/>
      <c r="F3649" s="35"/>
      <c r="G3649" s="39"/>
      <c r="H3649" s="35"/>
      <c r="I3649" s="39"/>
    </row>
    <row r="3650" spans="2:9">
      <c r="B3650" s="33"/>
      <c r="C3650" s="34"/>
      <c r="D3650" s="33"/>
      <c r="E3650" s="33"/>
      <c r="F3650" s="33"/>
      <c r="G3650" s="33"/>
      <c r="H3650" s="33"/>
      <c r="I3650" s="33"/>
    </row>
    <row r="3651" spans="2:9" ht="15.75">
      <c r="B3651" s="38"/>
      <c r="C3651" s="34"/>
      <c r="D3651" s="38"/>
      <c r="E3651" s="33"/>
      <c r="F3651" s="38"/>
      <c r="G3651" s="33"/>
      <c r="H3651" s="38"/>
      <c r="I3651" s="33"/>
    </row>
    <row r="3652" spans="2:9" ht="15.75">
      <c r="B3652" s="39"/>
      <c r="C3652" s="33"/>
      <c r="D3652" s="33"/>
      <c r="E3652" s="33"/>
      <c r="F3652" s="33"/>
      <c r="G3652" s="33"/>
      <c r="H3652" s="33"/>
      <c r="I3652" s="33"/>
    </row>
    <row r="3653" spans="2:9" ht="15.75">
      <c r="B3653" s="35"/>
      <c r="C3653" s="39"/>
      <c r="D3653" s="35"/>
      <c r="E3653" s="33"/>
      <c r="F3653" s="35"/>
      <c r="G3653" s="39"/>
      <c r="H3653" s="35"/>
      <c r="I3653" s="39"/>
    </row>
    <row r="3654" spans="2:9" ht="15.75">
      <c r="B3654" s="35"/>
      <c r="C3654" s="39"/>
      <c r="D3654" s="35"/>
      <c r="E3654" s="37"/>
      <c r="F3654" s="35"/>
      <c r="G3654" s="39"/>
      <c r="H3654" s="35"/>
      <c r="I3654" s="39"/>
    </row>
    <row r="3655" spans="2:9" ht="15.75">
      <c r="B3655" s="35"/>
      <c r="C3655" s="38"/>
      <c r="D3655" s="35"/>
      <c r="E3655" s="38"/>
      <c r="F3655" s="35"/>
      <c r="G3655" s="38"/>
      <c r="H3655" s="35"/>
      <c r="I3655" s="38"/>
    </row>
    <row r="3656" spans="2:9" ht="15.75">
      <c r="B3656" s="35"/>
      <c r="C3656" s="39"/>
      <c r="D3656" s="35"/>
      <c r="E3656" s="37"/>
      <c r="F3656" s="35"/>
      <c r="G3656" s="39"/>
      <c r="H3656" s="35"/>
      <c r="I3656" s="39"/>
    </row>
    <row r="3657" spans="2:9" ht="15.75">
      <c r="B3657" s="35"/>
      <c r="C3657" s="39"/>
      <c r="D3657" s="35"/>
      <c r="E3657" s="37"/>
      <c r="F3657" s="35"/>
      <c r="G3657" s="39"/>
      <c r="H3657" s="35"/>
      <c r="I3657" s="39"/>
    </row>
    <row r="3658" spans="2:9">
      <c r="B3658" s="33"/>
      <c r="C3658" s="33"/>
      <c r="D3658" s="33"/>
      <c r="E3658" s="33"/>
      <c r="F3658" s="33"/>
      <c r="G3658" s="33"/>
      <c r="H3658" s="33"/>
      <c r="I3658" s="33"/>
    </row>
    <row r="3659" spans="2:9" ht="15.75">
      <c r="B3659" s="38"/>
      <c r="C3659" s="33"/>
      <c r="D3659" s="38"/>
      <c r="E3659" s="33"/>
      <c r="F3659" s="38"/>
      <c r="G3659" s="33"/>
      <c r="H3659" s="38"/>
      <c r="I3659" s="33"/>
    </row>
    <row r="3660" spans="2:9" ht="15.75">
      <c r="B3660" s="39"/>
      <c r="C3660" s="33"/>
      <c r="D3660" s="33"/>
      <c r="E3660" s="33"/>
      <c r="F3660" s="33"/>
      <c r="G3660" s="33"/>
      <c r="H3660" s="33"/>
      <c r="I3660" s="33"/>
    </row>
    <row r="3661" spans="2:9" ht="15.75">
      <c r="B3661" s="35"/>
      <c r="C3661" s="39"/>
      <c r="D3661" s="35"/>
      <c r="E3661" s="33"/>
      <c r="F3661" s="35"/>
      <c r="G3661" s="39"/>
      <c r="H3661" s="35"/>
    </row>
    <row r="3662" spans="2:9" ht="15.75">
      <c r="B3662" s="35"/>
      <c r="C3662" s="39"/>
      <c r="D3662" s="35"/>
      <c r="E3662" s="37"/>
      <c r="F3662" s="35"/>
      <c r="G3662" s="39"/>
      <c r="H3662" s="35"/>
    </row>
    <row r="3663" spans="2:9" ht="15.75">
      <c r="B3663" s="35"/>
      <c r="C3663" s="38"/>
      <c r="D3663" s="35"/>
      <c r="E3663" s="38"/>
      <c r="F3663" s="35"/>
      <c r="G3663" s="38"/>
      <c r="H3663" s="35"/>
    </row>
    <row r="3664" spans="2:9" ht="15.75">
      <c r="B3664" s="35"/>
      <c r="C3664" s="39"/>
      <c r="D3664" s="35"/>
      <c r="E3664" s="37"/>
      <c r="F3664" s="35"/>
      <c r="G3664" s="39"/>
      <c r="H3664" s="35"/>
    </row>
    <row r="3665" spans="2:9" ht="15.75">
      <c r="B3665" s="35"/>
      <c r="C3665" s="39"/>
      <c r="D3665" s="35"/>
      <c r="E3665" s="37"/>
      <c r="F3665" s="35"/>
      <c r="G3665" s="39"/>
      <c r="H3665" s="35"/>
    </row>
    <row r="3667" spans="2:9">
      <c r="B3667" s="43"/>
      <c r="D3667" s="44"/>
    </row>
    <row r="3668" spans="2:9">
      <c r="B3668" s="45"/>
    </row>
    <row r="3669" spans="2:9">
      <c r="B3669" s="46"/>
      <c r="D3669" s="47"/>
    </row>
    <row r="3671" spans="2:9">
      <c r="B3671" s="55"/>
    </row>
    <row r="3673" spans="2:9">
      <c r="B3673" s="42"/>
    </row>
    <row r="3675" spans="2:9" ht="15.75">
      <c r="B3675" s="35"/>
      <c r="C3675" s="54"/>
      <c r="D3675" s="35"/>
      <c r="E3675" s="33"/>
      <c r="F3675" s="35"/>
      <c r="G3675" s="39"/>
      <c r="H3675" s="35"/>
      <c r="I3675" s="39"/>
    </row>
    <row r="3676" spans="2:9" ht="15.75">
      <c r="B3676" s="35"/>
      <c r="C3676" s="54"/>
      <c r="D3676" s="35"/>
      <c r="E3676" s="36"/>
      <c r="F3676" s="35"/>
      <c r="G3676" s="39"/>
      <c r="H3676" s="35"/>
      <c r="I3676" s="39"/>
    </row>
    <row r="3677" spans="2:9" ht="15.75">
      <c r="B3677" s="35"/>
      <c r="C3677" s="40"/>
      <c r="D3677" s="35"/>
      <c r="E3677" s="40"/>
      <c r="F3677" s="35"/>
      <c r="G3677" s="38"/>
      <c r="H3677" s="35"/>
      <c r="I3677" s="38"/>
    </row>
    <row r="3678" spans="2:9" ht="15.75">
      <c r="B3678" s="35"/>
      <c r="C3678" s="54"/>
      <c r="D3678" s="35"/>
      <c r="E3678" s="36"/>
      <c r="F3678" s="35"/>
      <c r="G3678" s="39"/>
      <c r="H3678" s="35"/>
      <c r="I3678" s="38"/>
    </row>
    <row r="3679" spans="2:9" ht="15.75">
      <c r="B3679" s="53"/>
      <c r="C3679" s="54"/>
      <c r="D3679" s="35"/>
      <c r="E3679" s="36"/>
      <c r="F3679" s="35"/>
      <c r="G3679" s="39"/>
      <c r="H3679" s="35"/>
      <c r="I3679" s="39"/>
    </row>
    <row r="3680" spans="2:9">
      <c r="B3680" s="33"/>
      <c r="C3680" s="34"/>
      <c r="D3680" s="33"/>
      <c r="E3680" s="33"/>
      <c r="F3680" s="33"/>
      <c r="G3680" s="33"/>
      <c r="H3680" s="33"/>
      <c r="I3680" s="33"/>
    </row>
    <row r="3681" spans="2:9" ht="15.75">
      <c r="B3681" s="38"/>
      <c r="C3681" s="34"/>
      <c r="D3681" s="38"/>
      <c r="E3681" s="33"/>
      <c r="F3681" s="38"/>
      <c r="G3681" s="33"/>
      <c r="H3681" s="38"/>
      <c r="I3681" s="33"/>
    </row>
    <row r="3682" spans="2:9" ht="15.75">
      <c r="B3682" s="39"/>
      <c r="C3682" s="33"/>
      <c r="D3682" s="33"/>
      <c r="E3682" s="33"/>
      <c r="F3682" s="33"/>
      <c r="G3682" s="33"/>
      <c r="H3682" s="33"/>
      <c r="I3682" s="33"/>
    </row>
    <row r="3683" spans="2:9" ht="15.75">
      <c r="B3683" s="35"/>
      <c r="C3683" s="39"/>
      <c r="D3683" s="35"/>
      <c r="E3683" s="33"/>
      <c r="F3683" s="35"/>
      <c r="G3683" s="39"/>
      <c r="H3683" s="35"/>
      <c r="I3683" s="39"/>
    </row>
    <row r="3684" spans="2:9" ht="15.75">
      <c r="B3684" s="35"/>
      <c r="C3684" s="39"/>
      <c r="D3684" s="35"/>
      <c r="E3684" s="37"/>
      <c r="F3684" s="35"/>
      <c r="G3684" s="39"/>
      <c r="H3684" s="35"/>
      <c r="I3684" s="39"/>
    </row>
    <row r="3685" spans="2:9" ht="15.75">
      <c r="B3685" s="35"/>
      <c r="C3685" s="38"/>
      <c r="D3685" s="35"/>
      <c r="E3685" s="38"/>
      <c r="F3685" s="35"/>
      <c r="G3685" s="38"/>
      <c r="H3685" s="35"/>
      <c r="I3685" s="38"/>
    </row>
    <row r="3686" spans="2:9" ht="15.75">
      <c r="B3686" s="35"/>
      <c r="C3686" s="39"/>
      <c r="D3686" s="35"/>
      <c r="E3686" s="37"/>
      <c r="F3686" s="35"/>
      <c r="G3686" s="39"/>
      <c r="H3686" s="35"/>
      <c r="I3686" s="39"/>
    </row>
    <row r="3687" spans="2:9" ht="15.75">
      <c r="B3687" s="35"/>
      <c r="C3687" s="39"/>
      <c r="D3687" s="35"/>
      <c r="E3687" s="37"/>
      <c r="F3687" s="35"/>
      <c r="G3687" s="39"/>
      <c r="H3687" s="35"/>
      <c r="I3687" s="39"/>
    </row>
    <row r="3688" spans="2:9">
      <c r="B3688" s="33"/>
      <c r="C3688" s="33"/>
      <c r="D3688" s="33"/>
      <c r="E3688" s="33"/>
      <c r="F3688" s="33"/>
      <c r="G3688" s="33"/>
      <c r="H3688" s="33"/>
      <c r="I3688" s="33"/>
    </row>
    <row r="3689" spans="2:9" ht="15.75">
      <c r="B3689" s="38"/>
      <c r="C3689" s="33"/>
      <c r="D3689" s="38"/>
      <c r="E3689" s="33"/>
      <c r="F3689" s="38"/>
      <c r="G3689" s="33"/>
      <c r="H3689" s="38"/>
      <c r="I3689" s="33"/>
    </row>
    <row r="3690" spans="2:9" ht="15.75">
      <c r="B3690" s="39"/>
      <c r="C3690" s="33"/>
      <c r="D3690" s="33"/>
      <c r="E3690" s="33"/>
      <c r="F3690" s="33"/>
      <c r="G3690" s="33"/>
      <c r="H3690" s="33"/>
      <c r="I3690" s="33"/>
    </row>
    <row r="3691" spans="2:9" ht="15.75">
      <c r="B3691" s="35"/>
      <c r="C3691" s="39"/>
      <c r="D3691" s="35"/>
      <c r="E3691" s="33"/>
      <c r="F3691" s="35"/>
      <c r="G3691" s="39"/>
      <c r="H3691" s="35"/>
    </row>
    <row r="3692" spans="2:9" ht="15.75">
      <c r="B3692" s="35"/>
      <c r="C3692" s="39"/>
      <c r="D3692" s="35"/>
      <c r="E3692" s="37"/>
      <c r="F3692" s="35"/>
      <c r="G3692" s="39"/>
      <c r="H3692" s="35"/>
    </row>
    <row r="3693" spans="2:9" ht="15.75">
      <c r="B3693" s="35"/>
      <c r="C3693" s="38"/>
      <c r="D3693" s="35"/>
      <c r="E3693" s="38"/>
      <c r="F3693" s="35"/>
      <c r="G3693" s="38"/>
      <c r="H3693" s="35"/>
    </row>
    <row r="3694" spans="2:9" ht="15.75">
      <c r="B3694" s="35"/>
      <c r="C3694" s="39"/>
      <c r="D3694" s="35"/>
      <c r="E3694" s="37"/>
      <c r="F3694" s="35"/>
      <c r="G3694" s="39"/>
      <c r="H3694" s="35"/>
    </row>
    <row r="3695" spans="2:9" ht="15.75">
      <c r="B3695" s="35"/>
      <c r="C3695" s="39"/>
      <c r="D3695" s="35"/>
      <c r="E3695" s="37"/>
      <c r="F3695" s="35"/>
      <c r="G3695" s="39"/>
      <c r="H3695" s="35"/>
    </row>
    <row r="3697" spans="2:9">
      <c r="B3697" s="43"/>
      <c r="D3697" s="44"/>
    </row>
    <row r="3698" spans="2:9">
      <c r="B3698" s="45"/>
    </row>
    <row r="3699" spans="2:9">
      <c r="B3699" s="46"/>
      <c r="D3699" s="47"/>
    </row>
    <row r="3701" spans="2:9">
      <c r="B3701" s="42"/>
    </row>
    <row r="3703" spans="2:9" ht="15.75">
      <c r="B3703" s="35"/>
      <c r="C3703" s="54"/>
      <c r="D3703" s="35"/>
      <c r="E3703" s="33"/>
      <c r="F3703" s="35"/>
      <c r="G3703" s="39"/>
      <c r="H3703" s="35"/>
      <c r="I3703" s="39"/>
    </row>
    <row r="3704" spans="2:9" ht="15.75">
      <c r="B3704" s="35"/>
      <c r="C3704" s="54"/>
      <c r="D3704" s="35"/>
      <c r="E3704" s="36"/>
      <c r="F3704" s="35"/>
      <c r="G3704" s="39"/>
      <c r="H3704" s="35"/>
      <c r="I3704" s="39"/>
    </row>
    <row r="3705" spans="2:9" ht="15.75">
      <c r="B3705" s="35"/>
      <c r="C3705" s="40"/>
      <c r="D3705" s="35"/>
      <c r="E3705" s="40"/>
      <c r="F3705" s="35"/>
      <c r="G3705" s="38"/>
      <c r="H3705" s="35"/>
      <c r="I3705" s="38"/>
    </row>
    <row r="3706" spans="2:9" ht="15.75">
      <c r="B3706" s="35"/>
      <c r="C3706" s="54"/>
      <c r="D3706" s="35"/>
      <c r="E3706" s="36"/>
      <c r="F3706" s="35"/>
      <c r="G3706" s="39"/>
      <c r="H3706" s="35"/>
      <c r="I3706" s="38"/>
    </row>
    <row r="3707" spans="2:9" ht="15.75">
      <c r="B3707" s="53"/>
      <c r="C3707" s="54"/>
      <c r="D3707" s="35"/>
      <c r="E3707" s="36"/>
      <c r="F3707" s="35"/>
      <c r="G3707" s="39"/>
      <c r="H3707" s="35"/>
      <c r="I3707" s="39"/>
    </row>
    <row r="3708" spans="2:9">
      <c r="B3708" s="33"/>
      <c r="C3708" s="34"/>
      <c r="D3708" s="33"/>
      <c r="E3708" s="33"/>
      <c r="F3708" s="33"/>
      <c r="G3708" s="33"/>
      <c r="H3708" s="33"/>
      <c r="I3708" s="33"/>
    </row>
    <row r="3709" spans="2:9" ht="15.75">
      <c r="B3709" s="38"/>
      <c r="C3709" s="34"/>
      <c r="D3709" s="38"/>
      <c r="E3709" s="33"/>
      <c r="F3709" s="38"/>
      <c r="G3709" s="33"/>
      <c r="H3709" s="38"/>
      <c r="I3709" s="33"/>
    </row>
    <row r="3710" spans="2:9" ht="15.75">
      <c r="B3710" s="39"/>
      <c r="C3710" s="33"/>
      <c r="D3710" s="33"/>
      <c r="E3710" s="33"/>
      <c r="F3710" s="33"/>
      <c r="G3710" s="33"/>
      <c r="H3710" s="33"/>
      <c r="I3710" s="33"/>
    </row>
    <row r="3711" spans="2:9" ht="15.75">
      <c r="B3711" s="35"/>
      <c r="C3711" s="39"/>
      <c r="D3711" s="35"/>
      <c r="E3711" s="33"/>
      <c r="F3711" s="35"/>
      <c r="G3711" s="39"/>
      <c r="H3711" s="35"/>
      <c r="I3711" s="39"/>
    </row>
    <row r="3712" spans="2:9" ht="15.75">
      <c r="B3712" s="35"/>
      <c r="C3712" s="39"/>
      <c r="D3712" s="35"/>
      <c r="E3712" s="37"/>
      <c r="F3712" s="35"/>
      <c r="G3712" s="39"/>
      <c r="H3712" s="35"/>
      <c r="I3712" s="39"/>
    </row>
    <row r="3713" spans="2:9" ht="15.75">
      <c r="B3713" s="35"/>
      <c r="C3713" s="38"/>
      <c r="D3713" s="35"/>
      <c r="E3713" s="38"/>
      <c r="F3713" s="35"/>
      <c r="G3713" s="38"/>
      <c r="H3713" s="35"/>
      <c r="I3713" s="38"/>
    </row>
    <row r="3714" spans="2:9" ht="15.75">
      <c r="B3714" s="35"/>
      <c r="C3714" s="39"/>
      <c r="D3714" s="35"/>
      <c r="E3714" s="37"/>
      <c r="F3714" s="35"/>
      <c r="G3714" s="39"/>
      <c r="H3714" s="35"/>
      <c r="I3714" s="39"/>
    </row>
    <row r="3715" spans="2:9" ht="15.75">
      <c r="B3715" s="35"/>
      <c r="C3715" s="39"/>
      <c r="D3715" s="35"/>
      <c r="E3715" s="37"/>
      <c r="F3715" s="35"/>
      <c r="G3715" s="39"/>
      <c r="H3715" s="35"/>
      <c r="I3715" s="39"/>
    </row>
    <row r="3716" spans="2:9">
      <c r="B3716" s="33"/>
      <c r="C3716" s="33"/>
      <c r="D3716" s="33"/>
      <c r="E3716" s="33"/>
      <c r="F3716" s="33"/>
      <c r="G3716" s="33"/>
      <c r="H3716" s="33"/>
      <c r="I3716" s="33"/>
    </row>
    <row r="3717" spans="2:9" ht="15.75">
      <c r="B3717" s="38"/>
      <c r="C3717" s="33"/>
      <c r="D3717" s="38"/>
      <c r="E3717" s="33"/>
      <c r="F3717" s="38"/>
      <c r="G3717" s="33"/>
      <c r="H3717" s="38"/>
      <c r="I3717" s="33"/>
    </row>
    <row r="3718" spans="2:9" ht="15.75">
      <c r="B3718" s="39"/>
      <c r="C3718" s="33"/>
      <c r="D3718" s="33"/>
      <c r="E3718" s="33"/>
      <c r="F3718" s="33"/>
      <c r="G3718" s="33"/>
      <c r="H3718" s="33"/>
      <c r="I3718" s="33"/>
    </row>
    <row r="3719" spans="2:9" ht="15.75">
      <c r="B3719" s="35"/>
      <c r="C3719" s="39"/>
      <c r="D3719" s="35"/>
      <c r="E3719" s="33"/>
      <c r="F3719" s="35"/>
      <c r="G3719" s="39"/>
      <c r="H3719" s="35"/>
    </row>
    <row r="3720" spans="2:9" ht="15.75">
      <c r="B3720" s="35"/>
      <c r="C3720" s="39"/>
      <c r="D3720" s="35"/>
      <c r="E3720" s="37"/>
      <c r="F3720" s="35"/>
      <c r="G3720" s="39"/>
      <c r="H3720" s="35"/>
    </row>
    <row r="3721" spans="2:9" ht="15.75">
      <c r="B3721" s="35"/>
      <c r="C3721" s="38"/>
      <c r="D3721" s="35"/>
      <c r="E3721" s="38"/>
      <c r="F3721" s="35"/>
      <c r="G3721" s="38"/>
      <c r="H3721" s="35"/>
    </row>
    <row r="3722" spans="2:9" ht="15.75">
      <c r="B3722" s="35"/>
      <c r="C3722" s="39"/>
      <c r="D3722" s="35"/>
      <c r="E3722" s="37"/>
      <c r="F3722" s="35"/>
      <c r="G3722" s="39"/>
      <c r="H3722" s="35"/>
    </row>
    <row r="3723" spans="2:9" ht="15.75">
      <c r="B3723" s="35"/>
      <c r="C3723" s="39"/>
      <c r="D3723" s="35"/>
      <c r="E3723" s="37"/>
      <c r="F3723" s="35"/>
      <c r="G3723" s="39"/>
      <c r="H3723" s="35"/>
    </row>
    <row r="3725" spans="2:9">
      <c r="B3725" s="43"/>
      <c r="D3725" s="44"/>
    </row>
    <row r="3726" spans="2:9">
      <c r="B3726" s="45"/>
    </row>
    <row r="3727" spans="2:9">
      <c r="B3727" s="46"/>
      <c r="D3727" s="47"/>
    </row>
    <row r="3729" spans="2:9">
      <c r="B3729" s="42"/>
    </row>
    <row r="3731" spans="2:9" ht="15.75">
      <c r="B3731" s="35"/>
      <c r="C3731" s="54"/>
      <c r="D3731" s="35"/>
      <c r="E3731" s="33"/>
      <c r="F3731" s="35"/>
      <c r="G3731" s="39"/>
      <c r="H3731" s="35"/>
      <c r="I3731" s="39"/>
    </row>
    <row r="3732" spans="2:9" ht="15.75">
      <c r="B3732" s="35"/>
      <c r="C3732" s="54"/>
      <c r="D3732" s="35"/>
      <c r="E3732" s="36"/>
      <c r="F3732" s="35"/>
      <c r="G3732" s="39"/>
      <c r="H3732" s="35"/>
      <c r="I3732" s="39"/>
    </row>
    <row r="3733" spans="2:9" ht="15.75">
      <c r="B3733" s="35"/>
      <c r="C3733" s="40"/>
      <c r="D3733" s="35"/>
      <c r="E3733" s="40"/>
      <c r="F3733" s="35"/>
      <c r="G3733" s="38"/>
      <c r="H3733" s="35"/>
      <c r="I3733" s="38"/>
    </row>
    <row r="3734" spans="2:9" ht="15.75">
      <c r="B3734" s="35"/>
      <c r="C3734" s="54"/>
      <c r="D3734" s="35"/>
      <c r="E3734" s="36"/>
      <c r="F3734" s="35"/>
      <c r="G3734" s="39"/>
      <c r="H3734" s="35"/>
      <c r="I3734" s="38"/>
    </row>
    <row r="3735" spans="2:9" ht="15.75">
      <c r="B3735" s="53"/>
      <c r="C3735" s="54"/>
      <c r="D3735" s="35"/>
      <c r="E3735" s="36"/>
      <c r="F3735" s="35"/>
      <c r="G3735" s="39"/>
      <c r="H3735" s="35"/>
      <c r="I3735" s="39"/>
    </row>
    <row r="3736" spans="2:9">
      <c r="B3736" s="33"/>
      <c r="C3736" s="34"/>
      <c r="D3736" s="33"/>
      <c r="E3736" s="33"/>
      <c r="F3736" s="33"/>
      <c r="G3736" s="33"/>
      <c r="H3736" s="33"/>
      <c r="I3736" s="33"/>
    </row>
    <row r="3737" spans="2:9" ht="15.75">
      <c r="B3737" s="38"/>
      <c r="C3737" s="34"/>
      <c r="D3737" s="38"/>
      <c r="E3737" s="33"/>
      <c r="F3737" s="38"/>
      <c r="G3737" s="33"/>
      <c r="H3737" s="38"/>
      <c r="I3737" s="33"/>
    </row>
    <row r="3738" spans="2:9" ht="15.75">
      <c r="B3738" s="39"/>
      <c r="C3738" s="33"/>
      <c r="D3738" s="33"/>
      <c r="E3738" s="33"/>
      <c r="F3738" s="33"/>
      <c r="G3738" s="33"/>
      <c r="H3738" s="33"/>
      <c r="I3738" s="33"/>
    </row>
    <row r="3739" spans="2:9" ht="15.75">
      <c r="B3739" s="35"/>
      <c r="C3739" s="39"/>
      <c r="D3739" s="35"/>
      <c r="E3739" s="33"/>
      <c r="F3739" s="35"/>
      <c r="G3739" s="39"/>
      <c r="H3739" s="35"/>
      <c r="I3739" s="39"/>
    </row>
    <row r="3740" spans="2:9" ht="15.75">
      <c r="B3740" s="35"/>
      <c r="C3740" s="39"/>
      <c r="D3740" s="35"/>
      <c r="E3740" s="37"/>
      <c r="F3740" s="35"/>
      <c r="G3740" s="39"/>
      <c r="H3740" s="35"/>
      <c r="I3740" s="39"/>
    </row>
    <row r="3741" spans="2:9" ht="15.75">
      <c r="B3741" s="35"/>
      <c r="C3741" s="38"/>
      <c r="D3741" s="35"/>
      <c r="E3741" s="38"/>
      <c r="F3741" s="35"/>
      <c r="G3741" s="38"/>
      <c r="H3741" s="35"/>
      <c r="I3741" s="38"/>
    </row>
    <row r="3742" spans="2:9" ht="15.75">
      <c r="B3742" s="35"/>
      <c r="C3742" s="39"/>
      <c r="D3742" s="35"/>
      <c r="E3742" s="37"/>
      <c r="F3742" s="35"/>
      <c r="G3742" s="39"/>
      <c r="H3742" s="35"/>
      <c r="I3742" s="39"/>
    </row>
    <row r="3743" spans="2:9" ht="15.75">
      <c r="B3743" s="35"/>
      <c r="C3743" s="39"/>
      <c r="D3743" s="35"/>
      <c r="E3743" s="37"/>
      <c r="F3743" s="35"/>
      <c r="G3743" s="39"/>
      <c r="H3743" s="35"/>
      <c r="I3743" s="39"/>
    </row>
    <row r="3744" spans="2:9">
      <c r="B3744" s="33"/>
      <c r="C3744" s="33"/>
      <c r="D3744" s="33"/>
      <c r="E3744" s="33"/>
      <c r="F3744" s="33"/>
      <c r="G3744" s="33"/>
      <c r="H3744" s="33"/>
      <c r="I3744" s="33"/>
    </row>
    <row r="3745" spans="2:9" ht="15.75">
      <c r="B3745" s="38"/>
      <c r="C3745" s="33"/>
      <c r="D3745" s="38"/>
      <c r="E3745" s="33"/>
      <c r="F3745" s="38"/>
      <c r="G3745" s="33"/>
      <c r="H3745" s="38"/>
      <c r="I3745" s="33"/>
    </row>
    <row r="3746" spans="2:9" ht="15.75">
      <c r="B3746" s="39"/>
      <c r="C3746" s="33"/>
      <c r="D3746" s="33"/>
      <c r="E3746" s="33"/>
      <c r="F3746" s="33"/>
      <c r="G3746" s="33"/>
      <c r="H3746" s="33"/>
      <c r="I3746" s="33"/>
    </row>
    <row r="3747" spans="2:9" ht="15.75">
      <c r="B3747" s="35"/>
      <c r="C3747" s="39"/>
      <c r="D3747" s="35"/>
      <c r="E3747" s="33"/>
      <c r="F3747" s="35"/>
      <c r="G3747" s="39"/>
      <c r="H3747" s="35"/>
    </row>
    <row r="3748" spans="2:9" ht="15.75">
      <c r="B3748" s="35"/>
      <c r="C3748" s="39"/>
      <c r="D3748" s="35"/>
      <c r="E3748" s="37"/>
      <c r="F3748" s="35"/>
      <c r="G3748" s="39"/>
      <c r="H3748" s="35"/>
    </row>
    <row r="3749" spans="2:9" ht="15.75">
      <c r="B3749" s="35"/>
      <c r="C3749" s="38"/>
      <c r="D3749" s="35"/>
      <c r="E3749" s="38"/>
      <c r="F3749" s="35"/>
      <c r="G3749" s="38"/>
      <c r="H3749" s="35"/>
    </row>
    <row r="3750" spans="2:9" ht="15.75">
      <c r="B3750" s="35"/>
      <c r="C3750" s="39"/>
      <c r="D3750" s="35"/>
      <c r="E3750" s="37"/>
      <c r="F3750" s="35"/>
      <c r="G3750" s="39"/>
      <c r="H3750" s="35"/>
    </row>
    <row r="3751" spans="2:9" ht="15.75">
      <c r="B3751" s="35"/>
      <c r="C3751" s="39"/>
      <c r="D3751" s="35"/>
      <c r="E3751" s="37"/>
      <c r="F3751" s="35"/>
      <c r="G3751" s="39"/>
      <c r="H3751" s="35"/>
    </row>
    <row r="3753" spans="2:9">
      <c r="B3753" s="43"/>
      <c r="D3753" s="44"/>
    </row>
    <row r="3754" spans="2:9">
      <c r="B3754" s="45"/>
    </row>
    <row r="3755" spans="2:9">
      <c r="B3755" s="46"/>
      <c r="D3755" s="47"/>
    </row>
    <row r="3757" spans="2:9">
      <c r="B3757" s="42"/>
    </row>
    <row r="3759" spans="2:9" ht="15.75">
      <c r="B3759" s="35"/>
      <c r="C3759" s="54"/>
      <c r="D3759" s="35"/>
      <c r="E3759" s="33"/>
      <c r="F3759" s="35"/>
      <c r="G3759" s="39"/>
      <c r="H3759" s="35"/>
      <c r="I3759" s="39"/>
    </row>
    <row r="3760" spans="2:9" ht="15.75">
      <c r="B3760" s="35"/>
      <c r="C3760" s="54"/>
      <c r="D3760" s="35"/>
      <c r="E3760" s="36"/>
      <c r="F3760" s="35"/>
      <c r="G3760" s="39"/>
      <c r="H3760" s="35"/>
      <c r="I3760" s="39"/>
    </row>
    <row r="3761" spans="2:9" ht="15.75">
      <c r="B3761" s="35"/>
      <c r="C3761" s="40"/>
      <c r="D3761" s="35"/>
      <c r="E3761" s="40"/>
      <c r="F3761" s="35"/>
      <c r="G3761" s="38"/>
      <c r="H3761" s="35"/>
      <c r="I3761" s="38"/>
    </row>
    <row r="3762" spans="2:9" ht="15.75">
      <c r="B3762" s="35"/>
      <c r="C3762" s="54"/>
      <c r="D3762" s="35"/>
      <c r="E3762" s="36"/>
      <c r="F3762" s="35"/>
      <c r="G3762" s="39"/>
      <c r="H3762" s="35"/>
      <c r="I3762" s="38"/>
    </row>
    <row r="3763" spans="2:9" ht="15.75">
      <c r="B3763" s="53"/>
      <c r="C3763" s="54"/>
      <c r="D3763" s="35"/>
      <c r="E3763" s="36"/>
      <c r="F3763" s="35"/>
      <c r="G3763" s="39"/>
      <c r="H3763" s="35"/>
      <c r="I3763" s="39"/>
    </row>
    <row r="3764" spans="2:9">
      <c r="B3764" s="33"/>
      <c r="C3764" s="34"/>
      <c r="D3764" s="33"/>
      <c r="E3764" s="33"/>
      <c r="F3764" s="33"/>
      <c r="G3764" s="33"/>
      <c r="H3764" s="33"/>
      <c r="I3764" s="33"/>
    </row>
    <row r="3765" spans="2:9" ht="15.75">
      <c r="B3765" s="38"/>
      <c r="C3765" s="34"/>
      <c r="D3765" s="38"/>
      <c r="E3765" s="33"/>
      <c r="F3765" s="38"/>
      <c r="G3765" s="33"/>
      <c r="H3765" s="38"/>
      <c r="I3765" s="33"/>
    </row>
    <row r="3766" spans="2:9" ht="15.75">
      <c r="B3766" s="39"/>
      <c r="C3766" s="33"/>
      <c r="D3766" s="33"/>
      <c r="E3766" s="33"/>
      <c r="F3766" s="33"/>
      <c r="G3766" s="33"/>
      <c r="H3766" s="33"/>
      <c r="I3766" s="33"/>
    </row>
    <row r="3767" spans="2:9" ht="15.75">
      <c r="B3767" s="35"/>
      <c r="C3767" s="39"/>
      <c r="D3767" s="35"/>
      <c r="E3767" s="33"/>
      <c r="F3767" s="35"/>
      <c r="G3767" s="39"/>
      <c r="H3767" s="35"/>
      <c r="I3767" s="39"/>
    </row>
    <row r="3768" spans="2:9" ht="15.75">
      <c r="B3768" s="35"/>
      <c r="C3768" s="39"/>
      <c r="D3768" s="35"/>
      <c r="E3768" s="37"/>
      <c r="F3768" s="35"/>
      <c r="G3768" s="39"/>
      <c r="H3768" s="35"/>
      <c r="I3768" s="39"/>
    </row>
    <row r="3769" spans="2:9" ht="15.75">
      <c r="B3769" s="35"/>
      <c r="C3769" s="38"/>
      <c r="D3769" s="35"/>
      <c r="E3769" s="38"/>
      <c r="F3769" s="35"/>
      <c r="G3769" s="38"/>
      <c r="H3769" s="35"/>
      <c r="I3769" s="38"/>
    </row>
    <row r="3770" spans="2:9" ht="15.75">
      <c r="B3770" s="35"/>
      <c r="C3770" s="39"/>
      <c r="D3770" s="35"/>
      <c r="E3770" s="37"/>
      <c r="F3770" s="35"/>
      <c r="G3770" s="39"/>
      <c r="H3770" s="35"/>
      <c r="I3770" s="39"/>
    </row>
    <row r="3771" spans="2:9" ht="15.75">
      <c r="B3771" s="35"/>
      <c r="C3771" s="39"/>
      <c r="D3771" s="35"/>
      <c r="E3771" s="37"/>
      <c r="F3771" s="35"/>
      <c r="G3771" s="39"/>
      <c r="H3771" s="35"/>
      <c r="I3771" s="39"/>
    </row>
    <row r="3772" spans="2:9">
      <c r="B3772" s="33"/>
      <c r="C3772" s="33"/>
      <c r="D3772" s="33"/>
      <c r="E3772" s="33"/>
      <c r="F3772" s="33"/>
      <c r="G3772" s="33"/>
      <c r="H3772" s="33"/>
      <c r="I3772" s="33"/>
    </row>
    <row r="3773" spans="2:9" ht="15.75">
      <c r="B3773" s="38"/>
      <c r="C3773" s="33"/>
      <c r="D3773" s="38"/>
      <c r="E3773" s="33"/>
      <c r="F3773" s="38"/>
      <c r="G3773" s="33"/>
      <c r="H3773" s="38"/>
      <c r="I3773" s="33"/>
    </row>
    <row r="3774" spans="2:9" ht="15.75">
      <c r="B3774" s="39"/>
      <c r="C3774" s="33"/>
      <c r="D3774" s="33"/>
      <c r="E3774" s="33"/>
      <c r="F3774" s="33"/>
      <c r="G3774" s="33"/>
      <c r="H3774" s="33"/>
      <c r="I3774" s="33"/>
    </row>
    <row r="3775" spans="2:9" ht="15.75">
      <c r="B3775" s="35"/>
      <c r="C3775" s="39"/>
      <c r="D3775" s="35"/>
      <c r="E3775" s="33"/>
      <c r="F3775" s="35"/>
      <c r="G3775" s="39"/>
      <c r="H3775" s="35"/>
    </row>
    <row r="3776" spans="2:9" ht="15.75">
      <c r="B3776" s="35"/>
      <c r="C3776" s="39"/>
      <c r="D3776" s="35"/>
      <c r="E3776" s="37"/>
      <c r="F3776" s="35"/>
      <c r="G3776" s="39"/>
      <c r="H3776" s="35"/>
    </row>
    <row r="3777" spans="2:9" ht="15.75">
      <c r="B3777" s="35"/>
      <c r="C3777" s="38"/>
      <c r="D3777" s="35"/>
      <c r="E3777" s="38"/>
      <c r="F3777" s="35"/>
      <c r="G3777" s="38"/>
      <c r="H3777" s="35"/>
    </row>
    <row r="3778" spans="2:9" ht="15.75">
      <c r="B3778" s="35"/>
      <c r="C3778" s="39"/>
      <c r="D3778" s="35"/>
      <c r="E3778" s="37"/>
      <c r="F3778" s="35"/>
      <c r="G3778" s="39"/>
      <c r="H3778" s="35"/>
    </row>
    <row r="3779" spans="2:9" ht="15.75">
      <c r="B3779" s="35"/>
      <c r="C3779" s="39"/>
      <c r="D3779" s="35"/>
      <c r="E3779" s="37"/>
      <c r="F3779" s="35"/>
      <c r="G3779" s="39"/>
      <c r="H3779" s="35"/>
    </row>
    <row r="3781" spans="2:9">
      <c r="B3781" s="43"/>
      <c r="D3781" s="44"/>
    </row>
    <row r="3782" spans="2:9">
      <c r="B3782" s="45"/>
    </row>
    <row r="3783" spans="2:9">
      <c r="B3783" s="46"/>
      <c r="D3783" s="47"/>
    </row>
    <row r="3785" spans="2:9">
      <c r="B3785" s="42"/>
    </row>
    <row r="3787" spans="2:9" ht="15.75">
      <c r="B3787" s="35"/>
      <c r="C3787" s="54"/>
      <c r="D3787" s="35"/>
      <c r="E3787" s="33"/>
      <c r="F3787" s="35"/>
      <c r="G3787" s="39"/>
      <c r="H3787" s="35"/>
      <c r="I3787" s="39"/>
    </row>
    <row r="3788" spans="2:9" ht="15.75">
      <c r="B3788" s="35"/>
      <c r="C3788" s="54"/>
      <c r="D3788" s="35"/>
      <c r="E3788" s="36"/>
      <c r="F3788" s="35"/>
      <c r="G3788" s="39"/>
      <c r="H3788" s="35"/>
      <c r="I3788" s="39"/>
    </row>
    <row r="3789" spans="2:9" ht="15.75">
      <c r="B3789" s="35"/>
      <c r="C3789" s="40"/>
      <c r="D3789" s="35"/>
      <c r="E3789" s="40"/>
      <c r="F3789" s="35"/>
      <c r="G3789" s="38"/>
      <c r="H3789" s="35"/>
      <c r="I3789" s="38"/>
    </row>
    <row r="3790" spans="2:9" ht="15.75">
      <c r="B3790" s="35"/>
      <c r="C3790" s="54"/>
      <c r="D3790" s="35"/>
      <c r="E3790" s="36"/>
      <c r="F3790" s="35"/>
      <c r="G3790" s="39"/>
      <c r="H3790" s="35"/>
      <c r="I3790" s="38"/>
    </row>
    <row r="3791" spans="2:9" ht="15.75">
      <c r="B3791" s="53"/>
      <c r="C3791" s="54"/>
      <c r="D3791" s="35"/>
      <c r="E3791" s="36"/>
      <c r="F3791" s="35"/>
      <c r="G3791" s="39"/>
      <c r="H3791" s="35"/>
      <c r="I3791" s="39"/>
    </row>
    <row r="3792" spans="2:9">
      <c r="B3792" s="33"/>
      <c r="C3792" s="34"/>
      <c r="D3792" s="33"/>
      <c r="E3792" s="33"/>
      <c r="F3792" s="33"/>
      <c r="G3792" s="33"/>
      <c r="H3792" s="33"/>
      <c r="I3792" s="33"/>
    </row>
    <row r="3793" spans="2:9" ht="15.75">
      <c r="B3793" s="38"/>
      <c r="C3793" s="34"/>
      <c r="D3793" s="38"/>
      <c r="E3793" s="33"/>
      <c r="F3793" s="38"/>
      <c r="G3793" s="33"/>
      <c r="H3793" s="38"/>
      <c r="I3793" s="33"/>
    </row>
    <row r="3794" spans="2:9" ht="15.75">
      <c r="B3794" s="39"/>
      <c r="C3794" s="33"/>
      <c r="D3794" s="33"/>
      <c r="E3794" s="33"/>
      <c r="F3794" s="33"/>
      <c r="G3794" s="33"/>
      <c r="H3794" s="33"/>
      <c r="I3794" s="33"/>
    </row>
    <row r="3795" spans="2:9" ht="15.75">
      <c r="B3795" s="35"/>
      <c r="C3795" s="39"/>
      <c r="D3795" s="35"/>
      <c r="E3795" s="33"/>
      <c r="F3795" s="35"/>
      <c r="G3795" s="39"/>
      <c r="H3795" s="35"/>
      <c r="I3795" s="39"/>
    </row>
    <row r="3796" spans="2:9" ht="15.75">
      <c r="B3796" s="35"/>
      <c r="C3796" s="39"/>
      <c r="D3796" s="35"/>
      <c r="E3796" s="37"/>
      <c r="F3796" s="35"/>
      <c r="G3796" s="39"/>
      <c r="H3796" s="35"/>
      <c r="I3796" s="39"/>
    </row>
    <row r="3797" spans="2:9" ht="15.75">
      <c r="B3797" s="35"/>
      <c r="C3797" s="38"/>
      <c r="D3797" s="35"/>
      <c r="E3797" s="38"/>
      <c r="F3797" s="35"/>
      <c r="G3797" s="38"/>
      <c r="H3797" s="35"/>
      <c r="I3797" s="38"/>
    </row>
    <row r="3798" spans="2:9" ht="15.75">
      <c r="B3798" s="35"/>
      <c r="C3798" s="39"/>
      <c r="D3798" s="35"/>
      <c r="E3798" s="37"/>
      <c r="F3798" s="35"/>
      <c r="G3798" s="39"/>
      <c r="H3798" s="35"/>
      <c r="I3798" s="39"/>
    </row>
    <row r="3799" spans="2:9" ht="15.75">
      <c r="B3799" s="35"/>
      <c r="C3799" s="39"/>
      <c r="D3799" s="35"/>
      <c r="E3799" s="37"/>
      <c r="F3799" s="35"/>
      <c r="G3799" s="39"/>
      <c r="H3799" s="35"/>
      <c r="I3799" s="39"/>
    </row>
    <row r="3800" spans="2:9">
      <c r="B3800" s="33"/>
      <c r="C3800" s="33"/>
      <c r="D3800" s="33"/>
      <c r="E3800" s="33"/>
      <c r="F3800" s="33"/>
      <c r="G3800" s="33"/>
      <c r="H3800" s="33"/>
      <c r="I3800" s="33"/>
    </row>
    <row r="3801" spans="2:9" ht="15.75">
      <c r="B3801" s="38"/>
      <c r="C3801" s="33"/>
      <c r="D3801" s="38"/>
      <c r="E3801" s="33"/>
      <c r="F3801" s="38"/>
      <c r="G3801" s="33"/>
      <c r="H3801" s="38"/>
      <c r="I3801" s="33"/>
    </row>
    <row r="3802" spans="2:9" ht="15.75">
      <c r="B3802" s="39"/>
      <c r="C3802" s="33"/>
      <c r="D3802" s="33"/>
      <c r="E3802" s="33"/>
      <c r="F3802" s="33"/>
      <c r="G3802" s="33"/>
      <c r="H3802" s="33"/>
      <c r="I3802" s="33"/>
    </row>
    <row r="3803" spans="2:9" ht="15.75">
      <c r="B3803" s="35"/>
      <c r="C3803" s="39"/>
      <c r="D3803" s="35"/>
      <c r="E3803" s="33"/>
      <c r="F3803" s="35"/>
      <c r="G3803" s="39"/>
      <c r="H3803" s="35"/>
    </row>
    <row r="3804" spans="2:9" ht="15.75">
      <c r="B3804" s="35"/>
      <c r="C3804" s="39"/>
      <c r="D3804" s="35"/>
      <c r="E3804" s="37"/>
      <c r="F3804" s="35"/>
      <c r="G3804" s="39"/>
      <c r="H3804" s="35"/>
    </row>
    <row r="3805" spans="2:9" ht="15.75">
      <c r="B3805" s="35"/>
      <c r="C3805" s="38"/>
      <c r="D3805" s="35"/>
      <c r="E3805" s="38"/>
      <c r="F3805" s="35"/>
      <c r="G3805" s="38"/>
      <c r="H3805" s="35"/>
    </row>
    <row r="3806" spans="2:9" ht="15.75">
      <c r="B3806" s="35"/>
      <c r="C3806" s="39"/>
      <c r="D3806" s="35"/>
      <c r="E3806" s="37"/>
      <c r="F3806" s="35"/>
      <c r="G3806" s="39"/>
      <c r="H3806" s="35"/>
    </row>
    <row r="3807" spans="2:9" ht="15.75">
      <c r="B3807" s="35"/>
      <c r="C3807" s="39"/>
      <c r="D3807" s="35"/>
      <c r="E3807" s="37"/>
      <c r="F3807" s="35"/>
      <c r="G3807" s="39"/>
      <c r="H3807" s="35"/>
    </row>
    <row r="3809" spans="2:9">
      <c r="B3809" s="43"/>
      <c r="D3809" s="44"/>
    </row>
    <row r="3810" spans="2:9">
      <c r="B3810" s="45"/>
    </row>
    <row r="3811" spans="2:9">
      <c r="B3811" s="46"/>
      <c r="D3811" s="47"/>
    </row>
    <row r="3813" spans="2:9">
      <c r="B3813" s="42"/>
    </row>
    <row r="3815" spans="2:9" ht="15.75">
      <c r="B3815" s="35"/>
      <c r="C3815" s="54"/>
      <c r="D3815" s="35"/>
      <c r="E3815" s="33"/>
      <c r="F3815" s="35"/>
      <c r="G3815" s="39"/>
      <c r="H3815" s="35"/>
      <c r="I3815" s="39"/>
    </row>
    <row r="3816" spans="2:9" ht="15.75">
      <c r="B3816" s="35"/>
      <c r="C3816" s="54"/>
      <c r="D3816" s="35"/>
      <c r="E3816" s="36"/>
      <c r="F3816" s="35"/>
      <c r="G3816" s="39"/>
      <c r="H3816" s="35"/>
      <c r="I3816" s="39"/>
    </row>
    <row r="3817" spans="2:9" ht="15.75">
      <c r="B3817" s="35"/>
      <c r="C3817" s="40"/>
      <c r="D3817" s="35"/>
      <c r="E3817" s="40"/>
      <c r="F3817" s="35"/>
      <c r="G3817" s="38"/>
      <c r="H3817" s="35"/>
      <c r="I3817" s="38"/>
    </row>
    <row r="3818" spans="2:9" ht="15.75">
      <c r="B3818" s="35"/>
      <c r="C3818" s="54"/>
      <c r="D3818" s="35"/>
      <c r="E3818" s="36"/>
      <c r="F3818" s="35"/>
      <c r="G3818" s="39"/>
      <c r="H3818" s="35"/>
      <c r="I3818" s="38"/>
    </row>
    <row r="3819" spans="2:9" ht="15.75">
      <c r="B3819" s="53"/>
      <c r="C3819" s="54"/>
      <c r="D3819" s="35"/>
      <c r="E3819" s="36"/>
      <c r="F3819" s="35"/>
      <c r="G3819" s="39"/>
      <c r="H3819" s="35"/>
      <c r="I3819" s="39"/>
    </row>
    <row r="3820" spans="2:9">
      <c r="B3820" s="33"/>
      <c r="C3820" s="34"/>
      <c r="D3820" s="33"/>
      <c r="E3820" s="33"/>
      <c r="F3820" s="33"/>
      <c r="G3820" s="33"/>
      <c r="H3820" s="33"/>
      <c r="I3820" s="33"/>
    </row>
    <row r="3821" spans="2:9" ht="15.75">
      <c r="B3821" s="38"/>
      <c r="C3821" s="34"/>
      <c r="D3821" s="38"/>
      <c r="E3821" s="33"/>
      <c r="F3821" s="38"/>
      <c r="G3821" s="33"/>
      <c r="H3821" s="38"/>
      <c r="I3821" s="33"/>
    </row>
    <row r="3822" spans="2:9" ht="15.75">
      <c r="B3822" s="39"/>
      <c r="C3822" s="33"/>
      <c r="D3822" s="33"/>
      <c r="E3822" s="33"/>
      <c r="F3822" s="33"/>
      <c r="G3822" s="33"/>
      <c r="H3822" s="33"/>
      <c r="I3822" s="33"/>
    </row>
    <row r="3823" spans="2:9" ht="15.75">
      <c r="B3823" s="35"/>
      <c r="C3823" s="39"/>
      <c r="D3823" s="35"/>
      <c r="E3823" s="33"/>
      <c r="F3823" s="35"/>
      <c r="G3823" s="39"/>
      <c r="H3823" s="35"/>
      <c r="I3823" s="39"/>
    </row>
    <row r="3824" spans="2:9" ht="15.75">
      <c r="B3824" s="35"/>
      <c r="C3824" s="39"/>
      <c r="D3824" s="35"/>
      <c r="E3824" s="37"/>
      <c r="F3824" s="35"/>
      <c r="G3824" s="39"/>
      <c r="H3824" s="35"/>
      <c r="I3824" s="39"/>
    </row>
    <row r="3825" spans="2:9" ht="15.75">
      <c r="B3825" s="35"/>
      <c r="C3825" s="38"/>
      <c r="D3825" s="35"/>
      <c r="E3825" s="38"/>
      <c r="F3825" s="35"/>
      <c r="G3825" s="38"/>
      <c r="H3825" s="35"/>
      <c r="I3825" s="38"/>
    </row>
    <row r="3826" spans="2:9" ht="15.75">
      <c r="B3826" s="35"/>
      <c r="C3826" s="39"/>
      <c r="D3826" s="35"/>
      <c r="E3826" s="37"/>
      <c r="F3826" s="35"/>
      <c r="G3826" s="39"/>
      <c r="H3826" s="35"/>
      <c r="I3826" s="39"/>
    </row>
    <row r="3827" spans="2:9" ht="15.75">
      <c r="B3827" s="35"/>
      <c r="C3827" s="39"/>
      <c r="D3827" s="35"/>
      <c r="E3827" s="37"/>
      <c r="F3827" s="35"/>
      <c r="G3827" s="39"/>
      <c r="H3827" s="35"/>
      <c r="I3827" s="39"/>
    </row>
    <row r="3828" spans="2:9">
      <c r="B3828" s="33"/>
      <c r="C3828" s="33"/>
      <c r="D3828" s="33"/>
      <c r="E3828" s="33"/>
      <c r="F3828" s="33"/>
      <c r="G3828" s="33"/>
      <c r="H3828" s="33"/>
      <c r="I3828" s="33"/>
    </row>
    <row r="3829" spans="2:9" ht="15.75">
      <c r="B3829" s="38"/>
      <c r="C3829" s="33"/>
      <c r="D3829" s="38"/>
      <c r="E3829" s="33"/>
      <c r="F3829" s="38"/>
      <c r="G3829" s="33"/>
      <c r="H3829" s="38"/>
      <c r="I3829" s="33"/>
    </row>
    <row r="3830" spans="2:9" ht="15.75">
      <c r="B3830" s="39"/>
      <c r="C3830" s="33"/>
      <c r="D3830" s="33"/>
      <c r="E3830" s="33"/>
      <c r="F3830" s="33"/>
      <c r="G3830" s="33"/>
      <c r="H3830" s="33"/>
      <c r="I3830" s="33"/>
    </row>
    <row r="3831" spans="2:9" ht="15.75">
      <c r="B3831" s="35"/>
      <c r="C3831" s="39"/>
      <c r="D3831" s="35"/>
      <c r="E3831" s="33"/>
      <c r="F3831" s="35"/>
      <c r="G3831" s="39"/>
      <c r="H3831" s="35"/>
    </row>
    <row r="3832" spans="2:9" ht="15.75">
      <c r="B3832" s="35"/>
      <c r="C3832" s="39"/>
      <c r="D3832" s="35"/>
      <c r="E3832" s="37"/>
      <c r="F3832" s="35"/>
      <c r="G3832" s="39"/>
      <c r="H3832" s="35"/>
    </row>
    <row r="3833" spans="2:9" ht="15.75">
      <c r="B3833" s="35"/>
      <c r="C3833" s="38"/>
      <c r="D3833" s="35"/>
      <c r="E3833" s="38"/>
      <c r="F3833" s="35"/>
      <c r="G3833" s="38"/>
      <c r="H3833" s="35"/>
    </row>
    <row r="3834" spans="2:9" ht="15.75">
      <c r="B3834" s="35"/>
      <c r="C3834" s="39"/>
      <c r="D3834" s="35"/>
      <c r="E3834" s="37"/>
      <c r="F3834" s="35"/>
      <c r="G3834" s="39"/>
      <c r="H3834" s="35"/>
    </row>
    <row r="3835" spans="2:9">
      <c r="B3835" s="43"/>
      <c r="D3835" s="44"/>
    </row>
    <row r="3836" spans="2:9">
      <c r="B3836" s="45"/>
    </row>
    <row r="3837" spans="2:9">
      <c r="B3837" s="46"/>
      <c r="D3837" s="47"/>
    </row>
    <row r="3839" spans="2:9">
      <c r="B3839" s="42"/>
    </row>
    <row r="3841" spans="2:9" ht="15.75">
      <c r="B3841" s="35"/>
      <c r="C3841" s="54"/>
      <c r="D3841" s="35"/>
      <c r="E3841" s="33"/>
      <c r="F3841" s="35"/>
      <c r="G3841" s="39"/>
      <c r="H3841" s="35"/>
      <c r="I3841" s="39"/>
    </row>
    <row r="3842" spans="2:9" ht="15.75">
      <c r="B3842" s="35"/>
      <c r="C3842" s="54"/>
      <c r="D3842" s="35"/>
      <c r="E3842" s="36"/>
      <c r="F3842" s="35"/>
      <c r="G3842" s="39"/>
      <c r="H3842" s="35"/>
      <c r="I3842" s="39"/>
    </row>
    <row r="3843" spans="2:9" ht="15.75">
      <c r="B3843" s="35"/>
      <c r="C3843" s="40"/>
      <c r="D3843" s="35"/>
      <c r="E3843" s="40"/>
      <c r="F3843" s="35"/>
      <c r="G3843" s="38"/>
      <c r="H3843" s="35"/>
      <c r="I3843" s="38"/>
    </row>
    <row r="3844" spans="2:9" ht="15.75">
      <c r="B3844" s="35"/>
      <c r="C3844" s="54"/>
      <c r="D3844" s="35"/>
      <c r="E3844" s="36"/>
      <c r="F3844" s="35"/>
      <c r="G3844" s="39"/>
      <c r="H3844" s="35"/>
      <c r="I3844" s="38"/>
    </row>
    <row r="3845" spans="2:9" ht="15.75">
      <c r="B3845" s="53"/>
      <c r="C3845" s="54"/>
      <c r="D3845" s="35"/>
      <c r="E3845" s="36"/>
      <c r="F3845" s="35"/>
      <c r="G3845" s="39"/>
      <c r="H3845" s="35"/>
      <c r="I3845" s="39"/>
    </row>
    <row r="3846" spans="2:9">
      <c r="B3846" s="33"/>
      <c r="C3846" s="34"/>
      <c r="D3846" s="33"/>
      <c r="E3846" s="33"/>
      <c r="F3846" s="33"/>
      <c r="G3846" s="33"/>
      <c r="H3846" s="33"/>
      <c r="I3846" s="33"/>
    </row>
    <row r="3847" spans="2:9" ht="15.75">
      <c r="B3847" s="38"/>
      <c r="C3847" s="34"/>
      <c r="D3847" s="38"/>
      <c r="E3847" s="33"/>
      <c r="F3847" s="38"/>
      <c r="G3847" s="33"/>
      <c r="H3847" s="38"/>
      <c r="I3847" s="33"/>
    </row>
    <row r="3848" spans="2:9" ht="15.75">
      <c r="B3848" s="39"/>
      <c r="C3848" s="33"/>
      <c r="D3848" s="33"/>
      <c r="E3848" s="33"/>
      <c r="F3848" s="33"/>
      <c r="G3848" s="33"/>
      <c r="H3848" s="33"/>
      <c r="I3848" s="33"/>
    </row>
    <row r="3849" spans="2:9" ht="15.75">
      <c r="B3849" s="35"/>
      <c r="C3849" s="39"/>
      <c r="D3849" s="35"/>
      <c r="E3849" s="33"/>
      <c r="F3849" s="35"/>
      <c r="G3849" s="39"/>
      <c r="H3849" s="35"/>
      <c r="I3849" s="39"/>
    </row>
    <row r="3850" spans="2:9" ht="15.75">
      <c r="B3850" s="35"/>
      <c r="C3850" s="39"/>
      <c r="D3850" s="35"/>
      <c r="E3850" s="37"/>
      <c r="F3850" s="35"/>
      <c r="G3850" s="39"/>
      <c r="H3850" s="35"/>
      <c r="I3850" s="39"/>
    </row>
    <row r="3851" spans="2:9" ht="15.75">
      <c r="B3851" s="35"/>
      <c r="C3851" s="38"/>
      <c r="D3851" s="35"/>
      <c r="E3851" s="38"/>
      <c r="F3851" s="35"/>
      <c r="G3851" s="38"/>
      <c r="H3851" s="35"/>
      <c r="I3851" s="38"/>
    </row>
    <row r="3852" spans="2:9" ht="15.75">
      <c r="B3852" s="35"/>
      <c r="C3852" s="39"/>
      <c r="D3852" s="35"/>
      <c r="E3852" s="37"/>
      <c r="F3852" s="35"/>
      <c r="G3852" s="39"/>
      <c r="H3852" s="35"/>
      <c r="I3852" s="39"/>
    </row>
    <row r="3853" spans="2:9" ht="15.75">
      <c r="B3853" s="35"/>
      <c r="C3853" s="39"/>
      <c r="D3853" s="35"/>
      <c r="E3853" s="37"/>
      <c r="F3853" s="35"/>
      <c r="G3853" s="39"/>
      <c r="H3853" s="35"/>
      <c r="I3853" s="39"/>
    </row>
    <row r="3854" spans="2:9">
      <c r="B3854" s="33"/>
      <c r="C3854" s="33"/>
      <c r="D3854" s="33"/>
      <c r="E3854" s="33"/>
      <c r="F3854" s="33"/>
      <c r="G3854" s="33"/>
      <c r="H3854" s="33"/>
      <c r="I3854" s="33"/>
    </row>
    <row r="3855" spans="2:9" ht="15.75">
      <c r="B3855" s="38"/>
      <c r="C3855" s="33"/>
      <c r="D3855" s="38"/>
      <c r="E3855" s="33"/>
      <c r="F3855" s="38"/>
      <c r="G3855" s="33"/>
      <c r="H3855" s="38"/>
      <c r="I3855" s="33"/>
    </row>
    <row r="3856" spans="2:9" ht="15.75">
      <c r="B3856" s="39"/>
      <c r="C3856" s="33"/>
      <c r="D3856" s="33"/>
      <c r="E3856" s="33"/>
      <c r="F3856" s="33"/>
      <c r="G3856" s="33"/>
      <c r="H3856" s="33"/>
      <c r="I3856" s="33"/>
    </row>
    <row r="3857" spans="2:9" ht="15.75">
      <c r="B3857" s="35"/>
      <c r="C3857" s="39"/>
      <c r="D3857" s="35"/>
      <c r="E3857" s="33"/>
      <c r="F3857" s="35"/>
      <c r="G3857" s="39"/>
      <c r="H3857" s="35"/>
    </row>
    <row r="3858" spans="2:9" ht="15.75">
      <c r="B3858" s="35"/>
      <c r="C3858" s="39"/>
      <c r="D3858" s="35"/>
      <c r="E3858" s="37"/>
      <c r="F3858" s="35"/>
      <c r="G3858" s="39"/>
      <c r="H3858" s="35"/>
    </row>
    <row r="3859" spans="2:9" ht="15.75">
      <c r="B3859" s="35"/>
      <c r="C3859" s="38"/>
      <c r="D3859" s="35"/>
      <c r="E3859" s="38"/>
      <c r="F3859" s="35"/>
      <c r="G3859" s="38"/>
      <c r="H3859" s="35"/>
    </row>
    <row r="3860" spans="2:9" ht="15.75">
      <c r="B3860" s="35"/>
      <c r="C3860" s="39"/>
      <c r="D3860" s="35"/>
      <c r="E3860" s="37"/>
      <c r="F3860" s="35"/>
      <c r="G3860" s="39"/>
      <c r="H3860" s="35"/>
    </row>
    <row r="3861" spans="2:9" ht="15.75">
      <c r="B3861" s="35"/>
      <c r="C3861" s="39"/>
      <c r="D3861" s="35"/>
      <c r="E3861" s="37"/>
      <c r="F3861" s="35"/>
      <c r="G3861" s="39"/>
      <c r="H3861" s="35"/>
    </row>
    <row r="3863" spans="2:9">
      <c r="B3863" s="43"/>
      <c r="D3863" s="44"/>
    </row>
    <row r="3864" spans="2:9">
      <c r="B3864" s="45"/>
    </row>
    <row r="3865" spans="2:9">
      <c r="B3865" s="46"/>
      <c r="D3865" s="47"/>
    </row>
    <row r="3867" spans="2:9">
      <c r="B3867" s="42"/>
    </row>
    <row r="3869" spans="2:9" ht="15.75">
      <c r="B3869" s="35"/>
      <c r="C3869" s="54"/>
      <c r="D3869" s="35"/>
      <c r="E3869" s="33"/>
      <c r="F3869" s="35"/>
      <c r="G3869" s="39"/>
      <c r="H3869" s="35"/>
      <c r="I3869" s="39"/>
    </row>
    <row r="3870" spans="2:9" ht="15.75">
      <c r="B3870" s="35"/>
      <c r="C3870" s="54"/>
      <c r="D3870" s="35"/>
      <c r="E3870" s="36"/>
      <c r="F3870" s="35"/>
      <c r="G3870" s="39"/>
      <c r="H3870" s="35"/>
      <c r="I3870" s="39"/>
    </row>
    <row r="3871" spans="2:9" ht="15.75">
      <c r="B3871" s="35"/>
      <c r="C3871" s="40"/>
      <c r="D3871" s="35"/>
      <c r="E3871" s="40"/>
      <c r="F3871" s="35"/>
      <c r="G3871" s="38"/>
      <c r="H3871" s="35"/>
      <c r="I3871" s="38"/>
    </row>
    <row r="3872" spans="2:9" ht="15.75">
      <c r="B3872" s="35"/>
      <c r="C3872" s="54"/>
      <c r="D3872" s="35"/>
      <c r="E3872" s="36"/>
      <c r="F3872" s="35"/>
      <c r="G3872" s="39"/>
      <c r="H3872" s="35"/>
      <c r="I3872" s="38"/>
    </row>
    <row r="3873" spans="2:9" ht="15.75">
      <c r="B3873" s="53"/>
      <c r="C3873" s="54"/>
      <c r="D3873" s="35"/>
      <c r="E3873" s="36"/>
      <c r="F3873" s="35"/>
      <c r="G3873" s="39"/>
      <c r="H3873" s="35"/>
      <c r="I3873" s="39"/>
    </row>
    <row r="3874" spans="2:9">
      <c r="B3874" s="33"/>
      <c r="C3874" s="34"/>
      <c r="D3874" s="33"/>
      <c r="E3874" s="33"/>
      <c r="F3874" s="33"/>
      <c r="G3874" s="33"/>
      <c r="H3874" s="33"/>
      <c r="I3874" s="33"/>
    </row>
    <row r="3875" spans="2:9" ht="15.75">
      <c r="B3875" s="38"/>
      <c r="C3875" s="34"/>
      <c r="D3875" s="38"/>
      <c r="E3875" s="33"/>
      <c r="F3875" s="38"/>
      <c r="G3875" s="33"/>
      <c r="H3875" s="38"/>
      <c r="I3875" s="33"/>
    </row>
    <row r="3876" spans="2:9" ht="15.75">
      <c r="B3876" s="39"/>
      <c r="C3876" s="33"/>
      <c r="D3876" s="33"/>
      <c r="E3876" s="33"/>
      <c r="F3876" s="33"/>
      <c r="G3876" s="33"/>
      <c r="H3876" s="33"/>
      <c r="I3876" s="33"/>
    </row>
    <row r="3877" spans="2:9" ht="15.75">
      <c r="B3877" s="35"/>
      <c r="C3877" s="39"/>
      <c r="D3877" s="35"/>
      <c r="E3877" s="33"/>
      <c r="F3877" s="35"/>
      <c r="G3877" s="39"/>
      <c r="H3877" s="35"/>
      <c r="I3877" s="39"/>
    </row>
    <row r="3878" spans="2:9" ht="15.75">
      <c r="B3878" s="35"/>
      <c r="C3878" s="39"/>
      <c r="D3878" s="35"/>
      <c r="E3878" s="37"/>
      <c r="F3878" s="35"/>
      <c r="G3878" s="39"/>
      <c r="H3878" s="35"/>
      <c r="I3878" s="39"/>
    </row>
    <row r="3879" spans="2:9" ht="15.75">
      <c r="B3879" s="35"/>
      <c r="C3879" s="38"/>
      <c r="D3879" s="35"/>
      <c r="E3879" s="38"/>
      <c r="F3879" s="35"/>
      <c r="G3879" s="38"/>
      <c r="H3879" s="35"/>
      <c r="I3879" s="38"/>
    </row>
    <row r="3880" spans="2:9" ht="15.75">
      <c r="B3880" s="35"/>
      <c r="C3880" s="39"/>
      <c r="D3880" s="35"/>
      <c r="E3880" s="37"/>
      <c r="F3880" s="35"/>
      <c r="G3880" s="39"/>
      <c r="H3880" s="35"/>
      <c r="I3880" s="39"/>
    </row>
    <row r="3881" spans="2:9" ht="15.75">
      <c r="B3881" s="35"/>
      <c r="C3881" s="39"/>
      <c r="D3881" s="35"/>
      <c r="E3881" s="37"/>
      <c r="F3881" s="35"/>
      <c r="G3881" s="39"/>
      <c r="H3881" s="35"/>
      <c r="I3881" s="39"/>
    </row>
    <row r="3882" spans="2:9">
      <c r="B3882" s="33"/>
      <c r="C3882" s="33"/>
      <c r="D3882" s="33"/>
      <c r="E3882" s="33"/>
      <c r="F3882" s="33"/>
      <c r="G3882" s="33"/>
      <c r="H3882" s="33"/>
      <c r="I3882" s="33"/>
    </row>
    <row r="3883" spans="2:9" ht="15.75">
      <c r="B3883" s="38"/>
      <c r="C3883" s="33"/>
      <c r="D3883" s="38"/>
      <c r="E3883" s="33"/>
      <c r="F3883" s="38"/>
      <c r="G3883" s="33"/>
      <c r="H3883" s="38"/>
      <c r="I3883" s="33"/>
    </row>
    <row r="3884" spans="2:9" ht="15.75">
      <c r="B3884" s="39"/>
      <c r="C3884" s="33"/>
      <c r="D3884" s="33"/>
      <c r="E3884" s="33"/>
      <c r="F3884" s="33"/>
      <c r="G3884" s="33"/>
      <c r="H3884" s="33"/>
      <c r="I3884" s="33"/>
    </row>
    <row r="3885" spans="2:9" ht="15.75">
      <c r="B3885" s="35"/>
      <c r="C3885" s="39"/>
      <c r="D3885" s="35"/>
      <c r="E3885" s="33"/>
      <c r="F3885" s="35"/>
      <c r="G3885" s="39"/>
      <c r="H3885" s="35"/>
    </row>
    <row r="3886" spans="2:9" ht="15.75">
      <c r="B3886" s="35"/>
      <c r="C3886" s="39"/>
      <c r="D3886" s="35"/>
      <c r="E3886" s="37"/>
      <c r="F3886" s="35"/>
      <c r="G3886" s="39"/>
      <c r="H3886" s="35"/>
    </row>
    <row r="3887" spans="2:9" ht="15.75">
      <c r="B3887" s="35"/>
      <c r="C3887" s="38"/>
      <c r="D3887" s="35"/>
      <c r="E3887" s="38"/>
      <c r="F3887" s="35"/>
      <c r="G3887" s="38"/>
      <c r="H3887" s="35"/>
    </row>
    <row r="3888" spans="2:9" ht="15.75">
      <c r="B3888" s="35"/>
      <c r="C3888" s="39"/>
      <c r="D3888" s="35"/>
      <c r="E3888" s="37"/>
      <c r="F3888" s="35"/>
      <c r="G3888" s="39"/>
      <c r="H3888" s="35"/>
    </row>
    <row r="3889" spans="2:9" ht="15.75">
      <c r="B3889" s="35"/>
      <c r="C3889" s="39"/>
      <c r="D3889" s="35"/>
      <c r="E3889" s="37"/>
      <c r="F3889" s="35"/>
      <c r="G3889" s="39"/>
      <c r="H3889" s="35"/>
    </row>
    <row r="3891" spans="2:9">
      <c r="B3891" s="43"/>
      <c r="D3891" s="44"/>
    </row>
    <row r="3892" spans="2:9">
      <c r="B3892" s="45"/>
    </row>
    <row r="3893" spans="2:9">
      <c r="B3893" s="46"/>
      <c r="D3893" s="47"/>
    </row>
    <row r="3894" spans="2:9">
      <c r="B3894" s="50"/>
      <c r="C3894" s="49"/>
      <c r="D3894" s="49"/>
    </row>
    <row r="3895" spans="2:9">
      <c r="B3895" s="42"/>
    </row>
    <row r="3897" spans="2:9" ht="15.75">
      <c r="B3897" s="35"/>
      <c r="C3897" s="54"/>
      <c r="D3897" s="35"/>
      <c r="E3897" s="33"/>
      <c r="F3897" s="35"/>
      <c r="G3897" s="39"/>
      <c r="H3897" s="35"/>
      <c r="I3897" s="39"/>
    </row>
    <row r="3898" spans="2:9" ht="15.75">
      <c r="B3898" s="35"/>
      <c r="C3898" s="54"/>
      <c r="D3898" s="35"/>
      <c r="E3898" s="36"/>
      <c r="F3898" s="35"/>
      <c r="G3898" s="39"/>
      <c r="H3898" s="35"/>
      <c r="I3898" s="39"/>
    </row>
    <row r="3899" spans="2:9" ht="15.75">
      <c r="B3899" s="35"/>
      <c r="C3899" s="40"/>
      <c r="D3899" s="35"/>
      <c r="E3899" s="40"/>
      <c r="F3899" s="35"/>
      <c r="G3899" s="38"/>
      <c r="H3899" s="35"/>
      <c r="I3899" s="38"/>
    </row>
    <row r="3900" spans="2:9" ht="15.75">
      <c r="B3900" s="35"/>
      <c r="C3900" s="54"/>
      <c r="D3900" s="35"/>
      <c r="E3900" s="36"/>
      <c r="F3900" s="35"/>
      <c r="G3900" s="39"/>
      <c r="H3900" s="35"/>
      <c r="I3900" s="38"/>
    </row>
    <row r="3901" spans="2:9" ht="15.75">
      <c r="B3901" s="53"/>
      <c r="C3901" s="54"/>
      <c r="D3901" s="35"/>
      <c r="E3901" s="36"/>
      <c r="F3901" s="35"/>
      <c r="G3901" s="39"/>
      <c r="H3901" s="35"/>
      <c r="I3901" s="39"/>
    </row>
    <row r="3902" spans="2:9">
      <c r="B3902" s="33"/>
      <c r="C3902" s="34"/>
      <c r="D3902" s="33"/>
      <c r="E3902" s="33"/>
      <c r="F3902" s="33"/>
      <c r="G3902" s="33"/>
      <c r="H3902" s="33"/>
      <c r="I3902" s="33"/>
    </row>
    <row r="3903" spans="2:9" ht="15.75">
      <c r="B3903" s="38"/>
      <c r="C3903" s="34"/>
      <c r="D3903" s="38"/>
      <c r="E3903" s="33"/>
      <c r="F3903" s="38"/>
      <c r="G3903" s="33"/>
      <c r="H3903" s="38"/>
      <c r="I3903" s="33"/>
    </row>
    <row r="3904" spans="2:9" ht="15.75">
      <c r="B3904" s="39"/>
      <c r="C3904" s="33"/>
      <c r="D3904" s="33"/>
      <c r="E3904" s="33"/>
      <c r="F3904" s="33"/>
      <c r="G3904" s="33"/>
      <c r="H3904" s="33"/>
      <c r="I3904" s="33"/>
    </row>
    <row r="3905" spans="2:9" ht="15.75">
      <c r="B3905" s="35"/>
      <c r="C3905" s="39"/>
      <c r="D3905" s="35"/>
      <c r="E3905" s="33"/>
      <c r="F3905" s="35"/>
      <c r="G3905" s="39"/>
      <c r="H3905" s="35"/>
      <c r="I3905" s="39"/>
    </row>
    <row r="3906" spans="2:9" ht="15.75">
      <c r="B3906" s="35"/>
      <c r="C3906" s="39"/>
      <c r="D3906" s="35"/>
      <c r="E3906" s="37"/>
      <c r="F3906" s="35"/>
      <c r="G3906" s="39"/>
      <c r="H3906" s="35"/>
      <c r="I3906" s="39"/>
    </row>
    <row r="3907" spans="2:9" ht="15.75">
      <c r="B3907" s="35"/>
      <c r="C3907" s="38"/>
      <c r="D3907" s="35"/>
      <c r="E3907" s="38"/>
      <c r="F3907" s="35"/>
      <c r="G3907" s="38"/>
      <c r="H3907" s="35"/>
      <c r="I3907" s="38"/>
    </row>
    <row r="3908" spans="2:9" ht="15.75">
      <c r="B3908" s="35"/>
      <c r="C3908" s="39"/>
      <c r="D3908" s="35"/>
      <c r="E3908" s="37"/>
      <c r="F3908" s="35"/>
      <c r="G3908" s="39"/>
      <c r="H3908" s="35"/>
      <c r="I3908" s="39"/>
    </row>
    <row r="3909" spans="2:9" ht="15.75">
      <c r="B3909" s="35"/>
      <c r="C3909" s="39"/>
      <c r="D3909" s="35"/>
      <c r="E3909" s="37"/>
      <c r="F3909" s="35"/>
      <c r="G3909" s="39"/>
      <c r="H3909" s="35"/>
      <c r="I3909" s="39"/>
    </row>
    <row r="3910" spans="2:9">
      <c r="B3910" s="33"/>
      <c r="C3910" s="33"/>
      <c r="D3910" s="33"/>
      <c r="E3910" s="33"/>
      <c r="F3910" s="33"/>
      <c r="G3910" s="33"/>
      <c r="H3910" s="33"/>
      <c r="I3910" s="33"/>
    </row>
    <row r="3911" spans="2:9" ht="15.75">
      <c r="B3911" s="38"/>
      <c r="C3911" s="33"/>
      <c r="D3911" s="38"/>
      <c r="E3911" s="33"/>
      <c r="F3911" s="38"/>
      <c r="G3911" s="33"/>
      <c r="H3911" s="38"/>
      <c r="I3911" s="33"/>
    </row>
    <row r="3912" spans="2:9" ht="15.75">
      <c r="B3912" s="39"/>
      <c r="C3912" s="33"/>
      <c r="D3912" s="33"/>
      <c r="E3912" s="33"/>
      <c r="F3912" s="33"/>
      <c r="G3912" s="33"/>
      <c r="H3912" s="33"/>
      <c r="I3912" s="33"/>
    </row>
    <row r="3913" spans="2:9" ht="15.75">
      <c r="B3913" s="35"/>
      <c r="C3913" s="39"/>
      <c r="D3913" s="35"/>
      <c r="E3913" s="33"/>
      <c r="F3913" s="35"/>
      <c r="G3913" s="39"/>
      <c r="H3913" s="35"/>
    </row>
    <row r="3914" spans="2:9" ht="15.75">
      <c r="B3914" s="35"/>
      <c r="C3914" s="39"/>
      <c r="D3914" s="35"/>
      <c r="E3914" s="37"/>
      <c r="F3914" s="35"/>
      <c r="G3914" s="39"/>
      <c r="H3914" s="35"/>
    </row>
    <row r="3915" spans="2:9" ht="15.75">
      <c r="B3915" s="35"/>
      <c r="C3915" s="38"/>
      <c r="D3915" s="35"/>
      <c r="E3915" s="38"/>
      <c r="F3915" s="35"/>
      <c r="G3915" s="38"/>
      <c r="H3915" s="35"/>
    </row>
    <row r="3916" spans="2:9" ht="15.75">
      <c r="B3916" s="35"/>
      <c r="C3916" s="39"/>
      <c r="D3916" s="35"/>
      <c r="E3916" s="37"/>
      <c r="F3916" s="35"/>
      <c r="G3916" s="39"/>
      <c r="H3916" s="35"/>
    </row>
    <row r="3917" spans="2:9" ht="15.75">
      <c r="B3917" s="35"/>
      <c r="C3917" s="39"/>
      <c r="D3917" s="35"/>
      <c r="E3917" s="37"/>
      <c r="F3917" s="35"/>
      <c r="G3917" s="39"/>
      <c r="H3917" s="35"/>
    </row>
    <row r="3919" spans="2:9">
      <c r="B3919" s="43"/>
      <c r="D3919" s="44"/>
    </row>
    <row r="3920" spans="2:9">
      <c r="B3920" s="45"/>
    </row>
    <row r="3921" spans="2:9">
      <c r="B3921" s="46"/>
      <c r="D3921" s="47"/>
    </row>
    <row r="3922" spans="2:9">
      <c r="B3922" s="50"/>
      <c r="C3922" s="49"/>
      <c r="D3922" s="49"/>
    </row>
    <row r="3923" spans="2:9">
      <c r="B3923" s="42"/>
    </row>
    <row r="3925" spans="2:9" ht="15.75">
      <c r="B3925" s="35"/>
      <c r="C3925" s="54"/>
      <c r="D3925" s="35"/>
      <c r="E3925" s="33"/>
      <c r="F3925" s="35"/>
      <c r="G3925" s="39"/>
      <c r="H3925" s="35"/>
      <c r="I3925" s="39"/>
    </row>
    <row r="3926" spans="2:9" ht="15.75">
      <c r="B3926" s="35"/>
      <c r="C3926" s="54"/>
      <c r="D3926" s="35"/>
      <c r="E3926" s="36"/>
      <c r="F3926" s="35"/>
      <c r="G3926" s="39"/>
      <c r="H3926" s="35"/>
      <c r="I3926" s="39"/>
    </row>
    <row r="3927" spans="2:9" ht="15.75">
      <c r="B3927" s="35"/>
      <c r="C3927" s="40"/>
      <c r="D3927" s="35"/>
      <c r="E3927" s="40"/>
      <c r="F3927" s="35"/>
      <c r="G3927" s="38"/>
      <c r="H3927" s="35"/>
      <c r="I3927" s="38"/>
    </row>
    <row r="3928" spans="2:9" ht="15.75">
      <c r="B3928" s="35"/>
      <c r="C3928" s="54"/>
      <c r="D3928" s="35"/>
      <c r="E3928" s="36"/>
      <c r="F3928" s="35"/>
      <c r="G3928" s="39"/>
      <c r="H3928" s="35"/>
      <c r="I3928" s="38"/>
    </row>
    <row r="3929" spans="2:9" ht="15.75">
      <c r="B3929" s="53"/>
      <c r="C3929" s="54"/>
      <c r="D3929" s="35"/>
      <c r="E3929" s="36"/>
      <c r="F3929" s="35"/>
      <c r="G3929" s="39"/>
      <c r="H3929" s="35"/>
      <c r="I3929" s="39"/>
    </row>
    <row r="3930" spans="2:9">
      <c r="B3930" s="33"/>
      <c r="C3930" s="34"/>
      <c r="D3930" s="33"/>
      <c r="E3930" s="33"/>
      <c r="F3930" s="33"/>
      <c r="G3930" s="33"/>
      <c r="H3930" s="33"/>
      <c r="I3930" s="33"/>
    </row>
    <row r="3931" spans="2:9" ht="15.75">
      <c r="B3931" s="38"/>
      <c r="C3931" s="34"/>
      <c r="D3931" s="38"/>
      <c r="E3931" s="33"/>
      <c r="F3931" s="38"/>
      <c r="G3931" s="33"/>
      <c r="H3931" s="38"/>
      <c r="I3931" s="33"/>
    </row>
    <row r="3932" spans="2:9" ht="15.75">
      <c r="B3932" s="39"/>
      <c r="C3932" s="33"/>
      <c r="D3932" s="33"/>
      <c r="E3932" s="33"/>
      <c r="F3932" s="33"/>
      <c r="G3932" s="33"/>
      <c r="H3932" s="33"/>
      <c r="I3932" s="33"/>
    </row>
    <row r="3933" spans="2:9" ht="15.75">
      <c r="B3933" s="35"/>
      <c r="C3933" s="39"/>
      <c r="D3933" s="35"/>
      <c r="E3933" s="33"/>
      <c r="F3933" s="35"/>
      <c r="G3933" s="39"/>
      <c r="H3933" s="35"/>
      <c r="I3933" s="39"/>
    </row>
    <row r="3934" spans="2:9" ht="15.75">
      <c r="B3934" s="35"/>
      <c r="C3934" s="39"/>
      <c r="D3934" s="35"/>
      <c r="E3934" s="37"/>
      <c r="F3934" s="35"/>
      <c r="G3934" s="39"/>
      <c r="H3934" s="35"/>
      <c r="I3934" s="39"/>
    </row>
    <row r="3935" spans="2:9" ht="15.75">
      <c r="B3935" s="35"/>
      <c r="C3935" s="38"/>
      <c r="D3935" s="35"/>
      <c r="E3935" s="38"/>
      <c r="F3935" s="35"/>
      <c r="G3935" s="38"/>
      <c r="H3935" s="35"/>
      <c r="I3935" s="38"/>
    </row>
    <row r="3936" spans="2:9" ht="15.75">
      <c r="B3936" s="35"/>
      <c r="C3936" s="39"/>
      <c r="D3936" s="35"/>
      <c r="E3936" s="37"/>
      <c r="F3936" s="35"/>
      <c r="G3936" s="39"/>
      <c r="H3936" s="35"/>
      <c r="I3936" s="39"/>
    </row>
    <row r="3937" spans="2:9" ht="15.75">
      <c r="B3937" s="35"/>
      <c r="C3937" s="39"/>
      <c r="D3937" s="35"/>
      <c r="E3937" s="37"/>
      <c r="F3937" s="35"/>
      <c r="G3937" s="39"/>
      <c r="H3937" s="35"/>
      <c r="I3937" s="39"/>
    </row>
    <row r="3938" spans="2:9">
      <c r="B3938" s="33"/>
      <c r="C3938" s="33"/>
      <c r="D3938" s="33"/>
      <c r="E3938" s="33"/>
      <c r="F3938" s="33"/>
      <c r="G3938" s="33"/>
      <c r="H3938" s="33"/>
      <c r="I3938" s="33"/>
    </row>
    <row r="3939" spans="2:9" ht="15.75">
      <c r="B3939" s="38"/>
      <c r="C3939" s="33"/>
      <c r="D3939" s="38"/>
      <c r="E3939" s="33"/>
      <c r="F3939" s="38"/>
      <c r="G3939" s="33"/>
      <c r="H3939" s="38"/>
      <c r="I3939" s="33"/>
    </row>
    <row r="3940" spans="2:9" ht="15.75">
      <c r="B3940" s="39"/>
      <c r="C3940" s="33"/>
      <c r="D3940" s="33"/>
      <c r="E3940" s="33"/>
      <c r="F3940" s="33"/>
      <c r="G3940" s="33"/>
      <c r="H3940" s="33"/>
      <c r="I3940" s="33"/>
    </row>
    <row r="3941" spans="2:9" ht="15.75">
      <c r="B3941" s="35"/>
      <c r="C3941" s="39"/>
      <c r="D3941" s="35"/>
      <c r="E3941" s="33"/>
      <c r="F3941" s="35"/>
      <c r="G3941" s="39"/>
      <c r="H3941" s="35"/>
    </row>
    <row r="3942" spans="2:9" ht="15.75">
      <c r="B3942" s="35"/>
      <c r="C3942" s="39"/>
      <c r="D3942" s="35"/>
      <c r="E3942" s="37"/>
      <c r="F3942" s="35"/>
      <c r="G3942" s="39"/>
      <c r="H3942" s="35"/>
    </row>
    <row r="3943" spans="2:9" ht="15.75">
      <c r="B3943" s="35"/>
      <c r="C3943" s="38"/>
      <c r="D3943" s="35"/>
      <c r="E3943" s="38"/>
      <c r="F3943" s="35"/>
      <c r="G3943" s="38"/>
      <c r="H3943" s="35"/>
    </row>
    <row r="3944" spans="2:9" ht="15.75">
      <c r="B3944" s="35"/>
      <c r="C3944" s="39"/>
      <c r="D3944" s="35"/>
      <c r="E3944" s="37"/>
      <c r="F3944" s="35"/>
      <c r="G3944" s="39"/>
      <c r="H3944" s="35"/>
    </row>
    <row r="3945" spans="2:9" ht="15.75">
      <c r="B3945" s="35"/>
      <c r="C3945" s="39"/>
      <c r="D3945" s="35"/>
      <c r="E3945" s="37"/>
      <c r="F3945" s="35"/>
      <c r="G3945" s="39"/>
      <c r="H3945" s="35"/>
    </row>
    <row r="3947" spans="2:9">
      <c r="B3947" s="43"/>
      <c r="D3947" s="44"/>
    </row>
    <row r="3948" spans="2:9">
      <c r="B3948" s="45"/>
    </row>
    <row r="3949" spans="2:9">
      <c r="B3949" s="46"/>
      <c r="D3949" s="47"/>
    </row>
  </sheetData>
  <conditionalFormatting sqref="C23:I23 I22 B23:B24">
    <cfRule type="expression" dxfId="3632" priority="6865">
      <formula>$B$25&lt;&gt;""</formula>
    </cfRule>
  </conditionalFormatting>
  <conditionalFormatting sqref="D475:D479 D467:D471 B467:B471 F467:F471 H467:H471 F459:F463 H459:H463 B475:B479 F475:F479 H475:H479 D447:D451 D439:D443 B439:B443 F439:F443 H439:H443 F431:F435 H431:H435 B447:B451 F447:F451 H447:H451 D419:D423 D411:D415 B411:B415 F411:F415 H411:H415 F403:F407 H403:H407 B419:B423 F419:F423 H419:H423 D391:D395 D383:D387 B383:B387 F383:F387 H383:H387 F375:F379 H375:H379 B391:B395 F391:F395 H391:H395 D363:D367 D355:D359 B355:B359 F355:F359 H355:H359 F347:F351 H347:H351 B363:B367 F363:F367 H363:H367 D335:D339 D327:D331 B327:B331 F327:F331 H327:H331 F319:F323 H319:H323 B335:B339 F335:F339 H335:H339 D307:D311 D299:D303 B299:B303 F299:F303 H299:H303 F291:F295 H291:H295 B307:B311 F307:F311 H307:H311 D109:D113 D101:D105 B101:B105 F101:F105 H101:H105 F93:F97 H93:H97 B109:B113 F109:F113 H109:H113 D81:D85 D73:D77 B73:B77 F73:F77 H73:H77 F65:F69 H65:H69 B81:B85 F81:F85 H81:H85 D53:D57 D45:D49 B45:B49 F45:F49 H45:H49 F37:F41 H37:H41 B53:B57 F53:F57 H53:H57 D25:D29 D17:D21 B17:B21 F17:F21 H17:H21 F9:F13 H9:H13 B25:B29 F25:F29 H25:H29 D137:D141 D129:D133 B129:B133 F129:F133 H129:H133 F121:F125 H121:H125 B137:B141 F137:F141 H137:H141 D165:D169 D157:D161 B157:B161 F157:F161 H157:H161 F149:F153 H149:H153 B165:B169 F165:F169 H165:H169 D193:D197 D185:D189 B185:B189 F185:F189 H185:H189 F177:F181 H177:H181 B193:B197 F193:F197 H193:H197 D221:D225 D213:D217 B213:B217 F213:F217 H213:H217 F205:F209 H205:H209 B221:B225 F221:F225 H221:H225 D249:D253 D241:D245 B241:B245 F241:F245 H241:H245 F233:F237 H233:H237 B249:B253 F249:F253 H249:H253 D277:D281 D269:D273 B269:B273 F269:F273 H269:H273 F261:F265 H261:H265 B277:B281 F277:F281 H277:H281 D503:D507 D495:D499 B495:B499 F495:F499 H495:H499 F487:F491 H487:H491 B503:B507 F503:F507 H503:H507 D531:D535 D523:D527 B523:B527 F523:F527 H523:H527 F515:F519 H515:H519 B531:B535 F531:F535 H531:H535 D559:D563 D551:D555 B551:B555 F551:F555 H551:H555 F543:F547 H543:H547 B559:B563 F559:F563 H559:H563 D757:D761 D749:D753 B749:B753 F749:F753 H749:H753 F741:F745 H741:H745 B757:B761 F757:F761 H757:H761 D729:D733 D721:D725 B721:B725 F721:F725 H721:H725 F713:F717 H713:H717 B729:B733 F729:F733 H729:H733 D701:D705 D693:D697 B693:B697 F693:F697 H693:H697 F685:F689 H685:H689 B701:B705 F701:F705 H701:H705 D673:D677 D665:D669 B665:B669 F665:F669 H665:H669 F657:F661 H657:H661 B673:B677 F673:F677 H673:H677 D645:D649 D637:D641 B637:B641 F637:F641 H637:H641 F629:F633 H629:H633 B645:B649 F645:F649 H645:H649 D617:D621 D609:D613 B609:B613 F609:F613 H609:H613 F601:F605 H601:H605 B617:B621 F617:F621 H617:H621 D589:D593 D581:D585 B581:B585 F581:F585 H581:H585 F573:F577 H573:H577 B589:B593 F589:F593 H589:H593 D785:D789 D777:D781 B777:B781 F777:F781 H777:H781 F769:F773 H769:H773 B785:B789 F785:F789 H785:H789 D813:D817 D805:D809 B805:B809 F805:F809 H805:H809 F797:F801 H797:H801 B813:B817 F813:F817 H813:H817 D841:D845 D833:D837 B833:B837 F833:F837 H833:H837 F825:F829 H825:H829 B841:B845 F841:F845 H841:H845 D1039:D1043 D1031:D1035 B1031:B1035 F1031:F1035 H1031:H1035 F1023:F1027 H1023:H1027 B1039:B1043 F1039:F1043 H1039:H1043 D1011:D1015 D1003:D1007 B1003:B1007 F1003:F1007 H1003:H1007 F995:F999 H995:H999 B1011:B1015 F1011:F1015 H1011:H1015 D983:D987 D975:D979 B975:B979 F975:F979 H975:H979 F967:F971 H967:H971 B983:B987 F983:F987 H983:H987 D955:D959 D947:D951 B947:B951 F947:F951 H947:H951 F939:F943 H939:H943 B955:B959 F955:F959 H955:H959 D927:D931 D919:D923 B919:B923 F919:F923 H919:H923 F911:F915 H911:H915 B927:B931 F927:F931 H927:H931 D899:D903 D891:D895 B891:B895 F891:F895 H891:H895 F883:F887 H883:H887 B899:B903 F899:F903 H899:H903 D871:D875 D863:D867 B863:B867 F863:F867 H863:H867 F855:F859 H855:H859 B871:B875 F871:F875 H871:H875 D1067:D1071 D1059:D1063 B1059:B1063 F1059:F1063 H1059:H1063 F1051:F1055 H1051:H1055 B1067:B1071 F1067:F1071 H1067:H1071 D1095:D1099 D1087:D1091 B1087:B1091 F1087:F1091 H1087:H1091 F1079:F1083 H1079:H1083 B1095:B1099 F1095:F1099 H1095:H1099 D1123:D1127 D1115:D1119 B1115:B1119 F1115:F1119 H1115:H1119 F1107:F1111 H1107:H1111 B1123:B1127 F1123:F1127 H1123:H1127 D1321:D1325 D1313:D1317 B1313:B1317 F1313:F1317 H1313:H1317 F1305:F1309 H1305:H1309 B1321:B1325 F1321:F1325 H1321:H1325 D1293:D1297 D1285:D1289 B1285:B1289 F1285:F1289 H1285:H1289 F1277:F1281 H1277:H1281 B1293:B1297 F1293:F1297 H1293:H1297 D1265:D1269 D1257:D1261 B1257:B1261 F1257:F1261 H1257:H1261 F1249:F1253 H1249:H1253 B1265:B1269 F1265:F1269 H1265:H1269 D1237:D1241 D1229:D1233 B1229:B1233 F1229:F1233 H1229:H1233 F1221:F1225 H1221:H1225 B1237:B1241 F1237:F1241 H1237:H1241 D1209:D1213 D1201:D1205 B1201:B1205 F1201:F1205 H1201:H1205 F1193:F1197 H1193:H1197 B1209:B1213 F1209:F1213 H1209:H1213 D1181:D1185 D1173:D1177 B1173:B1177 F1173:F1177 H1173:H1177 F1165:F1169 H1165:H1169 B1181:B1185 F1181:F1185 H1181:H1185 D1153:D1157 D1145:D1149 B1145:B1149 F1145:F1149 H1145:H1149 F1137:F1141 H1137:H1141 B1153:B1157 F1153:F1157 H1153:H1157 D1349:D1353 D1341:D1345 B1341:B1345 F1341:F1345 H1341:H1345 F1333:F1337 H1333:H1337 B1349:B1353 F1349:F1353 H1349:H1353 D1377:D1381 D1369:D1373 B1369:B1373 F1369:F1373 H1369:H1373 F1361:F1365 H1361:H1365 B1377:B1381 F1377:F1381 H1377:H1381 D1405:D1409 D1397:D1401 B1397:B1401 F1397:F1401 H1397:H1401 F1389:F1393 H1389:H1393 B1405:B1409 F1405:F1409 H1405:H1409 D1603:D1607 D1595:D1599 B1595:B1599 F1595:F1599 H1595:H1599 F1587:F1591 H1587:H1591 B1603:B1607 F1603:F1607 H1603:H1607 D1575:D1579 D1567:D1571 B1567:B1571 F1567:F1571 H1567:H1571 F1559:F1563 H1559:H1563 B1575:B1579 F1575:F1579 H1575:H1579 D1547:D1551 D1539:D1543 B1539:B1543 F1539:F1543 H1539:H1543 F1531:F1535 H1531:H1535 B1547:B1551 F1547:F1551 H1547:H1551 D1519:D1523 D1511:D1515 B1511:B1515 F1511:F1515 H1511:H1515 F1503:F1507 H1503:H1507 B1519:B1523 F1519:F1523 H1519:H1523 D1491:D1495 D1483:D1487 B1483:B1487 F1483:F1487 H1483:H1487 F1475:F1479 H1475:H1479 B1491:B1495 F1491:F1495 H1491:H1495 D1463:D1467 D1455:D1459 B1455:B1459 F1455:F1459 H1455:H1459 F1447:F1451 H1447:H1451 B1463:B1467 F1463:F1467 H1463:H1467 D1435:D1439 D1427:D1431 B1427:B1431 F1427:F1431 H1427:H1431 F1419:F1423 H1419:H1423 B1435:B1439 F1435:F1439 H1435:H1439 D1631:D1635 D1623:D1627 B1623:B1627 F1623:F1627 H1623:H1627 F1615:F1619 H1615:H1619 B1631:B1635 F1631:F1635 H1631:H1635 D1659:D1663 D1651:D1655 B1651:B1655 F1651:F1655 H1651:H1655 F1643:F1647 H1643:H1647 B1659:B1663 F1659:F1663 H1659:H1663 D1687:D1691 D1679:D1683 B1679:B1683 F1679:F1683 H1679:H1683 F1671:F1675 H1671:H1675 B1687:B1691 F1687:F1691 H1687:H1691 D1885:D1889 D1877:D1881 B1877:B1881 F1877:F1881 H1877:H1881 F1869:F1873 H1869:H1873 B1885:B1889 F1885:F1889 H1885:H1889 D1857:D1861 D1849:D1853 B1849:B1853 F1849:F1853 H1849:H1853 F1841:F1845 H1841:H1845 B1857:B1861 F1857:F1861 H1857:H1861 D1829:D1833 D1821:D1825 B1821:B1825 F1821:F1825 H1821:H1825 F1813:F1817 H1813:H1817 B1829:B1833 F1829:F1833 H1829:H1833 D1801:D1805 D1793:D1797 B1793:B1797 F1793:F1797 H1793:H1797 F1785:F1789 H1785:H1789 B1801:B1805 F1801:F1805 H1801:H1805 D1773:D1777 D1765:D1769 B1765:B1769 F1765:F1769 H1765:H1769 F1757:F1761 H1757:H1761 B1773:B1777 F1773:F1777 H1773:H1777 D1745:D1749 D1737:D1741 B1737:B1741 F1737:F1741 H1737:H1741 F1729:F1733 H1729:H1733 B1745:B1749 F1745:F1749 H1745:H1749 D1717:D1721 D1709:D1713 B1709:B1713 F1709:F1713 H1709:H1713 F1701:F1705 H1701:H1705 B1717:B1721 F1717:F1721 H1717:H1721 D1913:D1917 D1905:D1909 B1905:B1909 F1905:F1909 H1905:H1909 F1897:F1901 H1897:H1901 B1913:B1917 F1913:F1917 H1913:H1917 D1941:D1945 D1933:D1937 B1933:B1937 F1933:F1937 H1933:H1937 F1925:F1929 H1925:H1929 B1941:B1945 F1941:F1945 H1941:H1945 D1969:D1973 D1961:D1965 B1961:B1965 F1961:F1965 H1961:H1965 F1953:F1957 H1953:H1957 B1969:B1973 F1969:F1973 H1969:H1973 D2167:D2171 D2159:D2163 B2159:B2163 F2159:F2163 H2159:H2163 F2151:F2155 H2151:H2155 B2167:B2171 F2167:F2171 H2167:H2171 D2139:D2143 D2131:D2135 B2131:B2135 F2131:F2135 H2131:H2135 F2123:F2127 H2123:H2127 B2139:B2143 F2139:F2143 H2139:H2143 D2111:D2115 D2103:D2107 B2103:B2107 F2103:F2107 H2103:H2107 F2095:F2099 H2095:H2099 B2111:B2115 F2111:F2115 H2111:H2115 D2083:D2087 D2075:D2079 B2075:B2079 F2075:F2079 H2075:H2079 F2067:F2071 H2067:H2071 B2083:B2087 F2083:F2087 H2083:H2087 D2055:D2059 D2047:D2051 B2047:B2051 F2047:F2051 H2047:H2051 F2039:F2043 H2039:H2043 B2055:B2059 F2055:F2059 H2055:H2059 D2027:D2031 D2019:D2023 B2019:B2023 F2019:F2023 H2019:H2023 F2011:F2015 H2011:H2015 B2027:B2031 F2027:F2031 H2027:H2031 D1999:D2003 D1991:D1995 B1991:B1995 F1991:F1995 H1991:H1995 F1983:F1987 H1983:H1987 B1999:B2003 F1999:F2003 H1999:H2003 D2195:D2199 D2187:D2191 B2187:B2191 F2187:F2191 H2187:H2191 F2179:F2183 H2179:H2183 B2195:B2199 F2195:F2199 H2195:H2199 D2223:D2227 D2215:D2219 B2215:B2219 F2215:F2219 H2215:H2219 F2207:F2211 H2207:H2211 B2223:B2227 F2223:F2227 H2223:H2227 D2251:D2255 D2243:D2247 B2243:B2247 F2243:F2247 H2243:H2247 F2235:F2239 H2235:H2239 B2251:B2255 F2251:F2255 H2251:H2255 D2449:D2453 D2441:D2445 B2441:B2445 F2441:F2445 H2441:H2445 F2433:F2437 H2433:H2437 B2449:B2453 F2449:F2453 H2449:H2453 D2421:D2425 D2413:D2417 B2413:B2417 F2413:F2417 H2413:H2417 F2405:F2409 H2405:H2409 B2421:B2425 F2421:F2425 H2421:H2425 D2393:D2397 D2385:D2389 B2385:B2389 F2385:F2389 H2385:H2389 F2377:F2381 H2377:H2381 B2393:B2397 F2393:F2397 H2393:H2397 D2365:D2369 D2357:D2361 B2357:B2361 F2357:F2361 H2357:H2361 F2349:F2353 H2349:H2353 B2365:B2369 F2365:F2369 H2365:H2369 D2337:D2341 D2329:D2333 B2329:B2333 F2329:F2333 H2329:H2333 F2321:F2325 H2321:H2325 B2337:B2341 F2337:F2341 H2337:H2341 D2309:D2313 D2301:D2305 B2301:B2305 F2301:F2305 H2301:H2305 F2293:F2297 H2293:H2297 B2309:B2313 F2309:F2313 H2309:H2313 D2281:D2285 D2273:D2277 B2273:B2277 F2273:F2277 H2273:H2277 F2265:F2269 H2265:H2269 B2281:B2285 F2281:F2285 H2281:H2285 D2477:D2481 D2469:D2473 B2469:B2473 F2469:F2473 H2469:H2473 F2461:F2465 H2461:H2465 B2477:B2481 F2477:F2481 H2477:H2481 D2505:D2509 D2497:D2501 B2497:B2501 F2497:F2501 H2497:H2501 F2489:F2493 H2489:H2493 B2505:B2509 F2505:F2509 H2505:H2509 D2533:D2537 D2525:D2529 B2525:B2529 F2525:F2529 H2525:H2529 F2517:F2521 H2517:H2521 B2533:B2537 F2533:F2537 H2533:H2537 D2731:D2735 D2723:D2727 B2723:B2727 F2723:F2727 H2723:H2727 F2715:F2719 H2715:H2719 B2731:B2735 F2731:F2735 H2731:H2735 D2703:D2707 D2695:D2699 B2695:B2699 F2695:F2699 H2695:H2699 F2687:F2691 H2687:H2691 B2703:B2707 F2703:F2707 H2703:H2707 D2675:D2679 D2667:D2671 B2667:B2671 F2667:F2671 H2667:H2671 F2659:F2663 H2659:H2663 B2675:B2679 F2675:F2679 H2675:H2679 D2647:D2651 D2639:D2643 B2639:B2643 F2639:F2643 H2639:H2643 F2631:F2635 H2631:H2635 B2647:B2651 F2647:F2651 H2647:H2651 D2619:D2623 D2611:D2615 B2611:B2615 F2611:F2615 H2611:H2615 F2603:F2607 H2603:H2607 B2619:B2623 F2619:F2623 H2619:H2623 D2591:D2595 D2583:D2587 B2583:B2587 F2583:F2587 H2583:H2587 F2575:F2579 H2575:H2579 B2591:B2595 F2591:F2595 H2591:H2595 D2563:D2567 D2555:D2559 B2555:B2559 F2555:F2559 H2555:H2559 F2547:F2551 H2547:H2551 B2563:B2567 F2563:F2567 H2563:H2567 D2759:D2763 D2751:D2755 B2751:B2755 F2751:F2755 H2751:H2755 F2743:F2747 H2743:H2747 B2759:B2763 F2759:F2763 H2759:H2763 D2787:D2791 D2779:D2783 B2779:B2783 F2779:F2783 H2779:H2783 F2771:F2775 H2771:H2775 B2787:B2791 F2787:F2791 H2787:H2791 D2815:D2819 D2807:D2811 B2807:B2811 F2807:F2811 H2807:H2811 F2799:F2803 H2799:H2803 B2815:B2819 F2815:F2819 H2815:H2819 D3013:D3017 D3005:D3009 B3005:B3009 F3005:F3009 H3005:H3009 F2997:F3001 H2997:H3001 B3013:B3017 F3013:F3017 H3013:H3017 D2985:D2989 D2977:D2981 B2977:B2981 F2977:F2981 H2977:H2981 F2969:F2973 H2969:H2973 B2985:B2989 F2985:F2989 H2985:H2989 D2957:D2961 D2949:D2953 B2949:B2953 F2949:F2953 H2949:H2953 F2941:F2945 H2941:H2945 B2957:B2961 F2957:F2961 H2957:H2961 D2929:D2933 D2921:D2925 B2921:B2925 F2921:F2925 H2921:H2925 F2913:F2917 H2913:H2917 B2929:B2933 F2929:F2933 H2929:H2933 D2901:D2905 D2893:D2897 B2893:B2897 F2893:F2897 H2893:H2897 F2885:F2889 H2885:H2889 B2901:B2905 F2901:F2905 H2901:H2905 D2873:D2877 D2865:D2869 B2865:B2869 F2865:F2869 H2865:H2869 F2857:F2861 H2857:H2861 B2873:B2877 F2873:F2877 H2873:H2877 D2845:D2849 D2837:D2841 B2837:B2841 F2837:F2841 H2837:H2841 F2829:F2833 H2829:H2833 B2845:B2849 F2845:F2849 H2845:H2849 D3041:D3045 D3033:D3037 B3033:B3037 F3033:F3037 H3033:H3037 F3025:F3029 H3025:H3029 B3041:B3045 F3041:F3045 H3041:H3045 D3069:D3073 D3061:D3065 B3061:B3065 F3061:F3065 H3061:H3065 F3053:F3057 H3053:H3057 B3069:B3073 F3069:F3073 H3069:H3073 D3097:D3101 D3089:D3093 B3089:B3093 F3089:F3093 H3089:H3093 F3081:F3085 H3081:H3085 B3097:B3101 F3097:F3101 H3097:H3101 D3295:D3299 D3287:D3291 B3287:B3291 F3287:F3291 H3287:H3291 F3279:F3283 H3279:H3283 B3295:B3299 F3295:F3299 H3295:H3299 D3267:D3271 D3259:D3263 B3259:B3263 F3259:F3263 H3259:H3263 F3251:F3255 H3251:H3255 B3267:B3271 F3267:F3271 H3267:H3271 D3239:D3243 D3231:D3235 B3231:B3235 F3231:F3235 H3231:H3235 F3223:F3227 H3223:H3227 B3239:B3243 F3239:F3243 H3239:H3243 D3211:D3215 D3203:D3207 B3203:B3207 F3203:F3207 H3203:H3207 F3195:F3199 H3195:H3199 B3211:B3215 F3211:F3215 H3211:H3215 D3183:D3187 D3175:D3179 B3175:B3179 F3175:F3179 H3175:H3179 F3167:F3171 H3167:H3171 B3183:B3187 F3183:F3187 H3183:H3187 D3155:D3159 D3147:D3151 B3147:B3151 F3147:F3151 H3147:H3151 F3139:F3143 H3139:H3143 B3155:B3159 F3155:F3159 H3155:H3159 D3127:D3131 D3119:D3123 B3119:B3123 F3119:F3123 H3119:H3123 F3111:F3115 H3111:H3115 B3127:B3131 F3127:F3131 H3127:H3131 D3323:D3327 D3315:D3319 B3315:B3319 F3315:F3319 H3315:H3319 F3307:F3311 H3307:H3311 B3323:B3327 F3323:F3327 H3323:H3327 D3351:D3355 D3343:D3347 B3343:B3347 F3343:F3347 H3343:H3347 F3335:F3339 H3335:H3339 B3351:B3355 F3351:F3355 H3351:H3355 D3379:D3383 D3371:D3375 B3371:B3375 F3371:F3375 H3371:H3375 F3363:F3367 H3363:H3367 B3379:B3383 F3379:F3383 H3379:H3383 D3577:D3581 D3569:D3573 B3569:B3573 F3569:F3573 H3569:H3573 F3561:F3565 H3561:H3565 B3577:B3581 F3577:F3581 H3577:H3581 D3549:D3553 D3541:D3545 B3541:B3545 F3541:F3545 H3541:H3545 F3533:F3537 H3533:H3537 B3549:B3553 F3549:F3553 H3549:H3553 D3521:D3525 D3513:D3517 B3513:B3517 F3513:F3517 H3513:H3517 F3505:F3509 H3505:H3509 B3521:B3525 F3521:F3525 H3521:H3525 D3493:D3497 D3485:D3489 B3485:B3489 F3485:F3489 H3485:H3489 F3477:F3481 H3477:H3481 B3493:B3497 F3493:F3497 H3493:H3497 D3465:D3469 D3457:D3461 B3457:B3461 F3457:F3461 H3457:H3461 F3449:F3453 H3449:H3453 B3465:B3469 F3465:F3469 H3465:H3469 D3437:D3441 D3429:D3433 B3429:B3433 F3429:F3433 H3429:H3433 F3421:F3425 H3421:H3425 B3437:B3441 F3437:F3441 H3437:H3441 D3409:D3413 D3401:D3405 B3401:B3405 F3401:F3405 H3401:H3405 F3393:F3397 H3393:H3397 B3409:B3413 F3409:F3413 H3409:H3413 D3605:D3609 D3597:D3601 B3597:B3601 F3597:F3601 H3597:H3601 F3589:F3593 H3589:H3593 B3605:B3609 F3605:F3609 H3605:H3609 D3633:D3637 D3625:D3629 B3625:B3629 F3625:F3629 H3625:H3629 F3617:F3621 H3617:H3621 B3633:B3637 F3633:F3637 H3633:H3637 D3661:D3665 D3653:D3657 B3653:B3657 F3653:F3657 H3653:H3657 F3645:F3649 H3645:H3649 B3661:B3665 F3661:F3665 H3661:H3665 D3831:D3834 D3823:D3827 B3823:B3827 F3823:F3827 H3823:H3827 F3815:F3819 H3815:H3819 B3831:B3834 F3831:F3834 H3831:H3834 D3803:D3807 D3795:D3799 B3795:B3799 F3795:F3799 H3795:H3799 F3787:F3791 H3787:H3791 B3803:B3807 F3803:F3807 H3803:H3807 D3775:D3779 D3767:D3771 B3767:B3771 F3767:F3771 H3767:H3771 F3759:F3763 H3759:H3763 B3775:B3779 F3775:F3779 H3775:H3779 D3747:D3751 D3739:D3743 B3739:B3743 F3739:F3743 H3739:H3743 F3731:F3735 H3731:H3735 B3747:B3751 F3747:F3751 H3747:H3751 D3719:D3723 D3711:D3715 B3711:B3715 F3711:F3715 H3711:H3715 F3703:F3707 H3703:H3707 B3719:B3723 F3719:F3723 H3719:H3723 D3691:D3695 D3683:D3687 B3683:B3687 F3683:F3687 H3683:H3687 F3675:F3679 H3675:H3679 B3691:B3695 F3691:F3695 H3691:H3695">
    <cfRule type="expression" dxfId="3631" priority="6864">
      <formula>B9&lt;&gt;""</formula>
    </cfRule>
  </conditionalFormatting>
  <conditionalFormatting sqref="D475 D467 B467 F467 H467 F459 H459 B475 F475 H475 D447 D439 B439 F439 H439 F431 H431 B447 F447 H447 D419 D411 B411 F411 H411 F403 H403 B419 F419 H419 D391 D383 B383 F383 H383 F375 H375 B391 F391 H391 D363 D355 B355 F355 H355 F347 H347 B363 F363 H363 D335 D327 B327 F327 H327 F319 H319 B335 F335 H335 D307 D299 B299 F299 H299 F291 H291 B307 F307 H307 D109 D101 B101 F101 H101 F93 H93 B109 F109 H109 D81 D73 B73 F73 H73 F65 H65 B81 F81 H81 D53 D45 B45 F45 H45 F37 H37 B53 F53 H53 D25 D17 B17 F17 H17 F9 H9 B25 F25 H25 D137 D129 B129 F129 H129 F121 H121 B137 F137 H137 D165 D157 B157 F157 H157 F149 H149 B165 F165 H165 D193 D185 B185 F185 H185 F177 H177 B193 F193 H193 D221 D213 B213 F213 H213 F205 H205 B221 F221 H221 D249 D241 B241 F241 H241 F233 H233 B249 F249 H249 D277 D269 B269 F269 H269 F261 H261 B277 F277 H277 B205 D205 B233 D233 B261 D261 D177 B149 D149 B121 D121 B93 D93 B9 D9 B37 D37 B65 D65 B291 D291 B319 D319 B347 D347 B375 D375 B403 D403 B431 D431 B459 D459 D503 D495 B495 F495 H495 F487 H487 B503 F503 H503 D531 D523 B523 F523 H523 F515 H515 B531 F531 H531 D559 D551 B551 F551 H551 F543 H543 B559 F559 H559 B487 D487 B515 D515 B543 D543 D757 D749 B749 F749 H749 F741 H741 B757 F757 H757 D729 D721 B721 F721 H721 F713 H713 B729 F729 H729 D701 D693 B693 F693 H693 F685 H685 B701 F701 H701 D673 D665 B665 F665 H665 F657 H657 B673 F673 H673 D645 D637 B637 F637 H637 F629 H629 B645 F645 H645 D617 D609 B609 F609 H609 F601 H601 B617 F617 H617 D589 D581 B581 F581 H581 F573 H573 B589 F589 H589 B573 D573 B601 D601 B629 D629 B657 D657 B685 D685 B713 D713 B741 D741 D785 D777 B777 F777 H777 F769 H769 B785 F785 H785 D813 D805 B805 F805 H805 F797 H797 B813 F813 H813 D841 D833 B833 F833 H833 F825 H825 B841 F841 H841 B769 D769 B797 D797 B825 D825 D1039 D1031 B1031 F1031 H1031 F1023 H1023 B1039 F1039 H1039 D1011 D1003 B1003 F1003 H1003 F995 H995 B1011 F1011 H1011 D983 D975 B975 F975 H975 F967 H967 B983 F983 H983 D955 D947 B947 F947 H947 F939 H939 B955 F955 H955 D927 D919 B919 F919 H919 F911 H911 B927 F927 H927 D899 D891 B891 F891 H891 F883 H883 B899 F899 H899 D871 D863 B863 F863 H863 F855 H855 B871 F871 H871 B855 D855 B883 D883 B911 D911 B939 D939 B967 D967 B995 D995 B1023 D1023 D1067 D1059 B1059 F1059 H1059 F1051 H1051 B1067 F1067 H1067 D1095 D1087 B1087 F1087 H1087 F1079 H1079 B1095 F1095 H1095 D1123 D1115 B1115 F1115 H1115 F1107 H1107 B1123 F1123 H1123 B1051 D1051 B1079 D1079 B1107 D1107 D1321 D1313 B1313 F1313 H1313 F1305 H1305 B1321 F1321 H1321 D1293 D1285 B1285 F1285 H1285 F1277 H1277 B1293 F1293 H1293 D1265 D1257 B1257 F1257 H1257 F1249 H1249 B1265 F1265 H1265 D1237 D1229 B1229 F1229 H1229 F1221 H1221 B1237 F1237 H1237 D1209 D1201 B1201 F1201 H1201 F1193 H1193 B1209 F1209 H1209 D1181 D1173 B1173 F1173 H1173 F1165 H1165 B1181 F1181 H1181 D1153 D1145 B1145 F1145 H1145 F1137 H1137 B1153 F1153 H1153 B1137 D1137 B1165 D1165 B1193 D1193 B1221 D1221 B1249 D1249 B1277 D1277 B1305 D1305 D1349 D1341 B1341 F1341 H1341 F1333 H1333 B1349 F1349 H1349 D1377 D1369 B1369 F1369 H1369 F1361 H1361 B1377 F1377 H1377 D1405 D1397 B1397 F1397 H1397 F1389 H1389 B1405 F1405 H1405 B1333 D1333 B1361 D1361 B1389 D1389 D1603 D1595 B1595 F1595 H1595 F1587 H1587 B1603 F1603 H1603 D1575 D1567 B1567 F1567 H1567 F1559 H1559 B1575 F1575 H1575 D1547 D1539 B1539 F1539 H1539 F1531 H1531 B1547 F1547 H1547 D1519 D1511 B1511 F1511 H1511 F1503 H1503 B1519 F1519 H1519 D1491 D1483 B1483 F1483 H1483 F1475 H1475 B1491 F1491 H1491 D1463 D1455 B1455 F1455 H1455 F1447 H1447 B1463 F1463 H1463 D1435 D1427 B1427 F1427 H1427 F1419 H1419 B1435 F1435 H1435 B1419 D1419 B1447 D1447 B1475 D1475 B1503 D1503 B1531 D1531 B1559 D1559 B1587 D1587 D1631 D1623 B1623 F1623 H1623 F1615 H1615 B1631 F1631 H1631 D1659 D1651 B1651 F1651 H1651 F1643 H1643 B1659 F1659 H1659 D1687 D1679 B1679 F1679 H1679 F1671 H1671 B1687 F1687 H1687 B1615 D1615 B1643 D1643 B1671 D1671 D1885 D1877 B1877 F1877 H1877 F1869 H1869 B1885 F1885 H1885 D1857 D1849 B1849 F1849 H1849 F1841 H1841 B1857 F1857 H1857 D1829 D1821 B1821 F1821 H1821 F1813 H1813 B1829 F1829 H1829 D1801 D1793 B1793 F1793 H1793 F1785 H1785 B1801 F1801 H1801 D1773 D1765 B1765 F1765 H1765 F1757 H1757 B1773 F1773 H1773 D1745 D1737 B1737 F1737 H1737 F1729 H1729 B1745 F1745 H1745 D1717 D1709 B1709 F1709 H1709 F1701 H1701 B1717 F1717 H1717 B1701 D1701 B1729 D1729 B1757 D1757 B1785 D1785 B1813 D1813 B1841 D1841 B1869 D1869 D1913 D1905 B1905 F1905 H1905 F1897 H1897 B1913 F1913 H1913 D1941 D1933 B1933 F1933 H1933 F1925 H1925 B1941 F1941 H1941 D1969 D1961 B1961 F1961 H1961 F1953 H1953 B1969 F1969 H1969 B1897 D1897 B1925 D1925 B1953 D1953 D2167 D2159 B2159 F2159 H2159 F2151 H2151 B2167 F2167 H2167 D2139 D2131 B2131 F2131 H2131 F2123 H2123 B2139 F2139 H2139 D2111 D2103 B2103 F2103 H2103 F2095 H2095 B2111 F2111 H2111 D2083 D2075 B2075 F2075 H2075 F2067 H2067 B2083 F2083 H2083 D2055 D2047 B2047 F2047 H2047 F2039 H2039 B2055 F2055 H2055 D2027 D2019 B2019 F2019 H2019 F2011 H2011 B2027 F2027 H2027 D1999 D1991 B1991 F1991 H1991 F1983 H1983 B1999 F1999 H1999 B1983 D1983 B2011 D2011 B2039 D2039 B2067 D2067 B2095 D2095 B2123 D2123 B2151 D2151 D2195 D2187 B2187 F2187 H2187 F2179 H2179 B2195 F2195 H2195 D2223 D2215 B2215 F2215 H2215 F2207 H2207 B2223 F2223 H2223 D2251 D2243 B2243 F2243 H2243 F2235 H2235 B2251 F2251 H2251 B2179 D2179 B2207 D2207 B2235 D2235 D2449 D2441 B2441 F2441 H2441 F2433 H2433 B2449 F2449 H2449 D2421 D2413 B2413 F2413 H2413 F2405 H2405 B2421 F2421 H2421 D2393 D2385 B2385 F2385 H2385 F2377 H2377 B2393 F2393 H2393 D2365 D2357 B2357 F2357 H2357 F2349 H2349 B2365 F2365 H2365 D2337 D2329 B2329 F2329 H2329 F2321 H2321 B2337 F2337 H2337 D2309 D2301 B2301 F2301 H2301 F2293 H2293 B2309 F2309 H2309 D2281 D2273 B2273 F2273 H2273 F2265 H2265 B2281 F2281 H2281 B2265 D2265 B2293 D2293 B2321 D2321 B2349 D2349 B2377 D2377 B2405 D2405 B2433 D2433 D2477 D2469 B2469 F2469 H2469 F2461 H2461 B2477 F2477 H2477 D2505 D2497 B2497 F2497 H2497 F2489 H2489 B2505 F2505 H2505 D2533 D2525 B2525 F2525 H2525 F2517 H2517 B2533 F2533 H2533 B2461 D2461 B2489 D2489 B2517 D2517 D2731 D2723 B2723 F2723 H2723 F2715 H2715 B2731 F2731 H2731 D2703 D2695 B2695 F2695 H2695 F2687 H2687 B2703 F2703 H2703 D2675 D2667 B2667 F2667 H2667 F2659 H2659 B2675 F2675 H2675 D2647 D2639 B2639 F2639 H2639 F2631 H2631 B2647 F2647 H2647 D2619 D2611 B2611 F2611 H2611 F2603 H2603 B2619 F2619 H2619 D2591 D2583 B2583 F2583 H2583 F2575 H2575 B2591 F2591 H2591 D2563 D2555 B2555 F2555 H2555 F2547 H2547 B2563 F2563 H2563 B2547 D2547 B2575 D2575 B2603 D2603 B2631 D2631 B2659 D2659 B2687 D2687 B2715 D2715 D2759 D2751 B2751 F2751 H2751 F2743 H2743 B2759 F2759 H2759 D2787 D2779 B2779 F2779 H2779 F2771 H2771 B2787 F2787 H2787 D2815 D2807 B2807 F2807 H2807 F2799 H2799 B2815 F2815 H2815 B2743 D2743 B2771 D2771 B2799 D2799 D3013 D3005 B3005 F3005 H3005 F2997 H2997 B3013 F3013 H3013 D2985 D2977 B2977 F2977 H2977 F2969 H2969 B2985 F2985 H2985 D2957 D2949 B2949 F2949 H2949 F2941 H2941 B2957 F2957 H2957 D2929 D2921 B2921 F2921 H2921 F2913 H2913 B2929 F2929 H2929 D2901 D2893 B2893 F2893 H2893 F2885 H2885 B2901 F2901 H2901 D2873 D2865 B2865 F2865 H2865 F2857 H2857 B2873 F2873 H2873 D2845 D2837 B2837 F2837 H2837 F2829 H2829 B2845 F2845 H2845 B2829 D2829 B2857 D2857 B2885 D2885 B2913 D2913 B2941 D2941 B2969 D2969 B2997 D2997 D3041 D3033 B3033 F3033 H3033 F3025 H3025 B3041 F3041 H3041 D3069 D3061 B3061 F3061 H3061 F3053 H3053 B3069 F3069 H3069 D3097 D3089 B3089 F3089 H3089 F3081 H3081 B3097 F3097 H3097 B3025 D3025 B3053 D3053 B3081 D3081 D3295 D3287 B3287 F3287 H3287 F3279 H3279 B3295 F3295 H3295 D3267 D3259 B3259 F3259 H3259 F3251 H3251 B3267 F3267 H3267 D3239 D3231 B3231 F3231 H3231 F3223 H3223 B3239 F3239 H3239 D3211 D3203 B3203 F3203 H3203 F3195 H3195 B3211 F3211 H3211 D3183 D3175 B3175 F3175 H3175 F3167 H3167 B3183 F3183 H3183 D3155 D3147 B3147 F3147 H3147 F3139 H3139 B3155 F3155 H3155 D3127 D3119 B3119 F3119 H3119 F3111 H3111 B3127 F3127 H3127 B3111 D3111 B3139 D3139 B3167 D3167 B3195 D3195 B3223 D3223 B3251 D3251 B3279 D3279 D3323 D3315 B3315 F3315 H3315 F3307 H3307 B3323 F3323 H3323 D3351 D3343 B3343 F3343 H3343 F3335 H3335 B3351 F3351 H3351 D3379 D3371 B3371 F3371 H3371 F3363 H3363 B3379 F3379 H3379 B3307 D3307 B3335 D3335 B3363 D3363 D3577 D3569 B3569 F3569 H3569 F3561 H3561 B3577 F3577 H3577 D3549 D3541 B3541 F3541 H3541 F3533 H3533 B3549 F3549 H3549 D3521 D3513 B3513 F3513 H3513 F3505 H3505 B3521 F3521 H3521 D3493 D3485 B3485 F3485 H3485 F3477 H3477 B3493 F3493 H3493 D3465 D3457 B3457 F3457 H3457 F3449 H3449 B3465 F3465 H3465 D3437 D3429 B3429 F3429 H3429 F3421 H3421 B3437 F3437 H3437 D3409 D3401 B3401 F3401 H3401 F3393 H3393 B3409 F3409 H3409 B3393 D3393 B3421 D3421 B3449 D3449 B3477 D3477 B3505 D3505 B3533 D3533 B3561 D3561 D3605 D3597 B3597 F3597 H3597 F3589 H3589 B3605 F3605 H3605 D3633 D3625 B3625 F3625 H3625 F3617 H3617 B3633 F3633 H3633 D3661 D3653 B3653 F3653 H3653 F3645 H3645 B3661 F3661 H3661 B3589 D3589 B3617 D3617 B3645 D3645 D3831 D3823 B3823 F3823 H3823 F3815 H3815 B3831 F3831 H3831 D3803 D3795 B3795 F3795 H3795 F3787 H3787 B3803 F3803 H3803 D3775 D3767 B3767 F3767 H3767 F3759 H3759 B3775 F3775 H3775 D3747 D3739 B3739 F3739 H3739 F3731 H3731 B3747 F3747 H3747 D3719 D3711 B3711 F3711 H3711 F3703 H3703 B3719 F3719 H3719 D3691 D3683 B3683 F3683 H3683 F3675 H3675 B3691 F3691 H3691 B3675 D3675 B3703 D3703 B3731 D3731 B3759 D3759 B3787 D3787 B3815 D3815">
    <cfRule type="expression" dxfId="3630" priority="6863">
      <formula>B9&lt;&gt;""</formula>
    </cfRule>
  </conditionalFormatting>
  <conditionalFormatting sqref="D479">
    <cfRule type="expression" dxfId="3629" priority="6862">
      <formula>D475&lt;&gt;""</formula>
    </cfRule>
  </conditionalFormatting>
  <conditionalFormatting sqref="I464:I465 C465:H465 B465:B466">
    <cfRule type="expression" dxfId="3628" priority="6861">
      <formula>$B$467&lt;&gt;""</formula>
    </cfRule>
  </conditionalFormatting>
  <conditionalFormatting sqref="D471">
    <cfRule type="expression" dxfId="3627" priority="6858">
      <formula>D467&lt;&gt;""</formula>
    </cfRule>
  </conditionalFormatting>
  <conditionalFormatting sqref="C467:C471 C3831:C3834 E3831:E3834 G3831:G3834">
    <cfRule type="expression" dxfId="3626" priority="6857">
      <formula>D467&lt;&gt;""</formula>
    </cfRule>
  </conditionalFormatting>
  <conditionalFormatting sqref="E467:E471">
    <cfRule type="expression" dxfId="3625" priority="6856">
      <formula>F467&lt;&gt;""</formula>
    </cfRule>
  </conditionalFormatting>
  <conditionalFormatting sqref="G467:G471">
    <cfRule type="expression" dxfId="3624" priority="6855">
      <formula>H467&lt;&gt;""</formula>
    </cfRule>
  </conditionalFormatting>
  <conditionalFormatting sqref="I467:I471 I3823:I3827">
    <cfRule type="expression" dxfId="3623" priority="6854">
      <formula>B475&lt;&gt;""</formula>
    </cfRule>
  </conditionalFormatting>
  <conditionalFormatting sqref="B471">
    <cfRule type="expression" dxfId="3622" priority="6851">
      <formula>B467&lt;&gt;""</formula>
    </cfRule>
  </conditionalFormatting>
  <conditionalFormatting sqref="F471">
    <cfRule type="expression" dxfId="3621" priority="6848">
      <formula>F467&lt;&gt;""</formula>
    </cfRule>
  </conditionalFormatting>
  <conditionalFormatting sqref="H471">
    <cfRule type="expression" dxfId="3620" priority="6845">
      <formula>H467&lt;&gt;""</formula>
    </cfRule>
  </conditionalFormatting>
  <conditionalFormatting sqref="F463">
    <cfRule type="expression" dxfId="3619" priority="6842">
      <formula>F459&lt;&gt;""</formula>
    </cfRule>
  </conditionalFormatting>
  <conditionalFormatting sqref="E459:E463">
    <cfRule type="expression" dxfId="3618" priority="6841">
      <formula>F459&lt;&gt;""</formula>
    </cfRule>
  </conditionalFormatting>
  <conditionalFormatting sqref="G459:G463">
    <cfRule type="expression" dxfId="3617" priority="6840">
      <formula>H459&lt;&gt;""</formula>
    </cfRule>
  </conditionalFormatting>
  <conditionalFormatting sqref="I459:I463">
    <cfRule type="expression" dxfId="3616" priority="6839">
      <formula>B467&lt;&gt;""</formula>
    </cfRule>
  </conditionalFormatting>
  <conditionalFormatting sqref="H463">
    <cfRule type="expression" dxfId="3615" priority="6836">
      <formula>H459&lt;&gt;""</formula>
    </cfRule>
  </conditionalFormatting>
  <conditionalFormatting sqref="I472:I473 C473:H473 B473:B474">
    <cfRule type="expression" dxfId="3614" priority="6835">
      <formula>$B$475&lt;&gt;""</formula>
    </cfRule>
  </conditionalFormatting>
  <conditionalFormatting sqref="B479">
    <cfRule type="expression" dxfId="3613" priority="6832">
      <formula>B475&lt;&gt;""</formula>
    </cfRule>
  </conditionalFormatting>
  <conditionalFormatting sqref="F479">
    <cfRule type="expression" dxfId="3612" priority="6829">
      <formula>F475&lt;&gt;""</formula>
    </cfRule>
  </conditionalFormatting>
  <conditionalFormatting sqref="C475:C479">
    <cfRule type="expression" dxfId="3611" priority="6828">
      <formula>D475&lt;&gt;""</formula>
    </cfRule>
  </conditionalFormatting>
  <conditionalFormatting sqref="E475:E479">
    <cfRule type="expression" dxfId="3610" priority="6827">
      <formula>F475&lt;&gt;""</formula>
    </cfRule>
  </conditionalFormatting>
  <conditionalFormatting sqref="G475:G479">
    <cfRule type="expression" dxfId="3609" priority="6826">
      <formula>H475&lt;&gt;""</formula>
    </cfRule>
  </conditionalFormatting>
  <conditionalFormatting sqref="H479">
    <cfRule type="expression" dxfId="3608" priority="6823">
      <formula>H475&lt;&gt;""</formula>
    </cfRule>
  </conditionalFormatting>
  <conditionalFormatting sqref="D451">
    <cfRule type="expression" dxfId="3607" priority="6820">
      <formula>D447&lt;&gt;""</formula>
    </cfRule>
  </conditionalFormatting>
  <conditionalFormatting sqref="I436:I437 C437:H437 B437:B438">
    <cfRule type="expression" dxfId="3606" priority="6819">
      <formula>$B$439&lt;&gt;""</formula>
    </cfRule>
  </conditionalFormatting>
  <conditionalFormatting sqref="D443">
    <cfRule type="expression" dxfId="3605" priority="6816">
      <formula>D439&lt;&gt;""</formula>
    </cfRule>
  </conditionalFormatting>
  <conditionalFormatting sqref="C439:C443">
    <cfRule type="expression" dxfId="3604" priority="6815">
      <formula>D439&lt;&gt;""</formula>
    </cfRule>
  </conditionalFormatting>
  <conditionalFormatting sqref="E439:E443">
    <cfRule type="expression" dxfId="3603" priority="6814">
      <formula>F439&lt;&gt;""</formula>
    </cfRule>
  </conditionalFormatting>
  <conditionalFormatting sqref="G439:G443">
    <cfRule type="expression" dxfId="3602" priority="6813">
      <formula>H439&lt;&gt;""</formula>
    </cfRule>
  </conditionalFormatting>
  <conditionalFormatting sqref="I439:I443">
    <cfRule type="expression" dxfId="3601" priority="6812">
      <formula>B447&lt;&gt;""</formula>
    </cfRule>
  </conditionalFormatting>
  <conditionalFormatting sqref="B443">
    <cfRule type="expression" dxfId="3600" priority="6809">
      <formula>B439&lt;&gt;""</formula>
    </cfRule>
  </conditionalFormatting>
  <conditionalFormatting sqref="F443">
    <cfRule type="expression" dxfId="3599" priority="6806">
      <formula>F439&lt;&gt;""</formula>
    </cfRule>
  </conditionalFormatting>
  <conditionalFormatting sqref="H443">
    <cfRule type="expression" dxfId="3598" priority="6803">
      <formula>H439&lt;&gt;""</formula>
    </cfRule>
  </conditionalFormatting>
  <conditionalFormatting sqref="F435">
    <cfRule type="expression" dxfId="3597" priority="6800">
      <formula>F431&lt;&gt;""</formula>
    </cfRule>
  </conditionalFormatting>
  <conditionalFormatting sqref="E431:E435">
    <cfRule type="expression" dxfId="3596" priority="6799">
      <formula>F431&lt;&gt;""</formula>
    </cfRule>
  </conditionalFormatting>
  <conditionalFormatting sqref="G431:G435">
    <cfRule type="expression" dxfId="3595" priority="6798">
      <formula>H431&lt;&gt;""</formula>
    </cfRule>
  </conditionalFormatting>
  <conditionalFormatting sqref="I431:I435">
    <cfRule type="expression" dxfId="3594" priority="6797">
      <formula>B439&lt;&gt;""</formula>
    </cfRule>
  </conditionalFormatting>
  <conditionalFormatting sqref="H435">
    <cfRule type="expression" dxfId="3593" priority="6794">
      <formula>H431&lt;&gt;""</formula>
    </cfRule>
  </conditionalFormatting>
  <conditionalFormatting sqref="I444:I445 C445:H445 B445:B446">
    <cfRule type="expression" dxfId="3592" priority="6793">
      <formula>$B$447&lt;&gt;""</formula>
    </cfRule>
  </conditionalFormatting>
  <conditionalFormatting sqref="B451">
    <cfRule type="expression" dxfId="3591" priority="6790">
      <formula>B447&lt;&gt;""</formula>
    </cfRule>
  </conditionalFormatting>
  <conditionalFormatting sqref="F451">
    <cfRule type="expression" dxfId="3590" priority="6787">
      <formula>F447&lt;&gt;""</formula>
    </cfRule>
  </conditionalFormatting>
  <conditionalFormatting sqref="C447:C451">
    <cfRule type="expression" dxfId="3589" priority="6786">
      <formula>D447&lt;&gt;""</formula>
    </cfRule>
  </conditionalFormatting>
  <conditionalFormatting sqref="E447:E451">
    <cfRule type="expression" dxfId="3588" priority="6785">
      <formula>F447&lt;&gt;""</formula>
    </cfRule>
  </conditionalFormatting>
  <conditionalFormatting sqref="G447:G451">
    <cfRule type="expression" dxfId="3587" priority="6784">
      <formula>H447&lt;&gt;""</formula>
    </cfRule>
  </conditionalFormatting>
  <conditionalFormatting sqref="H451">
    <cfRule type="expression" dxfId="3586" priority="6781">
      <formula>H447&lt;&gt;""</formula>
    </cfRule>
  </conditionalFormatting>
  <conditionalFormatting sqref="D423">
    <cfRule type="expression" dxfId="3585" priority="6778">
      <formula>D419&lt;&gt;""</formula>
    </cfRule>
  </conditionalFormatting>
  <conditionalFormatting sqref="I408:I409 C409:H409 B409:B410">
    <cfRule type="expression" dxfId="3584" priority="6777">
      <formula>$B$411&lt;&gt;""</formula>
    </cfRule>
  </conditionalFormatting>
  <conditionalFormatting sqref="D415">
    <cfRule type="expression" dxfId="3583" priority="6774">
      <formula>D411&lt;&gt;""</formula>
    </cfRule>
  </conditionalFormatting>
  <conditionalFormatting sqref="C411:C415">
    <cfRule type="expression" dxfId="3582" priority="6773">
      <formula>D411&lt;&gt;""</formula>
    </cfRule>
  </conditionalFormatting>
  <conditionalFormatting sqref="E411:E415">
    <cfRule type="expression" dxfId="3581" priority="6772">
      <formula>F411&lt;&gt;""</formula>
    </cfRule>
  </conditionalFormatting>
  <conditionalFormatting sqref="G411:G415">
    <cfRule type="expression" dxfId="3580" priority="6771">
      <formula>H411&lt;&gt;""</formula>
    </cfRule>
  </conditionalFormatting>
  <conditionalFormatting sqref="I411:I415">
    <cfRule type="expression" dxfId="3579" priority="6770">
      <formula>B419&lt;&gt;""</formula>
    </cfRule>
  </conditionalFormatting>
  <conditionalFormatting sqref="B415">
    <cfRule type="expression" dxfId="3578" priority="6767">
      <formula>B411&lt;&gt;""</formula>
    </cfRule>
  </conditionalFormatting>
  <conditionalFormatting sqref="F415">
    <cfRule type="expression" dxfId="3577" priority="6764">
      <formula>F411&lt;&gt;""</formula>
    </cfRule>
  </conditionalFormatting>
  <conditionalFormatting sqref="H415">
    <cfRule type="expression" dxfId="3576" priority="6761">
      <formula>H411&lt;&gt;""</formula>
    </cfRule>
  </conditionalFormatting>
  <conditionalFormatting sqref="F407">
    <cfRule type="expression" dxfId="3575" priority="6758">
      <formula>F403&lt;&gt;""</formula>
    </cfRule>
  </conditionalFormatting>
  <conditionalFormatting sqref="E403:E407">
    <cfRule type="expression" dxfId="3574" priority="6757">
      <formula>F403&lt;&gt;""</formula>
    </cfRule>
  </conditionalFormatting>
  <conditionalFormatting sqref="G403:G407">
    <cfRule type="expression" dxfId="3573" priority="6756">
      <formula>H403&lt;&gt;""</formula>
    </cfRule>
  </conditionalFormatting>
  <conditionalFormatting sqref="I403:I407">
    <cfRule type="expression" dxfId="3572" priority="6755">
      <formula>B411&lt;&gt;""</formula>
    </cfRule>
  </conditionalFormatting>
  <conditionalFormatting sqref="H407">
    <cfRule type="expression" dxfId="3571" priority="6752">
      <formula>H403&lt;&gt;""</formula>
    </cfRule>
  </conditionalFormatting>
  <conditionalFormatting sqref="I416:I417 C417:H417 B417:B418">
    <cfRule type="expression" dxfId="3570" priority="6751">
      <formula>$B$419&lt;&gt;""</formula>
    </cfRule>
  </conditionalFormatting>
  <conditionalFormatting sqref="B423">
    <cfRule type="expression" dxfId="3569" priority="6748">
      <formula>B419&lt;&gt;""</formula>
    </cfRule>
  </conditionalFormatting>
  <conditionalFormatting sqref="F423">
    <cfRule type="expression" dxfId="3568" priority="6745">
      <formula>F419&lt;&gt;""</formula>
    </cfRule>
  </conditionalFormatting>
  <conditionalFormatting sqref="C419:C423">
    <cfRule type="expression" dxfId="3567" priority="6744">
      <formula>D419&lt;&gt;""</formula>
    </cfRule>
  </conditionalFormatting>
  <conditionalFormatting sqref="E419:E423">
    <cfRule type="expression" dxfId="3566" priority="6743">
      <formula>F419&lt;&gt;""</formula>
    </cfRule>
  </conditionalFormatting>
  <conditionalFormatting sqref="G419:G423">
    <cfRule type="expression" dxfId="3565" priority="6742">
      <formula>H419&lt;&gt;""</formula>
    </cfRule>
  </conditionalFormatting>
  <conditionalFormatting sqref="H423">
    <cfRule type="expression" dxfId="3564" priority="6739">
      <formula>H419&lt;&gt;""</formula>
    </cfRule>
  </conditionalFormatting>
  <conditionalFormatting sqref="D395">
    <cfRule type="expression" dxfId="3563" priority="6736">
      <formula>D391&lt;&gt;""</formula>
    </cfRule>
  </conditionalFormatting>
  <conditionalFormatting sqref="I380:I381 C381:H381 B381:B382">
    <cfRule type="expression" dxfId="3562" priority="6735">
      <formula>$B$383&lt;&gt;""</formula>
    </cfRule>
  </conditionalFormatting>
  <conditionalFormatting sqref="D387">
    <cfRule type="expression" dxfId="3561" priority="6732">
      <formula>D383&lt;&gt;""</formula>
    </cfRule>
  </conditionalFormatting>
  <conditionalFormatting sqref="C383:C387">
    <cfRule type="expression" dxfId="3560" priority="6731">
      <formula>D383&lt;&gt;""</formula>
    </cfRule>
  </conditionalFormatting>
  <conditionalFormatting sqref="E383:E387">
    <cfRule type="expression" dxfId="3559" priority="6730">
      <formula>F383&lt;&gt;""</formula>
    </cfRule>
  </conditionalFormatting>
  <conditionalFormatting sqref="G383:G387">
    <cfRule type="expression" dxfId="3558" priority="6729">
      <formula>H383&lt;&gt;""</formula>
    </cfRule>
  </conditionalFormatting>
  <conditionalFormatting sqref="I383:I387">
    <cfRule type="expression" dxfId="3557" priority="6728">
      <formula>B391&lt;&gt;""</formula>
    </cfRule>
  </conditionalFormatting>
  <conditionalFormatting sqref="B387">
    <cfRule type="expression" dxfId="3556" priority="6725">
      <formula>B383&lt;&gt;""</formula>
    </cfRule>
  </conditionalFormatting>
  <conditionalFormatting sqref="F387">
    <cfRule type="expression" dxfId="3555" priority="6722">
      <formula>F383&lt;&gt;""</formula>
    </cfRule>
  </conditionalFormatting>
  <conditionalFormatting sqref="H387">
    <cfRule type="expression" dxfId="3554" priority="6719">
      <formula>H383&lt;&gt;""</formula>
    </cfRule>
  </conditionalFormatting>
  <conditionalFormatting sqref="F379">
    <cfRule type="expression" dxfId="3553" priority="6716">
      <formula>F375&lt;&gt;""</formula>
    </cfRule>
  </conditionalFormatting>
  <conditionalFormatting sqref="E375:E379">
    <cfRule type="expression" dxfId="3552" priority="6715">
      <formula>F375&lt;&gt;""</formula>
    </cfRule>
  </conditionalFormatting>
  <conditionalFormatting sqref="G375:G379">
    <cfRule type="expression" dxfId="3551" priority="6714">
      <formula>H375&lt;&gt;""</formula>
    </cfRule>
  </conditionalFormatting>
  <conditionalFormatting sqref="I375:I379">
    <cfRule type="expression" dxfId="3550" priority="6713">
      <formula>B383&lt;&gt;""</formula>
    </cfRule>
  </conditionalFormatting>
  <conditionalFormatting sqref="H379">
    <cfRule type="expression" dxfId="3549" priority="6710">
      <formula>H375&lt;&gt;""</formula>
    </cfRule>
  </conditionalFormatting>
  <conditionalFormatting sqref="I388:I389 C389:H389 B389:B390">
    <cfRule type="expression" dxfId="3548" priority="6709">
      <formula>$B$391&lt;&gt;""</formula>
    </cfRule>
  </conditionalFormatting>
  <conditionalFormatting sqref="B395">
    <cfRule type="expression" dxfId="3547" priority="6706">
      <formula>B391&lt;&gt;""</formula>
    </cfRule>
  </conditionalFormatting>
  <conditionalFormatting sqref="F395">
    <cfRule type="expression" dxfId="3546" priority="6703">
      <formula>F391&lt;&gt;""</formula>
    </cfRule>
  </conditionalFormatting>
  <conditionalFormatting sqref="C391:C395">
    <cfRule type="expression" dxfId="3545" priority="6702">
      <formula>D391&lt;&gt;""</formula>
    </cfRule>
  </conditionalFormatting>
  <conditionalFormatting sqref="E391:E395">
    <cfRule type="expression" dxfId="3544" priority="6701">
      <formula>F391&lt;&gt;""</formula>
    </cfRule>
  </conditionalFormatting>
  <conditionalFormatting sqref="G391:G395">
    <cfRule type="expression" dxfId="3543" priority="6700">
      <formula>H391&lt;&gt;""</formula>
    </cfRule>
  </conditionalFormatting>
  <conditionalFormatting sqref="H395">
    <cfRule type="expression" dxfId="3542" priority="6697">
      <formula>H391&lt;&gt;""</formula>
    </cfRule>
  </conditionalFormatting>
  <conditionalFormatting sqref="D367">
    <cfRule type="expression" dxfId="3541" priority="6694">
      <formula>D363&lt;&gt;""</formula>
    </cfRule>
  </conditionalFormatting>
  <conditionalFormatting sqref="I352:I353 C353:H353 B353:B354">
    <cfRule type="expression" dxfId="3540" priority="6693">
      <formula>$B$355&lt;&gt;""</formula>
    </cfRule>
  </conditionalFormatting>
  <conditionalFormatting sqref="D359">
    <cfRule type="expression" dxfId="3539" priority="6690">
      <formula>D355&lt;&gt;""</formula>
    </cfRule>
  </conditionalFormatting>
  <conditionalFormatting sqref="C355:C359">
    <cfRule type="expression" dxfId="3538" priority="6689">
      <formula>D355&lt;&gt;""</formula>
    </cfRule>
  </conditionalFormatting>
  <conditionalFormatting sqref="E355:E359">
    <cfRule type="expression" dxfId="3537" priority="6688">
      <formula>F355&lt;&gt;""</formula>
    </cfRule>
  </conditionalFormatting>
  <conditionalFormatting sqref="G355:G359">
    <cfRule type="expression" dxfId="3536" priority="6687">
      <formula>H355&lt;&gt;""</formula>
    </cfRule>
  </conditionalFormatting>
  <conditionalFormatting sqref="I355:I359">
    <cfRule type="expression" dxfId="3535" priority="6686">
      <formula>B363&lt;&gt;""</formula>
    </cfRule>
  </conditionalFormatting>
  <conditionalFormatting sqref="B359">
    <cfRule type="expression" dxfId="3534" priority="6683">
      <formula>B355&lt;&gt;""</formula>
    </cfRule>
  </conditionalFormatting>
  <conditionalFormatting sqref="F359">
    <cfRule type="expression" dxfId="3533" priority="6680">
      <formula>F355&lt;&gt;""</formula>
    </cfRule>
  </conditionalFormatting>
  <conditionalFormatting sqref="H359">
    <cfRule type="expression" dxfId="3532" priority="6677">
      <formula>H355&lt;&gt;""</formula>
    </cfRule>
  </conditionalFormatting>
  <conditionalFormatting sqref="F351">
    <cfRule type="expression" dxfId="3531" priority="6674">
      <formula>F347&lt;&gt;""</formula>
    </cfRule>
  </conditionalFormatting>
  <conditionalFormatting sqref="E347:E351">
    <cfRule type="expression" dxfId="3530" priority="6673">
      <formula>F347&lt;&gt;""</formula>
    </cfRule>
  </conditionalFormatting>
  <conditionalFormatting sqref="G347:G351">
    <cfRule type="expression" dxfId="3529" priority="6672">
      <formula>H347&lt;&gt;""</formula>
    </cfRule>
  </conditionalFormatting>
  <conditionalFormatting sqref="I347:I351">
    <cfRule type="expression" dxfId="3528" priority="6671">
      <formula>B355&lt;&gt;""</formula>
    </cfRule>
  </conditionalFormatting>
  <conditionalFormatting sqref="H351">
    <cfRule type="expression" dxfId="3527" priority="6668">
      <formula>H347&lt;&gt;""</formula>
    </cfRule>
  </conditionalFormatting>
  <conditionalFormatting sqref="I360:I361 C361:H361 B361:B362">
    <cfRule type="expression" dxfId="3526" priority="6667">
      <formula>$B$363&lt;&gt;""</formula>
    </cfRule>
  </conditionalFormatting>
  <conditionalFormatting sqref="B367">
    <cfRule type="expression" dxfId="3525" priority="6664">
      <formula>B363&lt;&gt;""</formula>
    </cfRule>
  </conditionalFormatting>
  <conditionalFormatting sqref="F367">
    <cfRule type="expression" dxfId="3524" priority="6661">
      <formula>F363&lt;&gt;""</formula>
    </cfRule>
  </conditionalFormatting>
  <conditionalFormatting sqref="C363:C367">
    <cfRule type="expression" dxfId="3523" priority="6660">
      <formula>D363&lt;&gt;""</formula>
    </cfRule>
  </conditionalFormatting>
  <conditionalFormatting sqref="E363:E367">
    <cfRule type="expression" dxfId="3522" priority="6659">
      <formula>F363&lt;&gt;""</formula>
    </cfRule>
  </conditionalFormatting>
  <conditionalFormatting sqref="G363:G367">
    <cfRule type="expression" dxfId="3521" priority="6658">
      <formula>H363&lt;&gt;""</formula>
    </cfRule>
  </conditionalFormatting>
  <conditionalFormatting sqref="H367">
    <cfRule type="expression" dxfId="3520" priority="6655">
      <formula>H363&lt;&gt;""</formula>
    </cfRule>
  </conditionalFormatting>
  <conditionalFormatting sqref="D339">
    <cfRule type="expression" dxfId="3519" priority="6652">
      <formula>D335&lt;&gt;""</formula>
    </cfRule>
  </conditionalFormatting>
  <conditionalFormatting sqref="I324:I325 C325:H325 B325:B326">
    <cfRule type="expression" dxfId="3518" priority="6651">
      <formula>$B$327&lt;&gt;""</formula>
    </cfRule>
  </conditionalFormatting>
  <conditionalFormatting sqref="D331">
    <cfRule type="expression" dxfId="3517" priority="6648">
      <formula>D327&lt;&gt;""</formula>
    </cfRule>
  </conditionalFormatting>
  <conditionalFormatting sqref="C327:C331">
    <cfRule type="expression" dxfId="3516" priority="6647">
      <formula>D327&lt;&gt;""</formula>
    </cfRule>
  </conditionalFormatting>
  <conditionalFormatting sqref="E327:E331">
    <cfRule type="expression" dxfId="3515" priority="6646">
      <formula>F327&lt;&gt;""</formula>
    </cfRule>
  </conditionalFormatting>
  <conditionalFormatting sqref="G327:G331">
    <cfRule type="expression" dxfId="3514" priority="6645">
      <formula>H327&lt;&gt;""</formula>
    </cfRule>
  </conditionalFormatting>
  <conditionalFormatting sqref="I327:I331">
    <cfRule type="expression" dxfId="3513" priority="6644">
      <formula>B335&lt;&gt;""</formula>
    </cfRule>
  </conditionalFormatting>
  <conditionalFormatting sqref="B331">
    <cfRule type="expression" dxfId="3512" priority="6641">
      <formula>B327&lt;&gt;""</formula>
    </cfRule>
  </conditionalFormatting>
  <conditionalFormatting sqref="F331">
    <cfRule type="expression" dxfId="3511" priority="6638">
      <formula>F327&lt;&gt;""</formula>
    </cfRule>
  </conditionalFormatting>
  <conditionalFormatting sqref="H331">
    <cfRule type="expression" dxfId="3510" priority="6635">
      <formula>H327&lt;&gt;""</formula>
    </cfRule>
  </conditionalFormatting>
  <conditionalFormatting sqref="F323">
    <cfRule type="expression" dxfId="3509" priority="6632">
      <formula>F319&lt;&gt;""</formula>
    </cfRule>
  </conditionalFormatting>
  <conditionalFormatting sqref="E319:E323">
    <cfRule type="expression" dxfId="3508" priority="6631">
      <formula>F319&lt;&gt;""</formula>
    </cfRule>
  </conditionalFormatting>
  <conditionalFormatting sqref="G319:G323">
    <cfRule type="expression" dxfId="3507" priority="6630">
      <formula>H319&lt;&gt;""</formula>
    </cfRule>
  </conditionalFormatting>
  <conditionalFormatting sqref="I319:I323">
    <cfRule type="expression" dxfId="3506" priority="6629">
      <formula>B327&lt;&gt;""</formula>
    </cfRule>
  </conditionalFormatting>
  <conditionalFormatting sqref="H323">
    <cfRule type="expression" dxfId="3505" priority="6626">
      <formula>H319&lt;&gt;""</formula>
    </cfRule>
  </conditionalFormatting>
  <conditionalFormatting sqref="I332:I333 C333:H333 B333:B334">
    <cfRule type="expression" dxfId="3504" priority="6625">
      <formula>$B$335&lt;&gt;""</formula>
    </cfRule>
  </conditionalFormatting>
  <conditionalFormatting sqref="B339">
    <cfRule type="expression" dxfId="3503" priority="6622">
      <formula>B335&lt;&gt;""</formula>
    </cfRule>
  </conditionalFormatting>
  <conditionalFormatting sqref="F339">
    <cfRule type="expression" dxfId="3502" priority="6619">
      <formula>F335&lt;&gt;""</formula>
    </cfRule>
  </conditionalFormatting>
  <conditionalFormatting sqref="C335:C339">
    <cfRule type="expression" dxfId="3501" priority="6618">
      <formula>D335&lt;&gt;""</formula>
    </cfRule>
  </conditionalFormatting>
  <conditionalFormatting sqref="E335:E339">
    <cfRule type="expression" dxfId="3500" priority="6617">
      <formula>F335&lt;&gt;""</formula>
    </cfRule>
  </conditionalFormatting>
  <conditionalFormatting sqref="G335:G339">
    <cfRule type="expression" dxfId="3499" priority="6616">
      <formula>H335&lt;&gt;""</formula>
    </cfRule>
  </conditionalFormatting>
  <conditionalFormatting sqref="H339">
    <cfRule type="expression" dxfId="3498" priority="6613">
      <formula>H335&lt;&gt;""</formula>
    </cfRule>
  </conditionalFormatting>
  <conditionalFormatting sqref="D311">
    <cfRule type="expression" dxfId="3497" priority="6610">
      <formula>D307&lt;&gt;""</formula>
    </cfRule>
  </conditionalFormatting>
  <conditionalFormatting sqref="I296:I297 C297:H297 B297:B298">
    <cfRule type="expression" dxfId="3496" priority="6609">
      <formula>$B$299&lt;&gt;""</formula>
    </cfRule>
  </conditionalFormatting>
  <conditionalFormatting sqref="D303">
    <cfRule type="expression" dxfId="3495" priority="6606">
      <formula>D299&lt;&gt;""</formula>
    </cfRule>
  </conditionalFormatting>
  <conditionalFormatting sqref="C299:C303">
    <cfRule type="expression" dxfId="3494" priority="6605">
      <formula>D299&lt;&gt;""</formula>
    </cfRule>
  </conditionalFormatting>
  <conditionalFormatting sqref="E299:E303">
    <cfRule type="expression" dxfId="3493" priority="6604">
      <formula>F299&lt;&gt;""</formula>
    </cfRule>
  </conditionalFormatting>
  <conditionalFormatting sqref="G299:G303">
    <cfRule type="expression" dxfId="3492" priority="6603">
      <formula>H299&lt;&gt;""</formula>
    </cfRule>
  </conditionalFormatting>
  <conditionalFormatting sqref="I299:I303">
    <cfRule type="expression" dxfId="3491" priority="6602">
      <formula>B307&lt;&gt;""</formula>
    </cfRule>
  </conditionalFormatting>
  <conditionalFormatting sqref="B303">
    <cfRule type="expression" dxfId="3490" priority="6599">
      <formula>B299&lt;&gt;""</formula>
    </cfRule>
  </conditionalFormatting>
  <conditionalFormatting sqref="F303">
    <cfRule type="expression" dxfId="3489" priority="6596">
      <formula>F299&lt;&gt;""</formula>
    </cfRule>
  </conditionalFormatting>
  <conditionalFormatting sqref="H303">
    <cfRule type="expression" dxfId="3488" priority="6593">
      <formula>H299&lt;&gt;""</formula>
    </cfRule>
  </conditionalFormatting>
  <conditionalFormatting sqref="F295">
    <cfRule type="expression" dxfId="3487" priority="6590">
      <formula>F291&lt;&gt;""</formula>
    </cfRule>
  </conditionalFormatting>
  <conditionalFormatting sqref="E291:E295">
    <cfRule type="expression" dxfId="3486" priority="6589">
      <formula>F291&lt;&gt;""</formula>
    </cfRule>
  </conditionalFormatting>
  <conditionalFormatting sqref="G291:G295">
    <cfRule type="expression" dxfId="3485" priority="6588">
      <formula>H291&lt;&gt;""</formula>
    </cfRule>
  </conditionalFormatting>
  <conditionalFormatting sqref="I291:I295">
    <cfRule type="expression" dxfId="3484" priority="6587">
      <formula>B299&lt;&gt;""</formula>
    </cfRule>
  </conditionalFormatting>
  <conditionalFormatting sqref="H295">
    <cfRule type="expression" dxfId="3483" priority="6584">
      <formula>H291&lt;&gt;""</formula>
    </cfRule>
  </conditionalFormatting>
  <conditionalFormatting sqref="I304:I305 C305:H305 B305:B306">
    <cfRule type="expression" dxfId="3482" priority="6583">
      <formula>$B$307&lt;&gt;""</formula>
    </cfRule>
  </conditionalFormatting>
  <conditionalFormatting sqref="B311">
    <cfRule type="expression" dxfId="3481" priority="6580">
      <formula>B307&lt;&gt;""</formula>
    </cfRule>
  </conditionalFormatting>
  <conditionalFormatting sqref="F311">
    <cfRule type="expression" dxfId="3480" priority="6577">
      <formula>F307&lt;&gt;""</formula>
    </cfRule>
  </conditionalFormatting>
  <conditionalFormatting sqref="C307:C311">
    <cfRule type="expression" dxfId="3479" priority="6576">
      <formula>D307&lt;&gt;""</formula>
    </cfRule>
  </conditionalFormatting>
  <conditionalFormatting sqref="E307:E311">
    <cfRule type="expression" dxfId="3478" priority="6575">
      <formula>F307&lt;&gt;""</formula>
    </cfRule>
  </conditionalFormatting>
  <conditionalFormatting sqref="G307:G311">
    <cfRule type="expression" dxfId="3477" priority="6574">
      <formula>H307&lt;&gt;""</formula>
    </cfRule>
  </conditionalFormatting>
  <conditionalFormatting sqref="H311">
    <cfRule type="expression" dxfId="3476" priority="6571">
      <formula>H307&lt;&gt;""</formula>
    </cfRule>
  </conditionalFormatting>
  <conditionalFormatting sqref="D113">
    <cfRule type="expression" dxfId="3475" priority="6568">
      <formula>D109&lt;&gt;""</formula>
    </cfRule>
  </conditionalFormatting>
  <conditionalFormatting sqref="D105">
    <cfRule type="expression" dxfId="3474" priority="6565">
      <formula>D101&lt;&gt;""</formula>
    </cfRule>
  </conditionalFormatting>
  <conditionalFormatting sqref="C101:C105">
    <cfRule type="expression" dxfId="3473" priority="6564">
      <formula>D101&lt;&gt;""</formula>
    </cfRule>
  </conditionalFormatting>
  <conditionalFormatting sqref="E101:E105">
    <cfRule type="expression" dxfId="3472" priority="6563">
      <formula>F101&lt;&gt;""</formula>
    </cfRule>
  </conditionalFormatting>
  <conditionalFormatting sqref="G101:G105">
    <cfRule type="expression" dxfId="3471" priority="6562">
      <formula>H101&lt;&gt;""</formula>
    </cfRule>
  </conditionalFormatting>
  <conditionalFormatting sqref="I101:I105">
    <cfRule type="expression" dxfId="3470" priority="6561">
      <formula>B109&lt;&gt;""</formula>
    </cfRule>
  </conditionalFormatting>
  <conditionalFormatting sqref="B105">
    <cfRule type="expression" dxfId="3469" priority="6558">
      <formula>B101&lt;&gt;""</formula>
    </cfRule>
  </conditionalFormatting>
  <conditionalFormatting sqref="F105">
    <cfRule type="expression" dxfId="3468" priority="6555">
      <formula>F101&lt;&gt;""</formula>
    </cfRule>
  </conditionalFormatting>
  <conditionalFormatting sqref="H105">
    <cfRule type="expression" dxfId="3467" priority="6552">
      <formula>H101&lt;&gt;""</formula>
    </cfRule>
  </conditionalFormatting>
  <conditionalFormatting sqref="F97">
    <cfRule type="expression" dxfId="3466" priority="6549">
      <formula>F93&lt;&gt;""</formula>
    </cfRule>
  </conditionalFormatting>
  <conditionalFormatting sqref="E93:E97">
    <cfRule type="expression" dxfId="3465" priority="6548">
      <formula>F93&lt;&gt;""</formula>
    </cfRule>
  </conditionalFormatting>
  <conditionalFormatting sqref="G93:G97">
    <cfRule type="expression" dxfId="3464" priority="6547">
      <formula>H93&lt;&gt;""</formula>
    </cfRule>
  </conditionalFormatting>
  <conditionalFormatting sqref="I93:I97">
    <cfRule type="expression" dxfId="3463" priority="6546">
      <formula>B101&lt;&gt;""</formula>
    </cfRule>
  </conditionalFormatting>
  <conditionalFormatting sqref="H97">
    <cfRule type="expression" dxfId="3462" priority="6543">
      <formula>H93&lt;&gt;""</formula>
    </cfRule>
  </conditionalFormatting>
  <conditionalFormatting sqref="B79:B80 C79:I79 I78 C51:I51 I50 I22 C23:I23">
    <cfRule type="expression" dxfId="3461" priority="6542">
      <formula>$B$81&lt;&gt;""</formula>
    </cfRule>
  </conditionalFormatting>
  <conditionalFormatting sqref="B113">
    <cfRule type="expression" dxfId="3460" priority="6539">
      <formula>B109&lt;&gt;""</formula>
    </cfRule>
  </conditionalFormatting>
  <conditionalFormatting sqref="F113">
    <cfRule type="expression" dxfId="3459" priority="6536">
      <formula>F109&lt;&gt;""</formula>
    </cfRule>
  </conditionalFormatting>
  <conditionalFormatting sqref="C109:C113">
    <cfRule type="expression" dxfId="3458" priority="6535">
      <formula>D109&lt;&gt;""</formula>
    </cfRule>
  </conditionalFormatting>
  <conditionalFormatting sqref="E109:E113">
    <cfRule type="expression" dxfId="3457" priority="6534">
      <formula>F109&lt;&gt;""</formula>
    </cfRule>
  </conditionalFormatting>
  <conditionalFormatting sqref="G109:G113">
    <cfRule type="expression" dxfId="3456" priority="6533">
      <formula>H109&lt;&gt;""</formula>
    </cfRule>
  </conditionalFormatting>
  <conditionalFormatting sqref="H113">
    <cfRule type="expression" dxfId="3455" priority="6530">
      <formula>H109&lt;&gt;""</formula>
    </cfRule>
  </conditionalFormatting>
  <conditionalFormatting sqref="D85">
    <cfRule type="expression" dxfId="3454" priority="6527">
      <formula>D81&lt;&gt;""</formula>
    </cfRule>
  </conditionalFormatting>
  <conditionalFormatting sqref="D77">
    <cfRule type="expression" dxfId="3453" priority="6524">
      <formula>D73&lt;&gt;""</formula>
    </cfRule>
  </conditionalFormatting>
  <conditionalFormatting sqref="C73:C77">
    <cfRule type="expression" dxfId="3452" priority="6523">
      <formula>D73&lt;&gt;""</formula>
    </cfRule>
  </conditionalFormatting>
  <conditionalFormatting sqref="E73:E77">
    <cfRule type="expression" dxfId="3451" priority="6522">
      <formula>F73&lt;&gt;""</formula>
    </cfRule>
  </conditionalFormatting>
  <conditionalFormatting sqref="G73:G77">
    <cfRule type="expression" dxfId="3450" priority="6521">
      <formula>H73&lt;&gt;""</formula>
    </cfRule>
  </conditionalFormatting>
  <conditionalFormatting sqref="I73:I77">
    <cfRule type="expression" dxfId="3449" priority="6520">
      <formula>B81&lt;&gt;""</formula>
    </cfRule>
  </conditionalFormatting>
  <conditionalFormatting sqref="B77">
    <cfRule type="expression" dxfId="3448" priority="6517">
      <formula>B73&lt;&gt;""</formula>
    </cfRule>
  </conditionalFormatting>
  <conditionalFormatting sqref="F77">
    <cfRule type="expression" dxfId="3447" priority="6514">
      <formula>F73&lt;&gt;""</formula>
    </cfRule>
  </conditionalFormatting>
  <conditionalFormatting sqref="H77">
    <cfRule type="expression" dxfId="3446" priority="6511">
      <formula>H73&lt;&gt;""</formula>
    </cfRule>
  </conditionalFormatting>
  <conditionalFormatting sqref="F69">
    <cfRule type="expression" dxfId="3445" priority="6508">
      <formula>F65&lt;&gt;""</formula>
    </cfRule>
  </conditionalFormatting>
  <conditionalFormatting sqref="E65:E69">
    <cfRule type="expression" dxfId="3444" priority="6507">
      <formula>F65&lt;&gt;""</formula>
    </cfRule>
  </conditionalFormatting>
  <conditionalFormatting sqref="G65:G69">
    <cfRule type="expression" dxfId="3443" priority="6506">
      <formula>H65&lt;&gt;""</formula>
    </cfRule>
  </conditionalFormatting>
  <conditionalFormatting sqref="I65:I69">
    <cfRule type="expression" dxfId="3442" priority="6505">
      <formula>B73&lt;&gt;""</formula>
    </cfRule>
  </conditionalFormatting>
  <conditionalFormatting sqref="H69">
    <cfRule type="expression" dxfId="3441" priority="6502">
      <formula>H65&lt;&gt;""</formula>
    </cfRule>
  </conditionalFormatting>
  <conditionalFormatting sqref="I78:I79 I50:I51 I22:I23 B107:B108 C107:I107 I106">
    <cfRule type="expression" dxfId="3440" priority="6501">
      <formula>$B$109&lt;&gt;""</formula>
    </cfRule>
  </conditionalFormatting>
  <conditionalFormatting sqref="B85">
    <cfRule type="expression" dxfId="3439" priority="6498">
      <formula>B81&lt;&gt;""</formula>
    </cfRule>
  </conditionalFormatting>
  <conditionalFormatting sqref="F85">
    <cfRule type="expression" dxfId="3438" priority="6495">
      <formula>F81&lt;&gt;""</formula>
    </cfRule>
  </conditionalFormatting>
  <conditionalFormatting sqref="C81:C85">
    <cfRule type="expression" dxfId="3437" priority="6494">
      <formula>D81&lt;&gt;""</formula>
    </cfRule>
  </conditionalFormatting>
  <conditionalFormatting sqref="E81:E85">
    <cfRule type="expression" dxfId="3436" priority="6493">
      <formula>F81&lt;&gt;""</formula>
    </cfRule>
  </conditionalFormatting>
  <conditionalFormatting sqref="G81:G85">
    <cfRule type="expression" dxfId="3435" priority="6492">
      <formula>H81&lt;&gt;""</formula>
    </cfRule>
  </conditionalFormatting>
  <conditionalFormatting sqref="H85">
    <cfRule type="expression" dxfId="3434" priority="6489">
      <formula>H81&lt;&gt;""</formula>
    </cfRule>
  </conditionalFormatting>
  <conditionalFormatting sqref="B99:B100 C99:I99 I98">
    <cfRule type="expression" dxfId="3433" priority="6488">
      <formula>$B$101&lt;&gt;""</formula>
    </cfRule>
  </conditionalFormatting>
  <conditionalFormatting sqref="B43:B44 C43:I43 I42">
    <cfRule type="expression" dxfId="3432" priority="6487">
      <formula>$B$45&lt;&gt;""</formula>
    </cfRule>
  </conditionalFormatting>
  <conditionalFormatting sqref="B51:B52 C51:I51 I50">
    <cfRule type="expression" dxfId="3431" priority="6486">
      <formula>$B$53&lt;&gt;""</formula>
    </cfRule>
  </conditionalFormatting>
  <conditionalFormatting sqref="D57">
    <cfRule type="expression" dxfId="3430" priority="6483">
      <formula>D53&lt;&gt;""</formula>
    </cfRule>
  </conditionalFormatting>
  <conditionalFormatting sqref="D49">
    <cfRule type="expression" dxfId="3429" priority="6480">
      <formula>D45&lt;&gt;""</formula>
    </cfRule>
  </conditionalFormatting>
  <conditionalFormatting sqref="C45:C49">
    <cfRule type="expression" dxfId="3428" priority="6479">
      <formula>D45&lt;&gt;""</formula>
    </cfRule>
  </conditionalFormatting>
  <conditionalFormatting sqref="E45:E49">
    <cfRule type="expression" dxfId="3427" priority="6478">
      <formula>F45&lt;&gt;""</formula>
    </cfRule>
  </conditionalFormatting>
  <conditionalFormatting sqref="G45:G49">
    <cfRule type="expression" dxfId="3426" priority="6477">
      <formula>H45&lt;&gt;""</formula>
    </cfRule>
  </conditionalFormatting>
  <conditionalFormatting sqref="I45:I49">
    <cfRule type="expression" dxfId="3425" priority="6476">
      <formula>B53&lt;&gt;""</formula>
    </cfRule>
  </conditionalFormatting>
  <conditionalFormatting sqref="B49">
    <cfRule type="expression" dxfId="3424" priority="6473">
      <formula>B45&lt;&gt;""</formula>
    </cfRule>
  </conditionalFormatting>
  <conditionalFormatting sqref="F49">
    <cfRule type="expression" dxfId="3423" priority="6470">
      <formula>F45&lt;&gt;""</formula>
    </cfRule>
  </conditionalFormatting>
  <conditionalFormatting sqref="H49">
    <cfRule type="expression" dxfId="3422" priority="6467">
      <formula>H45&lt;&gt;""</formula>
    </cfRule>
  </conditionalFormatting>
  <conditionalFormatting sqref="F41">
    <cfRule type="expression" dxfId="3421" priority="6464">
      <formula>F37&lt;&gt;""</formula>
    </cfRule>
  </conditionalFormatting>
  <conditionalFormatting sqref="E37:E41">
    <cfRule type="expression" dxfId="3420" priority="6463">
      <formula>F37&lt;&gt;""</formula>
    </cfRule>
  </conditionalFormatting>
  <conditionalFormatting sqref="G37:G41">
    <cfRule type="expression" dxfId="3419" priority="6462">
      <formula>H37&lt;&gt;""</formula>
    </cfRule>
  </conditionalFormatting>
  <conditionalFormatting sqref="I37:I41">
    <cfRule type="expression" dxfId="3418" priority="6461">
      <formula>B45&lt;&gt;""</formula>
    </cfRule>
  </conditionalFormatting>
  <conditionalFormatting sqref="H41">
    <cfRule type="expression" dxfId="3417" priority="6458">
      <formula>H37&lt;&gt;""</formula>
    </cfRule>
  </conditionalFormatting>
  <conditionalFormatting sqref="B57">
    <cfRule type="expression" dxfId="3416" priority="6454">
      <formula>B53&lt;&gt;""</formula>
    </cfRule>
  </conditionalFormatting>
  <conditionalFormatting sqref="F57">
    <cfRule type="expression" dxfId="3415" priority="6451">
      <formula>F53&lt;&gt;""</formula>
    </cfRule>
  </conditionalFormatting>
  <conditionalFormatting sqref="C53:C57">
    <cfRule type="expression" dxfId="3414" priority="6450">
      <formula>D53&lt;&gt;""</formula>
    </cfRule>
  </conditionalFormatting>
  <conditionalFormatting sqref="E53:E57">
    <cfRule type="expression" dxfId="3413" priority="6449">
      <formula>F53&lt;&gt;""</formula>
    </cfRule>
  </conditionalFormatting>
  <conditionalFormatting sqref="G53:G57">
    <cfRule type="expression" dxfId="3412" priority="6448">
      <formula>H53&lt;&gt;""</formula>
    </cfRule>
  </conditionalFormatting>
  <conditionalFormatting sqref="H57">
    <cfRule type="expression" dxfId="3411" priority="6445">
      <formula>H53&lt;&gt;""</formula>
    </cfRule>
  </conditionalFormatting>
  <conditionalFormatting sqref="B37:B41 B233:B237 B261:B265 B205:B209 D205:D209 D233:D237 D261:D265 B177:B181 D177:D181 B149:B153 D149:D153 B121:B125 D121:D125 B93:B97 D93:D97 B9:B13 D9:D13 D37:D41 B65:B69 D65:D69 B291:B295 D291:D295 B319:B323 D319:D323 B347:B351 D347:D351 B375:B379 D375:D379 B403:B407 D403:D407 B431:B435 D431:D435 B459:B463 D459:D463 B515:B519 B543:B547 B487:B491 D487:D491 D515:D519 D543:D547 B573:B577 D573:D577 B601:B605 D601:D605 B629:B633 D629:D633 B657:B661 D657:D661 B685:B689 D685:D689 B713:B717 D713:D717 B741:B745 D741:D745 B797:B801 B825:B829 B769:B773 D769:D773 D797:D801 D825:D829 B855:B859 D855:D859 B883:B887 D883:D887 B911:B915 D911:D915 B939:B943 D939:D943 B967:B971 D967:D971 B995:B999 D995:D999 B1023:B1027 D1023:D1027 B1079:B1083 B1107:B1111 B1051:B1055 D1051:D1055 D1079:D1083 D1107:D1111 B1137:B1141 D1137:D1141 B1165:B1169 D1165:D1169 B1193:B1197 D1193:D1197 B1221:B1225 D1221:D1225 B1249:B1253 D1249:D1253 B1277:B1281 D1277:D1281 B1305:B1309 D1305:D1309 B1361:B1365 B1389:B1393 B1333:B1337 D1333:D1337 D1361:D1365 D1389:D1393 B1419:B1423 D1419:D1423 B1447:B1451 D1447:D1451 B1475:B1479 D1475:D1479 B1503:B1507 D1503:D1507 B1531:B1535 D1531:D1535 B1559:B1563 D1559:D1563 B1587:B1591 D1587:D1591 B1643:B1647 B1671:B1675 B1615:B1619 D1615:D1619 D1643:D1647 D1671:D1675 B1701:B1705 D1701:D1705 B1729:B1733 D1729:D1733 B1757:B1761 D1757:D1761 B1785:B1789 D1785:D1789 B1813:B1817 D1813:D1817 B1841:B1845 D1841:D1845 B1869:B1873 D1869:D1873 B1925:B1929 B1953:B1957 B1897:B1901 D1897:D1901 D1925:D1929 D1953:D1957 B1983:B1987 D1983:D1987 B2011:B2015 D2011:D2015 B2039:B2043 D2039:D2043 B2067:B2071 D2067:D2071 B2095:B2099 D2095:D2099 B2123:B2127 D2123:D2127 B2151:B2155 D2151:D2155 B2207:B2211 B2235:B2239 B2179:B2183 D2179:D2183 D2207:D2211 D2235:D2239 B2265:B2269 D2265:D2269 B2293:B2297 D2293:D2297 B2321:B2325 D2321:D2325 B2349:B2353 D2349:D2353 B2377:B2381 D2377:D2381 B2405:B2409 D2405:D2409 B2433:B2437 D2433:D2437 B2489:B2493 B2517:B2521 B2461:B2465 D2461:D2465 D2489:D2493 D2517:D2521 B2547:B2551 D2547:D2551 B2575:B2579 D2575:D2579 B2603:B2607 D2603:D2607 B2631:B2635 D2631:D2635 B2659:B2663 D2659:D2663 B2687:B2691 D2687:D2691 B2715:B2719 D2715:D2719 B2771:B2775 B2799:B2803 B2743:B2747 D2743:D2747 D2771:D2775 D2799:D2803 B2829:B2833 D2829:D2833 B2857:B2861 D2857:D2861 B2885:B2889 D2885:D2889 B2913:B2917 D2913:D2917 B2941:B2945 D2941:D2945 B2969:B2973 D2969:D2973 B2997:B3001 D2997:D3001 B3053:B3057 B3081:B3085 B3025:B3029 D3025:D3029 D3053:D3057 D3081:D3085 B3111:B3115 D3111:D3115 B3139:B3143 D3139:D3143 B3167:B3171 D3167:D3171 B3195:B3199 D3195:D3199 B3223:B3227 D3223:D3227 B3251:B3255 D3251:D3255 B3279:B3283 D3279:D3283 B3335:B3339 B3363:B3367 B3307:B3311 D3307:D3311 D3335:D3339 D3363:D3367 B3393:B3397 D3393:D3397 B3421:B3425 D3421:D3425 B3449:B3453 D3449:D3453 B3477:B3481 D3477:D3481 B3505:B3509 D3505:D3509 B3533:B3537 D3533:D3537 B3561:B3565 D3561:D3565 B3617:B3621 B3645:B3649 B3589:B3593 D3589:D3593 D3617:D3621 D3645:D3649 B3675:B3679 D3675:D3679 B3703:B3707 D3703:D3707 B3731:B3735 D3731:D3735 B3759:B3763 D3759:D3763 B3787:B3791 D3787:D3791 B3815:B3819 D3815:D3819">
    <cfRule type="expression" dxfId="3410" priority="6444">
      <formula>B9&lt;&gt;""</formula>
    </cfRule>
  </conditionalFormatting>
  <conditionalFormatting sqref="B15:B16 C15:I15 I14">
    <cfRule type="expression" dxfId="3409" priority="6442">
      <formula>$B$17&lt;&gt;""</formula>
    </cfRule>
  </conditionalFormatting>
  <conditionalFormatting sqref="D29">
    <cfRule type="expression" dxfId="3408" priority="6438">
      <formula>D25&lt;&gt;""</formula>
    </cfRule>
  </conditionalFormatting>
  <conditionalFormatting sqref="D21">
    <cfRule type="expression" dxfId="3407" priority="6435">
      <formula>D17&lt;&gt;""</formula>
    </cfRule>
  </conditionalFormatting>
  <conditionalFormatting sqref="C17:C21">
    <cfRule type="expression" dxfId="3406" priority="6434">
      <formula>D17&lt;&gt;""</formula>
    </cfRule>
  </conditionalFormatting>
  <conditionalFormatting sqref="E17:E21">
    <cfRule type="expression" dxfId="3405" priority="6433">
      <formula>F17&lt;&gt;""</formula>
    </cfRule>
  </conditionalFormatting>
  <conditionalFormatting sqref="G17:G21">
    <cfRule type="expression" dxfId="3404" priority="6432">
      <formula>H17&lt;&gt;""</formula>
    </cfRule>
  </conditionalFormatting>
  <conditionalFormatting sqref="I17:I21">
    <cfRule type="expression" dxfId="3403" priority="6431">
      <formula>B25&lt;&gt;""</formula>
    </cfRule>
  </conditionalFormatting>
  <conditionalFormatting sqref="B21">
    <cfRule type="expression" dxfId="3402" priority="6428">
      <formula>B17&lt;&gt;""</formula>
    </cfRule>
  </conditionalFormatting>
  <conditionalFormatting sqref="F21">
    <cfRule type="expression" dxfId="3401" priority="6425">
      <formula>F17&lt;&gt;""</formula>
    </cfRule>
  </conditionalFormatting>
  <conditionalFormatting sqref="H21">
    <cfRule type="expression" dxfId="3400" priority="6422">
      <formula>H17&lt;&gt;""</formula>
    </cfRule>
  </conditionalFormatting>
  <conditionalFormatting sqref="F13">
    <cfRule type="expression" dxfId="3399" priority="6419">
      <formula>F9&lt;&gt;""</formula>
    </cfRule>
  </conditionalFormatting>
  <conditionalFormatting sqref="E9:E13">
    <cfRule type="expression" dxfId="3398" priority="6418">
      <formula>F9&lt;&gt;""</formula>
    </cfRule>
  </conditionalFormatting>
  <conditionalFormatting sqref="G9:G13">
    <cfRule type="expression" dxfId="3397" priority="6417">
      <formula>H9&lt;&gt;""</formula>
    </cfRule>
  </conditionalFormatting>
  <conditionalFormatting sqref="I9:I13">
    <cfRule type="expression" dxfId="3396" priority="6416">
      <formula>B17&lt;&gt;""</formula>
    </cfRule>
  </conditionalFormatting>
  <conditionalFormatting sqref="H13">
    <cfRule type="expression" dxfId="3395" priority="6413">
      <formula>H9&lt;&gt;""</formula>
    </cfRule>
  </conditionalFormatting>
  <conditionalFormatting sqref="B29">
    <cfRule type="expression" dxfId="3394" priority="6409">
      <formula>B25&lt;&gt;""</formula>
    </cfRule>
  </conditionalFormatting>
  <conditionalFormatting sqref="F29">
    <cfRule type="expression" dxfId="3393" priority="6406">
      <formula>F25&lt;&gt;""</formula>
    </cfRule>
  </conditionalFormatting>
  <conditionalFormatting sqref="C25:C29">
    <cfRule type="expression" dxfId="3392" priority="6405">
      <formula>D25&lt;&gt;""</formula>
    </cfRule>
  </conditionalFormatting>
  <conditionalFormatting sqref="E25:E29">
    <cfRule type="expression" dxfId="3391" priority="6404">
      <formula>F25&lt;&gt;""</formula>
    </cfRule>
  </conditionalFormatting>
  <conditionalFormatting sqref="G25:G29">
    <cfRule type="expression" dxfId="3390" priority="6403">
      <formula>H25&lt;&gt;""</formula>
    </cfRule>
  </conditionalFormatting>
  <conditionalFormatting sqref="H29">
    <cfRule type="expression" dxfId="3389" priority="6400">
      <formula>H25&lt;&gt;""</formula>
    </cfRule>
  </conditionalFormatting>
  <conditionalFormatting sqref="D141">
    <cfRule type="expression" dxfId="3388" priority="6397">
      <formula>D137&lt;&gt;""</formula>
    </cfRule>
  </conditionalFormatting>
  <conditionalFormatting sqref="D133">
    <cfRule type="expression" dxfId="3387" priority="6394">
      <formula>D129&lt;&gt;""</formula>
    </cfRule>
  </conditionalFormatting>
  <conditionalFormatting sqref="C129:C133">
    <cfRule type="expression" dxfId="3386" priority="6393">
      <formula>D129&lt;&gt;""</formula>
    </cfRule>
  </conditionalFormatting>
  <conditionalFormatting sqref="E129:E133">
    <cfRule type="expression" dxfId="3385" priority="6392">
      <formula>F129&lt;&gt;""</formula>
    </cfRule>
  </conditionalFormatting>
  <conditionalFormatting sqref="G129:G133">
    <cfRule type="expression" dxfId="3384" priority="6391">
      <formula>H129&lt;&gt;""</formula>
    </cfRule>
  </conditionalFormatting>
  <conditionalFormatting sqref="I129:I133">
    <cfRule type="expression" dxfId="3383" priority="6390">
      <formula>B137&lt;&gt;""</formula>
    </cfRule>
  </conditionalFormatting>
  <conditionalFormatting sqref="B133">
    <cfRule type="expression" dxfId="3382" priority="6387">
      <formula>B129&lt;&gt;""</formula>
    </cfRule>
  </conditionalFormatting>
  <conditionalFormatting sqref="F133">
    <cfRule type="expression" dxfId="3381" priority="6384">
      <formula>F129&lt;&gt;""</formula>
    </cfRule>
  </conditionalFormatting>
  <conditionalFormatting sqref="H133">
    <cfRule type="expression" dxfId="3380" priority="6381">
      <formula>H129&lt;&gt;""</formula>
    </cfRule>
  </conditionalFormatting>
  <conditionalFormatting sqref="F125">
    <cfRule type="expression" dxfId="3379" priority="6378">
      <formula>F121&lt;&gt;""</formula>
    </cfRule>
  </conditionalFormatting>
  <conditionalFormatting sqref="E121:E125">
    <cfRule type="expression" dxfId="3378" priority="6377">
      <formula>F121&lt;&gt;""</formula>
    </cfRule>
  </conditionalFormatting>
  <conditionalFormatting sqref="G121:G125">
    <cfRule type="expression" dxfId="3377" priority="6376">
      <formula>H121&lt;&gt;""</formula>
    </cfRule>
  </conditionalFormatting>
  <conditionalFormatting sqref="I121:I125">
    <cfRule type="expression" dxfId="3376" priority="6375">
      <formula>B129&lt;&gt;""</formula>
    </cfRule>
  </conditionalFormatting>
  <conditionalFormatting sqref="H125">
    <cfRule type="expression" dxfId="3375" priority="6372">
      <formula>H121&lt;&gt;""</formula>
    </cfRule>
  </conditionalFormatting>
  <conditionalFormatting sqref="B141">
    <cfRule type="expression" dxfId="3374" priority="6369">
      <formula>B137&lt;&gt;""</formula>
    </cfRule>
  </conditionalFormatting>
  <conditionalFormatting sqref="F141">
    <cfRule type="expression" dxfId="3373" priority="6366">
      <formula>F137&lt;&gt;""</formula>
    </cfRule>
  </conditionalFormatting>
  <conditionalFormatting sqref="C137:C141">
    <cfRule type="expression" dxfId="3372" priority="6365">
      <formula>D137&lt;&gt;""</formula>
    </cfRule>
  </conditionalFormatting>
  <conditionalFormatting sqref="E137:E141">
    <cfRule type="expression" dxfId="3371" priority="6364">
      <formula>F137&lt;&gt;""</formula>
    </cfRule>
  </conditionalFormatting>
  <conditionalFormatting sqref="G137:G141">
    <cfRule type="expression" dxfId="3370" priority="6363">
      <formula>H137&lt;&gt;""</formula>
    </cfRule>
  </conditionalFormatting>
  <conditionalFormatting sqref="H141">
    <cfRule type="expression" dxfId="3369" priority="6360">
      <formula>H137&lt;&gt;""</formula>
    </cfRule>
  </conditionalFormatting>
  <conditionalFormatting sqref="B127:B128 C127:I127 I126">
    <cfRule type="expression" dxfId="3368" priority="6359">
      <formula>$B$129&lt;&gt;""</formula>
    </cfRule>
  </conditionalFormatting>
  <conditionalFormatting sqref="B135:B136 C135:I135 I134">
    <cfRule type="expression" dxfId="3367" priority="6358">
      <formula>$B$137&lt;&gt;""</formula>
    </cfRule>
  </conditionalFormatting>
  <conditionalFormatting sqref="D169">
    <cfRule type="expression" dxfId="3366" priority="6355">
      <formula>D165&lt;&gt;""</formula>
    </cfRule>
  </conditionalFormatting>
  <conditionalFormatting sqref="D161">
    <cfRule type="expression" dxfId="3365" priority="6352">
      <formula>D157&lt;&gt;""</formula>
    </cfRule>
  </conditionalFormatting>
  <conditionalFormatting sqref="C157:C161">
    <cfRule type="expression" dxfId="3364" priority="6351">
      <formula>D157&lt;&gt;""</formula>
    </cfRule>
  </conditionalFormatting>
  <conditionalFormatting sqref="E157:E161">
    <cfRule type="expression" dxfId="3363" priority="6350">
      <formula>F157&lt;&gt;""</formula>
    </cfRule>
  </conditionalFormatting>
  <conditionalFormatting sqref="G157:G161">
    <cfRule type="expression" dxfId="3362" priority="6349">
      <formula>H157&lt;&gt;""</formula>
    </cfRule>
  </conditionalFormatting>
  <conditionalFormatting sqref="I157:I161">
    <cfRule type="expression" dxfId="3361" priority="6348">
      <formula>B165&lt;&gt;""</formula>
    </cfRule>
  </conditionalFormatting>
  <conditionalFormatting sqref="B161">
    <cfRule type="expression" dxfId="3360" priority="6345">
      <formula>B157&lt;&gt;""</formula>
    </cfRule>
  </conditionalFormatting>
  <conditionalFormatting sqref="F161">
    <cfRule type="expression" dxfId="3359" priority="6342">
      <formula>F157&lt;&gt;""</formula>
    </cfRule>
  </conditionalFormatting>
  <conditionalFormatting sqref="H161">
    <cfRule type="expression" dxfId="3358" priority="6339">
      <formula>H157&lt;&gt;""</formula>
    </cfRule>
  </conditionalFormatting>
  <conditionalFormatting sqref="F153">
    <cfRule type="expression" dxfId="3357" priority="6336">
      <formula>F149&lt;&gt;""</formula>
    </cfRule>
  </conditionalFormatting>
  <conditionalFormatting sqref="E149:E153">
    <cfRule type="expression" dxfId="3356" priority="6335">
      <formula>F149&lt;&gt;""</formula>
    </cfRule>
  </conditionalFormatting>
  <conditionalFormatting sqref="G149:G153">
    <cfRule type="expression" dxfId="3355" priority="6334">
      <formula>H149&lt;&gt;""</formula>
    </cfRule>
  </conditionalFormatting>
  <conditionalFormatting sqref="I149:I153">
    <cfRule type="expression" dxfId="3354" priority="6333">
      <formula>B157&lt;&gt;""</formula>
    </cfRule>
  </conditionalFormatting>
  <conditionalFormatting sqref="H153">
    <cfRule type="expression" dxfId="3353" priority="6330">
      <formula>H149&lt;&gt;""</formula>
    </cfRule>
  </conditionalFormatting>
  <conditionalFormatting sqref="B169">
    <cfRule type="expression" dxfId="3352" priority="6327">
      <formula>B165&lt;&gt;""</formula>
    </cfRule>
  </conditionalFormatting>
  <conditionalFormatting sqref="F169">
    <cfRule type="expression" dxfId="3351" priority="6324">
      <formula>F165&lt;&gt;""</formula>
    </cfRule>
  </conditionalFormatting>
  <conditionalFormatting sqref="C165:C169">
    <cfRule type="expression" dxfId="3350" priority="6323">
      <formula>D165&lt;&gt;""</formula>
    </cfRule>
  </conditionalFormatting>
  <conditionalFormatting sqref="E165:E169">
    <cfRule type="expression" dxfId="3349" priority="6322">
      <formula>F165&lt;&gt;""</formula>
    </cfRule>
  </conditionalFormatting>
  <conditionalFormatting sqref="G165:G169">
    <cfRule type="expression" dxfId="3348" priority="6321">
      <formula>H165&lt;&gt;""</formula>
    </cfRule>
  </conditionalFormatting>
  <conditionalFormatting sqref="H169">
    <cfRule type="expression" dxfId="3347" priority="6318">
      <formula>H165&lt;&gt;""</formula>
    </cfRule>
  </conditionalFormatting>
  <conditionalFormatting sqref="B155:B156 C155:I155 I154">
    <cfRule type="expression" dxfId="3346" priority="6317">
      <formula>$B$157&lt;&gt;""</formula>
    </cfRule>
  </conditionalFormatting>
  <conditionalFormatting sqref="B163:B164 C163:I163 I162">
    <cfRule type="expression" dxfId="3345" priority="6316">
      <formula>$B$165&lt;&gt;""</formula>
    </cfRule>
  </conditionalFormatting>
  <conditionalFormatting sqref="D197">
    <cfRule type="expression" dxfId="3344" priority="6313">
      <formula>D193&lt;&gt;""</formula>
    </cfRule>
  </conditionalFormatting>
  <conditionalFormatting sqref="D189">
    <cfRule type="expression" dxfId="3343" priority="6310">
      <formula>D185&lt;&gt;""</formula>
    </cfRule>
  </conditionalFormatting>
  <conditionalFormatting sqref="C185:C189">
    <cfRule type="expression" dxfId="3342" priority="6309">
      <formula>D185&lt;&gt;""</formula>
    </cfRule>
  </conditionalFormatting>
  <conditionalFormatting sqref="E185:E189">
    <cfRule type="expression" dxfId="3341" priority="6308">
      <formula>F185&lt;&gt;""</formula>
    </cfRule>
  </conditionalFormatting>
  <conditionalFormatting sqref="G185:G189">
    <cfRule type="expression" dxfId="3340" priority="6307">
      <formula>H185&lt;&gt;""</formula>
    </cfRule>
  </conditionalFormatting>
  <conditionalFormatting sqref="I185:I189">
    <cfRule type="expression" dxfId="3339" priority="6306">
      <formula>B193&lt;&gt;""</formula>
    </cfRule>
  </conditionalFormatting>
  <conditionalFormatting sqref="B189">
    <cfRule type="expression" dxfId="3338" priority="6303">
      <formula>B185&lt;&gt;""</formula>
    </cfRule>
  </conditionalFormatting>
  <conditionalFormatting sqref="F189">
    <cfRule type="expression" dxfId="3337" priority="6300">
      <formula>F185&lt;&gt;""</formula>
    </cfRule>
  </conditionalFormatting>
  <conditionalFormatting sqref="H189">
    <cfRule type="expression" dxfId="3336" priority="6297">
      <formula>H185&lt;&gt;""</formula>
    </cfRule>
  </conditionalFormatting>
  <conditionalFormatting sqref="F181">
    <cfRule type="expression" dxfId="3335" priority="6294">
      <formula>F177&lt;&gt;""</formula>
    </cfRule>
  </conditionalFormatting>
  <conditionalFormatting sqref="E177:E181">
    <cfRule type="expression" dxfId="3334" priority="6293">
      <formula>F177&lt;&gt;""</formula>
    </cfRule>
  </conditionalFormatting>
  <conditionalFormatting sqref="G177:G181">
    <cfRule type="expression" dxfId="3333" priority="6292">
      <formula>H177&lt;&gt;""</formula>
    </cfRule>
  </conditionalFormatting>
  <conditionalFormatting sqref="I177:I181">
    <cfRule type="expression" dxfId="3332" priority="6291">
      <formula>B185&lt;&gt;""</formula>
    </cfRule>
  </conditionalFormatting>
  <conditionalFormatting sqref="H181">
    <cfRule type="expression" dxfId="3331" priority="6288">
      <formula>H177&lt;&gt;""</formula>
    </cfRule>
  </conditionalFormatting>
  <conditionalFormatting sqref="B197">
    <cfRule type="expression" dxfId="3330" priority="6285">
      <formula>B193&lt;&gt;""</formula>
    </cfRule>
  </conditionalFormatting>
  <conditionalFormatting sqref="F197">
    <cfRule type="expression" dxfId="3329" priority="6282">
      <formula>F193&lt;&gt;""</formula>
    </cfRule>
  </conditionalFormatting>
  <conditionalFormatting sqref="C193:C197">
    <cfRule type="expression" dxfId="3328" priority="6281">
      <formula>D193&lt;&gt;""</formula>
    </cfRule>
  </conditionalFormatting>
  <conditionalFormatting sqref="E193:E197">
    <cfRule type="expression" dxfId="3327" priority="6280">
      <formula>F193&lt;&gt;""</formula>
    </cfRule>
  </conditionalFormatting>
  <conditionalFormatting sqref="G193:G197">
    <cfRule type="expression" dxfId="3326" priority="6279">
      <formula>H193&lt;&gt;""</formula>
    </cfRule>
  </conditionalFormatting>
  <conditionalFormatting sqref="H197">
    <cfRule type="expression" dxfId="3325" priority="6276">
      <formula>H193&lt;&gt;""</formula>
    </cfRule>
  </conditionalFormatting>
  <conditionalFormatting sqref="B183:B184 C183:I183 I182">
    <cfRule type="expression" dxfId="3324" priority="6275">
      <formula>$B$185&lt;&gt;""</formula>
    </cfRule>
  </conditionalFormatting>
  <conditionalFormatting sqref="B191:B192 C191:I191 I190">
    <cfRule type="expression" dxfId="3323" priority="6274">
      <formula>$B$193&lt;&gt;""</formula>
    </cfRule>
  </conditionalFormatting>
  <conditionalFormatting sqref="D225">
    <cfRule type="expression" dxfId="3322" priority="6271">
      <formula>D221&lt;&gt;""</formula>
    </cfRule>
  </conditionalFormatting>
  <conditionalFormatting sqref="D217">
    <cfRule type="expression" dxfId="3321" priority="6268">
      <formula>D213&lt;&gt;""</formula>
    </cfRule>
  </conditionalFormatting>
  <conditionalFormatting sqref="C213:C217">
    <cfRule type="expression" dxfId="3320" priority="6267">
      <formula>D213&lt;&gt;""</formula>
    </cfRule>
  </conditionalFormatting>
  <conditionalFormatting sqref="E213:E217">
    <cfRule type="expression" dxfId="3319" priority="6266">
      <formula>F213&lt;&gt;""</formula>
    </cfRule>
  </conditionalFormatting>
  <conditionalFormatting sqref="G213:G217">
    <cfRule type="expression" dxfId="3318" priority="6265">
      <formula>H213&lt;&gt;""</formula>
    </cfRule>
  </conditionalFormatting>
  <conditionalFormatting sqref="I213:I217">
    <cfRule type="expression" dxfId="3317" priority="6264">
      <formula>B221&lt;&gt;""</formula>
    </cfRule>
  </conditionalFormatting>
  <conditionalFormatting sqref="B217">
    <cfRule type="expression" dxfId="3316" priority="6261">
      <formula>B213&lt;&gt;""</formula>
    </cfRule>
  </conditionalFormatting>
  <conditionalFormatting sqref="F217">
    <cfRule type="expression" dxfId="3315" priority="6258">
      <formula>F213&lt;&gt;""</formula>
    </cfRule>
  </conditionalFormatting>
  <conditionalFormatting sqref="H217">
    <cfRule type="expression" dxfId="3314" priority="6255">
      <formula>H213&lt;&gt;""</formula>
    </cfRule>
  </conditionalFormatting>
  <conditionalFormatting sqref="F209">
    <cfRule type="expression" dxfId="3313" priority="6252">
      <formula>F205&lt;&gt;""</formula>
    </cfRule>
  </conditionalFormatting>
  <conditionalFormatting sqref="E205:E209">
    <cfRule type="expression" dxfId="3312" priority="6251">
      <formula>F205&lt;&gt;""</formula>
    </cfRule>
  </conditionalFormatting>
  <conditionalFormatting sqref="G205:G209">
    <cfRule type="expression" dxfId="3311" priority="6250">
      <formula>H205&lt;&gt;""</formula>
    </cfRule>
  </conditionalFormatting>
  <conditionalFormatting sqref="I205:I209">
    <cfRule type="expression" dxfId="3310" priority="6249">
      <formula>B213&lt;&gt;""</formula>
    </cfRule>
  </conditionalFormatting>
  <conditionalFormatting sqref="H209">
    <cfRule type="expression" dxfId="3309" priority="6246">
      <formula>H205&lt;&gt;""</formula>
    </cfRule>
  </conditionalFormatting>
  <conditionalFormatting sqref="B225">
    <cfRule type="expression" dxfId="3308" priority="6243">
      <formula>B221&lt;&gt;""</formula>
    </cfRule>
  </conditionalFormatting>
  <conditionalFormatting sqref="F225">
    <cfRule type="expression" dxfId="3307" priority="6240">
      <formula>F221&lt;&gt;""</formula>
    </cfRule>
  </conditionalFormatting>
  <conditionalFormatting sqref="C221:C225">
    <cfRule type="expression" dxfId="3306" priority="6239">
      <formula>D221&lt;&gt;""</formula>
    </cfRule>
  </conditionalFormatting>
  <conditionalFormatting sqref="E221:E225">
    <cfRule type="expression" dxfId="3305" priority="6238">
      <formula>F221&lt;&gt;""</formula>
    </cfRule>
  </conditionalFormatting>
  <conditionalFormatting sqref="G221:G225">
    <cfRule type="expression" dxfId="3304" priority="6237">
      <formula>H221&lt;&gt;""</formula>
    </cfRule>
  </conditionalFormatting>
  <conditionalFormatting sqref="H225">
    <cfRule type="expression" dxfId="3303" priority="6234">
      <formula>H221&lt;&gt;""</formula>
    </cfRule>
  </conditionalFormatting>
  <conditionalFormatting sqref="D253">
    <cfRule type="expression" dxfId="3302" priority="6231">
      <formula>D249&lt;&gt;""</formula>
    </cfRule>
  </conditionalFormatting>
  <conditionalFormatting sqref="D245">
    <cfRule type="expression" dxfId="3301" priority="6228">
      <formula>D241&lt;&gt;""</formula>
    </cfRule>
  </conditionalFormatting>
  <conditionalFormatting sqref="C241:C245">
    <cfRule type="expression" dxfId="3300" priority="6227">
      <formula>D241&lt;&gt;""</formula>
    </cfRule>
  </conditionalFormatting>
  <conditionalFormatting sqref="E241:E245">
    <cfRule type="expression" dxfId="3299" priority="6226">
      <formula>F241&lt;&gt;""</formula>
    </cfRule>
  </conditionalFormatting>
  <conditionalFormatting sqref="G241:G245">
    <cfRule type="expression" dxfId="3298" priority="6225">
      <formula>H241&lt;&gt;""</formula>
    </cfRule>
  </conditionalFormatting>
  <conditionalFormatting sqref="I241:I245">
    <cfRule type="expression" dxfId="3297" priority="6224">
      <formula>B249&lt;&gt;""</formula>
    </cfRule>
  </conditionalFormatting>
  <conditionalFormatting sqref="B245">
    <cfRule type="expression" dxfId="3296" priority="6221">
      <formula>B241&lt;&gt;""</formula>
    </cfRule>
  </conditionalFormatting>
  <conditionalFormatting sqref="F245">
    <cfRule type="expression" dxfId="3295" priority="6218">
      <formula>F241&lt;&gt;""</formula>
    </cfRule>
  </conditionalFormatting>
  <conditionalFormatting sqref="H245">
    <cfRule type="expression" dxfId="3294" priority="6215">
      <formula>H241&lt;&gt;""</formula>
    </cfRule>
  </conditionalFormatting>
  <conditionalFormatting sqref="F237">
    <cfRule type="expression" dxfId="3293" priority="6212">
      <formula>F233&lt;&gt;""</formula>
    </cfRule>
  </conditionalFormatting>
  <conditionalFormatting sqref="E233:E237">
    <cfRule type="expression" dxfId="3292" priority="6211">
      <formula>F233&lt;&gt;""</formula>
    </cfRule>
  </conditionalFormatting>
  <conditionalFormatting sqref="G233:G237">
    <cfRule type="expression" dxfId="3291" priority="6210">
      <formula>H233&lt;&gt;""</formula>
    </cfRule>
  </conditionalFormatting>
  <conditionalFormatting sqref="I233:I237">
    <cfRule type="expression" dxfId="3290" priority="6209">
      <formula>B241&lt;&gt;""</formula>
    </cfRule>
  </conditionalFormatting>
  <conditionalFormatting sqref="H237">
    <cfRule type="expression" dxfId="3289" priority="6206">
      <formula>H233&lt;&gt;""</formula>
    </cfRule>
  </conditionalFormatting>
  <conditionalFormatting sqref="B253">
    <cfRule type="expression" dxfId="3288" priority="6203">
      <formula>B249&lt;&gt;""</formula>
    </cfRule>
  </conditionalFormatting>
  <conditionalFormatting sqref="F253">
    <cfRule type="expression" dxfId="3287" priority="6200">
      <formula>F249&lt;&gt;""</formula>
    </cfRule>
  </conditionalFormatting>
  <conditionalFormatting sqref="C249:C253">
    <cfRule type="expression" dxfId="3286" priority="6199">
      <formula>D249&lt;&gt;""</formula>
    </cfRule>
  </conditionalFormatting>
  <conditionalFormatting sqref="E249:E253">
    <cfRule type="expression" dxfId="3285" priority="6198">
      <formula>F249&lt;&gt;""</formula>
    </cfRule>
  </conditionalFormatting>
  <conditionalFormatting sqref="G249:G253">
    <cfRule type="expression" dxfId="3284" priority="6197">
      <formula>H249&lt;&gt;""</formula>
    </cfRule>
  </conditionalFormatting>
  <conditionalFormatting sqref="H253">
    <cfRule type="expression" dxfId="3283" priority="6194">
      <formula>H249&lt;&gt;""</formula>
    </cfRule>
  </conditionalFormatting>
  <conditionalFormatting sqref="B239:B240 C239:I239 I238">
    <cfRule type="expression" dxfId="3282" priority="6192">
      <formula>$B$241&lt;&gt;""</formula>
    </cfRule>
  </conditionalFormatting>
  <conditionalFormatting sqref="B247:B248 C247:I247 I246">
    <cfRule type="expression" dxfId="3281" priority="6191">
      <formula>$B$249&lt;&gt;""</formula>
    </cfRule>
  </conditionalFormatting>
  <conditionalFormatting sqref="D281">
    <cfRule type="expression" dxfId="3280" priority="6188">
      <formula>D277&lt;&gt;""</formula>
    </cfRule>
  </conditionalFormatting>
  <conditionalFormatting sqref="D273">
    <cfRule type="expression" dxfId="3279" priority="6185">
      <formula>D269&lt;&gt;""</formula>
    </cfRule>
  </conditionalFormatting>
  <conditionalFormatting sqref="C269:C273">
    <cfRule type="expression" dxfId="3278" priority="6184">
      <formula>D269&lt;&gt;""</formula>
    </cfRule>
  </conditionalFormatting>
  <conditionalFormatting sqref="E269:E273">
    <cfRule type="expression" dxfId="3277" priority="6183">
      <formula>F269&lt;&gt;""</formula>
    </cfRule>
  </conditionalFormatting>
  <conditionalFormatting sqref="G269:G273">
    <cfRule type="expression" dxfId="3276" priority="6182">
      <formula>H269&lt;&gt;""</formula>
    </cfRule>
  </conditionalFormatting>
  <conditionalFormatting sqref="I269:I273">
    <cfRule type="expression" dxfId="3275" priority="6181">
      <formula>B277&lt;&gt;""</formula>
    </cfRule>
  </conditionalFormatting>
  <conditionalFormatting sqref="B273">
    <cfRule type="expression" dxfId="3274" priority="6178">
      <formula>B269&lt;&gt;""</formula>
    </cfRule>
  </conditionalFormatting>
  <conditionalFormatting sqref="F273">
    <cfRule type="expression" dxfId="3273" priority="6175">
      <formula>F269&lt;&gt;""</formula>
    </cfRule>
  </conditionalFormatting>
  <conditionalFormatting sqref="H273">
    <cfRule type="expression" dxfId="3272" priority="6172">
      <formula>H269&lt;&gt;""</formula>
    </cfRule>
  </conditionalFormatting>
  <conditionalFormatting sqref="F265">
    <cfRule type="expression" dxfId="3271" priority="6169">
      <formula>F261&lt;&gt;""</formula>
    </cfRule>
  </conditionalFormatting>
  <conditionalFormatting sqref="E261:E265">
    <cfRule type="expression" dxfId="3270" priority="6168">
      <formula>F261&lt;&gt;""</formula>
    </cfRule>
  </conditionalFormatting>
  <conditionalFormatting sqref="G261:G265">
    <cfRule type="expression" dxfId="3269" priority="6167">
      <formula>H261&lt;&gt;""</formula>
    </cfRule>
  </conditionalFormatting>
  <conditionalFormatting sqref="I261:I265">
    <cfRule type="expression" dxfId="3268" priority="6166">
      <formula>B269&lt;&gt;""</formula>
    </cfRule>
  </conditionalFormatting>
  <conditionalFormatting sqref="H265">
    <cfRule type="expression" dxfId="3267" priority="6163">
      <formula>H261&lt;&gt;""</formula>
    </cfRule>
  </conditionalFormatting>
  <conditionalFormatting sqref="B281">
    <cfRule type="expression" dxfId="3266" priority="6160">
      <formula>B277&lt;&gt;""</formula>
    </cfRule>
  </conditionalFormatting>
  <conditionalFormatting sqref="F281">
    <cfRule type="expression" dxfId="3265" priority="6157">
      <formula>F277&lt;&gt;""</formula>
    </cfRule>
  </conditionalFormatting>
  <conditionalFormatting sqref="C277:C281">
    <cfRule type="expression" dxfId="3264" priority="6156">
      <formula>D277&lt;&gt;""</formula>
    </cfRule>
  </conditionalFormatting>
  <conditionalFormatting sqref="E277:E281">
    <cfRule type="expression" dxfId="3263" priority="6155">
      <formula>F277&lt;&gt;""</formula>
    </cfRule>
  </conditionalFormatting>
  <conditionalFormatting sqref="G277:G281">
    <cfRule type="expression" dxfId="3262" priority="6154">
      <formula>H277&lt;&gt;""</formula>
    </cfRule>
  </conditionalFormatting>
  <conditionalFormatting sqref="H281">
    <cfRule type="expression" dxfId="3261" priority="6151">
      <formula>H277&lt;&gt;""</formula>
    </cfRule>
  </conditionalFormatting>
  <conditionalFormatting sqref="B267:B268 C267:I267 I266">
    <cfRule type="expression" dxfId="3260" priority="6149">
      <formula>$B$269&lt;&gt;""</formula>
    </cfRule>
  </conditionalFormatting>
  <conditionalFormatting sqref="B275:B276 C275:I275 I274">
    <cfRule type="expression" dxfId="3259" priority="6148">
      <formula>$B$277&lt;&gt;""</formula>
    </cfRule>
  </conditionalFormatting>
  <conditionalFormatting sqref="B71:B72 C71:I71 I70">
    <cfRule type="expression" dxfId="3258" priority="6147">
      <formula>$B$73&lt;&gt;""</formula>
    </cfRule>
  </conditionalFormatting>
  <conditionalFormatting sqref="B209">
    <cfRule type="expression" dxfId="3257" priority="6143">
      <formula>B205&lt;&gt;""</formula>
    </cfRule>
  </conditionalFormatting>
  <conditionalFormatting sqref="C205:C209">
    <cfRule type="expression" dxfId="3256" priority="6142">
      <formula>D205&lt;&gt;""</formula>
    </cfRule>
  </conditionalFormatting>
  <conditionalFormatting sqref="D209">
    <cfRule type="expression" dxfId="3255" priority="6139">
      <formula>D205&lt;&gt;""</formula>
    </cfRule>
  </conditionalFormatting>
  <conditionalFormatting sqref="B237">
    <cfRule type="expression" dxfId="3254" priority="6137">
      <formula>B233&lt;&gt;""</formula>
    </cfRule>
  </conditionalFormatting>
  <conditionalFormatting sqref="C233:C237">
    <cfRule type="expression" dxfId="3253" priority="6136">
      <formula>D233&lt;&gt;""</formula>
    </cfRule>
  </conditionalFormatting>
  <conditionalFormatting sqref="D237">
    <cfRule type="expression" dxfId="3252" priority="6133">
      <formula>D233&lt;&gt;""</formula>
    </cfRule>
  </conditionalFormatting>
  <conditionalFormatting sqref="B265">
    <cfRule type="expression" dxfId="3251" priority="6131">
      <formula>B261&lt;&gt;""</formula>
    </cfRule>
  </conditionalFormatting>
  <conditionalFormatting sqref="C261:C265">
    <cfRule type="expression" dxfId="3250" priority="6130">
      <formula>D261&lt;&gt;""</formula>
    </cfRule>
  </conditionalFormatting>
  <conditionalFormatting sqref="D265">
    <cfRule type="expression" dxfId="3249" priority="6127">
      <formula>D261&lt;&gt;""</formula>
    </cfRule>
  </conditionalFormatting>
  <conditionalFormatting sqref="B219:B220 C219:I219 I218">
    <cfRule type="expression" dxfId="3248" priority="6126">
      <formula>$B$221&lt;&gt;""</formula>
    </cfRule>
  </conditionalFormatting>
  <conditionalFormatting sqref="B211:B212 C211:I211 I210">
    <cfRule type="expression" dxfId="3247" priority="6125">
      <formula>$B$213&lt;&gt;""</formula>
    </cfRule>
  </conditionalFormatting>
  <conditionalFormatting sqref="B177">
    <cfRule type="expression" dxfId="3246" priority="6123">
      <formula>B177</formula>
    </cfRule>
  </conditionalFormatting>
  <conditionalFormatting sqref="B181">
    <cfRule type="expression" dxfId="3245" priority="6122">
      <formula>B177&lt;&gt;""</formula>
    </cfRule>
  </conditionalFormatting>
  <conditionalFormatting sqref="C177:C181">
    <cfRule type="expression" dxfId="3244" priority="6121">
      <formula>D177&lt;&gt;""</formula>
    </cfRule>
  </conditionalFormatting>
  <conditionalFormatting sqref="D181">
    <cfRule type="expression" dxfId="3243" priority="6118">
      <formula>D177&lt;&gt;""</formula>
    </cfRule>
  </conditionalFormatting>
  <conditionalFormatting sqref="B153">
    <cfRule type="expression" dxfId="3242" priority="6115">
      <formula>B149&lt;&gt;""</formula>
    </cfRule>
  </conditionalFormatting>
  <conditionalFormatting sqref="C149:C153">
    <cfRule type="expression" dxfId="3241" priority="6114">
      <formula>D149&lt;&gt;""</formula>
    </cfRule>
  </conditionalFormatting>
  <conditionalFormatting sqref="D153">
    <cfRule type="expression" dxfId="3240" priority="6111">
      <formula>D149&lt;&gt;""</formula>
    </cfRule>
  </conditionalFormatting>
  <conditionalFormatting sqref="B125">
    <cfRule type="expression" dxfId="3239" priority="6108">
      <formula>B121&lt;&gt;""</formula>
    </cfRule>
  </conditionalFormatting>
  <conditionalFormatting sqref="C121:C125">
    <cfRule type="expression" dxfId="3238" priority="6107">
      <formula>D121&lt;&gt;""</formula>
    </cfRule>
  </conditionalFormatting>
  <conditionalFormatting sqref="D125">
    <cfRule type="expression" dxfId="3237" priority="6104">
      <formula>D121&lt;&gt;""</formula>
    </cfRule>
  </conditionalFormatting>
  <conditionalFormatting sqref="B97">
    <cfRule type="expression" dxfId="3236" priority="6101">
      <formula>B93&lt;&gt;""</formula>
    </cfRule>
  </conditionalFormatting>
  <conditionalFormatting sqref="C93:C97">
    <cfRule type="expression" dxfId="3235" priority="6100">
      <formula>D93&lt;&gt;""</formula>
    </cfRule>
  </conditionalFormatting>
  <conditionalFormatting sqref="D97">
    <cfRule type="expression" dxfId="3234" priority="6097">
      <formula>D93&lt;&gt;""</formula>
    </cfRule>
  </conditionalFormatting>
  <conditionalFormatting sqref="B13">
    <cfRule type="expression" dxfId="3233" priority="6094">
      <formula>B9&lt;&gt;""</formula>
    </cfRule>
  </conditionalFormatting>
  <conditionalFormatting sqref="C9:C13">
    <cfRule type="expression" dxfId="3232" priority="6093">
      <formula>D9&lt;&gt;""</formula>
    </cfRule>
  </conditionalFormatting>
  <conditionalFormatting sqref="D13">
    <cfRule type="expression" dxfId="3231" priority="6090">
      <formula>D9&lt;&gt;""</formula>
    </cfRule>
  </conditionalFormatting>
  <conditionalFormatting sqref="B41">
    <cfRule type="expression" dxfId="3230" priority="6088">
      <formula>B37&lt;&gt;""</formula>
    </cfRule>
  </conditionalFormatting>
  <conditionalFormatting sqref="C37:C41">
    <cfRule type="expression" dxfId="3229" priority="6087">
      <formula>D37&lt;&gt;""</formula>
    </cfRule>
  </conditionalFormatting>
  <conditionalFormatting sqref="D41">
    <cfRule type="expression" dxfId="3228" priority="6084">
      <formula>D37&lt;&gt;""</formula>
    </cfRule>
  </conditionalFormatting>
  <conditionalFormatting sqref="B69">
    <cfRule type="expression" dxfId="3227" priority="6081">
      <formula>B65&lt;&gt;""</formula>
    </cfRule>
  </conditionalFormatting>
  <conditionalFormatting sqref="C65:C69">
    <cfRule type="expression" dxfId="3226" priority="6080">
      <formula>D65&lt;&gt;""</formula>
    </cfRule>
  </conditionalFormatting>
  <conditionalFormatting sqref="D69">
    <cfRule type="expression" dxfId="3225" priority="6077">
      <formula>D65&lt;&gt;""</formula>
    </cfRule>
  </conditionalFormatting>
  <conditionalFormatting sqref="B295">
    <cfRule type="expression" dxfId="3224" priority="6074">
      <formula>B291&lt;&gt;""</formula>
    </cfRule>
  </conditionalFormatting>
  <conditionalFormatting sqref="C291:C295">
    <cfRule type="expression" dxfId="3223" priority="6073">
      <formula>D291&lt;&gt;""</formula>
    </cfRule>
  </conditionalFormatting>
  <conditionalFormatting sqref="D295">
    <cfRule type="expression" dxfId="3222" priority="6070">
      <formula>D291&lt;&gt;""</formula>
    </cfRule>
  </conditionalFormatting>
  <conditionalFormatting sqref="B323">
    <cfRule type="expression" dxfId="3221" priority="6067">
      <formula>B319&lt;&gt;""</formula>
    </cfRule>
  </conditionalFormatting>
  <conditionalFormatting sqref="C319:C323">
    <cfRule type="expression" dxfId="3220" priority="6066">
      <formula>D319&lt;&gt;""</formula>
    </cfRule>
  </conditionalFormatting>
  <conditionalFormatting sqref="D323">
    <cfRule type="expression" dxfId="3219" priority="6063">
      <formula>D319&lt;&gt;""</formula>
    </cfRule>
  </conditionalFormatting>
  <conditionalFormatting sqref="B351">
    <cfRule type="expression" dxfId="3218" priority="6060">
      <formula>B347&lt;&gt;""</formula>
    </cfRule>
  </conditionalFormatting>
  <conditionalFormatting sqref="C347:C351">
    <cfRule type="expression" dxfId="3217" priority="6059">
      <formula>D347&lt;&gt;""</formula>
    </cfRule>
  </conditionalFormatting>
  <conditionalFormatting sqref="D351">
    <cfRule type="expression" dxfId="3216" priority="6056">
      <formula>D347&lt;&gt;""</formula>
    </cfRule>
  </conditionalFormatting>
  <conditionalFormatting sqref="B379">
    <cfRule type="expression" dxfId="3215" priority="6053">
      <formula>B375&lt;&gt;""</formula>
    </cfRule>
  </conditionalFormatting>
  <conditionalFormatting sqref="C375:C379">
    <cfRule type="expression" dxfId="3214" priority="6052">
      <formula>D375&lt;&gt;""</formula>
    </cfRule>
  </conditionalFormatting>
  <conditionalFormatting sqref="D379">
    <cfRule type="expression" dxfId="3213" priority="6049">
      <formula>D375&lt;&gt;""</formula>
    </cfRule>
  </conditionalFormatting>
  <conditionalFormatting sqref="B407">
    <cfRule type="expression" dxfId="3212" priority="6046">
      <formula>B403&lt;&gt;""</formula>
    </cfRule>
  </conditionalFormatting>
  <conditionalFormatting sqref="C403:C407">
    <cfRule type="expression" dxfId="3211" priority="6045">
      <formula>D403&lt;&gt;""</formula>
    </cfRule>
  </conditionalFormatting>
  <conditionalFormatting sqref="D407">
    <cfRule type="expression" dxfId="3210" priority="6042">
      <formula>D403&lt;&gt;""</formula>
    </cfRule>
  </conditionalFormatting>
  <conditionalFormatting sqref="B435">
    <cfRule type="expression" dxfId="3209" priority="6039">
      <formula>B431&lt;&gt;""</formula>
    </cfRule>
  </conditionalFormatting>
  <conditionalFormatting sqref="C431:C435">
    <cfRule type="expression" dxfId="3208" priority="6038">
      <formula>D431&lt;&gt;""</formula>
    </cfRule>
  </conditionalFormatting>
  <conditionalFormatting sqref="D435">
    <cfRule type="expression" dxfId="3207" priority="6035">
      <formula>D431&lt;&gt;""</formula>
    </cfRule>
  </conditionalFormatting>
  <conditionalFormatting sqref="B463">
    <cfRule type="expression" dxfId="3206" priority="6032">
      <formula>B459&lt;&gt;""</formula>
    </cfRule>
  </conditionalFormatting>
  <conditionalFormatting sqref="C459:C463">
    <cfRule type="expression" dxfId="3205" priority="6031">
      <formula>D459&lt;&gt;""</formula>
    </cfRule>
  </conditionalFormatting>
  <conditionalFormatting sqref="D463">
    <cfRule type="expression" dxfId="3204" priority="6028">
      <formula>D459&lt;&gt;""</formula>
    </cfRule>
  </conditionalFormatting>
  <conditionalFormatting sqref="D507">
    <cfRule type="expression" dxfId="3203" priority="6025">
      <formula>D503&lt;&gt;""</formula>
    </cfRule>
  </conditionalFormatting>
  <conditionalFormatting sqref="D499">
    <cfRule type="expression" dxfId="3202" priority="6022">
      <formula>D495&lt;&gt;""</formula>
    </cfRule>
  </conditionalFormatting>
  <conditionalFormatting sqref="C495:C499">
    <cfRule type="expression" dxfId="3201" priority="6021">
      <formula>D495&lt;&gt;""</formula>
    </cfRule>
  </conditionalFormatting>
  <conditionalFormatting sqref="E495:E499">
    <cfRule type="expression" dxfId="3200" priority="6020">
      <formula>F495&lt;&gt;""</formula>
    </cfRule>
  </conditionalFormatting>
  <conditionalFormatting sqref="G495:G499">
    <cfRule type="expression" dxfId="3199" priority="6019">
      <formula>H495&lt;&gt;""</formula>
    </cfRule>
  </conditionalFormatting>
  <conditionalFormatting sqref="I495:I499">
    <cfRule type="expression" dxfId="3198" priority="6018">
      <formula>B503&lt;&gt;""</formula>
    </cfRule>
  </conditionalFormatting>
  <conditionalFormatting sqref="B499">
    <cfRule type="expression" dxfId="3197" priority="6015">
      <formula>B495&lt;&gt;""</formula>
    </cfRule>
  </conditionalFormatting>
  <conditionalFormatting sqref="F499">
    <cfRule type="expression" dxfId="3196" priority="6012">
      <formula>F495&lt;&gt;""</formula>
    </cfRule>
  </conditionalFormatting>
  <conditionalFormatting sqref="H499">
    <cfRule type="expression" dxfId="3195" priority="6009">
      <formula>H495&lt;&gt;""</formula>
    </cfRule>
  </conditionalFormatting>
  <conditionalFormatting sqref="F491">
    <cfRule type="expression" dxfId="3194" priority="6006">
      <formula>F487&lt;&gt;""</formula>
    </cfRule>
  </conditionalFormatting>
  <conditionalFormatting sqref="E487:E491">
    <cfRule type="expression" dxfId="3193" priority="6005">
      <formula>F487&lt;&gt;""</formula>
    </cfRule>
  </conditionalFormatting>
  <conditionalFormatting sqref="G487:G491">
    <cfRule type="expression" dxfId="3192" priority="6004">
      <formula>H487&lt;&gt;""</formula>
    </cfRule>
  </conditionalFormatting>
  <conditionalFormatting sqref="I487:I491">
    <cfRule type="expression" dxfId="3191" priority="6003">
      <formula>B495&lt;&gt;""</formula>
    </cfRule>
  </conditionalFormatting>
  <conditionalFormatting sqref="H491">
    <cfRule type="expression" dxfId="3190" priority="6000">
      <formula>H487&lt;&gt;""</formula>
    </cfRule>
  </conditionalFormatting>
  <conditionalFormatting sqref="B507">
    <cfRule type="expression" dxfId="3189" priority="5997">
      <formula>B503&lt;&gt;""</formula>
    </cfRule>
  </conditionalFormatting>
  <conditionalFormatting sqref="F507">
    <cfRule type="expression" dxfId="3188" priority="5994">
      <formula>F503&lt;&gt;""</formula>
    </cfRule>
  </conditionalFormatting>
  <conditionalFormatting sqref="C503:C507">
    <cfRule type="expression" dxfId="3187" priority="5993">
      <formula>D503&lt;&gt;""</formula>
    </cfRule>
  </conditionalFormatting>
  <conditionalFormatting sqref="E503:E507">
    <cfRule type="expression" dxfId="3186" priority="5992">
      <formula>F503&lt;&gt;""</formula>
    </cfRule>
  </conditionalFormatting>
  <conditionalFormatting sqref="G503:G507">
    <cfRule type="expression" dxfId="3185" priority="5991">
      <formula>H503&lt;&gt;""</formula>
    </cfRule>
  </conditionalFormatting>
  <conditionalFormatting sqref="H507">
    <cfRule type="expression" dxfId="3184" priority="5988">
      <formula>H503&lt;&gt;""</formula>
    </cfRule>
  </conditionalFormatting>
  <conditionalFormatting sqref="D535">
    <cfRule type="expression" dxfId="3183" priority="5985">
      <formula>D531&lt;&gt;""</formula>
    </cfRule>
  </conditionalFormatting>
  <conditionalFormatting sqref="D527">
    <cfRule type="expression" dxfId="3182" priority="5982">
      <formula>D523&lt;&gt;""</formula>
    </cfRule>
  </conditionalFormatting>
  <conditionalFormatting sqref="C523:C527">
    <cfRule type="expression" dxfId="3181" priority="5981">
      <formula>D523&lt;&gt;""</formula>
    </cfRule>
  </conditionalFormatting>
  <conditionalFormatting sqref="E523:E527">
    <cfRule type="expression" dxfId="3180" priority="5980">
      <formula>F523&lt;&gt;""</formula>
    </cfRule>
  </conditionalFormatting>
  <conditionalFormatting sqref="G523:G527">
    <cfRule type="expression" dxfId="3179" priority="5979">
      <formula>H523&lt;&gt;""</formula>
    </cfRule>
  </conditionalFormatting>
  <conditionalFormatting sqref="I523:I527">
    <cfRule type="expression" dxfId="3178" priority="5978">
      <formula>B531&lt;&gt;""</formula>
    </cfRule>
  </conditionalFormatting>
  <conditionalFormatting sqref="B527">
    <cfRule type="expression" dxfId="3177" priority="5975">
      <formula>B523&lt;&gt;""</formula>
    </cfRule>
  </conditionalFormatting>
  <conditionalFormatting sqref="F527">
    <cfRule type="expression" dxfId="3176" priority="5972">
      <formula>F523&lt;&gt;""</formula>
    </cfRule>
  </conditionalFormatting>
  <conditionalFormatting sqref="H527">
    <cfRule type="expression" dxfId="3175" priority="5969">
      <formula>H523&lt;&gt;""</formula>
    </cfRule>
  </conditionalFormatting>
  <conditionalFormatting sqref="F519">
    <cfRule type="expression" dxfId="3174" priority="5966">
      <formula>F515&lt;&gt;""</formula>
    </cfRule>
  </conditionalFormatting>
  <conditionalFormatting sqref="E515:E519">
    <cfRule type="expression" dxfId="3173" priority="5965">
      <formula>F515&lt;&gt;""</formula>
    </cfRule>
  </conditionalFormatting>
  <conditionalFormatting sqref="G515:G519">
    <cfRule type="expression" dxfId="3172" priority="5964">
      <formula>H515&lt;&gt;""</formula>
    </cfRule>
  </conditionalFormatting>
  <conditionalFormatting sqref="I515:I519">
    <cfRule type="expression" dxfId="3171" priority="5963">
      <formula>B523&lt;&gt;""</formula>
    </cfRule>
  </conditionalFormatting>
  <conditionalFormatting sqref="H519">
    <cfRule type="expression" dxfId="3170" priority="5960">
      <formula>H515&lt;&gt;""</formula>
    </cfRule>
  </conditionalFormatting>
  <conditionalFormatting sqref="B535">
    <cfRule type="expression" dxfId="3169" priority="5957">
      <formula>B531&lt;&gt;""</formula>
    </cfRule>
  </conditionalFormatting>
  <conditionalFormatting sqref="F535">
    <cfRule type="expression" dxfId="3168" priority="5954">
      <formula>F531&lt;&gt;""</formula>
    </cfRule>
  </conditionalFormatting>
  <conditionalFormatting sqref="C531:C535">
    <cfRule type="expression" dxfId="3167" priority="5953">
      <formula>D531&lt;&gt;""</formula>
    </cfRule>
  </conditionalFormatting>
  <conditionalFormatting sqref="E531:E535">
    <cfRule type="expression" dxfId="3166" priority="5952">
      <formula>F531&lt;&gt;""</formula>
    </cfRule>
  </conditionalFormatting>
  <conditionalFormatting sqref="G531:G535">
    <cfRule type="expression" dxfId="3165" priority="5951">
      <formula>H531&lt;&gt;""</formula>
    </cfRule>
  </conditionalFormatting>
  <conditionalFormatting sqref="H535">
    <cfRule type="expression" dxfId="3164" priority="5948">
      <formula>H531&lt;&gt;""</formula>
    </cfRule>
  </conditionalFormatting>
  <conditionalFormatting sqref="B521:B522 C521:I521 I520">
    <cfRule type="expression" dxfId="3163" priority="5946">
      <formula>$B$523&lt;&gt;""</formula>
    </cfRule>
  </conditionalFormatting>
  <conditionalFormatting sqref="B529:B530 C529:I529 I528">
    <cfRule type="expression" dxfId="3162" priority="5945">
      <formula>$B$531&lt;&gt;""</formula>
    </cfRule>
  </conditionalFormatting>
  <conditionalFormatting sqref="D563">
    <cfRule type="expression" dxfId="3161" priority="5942">
      <formula>D559&lt;&gt;""</formula>
    </cfRule>
  </conditionalFormatting>
  <conditionalFormatting sqref="D555">
    <cfRule type="expression" dxfId="3160" priority="5939">
      <formula>D551&lt;&gt;""</formula>
    </cfRule>
  </conditionalFormatting>
  <conditionalFormatting sqref="C551:C555">
    <cfRule type="expression" dxfId="3159" priority="5938">
      <formula>D551&lt;&gt;""</formula>
    </cfRule>
  </conditionalFormatting>
  <conditionalFormatting sqref="E551:E555">
    <cfRule type="expression" dxfId="3158" priority="5937">
      <formula>F551&lt;&gt;""</formula>
    </cfRule>
  </conditionalFormatting>
  <conditionalFormatting sqref="G551:G555">
    <cfRule type="expression" dxfId="3157" priority="5936">
      <formula>H551&lt;&gt;""</formula>
    </cfRule>
  </conditionalFormatting>
  <conditionalFormatting sqref="I551:I555">
    <cfRule type="expression" dxfId="3156" priority="5935">
      <formula>B559&lt;&gt;""</formula>
    </cfRule>
  </conditionalFormatting>
  <conditionalFormatting sqref="B555">
    <cfRule type="expression" dxfId="3155" priority="5932">
      <formula>B551&lt;&gt;""</formula>
    </cfRule>
  </conditionalFormatting>
  <conditionalFormatting sqref="F555">
    <cfRule type="expression" dxfId="3154" priority="5929">
      <formula>F551&lt;&gt;""</formula>
    </cfRule>
  </conditionalFormatting>
  <conditionalFormatting sqref="H555">
    <cfRule type="expression" dxfId="3153" priority="5926">
      <formula>H551&lt;&gt;""</formula>
    </cfRule>
  </conditionalFormatting>
  <conditionalFormatting sqref="F547">
    <cfRule type="expression" dxfId="3152" priority="5923">
      <formula>F543&lt;&gt;""</formula>
    </cfRule>
  </conditionalFormatting>
  <conditionalFormatting sqref="E543:E547">
    <cfRule type="expression" dxfId="3151" priority="5922">
      <formula>F543&lt;&gt;""</formula>
    </cfRule>
  </conditionalFormatting>
  <conditionalFormatting sqref="G543:G547">
    <cfRule type="expression" dxfId="3150" priority="5921">
      <formula>H543&lt;&gt;""</formula>
    </cfRule>
  </conditionalFormatting>
  <conditionalFormatting sqref="I543:I547">
    <cfRule type="expression" dxfId="3149" priority="5920">
      <formula>B551&lt;&gt;""</formula>
    </cfRule>
  </conditionalFormatting>
  <conditionalFormatting sqref="H547">
    <cfRule type="expression" dxfId="3148" priority="5917">
      <formula>H543&lt;&gt;""</formula>
    </cfRule>
  </conditionalFormatting>
  <conditionalFormatting sqref="B563">
    <cfRule type="expression" dxfId="3147" priority="5914">
      <formula>B559&lt;&gt;""</formula>
    </cfRule>
  </conditionalFormatting>
  <conditionalFormatting sqref="F563">
    <cfRule type="expression" dxfId="3146" priority="5911">
      <formula>F559&lt;&gt;""</formula>
    </cfRule>
  </conditionalFormatting>
  <conditionalFormatting sqref="C559:C563">
    <cfRule type="expression" dxfId="3145" priority="5910">
      <formula>D559&lt;&gt;""</formula>
    </cfRule>
  </conditionalFormatting>
  <conditionalFormatting sqref="E559:E563">
    <cfRule type="expression" dxfId="3144" priority="5909">
      <formula>F559&lt;&gt;""</formula>
    </cfRule>
  </conditionalFormatting>
  <conditionalFormatting sqref="G559:G563">
    <cfRule type="expression" dxfId="3143" priority="5908">
      <formula>H559&lt;&gt;""</formula>
    </cfRule>
  </conditionalFormatting>
  <conditionalFormatting sqref="H563">
    <cfRule type="expression" dxfId="3142" priority="5905">
      <formula>H559&lt;&gt;""</formula>
    </cfRule>
  </conditionalFormatting>
  <conditionalFormatting sqref="B549:B550 C549:I549 I548">
    <cfRule type="expression" dxfId="3141" priority="5903">
      <formula>$B$551&lt;&gt;""</formula>
    </cfRule>
  </conditionalFormatting>
  <conditionalFormatting sqref="B557:B558 C557:I557 I556">
    <cfRule type="expression" dxfId="3140" priority="5902">
      <formula>$B$559&lt;&gt;""</formula>
    </cfRule>
  </conditionalFormatting>
  <conditionalFormatting sqref="B491">
    <cfRule type="expression" dxfId="3139" priority="5899">
      <formula>B487&lt;&gt;""</formula>
    </cfRule>
  </conditionalFormatting>
  <conditionalFormatting sqref="C487:C491">
    <cfRule type="expression" dxfId="3138" priority="5898">
      <formula>D487&lt;&gt;""</formula>
    </cfRule>
  </conditionalFormatting>
  <conditionalFormatting sqref="D491">
    <cfRule type="expression" dxfId="3137" priority="5895">
      <formula>D487&lt;&gt;""</formula>
    </cfRule>
  </conditionalFormatting>
  <conditionalFormatting sqref="B519">
    <cfRule type="expression" dxfId="3136" priority="5893">
      <formula>B515&lt;&gt;""</formula>
    </cfRule>
  </conditionalFormatting>
  <conditionalFormatting sqref="C515:C519">
    <cfRule type="expression" dxfId="3135" priority="5892">
      <formula>D515&lt;&gt;""</formula>
    </cfRule>
  </conditionalFormatting>
  <conditionalFormatting sqref="D519">
    <cfRule type="expression" dxfId="3134" priority="5889">
      <formula>D515&lt;&gt;""</formula>
    </cfRule>
  </conditionalFormatting>
  <conditionalFormatting sqref="B547">
    <cfRule type="expression" dxfId="3133" priority="5887">
      <formula>B543&lt;&gt;""</formula>
    </cfRule>
  </conditionalFormatting>
  <conditionalFormatting sqref="C543:C547">
    <cfRule type="expression" dxfId="3132" priority="5886">
      <formula>D543&lt;&gt;""</formula>
    </cfRule>
  </conditionalFormatting>
  <conditionalFormatting sqref="D547">
    <cfRule type="expression" dxfId="3131" priority="5883">
      <formula>D543&lt;&gt;""</formula>
    </cfRule>
  </conditionalFormatting>
  <conditionalFormatting sqref="B501:B502 C501:I501 I500">
    <cfRule type="expression" dxfId="3130" priority="5882">
      <formula>$B$503&lt;&gt;""</formula>
    </cfRule>
  </conditionalFormatting>
  <conditionalFormatting sqref="B493:B494 C493:I493 I492">
    <cfRule type="expression" dxfId="3129" priority="5881">
      <formula>$B$495&lt;&gt;""</formula>
    </cfRule>
  </conditionalFormatting>
  <conditionalFormatting sqref="D761">
    <cfRule type="expression" dxfId="3128" priority="5878">
      <formula>D757&lt;&gt;""</formula>
    </cfRule>
  </conditionalFormatting>
  <conditionalFormatting sqref="I746:I747 C747:H747 B747:B748">
    <cfRule type="expression" dxfId="3127" priority="5877">
      <formula>$B$749&lt;&gt;""</formula>
    </cfRule>
  </conditionalFormatting>
  <conditionalFormatting sqref="D753">
    <cfRule type="expression" dxfId="3126" priority="5874">
      <formula>D749&lt;&gt;""</formula>
    </cfRule>
  </conditionalFormatting>
  <conditionalFormatting sqref="C749:C753">
    <cfRule type="expression" dxfId="3125" priority="5873">
      <formula>D749&lt;&gt;""</formula>
    </cfRule>
  </conditionalFormatting>
  <conditionalFormatting sqref="E749:E753">
    <cfRule type="expression" dxfId="3124" priority="5872">
      <formula>F749&lt;&gt;""</formula>
    </cfRule>
  </conditionalFormatting>
  <conditionalFormatting sqref="G749:G753">
    <cfRule type="expression" dxfId="3123" priority="5871">
      <formula>H749&lt;&gt;""</formula>
    </cfRule>
  </conditionalFormatting>
  <conditionalFormatting sqref="I749:I753">
    <cfRule type="expression" dxfId="3122" priority="5870">
      <formula>B757&lt;&gt;""</formula>
    </cfRule>
  </conditionalFormatting>
  <conditionalFormatting sqref="B753">
    <cfRule type="expression" dxfId="3121" priority="5867">
      <formula>B749&lt;&gt;""</formula>
    </cfRule>
  </conditionalFormatting>
  <conditionalFormatting sqref="F753">
    <cfRule type="expression" dxfId="3120" priority="5864">
      <formula>F749&lt;&gt;""</formula>
    </cfRule>
  </conditionalFormatting>
  <conditionalFormatting sqref="H753">
    <cfRule type="expression" dxfId="3119" priority="5861">
      <formula>H749&lt;&gt;""</formula>
    </cfRule>
  </conditionalFormatting>
  <conditionalFormatting sqref="F745">
    <cfRule type="expression" dxfId="3118" priority="5858">
      <formula>F741&lt;&gt;""</formula>
    </cfRule>
  </conditionalFormatting>
  <conditionalFormatting sqref="E741:E745">
    <cfRule type="expression" dxfId="3117" priority="5857">
      <formula>F741&lt;&gt;""</formula>
    </cfRule>
  </conditionalFormatting>
  <conditionalFormatting sqref="G741:G745">
    <cfRule type="expression" dxfId="3116" priority="5856">
      <formula>H741&lt;&gt;""</formula>
    </cfRule>
  </conditionalFormatting>
  <conditionalFormatting sqref="I741:I745">
    <cfRule type="expression" dxfId="3115" priority="5855">
      <formula>B749&lt;&gt;""</formula>
    </cfRule>
  </conditionalFormatting>
  <conditionalFormatting sqref="H745">
    <cfRule type="expression" dxfId="3114" priority="5852">
      <formula>H741&lt;&gt;""</formula>
    </cfRule>
  </conditionalFormatting>
  <conditionalFormatting sqref="I754:I755 C755:H755 B755:B756">
    <cfRule type="expression" dxfId="3113" priority="5851">
      <formula>$B$757&lt;&gt;""</formula>
    </cfRule>
  </conditionalFormatting>
  <conditionalFormatting sqref="B761">
    <cfRule type="expression" dxfId="3112" priority="5848">
      <formula>B757&lt;&gt;""</formula>
    </cfRule>
  </conditionalFormatting>
  <conditionalFormatting sqref="F761">
    <cfRule type="expression" dxfId="3111" priority="5845">
      <formula>F757&lt;&gt;""</formula>
    </cfRule>
  </conditionalFormatting>
  <conditionalFormatting sqref="C757:C761">
    <cfRule type="expression" dxfId="3110" priority="5844">
      <formula>D757&lt;&gt;""</formula>
    </cfRule>
  </conditionalFormatting>
  <conditionalFormatting sqref="E757:E761">
    <cfRule type="expression" dxfId="3109" priority="5843">
      <formula>F757&lt;&gt;""</formula>
    </cfRule>
  </conditionalFormatting>
  <conditionalFormatting sqref="G757:G761">
    <cfRule type="expression" dxfId="3108" priority="5842">
      <formula>H757&lt;&gt;""</formula>
    </cfRule>
  </conditionalFormatting>
  <conditionalFormatting sqref="H761">
    <cfRule type="expression" dxfId="3107" priority="5839">
      <formula>H757&lt;&gt;""</formula>
    </cfRule>
  </conditionalFormatting>
  <conditionalFormatting sqref="D733">
    <cfRule type="expression" dxfId="3106" priority="5836">
      <formula>D729&lt;&gt;""</formula>
    </cfRule>
  </conditionalFormatting>
  <conditionalFormatting sqref="I718:I719 C719:H719 B719:B720">
    <cfRule type="expression" dxfId="3105" priority="5835">
      <formula>$B$721&lt;&gt;""</formula>
    </cfRule>
  </conditionalFormatting>
  <conditionalFormatting sqref="D725">
    <cfRule type="expression" dxfId="3104" priority="5832">
      <formula>D721&lt;&gt;""</formula>
    </cfRule>
  </conditionalFormatting>
  <conditionalFormatting sqref="C721:C725">
    <cfRule type="expression" dxfId="3103" priority="5831">
      <formula>D721&lt;&gt;""</formula>
    </cfRule>
  </conditionalFormatting>
  <conditionalFormatting sqref="E721:E725">
    <cfRule type="expression" dxfId="3102" priority="5830">
      <formula>F721&lt;&gt;""</formula>
    </cfRule>
  </conditionalFormatting>
  <conditionalFormatting sqref="G721:G725">
    <cfRule type="expression" dxfId="3101" priority="5829">
      <formula>H721&lt;&gt;""</formula>
    </cfRule>
  </conditionalFormatting>
  <conditionalFormatting sqref="I721:I725">
    <cfRule type="expression" dxfId="3100" priority="5828">
      <formula>B729&lt;&gt;""</formula>
    </cfRule>
  </conditionalFormatting>
  <conditionalFormatting sqref="B725">
    <cfRule type="expression" dxfId="3099" priority="5825">
      <formula>B721&lt;&gt;""</formula>
    </cfRule>
  </conditionalFormatting>
  <conditionalFormatting sqref="F725">
    <cfRule type="expression" dxfId="3098" priority="5822">
      <formula>F721&lt;&gt;""</formula>
    </cfRule>
  </conditionalFormatting>
  <conditionalFormatting sqref="H725">
    <cfRule type="expression" dxfId="3097" priority="5819">
      <formula>H721&lt;&gt;""</formula>
    </cfRule>
  </conditionalFormatting>
  <conditionalFormatting sqref="F717">
    <cfRule type="expression" dxfId="3096" priority="5816">
      <formula>F713&lt;&gt;""</formula>
    </cfRule>
  </conditionalFormatting>
  <conditionalFormatting sqref="E713:E717">
    <cfRule type="expression" dxfId="3095" priority="5815">
      <formula>F713&lt;&gt;""</formula>
    </cfRule>
  </conditionalFormatting>
  <conditionalFormatting sqref="G713:G717">
    <cfRule type="expression" dxfId="3094" priority="5814">
      <formula>H713&lt;&gt;""</formula>
    </cfRule>
  </conditionalFormatting>
  <conditionalFormatting sqref="I713:I717">
    <cfRule type="expression" dxfId="3093" priority="5813">
      <formula>B721&lt;&gt;""</formula>
    </cfRule>
  </conditionalFormatting>
  <conditionalFormatting sqref="H717">
    <cfRule type="expression" dxfId="3092" priority="5810">
      <formula>H713&lt;&gt;""</formula>
    </cfRule>
  </conditionalFormatting>
  <conditionalFormatting sqref="I726:I727 C727:H727 B727:B728">
    <cfRule type="expression" dxfId="3091" priority="5809">
      <formula>$B$729&lt;&gt;""</formula>
    </cfRule>
  </conditionalFormatting>
  <conditionalFormatting sqref="B733">
    <cfRule type="expression" dxfId="3090" priority="5806">
      <formula>B729&lt;&gt;""</formula>
    </cfRule>
  </conditionalFormatting>
  <conditionalFormatting sqref="F733">
    <cfRule type="expression" dxfId="3089" priority="5803">
      <formula>F729&lt;&gt;""</formula>
    </cfRule>
  </conditionalFormatting>
  <conditionalFormatting sqref="C729:C733">
    <cfRule type="expression" dxfId="3088" priority="5802">
      <formula>D729&lt;&gt;""</formula>
    </cfRule>
  </conditionalFormatting>
  <conditionalFormatting sqref="E729:E733">
    <cfRule type="expression" dxfId="3087" priority="5801">
      <formula>F729&lt;&gt;""</formula>
    </cfRule>
  </conditionalFormatting>
  <conditionalFormatting sqref="G729:G733">
    <cfRule type="expression" dxfId="3086" priority="5800">
      <formula>H729&lt;&gt;""</formula>
    </cfRule>
  </conditionalFormatting>
  <conditionalFormatting sqref="H733">
    <cfRule type="expression" dxfId="3085" priority="5797">
      <formula>H729&lt;&gt;""</formula>
    </cfRule>
  </conditionalFormatting>
  <conditionalFormatting sqref="D705">
    <cfRule type="expression" dxfId="3084" priority="5794">
      <formula>D701&lt;&gt;""</formula>
    </cfRule>
  </conditionalFormatting>
  <conditionalFormatting sqref="I690:I691 C691:H691 B691:B692">
    <cfRule type="expression" dxfId="3083" priority="5793">
      <formula>$B$693&lt;&gt;""</formula>
    </cfRule>
  </conditionalFormatting>
  <conditionalFormatting sqref="D697">
    <cfRule type="expression" dxfId="3082" priority="5790">
      <formula>D693&lt;&gt;""</formula>
    </cfRule>
  </conditionalFormatting>
  <conditionalFormatting sqref="C693:C697">
    <cfRule type="expression" dxfId="3081" priority="5789">
      <formula>D693&lt;&gt;""</formula>
    </cfRule>
  </conditionalFormatting>
  <conditionalFormatting sqref="E693:E697">
    <cfRule type="expression" dxfId="3080" priority="5788">
      <formula>F693&lt;&gt;""</formula>
    </cfRule>
  </conditionalFormatting>
  <conditionalFormatting sqref="G693:G697">
    <cfRule type="expression" dxfId="3079" priority="5787">
      <formula>H693&lt;&gt;""</formula>
    </cfRule>
  </conditionalFormatting>
  <conditionalFormatting sqref="I693:I697">
    <cfRule type="expression" dxfId="3078" priority="5786">
      <formula>B701&lt;&gt;""</formula>
    </cfRule>
  </conditionalFormatting>
  <conditionalFormatting sqref="B697">
    <cfRule type="expression" dxfId="3077" priority="5783">
      <formula>B693&lt;&gt;""</formula>
    </cfRule>
  </conditionalFormatting>
  <conditionalFormatting sqref="F697">
    <cfRule type="expression" dxfId="3076" priority="5780">
      <formula>F693&lt;&gt;""</formula>
    </cfRule>
  </conditionalFormatting>
  <conditionalFormatting sqref="H697">
    <cfRule type="expression" dxfId="3075" priority="5777">
      <formula>H693&lt;&gt;""</formula>
    </cfRule>
  </conditionalFormatting>
  <conditionalFormatting sqref="F689">
    <cfRule type="expression" dxfId="3074" priority="5774">
      <formula>F685&lt;&gt;""</formula>
    </cfRule>
  </conditionalFormatting>
  <conditionalFormatting sqref="E685:E689">
    <cfRule type="expression" dxfId="3073" priority="5773">
      <formula>F685&lt;&gt;""</formula>
    </cfRule>
  </conditionalFormatting>
  <conditionalFormatting sqref="G685:G689">
    <cfRule type="expression" dxfId="3072" priority="5772">
      <formula>H685&lt;&gt;""</formula>
    </cfRule>
  </conditionalFormatting>
  <conditionalFormatting sqref="I685:I689">
    <cfRule type="expression" dxfId="3071" priority="5771">
      <formula>B693&lt;&gt;""</formula>
    </cfRule>
  </conditionalFormatting>
  <conditionalFormatting sqref="H689">
    <cfRule type="expression" dxfId="3070" priority="5768">
      <formula>H685&lt;&gt;""</formula>
    </cfRule>
  </conditionalFormatting>
  <conditionalFormatting sqref="I698:I699 C699:H699 B699:B700">
    <cfRule type="expression" dxfId="3069" priority="5767">
      <formula>$B$701&lt;&gt;""</formula>
    </cfRule>
  </conditionalFormatting>
  <conditionalFormatting sqref="B705">
    <cfRule type="expression" dxfId="3068" priority="5764">
      <formula>B701&lt;&gt;""</formula>
    </cfRule>
  </conditionalFormatting>
  <conditionalFormatting sqref="F705">
    <cfRule type="expression" dxfId="3067" priority="5761">
      <formula>F701&lt;&gt;""</formula>
    </cfRule>
  </conditionalFormatting>
  <conditionalFormatting sqref="C701:C705">
    <cfRule type="expression" dxfId="3066" priority="5760">
      <formula>D701&lt;&gt;""</formula>
    </cfRule>
  </conditionalFormatting>
  <conditionalFormatting sqref="E701:E705">
    <cfRule type="expression" dxfId="3065" priority="5759">
      <formula>F701&lt;&gt;""</formula>
    </cfRule>
  </conditionalFormatting>
  <conditionalFormatting sqref="G701:G705">
    <cfRule type="expression" dxfId="3064" priority="5758">
      <formula>H701&lt;&gt;""</formula>
    </cfRule>
  </conditionalFormatting>
  <conditionalFormatting sqref="H705">
    <cfRule type="expression" dxfId="3063" priority="5755">
      <formula>H701&lt;&gt;""</formula>
    </cfRule>
  </conditionalFormatting>
  <conditionalFormatting sqref="D677">
    <cfRule type="expression" dxfId="3062" priority="5752">
      <formula>D673&lt;&gt;""</formula>
    </cfRule>
  </conditionalFormatting>
  <conditionalFormatting sqref="I662:I663 C663:H663 B663:B664">
    <cfRule type="expression" dxfId="3061" priority="5751">
      <formula>$B$665&lt;&gt;""</formula>
    </cfRule>
  </conditionalFormatting>
  <conditionalFormatting sqref="D669">
    <cfRule type="expression" dxfId="3060" priority="5748">
      <formula>D665&lt;&gt;""</formula>
    </cfRule>
  </conditionalFormatting>
  <conditionalFormatting sqref="C665:C669">
    <cfRule type="expression" dxfId="3059" priority="5747">
      <formula>D665&lt;&gt;""</formula>
    </cfRule>
  </conditionalFormatting>
  <conditionalFormatting sqref="E665:E669">
    <cfRule type="expression" dxfId="3058" priority="5746">
      <formula>F665&lt;&gt;""</formula>
    </cfRule>
  </conditionalFormatting>
  <conditionalFormatting sqref="G665:G669">
    <cfRule type="expression" dxfId="3057" priority="5745">
      <formula>H665&lt;&gt;""</formula>
    </cfRule>
  </conditionalFormatting>
  <conditionalFormatting sqref="I665:I669">
    <cfRule type="expression" dxfId="3056" priority="5744">
      <formula>B673&lt;&gt;""</formula>
    </cfRule>
  </conditionalFormatting>
  <conditionalFormatting sqref="B669">
    <cfRule type="expression" dxfId="3055" priority="5741">
      <formula>B665&lt;&gt;""</formula>
    </cfRule>
  </conditionalFormatting>
  <conditionalFormatting sqref="F669">
    <cfRule type="expression" dxfId="3054" priority="5738">
      <formula>F665&lt;&gt;""</formula>
    </cfRule>
  </conditionalFormatting>
  <conditionalFormatting sqref="H669">
    <cfRule type="expression" dxfId="3053" priority="5735">
      <formula>H665&lt;&gt;""</formula>
    </cfRule>
  </conditionalFormatting>
  <conditionalFormatting sqref="F661">
    <cfRule type="expression" dxfId="3052" priority="5732">
      <formula>F657&lt;&gt;""</formula>
    </cfRule>
  </conditionalFormatting>
  <conditionalFormatting sqref="E657:E661">
    <cfRule type="expression" dxfId="3051" priority="5731">
      <formula>F657&lt;&gt;""</formula>
    </cfRule>
  </conditionalFormatting>
  <conditionalFormatting sqref="G657:G661">
    <cfRule type="expression" dxfId="3050" priority="5730">
      <formula>H657&lt;&gt;""</formula>
    </cfRule>
  </conditionalFormatting>
  <conditionalFormatting sqref="I657:I661">
    <cfRule type="expression" dxfId="3049" priority="5729">
      <formula>B665&lt;&gt;""</formula>
    </cfRule>
  </conditionalFormatting>
  <conditionalFormatting sqref="H661">
    <cfRule type="expression" dxfId="3048" priority="5726">
      <formula>H657&lt;&gt;""</formula>
    </cfRule>
  </conditionalFormatting>
  <conditionalFormatting sqref="I670:I671 C671:H671 B671:B672">
    <cfRule type="expression" dxfId="3047" priority="5725">
      <formula>$B$673&lt;&gt;""</formula>
    </cfRule>
  </conditionalFormatting>
  <conditionalFormatting sqref="B677">
    <cfRule type="expression" dxfId="3046" priority="5722">
      <formula>B673&lt;&gt;""</formula>
    </cfRule>
  </conditionalFormatting>
  <conditionalFormatting sqref="F677">
    <cfRule type="expression" dxfId="3045" priority="5719">
      <formula>F673&lt;&gt;""</formula>
    </cfRule>
  </conditionalFormatting>
  <conditionalFormatting sqref="C673:C677">
    <cfRule type="expression" dxfId="3044" priority="5718">
      <formula>D673&lt;&gt;""</formula>
    </cfRule>
  </conditionalFormatting>
  <conditionalFormatting sqref="E673:E677">
    <cfRule type="expression" dxfId="3043" priority="5717">
      <formula>F673&lt;&gt;""</formula>
    </cfRule>
  </conditionalFormatting>
  <conditionalFormatting sqref="G673:G677">
    <cfRule type="expression" dxfId="3042" priority="5716">
      <formula>H673&lt;&gt;""</formula>
    </cfRule>
  </conditionalFormatting>
  <conditionalFormatting sqref="H677">
    <cfRule type="expression" dxfId="3041" priority="5713">
      <formula>H673&lt;&gt;""</formula>
    </cfRule>
  </conditionalFormatting>
  <conditionalFormatting sqref="D649">
    <cfRule type="expression" dxfId="3040" priority="5710">
      <formula>D645&lt;&gt;""</formula>
    </cfRule>
  </conditionalFormatting>
  <conditionalFormatting sqref="I634:I635 C635:H635 B635:B636">
    <cfRule type="expression" dxfId="3039" priority="5709">
      <formula>$B$637&lt;&gt;""</formula>
    </cfRule>
  </conditionalFormatting>
  <conditionalFormatting sqref="D641">
    <cfRule type="expression" dxfId="3038" priority="5706">
      <formula>D637&lt;&gt;""</formula>
    </cfRule>
  </conditionalFormatting>
  <conditionalFormatting sqref="C637:C641">
    <cfRule type="expression" dxfId="3037" priority="5705">
      <formula>D637&lt;&gt;""</formula>
    </cfRule>
  </conditionalFormatting>
  <conditionalFormatting sqref="E637:E641">
    <cfRule type="expression" dxfId="3036" priority="5704">
      <formula>F637&lt;&gt;""</formula>
    </cfRule>
  </conditionalFormatting>
  <conditionalFormatting sqref="G637:G641">
    <cfRule type="expression" dxfId="3035" priority="5703">
      <formula>H637&lt;&gt;""</formula>
    </cfRule>
  </conditionalFormatting>
  <conditionalFormatting sqref="I637:I641">
    <cfRule type="expression" dxfId="3034" priority="5702">
      <formula>B645&lt;&gt;""</formula>
    </cfRule>
  </conditionalFormatting>
  <conditionalFormatting sqref="B641">
    <cfRule type="expression" dxfId="3033" priority="5699">
      <formula>B637&lt;&gt;""</formula>
    </cfRule>
  </conditionalFormatting>
  <conditionalFormatting sqref="F641">
    <cfRule type="expression" dxfId="3032" priority="5696">
      <formula>F637&lt;&gt;""</formula>
    </cfRule>
  </conditionalFormatting>
  <conditionalFormatting sqref="H641">
    <cfRule type="expression" dxfId="3031" priority="5693">
      <formula>H637&lt;&gt;""</formula>
    </cfRule>
  </conditionalFormatting>
  <conditionalFormatting sqref="F633">
    <cfRule type="expression" dxfId="3030" priority="5690">
      <formula>F629&lt;&gt;""</formula>
    </cfRule>
  </conditionalFormatting>
  <conditionalFormatting sqref="E629:E633">
    <cfRule type="expression" dxfId="3029" priority="5689">
      <formula>F629&lt;&gt;""</formula>
    </cfRule>
  </conditionalFormatting>
  <conditionalFormatting sqref="G629:G633">
    <cfRule type="expression" dxfId="3028" priority="5688">
      <formula>H629&lt;&gt;""</formula>
    </cfRule>
  </conditionalFormatting>
  <conditionalFormatting sqref="I629:I633">
    <cfRule type="expression" dxfId="3027" priority="5687">
      <formula>B637&lt;&gt;""</formula>
    </cfRule>
  </conditionalFormatting>
  <conditionalFormatting sqref="H633">
    <cfRule type="expression" dxfId="3026" priority="5684">
      <formula>H629&lt;&gt;""</formula>
    </cfRule>
  </conditionalFormatting>
  <conditionalFormatting sqref="I642:I643 C643:H643 B643:B644">
    <cfRule type="expression" dxfId="3025" priority="5683">
      <formula>$B$645&lt;&gt;""</formula>
    </cfRule>
  </conditionalFormatting>
  <conditionalFormatting sqref="B649">
    <cfRule type="expression" dxfId="3024" priority="5680">
      <formula>B645&lt;&gt;""</formula>
    </cfRule>
  </conditionalFormatting>
  <conditionalFormatting sqref="F649">
    <cfRule type="expression" dxfId="3023" priority="5677">
      <formula>F645&lt;&gt;""</formula>
    </cfRule>
  </conditionalFormatting>
  <conditionalFormatting sqref="C645:C649">
    <cfRule type="expression" dxfId="3022" priority="5676">
      <formula>D645&lt;&gt;""</formula>
    </cfRule>
  </conditionalFormatting>
  <conditionalFormatting sqref="E645:E649">
    <cfRule type="expression" dxfId="3021" priority="5675">
      <formula>F645&lt;&gt;""</formula>
    </cfRule>
  </conditionalFormatting>
  <conditionalFormatting sqref="G645:G649">
    <cfRule type="expression" dxfId="3020" priority="5674">
      <formula>H645&lt;&gt;""</formula>
    </cfRule>
  </conditionalFormatting>
  <conditionalFormatting sqref="H649">
    <cfRule type="expression" dxfId="3019" priority="5671">
      <formula>H645&lt;&gt;""</formula>
    </cfRule>
  </conditionalFormatting>
  <conditionalFormatting sqref="D621">
    <cfRule type="expression" dxfId="3018" priority="5668">
      <formula>D617&lt;&gt;""</formula>
    </cfRule>
  </conditionalFormatting>
  <conditionalFormatting sqref="I606:I607 C607:H607 B607:B608">
    <cfRule type="expression" dxfId="3017" priority="5667">
      <formula>$B$609&lt;&gt;""</formula>
    </cfRule>
  </conditionalFormatting>
  <conditionalFormatting sqref="D613">
    <cfRule type="expression" dxfId="3016" priority="5664">
      <formula>D609&lt;&gt;""</formula>
    </cfRule>
  </conditionalFormatting>
  <conditionalFormatting sqref="C609:C613">
    <cfRule type="expression" dxfId="3015" priority="5663">
      <formula>D609&lt;&gt;""</formula>
    </cfRule>
  </conditionalFormatting>
  <conditionalFormatting sqref="E609:E613">
    <cfRule type="expression" dxfId="3014" priority="5662">
      <formula>F609&lt;&gt;""</formula>
    </cfRule>
  </conditionalFormatting>
  <conditionalFormatting sqref="G609:G613">
    <cfRule type="expression" dxfId="3013" priority="5661">
      <formula>H609&lt;&gt;""</formula>
    </cfRule>
  </conditionalFormatting>
  <conditionalFormatting sqref="I609:I613">
    <cfRule type="expression" dxfId="3012" priority="5660">
      <formula>B617&lt;&gt;""</formula>
    </cfRule>
  </conditionalFormatting>
  <conditionalFormatting sqref="B613">
    <cfRule type="expression" dxfId="3011" priority="5657">
      <formula>B609&lt;&gt;""</formula>
    </cfRule>
  </conditionalFormatting>
  <conditionalFormatting sqref="F613">
    <cfRule type="expression" dxfId="3010" priority="5654">
      <formula>F609&lt;&gt;""</formula>
    </cfRule>
  </conditionalFormatting>
  <conditionalFormatting sqref="H613">
    <cfRule type="expression" dxfId="3009" priority="5651">
      <formula>H609&lt;&gt;""</formula>
    </cfRule>
  </conditionalFormatting>
  <conditionalFormatting sqref="F605">
    <cfRule type="expression" dxfId="3008" priority="5648">
      <formula>F601&lt;&gt;""</formula>
    </cfRule>
  </conditionalFormatting>
  <conditionalFormatting sqref="E601:E605">
    <cfRule type="expression" dxfId="3007" priority="5647">
      <formula>F601&lt;&gt;""</formula>
    </cfRule>
  </conditionalFormatting>
  <conditionalFormatting sqref="G601:G605">
    <cfRule type="expression" dxfId="3006" priority="5646">
      <formula>H601&lt;&gt;""</formula>
    </cfRule>
  </conditionalFormatting>
  <conditionalFormatting sqref="I601:I605">
    <cfRule type="expression" dxfId="3005" priority="5645">
      <formula>B609&lt;&gt;""</formula>
    </cfRule>
  </conditionalFormatting>
  <conditionalFormatting sqref="H605">
    <cfRule type="expression" dxfId="3004" priority="5642">
      <formula>H601&lt;&gt;""</formula>
    </cfRule>
  </conditionalFormatting>
  <conditionalFormatting sqref="I614:I615 C615:H615 B615:B616">
    <cfRule type="expression" dxfId="3003" priority="5641">
      <formula>$B$617&lt;&gt;""</formula>
    </cfRule>
  </conditionalFormatting>
  <conditionalFormatting sqref="B621">
    <cfRule type="expression" dxfId="3002" priority="5638">
      <formula>B617&lt;&gt;""</formula>
    </cfRule>
  </conditionalFormatting>
  <conditionalFormatting sqref="F621">
    <cfRule type="expression" dxfId="3001" priority="5635">
      <formula>F617&lt;&gt;""</formula>
    </cfRule>
  </conditionalFormatting>
  <conditionalFormatting sqref="C617:C621">
    <cfRule type="expression" dxfId="3000" priority="5634">
      <formula>D617&lt;&gt;""</formula>
    </cfRule>
  </conditionalFormatting>
  <conditionalFormatting sqref="E617:E621">
    <cfRule type="expression" dxfId="2999" priority="5633">
      <formula>F617&lt;&gt;""</formula>
    </cfRule>
  </conditionalFormatting>
  <conditionalFormatting sqref="G617:G621">
    <cfRule type="expression" dxfId="2998" priority="5632">
      <formula>H617&lt;&gt;""</formula>
    </cfRule>
  </conditionalFormatting>
  <conditionalFormatting sqref="H621">
    <cfRule type="expression" dxfId="2997" priority="5629">
      <formula>H617&lt;&gt;""</formula>
    </cfRule>
  </conditionalFormatting>
  <conditionalFormatting sqref="D593">
    <cfRule type="expression" dxfId="2996" priority="5626">
      <formula>D589&lt;&gt;""</formula>
    </cfRule>
  </conditionalFormatting>
  <conditionalFormatting sqref="I578:I579 C579:H579 B579:B580">
    <cfRule type="expression" dxfId="2995" priority="5625">
      <formula>$B$581&lt;&gt;""</formula>
    </cfRule>
  </conditionalFormatting>
  <conditionalFormatting sqref="D585">
    <cfRule type="expression" dxfId="2994" priority="5622">
      <formula>D581&lt;&gt;""</formula>
    </cfRule>
  </conditionalFormatting>
  <conditionalFormatting sqref="C581:C585">
    <cfRule type="expression" dxfId="2993" priority="5621">
      <formula>D581&lt;&gt;""</formula>
    </cfRule>
  </conditionalFormatting>
  <conditionalFormatting sqref="E581:E585">
    <cfRule type="expression" dxfId="2992" priority="5620">
      <formula>F581&lt;&gt;""</formula>
    </cfRule>
  </conditionalFormatting>
  <conditionalFormatting sqref="G581:G585">
    <cfRule type="expression" dxfId="2991" priority="5619">
      <formula>H581&lt;&gt;""</formula>
    </cfRule>
  </conditionalFormatting>
  <conditionalFormatting sqref="I581:I585">
    <cfRule type="expression" dxfId="2990" priority="5618">
      <formula>B589&lt;&gt;""</formula>
    </cfRule>
  </conditionalFormatting>
  <conditionalFormatting sqref="B585">
    <cfRule type="expression" dxfId="2989" priority="5615">
      <formula>B581&lt;&gt;""</formula>
    </cfRule>
  </conditionalFormatting>
  <conditionalFormatting sqref="F585">
    <cfRule type="expression" dxfId="2988" priority="5612">
      <formula>F581&lt;&gt;""</formula>
    </cfRule>
  </conditionalFormatting>
  <conditionalFormatting sqref="H585">
    <cfRule type="expression" dxfId="2987" priority="5609">
      <formula>H581&lt;&gt;""</formula>
    </cfRule>
  </conditionalFormatting>
  <conditionalFormatting sqref="F577">
    <cfRule type="expression" dxfId="2986" priority="5606">
      <formula>F573&lt;&gt;""</formula>
    </cfRule>
  </conditionalFormatting>
  <conditionalFormatting sqref="E573:E577">
    <cfRule type="expression" dxfId="2985" priority="5605">
      <formula>F573&lt;&gt;""</formula>
    </cfRule>
  </conditionalFormatting>
  <conditionalFormatting sqref="G573:G577">
    <cfRule type="expression" dxfId="2984" priority="5604">
      <formula>H573&lt;&gt;""</formula>
    </cfRule>
  </conditionalFormatting>
  <conditionalFormatting sqref="I573:I577">
    <cfRule type="expression" dxfId="2983" priority="5603">
      <formula>B581&lt;&gt;""</formula>
    </cfRule>
  </conditionalFormatting>
  <conditionalFormatting sqref="H577">
    <cfRule type="expression" dxfId="2982" priority="5600">
      <formula>H573&lt;&gt;""</formula>
    </cfRule>
  </conditionalFormatting>
  <conditionalFormatting sqref="I586:I587 C587:H587 B587:B588">
    <cfRule type="expression" dxfId="2981" priority="5599">
      <formula>$B$589&lt;&gt;""</formula>
    </cfRule>
  </conditionalFormatting>
  <conditionalFormatting sqref="B593">
    <cfRule type="expression" dxfId="2980" priority="5596">
      <formula>B589&lt;&gt;""</formula>
    </cfRule>
  </conditionalFormatting>
  <conditionalFormatting sqref="F593">
    <cfRule type="expression" dxfId="2979" priority="5593">
      <formula>F589&lt;&gt;""</formula>
    </cfRule>
  </conditionalFormatting>
  <conditionalFormatting sqref="C589:C593">
    <cfRule type="expression" dxfId="2978" priority="5592">
      <formula>D589&lt;&gt;""</formula>
    </cfRule>
  </conditionalFormatting>
  <conditionalFormatting sqref="E589:E593">
    <cfRule type="expression" dxfId="2977" priority="5591">
      <formula>F589&lt;&gt;""</formula>
    </cfRule>
  </conditionalFormatting>
  <conditionalFormatting sqref="G589:G593">
    <cfRule type="expression" dxfId="2976" priority="5590">
      <formula>H589&lt;&gt;""</formula>
    </cfRule>
  </conditionalFormatting>
  <conditionalFormatting sqref="H593">
    <cfRule type="expression" dxfId="2975" priority="5587">
      <formula>H589&lt;&gt;""</formula>
    </cfRule>
  </conditionalFormatting>
  <conditionalFormatting sqref="B577">
    <cfRule type="expression" dxfId="2974" priority="5584">
      <formula>B573&lt;&gt;""</formula>
    </cfRule>
  </conditionalFormatting>
  <conditionalFormatting sqref="C573:C577">
    <cfRule type="expression" dxfId="2973" priority="5583">
      <formula>D573&lt;&gt;""</formula>
    </cfRule>
  </conditionalFormatting>
  <conditionalFormatting sqref="D577">
    <cfRule type="expression" dxfId="2972" priority="5580">
      <formula>D573&lt;&gt;""</formula>
    </cfRule>
  </conditionalFormatting>
  <conditionalFormatting sqref="B605">
    <cfRule type="expression" dxfId="2971" priority="5577">
      <formula>B601&lt;&gt;""</formula>
    </cfRule>
  </conditionalFormatting>
  <conditionalFormatting sqref="C601:C605">
    <cfRule type="expression" dxfId="2970" priority="5576">
      <formula>D601&lt;&gt;""</formula>
    </cfRule>
  </conditionalFormatting>
  <conditionalFormatting sqref="D605">
    <cfRule type="expression" dxfId="2969" priority="5573">
      <formula>D601&lt;&gt;""</formula>
    </cfRule>
  </conditionalFormatting>
  <conditionalFormatting sqref="B633">
    <cfRule type="expression" dxfId="2968" priority="5570">
      <formula>B629&lt;&gt;""</formula>
    </cfRule>
  </conditionalFormatting>
  <conditionalFormatting sqref="C629:C633">
    <cfRule type="expression" dxfId="2967" priority="5569">
      <formula>D629&lt;&gt;""</formula>
    </cfRule>
  </conditionalFormatting>
  <conditionalFormatting sqref="D633">
    <cfRule type="expression" dxfId="2966" priority="5566">
      <formula>D629&lt;&gt;""</formula>
    </cfRule>
  </conditionalFormatting>
  <conditionalFormatting sqref="B661">
    <cfRule type="expression" dxfId="2965" priority="5563">
      <formula>B657&lt;&gt;""</formula>
    </cfRule>
  </conditionalFormatting>
  <conditionalFormatting sqref="C657:C661">
    <cfRule type="expression" dxfId="2964" priority="5562">
      <formula>D657&lt;&gt;""</formula>
    </cfRule>
  </conditionalFormatting>
  <conditionalFormatting sqref="D661">
    <cfRule type="expression" dxfId="2963" priority="5559">
      <formula>D657&lt;&gt;""</formula>
    </cfRule>
  </conditionalFormatting>
  <conditionalFormatting sqref="B689">
    <cfRule type="expression" dxfId="2962" priority="5556">
      <formula>B685&lt;&gt;""</formula>
    </cfRule>
  </conditionalFormatting>
  <conditionalFormatting sqref="C685:C689">
    <cfRule type="expression" dxfId="2961" priority="5555">
      <formula>D685&lt;&gt;""</formula>
    </cfRule>
  </conditionalFormatting>
  <conditionalFormatting sqref="D689">
    <cfRule type="expression" dxfId="2960" priority="5552">
      <formula>D685&lt;&gt;""</formula>
    </cfRule>
  </conditionalFormatting>
  <conditionalFormatting sqref="B717">
    <cfRule type="expression" dxfId="2959" priority="5549">
      <formula>B713&lt;&gt;""</formula>
    </cfRule>
  </conditionalFormatting>
  <conditionalFormatting sqref="C713:C717">
    <cfRule type="expression" dxfId="2958" priority="5548">
      <formula>D713&lt;&gt;""</formula>
    </cfRule>
  </conditionalFormatting>
  <conditionalFormatting sqref="D717">
    <cfRule type="expression" dxfId="2957" priority="5545">
      <formula>D713&lt;&gt;""</formula>
    </cfRule>
  </conditionalFormatting>
  <conditionalFormatting sqref="B745">
    <cfRule type="expression" dxfId="2956" priority="5542">
      <formula>B741&lt;&gt;""</formula>
    </cfRule>
  </conditionalFormatting>
  <conditionalFormatting sqref="C741:C745">
    <cfRule type="expression" dxfId="2955" priority="5541">
      <formula>D741&lt;&gt;""</formula>
    </cfRule>
  </conditionalFormatting>
  <conditionalFormatting sqref="D745">
    <cfRule type="expression" dxfId="2954" priority="5538">
      <formula>D741&lt;&gt;""</formula>
    </cfRule>
  </conditionalFormatting>
  <conditionalFormatting sqref="D789">
    <cfRule type="expression" dxfId="2953" priority="5535">
      <formula>D785&lt;&gt;""</formula>
    </cfRule>
  </conditionalFormatting>
  <conditionalFormatting sqref="D781">
    <cfRule type="expression" dxfId="2952" priority="5532">
      <formula>D777&lt;&gt;""</formula>
    </cfRule>
  </conditionalFormatting>
  <conditionalFormatting sqref="C777:C781">
    <cfRule type="expression" dxfId="2951" priority="5531">
      <formula>D777&lt;&gt;""</formula>
    </cfRule>
  </conditionalFormatting>
  <conditionalFormatting sqref="E777:E781">
    <cfRule type="expression" dxfId="2950" priority="5530">
      <formula>F777&lt;&gt;""</formula>
    </cfRule>
  </conditionalFormatting>
  <conditionalFormatting sqref="G777:G781">
    <cfRule type="expression" dxfId="2949" priority="5529">
      <formula>H777&lt;&gt;""</formula>
    </cfRule>
  </conditionalFormatting>
  <conditionalFormatting sqref="I777:I781">
    <cfRule type="expression" dxfId="2948" priority="5528">
      <formula>B785&lt;&gt;""</formula>
    </cfRule>
  </conditionalFormatting>
  <conditionalFormatting sqref="B781">
    <cfRule type="expression" dxfId="2947" priority="5525">
      <formula>B777&lt;&gt;""</formula>
    </cfRule>
  </conditionalFormatting>
  <conditionalFormatting sqref="F781">
    <cfRule type="expression" dxfId="2946" priority="5522">
      <formula>F777&lt;&gt;""</formula>
    </cfRule>
  </conditionalFormatting>
  <conditionalFormatting sqref="H781">
    <cfRule type="expression" dxfId="2945" priority="5519">
      <formula>H777&lt;&gt;""</formula>
    </cfRule>
  </conditionalFormatting>
  <conditionalFormatting sqref="F773">
    <cfRule type="expression" dxfId="2944" priority="5516">
      <formula>F769&lt;&gt;""</formula>
    </cfRule>
  </conditionalFormatting>
  <conditionalFormatting sqref="E769:E773">
    <cfRule type="expression" dxfId="2943" priority="5515">
      <formula>F769&lt;&gt;""</formula>
    </cfRule>
  </conditionalFormatting>
  <conditionalFormatting sqref="G769:G773">
    <cfRule type="expression" dxfId="2942" priority="5514">
      <formula>H769&lt;&gt;""</formula>
    </cfRule>
  </conditionalFormatting>
  <conditionalFormatting sqref="I769:I773">
    <cfRule type="expression" dxfId="2941" priority="5513">
      <formula>B777&lt;&gt;""</formula>
    </cfRule>
  </conditionalFormatting>
  <conditionalFormatting sqref="H773">
    <cfRule type="expression" dxfId="2940" priority="5510">
      <formula>H769&lt;&gt;""</formula>
    </cfRule>
  </conditionalFormatting>
  <conditionalFormatting sqref="B789">
    <cfRule type="expression" dxfId="2939" priority="5507">
      <formula>B785&lt;&gt;""</formula>
    </cfRule>
  </conditionalFormatting>
  <conditionalFormatting sqref="F789">
    <cfRule type="expression" dxfId="2938" priority="5504">
      <formula>F785&lt;&gt;""</formula>
    </cfRule>
  </conditionalFormatting>
  <conditionalFormatting sqref="C785:C789">
    <cfRule type="expression" dxfId="2937" priority="5503">
      <formula>D785&lt;&gt;""</formula>
    </cfRule>
  </conditionalFormatting>
  <conditionalFormatting sqref="E785:E789">
    <cfRule type="expression" dxfId="2936" priority="5502">
      <formula>F785&lt;&gt;""</formula>
    </cfRule>
  </conditionalFormatting>
  <conditionalFormatting sqref="G785:G789">
    <cfRule type="expression" dxfId="2935" priority="5501">
      <formula>H785&lt;&gt;""</formula>
    </cfRule>
  </conditionalFormatting>
  <conditionalFormatting sqref="H789">
    <cfRule type="expression" dxfId="2934" priority="5498">
      <formula>H785&lt;&gt;""</formula>
    </cfRule>
  </conditionalFormatting>
  <conditionalFormatting sqref="D817">
    <cfRule type="expression" dxfId="2933" priority="5495">
      <formula>D813&lt;&gt;""</formula>
    </cfRule>
  </conditionalFormatting>
  <conditionalFormatting sqref="D809">
    <cfRule type="expression" dxfId="2932" priority="5492">
      <formula>D805&lt;&gt;""</formula>
    </cfRule>
  </conditionalFormatting>
  <conditionalFormatting sqref="C805:C809">
    <cfRule type="expression" dxfId="2931" priority="5491">
      <formula>D805&lt;&gt;""</formula>
    </cfRule>
  </conditionalFormatting>
  <conditionalFormatting sqref="E805:E809">
    <cfRule type="expression" dxfId="2930" priority="5490">
      <formula>F805&lt;&gt;""</formula>
    </cfRule>
  </conditionalFormatting>
  <conditionalFormatting sqref="G805:G809">
    <cfRule type="expression" dxfId="2929" priority="5489">
      <formula>H805&lt;&gt;""</formula>
    </cfRule>
  </conditionalFormatting>
  <conditionalFormatting sqref="I805:I809">
    <cfRule type="expression" dxfId="2928" priority="5488">
      <formula>B813&lt;&gt;""</formula>
    </cfRule>
  </conditionalFormatting>
  <conditionalFormatting sqref="B809">
    <cfRule type="expression" dxfId="2927" priority="5485">
      <formula>B805&lt;&gt;""</formula>
    </cfRule>
  </conditionalFormatting>
  <conditionalFormatting sqref="F809">
    <cfRule type="expression" dxfId="2926" priority="5482">
      <formula>F805&lt;&gt;""</formula>
    </cfRule>
  </conditionalFormatting>
  <conditionalFormatting sqref="H809">
    <cfRule type="expression" dxfId="2925" priority="5479">
      <formula>H805&lt;&gt;""</formula>
    </cfRule>
  </conditionalFormatting>
  <conditionalFormatting sqref="F801">
    <cfRule type="expression" dxfId="2924" priority="5476">
      <formula>F797&lt;&gt;""</formula>
    </cfRule>
  </conditionalFormatting>
  <conditionalFormatting sqref="E797:E801">
    <cfRule type="expression" dxfId="2923" priority="5475">
      <formula>F797&lt;&gt;""</formula>
    </cfRule>
  </conditionalFormatting>
  <conditionalFormatting sqref="G797:G801">
    <cfRule type="expression" dxfId="2922" priority="5474">
      <formula>H797&lt;&gt;""</formula>
    </cfRule>
  </conditionalFormatting>
  <conditionalFormatting sqref="I797:I801">
    <cfRule type="expression" dxfId="2921" priority="5473">
      <formula>B805&lt;&gt;""</formula>
    </cfRule>
  </conditionalFormatting>
  <conditionalFormatting sqref="H801">
    <cfRule type="expression" dxfId="2920" priority="5470">
      <formula>H797&lt;&gt;""</formula>
    </cfRule>
  </conditionalFormatting>
  <conditionalFormatting sqref="B817">
    <cfRule type="expression" dxfId="2919" priority="5467">
      <formula>B813&lt;&gt;""</formula>
    </cfRule>
  </conditionalFormatting>
  <conditionalFormatting sqref="F817">
    <cfRule type="expression" dxfId="2918" priority="5464">
      <formula>F813&lt;&gt;""</formula>
    </cfRule>
  </conditionalFormatting>
  <conditionalFormatting sqref="C813:C817">
    <cfRule type="expression" dxfId="2917" priority="5463">
      <formula>D813&lt;&gt;""</formula>
    </cfRule>
  </conditionalFormatting>
  <conditionalFormatting sqref="E813:E817">
    <cfRule type="expression" dxfId="2916" priority="5462">
      <formula>F813&lt;&gt;""</formula>
    </cfRule>
  </conditionalFormatting>
  <conditionalFormatting sqref="G813:G817">
    <cfRule type="expression" dxfId="2915" priority="5461">
      <formula>H813&lt;&gt;""</formula>
    </cfRule>
  </conditionalFormatting>
  <conditionalFormatting sqref="H817">
    <cfRule type="expression" dxfId="2914" priority="5458">
      <formula>H813&lt;&gt;""</formula>
    </cfRule>
  </conditionalFormatting>
  <conditionalFormatting sqref="B803:B804 C803:I803 I802">
    <cfRule type="expression" dxfId="2913" priority="5456">
      <formula>$B$805&lt;&gt;""</formula>
    </cfRule>
  </conditionalFormatting>
  <conditionalFormatting sqref="B811:B812 C811:I811 I810">
    <cfRule type="expression" dxfId="2912" priority="5455">
      <formula>$B$813&lt;&gt;""</formula>
    </cfRule>
  </conditionalFormatting>
  <conditionalFormatting sqref="D845">
    <cfRule type="expression" dxfId="2911" priority="5452">
      <formula>D841&lt;&gt;""</formula>
    </cfRule>
  </conditionalFormatting>
  <conditionalFormatting sqref="D837">
    <cfRule type="expression" dxfId="2910" priority="5449">
      <formula>D833&lt;&gt;""</formula>
    </cfRule>
  </conditionalFormatting>
  <conditionalFormatting sqref="C833:C837">
    <cfRule type="expression" dxfId="2909" priority="5448">
      <formula>D833&lt;&gt;""</formula>
    </cfRule>
  </conditionalFormatting>
  <conditionalFormatting sqref="E833:E837">
    <cfRule type="expression" dxfId="2908" priority="5447">
      <formula>F833&lt;&gt;""</formula>
    </cfRule>
  </conditionalFormatting>
  <conditionalFormatting sqref="G833:G837">
    <cfRule type="expression" dxfId="2907" priority="5446">
      <formula>H833&lt;&gt;""</formula>
    </cfRule>
  </conditionalFormatting>
  <conditionalFormatting sqref="I833:I837">
    <cfRule type="expression" dxfId="2906" priority="5445">
      <formula>B841&lt;&gt;""</formula>
    </cfRule>
  </conditionalFormatting>
  <conditionalFormatting sqref="B837">
    <cfRule type="expression" dxfId="2905" priority="5442">
      <formula>B833&lt;&gt;""</formula>
    </cfRule>
  </conditionalFormatting>
  <conditionalFormatting sqref="F837">
    <cfRule type="expression" dxfId="2904" priority="5439">
      <formula>F833&lt;&gt;""</formula>
    </cfRule>
  </conditionalFormatting>
  <conditionalFormatting sqref="H837">
    <cfRule type="expression" dxfId="2903" priority="5436">
      <formula>H833&lt;&gt;""</formula>
    </cfRule>
  </conditionalFormatting>
  <conditionalFormatting sqref="F829">
    <cfRule type="expression" dxfId="2902" priority="5433">
      <formula>F825&lt;&gt;""</formula>
    </cfRule>
  </conditionalFormatting>
  <conditionalFormatting sqref="E825:E829">
    <cfRule type="expression" dxfId="2901" priority="5432">
      <formula>F825&lt;&gt;""</formula>
    </cfRule>
  </conditionalFormatting>
  <conditionalFormatting sqref="G825:G829">
    <cfRule type="expression" dxfId="2900" priority="5431">
      <formula>H825&lt;&gt;""</formula>
    </cfRule>
  </conditionalFormatting>
  <conditionalFormatting sqref="I825:I829">
    <cfRule type="expression" dxfId="2899" priority="5430">
      <formula>B833&lt;&gt;""</formula>
    </cfRule>
  </conditionalFormatting>
  <conditionalFormatting sqref="H829">
    <cfRule type="expression" dxfId="2898" priority="5427">
      <formula>H825&lt;&gt;""</formula>
    </cfRule>
  </conditionalFormatting>
  <conditionalFormatting sqref="B845">
    <cfRule type="expression" dxfId="2897" priority="5424">
      <formula>B841&lt;&gt;""</formula>
    </cfRule>
  </conditionalFormatting>
  <conditionalFormatting sqref="F845">
    <cfRule type="expression" dxfId="2896" priority="5421">
      <formula>F841&lt;&gt;""</formula>
    </cfRule>
  </conditionalFormatting>
  <conditionalFormatting sqref="C841:C845">
    <cfRule type="expression" dxfId="2895" priority="5420">
      <formula>D841&lt;&gt;""</formula>
    </cfRule>
  </conditionalFormatting>
  <conditionalFormatting sqref="E841:E845">
    <cfRule type="expression" dxfId="2894" priority="5419">
      <formula>F841&lt;&gt;""</formula>
    </cfRule>
  </conditionalFormatting>
  <conditionalFormatting sqref="G841:G845">
    <cfRule type="expression" dxfId="2893" priority="5418">
      <formula>H841&lt;&gt;""</formula>
    </cfRule>
  </conditionalFormatting>
  <conditionalFormatting sqref="H845">
    <cfRule type="expression" dxfId="2892" priority="5415">
      <formula>H841&lt;&gt;""</formula>
    </cfRule>
  </conditionalFormatting>
  <conditionalFormatting sqref="B831:B832 C831:I831 I830">
    <cfRule type="expression" dxfId="2891" priority="5413">
      <formula>$B$833&lt;&gt;""</formula>
    </cfRule>
  </conditionalFormatting>
  <conditionalFormatting sqref="B839:B840 C839:I839 I838">
    <cfRule type="expression" dxfId="2890" priority="5412">
      <formula>$B$841&lt;&gt;""</formula>
    </cfRule>
  </conditionalFormatting>
  <conditionalFormatting sqref="B773">
    <cfRule type="expression" dxfId="2889" priority="5409">
      <formula>B769&lt;&gt;""</formula>
    </cfRule>
  </conditionalFormatting>
  <conditionalFormatting sqref="C769:C773">
    <cfRule type="expression" dxfId="2888" priority="5408">
      <formula>D769&lt;&gt;""</formula>
    </cfRule>
  </conditionalFormatting>
  <conditionalFormatting sqref="D773">
    <cfRule type="expression" dxfId="2887" priority="5405">
      <formula>D769&lt;&gt;""</formula>
    </cfRule>
  </conditionalFormatting>
  <conditionalFormatting sqref="B801">
    <cfRule type="expression" dxfId="2886" priority="5403">
      <formula>B797&lt;&gt;""</formula>
    </cfRule>
  </conditionalFormatting>
  <conditionalFormatting sqref="C797:C801">
    <cfRule type="expression" dxfId="2885" priority="5402">
      <formula>D797&lt;&gt;""</formula>
    </cfRule>
  </conditionalFormatting>
  <conditionalFormatting sqref="D801">
    <cfRule type="expression" dxfId="2884" priority="5399">
      <formula>D797&lt;&gt;""</formula>
    </cfRule>
  </conditionalFormatting>
  <conditionalFormatting sqref="B829">
    <cfRule type="expression" dxfId="2883" priority="5397">
      <formula>B825&lt;&gt;""</formula>
    </cfRule>
  </conditionalFormatting>
  <conditionalFormatting sqref="C825:C829">
    <cfRule type="expression" dxfId="2882" priority="5396">
      <formula>D825&lt;&gt;""</formula>
    </cfRule>
  </conditionalFormatting>
  <conditionalFormatting sqref="D829">
    <cfRule type="expression" dxfId="2881" priority="5393">
      <formula>D825&lt;&gt;""</formula>
    </cfRule>
  </conditionalFormatting>
  <conditionalFormatting sqref="B783:B784 C783:I783 I782">
    <cfRule type="expression" dxfId="2880" priority="5392">
      <formula>$B$785&lt;&gt;""</formula>
    </cfRule>
  </conditionalFormatting>
  <conditionalFormatting sqref="B775:B776 C775:I775 I774">
    <cfRule type="expression" dxfId="2879" priority="5391">
      <formula>$B$777&lt;&gt;""</formula>
    </cfRule>
  </conditionalFormatting>
  <conditionalFormatting sqref="D1043">
    <cfRule type="expression" dxfId="2878" priority="5388">
      <formula>D1039&lt;&gt;""</formula>
    </cfRule>
  </conditionalFormatting>
  <conditionalFormatting sqref="I1028:I1029 C1029:H1029 B1029:B1030">
    <cfRule type="expression" dxfId="2877" priority="5387">
      <formula>$B$1031&lt;&gt;""</formula>
    </cfRule>
  </conditionalFormatting>
  <conditionalFormatting sqref="D1035">
    <cfRule type="expression" dxfId="2876" priority="5384">
      <formula>D1031&lt;&gt;""</formula>
    </cfRule>
  </conditionalFormatting>
  <conditionalFormatting sqref="C1031:C1035">
    <cfRule type="expression" dxfId="2875" priority="5383">
      <formula>D1031&lt;&gt;""</formula>
    </cfRule>
  </conditionalFormatting>
  <conditionalFormatting sqref="E1031:E1035">
    <cfRule type="expression" dxfId="2874" priority="5382">
      <formula>F1031&lt;&gt;""</formula>
    </cfRule>
  </conditionalFormatting>
  <conditionalFormatting sqref="G1031:G1035">
    <cfRule type="expression" dxfId="2873" priority="5381">
      <formula>H1031&lt;&gt;""</formula>
    </cfRule>
  </conditionalFormatting>
  <conditionalFormatting sqref="I1031:I1035">
    <cfRule type="expression" dxfId="2872" priority="5380">
      <formula>B1039&lt;&gt;""</formula>
    </cfRule>
  </conditionalFormatting>
  <conditionalFormatting sqref="B1035">
    <cfRule type="expression" dxfId="2871" priority="5377">
      <formula>B1031&lt;&gt;""</formula>
    </cfRule>
  </conditionalFormatting>
  <conditionalFormatting sqref="F1035">
    <cfRule type="expression" dxfId="2870" priority="5374">
      <formula>F1031&lt;&gt;""</formula>
    </cfRule>
  </conditionalFormatting>
  <conditionalFormatting sqref="H1035">
    <cfRule type="expression" dxfId="2869" priority="5371">
      <formula>H1031&lt;&gt;""</formula>
    </cfRule>
  </conditionalFormatting>
  <conditionalFormatting sqref="F1027">
    <cfRule type="expression" dxfId="2868" priority="5368">
      <formula>F1023&lt;&gt;""</formula>
    </cfRule>
  </conditionalFormatting>
  <conditionalFormatting sqref="E1023:E1027">
    <cfRule type="expression" dxfId="2867" priority="5367">
      <formula>F1023&lt;&gt;""</formula>
    </cfRule>
  </conditionalFormatting>
  <conditionalFormatting sqref="G1023:G1027">
    <cfRule type="expression" dxfId="2866" priority="5366">
      <formula>H1023&lt;&gt;""</formula>
    </cfRule>
  </conditionalFormatting>
  <conditionalFormatting sqref="I1023:I1027">
    <cfRule type="expression" dxfId="2865" priority="5365">
      <formula>B1031&lt;&gt;""</formula>
    </cfRule>
  </conditionalFormatting>
  <conditionalFormatting sqref="H1027">
    <cfRule type="expression" dxfId="2864" priority="5362">
      <formula>H1023&lt;&gt;""</formula>
    </cfRule>
  </conditionalFormatting>
  <conditionalFormatting sqref="I1036:I1037 C1037:H1037 B1037:B1038">
    <cfRule type="expression" dxfId="2863" priority="5361">
      <formula>$B$1039&lt;&gt;""</formula>
    </cfRule>
  </conditionalFormatting>
  <conditionalFormatting sqref="B1043">
    <cfRule type="expression" dxfId="2862" priority="5358">
      <formula>B1039&lt;&gt;""</formula>
    </cfRule>
  </conditionalFormatting>
  <conditionalFormatting sqref="F1043">
    <cfRule type="expression" dxfId="2861" priority="5355">
      <formula>F1039&lt;&gt;""</formula>
    </cfRule>
  </conditionalFormatting>
  <conditionalFormatting sqref="C1039:C1043">
    <cfRule type="expression" dxfId="2860" priority="5354">
      <formula>D1039&lt;&gt;""</formula>
    </cfRule>
  </conditionalFormatting>
  <conditionalFormatting sqref="E1039:E1043">
    <cfRule type="expression" dxfId="2859" priority="5353">
      <formula>F1039&lt;&gt;""</formula>
    </cfRule>
  </conditionalFormatting>
  <conditionalFormatting sqref="G1039:G1043">
    <cfRule type="expression" dxfId="2858" priority="5352">
      <formula>H1039&lt;&gt;""</formula>
    </cfRule>
  </conditionalFormatting>
  <conditionalFormatting sqref="H1043">
    <cfRule type="expression" dxfId="2857" priority="5349">
      <formula>H1039&lt;&gt;""</formula>
    </cfRule>
  </conditionalFormatting>
  <conditionalFormatting sqref="D1015">
    <cfRule type="expression" dxfId="2856" priority="5346">
      <formula>D1011&lt;&gt;""</formula>
    </cfRule>
  </conditionalFormatting>
  <conditionalFormatting sqref="I1000:I1001 C1001:H1001 B1001:B1002">
    <cfRule type="expression" dxfId="2855" priority="5345">
      <formula>$B$1003&lt;&gt;""</formula>
    </cfRule>
  </conditionalFormatting>
  <conditionalFormatting sqref="D1007">
    <cfRule type="expression" dxfId="2854" priority="5342">
      <formula>D1003&lt;&gt;""</formula>
    </cfRule>
  </conditionalFormatting>
  <conditionalFormatting sqref="C1003:C1007">
    <cfRule type="expression" dxfId="2853" priority="5341">
      <formula>D1003&lt;&gt;""</formula>
    </cfRule>
  </conditionalFormatting>
  <conditionalFormatting sqref="E1003:E1007">
    <cfRule type="expression" dxfId="2852" priority="5340">
      <formula>F1003&lt;&gt;""</formula>
    </cfRule>
  </conditionalFormatting>
  <conditionalFormatting sqref="G1003:G1007">
    <cfRule type="expression" dxfId="2851" priority="5339">
      <formula>H1003&lt;&gt;""</formula>
    </cfRule>
  </conditionalFormatting>
  <conditionalFormatting sqref="I1003:I1007">
    <cfRule type="expression" dxfId="2850" priority="5338">
      <formula>B1011&lt;&gt;""</formula>
    </cfRule>
  </conditionalFormatting>
  <conditionalFormatting sqref="B1007">
    <cfRule type="expression" dxfId="2849" priority="5335">
      <formula>B1003&lt;&gt;""</formula>
    </cfRule>
  </conditionalFormatting>
  <conditionalFormatting sqref="F1007">
    <cfRule type="expression" dxfId="2848" priority="5332">
      <formula>F1003&lt;&gt;""</formula>
    </cfRule>
  </conditionalFormatting>
  <conditionalFormatting sqref="H1007">
    <cfRule type="expression" dxfId="2847" priority="5329">
      <formula>H1003&lt;&gt;""</formula>
    </cfRule>
  </conditionalFormatting>
  <conditionalFormatting sqref="F999">
    <cfRule type="expression" dxfId="2846" priority="5326">
      <formula>F995&lt;&gt;""</formula>
    </cfRule>
  </conditionalFormatting>
  <conditionalFormatting sqref="E995:E999">
    <cfRule type="expression" dxfId="2845" priority="5325">
      <formula>F995&lt;&gt;""</formula>
    </cfRule>
  </conditionalFormatting>
  <conditionalFormatting sqref="G995:G999">
    <cfRule type="expression" dxfId="2844" priority="5324">
      <formula>H995&lt;&gt;""</formula>
    </cfRule>
  </conditionalFormatting>
  <conditionalFormatting sqref="I995:I999">
    <cfRule type="expression" dxfId="2843" priority="5323">
      <formula>B1003&lt;&gt;""</formula>
    </cfRule>
  </conditionalFormatting>
  <conditionalFormatting sqref="H999">
    <cfRule type="expression" dxfId="2842" priority="5320">
      <formula>H995&lt;&gt;""</formula>
    </cfRule>
  </conditionalFormatting>
  <conditionalFormatting sqref="I1008:I1009 C1009:H1009 B1009:B1010">
    <cfRule type="expression" dxfId="2841" priority="5319">
      <formula>$B$1011&lt;&gt;""</formula>
    </cfRule>
  </conditionalFormatting>
  <conditionalFormatting sqref="B1015">
    <cfRule type="expression" dxfId="2840" priority="5316">
      <formula>B1011&lt;&gt;""</formula>
    </cfRule>
  </conditionalFormatting>
  <conditionalFormatting sqref="F1015">
    <cfRule type="expression" dxfId="2839" priority="5313">
      <formula>F1011&lt;&gt;""</formula>
    </cfRule>
  </conditionalFormatting>
  <conditionalFormatting sqref="C1011:C1015">
    <cfRule type="expression" dxfId="2838" priority="5312">
      <formula>D1011&lt;&gt;""</formula>
    </cfRule>
  </conditionalFormatting>
  <conditionalFormatting sqref="E1011:E1015">
    <cfRule type="expression" dxfId="2837" priority="5311">
      <formula>F1011&lt;&gt;""</formula>
    </cfRule>
  </conditionalFormatting>
  <conditionalFormatting sqref="G1011:G1015">
    <cfRule type="expression" dxfId="2836" priority="5310">
      <formula>H1011&lt;&gt;""</formula>
    </cfRule>
  </conditionalFormatting>
  <conditionalFormatting sqref="H1015">
    <cfRule type="expression" dxfId="2835" priority="5307">
      <formula>H1011&lt;&gt;""</formula>
    </cfRule>
  </conditionalFormatting>
  <conditionalFormatting sqref="D987">
    <cfRule type="expression" dxfId="2834" priority="5304">
      <formula>D983&lt;&gt;""</formula>
    </cfRule>
  </conditionalFormatting>
  <conditionalFormatting sqref="I972:I973 C973:H973 B973:B974">
    <cfRule type="expression" dxfId="2833" priority="5303">
      <formula>$B$975&lt;&gt;""</formula>
    </cfRule>
  </conditionalFormatting>
  <conditionalFormatting sqref="D979">
    <cfRule type="expression" dxfId="2832" priority="5300">
      <formula>D975&lt;&gt;""</formula>
    </cfRule>
  </conditionalFormatting>
  <conditionalFormatting sqref="C975:C979">
    <cfRule type="expression" dxfId="2831" priority="5299">
      <formula>D975&lt;&gt;""</formula>
    </cfRule>
  </conditionalFormatting>
  <conditionalFormatting sqref="E975:E979">
    <cfRule type="expression" dxfId="2830" priority="5298">
      <formula>F975&lt;&gt;""</formula>
    </cfRule>
  </conditionalFormatting>
  <conditionalFormatting sqref="G975:G979">
    <cfRule type="expression" dxfId="2829" priority="5297">
      <formula>H975&lt;&gt;""</formula>
    </cfRule>
  </conditionalFormatting>
  <conditionalFormatting sqref="I975:I979">
    <cfRule type="expression" dxfId="2828" priority="5296">
      <formula>B983&lt;&gt;""</formula>
    </cfRule>
  </conditionalFormatting>
  <conditionalFormatting sqref="B979">
    <cfRule type="expression" dxfId="2827" priority="5293">
      <formula>B975&lt;&gt;""</formula>
    </cfRule>
  </conditionalFormatting>
  <conditionalFormatting sqref="F979">
    <cfRule type="expression" dxfId="2826" priority="5290">
      <formula>F975&lt;&gt;""</formula>
    </cfRule>
  </conditionalFormatting>
  <conditionalFormatting sqref="H979">
    <cfRule type="expression" dxfId="2825" priority="5287">
      <formula>H975&lt;&gt;""</formula>
    </cfRule>
  </conditionalFormatting>
  <conditionalFormatting sqref="F971">
    <cfRule type="expression" dxfId="2824" priority="5284">
      <formula>F967&lt;&gt;""</formula>
    </cfRule>
  </conditionalFormatting>
  <conditionalFormatting sqref="E967:E971">
    <cfRule type="expression" dxfId="2823" priority="5283">
      <formula>F967&lt;&gt;""</formula>
    </cfRule>
  </conditionalFormatting>
  <conditionalFormatting sqref="G967:G971">
    <cfRule type="expression" dxfId="2822" priority="5282">
      <formula>H967&lt;&gt;""</formula>
    </cfRule>
  </conditionalFormatting>
  <conditionalFormatting sqref="I967:I971">
    <cfRule type="expression" dxfId="2821" priority="5281">
      <formula>B975&lt;&gt;""</formula>
    </cfRule>
  </conditionalFormatting>
  <conditionalFormatting sqref="H971">
    <cfRule type="expression" dxfId="2820" priority="5278">
      <formula>H967&lt;&gt;""</formula>
    </cfRule>
  </conditionalFormatting>
  <conditionalFormatting sqref="I980:I981 C981:H981 B981:B982">
    <cfRule type="expression" dxfId="2819" priority="5277">
      <formula>$B$983&lt;&gt;""</formula>
    </cfRule>
  </conditionalFormatting>
  <conditionalFormatting sqref="B987">
    <cfRule type="expression" dxfId="2818" priority="5274">
      <formula>B983&lt;&gt;""</formula>
    </cfRule>
  </conditionalFormatting>
  <conditionalFormatting sqref="F987">
    <cfRule type="expression" dxfId="2817" priority="5271">
      <formula>F983&lt;&gt;""</formula>
    </cfRule>
  </conditionalFormatting>
  <conditionalFormatting sqref="C983:C987">
    <cfRule type="expression" dxfId="2816" priority="5270">
      <formula>D983&lt;&gt;""</formula>
    </cfRule>
  </conditionalFormatting>
  <conditionalFormatting sqref="E983:E987">
    <cfRule type="expression" dxfId="2815" priority="5269">
      <formula>F983&lt;&gt;""</formula>
    </cfRule>
  </conditionalFormatting>
  <conditionalFormatting sqref="G983:G987">
    <cfRule type="expression" dxfId="2814" priority="5268">
      <formula>H983&lt;&gt;""</formula>
    </cfRule>
  </conditionalFormatting>
  <conditionalFormatting sqref="H987">
    <cfRule type="expression" dxfId="2813" priority="5265">
      <formula>H983&lt;&gt;""</formula>
    </cfRule>
  </conditionalFormatting>
  <conditionalFormatting sqref="D959">
    <cfRule type="expression" dxfId="2812" priority="5262">
      <formula>D955&lt;&gt;""</formula>
    </cfRule>
  </conditionalFormatting>
  <conditionalFormatting sqref="I944:I945 C945:H945 B945:B946">
    <cfRule type="expression" dxfId="2811" priority="5261">
      <formula>$B$947&lt;&gt;""</formula>
    </cfRule>
  </conditionalFormatting>
  <conditionalFormatting sqref="D951">
    <cfRule type="expression" dxfId="2810" priority="5258">
      <formula>D947&lt;&gt;""</formula>
    </cfRule>
  </conditionalFormatting>
  <conditionalFormatting sqref="C947:C951">
    <cfRule type="expression" dxfId="2809" priority="5257">
      <formula>D947&lt;&gt;""</formula>
    </cfRule>
  </conditionalFormatting>
  <conditionalFormatting sqref="E947:E951">
    <cfRule type="expression" dxfId="2808" priority="5256">
      <formula>F947&lt;&gt;""</formula>
    </cfRule>
  </conditionalFormatting>
  <conditionalFormatting sqref="G947:G951">
    <cfRule type="expression" dxfId="2807" priority="5255">
      <formula>H947&lt;&gt;""</formula>
    </cfRule>
  </conditionalFormatting>
  <conditionalFormatting sqref="I947:I951">
    <cfRule type="expression" dxfId="2806" priority="5254">
      <formula>B955&lt;&gt;""</formula>
    </cfRule>
  </conditionalFormatting>
  <conditionalFormatting sqref="B951">
    <cfRule type="expression" dxfId="2805" priority="5251">
      <formula>B947&lt;&gt;""</formula>
    </cfRule>
  </conditionalFormatting>
  <conditionalFormatting sqref="F951">
    <cfRule type="expression" dxfId="2804" priority="5248">
      <formula>F947&lt;&gt;""</formula>
    </cfRule>
  </conditionalFormatting>
  <conditionalFormatting sqref="H951">
    <cfRule type="expression" dxfId="2803" priority="5245">
      <formula>H947&lt;&gt;""</formula>
    </cfRule>
  </conditionalFormatting>
  <conditionalFormatting sqref="F943">
    <cfRule type="expression" dxfId="2802" priority="5242">
      <formula>F939&lt;&gt;""</formula>
    </cfRule>
  </conditionalFormatting>
  <conditionalFormatting sqref="E939:E943">
    <cfRule type="expression" dxfId="2801" priority="5241">
      <formula>F939&lt;&gt;""</formula>
    </cfRule>
  </conditionalFormatting>
  <conditionalFormatting sqref="G939:G943">
    <cfRule type="expression" dxfId="2800" priority="5240">
      <formula>H939&lt;&gt;""</formula>
    </cfRule>
  </conditionalFormatting>
  <conditionalFormatting sqref="I939:I943">
    <cfRule type="expression" dxfId="2799" priority="5239">
      <formula>B947&lt;&gt;""</formula>
    </cfRule>
  </conditionalFormatting>
  <conditionalFormatting sqref="H943">
    <cfRule type="expression" dxfId="2798" priority="5236">
      <formula>H939&lt;&gt;""</formula>
    </cfRule>
  </conditionalFormatting>
  <conditionalFormatting sqref="I952:I953 C953:H953 B953:B954">
    <cfRule type="expression" dxfId="2797" priority="5235">
      <formula>$B$955&lt;&gt;""</formula>
    </cfRule>
  </conditionalFormatting>
  <conditionalFormatting sqref="B959">
    <cfRule type="expression" dxfId="2796" priority="5232">
      <formula>B955&lt;&gt;""</formula>
    </cfRule>
  </conditionalFormatting>
  <conditionalFormatting sqref="F959">
    <cfRule type="expression" dxfId="2795" priority="5229">
      <formula>F955&lt;&gt;""</formula>
    </cfRule>
  </conditionalFormatting>
  <conditionalFormatting sqref="C955:C959">
    <cfRule type="expression" dxfId="2794" priority="5228">
      <formula>D955&lt;&gt;""</formula>
    </cfRule>
  </conditionalFormatting>
  <conditionalFormatting sqref="E955:E959">
    <cfRule type="expression" dxfId="2793" priority="5227">
      <formula>F955&lt;&gt;""</formula>
    </cfRule>
  </conditionalFormatting>
  <conditionalFormatting sqref="G955:G959">
    <cfRule type="expression" dxfId="2792" priority="5226">
      <formula>H955&lt;&gt;""</formula>
    </cfRule>
  </conditionalFormatting>
  <conditionalFormatting sqref="H959">
    <cfRule type="expression" dxfId="2791" priority="5223">
      <formula>H955&lt;&gt;""</formula>
    </cfRule>
  </conditionalFormatting>
  <conditionalFormatting sqref="D931">
    <cfRule type="expression" dxfId="2790" priority="5220">
      <formula>D927&lt;&gt;""</formula>
    </cfRule>
  </conditionalFormatting>
  <conditionalFormatting sqref="I916:I917 C917:H917 B917:B918">
    <cfRule type="expression" dxfId="2789" priority="5219">
      <formula>$B$919&lt;&gt;""</formula>
    </cfRule>
  </conditionalFormatting>
  <conditionalFormatting sqref="D923">
    <cfRule type="expression" dxfId="2788" priority="5216">
      <formula>D919&lt;&gt;""</formula>
    </cfRule>
  </conditionalFormatting>
  <conditionalFormatting sqref="C919:C923">
    <cfRule type="expression" dxfId="2787" priority="5215">
      <formula>D919&lt;&gt;""</formula>
    </cfRule>
  </conditionalFormatting>
  <conditionalFormatting sqref="E919:E923">
    <cfRule type="expression" dxfId="2786" priority="5214">
      <formula>F919&lt;&gt;""</formula>
    </cfRule>
  </conditionalFormatting>
  <conditionalFormatting sqref="G919:G923">
    <cfRule type="expression" dxfId="2785" priority="5213">
      <formula>H919&lt;&gt;""</formula>
    </cfRule>
  </conditionalFormatting>
  <conditionalFormatting sqref="I919:I923">
    <cfRule type="expression" dxfId="2784" priority="5212">
      <formula>B927&lt;&gt;""</formula>
    </cfRule>
  </conditionalFormatting>
  <conditionalFormatting sqref="B923">
    <cfRule type="expression" dxfId="2783" priority="5209">
      <formula>B919&lt;&gt;""</formula>
    </cfRule>
  </conditionalFormatting>
  <conditionalFormatting sqref="F923">
    <cfRule type="expression" dxfId="2782" priority="5206">
      <formula>F919&lt;&gt;""</formula>
    </cfRule>
  </conditionalFormatting>
  <conditionalFormatting sqref="H923">
    <cfRule type="expression" dxfId="2781" priority="5203">
      <formula>H919&lt;&gt;""</formula>
    </cfRule>
  </conditionalFormatting>
  <conditionalFormatting sqref="F915">
    <cfRule type="expression" dxfId="2780" priority="5200">
      <formula>F911&lt;&gt;""</formula>
    </cfRule>
  </conditionalFormatting>
  <conditionalFormatting sqref="E911:E915">
    <cfRule type="expression" dxfId="2779" priority="5199">
      <formula>F911&lt;&gt;""</formula>
    </cfRule>
  </conditionalFormatting>
  <conditionalFormatting sqref="G911:G915">
    <cfRule type="expression" dxfId="2778" priority="5198">
      <formula>H911&lt;&gt;""</formula>
    </cfRule>
  </conditionalFormatting>
  <conditionalFormatting sqref="I911:I915">
    <cfRule type="expression" dxfId="2777" priority="5197">
      <formula>B919&lt;&gt;""</formula>
    </cfRule>
  </conditionalFormatting>
  <conditionalFormatting sqref="H915">
    <cfRule type="expression" dxfId="2776" priority="5194">
      <formula>H911&lt;&gt;""</formula>
    </cfRule>
  </conditionalFormatting>
  <conditionalFormatting sqref="I924:I925 C925:H925 B925:B926">
    <cfRule type="expression" dxfId="2775" priority="5193">
      <formula>$B$927&lt;&gt;""</formula>
    </cfRule>
  </conditionalFormatting>
  <conditionalFormatting sqref="B931">
    <cfRule type="expression" dxfId="2774" priority="5190">
      <formula>B927&lt;&gt;""</formula>
    </cfRule>
  </conditionalFormatting>
  <conditionalFormatting sqref="F931">
    <cfRule type="expression" dxfId="2773" priority="5187">
      <formula>F927&lt;&gt;""</formula>
    </cfRule>
  </conditionalFormatting>
  <conditionalFormatting sqref="C927:C931">
    <cfRule type="expression" dxfId="2772" priority="5186">
      <formula>D927&lt;&gt;""</formula>
    </cfRule>
  </conditionalFormatting>
  <conditionalFormatting sqref="E927:E931">
    <cfRule type="expression" dxfId="2771" priority="5185">
      <formula>F927&lt;&gt;""</formula>
    </cfRule>
  </conditionalFormatting>
  <conditionalFormatting sqref="G927:G931">
    <cfRule type="expression" dxfId="2770" priority="5184">
      <formula>H927&lt;&gt;""</formula>
    </cfRule>
  </conditionalFormatting>
  <conditionalFormatting sqref="H931">
    <cfRule type="expression" dxfId="2769" priority="5181">
      <formula>H927&lt;&gt;""</formula>
    </cfRule>
  </conditionalFormatting>
  <conditionalFormatting sqref="D903">
    <cfRule type="expression" dxfId="2768" priority="5178">
      <formula>D899&lt;&gt;""</formula>
    </cfRule>
  </conditionalFormatting>
  <conditionalFormatting sqref="I888:I889 C889:H889 B889:B890">
    <cfRule type="expression" dxfId="2767" priority="5177">
      <formula>$B$891&lt;&gt;""</formula>
    </cfRule>
  </conditionalFormatting>
  <conditionalFormatting sqref="D895">
    <cfRule type="expression" dxfId="2766" priority="5174">
      <formula>D891&lt;&gt;""</formula>
    </cfRule>
  </conditionalFormatting>
  <conditionalFormatting sqref="C891:C895">
    <cfRule type="expression" dxfId="2765" priority="5173">
      <formula>D891&lt;&gt;""</formula>
    </cfRule>
  </conditionalFormatting>
  <conditionalFormatting sqref="E891:E895">
    <cfRule type="expression" dxfId="2764" priority="5172">
      <formula>F891&lt;&gt;""</formula>
    </cfRule>
  </conditionalFormatting>
  <conditionalFormatting sqref="G891:G895">
    <cfRule type="expression" dxfId="2763" priority="5171">
      <formula>H891&lt;&gt;""</formula>
    </cfRule>
  </conditionalFormatting>
  <conditionalFormatting sqref="I891:I895">
    <cfRule type="expression" dxfId="2762" priority="5170">
      <formula>B899&lt;&gt;""</formula>
    </cfRule>
  </conditionalFormatting>
  <conditionalFormatting sqref="B895">
    <cfRule type="expression" dxfId="2761" priority="5167">
      <formula>B891&lt;&gt;""</formula>
    </cfRule>
  </conditionalFormatting>
  <conditionalFormatting sqref="F895">
    <cfRule type="expression" dxfId="2760" priority="5164">
      <formula>F891&lt;&gt;""</formula>
    </cfRule>
  </conditionalFormatting>
  <conditionalFormatting sqref="H895">
    <cfRule type="expression" dxfId="2759" priority="5161">
      <formula>H891&lt;&gt;""</formula>
    </cfRule>
  </conditionalFormatting>
  <conditionalFormatting sqref="F887">
    <cfRule type="expression" dxfId="2758" priority="5158">
      <formula>F883&lt;&gt;""</formula>
    </cfRule>
  </conditionalFormatting>
  <conditionalFormatting sqref="E883:E887">
    <cfRule type="expression" dxfId="2757" priority="5157">
      <formula>F883&lt;&gt;""</formula>
    </cfRule>
  </conditionalFormatting>
  <conditionalFormatting sqref="G883:G887">
    <cfRule type="expression" dxfId="2756" priority="5156">
      <formula>H883&lt;&gt;""</formula>
    </cfRule>
  </conditionalFormatting>
  <conditionalFormatting sqref="I883:I887">
    <cfRule type="expression" dxfId="2755" priority="5155">
      <formula>B891&lt;&gt;""</formula>
    </cfRule>
  </conditionalFormatting>
  <conditionalFormatting sqref="H887">
    <cfRule type="expression" dxfId="2754" priority="5152">
      <formula>H883&lt;&gt;""</formula>
    </cfRule>
  </conditionalFormatting>
  <conditionalFormatting sqref="I896:I897 C897:H897 B897:B898">
    <cfRule type="expression" dxfId="2753" priority="5151">
      <formula>$B$899&lt;&gt;""</formula>
    </cfRule>
  </conditionalFormatting>
  <conditionalFormatting sqref="B903">
    <cfRule type="expression" dxfId="2752" priority="5148">
      <formula>B899&lt;&gt;""</formula>
    </cfRule>
  </conditionalFormatting>
  <conditionalFormatting sqref="F903">
    <cfRule type="expression" dxfId="2751" priority="5145">
      <formula>F899&lt;&gt;""</formula>
    </cfRule>
  </conditionalFormatting>
  <conditionalFormatting sqref="C899:C903">
    <cfRule type="expression" dxfId="2750" priority="5144">
      <formula>D899&lt;&gt;""</formula>
    </cfRule>
  </conditionalFormatting>
  <conditionalFormatting sqref="E899:E903">
    <cfRule type="expression" dxfId="2749" priority="5143">
      <formula>F899&lt;&gt;""</formula>
    </cfRule>
  </conditionalFormatting>
  <conditionalFormatting sqref="G899:G903">
    <cfRule type="expression" dxfId="2748" priority="5142">
      <formula>H899&lt;&gt;""</formula>
    </cfRule>
  </conditionalFormatting>
  <conditionalFormatting sqref="H903">
    <cfRule type="expression" dxfId="2747" priority="5139">
      <formula>H899&lt;&gt;""</formula>
    </cfRule>
  </conditionalFormatting>
  <conditionalFormatting sqref="D875">
    <cfRule type="expression" dxfId="2746" priority="5136">
      <formula>D871&lt;&gt;""</formula>
    </cfRule>
  </conditionalFormatting>
  <conditionalFormatting sqref="I860:I861 C861:H861 B861:B862">
    <cfRule type="expression" dxfId="2745" priority="5135">
      <formula>$B$863&lt;&gt;""</formula>
    </cfRule>
  </conditionalFormatting>
  <conditionalFormatting sqref="D867">
    <cfRule type="expression" dxfId="2744" priority="5132">
      <formula>D863&lt;&gt;""</formula>
    </cfRule>
  </conditionalFormatting>
  <conditionalFormatting sqref="C863:C867">
    <cfRule type="expression" dxfId="2743" priority="5131">
      <formula>D863&lt;&gt;""</formula>
    </cfRule>
  </conditionalFormatting>
  <conditionalFormatting sqref="E863:E867">
    <cfRule type="expression" dxfId="2742" priority="5130">
      <formula>F863&lt;&gt;""</formula>
    </cfRule>
  </conditionalFormatting>
  <conditionalFormatting sqref="G863:G867">
    <cfRule type="expression" dxfId="2741" priority="5129">
      <formula>H863&lt;&gt;""</formula>
    </cfRule>
  </conditionalFormatting>
  <conditionalFormatting sqref="I863:I867">
    <cfRule type="expression" dxfId="2740" priority="5128">
      <formula>B871&lt;&gt;""</formula>
    </cfRule>
  </conditionalFormatting>
  <conditionalFormatting sqref="B867">
    <cfRule type="expression" dxfId="2739" priority="5125">
      <formula>B863&lt;&gt;""</formula>
    </cfRule>
  </conditionalFormatting>
  <conditionalFormatting sqref="F867">
    <cfRule type="expression" dxfId="2738" priority="5122">
      <formula>F863&lt;&gt;""</formula>
    </cfRule>
  </conditionalFormatting>
  <conditionalFormatting sqref="H867">
    <cfRule type="expression" dxfId="2737" priority="5119">
      <formula>H863&lt;&gt;""</formula>
    </cfRule>
  </conditionalFormatting>
  <conditionalFormatting sqref="F859">
    <cfRule type="expression" dxfId="2736" priority="5116">
      <formula>F855&lt;&gt;""</formula>
    </cfRule>
  </conditionalFormatting>
  <conditionalFormatting sqref="E855:E859">
    <cfRule type="expression" dxfId="2735" priority="5115">
      <formula>F855&lt;&gt;""</formula>
    </cfRule>
  </conditionalFormatting>
  <conditionalFormatting sqref="G855:G859">
    <cfRule type="expression" dxfId="2734" priority="5114">
      <formula>H855&lt;&gt;""</formula>
    </cfRule>
  </conditionalFormatting>
  <conditionalFormatting sqref="I855:I859">
    <cfRule type="expression" dxfId="2733" priority="5113">
      <formula>B863&lt;&gt;""</formula>
    </cfRule>
  </conditionalFormatting>
  <conditionalFormatting sqref="H859">
    <cfRule type="expression" dxfId="2732" priority="5110">
      <formula>H855&lt;&gt;""</formula>
    </cfRule>
  </conditionalFormatting>
  <conditionalFormatting sqref="I868:I869 C869:H869 B869:B870">
    <cfRule type="expression" dxfId="2731" priority="5109">
      <formula>$B$871&lt;&gt;""</formula>
    </cfRule>
  </conditionalFormatting>
  <conditionalFormatting sqref="B875">
    <cfRule type="expression" dxfId="2730" priority="5106">
      <formula>B871&lt;&gt;""</formula>
    </cfRule>
  </conditionalFormatting>
  <conditionalFormatting sqref="F875">
    <cfRule type="expression" dxfId="2729" priority="5103">
      <formula>F871&lt;&gt;""</formula>
    </cfRule>
  </conditionalFormatting>
  <conditionalFormatting sqref="C871:C875">
    <cfRule type="expression" dxfId="2728" priority="5102">
      <formula>D871&lt;&gt;""</formula>
    </cfRule>
  </conditionalFormatting>
  <conditionalFormatting sqref="E871:E875">
    <cfRule type="expression" dxfId="2727" priority="5101">
      <formula>F871&lt;&gt;""</formula>
    </cfRule>
  </conditionalFormatting>
  <conditionalFormatting sqref="G871:G875">
    <cfRule type="expression" dxfId="2726" priority="5100">
      <formula>H871&lt;&gt;""</formula>
    </cfRule>
  </conditionalFormatting>
  <conditionalFormatting sqref="H875">
    <cfRule type="expression" dxfId="2725" priority="5097">
      <formula>H871&lt;&gt;""</formula>
    </cfRule>
  </conditionalFormatting>
  <conditionalFormatting sqref="B859">
    <cfRule type="expression" dxfId="2724" priority="5094">
      <formula>B855&lt;&gt;""</formula>
    </cfRule>
  </conditionalFormatting>
  <conditionalFormatting sqref="C855:C859">
    <cfRule type="expression" dxfId="2723" priority="5093">
      <formula>D855&lt;&gt;""</formula>
    </cfRule>
  </conditionalFormatting>
  <conditionalFormatting sqref="D859">
    <cfRule type="expression" dxfId="2722" priority="5090">
      <formula>D855&lt;&gt;""</formula>
    </cfRule>
  </conditionalFormatting>
  <conditionalFormatting sqref="B887">
    <cfRule type="expression" dxfId="2721" priority="5087">
      <formula>B883&lt;&gt;""</formula>
    </cfRule>
  </conditionalFormatting>
  <conditionalFormatting sqref="C883:C887">
    <cfRule type="expression" dxfId="2720" priority="5086">
      <formula>D883&lt;&gt;""</formula>
    </cfRule>
  </conditionalFormatting>
  <conditionalFormatting sqref="D887">
    <cfRule type="expression" dxfId="2719" priority="5083">
      <formula>D883&lt;&gt;""</formula>
    </cfRule>
  </conditionalFormatting>
  <conditionalFormatting sqref="B915">
    <cfRule type="expression" dxfId="2718" priority="5080">
      <formula>B911&lt;&gt;""</formula>
    </cfRule>
  </conditionalFormatting>
  <conditionalFormatting sqref="C911:C915">
    <cfRule type="expression" dxfId="2717" priority="5079">
      <formula>D911&lt;&gt;""</formula>
    </cfRule>
  </conditionalFormatting>
  <conditionalFormatting sqref="D915">
    <cfRule type="expression" dxfId="2716" priority="5076">
      <formula>D911&lt;&gt;""</formula>
    </cfRule>
  </conditionalFormatting>
  <conditionalFormatting sqref="B943">
    <cfRule type="expression" dxfId="2715" priority="5073">
      <formula>B939&lt;&gt;""</formula>
    </cfRule>
  </conditionalFormatting>
  <conditionalFormatting sqref="C939:C943">
    <cfRule type="expression" dxfId="2714" priority="5072">
      <formula>D939&lt;&gt;""</formula>
    </cfRule>
  </conditionalFormatting>
  <conditionalFormatting sqref="D943">
    <cfRule type="expression" dxfId="2713" priority="5069">
      <formula>D939&lt;&gt;""</formula>
    </cfRule>
  </conditionalFormatting>
  <conditionalFormatting sqref="B971">
    <cfRule type="expression" dxfId="2712" priority="5066">
      <formula>B967&lt;&gt;""</formula>
    </cfRule>
  </conditionalFormatting>
  <conditionalFormatting sqref="C967:C971">
    <cfRule type="expression" dxfId="2711" priority="5065">
      <formula>D967&lt;&gt;""</formula>
    </cfRule>
  </conditionalFormatting>
  <conditionalFormatting sqref="D971">
    <cfRule type="expression" dxfId="2710" priority="5062">
      <formula>D967&lt;&gt;""</formula>
    </cfRule>
  </conditionalFormatting>
  <conditionalFormatting sqref="B999">
    <cfRule type="expression" dxfId="2709" priority="5059">
      <formula>B995&lt;&gt;""</formula>
    </cfRule>
  </conditionalFormatting>
  <conditionalFormatting sqref="C995:C999">
    <cfRule type="expression" dxfId="2708" priority="5058">
      <formula>D995&lt;&gt;""</formula>
    </cfRule>
  </conditionalFormatting>
  <conditionalFormatting sqref="D999">
    <cfRule type="expression" dxfId="2707" priority="5055">
      <formula>D995&lt;&gt;""</formula>
    </cfRule>
  </conditionalFormatting>
  <conditionalFormatting sqref="B1027">
    <cfRule type="expression" dxfId="2706" priority="5052">
      <formula>B1023&lt;&gt;""</formula>
    </cfRule>
  </conditionalFormatting>
  <conditionalFormatting sqref="C1023:C1027">
    <cfRule type="expression" dxfId="2705" priority="5051">
      <formula>D1023&lt;&gt;""</formula>
    </cfRule>
  </conditionalFormatting>
  <conditionalFormatting sqref="D1027">
    <cfRule type="expression" dxfId="2704" priority="5048">
      <formula>D1023&lt;&gt;""</formula>
    </cfRule>
  </conditionalFormatting>
  <conditionalFormatting sqref="D1071">
    <cfRule type="expression" dxfId="2703" priority="5045">
      <formula>D1067&lt;&gt;""</formula>
    </cfRule>
  </conditionalFormatting>
  <conditionalFormatting sqref="D1063">
    <cfRule type="expression" dxfId="2702" priority="5042">
      <formula>D1059&lt;&gt;""</formula>
    </cfRule>
  </conditionalFormatting>
  <conditionalFormatting sqref="C1059:C1063">
    <cfRule type="expression" dxfId="2701" priority="5041">
      <formula>D1059&lt;&gt;""</formula>
    </cfRule>
  </conditionalFormatting>
  <conditionalFormatting sqref="E1059:E1063">
    <cfRule type="expression" dxfId="2700" priority="5040">
      <formula>F1059&lt;&gt;""</formula>
    </cfRule>
  </conditionalFormatting>
  <conditionalFormatting sqref="G1059:G1063">
    <cfRule type="expression" dxfId="2699" priority="5039">
      <formula>H1059&lt;&gt;""</formula>
    </cfRule>
  </conditionalFormatting>
  <conditionalFormatting sqref="I1059:I1063">
    <cfRule type="expression" dxfId="2698" priority="5038">
      <formula>B1067&lt;&gt;""</formula>
    </cfRule>
  </conditionalFormatting>
  <conditionalFormatting sqref="B1063">
    <cfRule type="expression" dxfId="2697" priority="5035">
      <formula>B1059&lt;&gt;""</formula>
    </cfRule>
  </conditionalFormatting>
  <conditionalFormatting sqref="F1063">
    <cfRule type="expression" dxfId="2696" priority="5032">
      <formula>F1059&lt;&gt;""</formula>
    </cfRule>
  </conditionalFormatting>
  <conditionalFormatting sqref="H1063">
    <cfRule type="expression" dxfId="2695" priority="5029">
      <formula>H1059&lt;&gt;""</formula>
    </cfRule>
  </conditionalFormatting>
  <conditionalFormatting sqref="F1055">
    <cfRule type="expression" dxfId="2694" priority="5026">
      <formula>F1051&lt;&gt;""</formula>
    </cfRule>
  </conditionalFormatting>
  <conditionalFormatting sqref="E1051:E1055">
    <cfRule type="expression" dxfId="2693" priority="5025">
      <formula>F1051&lt;&gt;""</formula>
    </cfRule>
  </conditionalFormatting>
  <conditionalFormatting sqref="G1051:G1055">
    <cfRule type="expression" dxfId="2692" priority="5024">
      <formula>H1051&lt;&gt;""</formula>
    </cfRule>
  </conditionalFormatting>
  <conditionalFormatting sqref="I1051:I1055">
    <cfRule type="expression" dxfId="2691" priority="5023">
      <formula>B1059&lt;&gt;""</formula>
    </cfRule>
  </conditionalFormatting>
  <conditionalFormatting sqref="H1055">
    <cfRule type="expression" dxfId="2690" priority="5020">
      <formula>H1051&lt;&gt;""</formula>
    </cfRule>
  </conditionalFormatting>
  <conditionalFormatting sqref="B1071">
    <cfRule type="expression" dxfId="2689" priority="5017">
      <formula>B1067&lt;&gt;""</formula>
    </cfRule>
  </conditionalFormatting>
  <conditionalFormatting sqref="F1071">
    <cfRule type="expression" dxfId="2688" priority="5014">
      <formula>F1067&lt;&gt;""</formula>
    </cfRule>
  </conditionalFormatting>
  <conditionalFormatting sqref="C1067:C1071">
    <cfRule type="expression" dxfId="2687" priority="5013">
      <formula>D1067&lt;&gt;""</formula>
    </cfRule>
  </conditionalFormatting>
  <conditionalFormatting sqref="E1067:E1071">
    <cfRule type="expression" dxfId="2686" priority="5012">
      <formula>F1067&lt;&gt;""</formula>
    </cfRule>
  </conditionalFormatting>
  <conditionalFormatting sqref="G1067:G1071">
    <cfRule type="expression" dxfId="2685" priority="5011">
      <formula>H1067&lt;&gt;""</formula>
    </cfRule>
  </conditionalFormatting>
  <conditionalFormatting sqref="H1071">
    <cfRule type="expression" dxfId="2684" priority="5008">
      <formula>H1067&lt;&gt;""</formula>
    </cfRule>
  </conditionalFormatting>
  <conditionalFormatting sqref="D1099">
    <cfRule type="expression" dxfId="2683" priority="5005">
      <formula>D1095&lt;&gt;""</formula>
    </cfRule>
  </conditionalFormatting>
  <conditionalFormatting sqref="D1091">
    <cfRule type="expression" dxfId="2682" priority="5002">
      <formula>D1087&lt;&gt;""</formula>
    </cfRule>
  </conditionalFormatting>
  <conditionalFormatting sqref="C1087:C1091">
    <cfRule type="expression" dxfId="2681" priority="5001">
      <formula>D1087&lt;&gt;""</formula>
    </cfRule>
  </conditionalFormatting>
  <conditionalFormatting sqref="E1087:E1091">
    <cfRule type="expression" dxfId="2680" priority="5000">
      <formula>F1087&lt;&gt;""</formula>
    </cfRule>
  </conditionalFormatting>
  <conditionalFormatting sqref="G1087:G1091">
    <cfRule type="expression" dxfId="2679" priority="4999">
      <formula>H1087&lt;&gt;""</formula>
    </cfRule>
  </conditionalFormatting>
  <conditionalFormatting sqref="I1087:I1091">
    <cfRule type="expression" dxfId="2678" priority="4998">
      <formula>B1095&lt;&gt;""</formula>
    </cfRule>
  </conditionalFormatting>
  <conditionalFormatting sqref="B1091">
    <cfRule type="expression" dxfId="2677" priority="4995">
      <formula>B1087&lt;&gt;""</formula>
    </cfRule>
  </conditionalFormatting>
  <conditionalFormatting sqref="F1091">
    <cfRule type="expression" dxfId="2676" priority="4992">
      <formula>F1087&lt;&gt;""</formula>
    </cfRule>
  </conditionalFormatting>
  <conditionalFormatting sqref="H1091">
    <cfRule type="expression" dxfId="2675" priority="4989">
      <formula>H1087&lt;&gt;""</formula>
    </cfRule>
  </conditionalFormatting>
  <conditionalFormatting sqref="F1083">
    <cfRule type="expression" dxfId="2674" priority="4986">
      <formula>F1079&lt;&gt;""</formula>
    </cfRule>
  </conditionalFormatting>
  <conditionalFormatting sqref="E1079:E1083">
    <cfRule type="expression" dxfId="2673" priority="4985">
      <formula>F1079&lt;&gt;""</formula>
    </cfRule>
  </conditionalFormatting>
  <conditionalFormatting sqref="G1079:G1083">
    <cfRule type="expression" dxfId="2672" priority="4984">
      <formula>H1079&lt;&gt;""</formula>
    </cfRule>
  </conditionalFormatting>
  <conditionalFormatting sqref="I1079:I1083">
    <cfRule type="expression" dxfId="2671" priority="4983">
      <formula>B1087&lt;&gt;""</formula>
    </cfRule>
  </conditionalFormatting>
  <conditionalFormatting sqref="H1083">
    <cfRule type="expression" dxfId="2670" priority="4980">
      <formula>H1079&lt;&gt;""</formula>
    </cfRule>
  </conditionalFormatting>
  <conditionalFormatting sqref="B1099">
    <cfRule type="expression" dxfId="2669" priority="4977">
      <formula>B1095&lt;&gt;""</formula>
    </cfRule>
  </conditionalFormatting>
  <conditionalFormatting sqref="F1099">
    <cfRule type="expression" dxfId="2668" priority="4974">
      <formula>F1095&lt;&gt;""</formula>
    </cfRule>
  </conditionalFormatting>
  <conditionalFormatting sqref="C1095:C1099">
    <cfRule type="expression" dxfId="2667" priority="4973">
      <formula>D1095&lt;&gt;""</formula>
    </cfRule>
  </conditionalFormatting>
  <conditionalFormatting sqref="E1095:E1099">
    <cfRule type="expression" dxfId="2666" priority="4972">
      <formula>F1095&lt;&gt;""</formula>
    </cfRule>
  </conditionalFormatting>
  <conditionalFormatting sqref="G1095:G1099">
    <cfRule type="expression" dxfId="2665" priority="4971">
      <formula>H1095&lt;&gt;""</formula>
    </cfRule>
  </conditionalFormatting>
  <conditionalFormatting sqref="H1099">
    <cfRule type="expression" dxfId="2664" priority="4968">
      <formula>H1095&lt;&gt;""</formula>
    </cfRule>
  </conditionalFormatting>
  <conditionalFormatting sqref="B1085:B1086 C1085:I1085 I1084">
    <cfRule type="expression" dxfId="2663" priority="4966">
      <formula>$B$1087&lt;&gt;""</formula>
    </cfRule>
  </conditionalFormatting>
  <conditionalFormatting sqref="B1093:B1094 C1093:I1093 I1092">
    <cfRule type="expression" dxfId="2662" priority="4965">
      <formula>$B$1095&lt;&gt;""</formula>
    </cfRule>
  </conditionalFormatting>
  <conditionalFormatting sqref="D1127">
    <cfRule type="expression" dxfId="2661" priority="4962">
      <formula>D1123&lt;&gt;""</formula>
    </cfRule>
  </conditionalFormatting>
  <conditionalFormatting sqref="D1119">
    <cfRule type="expression" dxfId="2660" priority="4959">
      <formula>D1115&lt;&gt;""</formula>
    </cfRule>
  </conditionalFormatting>
  <conditionalFormatting sqref="C1115:C1119">
    <cfRule type="expression" dxfId="2659" priority="4958">
      <formula>D1115&lt;&gt;""</formula>
    </cfRule>
  </conditionalFormatting>
  <conditionalFormatting sqref="E1115:E1119">
    <cfRule type="expression" dxfId="2658" priority="4957">
      <formula>F1115&lt;&gt;""</formula>
    </cfRule>
  </conditionalFormatting>
  <conditionalFormatting sqref="G1115:G1119">
    <cfRule type="expression" dxfId="2657" priority="4956">
      <formula>H1115&lt;&gt;""</formula>
    </cfRule>
  </conditionalFormatting>
  <conditionalFormatting sqref="I1115:I1119">
    <cfRule type="expression" dxfId="2656" priority="4955">
      <formula>B1123&lt;&gt;""</formula>
    </cfRule>
  </conditionalFormatting>
  <conditionalFormatting sqref="B1119">
    <cfRule type="expression" dxfId="2655" priority="4952">
      <formula>B1115&lt;&gt;""</formula>
    </cfRule>
  </conditionalFormatting>
  <conditionalFormatting sqref="F1119">
    <cfRule type="expression" dxfId="2654" priority="4949">
      <formula>F1115&lt;&gt;""</formula>
    </cfRule>
  </conditionalFormatting>
  <conditionalFormatting sqref="H1119">
    <cfRule type="expression" dxfId="2653" priority="4946">
      <formula>H1115&lt;&gt;""</formula>
    </cfRule>
  </conditionalFormatting>
  <conditionalFormatting sqref="F1111">
    <cfRule type="expression" dxfId="2652" priority="4943">
      <formula>F1107&lt;&gt;""</formula>
    </cfRule>
  </conditionalFormatting>
  <conditionalFormatting sqref="E1107:E1111">
    <cfRule type="expression" dxfId="2651" priority="4942">
      <formula>F1107&lt;&gt;""</formula>
    </cfRule>
  </conditionalFormatting>
  <conditionalFormatting sqref="G1107:G1111">
    <cfRule type="expression" dxfId="2650" priority="4941">
      <formula>H1107&lt;&gt;""</formula>
    </cfRule>
  </conditionalFormatting>
  <conditionalFormatting sqref="I1107:I1111">
    <cfRule type="expression" dxfId="2649" priority="4940">
      <formula>B1115&lt;&gt;""</formula>
    </cfRule>
  </conditionalFormatting>
  <conditionalFormatting sqref="H1111">
    <cfRule type="expression" dxfId="2648" priority="4937">
      <formula>H1107&lt;&gt;""</formula>
    </cfRule>
  </conditionalFormatting>
  <conditionalFormatting sqref="B1127">
    <cfRule type="expression" dxfId="2647" priority="4934">
      <formula>B1123&lt;&gt;""</formula>
    </cfRule>
  </conditionalFormatting>
  <conditionalFormatting sqref="F1127">
    <cfRule type="expression" dxfId="2646" priority="4931">
      <formula>F1123&lt;&gt;""</formula>
    </cfRule>
  </conditionalFormatting>
  <conditionalFormatting sqref="C1123:C1127">
    <cfRule type="expression" dxfId="2645" priority="4930">
      <formula>D1123&lt;&gt;""</formula>
    </cfRule>
  </conditionalFormatting>
  <conditionalFormatting sqref="E1123:E1127">
    <cfRule type="expression" dxfId="2644" priority="4929">
      <formula>F1123&lt;&gt;""</formula>
    </cfRule>
  </conditionalFormatting>
  <conditionalFormatting sqref="G1123:G1127">
    <cfRule type="expression" dxfId="2643" priority="4928">
      <formula>H1123&lt;&gt;""</formula>
    </cfRule>
  </conditionalFormatting>
  <conditionalFormatting sqref="H1127">
    <cfRule type="expression" dxfId="2642" priority="4925">
      <formula>H1123&lt;&gt;""</formula>
    </cfRule>
  </conditionalFormatting>
  <conditionalFormatting sqref="B1113:B1114 C1113:I1113 I1112">
    <cfRule type="expression" dxfId="2641" priority="4923">
      <formula>$B$1115&lt;&gt;""</formula>
    </cfRule>
  </conditionalFormatting>
  <conditionalFormatting sqref="B1121:B1122 C1121:I1121 I1120">
    <cfRule type="expression" dxfId="2640" priority="4922">
      <formula>$B$1123&lt;&gt;""</formula>
    </cfRule>
  </conditionalFormatting>
  <conditionalFormatting sqref="B1055">
    <cfRule type="expression" dxfId="2639" priority="4919">
      <formula>B1051&lt;&gt;""</formula>
    </cfRule>
  </conditionalFormatting>
  <conditionalFormatting sqref="C1051:C1055">
    <cfRule type="expression" dxfId="2638" priority="4918">
      <formula>D1051&lt;&gt;""</formula>
    </cfRule>
  </conditionalFormatting>
  <conditionalFormatting sqref="D1055">
    <cfRule type="expression" dxfId="2637" priority="4915">
      <formula>D1051&lt;&gt;""</formula>
    </cfRule>
  </conditionalFormatting>
  <conditionalFormatting sqref="B1083">
    <cfRule type="expression" dxfId="2636" priority="4913">
      <formula>B1079&lt;&gt;""</formula>
    </cfRule>
  </conditionalFormatting>
  <conditionalFormatting sqref="C1079:C1083">
    <cfRule type="expression" dxfId="2635" priority="4912">
      <formula>D1079&lt;&gt;""</formula>
    </cfRule>
  </conditionalFormatting>
  <conditionalFormatting sqref="D1083">
    <cfRule type="expression" dxfId="2634" priority="4909">
      <formula>D1079&lt;&gt;""</formula>
    </cfRule>
  </conditionalFormatting>
  <conditionalFormatting sqref="B1111">
    <cfRule type="expression" dxfId="2633" priority="4907">
      <formula>B1107&lt;&gt;""</formula>
    </cfRule>
  </conditionalFormatting>
  <conditionalFormatting sqref="C1107:C1111">
    <cfRule type="expression" dxfId="2632" priority="4906">
      <formula>D1107&lt;&gt;""</formula>
    </cfRule>
  </conditionalFormatting>
  <conditionalFormatting sqref="D1111">
    <cfRule type="expression" dxfId="2631" priority="4903">
      <formula>D1107&lt;&gt;""</formula>
    </cfRule>
  </conditionalFormatting>
  <conditionalFormatting sqref="B1065:B1066 C1065:I1065 I1064">
    <cfRule type="expression" dxfId="2630" priority="4902">
      <formula>$B$1067&lt;&gt;""</formula>
    </cfRule>
  </conditionalFormatting>
  <conditionalFormatting sqref="B1057:B1058 C1057:I1057 I1056">
    <cfRule type="expression" dxfId="2629" priority="4901">
      <formula>$B$1059&lt;&gt;""</formula>
    </cfRule>
  </conditionalFormatting>
  <conditionalFormatting sqref="D1325">
    <cfRule type="expression" dxfId="2628" priority="4898">
      <formula>D1321&lt;&gt;""</formula>
    </cfRule>
  </conditionalFormatting>
  <conditionalFormatting sqref="I1310:I1311 C1311:H1311 B1311:B1312">
    <cfRule type="expression" dxfId="2627" priority="4897">
      <formula>$B$1313&lt;&gt;""</formula>
    </cfRule>
  </conditionalFormatting>
  <conditionalFormatting sqref="D1317">
    <cfRule type="expression" dxfId="2626" priority="4894">
      <formula>D1313&lt;&gt;""</formula>
    </cfRule>
  </conditionalFormatting>
  <conditionalFormatting sqref="C1313:C1317">
    <cfRule type="expression" dxfId="2625" priority="4893">
      <formula>D1313&lt;&gt;""</formula>
    </cfRule>
  </conditionalFormatting>
  <conditionalFormatting sqref="E1313:E1317">
    <cfRule type="expression" dxfId="2624" priority="4892">
      <formula>F1313&lt;&gt;""</formula>
    </cfRule>
  </conditionalFormatting>
  <conditionalFormatting sqref="G1313:G1317">
    <cfRule type="expression" dxfId="2623" priority="4891">
      <formula>H1313&lt;&gt;""</formula>
    </cfRule>
  </conditionalFormatting>
  <conditionalFormatting sqref="I1313:I1317">
    <cfRule type="expression" dxfId="2622" priority="4890">
      <formula>B1321&lt;&gt;""</formula>
    </cfRule>
  </conditionalFormatting>
  <conditionalFormatting sqref="B1317">
    <cfRule type="expression" dxfId="2621" priority="4887">
      <formula>B1313&lt;&gt;""</formula>
    </cfRule>
  </conditionalFormatting>
  <conditionalFormatting sqref="F1317">
    <cfRule type="expression" dxfId="2620" priority="4884">
      <formula>F1313&lt;&gt;""</formula>
    </cfRule>
  </conditionalFormatting>
  <conditionalFormatting sqref="H1317">
    <cfRule type="expression" dxfId="2619" priority="4881">
      <formula>H1313&lt;&gt;""</formula>
    </cfRule>
  </conditionalFormatting>
  <conditionalFormatting sqref="F1309">
    <cfRule type="expression" dxfId="2618" priority="4878">
      <formula>F1305&lt;&gt;""</formula>
    </cfRule>
  </conditionalFormatting>
  <conditionalFormatting sqref="E1305:E1309">
    <cfRule type="expression" dxfId="2617" priority="4877">
      <formula>F1305&lt;&gt;""</formula>
    </cfRule>
  </conditionalFormatting>
  <conditionalFormatting sqref="G1305:G1309">
    <cfRule type="expression" dxfId="2616" priority="4876">
      <formula>H1305&lt;&gt;""</formula>
    </cfRule>
  </conditionalFormatting>
  <conditionalFormatting sqref="I1305:I1309">
    <cfRule type="expression" dxfId="2615" priority="4875">
      <formula>B1313&lt;&gt;""</formula>
    </cfRule>
  </conditionalFormatting>
  <conditionalFormatting sqref="H1309">
    <cfRule type="expression" dxfId="2614" priority="4872">
      <formula>H1305&lt;&gt;""</formula>
    </cfRule>
  </conditionalFormatting>
  <conditionalFormatting sqref="I1318:I1319 C1319:H1319 B1319:B1320">
    <cfRule type="expression" dxfId="2613" priority="4871">
      <formula>$B$1321&lt;&gt;""</formula>
    </cfRule>
  </conditionalFormatting>
  <conditionalFormatting sqref="B1325">
    <cfRule type="expression" dxfId="2612" priority="4868">
      <formula>B1321&lt;&gt;""</formula>
    </cfRule>
  </conditionalFormatting>
  <conditionalFormatting sqref="F1325">
    <cfRule type="expression" dxfId="2611" priority="4865">
      <formula>F1321&lt;&gt;""</formula>
    </cfRule>
  </conditionalFormatting>
  <conditionalFormatting sqref="C1321:C1325">
    <cfRule type="expression" dxfId="2610" priority="4864">
      <formula>D1321&lt;&gt;""</formula>
    </cfRule>
  </conditionalFormatting>
  <conditionalFormatting sqref="E1321:E1325">
    <cfRule type="expression" dxfId="2609" priority="4863">
      <formula>F1321&lt;&gt;""</formula>
    </cfRule>
  </conditionalFormatting>
  <conditionalFormatting sqref="G1321:G1325">
    <cfRule type="expression" dxfId="2608" priority="4862">
      <formula>H1321&lt;&gt;""</formula>
    </cfRule>
  </conditionalFormatting>
  <conditionalFormatting sqref="H1325">
    <cfRule type="expression" dxfId="2607" priority="4859">
      <formula>H1321&lt;&gt;""</formula>
    </cfRule>
  </conditionalFormatting>
  <conditionalFormatting sqref="D1297">
    <cfRule type="expression" dxfId="2606" priority="4856">
      <formula>D1293&lt;&gt;""</formula>
    </cfRule>
  </conditionalFormatting>
  <conditionalFormatting sqref="I1282:I1283 C1283:H1283 B1283:B1284">
    <cfRule type="expression" dxfId="2605" priority="4855">
      <formula>$B$1285&lt;&gt;""</formula>
    </cfRule>
  </conditionalFormatting>
  <conditionalFormatting sqref="D1289">
    <cfRule type="expression" dxfId="2604" priority="4852">
      <formula>D1285&lt;&gt;""</formula>
    </cfRule>
  </conditionalFormatting>
  <conditionalFormatting sqref="C1285:C1289">
    <cfRule type="expression" dxfId="2603" priority="4851">
      <formula>D1285&lt;&gt;""</formula>
    </cfRule>
  </conditionalFormatting>
  <conditionalFormatting sqref="E1285:E1289">
    <cfRule type="expression" dxfId="2602" priority="4850">
      <formula>F1285&lt;&gt;""</formula>
    </cfRule>
  </conditionalFormatting>
  <conditionalFormatting sqref="G1285:G1289">
    <cfRule type="expression" dxfId="2601" priority="4849">
      <formula>H1285&lt;&gt;""</formula>
    </cfRule>
  </conditionalFormatting>
  <conditionalFormatting sqref="I1285:I1289">
    <cfRule type="expression" dxfId="2600" priority="4848">
      <formula>B1293&lt;&gt;""</formula>
    </cfRule>
  </conditionalFormatting>
  <conditionalFormatting sqref="B1289">
    <cfRule type="expression" dxfId="2599" priority="4845">
      <formula>B1285&lt;&gt;""</formula>
    </cfRule>
  </conditionalFormatting>
  <conditionalFormatting sqref="F1289">
    <cfRule type="expression" dxfId="2598" priority="4842">
      <formula>F1285&lt;&gt;""</formula>
    </cfRule>
  </conditionalFormatting>
  <conditionalFormatting sqref="H1289">
    <cfRule type="expression" dxfId="2597" priority="4839">
      <formula>H1285&lt;&gt;""</formula>
    </cfRule>
  </conditionalFormatting>
  <conditionalFormatting sqref="F1281">
    <cfRule type="expression" dxfId="2596" priority="4836">
      <formula>F1277&lt;&gt;""</formula>
    </cfRule>
  </conditionalFormatting>
  <conditionalFormatting sqref="E1277:E1281">
    <cfRule type="expression" dxfId="2595" priority="4835">
      <formula>F1277&lt;&gt;""</formula>
    </cfRule>
  </conditionalFormatting>
  <conditionalFormatting sqref="G1277:G1281">
    <cfRule type="expression" dxfId="2594" priority="4834">
      <formula>H1277&lt;&gt;""</formula>
    </cfRule>
  </conditionalFormatting>
  <conditionalFormatting sqref="I1277:I1281">
    <cfRule type="expression" dxfId="2593" priority="4833">
      <formula>B1285&lt;&gt;""</formula>
    </cfRule>
  </conditionalFormatting>
  <conditionalFormatting sqref="H1281">
    <cfRule type="expression" dxfId="2592" priority="4830">
      <formula>H1277&lt;&gt;""</formula>
    </cfRule>
  </conditionalFormatting>
  <conditionalFormatting sqref="I1290:I1291 C1291:H1291 B1291:B1292">
    <cfRule type="expression" dxfId="2591" priority="4829">
      <formula>$B$1293&lt;&gt;""</formula>
    </cfRule>
  </conditionalFormatting>
  <conditionalFormatting sqref="B1297">
    <cfRule type="expression" dxfId="2590" priority="4826">
      <formula>B1293&lt;&gt;""</formula>
    </cfRule>
  </conditionalFormatting>
  <conditionalFormatting sqref="F1297">
    <cfRule type="expression" dxfId="2589" priority="4823">
      <formula>F1293&lt;&gt;""</formula>
    </cfRule>
  </conditionalFormatting>
  <conditionalFormatting sqref="C1293:C1297">
    <cfRule type="expression" dxfId="2588" priority="4822">
      <formula>D1293&lt;&gt;""</formula>
    </cfRule>
  </conditionalFormatting>
  <conditionalFormatting sqref="E1293:E1297">
    <cfRule type="expression" dxfId="2587" priority="4821">
      <formula>F1293&lt;&gt;""</formula>
    </cfRule>
  </conditionalFormatting>
  <conditionalFormatting sqref="G1293:G1297">
    <cfRule type="expression" dxfId="2586" priority="4820">
      <formula>H1293&lt;&gt;""</formula>
    </cfRule>
  </conditionalFormatting>
  <conditionalFormatting sqref="H1297">
    <cfRule type="expression" dxfId="2585" priority="4817">
      <formula>H1293&lt;&gt;""</formula>
    </cfRule>
  </conditionalFormatting>
  <conditionalFormatting sqref="D1269">
    <cfRule type="expression" dxfId="2584" priority="4814">
      <formula>D1265&lt;&gt;""</formula>
    </cfRule>
  </conditionalFormatting>
  <conditionalFormatting sqref="I1254:I1255 C1255:H1255 B1255:B1256">
    <cfRule type="expression" dxfId="2583" priority="4813">
      <formula>$B$1257&lt;&gt;""</formula>
    </cfRule>
  </conditionalFormatting>
  <conditionalFormatting sqref="D1261">
    <cfRule type="expression" dxfId="2582" priority="4810">
      <formula>D1257&lt;&gt;""</formula>
    </cfRule>
  </conditionalFormatting>
  <conditionalFormatting sqref="C1257:C1261">
    <cfRule type="expression" dxfId="2581" priority="4809">
      <formula>D1257&lt;&gt;""</formula>
    </cfRule>
  </conditionalFormatting>
  <conditionalFormatting sqref="E1257:E1261">
    <cfRule type="expression" dxfId="2580" priority="4808">
      <formula>F1257&lt;&gt;""</formula>
    </cfRule>
  </conditionalFormatting>
  <conditionalFormatting sqref="G1257:G1261">
    <cfRule type="expression" dxfId="2579" priority="4807">
      <formula>H1257&lt;&gt;""</formula>
    </cfRule>
  </conditionalFormatting>
  <conditionalFormatting sqref="I1257:I1261">
    <cfRule type="expression" dxfId="2578" priority="4806">
      <formula>B1265&lt;&gt;""</formula>
    </cfRule>
  </conditionalFormatting>
  <conditionalFormatting sqref="B1261">
    <cfRule type="expression" dxfId="2577" priority="4803">
      <formula>B1257&lt;&gt;""</formula>
    </cfRule>
  </conditionalFormatting>
  <conditionalFormatting sqref="F1261">
    <cfRule type="expression" dxfId="2576" priority="4800">
      <formula>F1257&lt;&gt;""</formula>
    </cfRule>
  </conditionalFormatting>
  <conditionalFormatting sqref="H1261">
    <cfRule type="expression" dxfId="2575" priority="4797">
      <formula>H1257&lt;&gt;""</formula>
    </cfRule>
  </conditionalFormatting>
  <conditionalFormatting sqref="F1253">
    <cfRule type="expression" dxfId="2574" priority="4794">
      <formula>F1249&lt;&gt;""</formula>
    </cfRule>
  </conditionalFormatting>
  <conditionalFormatting sqref="E1249:E1253">
    <cfRule type="expression" dxfId="2573" priority="4793">
      <formula>F1249&lt;&gt;""</formula>
    </cfRule>
  </conditionalFormatting>
  <conditionalFormatting sqref="G1249:G1253">
    <cfRule type="expression" dxfId="2572" priority="4792">
      <formula>H1249&lt;&gt;""</formula>
    </cfRule>
  </conditionalFormatting>
  <conditionalFormatting sqref="I1249:I1253">
    <cfRule type="expression" dxfId="2571" priority="4791">
      <formula>B1257&lt;&gt;""</formula>
    </cfRule>
  </conditionalFormatting>
  <conditionalFormatting sqref="H1253">
    <cfRule type="expression" dxfId="2570" priority="4788">
      <formula>H1249&lt;&gt;""</formula>
    </cfRule>
  </conditionalFormatting>
  <conditionalFormatting sqref="I1262:I1263 C1263:H1263 B1263:B1264">
    <cfRule type="expression" dxfId="2569" priority="4787">
      <formula>$B$1265&lt;&gt;""</formula>
    </cfRule>
  </conditionalFormatting>
  <conditionalFormatting sqref="B1269">
    <cfRule type="expression" dxfId="2568" priority="4784">
      <formula>B1265&lt;&gt;""</formula>
    </cfRule>
  </conditionalFormatting>
  <conditionalFormatting sqref="F1269">
    <cfRule type="expression" dxfId="2567" priority="4781">
      <formula>F1265&lt;&gt;""</formula>
    </cfRule>
  </conditionalFormatting>
  <conditionalFormatting sqref="C1265:C1269">
    <cfRule type="expression" dxfId="2566" priority="4780">
      <formula>D1265&lt;&gt;""</formula>
    </cfRule>
  </conditionalFormatting>
  <conditionalFormatting sqref="E1265:E1269">
    <cfRule type="expression" dxfId="2565" priority="4779">
      <formula>F1265&lt;&gt;""</formula>
    </cfRule>
  </conditionalFormatting>
  <conditionalFormatting sqref="G1265:G1269">
    <cfRule type="expression" dxfId="2564" priority="4778">
      <formula>H1265&lt;&gt;""</formula>
    </cfRule>
  </conditionalFormatting>
  <conditionalFormatting sqref="H1269">
    <cfRule type="expression" dxfId="2563" priority="4775">
      <formula>H1265&lt;&gt;""</formula>
    </cfRule>
  </conditionalFormatting>
  <conditionalFormatting sqref="D1241">
    <cfRule type="expression" dxfId="2562" priority="4772">
      <formula>D1237&lt;&gt;""</formula>
    </cfRule>
  </conditionalFormatting>
  <conditionalFormatting sqref="I1226:I1227 C1227:H1227 B1227:B1228">
    <cfRule type="expression" dxfId="2561" priority="4771">
      <formula>$B$1229&lt;&gt;""</formula>
    </cfRule>
  </conditionalFormatting>
  <conditionalFormatting sqref="D1233">
    <cfRule type="expression" dxfId="2560" priority="4768">
      <formula>D1229&lt;&gt;""</formula>
    </cfRule>
  </conditionalFormatting>
  <conditionalFormatting sqref="C1229:C1233">
    <cfRule type="expression" dxfId="2559" priority="4767">
      <formula>D1229&lt;&gt;""</formula>
    </cfRule>
  </conditionalFormatting>
  <conditionalFormatting sqref="E1229:E1233">
    <cfRule type="expression" dxfId="2558" priority="4766">
      <formula>F1229&lt;&gt;""</formula>
    </cfRule>
  </conditionalFormatting>
  <conditionalFormatting sqref="G1229:G1233">
    <cfRule type="expression" dxfId="2557" priority="4765">
      <formula>H1229&lt;&gt;""</formula>
    </cfRule>
  </conditionalFormatting>
  <conditionalFormatting sqref="I1229:I1233">
    <cfRule type="expression" dxfId="2556" priority="4764">
      <formula>B1237&lt;&gt;""</formula>
    </cfRule>
  </conditionalFormatting>
  <conditionalFormatting sqref="B1233">
    <cfRule type="expression" dxfId="2555" priority="4761">
      <formula>B1229&lt;&gt;""</formula>
    </cfRule>
  </conditionalFormatting>
  <conditionalFormatting sqref="F1233">
    <cfRule type="expression" dxfId="2554" priority="4758">
      <formula>F1229&lt;&gt;""</formula>
    </cfRule>
  </conditionalFormatting>
  <conditionalFormatting sqref="H1233">
    <cfRule type="expression" dxfId="2553" priority="4755">
      <formula>H1229&lt;&gt;""</formula>
    </cfRule>
  </conditionalFormatting>
  <conditionalFormatting sqref="F1225">
    <cfRule type="expression" dxfId="2552" priority="4752">
      <formula>F1221&lt;&gt;""</formula>
    </cfRule>
  </conditionalFormatting>
  <conditionalFormatting sqref="E1221:E1225">
    <cfRule type="expression" dxfId="2551" priority="4751">
      <formula>F1221&lt;&gt;""</formula>
    </cfRule>
  </conditionalFormatting>
  <conditionalFormatting sqref="G1221:G1225">
    <cfRule type="expression" dxfId="2550" priority="4750">
      <formula>H1221&lt;&gt;""</formula>
    </cfRule>
  </conditionalFormatting>
  <conditionalFormatting sqref="I1221:I1225">
    <cfRule type="expression" dxfId="2549" priority="4749">
      <formula>B1229&lt;&gt;""</formula>
    </cfRule>
  </conditionalFormatting>
  <conditionalFormatting sqref="H1225">
    <cfRule type="expression" dxfId="2548" priority="4746">
      <formula>H1221&lt;&gt;""</formula>
    </cfRule>
  </conditionalFormatting>
  <conditionalFormatting sqref="I1234:I1235 C1235:H1235 B1235:B1236">
    <cfRule type="expression" dxfId="2547" priority="4745">
      <formula>$B$1237&lt;&gt;""</formula>
    </cfRule>
  </conditionalFormatting>
  <conditionalFormatting sqref="B1241">
    <cfRule type="expression" dxfId="2546" priority="4742">
      <formula>B1237&lt;&gt;""</formula>
    </cfRule>
  </conditionalFormatting>
  <conditionalFormatting sqref="F1241">
    <cfRule type="expression" dxfId="2545" priority="4739">
      <formula>F1237&lt;&gt;""</formula>
    </cfRule>
  </conditionalFormatting>
  <conditionalFormatting sqref="C1237:C1241">
    <cfRule type="expression" dxfId="2544" priority="4738">
      <formula>D1237&lt;&gt;""</formula>
    </cfRule>
  </conditionalFormatting>
  <conditionalFormatting sqref="E1237:E1241">
    <cfRule type="expression" dxfId="2543" priority="4737">
      <formula>F1237&lt;&gt;""</formula>
    </cfRule>
  </conditionalFormatting>
  <conditionalFormatting sqref="G1237:G1241">
    <cfRule type="expression" dxfId="2542" priority="4736">
      <formula>H1237&lt;&gt;""</formula>
    </cfRule>
  </conditionalFormatting>
  <conditionalFormatting sqref="H1241">
    <cfRule type="expression" dxfId="2541" priority="4733">
      <formula>H1237&lt;&gt;""</formula>
    </cfRule>
  </conditionalFormatting>
  <conditionalFormatting sqref="D1213">
    <cfRule type="expression" dxfId="2540" priority="4730">
      <formula>D1209&lt;&gt;""</formula>
    </cfRule>
  </conditionalFormatting>
  <conditionalFormatting sqref="I1198:I1199 C1199:H1199 B1199:B1200">
    <cfRule type="expression" dxfId="2539" priority="4729">
      <formula>$B$1201&lt;&gt;""</formula>
    </cfRule>
  </conditionalFormatting>
  <conditionalFormatting sqref="D1205">
    <cfRule type="expression" dxfId="2538" priority="4726">
      <formula>D1201&lt;&gt;""</formula>
    </cfRule>
  </conditionalFormatting>
  <conditionalFormatting sqref="C1201:C1205">
    <cfRule type="expression" dxfId="2537" priority="4725">
      <formula>D1201&lt;&gt;""</formula>
    </cfRule>
  </conditionalFormatting>
  <conditionalFormatting sqref="E1201:E1205">
    <cfRule type="expression" dxfId="2536" priority="4724">
      <formula>F1201&lt;&gt;""</formula>
    </cfRule>
  </conditionalFormatting>
  <conditionalFormatting sqref="G1201:G1205">
    <cfRule type="expression" dxfId="2535" priority="4723">
      <formula>H1201&lt;&gt;""</formula>
    </cfRule>
  </conditionalFormatting>
  <conditionalFormatting sqref="I1201:I1205">
    <cfRule type="expression" dxfId="2534" priority="4722">
      <formula>B1209&lt;&gt;""</formula>
    </cfRule>
  </conditionalFormatting>
  <conditionalFormatting sqref="B1205">
    <cfRule type="expression" dxfId="2533" priority="4719">
      <formula>B1201&lt;&gt;""</formula>
    </cfRule>
  </conditionalFormatting>
  <conditionalFormatting sqref="F1205">
    <cfRule type="expression" dxfId="2532" priority="4716">
      <formula>F1201&lt;&gt;""</formula>
    </cfRule>
  </conditionalFormatting>
  <conditionalFormatting sqref="H1205">
    <cfRule type="expression" dxfId="2531" priority="4713">
      <formula>H1201&lt;&gt;""</formula>
    </cfRule>
  </conditionalFormatting>
  <conditionalFormatting sqref="F1197">
    <cfRule type="expression" dxfId="2530" priority="4710">
      <formula>F1193&lt;&gt;""</formula>
    </cfRule>
  </conditionalFormatting>
  <conditionalFormatting sqref="E1193:E1197">
    <cfRule type="expression" dxfId="2529" priority="4709">
      <formula>F1193&lt;&gt;""</formula>
    </cfRule>
  </conditionalFormatting>
  <conditionalFormatting sqref="G1193:G1197">
    <cfRule type="expression" dxfId="2528" priority="4708">
      <formula>H1193&lt;&gt;""</formula>
    </cfRule>
  </conditionalFormatting>
  <conditionalFormatting sqref="I1193:I1197">
    <cfRule type="expression" dxfId="2527" priority="4707">
      <formula>B1201&lt;&gt;""</formula>
    </cfRule>
  </conditionalFormatting>
  <conditionalFormatting sqref="H1197">
    <cfRule type="expression" dxfId="2526" priority="4704">
      <formula>H1193&lt;&gt;""</formula>
    </cfRule>
  </conditionalFormatting>
  <conditionalFormatting sqref="I1206:I1207 C1207:H1207 B1207:B1208">
    <cfRule type="expression" dxfId="2525" priority="4703">
      <formula>$B$1209&lt;&gt;""</formula>
    </cfRule>
  </conditionalFormatting>
  <conditionalFormatting sqref="B1213">
    <cfRule type="expression" dxfId="2524" priority="4700">
      <formula>B1209&lt;&gt;""</formula>
    </cfRule>
  </conditionalFormatting>
  <conditionalFormatting sqref="F1213">
    <cfRule type="expression" dxfId="2523" priority="4697">
      <formula>F1209&lt;&gt;""</formula>
    </cfRule>
  </conditionalFormatting>
  <conditionalFormatting sqref="C1209:C1213">
    <cfRule type="expression" dxfId="2522" priority="4696">
      <formula>D1209&lt;&gt;""</formula>
    </cfRule>
  </conditionalFormatting>
  <conditionalFormatting sqref="E1209:E1213">
    <cfRule type="expression" dxfId="2521" priority="4695">
      <formula>F1209&lt;&gt;""</formula>
    </cfRule>
  </conditionalFormatting>
  <conditionalFormatting sqref="G1209:G1213">
    <cfRule type="expression" dxfId="2520" priority="4694">
      <formula>H1209&lt;&gt;""</formula>
    </cfRule>
  </conditionalFormatting>
  <conditionalFormatting sqref="H1213">
    <cfRule type="expression" dxfId="2519" priority="4691">
      <formula>H1209&lt;&gt;""</formula>
    </cfRule>
  </conditionalFormatting>
  <conditionalFormatting sqref="D1185">
    <cfRule type="expression" dxfId="2518" priority="4688">
      <formula>D1181&lt;&gt;""</formula>
    </cfRule>
  </conditionalFormatting>
  <conditionalFormatting sqref="I1170:I1171 C1171:H1171 B1171:B1172">
    <cfRule type="expression" dxfId="2517" priority="4687">
      <formula>$B$1173&lt;&gt;""</formula>
    </cfRule>
  </conditionalFormatting>
  <conditionalFormatting sqref="D1177">
    <cfRule type="expression" dxfId="2516" priority="4684">
      <formula>D1173&lt;&gt;""</formula>
    </cfRule>
  </conditionalFormatting>
  <conditionalFormatting sqref="C1173:C1177">
    <cfRule type="expression" dxfId="2515" priority="4683">
      <formula>D1173&lt;&gt;""</formula>
    </cfRule>
  </conditionalFormatting>
  <conditionalFormatting sqref="E1173:E1177">
    <cfRule type="expression" dxfId="2514" priority="4682">
      <formula>F1173&lt;&gt;""</formula>
    </cfRule>
  </conditionalFormatting>
  <conditionalFormatting sqref="G1173:G1177">
    <cfRule type="expression" dxfId="2513" priority="4681">
      <formula>H1173&lt;&gt;""</formula>
    </cfRule>
  </conditionalFormatting>
  <conditionalFormatting sqref="I1173:I1177">
    <cfRule type="expression" dxfId="2512" priority="4680">
      <formula>B1181&lt;&gt;""</formula>
    </cfRule>
  </conditionalFormatting>
  <conditionalFormatting sqref="B1177">
    <cfRule type="expression" dxfId="2511" priority="4677">
      <formula>B1173&lt;&gt;""</formula>
    </cfRule>
  </conditionalFormatting>
  <conditionalFormatting sqref="F1177">
    <cfRule type="expression" dxfId="2510" priority="4674">
      <formula>F1173&lt;&gt;""</formula>
    </cfRule>
  </conditionalFormatting>
  <conditionalFormatting sqref="H1177">
    <cfRule type="expression" dxfId="2509" priority="4671">
      <formula>H1173&lt;&gt;""</formula>
    </cfRule>
  </conditionalFormatting>
  <conditionalFormatting sqref="F1169">
    <cfRule type="expression" dxfId="2508" priority="4668">
      <formula>F1165&lt;&gt;""</formula>
    </cfRule>
  </conditionalFormatting>
  <conditionalFormatting sqref="E1165:E1169">
    <cfRule type="expression" dxfId="2507" priority="4667">
      <formula>F1165&lt;&gt;""</formula>
    </cfRule>
  </conditionalFormatting>
  <conditionalFormatting sqref="G1165:G1169">
    <cfRule type="expression" dxfId="2506" priority="4666">
      <formula>H1165&lt;&gt;""</formula>
    </cfRule>
  </conditionalFormatting>
  <conditionalFormatting sqref="I1165:I1169">
    <cfRule type="expression" dxfId="2505" priority="4665">
      <formula>B1173&lt;&gt;""</formula>
    </cfRule>
  </conditionalFormatting>
  <conditionalFormatting sqref="H1169">
    <cfRule type="expression" dxfId="2504" priority="4662">
      <formula>H1165&lt;&gt;""</formula>
    </cfRule>
  </conditionalFormatting>
  <conditionalFormatting sqref="I1178:I1179 C1179:H1179 B1179:B1180">
    <cfRule type="expression" dxfId="2503" priority="4661">
      <formula>$B$1181&lt;&gt;""</formula>
    </cfRule>
  </conditionalFormatting>
  <conditionalFormatting sqref="B1185">
    <cfRule type="expression" dxfId="2502" priority="4658">
      <formula>B1181&lt;&gt;""</formula>
    </cfRule>
  </conditionalFormatting>
  <conditionalFormatting sqref="F1185">
    <cfRule type="expression" dxfId="2501" priority="4655">
      <formula>F1181&lt;&gt;""</formula>
    </cfRule>
  </conditionalFormatting>
  <conditionalFormatting sqref="C1181:C1185">
    <cfRule type="expression" dxfId="2500" priority="4654">
      <formula>D1181&lt;&gt;""</formula>
    </cfRule>
  </conditionalFormatting>
  <conditionalFormatting sqref="E1181:E1185">
    <cfRule type="expression" dxfId="2499" priority="4653">
      <formula>F1181&lt;&gt;""</formula>
    </cfRule>
  </conditionalFormatting>
  <conditionalFormatting sqref="G1181:G1185">
    <cfRule type="expression" dxfId="2498" priority="4652">
      <formula>H1181&lt;&gt;""</formula>
    </cfRule>
  </conditionalFormatting>
  <conditionalFormatting sqref="H1185">
    <cfRule type="expression" dxfId="2497" priority="4649">
      <formula>H1181&lt;&gt;""</formula>
    </cfRule>
  </conditionalFormatting>
  <conditionalFormatting sqref="D1157">
    <cfRule type="expression" dxfId="2496" priority="4646">
      <formula>D1153&lt;&gt;""</formula>
    </cfRule>
  </conditionalFormatting>
  <conditionalFormatting sqref="I1142:I1143 C1143:H1143 B1143:B1144">
    <cfRule type="expression" dxfId="2495" priority="4645">
      <formula>$B$1145&lt;&gt;""</formula>
    </cfRule>
  </conditionalFormatting>
  <conditionalFormatting sqref="D1149">
    <cfRule type="expression" dxfId="2494" priority="4642">
      <formula>D1145&lt;&gt;""</formula>
    </cfRule>
  </conditionalFormatting>
  <conditionalFormatting sqref="C1145:C1149">
    <cfRule type="expression" dxfId="2493" priority="4641">
      <formula>D1145&lt;&gt;""</formula>
    </cfRule>
  </conditionalFormatting>
  <conditionalFormatting sqref="E1145:E1149">
    <cfRule type="expression" dxfId="2492" priority="4640">
      <formula>F1145&lt;&gt;""</formula>
    </cfRule>
  </conditionalFormatting>
  <conditionalFormatting sqref="G1145:G1149">
    <cfRule type="expression" dxfId="2491" priority="4639">
      <formula>H1145&lt;&gt;""</formula>
    </cfRule>
  </conditionalFormatting>
  <conditionalFormatting sqref="I1145:I1149">
    <cfRule type="expression" dxfId="2490" priority="4638">
      <formula>B1153&lt;&gt;""</formula>
    </cfRule>
  </conditionalFormatting>
  <conditionalFormatting sqref="B1149">
    <cfRule type="expression" dxfId="2489" priority="4635">
      <formula>B1145&lt;&gt;""</formula>
    </cfRule>
  </conditionalFormatting>
  <conditionalFormatting sqref="F1149">
    <cfRule type="expression" dxfId="2488" priority="4632">
      <formula>F1145&lt;&gt;""</formula>
    </cfRule>
  </conditionalFormatting>
  <conditionalFormatting sqref="H1149">
    <cfRule type="expression" dxfId="2487" priority="4629">
      <formula>H1145&lt;&gt;""</formula>
    </cfRule>
  </conditionalFormatting>
  <conditionalFormatting sqref="F1141">
    <cfRule type="expression" dxfId="2486" priority="4626">
      <formula>F1137&lt;&gt;""</formula>
    </cfRule>
  </conditionalFormatting>
  <conditionalFormatting sqref="E1137:E1141">
    <cfRule type="expression" dxfId="2485" priority="4625">
      <formula>F1137&lt;&gt;""</formula>
    </cfRule>
  </conditionalFormatting>
  <conditionalFormatting sqref="G1137:G1141">
    <cfRule type="expression" dxfId="2484" priority="4624">
      <formula>H1137&lt;&gt;""</formula>
    </cfRule>
  </conditionalFormatting>
  <conditionalFormatting sqref="I1137:I1141">
    <cfRule type="expression" dxfId="2483" priority="4623">
      <formula>B1145&lt;&gt;""</formula>
    </cfRule>
  </conditionalFormatting>
  <conditionalFormatting sqref="H1141">
    <cfRule type="expression" dxfId="2482" priority="4620">
      <formula>H1137&lt;&gt;""</formula>
    </cfRule>
  </conditionalFormatting>
  <conditionalFormatting sqref="I1150:I1151 C1151:H1151 B1151:B1152">
    <cfRule type="expression" dxfId="2481" priority="4619">
      <formula>$B$1153&lt;&gt;""</formula>
    </cfRule>
  </conditionalFormatting>
  <conditionalFormatting sqref="B1157">
    <cfRule type="expression" dxfId="2480" priority="4616">
      <formula>B1153&lt;&gt;""</formula>
    </cfRule>
  </conditionalFormatting>
  <conditionalFormatting sqref="F1157">
    <cfRule type="expression" dxfId="2479" priority="4613">
      <formula>F1153&lt;&gt;""</formula>
    </cfRule>
  </conditionalFormatting>
  <conditionalFormatting sqref="C1153:C1157">
    <cfRule type="expression" dxfId="2478" priority="4612">
      <formula>D1153&lt;&gt;""</formula>
    </cfRule>
  </conditionalFormatting>
  <conditionalFormatting sqref="E1153:E1157">
    <cfRule type="expression" dxfId="2477" priority="4611">
      <formula>F1153&lt;&gt;""</formula>
    </cfRule>
  </conditionalFormatting>
  <conditionalFormatting sqref="G1153:G1157">
    <cfRule type="expression" dxfId="2476" priority="4610">
      <formula>H1153&lt;&gt;""</formula>
    </cfRule>
  </conditionalFormatting>
  <conditionalFormatting sqref="H1157">
    <cfRule type="expression" dxfId="2475" priority="4607">
      <formula>H1153&lt;&gt;""</formula>
    </cfRule>
  </conditionalFormatting>
  <conditionalFormatting sqref="B1141">
    <cfRule type="expression" dxfId="2474" priority="4604">
      <formula>B1137&lt;&gt;""</formula>
    </cfRule>
  </conditionalFormatting>
  <conditionalFormatting sqref="C1137:C1141">
    <cfRule type="expression" dxfId="2473" priority="4603">
      <formula>D1137&lt;&gt;""</formula>
    </cfRule>
  </conditionalFormatting>
  <conditionalFormatting sqref="D1141">
    <cfRule type="expression" dxfId="2472" priority="4600">
      <formula>D1137&lt;&gt;""</formula>
    </cfRule>
  </conditionalFormatting>
  <conditionalFormatting sqref="B1169">
    <cfRule type="expression" dxfId="2471" priority="4597">
      <formula>B1165&lt;&gt;""</formula>
    </cfRule>
  </conditionalFormatting>
  <conditionalFormatting sqref="C1165:C1169">
    <cfRule type="expression" dxfId="2470" priority="4596">
      <formula>D1165&lt;&gt;""</formula>
    </cfRule>
  </conditionalFormatting>
  <conditionalFormatting sqref="D1169">
    <cfRule type="expression" dxfId="2469" priority="4593">
      <formula>D1165&lt;&gt;""</formula>
    </cfRule>
  </conditionalFormatting>
  <conditionalFormatting sqref="B1197">
    <cfRule type="expression" dxfId="2468" priority="4590">
      <formula>B1193&lt;&gt;""</formula>
    </cfRule>
  </conditionalFormatting>
  <conditionalFormatting sqref="C1193:C1197">
    <cfRule type="expression" dxfId="2467" priority="4589">
      <formula>D1193&lt;&gt;""</formula>
    </cfRule>
  </conditionalFormatting>
  <conditionalFormatting sqref="D1197">
    <cfRule type="expression" dxfId="2466" priority="4586">
      <formula>D1193&lt;&gt;""</formula>
    </cfRule>
  </conditionalFormatting>
  <conditionalFormatting sqref="B1225">
    <cfRule type="expression" dxfId="2465" priority="4583">
      <formula>B1221&lt;&gt;""</formula>
    </cfRule>
  </conditionalFormatting>
  <conditionalFormatting sqref="C1221:C1225">
    <cfRule type="expression" dxfId="2464" priority="4582">
      <formula>D1221&lt;&gt;""</formula>
    </cfRule>
  </conditionalFormatting>
  <conditionalFormatting sqref="D1225">
    <cfRule type="expression" dxfId="2463" priority="4579">
      <formula>D1221&lt;&gt;""</formula>
    </cfRule>
  </conditionalFormatting>
  <conditionalFormatting sqref="B1253">
    <cfRule type="expression" dxfId="2462" priority="4576">
      <formula>B1249&lt;&gt;""</formula>
    </cfRule>
  </conditionalFormatting>
  <conditionalFormatting sqref="C1249:C1253">
    <cfRule type="expression" dxfId="2461" priority="4575">
      <formula>D1249&lt;&gt;""</formula>
    </cfRule>
  </conditionalFormatting>
  <conditionalFormatting sqref="D1253">
    <cfRule type="expression" dxfId="2460" priority="4572">
      <formula>D1249&lt;&gt;""</formula>
    </cfRule>
  </conditionalFormatting>
  <conditionalFormatting sqref="B1281">
    <cfRule type="expression" dxfId="2459" priority="4569">
      <formula>B1277&lt;&gt;""</formula>
    </cfRule>
  </conditionalFormatting>
  <conditionalFormatting sqref="C1277:C1281">
    <cfRule type="expression" dxfId="2458" priority="4568">
      <formula>D1277&lt;&gt;""</formula>
    </cfRule>
  </conditionalFormatting>
  <conditionalFormatting sqref="D1281">
    <cfRule type="expression" dxfId="2457" priority="4565">
      <formula>D1277&lt;&gt;""</formula>
    </cfRule>
  </conditionalFormatting>
  <conditionalFormatting sqref="B1309">
    <cfRule type="expression" dxfId="2456" priority="4562">
      <formula>B1305&lt;&gt;""</formula>
    </cfRule>
  </conditionalFormatting>
  <conditionalFormatting sqref="C1305:C1309">
    <cfRule type="expression" dxfId="2455" priority="4561">
      <formula>D1305&lt;&gt;""</formula>
    </cfRule>
  </conditionalFormatting>
  <conditionalFormatting sqref="D1309">
    <cfRule type="expression" dxfId="2454" priority="4558">
      <formula>D1305&lt;&gt;""</formula>
    </cfRule>
  </conditionalFormatting>
  <conditionalFormatting sqref="D1353">
    <cfRule type="expression" dxfId="2453" priority="4555">
      <formula>D1349&lt;&gt;""</formula>
    </cfRule>
  </conditionalFormatting>
  <conditionalFormatting sqref="D1345">
    <cfRule type="expression" dxfId="2452" priority="4552">
      <formula>D1341&lt;&gt;""</formula>
    </cfRule>
  </conditionalFormatting>
  <conditionalFormatting sqref="C1341:C1345">
    <cfRule type="expression" dxfId="2451" priority="4551">
      <formula>D1341&lt;&gt;""</formula>
    </cfRule>
  </conditionalFormatting>
  <conditionalFormatting sqref="E1341:E1345">
    <cfRule type="expression" dxfId="2450" priority="4550">
      <formula>F1341&lt;&gt;""</formula>
    </cfRule>
  </conditionalFormatting>
  <conditionalFormatting sqref="G1341:G1345">
    <cfRule type="expression" dxfId="2449" priority="4549">
      <formula>H1341&lt;&gt;""</formula>
    </cfRule>
  </conditionalFormatting>
  <conditionalFormatting sqref="I1341:I1345">
    <cfRule type="expression" dxfId="2448" priority="4548">
      <formula>B1349&lt;&gt;""</formula>
    </cfRule>
  </conditionalFormatting>
  <conditionalFormatting sqref="B1345">
    <cfRule type="expression" dxfId="2447" priority="4545">
      <formula>B1341&lt;&gt;""</formula>
    </cfRule>
  </conditionalFormatting>
  <conditionalFormatting sqref="F1345">
    <cfRule type="expression" dxfId="2446" priority="4542">
      <formula>F1341&lt;&gt;""</formula>
    </cfRule>
  </conditionalFormatting>
  <conditionalFormatting sqref="H1345">
    <cfRule type="expression" dxfId="2445" priority="4539">
      <formula>H1341&lt;&gt;""</formula>
    </cfRule>
  </conditionalFormatting>
  <conditionalFormatting sqref="F1337">
    <cfRule type="expression" dxfId="2444" priority="4536">
      <formula>F1333&lt;&gt;""</formula>
    </cfRule>
  </conditionalFormatting>
  <conditionalFormatting sqref="E1333:E1337">
    <cfRule type="expression" dxfId="2443" priority="4535">
      <formula>F1333&lt;&gt;""</formula>
    </cfRule>
  </conditionalFormatting>
  <conditionalFormatting sqref="G1333:G1337">
    <cfRule type="expression" dxfId="2442" priority="4534">
      <formula>H1333&lt;&gt;""</formula>
    </cfRule>
  </conditionalFormatting>
  <conditionalFormatting sqref="I1333:I1337">
    <cfRule type="expression" dxfId="2441" priority="4533">
      <formula>B1341&lt;&gt;""</formula>
    </cfRule>
  </conditionalFormatting>
  <conditionalFormatting sqref="H1337">
    <cfRule type="expression" dxfId="2440" priority="4530">
      <formula>H1333&lt;&gt;""</formula>
    </cfRule>
  </conditionalFormatting>
  <conditionalFormatting sqref="B1353">
    <cfRule type="expression" dxfId="2439" priority="4527">
      <formula>B1349&lt;&gt;""</formula>
    </cfRule>
  </conditionalFormatting>
  <conditionalFormatting sqref="F1353">
    <cfRule type="expression" dxfId="2438" priority="4524">
      <formula>F1349&lt;&gt;""</formula>
    </cfRule>
  </conditionalFormatting>
  <conditionalFormatting sqref="C1349:C1353">
    <cfRule type="expression" dxfId="2437" priority="4523">
      <formula>D1349&lt;&gt;""</formula>
    </cfRule>
  </conditionalFormatting>
  <conditionalFormatting sqref="E1349:E1353">
    <cfRule type="expression" dxfId="2436" priority="4522">
      <formula>F1349&lt;&gt;""</formula>
    </cfRule>
  </conditionalFormatting>
  <conditionalFormatting sqref="G1349:G1353">
    <cfRule type="expression" dxfId="2435" priority="4521">
      <formula>H1349&lt;&gt;""</formula>
    </cfRule>
  </conditionalFormatting>
  <conditionalFormatting sqref="H1353">
    <cfRule type="expression" dxfId="2434" priority="4518">
      <formula>H1349&lt;&gt;""</formula>
    </cfRule>
  </conditionalFormatting>
  <conditionalFormatting sqref="D1381">
    <cfRule type="expression" dxfId="2433" priority="4515">
      <formula>D1377&lt;&gt;""</formula>
    </cfRule>
  </conditionalFormatting>
  <conditionalFormatting sqref="D1373">
    <cfRule type="expression" dxfId="2432" priority="4512">
      <formula>D1369&lt;&gt;""</formula>
    </cfRule>
  </conditionalFormatting>
  <conditionalFormatting sqref="C1369:C1373">
    <cfRule type="expression" dxfId="2431" priority="4511">
      <formula>D1369&lt;&gt;""</formula>
    </cfRule>
  </conditionalFormatting>
  <conditionalFormatting sqref="E1369:E1373">
    <cfRule type="expression" dxfId="2430" priority="4510">
      <formula>F1369&lt;&gt;""</formula>
    </cfRule>
  </conditionalFormatting>
  <conditionalFormatting sqref="G1369:G1373">
    <cfRule type="expression" dxfId="2429" priority="4509">
      <formula>H1369&lt;&gt;""</formula>
    </cfRule>
  </conditionalFormatting>
  <conditionalFormatting sqref="I1369:I1373">
    <cfRule type="expression" dxfId="2428" priority="4508">
      <formula>B1377&lt;&gt;""</formula>
    </cfRule>
  </conditionalFormatting>
  <conditionalFormatting sqref="B1373">
    <cfRule type="expression" dxfId="2427" priority="4505">
      <formula>B1369&lt;&gt;""</formula>
    </cfRule>
  </conditionalFormatting>
  <conditionalFormatting sqref="F1373">
    <cfRule type="expression" dxfId="2426" priority="4502">
      <formula>F1369&lt;&gt;""</formula>
    </cfRule>
  </conditionalFormatting>
  <conditionalFormatting sqref="H1373">
    <cfRule type="expression" dxfId="2425" priority="4499">
      <formula>H1369&lt;&gt;""</formula>
    </cfRule>
  </conditionalFormatting>
  <conditionalFormatting sqref="F1365">
    <cfRule type="expression" dxfId="2424" priority="4496">
      <formula>F1361&lt;&gt;""</formula>
    </cfRule>
  </conditionalFormatting>
  <conditionalFormatting sqref="E1361:E1365">
    <cfRule type="expression" dxfId="2423" priority="4495">
      <formula>F1361&lt;&gt;""</formula>
    </cfRule>
  </conditionalFormatting>
  <conditionalFormatting sqref="G1361:G1365">
    <cfRule type="expression" dxfId="2422" priority="4494">
      <formula>H1361&lt;&gt;""</formula>
    </cfRule>
  </conditionalFormatting>
  <conditionalFormatting sqref="I1361:I1365">
    <cfRule type="expression" dxfId="2421" priority="4493">
      <formula>B1369&lt;&gt;""</formula>
    </cfRule>
  </conditionalFormatting>
  <conditionalFormatting sqref="H1365">
    <cfRule type="expression" dxfId="2420" priority="4490">
      <formula>H1361&lt;&gt;""</formula>
    </cfRule>
  </conditionalFormatting>
  <conditionalFormatting sqref="B1381">
    <cfRule type="expression" dxfId="2419" priority="4487">
      <formula>B1377&lt;&gt;""</formula>
    </cfRule>
  </conditionalFormatting>
  <conditionalFormatting sqref="F1381">
    <cfRule type="expression" dxfId="2418" priority="4484">
      <formula>F1377&lt;&gt;""</formula>
    </cfRule>
  </conditionalFormatting>
  <conditionalFormatting sqref="C1377:C1381">
    <cfRule type="expression" dxfId="2417" priority="4483">
      <formula>D1377&lt;&gt;""</formula>
    </cfRule>
  </conditionalFormatting>
  <conditionalFormatting sqref="E1377:E1381">
    <cfRule type="expression" dxfId="2416" priority="4482">
      <formula>F1377&lt;&gt;""</formula>
    </cfRule>
  </conditionalFormatting>
  <conditionalFormatting sqref="G1377:G1381">
    <cfRule type="expression" dxfId="2415" priority="4481">
      <formula>H1377&lt;&gt;""</formula>
    </cfRule>
  </conditionalFormatting>
  <conditionalFormatting sqref="H1381">
    <cfRule type="expression" dxfId="2414" priority="4478">
      <formula>H1377&lt;&gt;""</formula>
    </cfRule>
  </conditionalFormatting>
  <conditionalFormatting sqref="B1367:B1368 C1367:I1367 I1366">
    <cfRule type="expression" dxfId="2413" priority="4476">
      <formula>$B$1369&lt;&gt;""</formula>
    </cfRule>
  </conditionalFormatting>
  <conditionalFormatting sqref="B1375:B1376 C1375:I1375 I1374">
    <cfRule type="expression" dxfId="2412" priority="4475">
      <formula>$B$1377&lt;&gt;""</formula>
    </cfRule>
  </conditionalFormatting>
  <conditionalFormatting sqref="D1409">
    <cfRule type="expression" dxfId="2411" priority="4472">
      <formula>D1405&lt;&gt;""</formula>
    </cfRule>
  </conditionalFormatting>
  <conditionalFormatting sqref="D1401">
    <cfRule type="expression" dxfId="2410" priority="4469">
      <formula>D1397&lt;&gt;""</formula>
    </cfRule>
  </conditionalFormatting>
  <conditionalFormatting sqref="C1397:C1401">
    <cfRule type="expression" dxfId="2409" priority="4468">
      <formula>D1397&lt;&gt;""</formula>
    </cfRule>
  </conditionalFormatting>
  <conditionalFormatting sqref="E1397:E1401">
    <cfRule type="expression" dxfId="2408" priority="4467">
      <formula>F1397&lt;&gt;""</formula>
    </cfRule>
  </conditionalFormatting>
  <conditionalFormatting sqref="G1397:G1401">
    <cfRule type="expression" dxfId="2407" priority="4466">
      <formula>H1397&lt;&gt;""</formula>
    </cfRule>
  </conditionalFormatting>
  <conditionalFormatting sqref="I1397:I1401">
    <cfRule type="expression" dxfId="2406" priority="4465">
      <formula>B1405&lt;&gt;""</formula>
    </cfRule>
  </conditionalFormatting>
  <conditionalFormatting sqref="B1401">
    <cfRule type="expression" dxfId="2405" priority="4462">
      <formula>B1397&lt;&gt;""</formula>
    </cfRule>
  </conditionalFormatting>
  <conditionalFormatting sqref="F1401">
    <cfRule type="expression" dxfId="2404" priority="4459">
      <formula>F1397&lt;&gt;""</formula>
    </cfRule>
  </conditionalFormatting>
  <conditionalFormatting sqref="H1401">
    <cfRule type="expression" dxfId="2403" priority="4456">
      <formula>H1397&lt;&gt;""</formula>
    </cfRule>
  </conditionalFormatting>
  <conditionalFormatting sqref="F1393">
    <cfRule type="expression" dxfId="2402" priority="4453">
      <formula>F1389&lt;&gt;""</formula>
    </cfRule>
  </conditionalFormatting>
  <conditionalFormatting sqref="E1389:E1393">
    <cfRule type="expression" dxfId="2401" priority="4452">
      <formula>F1389&lt;&gt;""</formula>
    </cfRule>
  </conditionalFormatting>
  <conditionalFormatting sqref="G1389:G1393">
    <cfRule type="expression" dxfId="2400" priority="4451">
      <formula>H1389&lt;&gt;""</formula>
    </cfRule>
  </conditionalFormatting>
  <conditionalFormatting sqref="I1389:I1393">
    <cfRule type="expression" dxfId="2399" priority="4450">
      <formula>B1397&lt;&gt;""</formula>
    </cfRule>
  </conditionalFormatting>
  <conditionalFormatting sqref="H1393">
    <cfRule type="expression" dxfId="2398" priority="4447">
      <formula>H1389&lt;&gt;""</formula>
    </cfRule>
  </conditionalFormatting>
  <conditionalFormatting sqref="B1409">
    <cfRule type="expression" dxfId="2397" priority="4444">
      <formula>B1405&lt;&gt;""</formula>
    </cfRule>
  </conditionalFormatting>
  <conditionalFormatting sqref="F1409">
    <cfRule type="expression" dxfId="2396" priority="4441">
      <formula>F1405&lt;&gt;""</formula>
    </cfRule>
  </conditionalFormatting>
  <conditionalFormatting sqref="C1405:C1409">
    <cfRule type="expression" dxfId="2395" priority="4440">
      <formula>D1405&lt;&gt;""</formula>
    </cfRule>
  </conditionalFormatting>
  <conditionalFormatting sqref="E1405:E1409">
    <cfRule type="expression" dxfId="2394" priority="4439">
      <formula>F1405&lt;&gt;""</formula>
    </cfRule>
  </conditionalFormatting>
  <conditionalFormatting sqref="G1405:G1409">
    <cfRule type="expression" dxfId="2393" priority="4438">
      <formula>H1405&lt;&gt;""</formula>
    </cfRule>
  </conditionalFormatting>
  <conditionalFormatting sqref="H1409">
    <cfRule type="expression" dxfId="2392" priority="4435">
      <formula>H1405&lt;&gt;""</formula>
    </cfRule>
  </conditionalFormatting>
  <conditionalFormatting sqref="B1395:B1396 C1395:I1395 I1394">
    <cfRule type="expression" dxfId="2391" priority="4433">
      <formula>$B$1397&lt;&gt;""</formula>
    </cfRule>
  </conditionalFormatting>
  <conditionalFormatting sqref="B1403:B1404 C1403:I1403 I1402">
    <cfRule type="expression" dxfId="2390" priority="4432">
      <formula>$B$1405&lt;&gt;""</formula>
    </cfRule>
  </conditionalFormatting>
  <conditionalFormatting sqref="B1337">
    <cfRule type="expression" dxfId="2389" priority="4429">
      <formula>B1333&lt;&gt;""</formula>
    </cfRule>
  </conditionalFormatting>
  <conditionalFormatting sqref="C1333:C1337">
    <cfRule type="expression" dxfId="2388" priority="4428">
      <formula>D1333&lt;&gt;""</formula>
    </cfRule>
  </conditionalFormatting>
  <conditionalFormatting sqref="D1337">
    <cfRule type="expression" dxfId="2387" priority="4425">
      <formula>D1333&lt;&gt;""</formula>
    </cfRule>
  </conditionalFormatting>
  <conditionalFormatting sqref="B1365">
    <cfRule type="expression" dxfId="2386" priority="4423">
      <formula>B1361&lt;&gt;""</formula>
    </cfRule>
  </conditionalFormatting>
  <conditionalFormatting sqref="C1361:C1365">
    <cfRule type="expression" dxfId="2385" priority="4422">
      <formula>D1361&lt;&gt;""</formula>
    </cfRule>
  </conditionalFormatting>
  <conditionalFormatting sqref="D1365">
    <cfRule type="expression" dxfId="2384" priority="4419">
      <formula>D1361&lt;&gt;""</formula>
    </cfRule>
  </conditionalFormatting>
  <conditionalFormatting sqref="B1393">
    <cfRule type="expression" dxfId="2383" priority="4417">
      <formula>B1389&lt;&gt;""</formula>
    </cfRule>
  </conditionalFormatting>
  <conditionalFormatting sqref="C1389:C1393">
    <cfRule type="expression" dxfId="2382" priority="4416">
      <formula>D1389&lt;&gt;""</formula>
    </cfRule>
  </conditionalFormatting>
  <conditionalFormatting sqref="D1393">
    <cfRule type="expression" dxfId="2381" priority="4413">
      <formula>D1389&lt;&gt;""</formula>
    </cfRule>
  </conditionalFormatting>
  <conditionalFormatting sqref="B1347:B1348 C1347:I1347 I1346">
    <cfRule type="expression" dxfId="2380" priority="4412">
      <formula>$B$1349&lt;&gt;""</formula>
    </cfRule>
  </conditionalFormatting>
  <conditionalFormatting sqref="B1339:B1340 C1339:I1339 I1338">
    <cfRule type="expression" dxfId="2379" priority="4411">
      <formula>$B$1341&lt;&gt;""</formula>
    </cfRule>
  </conditionalFormatting>
  <conditionalFormatting sqref="D1607">
    <cfRule type="expression" dxfId="2378" priority="4408">
      <formula>D1603&lt;&gt;""</formula>
    </cfRule>
  </conditionalFormatting>
  <conditionalFormatting sqref="I1592:I1593 C1593:H1593 B1593:B1594">
    <cfRule type="expression" dxfId="2377" priority="4407">
      <formula>$B$1595&lt;&gt;""</formula>
    </cfRule>
  </conditionalFormatting>
  <conditionalFormatting sqref="D1599">
    <cfRule type="expression" dxfId="2376" priority="4404">
      <formula>D1595&lt;&gt;""</formula>
    </cfRule>
  </conditionalFormatting>
  <conditionalFormatting sqref="C1595:C1599">
    <cfRule type="expression" dxfId="2375" priority="4403">
      <formula>D1595&lt;&gt;""</formula>
    </cfRule>
  </conditionalFormatting>
  <conditionalFormatting sqref="E1595:E1599">
    <cfRule type="expression" dxfId="2374" priority="4402">
      <formula>F1595&lt;&gt;""</formula>
    </cfRule>
  </conditionalFormatting>
  <conditionalFormatting sqref="G1595:G1599">
    <cfRule type="expression" dxfId="2373" priority="4401">
      <formula>H1595&lt;&gt;""</formula>
    </cfRule>
  </conditionalFormatting>
  <conditionalFormatting sqref="I1595:I1599">
    <cfRule type="expression" dxfId="2372" priority="4400">
      <formula>B1603&lt;&gt;""</formula>
    </cfRule>
  </conditionalFormatting>
  <conditionalFormatting sqref="B1599">
    <cfRule type="expression" dxfId="2371" priority="4397">
      <formula>B1595&lt;&gt;""</formula>
    </cfRule>
  </conditionalFormatting>
  <conditionalFormatting sqref="F1599">
    <cfRule type="expression" dxfId="2370" priority="4394">
      <formula>F1595&lt;&gt;""</formula>
    </cfRule>
  </conditionalFormatting>
  <conditionalFormatting sqref="H1599">
    <cfRule type="expression" dxfId="2369" priority="4391">
      <formula>H1595&lt;&gt;""</formula>
    </cfRule>
  </conditionalFormatting>
  <conditionalFormatting sqref="F1591">
    <cfRule type="expression" dxfId="2368" priority="4388">
      <formula>F1587&lt;&gt;""</formula>
    </cfRule>
  </conditionalFormatting>
  <conditionalFormatting sqref="E1587:E1591">
    <cfRule type="expression" dxfId="2367" priority="4387">
      <formula>F1587&lt;&gt;""</formula>
    </cfRule>
  </conditionalFormatting>
  <conditionalFormatting sqref="G1587:G1591">
    <cfRule type="expression" dxfId="2366" priority="4386">
      <formula>H1587&lt;&gt;""</formula>
    </cfRule>
  </conditionalFormatting>
  <conditionalFormatting sqref="I1587:I1591">
    <cfRule type="expression" dxfId="2365" priority="4385">
      <formula>B1595&lt;&gt;""</formula>
    </cfRule>
  </conditionalFormatting>
  <conditionalFormatting sqref="H1591">
    <cfRule type="expression" dxfId="2364" priority="4382">
      <formula>H1587&lt;&gt;""</formula>
    </cfRule>
  </conditionalFormatting>
  <conditionalFormatting sqref="I1600:I1601 C1601:H1601 B1601:B1602">
    <cfRule type="expression" dxfId="2363" priority="4381">
      <formula>$B$1603&lt;&gt;""</formula>
    </cfRule>
  </conditionalFormatting>
  <conditionalFormatting sqref="B1607">
    <cfRule type="expression" dxfId="2362" priority="4378">
      <formula>B1603&lt;&gt;""</formula>
    </cfRule>
  </conditionalFormatting>
  <conditionalFormatting sqref="F1607">
    <cfRule type="expression" dxfId="2361" priority="4375">
      <formula>F1603&lt;&gt;""</formula>
    </cfRule>
  </conditionalFormatting>
  <conditionalFormatting sqref="C1603:C1607">
    <cfRule type="expression" dxfId="2360" priority="4374">
      <formula>D1603&lt;&gt;""</formula>
    </cfRule>
  </conditionalFormatting>
  <conditionalFormatting sqref="E1603:E1607">
    <cfRule type="expression" dxfId="2359" priority="4373">
      <formula>F1603&lt;&gt;""</formula>
    </cfRule>
  </conditionalFormatting>
  <conditionalFormatting sqref="G1603:G1607">
    <cfRule type="expression" dxfId="2358" priority="4372">
      <formula>H1603&lt;&gt;""</formula>
    </cfRule>
  </conditionalFormatting>
  <conditionalFormatting sqref="H1607">
    <cfRule type="expression" dxfId="2357" priority="4369">
      <formula>H1603&lt;&gt;""</formula>
    </cfRule>
  </conditionalFormatting>
  <conditionalFormatting sqref="D1579">
    <cfRule type="expression" dxfId="2356" priority="4366">
      <formula>D1575&lt;&gt;""</formula>
    </cfRule>
  </conditionalFormatting>
  <conditionalFormatting sqref="I1564:I1565 C1565:H1565 B1565:B1566">
    <cfRule type="expression" dxfId="2355" priority="4365">
      <formula>$B$1567&lt;&gt;""</formula>
    </cfRule>
  </conditionalFormatting>
  <conditionalFormatting sqref="D1571">
    <cfRule type="expression" dxfId="2354" priority="4362">
      <formula>D1567&lt;&gt;""</formula>
    </cfRule>
  </conditionalFormatting>
  <conditionalFormatting sqref="C1567:C1571">
    <cfRule type="expression" dxfId="2353" priority="4361">
      <formula>D1567&lt;&gt;""</formula>
    </cfRule>
  </conditionalFormatting>
  <conditionalFormatting sqref="E1567:E1571">
    <cfRule type="expression" dxfId="2352" priority="4360">
      <formula>F1567&lt;&gt;""</formula>
    </cfRule>
  </conditionalFormatting>
  <conditionalFormatting sqref="G1567:G1571">
    <cfRule type="expression" dxfId="2351" priority="4359">
      <formula>H1567&lt;&gt;""</formula>
    </cfRule>
  </conditionalFormatting>
  <conditionalFormatting sqref="I1567:I1571">
    <cfRule type="expression" dxfId="2350" priority="4358">
      <formula>B1575&lt;&gt;""</formula>
    </cfRule>
  </conditionalFormatting>
  <conditionalFormatting sqref="B1571">
    <cfRule type="expression" dxfId="2349" priority="4355">
      <formula>B1567&lt;&gt;""</formula>
    </cfRule>
  </conditionalFormatting>
  <conditionalFormatting sqref="F1571">
    <cfRule type="expression" dxfId="2348" priority="4352">
      <formula>F1567&lt;&gt;""</formula>
    </cfRule>
  </conditionalFormatting>
  <conditionalFormatting sqref="H1571">
    <cfRule type="expression" dxfId="2347" priority="4349">
      <formula>H1567&lt;&gt;""</formula>
    </cfRule>
  </conditionalFormatting>
  <conditionalFormatting sqref="F1563">
    <cfRule type="expression" dxfId="2346" priority="4346">
      <formula>F1559&lt;&gt;""</formula>
    </cfRule>
  </conditionalFormatting>
  <conditionalFormatting sqref="E1559:E1563">
    <cfRule type="expression" dxfId="2345" priority="4345">
      <formula>F1559&lt;&gt;""</formula>
    </cfRule>
  </conditionalFormatting>
  <conditionalFormatting sqref="G1559:G1563">
    <cfRule type="expression" dxfId="2344" priority="4344">
      <formula>H1559&lt;&gt;""</formula>
    </cfRule>
  </conditionalFormatting>
  <conditionalFormatting sqref="I1559:I1563">
    <cfRule type="expression" dxfId="2343" priority="4343">
      <formula>B1567&lt;&gt;""</formula>
    </cfRule>
  </conditionalFormatting>
  <conditionalFormatting sqref="H1563">
    <cfRule type="expression" dxfId="2342" priority="4340">
      <formula>H1559&lt;&gt;""</formula>
    </cfRule>
  </conditionalFormatting>
  <conditionalFormatting sqref="I1572:I1573 C1573:H1573 B1573:B1574">
    <cfRule type="expression" dxfId="2341" priority="4339">
      <formula>$B$1575&lt;&gt;""</formula>
    </cfRule>
  </conditionalFormatting>
  <conditionalFormatting sqref="B1579">
    <cfRule type="expression" dxfId="2340" priority="4336">
      <formula>B1575&lt;&gt;""</formula>
    </cfRule>
  </conditionalFormatting>
  <conditionalFormatting sqref="F1579">
    <cfRule type="expression" dxfId="2339" priority="4333">
      <formula>F1575&lt;&gt;""</formula>
    </cfRule>
  </conditionalFormatting>
  <conditionalFormatting sqref="C1575:C1579">
    <cfRule type="expression" dxfId="2338" priority="4332">
      <formula>D1575&lt;&gt;""</formula>
    </cfRule>
  </conditionalFormatting>
  <conditionalFormatting sqref="E1575:E1579">
    <cfRule type="expression" dxfId="2337" priority="4331">
      <formula>F1575&lt;&gt;""</formula>
    </cfRule>
  </conditionalFormatting>
  <conditionalFormatting sqref="G1575:G1579">
    <cfRule type="expression" dxfId="2336" priority="4330">
      <formula>H1575&lt;&gt;""</formula>
    </cfRule>
  </conditionalFormatting>
  <conditionalFormatting sqref="H1579">
    <cfRule type="expression" dxfId="2335" priority="4327">
      <formula>H1575&lt;&gt;""</formula>
    </cfRule>
  </conditionalFormatting>
  <conditionalFormatting sqref="D1551">
    <cfRule type="expression" dxfId="2334" priority="4324">
      <formula>D1547&lt;&gt;""</formula>
    </cfRule>
  </conditionalFormatting>
  <conditionalFormatting sqref="I1536:I1537 C1537:H1537 B1537:B1538">
    <cfRule type="expression" dxfId="2333" priority="4323">
      <formula>$B$1539&lt;&gt;""</formula>
    </cfRule>
  </conditionalFormatting>
  <conditionalFormatting sqref="D1543">
    <cfRule type="expression" dxfId="2332" priority="4320">
      <formula>D1539&lt;&gt;""</formula>
    </cfRule>
  </conditionalFormatting>
  <conditionalFormatting sqref="C1539:C1543">
    <cfRule type="expression" dxfId="2331" priority="4319">
      <formula>D1539&lt;&gt;""</formula>
    </cfRule>
  </conditionalFormatting>
  <conditionalFormatting sqref="E1539:E1543">
    <cfRule type="expression" dxfId="2330" priority="4318">
      <formula>F1539&lt;&gt;""</formula>
    </cfRule>
  </conditionalFormatting>
  <conditionalFormatting sqref="G1539:G1543">
    <cfRule type="expression" dxfId="2329" priority="4317">
      <formula>H1539&lt;&gt;""</formula>
    </cfRule>
  </conditionalFormatting>
  <conditionalFormatting sqref="I1539:I1543">
    <cfRule type="expression" dxfId="2328" priority="4316">
      <formula>B1547&lt;&gt;""</formula>
    </cfRule>
  </conditionalFormatting>
  <conditionalFormatting sqref="B1543">
    <cfRule type="expression" dxfId="2327" priority="4313">
      <formula>B1539&lt;&gt;""</formula>
    </cfRule>
  </conditionalFormatting>
  <conditionalFormatting sqref="F1543">
    <cfRule type="expression" dxfId="2326" priority="4310">
      <formula>F1539&lt;&gt;""</formula>
    </cfRule>
  </conditionalFormatting>
  <conditionalFormatting sqref="H1543">
    <cfRule type="expression" dxfId="2325" priority="4307">
      <formula>H1539&lt;&gt;""</formula>
    </cfRule>
  </conditionalFormatting>
  <conditionalFormatting sqref="F1535">
    <cfRule type="expression" dxfId="2324" priority="4304">
      <formula>F1531&lt;&gt;""</formula>
    </cfRule>
  </conditionalFormatting>
  <conditionalFormatting sqref="E1531:E1535">
    <cfRule type="expression" dxfId="2323" priority="4303">
      <formula>F1531&lt;&gt;""</formula>
    </cfRule>
  </conditionalFormatting>
  <conditionalFormatting sqref="G1531:G1535">
    <cfRule type="expression" dxfId="2322" priority="4302">
      <formula>H1531&lt;&gt;""</formula>
    </cfRule>
  </conditionalFormatting>
  <conditionalFormatting sqref="I1531:I1535">
    <cfRule type="expression" dxfId="2321" priority="4301">
      <formula>B1539&lt;&gt;""</formula>
    </cfRule>
  </conditionalFormatting>
  <conditionalFormatting sqref="H1535">
    <cfRule type="expression" dxfId="2320" priority="4298">
      <formula>H1531&lt;&gt;""</formula>
    </cfRule>
  </conditionalFormatting>
  <conditionalFormatting sqref="I1544:I1545 C1545:H1545 B1545:B1546">
    <cfRule type="expression" dxfId="2319" priority="4297">
      <formula>$B$1547&lt;&gt;""</formula>
    </cfRule>
  </conditionalFormatting>
  <conditionalFormatting sqref="B1551">
    <cfRule type="expression" dxfId="2318" priority="4294">
      <formula>B1547&lt;&gt;""</formula>
    </cfRule>
  </conditionalFormatting>
  <conditionalFormatting sqref="F1551">
    <cfRule type="expression" dxfId="2317" priority="4291">
      <formula>F1547&lt;&gt;""</formula>
    </cfRule>
  </conditionalFormatting>
  <conditionalFormatting sqref="C1547:C1551">
    <cfRule type="expression" dxfId="2316" priority="4290">
      <formula>D1547&lt;&gt;""</formula>
    </cfRule>
  </conditionalFormatting>
  <conditionalFormatting sqref="E1547:E1551">
    <cfRule type="expression" dxfId="2315" priority="4289">
      <formula>F1547&lt;&gt;""</formula>
    </cfRule>
  </conditionalFormatting>
  <conditionalFormatting sqref="G1547:G1551">
    <cfRule type="expression" dxfId="2314" priority="4288">
      <formula>H1547&lt;&gt;""</formula>
    </cfRule>
  </conditionalFormatting>
  <conditionalFormatting sqref="H1551">
    <cfRule type="expression" dxfId="2313" priority="4285">
      <formula>H1547&lt;&gt;""</formula>
    </cfRule>
  </conditionalFormatting>
  <conditionalFormatting sqref="D1523">
    <cfRule type="expression" dxfId="2312" priority="4282">
      <formula>D1519&lt;&gt;""</formula>
    </cfRule>
  </conditionalFormatting>
  <conditionalFormatting sqref="I1508:I1509 C1509:H1509 B1509:B1510">
    <cfRule type="expression" dxfId="2311" priority="4281">
      <formula>$B$1511&lt;&gt;""</formula>
    </cfRule>
  </conditionalFormatting>
  <conditionalFormatting sqref="D1515">
    <cfRule type="expression" dxfId="2310" priority="4278">
      <formula>D1511&lt;&gt;""</formula>
    </cfRule>
  </conditionalFormatting>
  <conditionalFormatting sqref="C1511:C1515">
    <cfRule type="expression" dxfId="2309" priority="4277">
      <formula>D1511&lt;&gt;""</formula>
    </cfRule>
  </conditionalFormatting>
  <conditionalFormatting sqref="E1511:E1515">
    <cfRule type="expression" dxfId="2308" priority="4276">
      <formula>F1511&lt;&gt;""</formula>
    </cfRule>
  </conditionalFormatting>
  <conditionalFormatting sqref="G1511:G1515">
    <cfRule type="expression" dxfId="2307" priority="4275">
      <formula>H1511&lt;&gt;""</formula>
    </cfRule>
  </conditionalFormatting>
  <conditionalFormatting sqref="I1511:I1515">
    <cfRule type="expression" dxfId="2306" priority="4274">
      <formula>B1519&lt;&gt;""</formula>
    </cfRule>
  </conditionalFormatting>
  <conditionalFormatting sqref="B1515">
    <cfRule type="expression" dxfId="2305" priority="4271">
      <formula>B1511&lt;&gt;""</formula>
    </cfRule>
  </conditionalFormatting>
  <conditionalFormatting sqref="F1515">
    <cfRule type="expression" dxfId="2304" priority="4268">
      <formula>F1511&lt;&gt;""</formula>
    </cfRule>
  </conditionalFormatting>
  <conditionalFormatting sqref="H1515">
    <cfRule type="expression" dxfId="2303" priority="4265">
      <formula>H1511&lt;&gt;""</formula>
    </cfRule>
  </conditionalFormatting>
  <conditionalFormatting sqref="F1507">
    <cfRule type="expression" dxfId="2302" priority="4262">
      <formula>F1503&lt;&gt;""</formula>
    </cfRule>
  </conditionalFormatting>
  <conditionalFormatting sqref="E1503:E1507">
    <cfRule type="expression" dxfId="2301" priority="4261">
      <formula>F1503&lt;&gt;""</formula>
    </cfRule>
  </conditionalFormatting>
  <conditionalFormatting sqref="G1503:G1507">
    <cfRule type="expression" dxfId="2300" priority="4260">
      <formula>H1503&lt;&gt;""</formula>
    </cfRule>
  </conditionalFormatting>
  <conditionalFormatting sqref="I1503:I1507">
    <cfRule type="expression" dxfId="2299" priority="4259">
      <formula>B1511&lt;&gt;""</formula>
    </cfRule>
  </conditionalFormatting>
  <conditionalFormatting sqref="H1507">
    <cfRule type="expression" dxfId="2298" priority="4256">
      <formula>H1503&lt;&gt;""</formula>
    </cfRule>
  </conditionalFormatting>
  <conditionalFormatting sqref="I1516:I1517 C1517:H1517 B1517:B1518">
    <cfRule type="expression" dxfId="2297" priority="4255">
      <formula>$B$1519&lt;&gt;""</formula>
    </cfRule>
  </conditionalFormatting>
  <conditionalFormatting sqref="B1523">
    <cfRule type="expression" dxfId="2296" priority="4252">
      <formula>B1519&lt;&gt;""</formula>
    </cfRule>
  </conditionalFormatting>
  <conditionalFormatting sqref="F1523">
    <cfRule type="expression" dxfId="2295" priority="4249">
      <formula>F1519&lt;&gt;""</formula>
    </cfRule>
  </conditionalFormatting>
  <conditionalFormatting sqref="C1519:C1523">
    <cfRule type="expression" dxfId="2294" priority="4248">
      <formula>D1519&lt;&gt;""</formula>
    </cfRule>
  </conditionalFormatting>
  <conditionalFormatting sqref="E1519:E1523">
    <cfRule type="expression" dxfId="2293" priority="4247">
      <formula>F1519&lt;&gt;""</formula>
    </cfRule>
  </conditionalFormatting>
  <conditionalFormatting sqref="G1519:G1523">
    <cfRule type="expression" dxfId="2292" priority="4246">
      <formula>H1519&lt;&gt;""</formula>
    </cfRule>
  </conditionalFormatting>
  <conditionalFormatting sqref="H1523">
    <cfRule type="expression" dxfId="2291" priority="4243">
      <formula>H1519&lt;&gt;""</formula>
    </cfRule>
  </conditionalFormatting>
  <conditionalFormatting sqref="D1495">
    <cfRule type="expression" dxfId="2290" priority="4240">
      <formula>D1491&lt;&gt;""</formula>
    </cfRule>
  </conditionalFormatting>
  <conditionalFormatting sqref="I1480:I1481 C1481:H1481 B1481:B1482">
    <cfRule type="expression" dxfId="2289" priority="4239">
      <formula>$B$1483&lt;&gt;""</formula>
    </cfRule>
  </conditionalFormatting>
  <conditionalFormatting sqref="D1487">
    <cfRule type="expression" dxfId="2288" priority="4236">
      <formula>D1483&lt;&gt;""</formula>
    </cfRule>
  </conditionalFormatting>
  <conditionalFormatting sqref="C1483:C1487">
    <cfRule type="expression" dxfId="2287" priority="4235">
      <formula>D1483&lt;&gt;""</formula>
    </cfRule>
  </conditionalFormatting>
  <conditionalFormatting sqref="E1483:E1487">
    <cfRule type="expression" dxfId="2286" priority="4234">
      <formula>F1483&lt;&gt;""</formula>
    </cfRule>
  </conditionalFormatting>
  <conditionalFormatting sqref="G1483:G1487">
    <cfRule type="expression" dxfId="2285" priority="4233">
      <formula>H1483&lt;&gt;""</formula>
    </cfRule>
  </conditionalFormatting>
  <conditionalFormatting sqref="I1483:I1487">
    <cfRule type="expression" dxfId="2284" priority="4232">
      <formula>B1491&lt;&gt;""</formula>
    </cfRule>
  </conditionalFormatting>
  <conditionalFormatting sqref="B1487">
    <cfRule type="expression" dxfId="2283" priority="4229">
      <formula>B1483&lt;&gt;""</formula>
    </cfRule>
  </conditionalFormatting>
  <conditionalFormatting sqref="F1487">
    <cfRule type="expression" dxfId="2282" priority="4226">
      <formula>F1483&lt;&gt;""</formula>
    </cfRule>
  </conditionalFormatting>
  <conditionalFormatting sqref="H1487">
    <cfRule type="expression" dxfId="2281" priority="4223">
      <formula>H1483&lt;&gt;""</formula>
    </cfRule>
  </conditionalFormatting>
  <conditionalFormatting sqref="F1479">
    <cfRule type="expression" dxfId="2280" priority="4220">
      <formula>F1475&lt;&gt;""</formula>
    </cfRule>
  </conditionalFormatting>
  <conditionalFormatting sqref="E1475:E1479">
    <cfRule type="expression" dxfId="2279" priority="4219">
      <formula>F1475&lt;&gt;""</formula>
    </cfRule>
  </conditionalFormatting>
  <conditionalFormatting sqref="G1475:G1479">
    <cfRule type="expression" dxfId="2278" priority="4218">
      <formula>H1475&lt;&gt;""</formula>
    </cfRule>
  </conditionalFormatting>
  <conditionalFormatting sqref="I1475:I1479">
    <cfRule type="expression" dxfId="2277" priority="4217">
      <formula>B1483&lt;&gt;""</formula>
    </cfRule>
  </conditionalFormatting>
  <conditionalFormatting sqref="H1479">
    <cfRule type="expression" dxfId="2276" priority="4214">
      <formula>H1475&lt;&gt;""</formula>
    </cfRule>
  </conditionalFormatting>
  <conditionalFormatting sqref="I1488:I1489 C1489:H1489 B1489:B1490">
    <cfRule type="expression" dxfId="2275" priority="4213">
      <formula>$B$1491&lt;&gt;""</formula>
    </cfRule>
  </conditionalFormatting>
  <conditionalFormatting sqref="B1495">
    <cfRule type="expression" dxfId="2274" priority="4210">
      <formula>B1491&lt;&gt;""</formula>
    </cfRule>
  </conditionalFormatting>
  <conditionalFormatting sqref="F1495">
    <cfRule type="expression" dxfId="2273" priority="4207">
      <formula>F1491&lt;&gt;""</formula>
    </cfRule>
  </conditionalFormatting>
  <conditionalFormatting sqref="C1491:C1495">
    <cfRule type="expression" dxfId="2272" priority="4206">
      <formula>D1491&lt;&gt;""</formula>
    </cfRule>
  </conditionalFormatting>
  <conditionalFormatting sqref="E1491:E1495">
    <cfRule type="expression" dxfId="2271" priority="4205">
      <formula>F1491&lt;&gt;""</formula>
    </cfRule>
  </conditionalFormatting>
  <conditionalFormatting sqref="G1491:G1495">
    <cfRule type="expression" dxfId="2270" priority="4204">
      <formula>H1491&lt;&gt;""</formula>
    </cfRule>
  </conditionalFormatting>
  <conditionalFormatting sqref="H1495">
    <cfRule type="expression" dxfId="2269" priority="4201">
      <formula>H1491&lt;&gt;""</formula>
    </cfRule>
  </conditionalFormatting>
  <conditionalFormatting sqref="D1467">
    <cfRule type="expression" dxfId="2268" priority="4198">
      <formula>D1463&lt;&gt;""</formula>
    </cfRule>
  </conditionalFormatting>
  <conditionalFormatting sqref="I1452:I1453 C1453:H1453 B1453:B1454">
    <cfRule type="expression" dxfId="2267" priority="4197">
      <formula>$B$1455&lt;&gt;""</formula>
    </cfRule>
  </conditionalFormatting>
  <conditionalFormatting sqref="D1459">
    <cfRule type="expression" dxfId="2266" priority="4194">
      <formula>D1455&lt;&gt;""</formula>
    </cfRule>
  </conditionalFormatting>
  <conditionalFormatting sqref="C1455:C1459">
    <cfRule type="expression" dxfId="2265" priority="4193">
      <formula>D1455&lt;&gt;""</formula>
    </cfRule>
  </conditionalFormatting>
  <conditionalFormatting sqref="E1455:E1459">
    <cfRule type="expression" dxfId="2264" priority="4192">
      <formula>F1455&lt;&gt;""</formula>
    </cfRule>
  </conditionalFormatting>
  <conditionalFormatting sqref="G1455:G1459">
    <cfRule type="expression" dxfId="2263" priority="4191">
      <formula>H1455&lt;&gt;""</formula>
    </cfRule>
  </conditionalFormatting>
  <conditionalFormatting sqref="I1455:I1459">
    <cfRule type="expression" dxfId="2262" priority="4190">
      <formula>B1463&lt;&gt;""</formula>
    </cfRule>
  </conditionalFormatting>
  <conditionalFormatting sqref="B1459">
    <cfRule type="expression" dxfId="2261" priority="4187">
      <formula>B1455&lt;&gt;""</formula>
    </cfRule>
  </conditionalFormatting>
  <conditionalFormatting sqref="F1459">
    <cfRule type="expression" dxfId="2260" priority="4184">
      <formula>F1455&lt;&gt;""</formula>
    </cfRule>
  </conditionalFormatting>
  <conditionalFormatting sqref="H1459">
    <cfRule type="expression" dxfId="2259" priority="4181">
      <formula>H1455&lt;&gt;""</formula>
    </cfRule>
  </conditionalFormatting>
  <conditionalFormatting sqref="F1451">
    <cfRule type="expression" dxfId="2258" priority="4178">
      <formula>F1447&lt;&gt;""</formula>
    </cfRule>
  </conditionalFormatting>
  <conditionalFormatting sqref="E1447:E1451">
    <cfRule type="expression" dxfId="2257" priority="4177">
      <formula>F1447&lt;&gt;""</formula>
    </cfRule>
  </conditionalFormatting>
  <conditionalFormatting sqref="G1447:G1451">
    <cfRule type="expression" dxfId="2256" priority="4176">
      <formula>H1447&lt;&gt;""</formula>
    </cfRule>
  </conditionalFormatting>
  <conditionalFormatting sqref="I1447:I1451">
    <cfRule type="expression" dxfId="2255" priority="4175">
      <formula>B1455&lt;&gt;""</formula>
    </cfRule>
  </conditionalFormatting>
  <conditionalFormatting sqref="H1451">
    <cfRule type="expression" dxfId="2254" priority="4172">
      <formula>H1447&lt;&gt;""</formula>
    </cfRule>
  </conditionalFormatting>
  <conditionalFormatting sqref="I1460:I1461 C1461:H1461 B1461:B1462">
    <cfRule type="expression" dxfId="2253" priority="4171">
      <formula>$B$1463&lt;&gt;""</formula>
    </cfRule>
  </conditionalFormatting>
  <conditionalFormatting sqref="B1467">
    <cfRule type="expression" dxfId="2252" priority="4168">
      <formula>B1463&lt;&gt;""</formula>
    </cfRule>
  </conditionalFormatting>
  <conditionalFormatting sqref="F1467">
    <cfRule type="expression" dxfId="2251" priority="4165">
      <formula>F1463&lt;&gt;""</formula>
    </cfRule>
  </conditionalFormatting>
  <conditionalFormatting sqref="C1463:C1467">
    <cfRule type="expression" dxfId="2250" priority="4164">
      <formula>D1463&lt;&gt;""</formula>
    </cfRule>
  </conditionalFormatting>
  <conditionalFormatting sqref="E1463:E1467">
    <cfRule type="expression" dxfId="2249" priority="4163">
      <formula>F1463&lt;&gt;""</formula>
    </cfRule>
  </conditionalFormatting>
  <conditionalFormatting sqref="G1463:G1467">
    <cfRule type="expression" dxfId="2248" priority="4162">
      <formula>H1463&lt;&gt;""</formula>
    </cfRule>
  </conditionalFormatting>
  <conditionalFormatting sqref="H1467">
    <cfRule type="expression" dxfId="2247" priority="4159">
      <formula>H1463&lt;&gt;""</formula>
    </cfRule>
  </conditionalFormatting>
  <conditionalFormatting sqref="D1439">
    <cfRule type="expression" dxfId="2246" priority="4156">
      <formula>D1435&lt;&gt;""</formula>
    </cfRule>
  </conditionalFormatting>
  <conditionalFormatting sqref="I1424:I1425 C1425:H1425 B1425:B1426">
    <cfRule type="expression" dxfId="2245" priority="4155">
      <formula>$B$1427&lt;&gt;""</formula>
    </cfRule>
  </conditionalFormatting>
  <conditionalFormatting sqref="D1431">
    <cfRule type="expression" dxfId="2244" priority="4152">
      <formula>D1427&lt;&gt;""</formula>
    </cfRule>
  </conditionalFormatting>
  <conditionalFormatting sqref="C1427:C1431">
    <cfRule type="expression" dxfId="2243" priority="4151">
      <formula>D1427&lt;&gt;""</formula>
    </cfRule>
  </conditionalFormatting>
  <conditionalFormatting sqref="E1427:E1431">
    <cfRule type="expression" dxfId="2242" priority="4150">
      <formula>F1427&lt;&gt;""</formula>
    </cfRule>
  </conditionalFormatting>
  <conditionalFormatting sqref="G1427:G1431">
    <cfRule type="expression" dxfId="2241" priority="4149">
      <formula>H1427&lt;&gt;""</formula>
    </cfRule>
  </conditionalFormatting>
  <conditionalFormatting sqref="I1427:I1431">
    <cfRule type="expression" dxfId="2240" priority="4148">
      <formula>B1435&lt;&gt;""</formula>
    </cfRule>
  </conditionalFormatting>
  <conditionalFormatting sqref="B1431">
    <cfRule type="expression" dxfId="2239" priority="4145">
      <formula>B1427&lt;&gt;""</formula>
    </cfRule>
  </conditionalFormatting>
  <conditionalFormatting sqref="F1431">
    <cfRule type="expression" dxfId="2238" priority="4142">
      <formula>F1427&lt;&gt;""</formula>
    </cfRule>
  </conditionalFormatting>
  <conditionalFormatting sqref="H1431">
    <cfRule type="expression" dxfId="2237" priority="4139">
      <formula>H1427&lt;&gt;""</formula>
    </cfRule>
  </conditionalFormatting>
  <conditionalFormatting sqref="F1423">
    <cfRule type="expression" dxfId="2236" priority="4136">
      <formula>F1419&lt;&gt;""</formula>
    </cfRule>
  </conditionalFormatting>
  <conditionalFormatting sqref="E1419:E1423">
    <cfRule type="expression" dxfId="2235" priority="4135">
      <formula>F1419&lt;&gt;""</formula>
    </cfRule>
  </conditionalFormatting>
  <conditionalFormatting sqref="G1419:G1423">
    <cfRule type="expression" dxfId="2234" priority="4134">
      <formula>H1419&lt;&gt;""</formula>
    </cfRule>
  </conditionalFormatting>
  <conditionalFormatting sqref="I1419:I1423">
    <cfRule type="expression" dxfId="2233" priority="4133">
      <formula>B1427&lt;&gt;""</formula>
    </cfRule>
  </conditionalFormatting>
  <conditionalFormatting sqref="H1423">
    <cfRule type="expression" dxfId="2232" priority="4130">
      <formula>H1419&lt;&gt;""</formula>
    </cfRule>
  </conditionalFormatting>
  <conditionalFormatting sqref="I1432:I1433 C1433:H1433 B1433:B1434">
    <cfRule type="expression" dxfId="2231" priority="4129">
      <formula>$B$1435&lt;&gt;""</formula>
    </cfRule>
  </conditionalFormatting>
  <conditionalFormatting sqref="B1439">
    <cfRule type="expression" dxfId="2230" priority="4126">
      <formula>B1435&lt;&gt;""</formula>
    </cfRule>
  </conditionalFormatting>
  <conditionalFormatting sqref="F1439">
    <cfRule type="expression" dxfId="2229" priority="4123">
      <formula>F1435&lt;&gt;""</formula>
    </cfRule>
  </conditionalFormatting>
  <conditionalFormatting sqref="C1435:C1439">
    <cfRule type="expression" dxfId="2228" priority="4122">
      <formula>D1435&lt;&gt;""</formula>
    </cfRule>
  </conditionalFormatting>
  <conditionalFormatting sqref="E1435:E1439">
    <cfRule type="expression" dxfId="2227" priority="4121">
      <formula>F1435&lt;&gt;""</formula>
    </cfRule>
  </conditionalFormatting>
  <conditionalFormatting sqref="G1435:G1439">
    <cfRule type="expression" dxfId="2226" priority="4120">
      <formula>H1435&lt;&gt;""</formula>
    </cfRule>
  </conditionalFormatting>
  <conditionalFormatting sqref="H1439">
    <cfRule type="expression" dxfId="2225" priority="4117">
      <formula>H1435&lt;&gt;""</formula>
    </cfRule>
  </conditionalFormatting>
  <conditionalFormatting sqref="B1423">
    <cfRule type="expression" dxfId="2224" priority="4114">
      <formula>B1419&lt;&gt;""</formula>
    </cfRule>
  </conditionalFormatting>
  <conditionalFormatting sqref="C1419:C1423">
    <cfRule type="expression" dxfId="2223" priority="4113">
      <formula>D1419&lt;&gt;""</formula>
    </cfRule>
  </conditionalFormatting>
  <conditionalFormatting sqref="D1423">
    <cfRule type="expression" dxfId="2222" priority="4110">
      <formula>D1419&lt;&gt;""</formula>
    </cfRule>
  </conditionalFormatting>
  <conditionalFormatting sqref="B1451">
    <cfRule type="expression" dxfId="2221" priority="4107">
      <formula>B1447&lt;&gt;""</formula>
    </cfRule>
  </conditionalFormatting>
  <conditionalFormatting sqref="C1447:C1451">
    <cfRule type="expression" dxfId="2220" priority="4106">
      <formula>D1447&lt;&gt;""</formula>
    </cfRule>
  </conditionalFormatting>
  <conditionalFormatting sqref="D1451">
    <cfRule type="expression" dxfId="2219" priority="4103">
      <formula>D1447&lt;&gt;""</formula>
    </cfRule>
  </conditionalFormatting>
  <conditionalFormatting sqref="B1479">
    <cfRule type="expression" dxfId="2218" priority="4100">
      <formula>B1475&lt;&gt;""</formula>
    </cfRule>
  </conditionalFormatting>
  <conditionalFormatting sqref="C1475:C1479">
    <cfRule type="expression" dxfId="2217" priority="4099">
      <formula>D1475&lt;&gt;""</formula>
    </cfRule>
  </conditionalFormatting>
  <conditionalFormatting sqref="D1479">
    <cfRule type="expression" dxfId="2216" priority="4096">
      <formula>D1475&lt;&gt;""</formula>
    </cfRule>
  </conditionalFormatting>
  <conditionalFormatting sqref="B1507">
    <cfRule type="expression" dxfId="2215" priority="4093">
      <formula>B1503&lt;&gt;""</formula>
    </cfRule>
  </conditionalFormatting>
  <conditionalFormatting sqref="C1503:C1507">
    <cfRule type="expression" dxfId="2214" priority="4092">
      <formula>D1503&lt;&gt;""</formula>
    </cfRule>
  </conditionalFormatting>
  <conditionalFormatting sqref="D1507">
    <cfRule type="expression" dxfId="2213" priority="4089">
      <formula>D1503&lt;&gt;""</formula>
    </cfRule>
  </conditionalFormatting>
  <conditionalFormatting sqref="B1535">
    <cfRule type="expression" dxfId="2212" priority="4086">
      <formula>B1531&lt;&gt;""</formula>
    </cfRule>
  </conditionalFormatting>
  <conditionalFormatting sqref="C1531:C1535">
    <cfRule type="expression" dxfId="2211" priority="4085">
      <formula>D1531&lt;&gt;""</formula>
    </cfRule>
  </conditionalFormatting>
  <conditionalFormatting sqref="D1535">
    <cfRule type="expression" dxfId="2210" priority="4082">
      <formula>D1531&lt;&gt;""</formula>
    </cfRule>
  </conditionalFormatting>
  <conditionalFormatting sqref="B1563">
    <cfRule type="expression" dxfId="2209" priority="4079">
      <formula>B1559&lt;&gt;""</formula>
    </cfRule>
  </conditionalFormatting>
  <conditionalFormatting sqref="C1559:C1563">
    <cfRule type="expression" dxfId="2208" priority="4078">
      <formula>D1559&lt;&gt;""</formula>
    </cfRule>
  </conditionalFormatting>
  <conditionalFormatting sqref="D1563">
    <cfRule type="expression" dxfId="2207" priority="4075">
      <formula>D1559&lt;&gt;""</formula>
    </cfRule>
  </conditionalFormatting>
  <conditionalFormatting sqref="B1591">
    <cfRule type="expression" dxfId="2206" priority="4072">
      <formula>B1587&lt;&gt;""</formula>
    </cfRule>
  </conditionalFormatting>
  <conditionalFormatting sqref="C1587:C1591">
    <cfRule type="expression" dxfId="2205" priority="4071">
      <formula>D1587&lt;&gt;""</formula>
    </cfRule>
  </conditionalFormatting>
  <conditionalFormatting sqref="D1591">
    <cfRule type="expression" dxfId="2204" priority="4068">
      <formula>D1587&lt;&gt;""</formula>
    </cfRule>
  </conditionalFormatting>
  <conditionalFormatting sqref="D1635">
    <cfRule type="expression" dxfId="2203" priority="4065">
      <formula>D1631&lt;&gt;""</formula>
    </cfRule>
  </conditionalFormatting>
  <conditionalFormatting sqref="D1627">
    <cfRule type="expression" dxfId="2202" priority="4062">
      <formula>D1623&lt;&gt;""</formula>
    </cfRule>
  </conditionalFormatting>
  <conditionalFormatting sqref="C1623:C1627">
    <cfRule type="expression" dxfId="2201" priority="4061">
      <formula>D1623&lt;&gt;""</formula>
    </cfRule>
  </conditionalFormatting>
  <conditionalFormatting sqref="E1623:E1627">
    <cfRule type="expression" dxfId="2200" priority="4060">
      <formula>F1623&lt;&gt;""</formula>
    </cfRule>
  </conditionalFormatting>
  <conditionalFormatting sqref="G1623:G1627">
    <cfRule type="expression" dxfId="2199" priority="4059">
      <formula>H1623&lt;&gt;""</formula>
    </cfRule>
  </conditionalFormatting>
  <conditionalFormatting sqref="I1623:I1627">
    <cfRule type="expression" dxfId="2198" priority="4058">
      <formula>B1631&lt;&gt;""</formula>
    </cfRule>
  </conditionalFormatting>
  <conditionalFormatting sqref="B1627">
    <cfRule type="expression" dxfId="2197" priority="4055">
      <formula>B1623&lt;&gt;""</formula>
    </cfRule>
  </conditionalFormatting>
  <conditionalFormatting sqref="F1627">
    <cfRule type="expression" dxfId="2196" priority="4052">
      <formula>F1623&lt;&gt;""</formula>
    </cfRule>
  </conditionalFormatting>
  <conditionalFormatting sqref="H1627">
    <cfRule type="expression" dxfId="2195" priority="4049">
      <formula>H1623&lt;&gt;""</formula>
    </cfRule>
  </conditionalFormatting>
  <conditionalFormatting sqref="F1619">
    <cfRule type="expression" dxfId="2194" priority="4046">
      <formula>F1615&lt;&gt;""</formula>
    </cfRule>
  </conditionalFormatting>
  <conditionalFormatting sqref="E1615:E1619">
    <cfRule type="expression" dxfId="2193" priority="4045">
      <formula>F1615&lt;&gt;""</formula>
    </cfRule>
  </conditionalFormatting>
  <conditionalFormatting sqref="G1615:G1619">
    <cfRule type="expression" dxfId="2192" priority="4044">
      <formula>H1615&lt;&gt;""</formula>
    </cfRule>
  </conditionalFormatting>
  <conditionalFormatting sqref="I1615:I1619">
    <cfRule type="expression" dxfId="2191" priority="4043">
      <formula>B1623&lt;&gt;""</formula>
    </cfRule>
  </conditionalFormatting>
  <conditionalFormatting sqref="H1619">
    <cfRule type="expression" dxfId="2190" priority="4040">
      <formula>H1615&lt;&gt;""</formula>
    </cfRule>
  </conditionalFormatting>
  <conditionalFormatting sqref="B1635">
    <cfRule type="expression" dxfId="2189" priority="4037">
      <formula>B1631&lt;&gt;""</formula>
    </cfRule>
  </conditionalFormatting>
  <conditionalFormatting sqref="F1635">
    <cfRule type="expression" dxfId="2188" priority="4034">
      <formula>F1631&lt;&gt;""</formula>
    </cfRule>
  </conditionalFormatting>
  <conditionalFormatting sqref="C1631:C1635">
    <cfRule type="expression" dxfId="2187" priority="4033">
      <formula>D1631&lt;&gt;""</formula>
    </cfRule>
  </conditionalFormatting>
  <conditionalFormatting sqref="E1631:E1635">
    <cfRule type="expression" dxfId="2186" priority="4032">
      <formula>F1631&lt;&gt;""</formula>
    </cfRule>
  </conditionalFormatting>
  <conditionalFormatting sqref="G1631:G1635">
    <cfRule type="expression" dxfId="2185" priority="4031">
      <formula>H1631&lt;&gt;""</formula>
    </cfRule>
  </conditionalFormatting>
  <conditionalFormatting sqref="H1635">
    <cfRule type="expression" dxfId="2184" priority="4028">
      <formula>H1631&lt;&gt;""</formula>
    </cfRule>
  </conditionalFormatting>
  <conditionalFormatting sqref="D1663">
    <cfRule type="expression" dxfId="2183" priority="4025">
      <formula>D1659&lt;&gt;""</formula>
    </cfRule>
  </conditionalFormatting>
  <conditionalFormatting sqref="D1655">
    <cfRule type="expression" dxfId="2182" priority="4022">
      <formula>D1651&lt;&gt;""</formula>
    </cfRule>
  </conditionalFormatting>
  <conditionalFormatting sqref="C1651:C1655">
    <cfRule type="expression" dxfId="2181" priority="4021">
      <formula>D1651&lt;&gt;""</formula>
    </cfRule>
  </conditionalFormatting>
  <conditionalFormatting sqref="E1651:E1655">
    <cfRule type="expression" dxfId="2180" priority="4020">
      <formula>F1651&lt;&gt;""</formula>
    </cfRule>
  </conditionalFormatting>
  <conditionalFormatting sqref="G1651:G1655">
    <cfRule type="expression" dxfId="2179" priority="4019">
      <formula>H1651&lt;&gt;""</formula>
    </cfRule>
  </conditionalFormatting>
  <conditionalFormatting sqref="I1651:I1655">
    <cfRule type="expression" dxfId="2178" priority="4018">
      <formula>B1659&lt;&gt;""</formula>
    </cfRule>
  </conditionalFormatting>
  <conditionalFormatting sqref="B1655">
    <cfRule type="expression" dxfId="2177" priority="4015">
      <formula>B1651&lt;&gt;""</formula>
    </cfRule>
  </conditionalFormatting>
  <conditionalFormatting sqref="F1655">
    <cfRule type="expression" dxfId="2176" priority="4012">
      <formula>F1651&lt;&gt;""</formula>
    </cfRule>
  </conditionalFormatting>
  <conditionalFormatting sqref="H1655">
    <cfRule type="expression" dxfId="2175" priority="4009">
      <formula>H1651&lt;&gt;""</formula>
    </cfRule>
  </conditionalFormatting>
  <conditionalFormatting sqref="F1647">
    <cfRule type="expression" dxfId="2174" priority="4006">
      <formula>F1643&lt;&gt;""</formula>
    </cfRule>
  </conditionalFormatting>
  <conditionalFormatting sqref="E1643:E1647">
    <cfRule type="expression" dxfId="2173" priority="4005">
      <formula>F1643&lt;&gt;""</formula>
    </cfRule>
  </conditionalFormatting>
  <conditionalFormatting sqref="G1643:G1647">
    <cfRule type="expression" dxfId="2172" priority="4004">
      <formula>H1643&lt;&gt;""</formula>
    </cfRule>
  </conditionalFormatting>
  <conditionalFormatting sqref="I1643:I1647">
    <cfRule type="expression" dxfId="2171" priority="4003">
      <formula>B1651&lt;&gt;""</formula>
    </cfRule>
  </conditionalFormatting>
  <conditionalFormatting sqref="H1647">
    <cfRule type="expression" dxfId="2170" priority="4000">
      <formula>H1643&lt;&gt;""</formula>
    </cfRule>
  </conditionalFormatting>
  <conditionalFormatting sqref="B1663">
    <cfRule type="expression" dxfId="2169" priority="3997">
      <formula>B1659&lt;&gt;""</formula>
    </cfRule>
  </conditionalFormatting>
  <conditionalFormatting sqref="F1663">
    <cfRule type="expression" dxfId="2168" priority="3994">
      <formula>F1659&lt;&gt;""</formula>
    </cfRule>
  </conditionalFormatting>
  <conditionalFormatting sqref="C1659:C1663">
    <cfRule type="expression" dxfId="2167" priority="3993">
      <formula>D1659&lt;&gt;""</formula>
    </cfRule>
  </conditionalFormatting>
  <conditionalFormatting sqref="E1659:E1663">
    <cfRule type="expression" dxfId="2166" priority="3992">
      <formula>F1659&lt;&gt;""</formula>
    </cfRule>
  </conditionalFormatting>
  <conditionalFormatting sqref="G1659:G1663">
    <cfRule type="expression" dxfId="2165" priority="3991">
      <formula>H1659&lt;&gt;""</formula>
    </cfRule>
  </conditionalFormatting>
  <conditionalFormatting sqref="H1663">
    <cfRule type="expression" dxfId="2164" priority="3988">
      <formula>H1659&lt;&gt;""</formula>
    </cfRule>
  </conditionalFormatting>
  <conditionalFormatting sqref="B1649:B1650 C1649:I1649 I1648">
    <cfRule type="expression" dxfId="2163" priority="3986">
      <formula>$B$1651&lt;&gt;""</formula>
    </cfRule>
  </conditionalFormatting>
  <conditionalFormatting sqref="B1657:B1658 C1657:I1657 I1656">
    <cfRule type="expression" dxfId="2162" priority="3985">
      <formula>$B$1659&lt;&gt;""</formula>
    </cfRule>
  </conditionalFormatting>
  <conditionalFormatting sqref="D1691">
    <cfRule type="expression" dxfId="2161" priority="3982">
      <formula>D1687&lt;&gt;""</formula>
    </cfRule>
  </conditionalFormatting>
  <conditionalFormatting sqref="D1683">
    <cfRule type="expression" dxfId="2160" priority="3979">
      <formula>D1679&lt;&gt;""</formula>
    </cfRule>
  </conditionalFormatting>
  <conditionalFormatting sqref="C1679:C1683">
    <cfRule type="expression" dxfId="2159" priority="3978">
      <formula>D1679&lt;&gt;""</formula>
    </cfRule>
  </conditionalFormatting>
  <conditionalFormatting sqref="E1679:E1683">
    <cfRule type="expression" dxfId="2158" priority="3977">
      <formula>F1679&lt;&gt;""</formula>
    </cfRule>
  </conditionalFormatting>
  <conditionalFormatting sqref="G1679:G1683">
    <cfRule type="expression" dxfId="2157" priority="3976">
      <formula>H1679&lt;&gt;""</formula>
    </cfRule>
  </conditionalFormatting>
  <conditionalFormatting sqref="I1679:I1683">
    <cfRule type="expression" dxfId="2156" priority="3975">
      <formula>B1687&lt;&gt;""</formula>
    </cfRule>
  </conditionalFormatting>
  <conditionalFormatting sqref="B1683">
    <cfRule type="expression" dxfId="2155" priority="3972">
      <formula>B1679&lt;&gt;""</formula>
    </cfRule>
  </conditionalFormatting>
  <conditionalFormatting sqref="F1683">
    <cfRule type="expression" dxfId="2154" priority="3969">
      <formula>F1679&lt;&gt;""</formula>
    </cfRule>
  </conditionalFormatting>
  <conditionalFormatting sqref="H1683">
    <cfRule type="expression" dxfId="2153" priority="3966">
      <formula>H1679&lt;&gt;""</formula>
    </cfRule>
  </conditionalFormatting>
  <conditionalFormatting sqref="F1675">
    <cfRule type="expression" dxfId="2152" priority="3963">
      <formula>F1671&lt;&gt;""</formula>
    </cfRule>
  </conditionalFormatting>
  <conditionalFormatting sqref="E1671:E1675">
    <cfRule type="expression" dxfId="2151" priority="3962">
      <formula>F1671&lt;&gt;""</formula>
    </cfRule>
  </conditionalFormatting>
  <conditionalFormatting sqref="G1671:G1675">
    <cfRule type="expression" dxfId="2150" priority="3961">
      <formula>H1671&lt;&gt;""</formula>
    </cfRule>
  </conditionalFormatting>
  <conditionalFormatting sqref="I1671:I1675">
    <cfRule type="expression" dxfId="2149" priority="3960">
      <formula>B1679&lt;&gt;""</formula>
    </cfRule>
  </conditionalFormatting>
  <conditionalFormatting sqref="H1675">
    <cfRule type="expression" dxfId="2148" priority="3957">
      <formula>H1671&lt;&gt;""</formula>
    </cfRule>
  </conditionalFormatting>
  <conditionalFormatting sqref="B1691">
    <cfRule type="expression" dxfId="2147" priority="3954">
      <formula>B1687&lt;&gt;""</formula>
    </cfRule>
  </conditionalFormatting>
  <conditionalFormatting sqref="F1691">
    <cfRule type="expression" dxfId="2146" priority="3951">
      <formula>F1687&lt;&gt;""</formula>
    </cfRule>
  </conditionalFormatting>
  <conditionalFormatting sqref="C1687:C1691">
    <cfRule type="expression" dxfId="2145" priority="3950">
      <formula>D1687&lt;&gt;""</formula>
    </cfRule>
  </conditionalFormatting>
  <conditionalFormatting sqref="E1687:E1691">
    <cfRule type="expression" dxfId="2144" priority="3949">
      <formula>F1687&lt;&gt;""</formula>
    </cfRule>
  </conditionalFormatting>
  <conditionalFormatting sqref="G1687:G1691">
    <cfRule type="expression" dxfId="2143" priority="3948">
      <formula>H1687&lt;&gt;""</formula>
    </cfRule>
  </conditionalFormatting>
  <conditionalFormatting sqref="H1691">
    <cfRule type="expression" dxfId="2142" priority="3945">
      <formula>H1687&lt;&gt;""</formula>
    </cfRule>
  </conditionalFormatting>
  <conditionalFormatting sqref="B1677:B1678 C1677:I1677 I1676">
    <cfRule type="expression" dxfId="2141" priority="3943">
      <formula>$B$1679&lt;&gt;""</formula>
    </cfRule>
  </conditionalFormatting>
  <conditionalFormatting sqref="B1685:B1686 C1685:I1685 I1684">
    <cfRule type="expression" dxfId="2140" priority="3942">
      <formula>$B$1687&lt;&gt;""</formula>
    </cfRule>
  </conditionalFormatting>
  <conditionalFormatting sqref="B1619">
    <cfRule type="expression" dxfId="2139" priority="3939">
      <formula>B1615&lt;&gt;""</formula>
    </cfRule>
  </conditionalFormatting>
  <conditionalFormatting sqref="C1615:C1619">
    <cfRule type="expression" dxfId="2138" priority="3938">
      <formula>D1615&lt;&gt;""</formula>
    </cfRule>
  </conditionalFormatting>
  <conditionalFormatting sqref="D1619">
    <cfRule type="expression" dxfId="2137" priority="3935">
      <formula>D1615&lt;&gt;""</formula>
    </cfRule>
  </conditionalFormatting>
  <conditionalFormatting sqref="B1647">
    <cfRule type="expression" dxfId="2136" priority="3933">
      <formula>B1643&lt;&gt;""</formula>
    </cfRule>
  </conditionalFormatting>
  <conditionalFormatting sqref="C1643:C1647">
    <cfRule type="expression" dxfId="2135" priority="3932">
      <formula>D1643&lt;&gt;""</formula>
    </cfRule>
  </conditionalFormatting>
  <conditionalFormatting sqref="D1647">
    <cfRule type="expression" dxfId="2134" priority="3929">
      <formula>D1643&lt;&gt;""</formula>
    </cfRule>
  </conditionalFormatting>
  <conditionalFormatting sqref="B1675">
    <cfRule type="expression" dxfId="2133" priority="3927">
      <formula>B1671&lt;&gt;""</formula>
    </cfRule>
  </conditionalFormatting>
  <conditionalFormatting sqref="C1671:C1675">
    <cfRule type="expression" dxfId="2132" priority="3926">
      <formula>D1671&lt;&gt;""</formula>
    </cfRule>
  </conditionalFormatting>
  <conditionalFormatting sqref="D1675">
    <cfRule type="expression" dxfId="2131" priority="3923">
      <formula>D1671&lt;&gt;""</formula>
    </cfRule>
  </conditionalFormatting>
  <conditionalFormatting sqref="B1629:B1630 C1629:I1629 I1628">
    <cfRule type="expression" dxfId="2130" priority="3922">
      <formula>$B$1631&lt;&gt;""</formula>
    </cfRule>
  </conditionalFormatting>
  <conditionalFormatting sqref="B1621:B1622 C1621:I1621 I1620">
    <cfRule type="expression" dxfId="2129" priority="3921">
      <formula>$B$1623&lt;&gt;""</formula>
    </cfRule>
  </conditionalFormatting>
  <conditionalFormatting sqref="D1889">
    <cfRule type="expression" dxfId="2128" priority="3918">
      <formula>D1885&lt;&gt;""</formula>
    </cfRule>
  </conditionalFormatting>
  <conditionalFormatting sqref="I1874:I1875 C1875:H1875 B1875:B1876">
    <cfRule type="expression" dxfId="2127" priority="3917">
      <formula>$B1877&lt;&gt;""</formula>
    </cfRule>
  </conditionalFormatting>
  <conditionalFormatting sqref="D1881">
    <cfRule type="expression" dxfId="2126" priority="3914">
      <formula>D1877&lt;&gt;""</formula>
    </cfRule>
  </conditionalFormatting>
  <conditionalFormatting sqref="C1877:C1881">
    <cfRule type="expression" dxfId="2125" priority="3913">
      <formula>D1877&lt;&gt;""</formula>
    </cfRule>
  </conditionalFormatting>
  <conditionalFormatting sqref="E1877:E1881">
    <cfRule type="expression" dxfId="2124" priority="3912">
      <formula>F1877&lt;&gt;""</formula>
    </cfRule>
  </conditionalFormatting>
  <conditionalFormatting sqref="G1877:G1881">
    <cfRule type="expression" dxfId="2123" priority="3911">
      <formula>H1877&lt;&gt;""</formula>
    </cfRule>
  </conditionalFormatting>
  <conditionalFormatting sqref="I1877:I1881">
    <cfRule type="expression" dxfId="2122" priority="3910">
      <formula>B1885&lt;&gt;""</formula>
    </cfRule>
  </conditionalFormatting>
  <conditionalFormatting sqref="B1881">
    <cfRule type="expression" dxfId="2121" priority="3907">
      <formula>B1877&lt;&gt;""</formula>
    </cfRule>
  </conditionalFormatting>
  <conditionalFormatting sqref="F1881">
    <cfRule type="expression" dxfId="2120" priority="3904">
      <formula>F1877&lt;&gt;""</formula>
    </cfRule>
  </conditionalFormatting>
  <conditionalFormatting sqref="H1881">
    <cfRule type="expression" dxfId="2119" priority="3901">
      <formula>H1877&lt;&gt;""</formula>
    </cfRule>
  </conditionalFormatting>
  <conditionalFormatting sqref="F1873">
    <cfRule type="expression" dxfId="2118" priority="3898">
      <formula>F1869&lt;&gt;""</formula>
    </cfRule>
  </conditionalFormatting>
  <conditionalFormatting sqref="E1869:E1873">
    <cfRule type="expression" dxfId="2117" priority="3897">
      <formula>F1869&lt;&gt;""</formula>
    </cfRule>
  </conditionalFormatting>
  <conditionalFormatting sqref="G1869:G1873">
    <cfRule type="expression" dxfId="2116" priority="3896">
      <formula>H1869&lt;&gt;""</formula>
    </cfRule>
  </conditionalFormatting>
  <conditionalFormatting sqref="I1869:I1873">
    <cfRule type="expression" dxfId="2115" priority="3895">
      <formula>B1877&lt;&gt;""</formula>
    </cfRule>
  </conditionalFormatting>
  <conditionalFormatting sqref="H1873">
    <cfRule type="expression" dxfId="2114" priority="3892">
      <formula>H1869&lt;&gt;""</formula>
    </cfRule>
  </conditionalFormatting>
  <conditionalFormatting sqref="I1882:I1883 C1883:H1883 B1883:B1884">
    <cfRule type="expression" dxfId="2113" priority="3891">
      <formula>$B1885&lt;&gt;""</formula>
    </cfRule>
  </conditionalFormatting>
  <conditionalFormatting sqref="B1889">
    <cfRule type="expression" dxfId="2112" priority="3888">
      <formula>B1885&lt;&gt;""</formula>
    </cfRule>
  </conditionalFormatting>
  <conditionalFormatting sqref="F1889">
    <cfRule type="expression" dxfId="2111" priority="3885">
      <formula>F1885&lt;&gt;""</formula>
    </cfRule>
  </conditionalFormatting>
  <conditionalFormatting sqref="C1885:C1889">
    <cfRule type="expression" dxfId="2110" priority="3884">
      <formula>D1885&lt;&gt;""</formula>
    </cfRule>
  </conditionalFormatting>
  <conditionalFormatting sqref="E1885:E1889">
    <cfRule type="expression" dxfId="2109" priority="3883">
      <formula>F1885&lt;&gt;""</formula>
    </cfRule>
  </conditionalFormatting>
  <conditionalFormatting sqref="G1885:G1889">
    <cfRule type="expression" dxfId="2108" priority="3882">
      <formula>H1885&lt;&gt;""</formula>
    </cfRule>
  </conditionalFormatting>
  <conditionalFormatting sqref="H1889">
    <cfRule type="expression" dxfId="2107" priority="3879">
      <formula>H1885&lt;&gt;""</formula>
    </cfRule>
  </conditionalFormatting>
  <conditionalFormatting sqref="D1861">
    <cfRule type="expression" dxfId="2106" priority="3876">
      <formula>D1857&lt;&gt;""</formula>
    </cfRule>
  </conditionalFormatting>
  <conditionalFormatting sqref="I1846:I1847 C1847:H1847 B1847:B1848">
    <cfRule type="expression" dxfId="2105" priority="3875">
      <formula>$B1849&lt;&gt;""</formula>
    </cfRule>
  </conditionalFormatting>
  <conditionalFormatting sqref="D1853">
    <cfRule type="expression" dxfId="2104" priority="3872">
      <formula>D1849&lt;&gt;""</formula>
    </cfRule>
  </conditionalFormatting>
  <conditionalFormatting sqref="C1849:C1853">
    <cfRule type="expression" dxfId="2103" priority="3871">
      <formula>D1849&lt;&gt;""</formula>
    </cfRule>
  </conditionalFormatting>
  <conditionalFormatting sqref="E1849:E1853">
    <cfRule type="expression" dxfId="2102" priority="3870">
      <formula>F1849&lt;&gt;""</formula>
    </cfRule>
  </conditionalFormatting>
  <conditionalFormatting sqref="G1849:G1853">
    <cfRule type="expression" dxfId="2101" priority="3869">
      <formula>H1849&lt;&gt;""</formula>
    </cfRule>
  </conditionalFormatting>
  <conditionalFormatting sqref="I1849:I1853">
    <cfRule type="expression" dxfId="2100" priority="3868">
      <formula>B1857&lt;&gt;""</formula>
    </cfRule>
  </conditionalFormatting>
  <conditionalFormatting sqref="B1853">
    <cfRule type="expression" dxfId="2099" priority="3865">
      <formula>B1849&lt;&gt;""</formula>
    </cfRule>
  </conditionalFormatting>
  <conditionalFormatting sqref="F1853">
    <cfRule type="expression" dxfId="2098" priority="3862">
      <formula>F1849&lt;&gt;""</formula>
    </cfRule>
  </conditionalFormatting>
  <conditionalFormatting sqref="H1853">
    <cfRule type="expression" dxfId="2097" priority="3859">
      <formula>H1849&lt;&gt;""</formula>
    </cfRule>
  </conditionalFormatting>
  <conditionalFormatting sqref="F1845">
    <cfRule type="expression" dxfId="2096" priority="3856">
      <formula>F1841&lt;&gt;""</formula>
    </cfRule>
  </conditionalFormatting>
  <conditionalFormatting sqref="E1841:E1845">
    <cfRule type="expression" dxfId="2095" priority="3855">
      <formula>F1841&lt;&gt;""</formula>
    </cfRule>
  </conditionalFormatting>
  <conditionalFormatting sqref="G1841:G1845">
    <cfRule type="expression" dxfId="2094" priority="3854">
      <formula>H1841&lt;&gt;""</formula>
    </cfRule>
  </conditionalFormatting>
  <conditionalFormatting sqref="I1841:I1845">
    <cfRule type="expression" dxfId="2093" priority="3853">
      <formula>B1849&lt;&gt;""</formula>
    </cfRule>
  </conditionalFormatting>
  <conditionalFormatting sqref="H1845">
    <cfRule type="expression" dxfId="2092" priority="3850">
      <formula>H1841&lt;&gt;""</formula>
    </cfRule>
  </conditionalFormatting>
  <conditionalFormatting sqref="I1854:I1855 C1855:H1855 B1855:B1856">
    <cfRule type="expression" dxfId="2091" priority="3849">
      <formula>$B1857&lt;&gt;""</formula>
    </cfRule>
  </conditionalFormatting>
  <conditionalFormatting sqref="B1861">
    <cfRule type="expression" dxfId="2090" priority="3846">
      <formula>B1857&lt;&gt;""</formula>
    </cfRule>
  </conditionalFormatting>
  <conditionalFormatting sqref="F1861">
    <cfRule type="expression" dxfId="2089" priority="3843">
      <formula>F1857&lt;&gt;""</formula>
    </cfRule>
  </conditionalFormatting>
  <conditionalFormatting sqref="C1857:C1861">
    <cfRule type="expression" dxfId="2088" priority="3842">
      <formula>D1857&lt;&gt;""</formula>
    </cfRule>
  </conditionalFormatting>
  <conditionalFormatting sqref="E1857:E1861">
    <cfRule type="expression" dxfId="2087" priority="3841">
      <formula>F1857&lt;&gt;""</formula>
    </cfRule>
  </conditionalFormatting>
  <conditionalFormatting sqref="G1857:G1861">
    <cfRule type="expression" dxfId="2086" priority="3840">
      <formula>H1857&lt;&gt;""</formula>
    </cfRule>
  </conditionalFormatting>
  <conditionalFormatting sqref="H1861">
    <cfRule type="expression" dxfId="2085" priority="3837">
      <formula>H1857&lt;&gt;""</formula>
    </cfRule>
  </conditionalFormatting>
  <conditionalFormatting sqref="D1833">
    <cfRule type="expression" dxfId="2084" priority="3834">
      <formula>D1829&lt;&gt;""</formula>
    </cfRule>
  </conditionalFormatting>
  <conditionalFormatting sqref="I1818:I1819 C1819:H1819 B1819:B1820">
    <cfRule type="expression" dxfId="2083" priority="3833">
      <formula>$B1821&lt;&gt;""</formula>
    </cfRule>
  </conditionalFormatting>
  <conditionalFormatting sqref="D1825">
    <cfRule type="expression" dxfId="2082" priority="3830">
      <formula>D1821&lt;&gt;""</formula>
    </cfRule>
  </conditionalFormatting>
  <conditionalFormatting sqref="C1821:C1825">
    <cfRule type="expression" dxfId="2081" priority="3829">
      <formula>D1821&lt;&gt;""</formula>
    </cfRule>
  </conditionalFormatting>
  <conditionalFormatting sqref="E1821:E1825">
    <cfRule type="expression" dxfId="2080" priority="3828">
      <formula>F1821&lt;&gt;""</formula>
    </cfRule>
  </conditionalFormatting>
  <conditionalFormatting sqref="G1821:G1825">
    <cfRule type="expression" dxfId="2079" priority="3827">
      <formula>H1821&lt;&gt;""</formula>
    </cfRule>
  </conditionalFormatting>
  <conditionalFormatting sqref="I1821:I1825">
    <cfRule type="expression" dxfId="2078" priority="3826">
      <formula>B1829&lt;&gt;""</formula>
    </cfRule>
  </conditionalFormatting>
  <conditionalFormatting sqref="B1825">
    <cfRule type="expression" dxfId="2077" priority="3823">
      <formula>B1821&lt;&gt;""</formula>
    </cfRule>
  </conditionalFormatting>
  <conditionalFormatting sqref="F1825">
    <cfRule type="expression" dxfId="2076" priority="3820">
      <formula>F1821&lt;&gt;""</formula>
    </cfRule>
  </conditionalFormatting>
  <conditionalFormatting sqref="H1825">
    <cfRule type="expression" dxfId="2075" priority="3817">
      <formula>H1821&lt;&gt;""</formula>
    </cfRule>
  </conditionalFormatting>
  <conditionalFormatting sqref="F1817">
    <cfRule type="expression" dxfId="2074" priority="3814">
      <formula>F1813&lt;&gt;""</formula>
    </cfRule>
  </conditionalFormatting>
  <conditionalFormatting sqref="E1813:E1817">
    <cfRule type="expression" dxfId="2073" priority="3813">
      <formula>F1813&lt;&gt;""</formula>
    </cfRule>
  </conditionalFormatting>
  <conditionalFormatting sqref="G1813:G1817">
    <cfRule type="expression" dxfId="2072" priority="3812">
      <formula>H1813&lt;&gt;""</formula>
    </cfRule>
  </conditionalFormatting>
  <conditionalFormatting sqref="I1813:I1817">
    <cfRule type="expression" dxfId="2071" priority="3811">
      <formula>B1821&lt;&gt;""</formula>
    </cfRule>
  </conditionalFormatting>
  <conditionalFormatting sqref="H1817">
    <cfRule type="expression" dxfId="2070" priority="3808">
      <formula>H1813&lt;&gt;""</formula>
    </cfRule>
  </conditionalFormatting>
  <conditionalFormatting sqref="I1826:I1827 C1827:H1827 B1827:B1828">
    <cfRule type="expression" dxfId="2069" priority="3807">
      <formula>$B1829&lt;&gt;""</formula>
    </cfRule>
  </conditionalFormatting>
  <conditionalFormatting sqref="B1833">
    <cfRule type="expression" dxfId="2068" priority="3804">
      <formula>B1829&lt;&gt;""</formula>
    </cfRule>
  </conditionalFormatting>
  <conditionalFormatting sqref="F1833">
    <cfRule type="expression" dxfId="2067" priority="3801">
      <formula>F1829&lt;&gt;""</formula>
    </cfRule>
  </conditionalFormatting>
  <conditionalFormatting sqref="C1829:C1833">
    <cfRule type="expression" dxfId="2066" priority="3800">
      <formula>D1829&lt;&gt;""</formula>
    </cfRule>
  </conditionalFormatting>
  <conditionalFormatting sqref="E1829:E1833">
    <cfRule type="expression" dxfId="2065" priority="3799">
      <formula>F1829&lt;&gt;""</formula>
    </cfRule>
  </conditionalFormatting>
  <conditionalFormatting sqref="G1829:G1833">
    <cfRule type="expression" dxfId="2064" priority="3798">
      <formula>H1829&lt;&gt;""</formula>
    </cfRule>
  </conditionalFormatting>
  <conditionalFormatting sqref="H1833">
    <cfRule type="expression" dxfId="2063" priority="3795">
      <formula>H1829&lt;&gt;""</formula>
    </cfRule>
  </conditionalFormatting>
  <conditionalFormatting sqref="D1805">
    <cfRule type="expression" dxfId="2062" priority="3792">
      <formula>D1801&lt;&gt;""</formula>
    </cfRule>
  </conditionalFormatting>
  <conditionalFormatting sqref="I1790:I1791 C1791:H1791 B1791:B1792">
    <cfRule type="expression" dxfId="2061" priority="3791">
      <formula>$B1793&lt;&gt;""</formula>
    </cfRule>
  </conditionalFormatting>
  <conditionalFormatting sqref="D1797">
    <cfRule type="expression" dxfId="2060" priority="3788">
      <formula>D1793&lt;&gt;""</formula>
    </cfRule>
  </conditionalFormatting>
  <conditionalFormatting sqref="C1793:C1797">
    <cfRule type="expression" dxfId="2059" priority="3787">
      <formula>D1793&lt;&gt;""</formula>
    </cfRule>
  </conditionalFormatting>
  <conditionalFormatting sqref="E1793:E1797">
    <cfRule type="expression" dxfId="2058" priority="3786">
      <formula>F1793&lt;&gt;""</formula>
    </cfRule>
  </conditionalFormatting>
  <conditionalFormatting sqref="G1793:G1797">
    <cfRule type="expression" dxfId="2057" priority="3785">
      <formula>H1793&lt;&gt;""</formula>
    </cfRule>
  </conditionalFormatting>
  <conditionalFormatting sqref="I1793:I1797">
    <cfRule type="expression" dxfId="2056" priority="3784">
      <formula>B1801&lt;&gt;""</formula>
    </cfRule>
  </conditionalFormatting>
  <conditionalFormatting sqref="B1797">
    <cfRule type="expression" dxfId="2055" priority="3781">
      <formula>B1793&lt;&gt;""</formula>
    </cfRule>
  </conditionalFormatting>
  <conditionalFormatting sqref="F1797">
    <cfRule type="expression" dxfId="2054" priority="3778">
      <formula>F1793&lt;&gt;""</formula>
    </cfRule>
  </conditionalFormatting>
  <conditionalFormatting sqref="H1797">
    <cfRule type="expression" dxfId="2053" priority="3775">
      <formula>H1793&lt;&gt;""</formula>
    </cfRule>
  </conditionalFormatting>
  <conditionalFormatting sqref="F1789">
    <cfRule type="expression" dxfId="2052" priority="3772">
      <formula>F1785&lt;&gt;""</formula>
    </cfRule>
  </conditionalFormatting>
  <conditionalFormatting sqref="E1785:E1789">
    <cfRule type="expression" dxfId="2051" priority="3771">
      <formula>F1785&lt;&gt;""</formula>
    </cfRule>
  </conditionalFormatting>
  <conditionalFormatting sqref="G1785:G1789">
    <cfRule type="expression" dxfId="2050" priority="3770">
      <formula>H1785&lt;&gt;""</formula>
    </cfRule>
  </conditionalFormatting>
  <conditionalFormatting sqref="I1785:I1789">
    <cfRule type="expression" dxfId="2049" priority="3769">
      <formula>B1793&lt;&gt;""</formula>
    </cfRule>
  </conditionalFormatting>
  <conditionalFormatting sqref="H1789">
    <cfRule type="expression" dxfId="2048" priority="3766">
      <formula>H1785&lt;&gt;""</formula>
    </cfRule>
  </conditionalFormatting>
  <conditionalFormatting sqref="I1798:I1799 C1799:H1799 B1799:B1800">
    <cfRule type="expression" dxfId="2047" priority="3765">
      <formula>$B1801&lt;&gt;""</formula>
    </cfRule>
  </conditionalFormatting>
  <conditionalFormatting sqref="B1805">
    <cfRule type="expression" dxfId="2046" priority="3762">
      <formula>B1801&lt;&gt;""</formula>
    </cfRule>
  </conditionalFormatting>
  <conditionalFormatting sqref="F1805">
    <cfRule type="expression" dxfId="2045" priority="3759">
      <formula>F1801&lt;&gt;""</formula>
    </cfRule>
  </conditionalFormatting>
  <conditionalFormatting sqref="C1801:C1805">
    <cfRule type="expression" dxfId="2044" priority="3758">
      <formula>D1801&lt;&gt;""</formula>
    </cfRule>
  </conditionalFormatting>
  <conditionalFormatting sqref="E1801:E1805">
    <cfRule type="expression" dxfId="2043" priority="3757">
      <formula>F1801&lt;&gt;""</formula>
    </cfRule>
  </conditionalFormatting>
  <conditionalFormatting sqref="G1801:G1805">
    <cfRule type="expression" dxfId="2042" priority="3756">
      <formula>H1801&lt;&gt;""</formula>
    </cfRule>
  </conditionalFormatting>
  <conditionalFormatting sqref="H1805">
    <cfRule type="expression" dxfId="2041" priority="3753">
      <formula>H1801&lt;&gt;""</formula>
    </cfRule>
  </conditionalFormatting>
  <conditionalFormatting sqref="D1777">
    <cfRule type="expression" dxfId="2040" priority="3750">
      <formula>D1773&lt;&gt;""</formula>
    </cfRule>
  </conditionalFormatting>
  <conditionalFormatting sqref="I1762:I1763 C1763:H1763 B1763:B1764">
    <cfRule type="expression" dxfId="2039" priority="3749">
      <formula>$B1765&lt;&gt;""</formula>
    </cfRule>
  </conditionalFormatting>
  <conditionalFormatting sqref="D1769">
    <cfRule type="expression" dxfId="2038" priority="3746">
      <formula>D1765&lt;&gt;""</formula>
    </cfRule>
  </conditionalFormatting>
  <conditionalFormatting sqref="C1765:C1769">
    <cfRule type="expression" dxfId="2037" priority="3745">
      <formula>D1765&lt;&gt;""</formula>
    </cfRule>
  </conditionalFormatting>
  <conditionalFormatting sqref="E1765:E1769">
    <cfRule type="expression" dxfId="2036" priority="3744">
      <formula>F1765&lt;&gt;""</formula>
    </cfRule>
  </conditionalFormatting>
  <conditionalFormatting sqref="G1765:G1769">
    <cfRule type="expression" dxfId="2035" priority="3743">
      <formula>H1765&lt;&gt;""</formula>
    </cfRule>
  </conditionalFormatting>
  <conditionalFormatting sqref="I1765:I1769">
    <cfRule type="expression" dxfId="2034" priority="3742">
      <formula>B1773&lt;&gt;""</formula>
    </cfRule>
  </conditionalFormatting>
  <conditionalFormatting sqref="B1769">
    <cfRule type="expression" dxfId="2033" priority="3739">
      <formula>B1765&lt;&gt;""</formula>
    </cfRule>
  </conditionalFormatting>
  <conditionalFormatting sqref="F1769">
    <cfRule type="expression" dxfId="2032" priority="3736">
      <formula>F1765&lt;&gt;""</formula>
    </cfRule>
  </conditionalFormatting>
  <conditionalFormatting sqref="H1769">
    <cfRule type="expression" dxfId="2031" priority="3733">
      <formula>H1765&lt;&gt;""</formula>
    </cfRule>
  </conditionalFormatting>
  <conditionalFormatting sqref="F1761">
    <cfRule type="expression" dxfId="2030" priority="3730">
      <formula>F1757&lt;&gt;""</formula>
    </cfRule>
  </conditionalFormatting>
  <conditionalFormatting sqref="E1757:E1761">
    <cfRule type="expression" dxfId="2029" priority="3729">
      <formula>F1757&lt;&gt;""</formula>
    </cfRule>
  </conditionalFormatting>
  <conditionalFormatting sqref="G1757:G1761">
    <cfRule type="expression" dxfId="2028" priority="3728">
      <formula>H1757&lt;&gt;""</formula>
    </cfRule>
  </conditionalFormatting>
  <conditionalFormatting sqref="I1757:I1761">
    <cfRule type="expression" dxfId="2027" priority="3727">
      <formula>B1765&lt;&gt;""</formula>
    </cfRule>
  </conditionalFormatting>
  <conditionalFormatting sqref="H1761">
    <cfRule type="expression" dxfId="2026" priority="3724">
      <formula>H1757&lt;&gt;""</formula>
    </cfRule>
  </conditionalFormatting>
  <conditionalFormatting sqref="I1770:I1771 C1771:H1771 B1771:B1772">
    <cfRule type="expression" dxfId="2025" priority="3723">
      <formula>$B1773&lt;&gt;""</formula>
    </cfRule>
  </conditionalFormatting>
  <conditionalFormatting sqref="B1777">
    <cfRule type="expression" dxfId="2024" priority="3720">
      <formula>B1773&lt;&gt;""</formula>
    </cfRule>
  </conditionalFormatting>
  <conditionalFormatting sqref="F1777">
    <cfRule type="expression" dxfId="2023" priority="3717">
      <formula>F1773&lt;&gt;""</formula>
    </cfRule>
  </conditionalFormatting>
  <conditionalFormatting sqref="C1773:C1777">
    <cfRule type="expression" dxfId="2022" priority="3716">
      <formula>D1773&lt;&gt;""</formula>
    </cfRule>
  </conditionalFormatting>
  <conditionalFormatting sqref="E1773:E1777">
    <cfRule type="expression" dxfId="2021" priority="3715">
      <formula>F1773&lt;&gt;""</formula>
    </cfRule>
  </conditionalFormatting>
  <conditionalFormatting sqref="G1773:G1777">
    <cfRule type="expression" dxfId="2020" priority="3714">
      <formula>H1773&lt;&gt;""</formula>
    </cfRule>
  </conditionalFormatting>
  <conditionalFormatting sqref="H1777">
    <cfRule type="expression" dxfId="2019" priority="3711">
      <formula>H1773&lt;&gt;""</formula>
    </cfRule>
  </conditionalFormatting>
  <conditionalFormatting sqref="D1749">
    <cfRule type="expression" dxfId="2018" priority="3708">
      <formula>D1745&lt;&gt;""</formula>
    </cfRule>
  </conditionalFormatting>
  <conditionalFormatting sqref="I1734:I1735 C1735:H1735 B1735:B1736">
    <cfRule type="expression" dxfId="2017" priority="3707">
      <formula>$B1737&lt;&gt;""</formula>
    </cfRule>
  </conditionalFormatting>
  <conditionalFormatting sqref="D1741">
    <cfRule type="expression" dxfId="2016" priority="3704">
      <formula>D1737&lt;&gt;""</formula>
    </cfRule>
  </conditionalFormatting>
  <conditionalFormatting sqref="C1737:C1741">
    <cfRule type="expression" dxfId="2015" priority="3703">
      <formula>D1737&lt;&gt;""</formula>
    </cfRule>
  </conditionalFormatting>
  <conditionalFormatting sqref="E1737:E1741">
    <cfRule type="expression" dxfId="2014" priority="3702">
      <formula>F1737&lt;&gt;""</formula>
    </cfRule>
  </conditionalFormatting>
  <conditionalFormatting sqref="G1737:G1741">
    <cfRule type="expression" dxfId="2013" priority="3701">
      <formula>H1737&lt;&gt;""</formula>
    </cfRule>
  </conditionalFormatting>
  <conditionalFormatting sqref="I1737:I1741">
    <cfRule type="expression" dxfId="2012" priority="3700">
      <formula>B1745&lt;&gt;""</formula>
    </cfRule>
  </conditionalFormatting>
  <conditionalFormatting sqref="B1741">
    <cfRule type="expression" dxfId="2011" priority="3697">
      <formula>B1737&lt;&gt;""</formula>
    </cfRule>
  </conditionalFormatting>
  <conditionalFormatting sqref="F1741">
    <cfRule type="expression" dxfId="2010" priority="3694">
      <formula>F1737&lt;&gt;""</formula>
    </cfRule>
  </conditionalFormatting>
  <conditionalFormatting sqref="H1741">
    <cfRule type="expression" dxfId="2009" priority="3691">
      <formula>H1737&lt;&gt;""</formula>
    </cfRule>
  </conditionalFormatting>
  <conditionalFormatting sqref="F1733">
    <cfRule type="expression" dxfId="2008" priority="3688">
      <formula>F1729&lt;&gt;""</formula>
    </cfRule>
  </conditionalFormatting>
  <conditionalFormatting sqref="E1729:E1733">
    <cfRule type="expression" dxfId="2007" priority="3687">
      <formula>F1729&lt;&gt;""</formula>
    </cfRule>
  </conditionalFormatting>
  <conditionalFormatting sqref="G1729:G1733">
    <cfRule type="expression" dxfId="2006" priority="3686">
      <formula>H1729&lt;&gt;""</formula>
    </cfRule>
  </conditionalFormatting>
  <conditionalFormatting sqref="I1729:I1733">
    <cfRule type="expression" dxfId="2005" priority="3685">
      <formula>B1737&lt;&gt;""</formula>
    </cfRule>
  </conditionalFormatting>
  <conditionalFormatting sqref="H1733">
    <cfRule type="expression" dxfId="2004" priority="3682">
      <formula>H1729&lt;&gt;""</formula>
    </cfRule>
  </conditionalFormatting>
  <conditionalFormatting sqref="I1742:I1743 C1743:H1743 B1743:B1744">
    <cfRule type="expression" dxfId="2003" priority="3681">
      <formula>$B1745&lt;&gt;""</formula>
    </cfRule>
  </conditionalFormatting>
  <conditionalFormatting sqref="B1749">
    <cfRule type="expression" dxfId="2002" priority="3678">
      <formula>B1745&lt;&gt;""</formula>
    </cfRule>
  </conditionalFormatting>
  <conditionalFormatting sqref="F1749">
    <cfRule type="expression" dxfId="2001" priority="3675">
      <formula>F1745&lt;&gt;""</formula>
    </cfRule>
  </conditionalFormatting>
  <conditionalFormatting sqref="C1745:C1749">
    <cfRule type="expression" dxfId="2000" priority="3674">
      <formula>D1745&lt;&gt;""</formula>
    </cfRule>
  </conditionalFormatting>
  <conditionalFormatting sqref="E1745:E1749">
    <cfRule type="expression" dxfId="1999" priority="3673">
      <formula>F1745&lt;&gt;""</formula>
    </cfRule>
  </conditionalFormatting>
  <conditionalFormatting sqref="G1745:G1749">
    <cfRule type="expression" dxfId="1998" priority="3672">
      <formula>H1745&lt;&gt;""</formula>
    </cfRule>
  </conditionalFormatting>
  <conditionalFormatting sqref="H1749">
    <cfRule type="expression" dxfId="1997" priority="3669">
      <formula>H1745&lt;&gt;""</formula>
    </cfRule>
  </conditionalFormatting>
  <conditionalFormatting sqref="D1721">
    <cfRule type="expression" dxfId="1996" priority="3666">
      <formula>D1717&lt;&gt;""</formula>
    </cfRule>
  </conditionalFormatting>
  <conditionalFormatting sqref="I1706:I1707 C1707:H1707 B1707:B1708">
    <cfRule type="expression" dxfId="1995" priority="3665">
      <formula>$B1709&lt;&gt;""</formula>
    </cfRule>
  </conditionalFormatting>
  <conditionalFormatting sqref="D1713">
    <cfRule type="expression" dxfId="1994" priority="3662">
      <formula>D1709&lt;&gt;""</formula>
    </cfRule>
  </conditionalFormatting>
  <conditionalFormatting sqref="C1709:C1713">
    <cfRule type="expression" dxfId="1993" priority="3661">
      <formula>D1709&lt;&gt;""</formula>
    </cfRule>
  </conditionalFormatting>
  <conditionalFormatting sqref="E1709:E1713">
    <cfRule type="expression" dxfId="1992" priority="3660">
      <formula>F1709&lt;&gt;""</formula>
    </cfRule>
  </conditionalFormatting>
  <conditionalFormatting sqref="G1709:G1713">
    <cfRule type="expression" dxfId="1991" priority="3659">
      <formula>H1709&lt;&gt;""</formula>
    </cfRule>
  </conditionalFormatting>
  <conditionalFormatting sqref="I1709:I1713">
    <cfRule type="expression" dxfId="1990" priority="3658">
      <formula>B1717&lt;&gt;""</formula>
    </cfRule>
  </conditionalFormatting>
  <conditionalFormatting sqref="B1713">
    <cfRule type="expression" dxfId="1989" priority="3655">
      <formula>B1709&lt;&gt;""</formula>
    </cfRule>
  </conditionalFormatting>
  <conditionalFormatting sqref="F1713">
    <cfRule type="expression" dxfId="1988" priority="3652">
      <formula>F1709&lt;&gt;""</formula>
    </cfRule>
  </conditionalFormatting>
  <conditionalFormatting sqref="H1713">
    <cfRule type="expression" dxfId="1987" priority="3649">
      <formula>H1709&lt;&gt;""</formula>
    </cfRule>
  </conditionalFormatting>
  <conditionalFormatting sqref="F1705">
    <cfRule type="expression" dxfId="1986" priority="3646">
      <formula>F1701&lt;&gt;""</formula>
    </cfRule>
  </conditionalFormatting>
  <conditionalFormatting sqref="E1701:E1705">
    <cfRule type="expression" dxfId="1985" priority="3645">
      <formula>F1701&lt;&gt;""</formula>
    </cfRule>
  </conditionalFormatting>
  <conditionalFormatting sqref="G1701:G1705">
    <cfRule type="expression" dxfId="1984" priority="3644">
      <formula>H1701&lt;&gt;""</formula>
    </cfRule>
  </conditionalFormatting>
  <conditionalFormatting sqref="I1701:I1705">
    <cfRule type="expression" dxfId="1983" priority="3643">
      <formula>B1709&lt;&gt;""</formula>
    </cfRule>
  </conditionalFormatting>
  <conditionalFormatting sqref="H1705">
    <cfRule type="expression" dxfId="1982" priority="3640">
      <formula>H1701&lt;&gt;""</formula>
    </cfRule>
  </conditionalFormatting>
  <conditionalFormatting sqref="I1714:I1715 C1715:H1715 B1715:B1716">
    <cfRule type="expression" dxfId="1981" priority="3639">
      <formula>$B1717&lt;&gt;""</formula>
    </cfRule>
  </conditionalFormatting>
  <conditionalFormatting sqref="B1721">
    <cfRule type="expression" dxfId="1980" priority="3636">
      <formula>B1717&lt;&gt;""</formula>
    </cfRule>
  </conditionalFormatting>
  <conditionalFormatting sqref="F1721">
    <cfRule type="expression" dxfId="1979" priority="3633">
      <formula>F1717&lt;&gt;""</formula>
    </cfRule>
  </conditionalFormatting>
  <conditionalFormatting sqref="C1717:C1721">
    <cfRule type="expression" dxfId="1978" priority="3632">
      <formula>D1717&lt;&gt;""</formula>
    </cfRule>
  </conditionalFormatting>
  <conditionalFormatting sqref="E1717:E1721">
    <cfRule type="expression" dxfId="1977" priority="3631">
      <formula>F1717&lt;&gt;""</formula>
    </cfRule>
  </conditionalFormatting>
  <conditionalFormatting sqref="G1717:G1721">
    <cfRule type="expression" dxfId="1976" priority="3630">
      <formula>H1717&lt;&gt;""</formula>
    </cfRule>
  </conditionalFormatting>
  <conditionalFormatting sqref="H1721">
    <cfRule type="expression" dxfId="1975" priority="3627">
      <formula>H1717&lt;&gt;""</formula>
    </cfRule>
  </conditionalFormatting>
  <conditionalFormatting sqref="B1705">
    <cfRule type="expression" dxfId="1974" priority="3624">
      <formula>B1701&lt;&gt;""</formula>
    </cfRule>
  </conditionalFormatting>
  <conditionalFormatting sqref="C1701:C1705">
    <cfRule type="expression" dxfId="1973" priority="3623">
      <formula>D1701&lt;&gt;""</formula>
    </cfRule>
  </conditionalFormatting>
  <conditionalFormatting sqref="D1705">
    <cfRule type="expression" dxfId="1972" priority="3620">
      <formula>D1701&lt;&gt;""</formula>
    </cfRule>
  </conditionalFormatting>
  <conditionalFormatting sqref="B1733">
    <cfRule type="expression" dxfId="1971" priority="3617">
      <formula>B1729&lt;&gt;""</formula>
    </cfRule>
  </conditionalFormatting>
  <conditionalFormatting sqref="C1729:C1733">
    <cfRule type="expression" dxfId="1970" priority="3616">
      <formula>D1729&lt;&gt;""</formula>
    </cfRule>
  </conditionalFormatting>
  <conditionalFormatting sqref="D1733">
    <cfRule type="expression" dxfId="1969" priority="3613">
      <formula>D1729&lt;&gt;""</formula>
    </cfRule>
  </conditionalFormatting>
  <conditionalFormatting sqref="B1761">
    <cfRule type="expression" dxfId="1968" priority="3610">
      <formula>B1757&lt;&gt;""</formula>
    </cfRule>
  </conditionalFormatting>
  <conditionalFormatting sqref="C1757:C1761">
    <cfRule type="expression" dxfId="1967" priority="3609">
      <formula>D1757&lt;&gt;""</formula>
    </cfRule>
  </conditionalFormatting>
  <conditionalFormatting sqref="D1761">
    <cfRule type="expression" dxfId="1966" priority="3606">
      <formula>D1757&lt;&gt;""</formula>
    </cfRule>
  </conditionalFormatting>
  <conditionalFormatting sqref="B1789">
    <cfRule type="expression" dxfId="1965" priority="3603">
      <formula>B1785&lt;&gt;""</formula>
    </cfRule>
  </conditionalFormatting>
  <conditionalFormatting sqref="C1785:C1789">
    <cfRule type="expression" dxfId="1964" priority="3602">
      <formula>D1785&lt;&gt;""</formula>
    </cfRule>
  </conditionalFormatting>
  <conditionalFormatting sqref="D1789">
    <cfRule type="expression" dxfId="1963" priority="3599">
      <formula>D1785&lt;&gt;""</formula>
    </cfRule>
  </conditionalFormatting>
  <conditionalFormatting sqref="B1817">
    <cfRule type="expression" dxfId="1962" priority="3596">
      <formula>B1813&lt;&gt;""</formula>
    </cfRule>
  </conditionalFormatting>
  <conditionalFormatting sqref="C1813:C1817">
    <cfRule type="expression" dxfId="1961" priority="3595">
      <formula>D1813&lt;&gt;""</formula>
    </cfRule>
  </conditionalFormatting>
  <conditionalFormatting sqref="D1817">
    <cfRule type="expression" dxfId="1960" priority="3592">
      <formula>D1813&lt;&gt;""</formula>
    </cfRule>
  </conditionalFormatting>
  <conditionalFormatting sqref="B1845">
    <cfRule type="expression" dxfId="1959" priority="3589">
      <formula>B1841&lt;&gt;""</formula>
    </cfRule>
  </conditionalFormatting>
  <conditionalFormatting sqref="C1841:C1845">
    <cfRule type="expression" dxfId="1958" priority="3588">
      <formula>D1841&lt;&gt;""</formula>
    </cfRule>
  </conditionalFormatting>
  <conditionalFormatting sqref="D1845">
    <cfRule type="expression" dxfId="1957" priority="3585">
      <formula>D1841&lt;&gt;""</formula>
    </cfRule>
  </conditionalFormatting>
  <conditionalFormatting sqref="B1873">
    <cfRule type="expression" dxfId="1956" priority="3582">
      <formula>B1869&lt;&gt;""</formula>
    </cfRule>
  </conditionalFormatting>
  <conditionalFormatting sqref="C1869:C1873">
    <cfRule type="expression" dxfId="1955" priority="3581">
      <formula>D1869&lt;&gt;""</formula>
    </cfRule>
  </conditionalFormatting>
  <conditionalFormatting sqref="D1873">
    <cfRule type="expression" dxfId="1954" priority="3578">
      <formula>D1869&lt;&gt;""</formula>
    </cfRule>
  </conditionalFormatting>
  <conditionalFormatting sqref="D1917">
    <cfRule type="expression" dxfId="1953" priority="3575">
      <formula>D1913&lt;&gt;""</formula>
    </cfRule>
  </conditionalFormatting>
  <conditionalFormatting sqref="D1909">
    <cfRule type="expression" dxfId="1952" priority="3572">
      <formula>D1905&lt;&gt;""</formula>
    </cfRule>
  </conditionalFormatting>
  <conditionalFormatting sqref="C1905:C1909">
    <cfRule type="expression" dxfId="1951" priority="3571">
      <formula>D1905&lt;&gt;""</formula>
    </cfRule>
  </conditionalFormatting>
  <conditionalFormatting sqref="E1905:E1909">
    <cfRule type="expression" dxfId="1950" priority="3570">
      <formula>F1905&lt;&gt;""</formula>
    </cfRule>
  </conditionalFormatting>
  <conditionalFormatting sqref="G1905:G1909">
    <cfRule type="expression" dxfId="1949" priority="3569">
      <formula>H1905&lt;&gt;""</formula>
    </cfRule>
  </conditionalFormatting>
  <conditionalFormatting sqref="I1905:I1909">
    <cfRule type="expression" dxfId="1948" priority="3568">
      <formula>B1913&lt;&gt;""</formula>
    </cfRule>
  </conditionalFormatting>
  <conditionalFormatting sqref="B1909">
    <cfRule type="expression" dxfId="1947" priority="3565">
      <formula>B1905&lt;&gt;""</formula>
    </cfRule>
  </conditionalFormatting>
  <conditionalFormatting sqref="F1909">
    <cfRule type="expression" dxfId="1946" priority="3562">
      <formula>F1905&lt;&gt;""</formula>
    </cfRule>
  </conditionalFormatting>
  <conditionalFormatting sqref="H1909">
    <cfRule type="expression" dxfId="1945" priority="3559">
      <formula>H1905&lt;&gt;""</formula>
    </cfRule>
  </conditionalFormatting>
  <conditionalFormatting sqref="F1901">
    <cfRule type="expression" dxfId="1944" priority="3556">
      <formula>F1897&lt;&gt;""</formula>
    </cfRule>
  </conditionalFormatting>
  <conditionalFormatting sqref="E1897:E1901">
    <cfRule type="expression" dxfId="1943" priority="3555">
      <formula>F1897&lt;&gt;""</formula>
    </cfRule>
  </conditionalFormatting>
  <conditionalFormatting sqref="G1897:G1901">
    <cfRule type="expression" dxfId="1942" priority="3554">
      <formula>H1897&lt;&gt;""</formula>
    </cfRule>
  </conditionalFormatting>
  <conditionalFormatting sqref="I1897:I1901">
    <cfRule type="expression" dxfId="1941" priority="3553">
      <formula>B1905&lt;&gt;""</formula>
    </cfRule>
  </conditionalFormatting>
  <conditionalFormatting sqref="H1901">
    <cfRule type="expression" dxfId="1940" priority="3550">
      <formula>H1897&lt;&gt;""</formula>
    </cfRule>
  </conditionalFormatting>
  <conditionalFormatting sqref="B1917">
    <cfRule type="expression" dxfId="1939" priority="3547">
      <formula>B1913&lt;&gt;""</formula>
    </cfRule>
  </conditionalFormatting>
  <conditionalFormatting sqref="F1917">
    <cfRule type="expression" dxfId="1938" priority="3544">
      <formula>F1913&lt;&gt;""</formula>
    </cfRule>
  </conditionalFormatting>
  <conditionalFormatting sqref="C1913:C1917">
    <cfRule type="expression" dxfId="1937" priority="3543">
      <formula>D1913&lt;&gt;""</formula>
    </cfRule>
  </conditionalFormatting>
  <conditionalFormatting sqref="E1913:E1917">
    <cfRule type="expression" dxfId="1936" priority="3542">
      <formula>F1913&lt;&gt;""</formula>
    </cfRule>
  </conditionalFormatting>
  <conditionalFormatting sqref="G1913:G1917">
    <cfRule type="expression" dxfId="1935" priority="3541">
      <formula>H1913&lt;&gt;""</formula>
    </cfRule>
  </conditionalFormatting>
  <conditionalFormatting sqref="H1917">
    <cfRule type="expression" dxfId="1934" priority="3538">
      <formula>H1913&lt;&gt;""</formula>
    </cfRule>
  </conditionalFormatting>
  <conditionalFormatting sqref="D1945">
    <cfRule type="expression" dxfId="1933" priority="3535">
      <formula>D1941&lt;&gt;""</formula>
    </cfRule>
  </conditionalFormatting>
  <conditionalFormatting sqref="D1937">
    <cfRule type="expression" dxfId="1932" priority="3532">
      <formula>D1933&lt;&gt;""</formula>
    </cfRule>
  </conditionalFormatting>
  <conditionalFormatting sqref="C1933:C1937">
    <cfRule type="expression" dxfId="1931" priority="3531">
      <formula>D1933&lt;&gt;""</formula>
    </cfRule>
  </conditionalFormatting>
  <conditionalFormatting sqref="E1933:E1937">
    <cfRule type="expression" dxfId="1930" priority="3530">
      <formula>F1933&lt;&gt;""</formula>
    </cfRule>
  </conditionalFormatting>
  <conditionalFormatting sqref="G1933:G1937">
    <cfRule type="expression" dxfId="1929" priority="3529">
      <formula>H1933&lt;&gt;""</formula>
    </cfRule>
  </conditionalFormatting>
  <conditionalFormatting sqref="I1933:I1937">
    <cfRule type="expression" dxfId="1928" priority="3528">
      <formula>B1941&lt;&gt;""</formula>
    </cfRule>
  </conditionalFormatting>
  <conditionalFormatting sqref="B1937">
    <cfRule type="expression" dxfId="1927" priority="3525">
      <formula>B1933&lt;&gt;""</formula>
    </cfRule>
  </conditionalFormatting>
  <conditionalFormatting sqref="F1937">
    <cfRule type="expression" dxfId="1926" priority="3522">
      <formula>F1933&lt;&gt;""</formula>
    </cfRule>
  </conditionalFormatting>
  <conditionalFormatting sqref="H1937">
    <cfRule type="expression" dxfId="1925" priority="3519">
      <formula>H1933&lt;&gt;""</formula>
    </cfRule>
  </conditionalFormatting>
  <conditionalFormatting sqref="F1929">
    <cfRule type="expression" dxfId="1924" priority="3516">
      <formula>F1925&lt;&gt;""</formula>
    </cfRule>
  </conditionalFormatting>
  <conditionalFormatting sqref="E1925:E1929">
    <cfRule type="expression" dxfId="1923" priority="3515">
      <formula>F1925&lt;&gt;""</formula>
    </cfRule>
  </conditionalFormatting>
  <conditionalFormatting sqref="G1925:G1929">
    <cfRule type="expression" dxfId="1922" priority="3514">
      <formula>H1925&lt;&gt;""</formula>
    </cfRule>
  </conditionalFormatting>
  <conditionalFormatting sqref="I1925:I1929">
    <cfRule type="expression" dxfId="1921" priority="3513">
      <formula>B1933&lt;&gt;""</formula>
    </cfRule>
  </conditionalFormatting>
  <conditionalFormatting sqref="H1929">
    <cfRule type="expression" dxfId="1920" priority="3510">
      <formula>H1925&lt;&gt;""</formula>
    </cfRule>
  </conditionalFormatting>
  <conditionalFormatting sqref="B1945">
    <cfRule type="expression" dxfId="1919" priority="3507">
      <formula>B1941&lt;&gt;""</formula>
    </cfRule>
  </conditionalFormatting>
  <conditionalFormatting sqref="F1945">
    <cfRule type="expression" dxfId="1918" priority="3504">
      <formula>F1941&lt;&gt;""</formula>
    </cfRule>
  </conditionalFormatting>
  <conditionalFormatting sqref="C1941:C1945">
    <cfRule type="expression" dxfId="1917" priority="3503">
      <formula>D1941&lt;&gt;""</formula>
    </cfRule>
  </conditionalFormatting>
  <conditionalFormatting sqref="E1941:E1945">
    <cfRule type="expression" dxfId="1916" priority="3502">
      <formula>F1941&lt;&gt;""</formula>
    </cfRule>
  </conditionalFormatting>
  <conditionalFormatting sqref="G1941:G1945">
    <cfRule type="expression" dxfId="1915" priority="3501">
      <formula>H1941&lt;&gt;""</formula>
    </cfRule>
  </conditionalFormatting>
  <conditionalFormatting sqref="H1945">
    <cfRule type="expression" dxfId="1914" priority="3498">
      <formula>H1941&lt;&gt;""</formula>
    </cfRule>
  </conditionalFormatting>
  <conditionalFormatting sqref="B1931:B1932 C1931:I1931 I1930">
    <cfRule type="expression" dxfId="1913" priority="3496">
      <formula>$B1933&lt;&gt;""</formula>
    </cfRule>
  </conditionalFormatting>
  <conditionalFormatting sqref="B1939:B1940 C1939:I1939 I1938">
    <cfRule type="expression" dxfId="1912" priority="3495">
      <formula>$B1941&lt;&gt;""</formula>
    </cfRule>
  </conditionalFormatting>
  <conditionalFormatting sqref="D1973">
    <cfRule type="expression" dxfId="1911" priority="3492">
      <formula>D1969&lt;&gt;""</formula>
    </cfRule>
  </conditionalFormatting>
  <conditionalFormatting sqref="D1965">
    <cfRule type="expression" dxfId="1910" priority="3489">
      <formula>D1961&lt;&gt;""</formula>
    </cfRule>
  </conditionalFormatting>
  <conditionalFormatting sqref="C1961:C1965">
    <cfRule type="expression" dxfId="1909" priority="3488">
      <formula>D1961&lt;&gt;""</formula>
    </cfRule>
  </conditionalFormatting>
  <conditionalFormatting sqref="E1961:E1965">
    <cfRule type="expression" dxfId="1908" priority="3487">
      <formula>F1961&lt;&gt;""</formula>
    </cfRule>
  </conditionalFormatting>
  <conditionalFormatting sqref="G1961:G1965">
    <cfRule type="expression" dxfId="1907" priority="3486">
      <formula>H1961&lt;&gt;""</formula>
    </cfRule>
  </conditionalFormatting>
  <conditionalFormatting sqref="I1961:I1965">
    <cfRule type="expression" dxfId="1906" priority="3485">
      <formula>B1969&lt;&gt;""</formula>
    </cfRule>
  </conditionalFormatting>
  <conditionalFormatting sqref="B1965">
    <cfRule type="expression" dxfId="1905" priority="3482">
      <formula>B1961&lt;&gt;""</formula>
    </cfRule>
  </conditionalFormatting>
  <conditionalFormatting sqref="F1965">
    <cfRule type="expression" dxfId="1904" priority="3479">
      <formula>F1961&lt;&gt;""</formula>
    </cfRule>
  </conditionalFormatting>
  <conditionalFormatting sqref="H1965">
    <cfRule type="expression" dxfId="1903" priority="3476">
      <formula>H1961&lt;&gt;""</formula>
    </cfRule>
  </conditionalFormatting>
  <conditionalFormatting sqref="F1957">
    <cfRule type="expression" dxfId="1902" priority="3473">
      <formula>F1953&lt;&gt;""</formula>
    </cfRule>
  </conditionalFormatting>
  <conditionalFormatting sqref="E1953:E1957">
    <cfRule type="expression" dxfId="1901" priority="3472">
      <formula>F1953&lt;&gt;""</formula>
    </cfRule>
  </conditionalFormatting>
  <conditionalFormatting sqref="G1953:G1957">
    <cfRule type="expression" dxfId="1900" priority="3471">
      <formula>H1953&lt;&gt;""</formula>
    </cfRule>
  </conditionalFormatting>
  <conditionalFormatting sqref="I1953:I1957">
    <cfRule type="expression" dxfId="1899" priority="3470">
      <formula>B1961&lt;&gt;""</formula>
    </cfRule>
  </conditionalFormatting>
  <conditionalFormatting sqref="H1957">
    <cfRule type="expression" dxfId="1898" priority="3467">
      <formula>H1953&lt;&gt;""</formula>
    </cfRule>
  </conditionalFormatting>
  <conditionalFormatting sqref="B1973">
    <cfRule type="expression" dxfId="1897" priority="3464">
      <formula>B1969&lt;&gt;""</formula>
    </cfRule>
  </conditionalFormatting>
  <conditionalFormatting sqref="F1973">
    <cfRule type="expression" dxfId="1896" priority="3461">
      <formula>F1969&lt;&gt;""</formula>
    </cfRule>
  </conditionalFormatting>
  <conditionalFormatting sqref="C1969:C1973">
    <cfRule type="expression" dxfId="1895" priority="3460">
      <formula>D1969&lt;&gt;""</formula>
    </cfRule>
  </conditionalFormatting>
  <conditionalFormatting sqref="E1969:E1973">
    <cfRule type="expression" dxfId="1894" priority="3459">
      <formula>F1969&lt;&gt;""</formula>
    </cfRule>
  </conditionalFormatting>
  <conditionalFormatting sqref="G1969:G1973">
    <cfRule type="expression" dxfId="1893" priority="3458">
      <formula>H1969&lt;&gt;""</formula>
    </cfRule>
  </conditionalFormatting>
  <conditionalFormatting sqref="H1973">
    <cfRule type="expression" dxfId="1892" priority="3455">
      <formula>H1969&lt;&gt;""</formula>
    </cfRule>
  </conditionalFormatting>
  <conditionalFormatting sqref="B1959:B1960 C1959:I1959 I1958">
    <cfRule type="expression" dxfId="1891" priority="3453">
      <formula>$B1961&lt;&gt;""</formula>
    </cfRule>
  </conditionalFormatting>
  <conditionalFormatting sqref="B1967:B1968 C1967:I1967 I1966">
    <cfRule type="expression" dxfId="1890" priority="3452">
      <formula>$B1969&lt;&gt;""</formula>
    </cfRule>
  </conditionalFormatting>
  <conditionalFormatting sqref="B1901">
    <cfRule type="expression" dxfId="1889" priority="3449">
      <formula>B1897&lt;&gt;""</formula>
    </cfRule>
  </conditionalFormatting>
  <conditionalFormatting sqref="C1897:C1901">
    <cfRule type="expression" dxfId="1888" priority="3448">
      <formula>D1897&lt;&gt;""</formula>
    </cfRule>
  </conditionalFormatting>
  <conditionalFormatting sqref="D1901">
    <cfRule type="expression" dxfId="1887" priority="3445">
      <formula>D1897&lt;&gt;""</formula>
    </cfRule>
  </conditionalFormatting>
  <conditionalFormatting sqref="B1929">
    <cfRule type="expression" dxfId="1886" priority="3443">
      <formula>B1925&lt;&gt;""</formula>
    </cfRule>
  </conditionalFormatting>
  <conditionalFormatting sqref="C1925:C1929">
    <cfRule type="expression" dxfId="1885" priority="3442">
      <formula>D1925&lt;&gt;""</formula>
    </cfRule>
  </conditionalFormatting>
  <conditionalFormatting sqref="D1929">
    <cfRule type="expression" dxfId="1884" priority="3439">
      <formula>D1925&lt;&gt;""</formula>
    </cfRule>
  </conditionalFormatting>
  <conditionalFormatting sqref="B1957">
    <cfRule type="expression" dxfId="1883" priority="3437">
      <formula>B1953&lt;&gt;""</formula>
    </cfRule>
  </conditionalFormatting>
  <conditionalFormatting sqref="C1953:C1957">
    <cfRule type="expression" dxfId="1882" priority="3436">
      <formula>D1953&lt;&gt;""</formula>
    </cfRule>
  </conditionalFormatting>
  <conditionalFormatting sqref="D1957">
    <cfRule type="expression" dxfId="1881" priority="3433">
      <formula>D1953&lt;&gt;""</formula>
    </cfRule>
  </conditionalFormatting>
  <conditionalFormatting sqref="B1911:B1912 C1911:I1911 I1910">
    <cfRule type="expression" dxfId="1880" priority="3432">
      <formula>$B1913&lt;&gt;""</formula>
    </cfRule>
  </conditionalFormatting>
  <conditionalFormatting sqref="B1903:B1904 C1903:I1903 I1902">
    <cfRule type="expression" dxfId="1879" priority="3431">
      <formula>$B1905&lt;&gt;""</formula>
    </cfRule>
  </conditionalFormatting>
  <conditionalFormatting sqref="D2171">
    <cfRule type="expression" dxfId="1878" priority="3428">
      <formula>D2167&lt;&gt;""</formula>
    </cfRule>
  </conditionalFormatting>
  <conditionalFormatting sqref="I2156:I2157 C2157:H2157 B2157:B2158">
    <cfRule type="expression" dxfId="1877" priority="3427">
      <formula>$B2159&lt;&gt;""</formula>
    </cfRule>
  </conditionalFormatting>
  <conditionalFormatting sqref="D2163">
    <cfRule type="expression" dxfId="1876" priority="3424">
      <formula>D2159&lt;&gt;""</formula>
    </cfRule>
  </conditionalFormatting>
  <conditionalFormatting sqref="C2159:C2163">
    <cfRule type="expression" dxfId="1875" priority="3423">
      <formula>D2159&lt;&gt;""</formula>
    </cfRule>
  </conditionalFormatting>
  <conditionalFormatting sqref="E2159:E2163">
    <cfRule type="expression" dxfId="1874" priority="3422">
      <formula>F2159&lt;&gt;""</formula>
    </cfRule>
  </conditionalFormatting>
  <conditionalFormatting sqref="G2159:G2163">
    <cfRule type="expression" dxfId="1873" priority="3421">
      <formula>H2159&lt;&gt;""</formula>
    </cfRule>
  </conditionalFormatting>
  <conditionalFormatting sqref="I2159:I2163">
    <cfRule type="expression" dxfId="1872" priority="3420">
      <formula>B2167&lt;&gt;""</formula>
    </cfRule>
  </conditionalFormatting>
  <conditionalFormatting sqref="B2163">
    <cfRule type="expression" dxfId="1871" priority="3417">
      <formula>B2159&lt;&gt;""</formula>
    </cfRule>
  </conditionalFormatting>
  <conditionalFormatting sqref="F2163">
    <cfRule type="expression" dxfId="1870" priority="3414">
      <formula>F2159&lt;&gt;""</formula>
    </cfRule>
  </conditionalFormatting>
  <conditionalFormatting sqref="H2163">
    <cfRule type="expression" dxfId="1869" priority="3411">
      <formula>H2159&lt;&gt;""</formula>
    </cfRule>
  </conditionalFormatting>
  <conditionalFormatting sqref="F2155">
    <cfRule type="expression" dxfId="1868" priority="3408">
      <formula>F2151&lt;&gt;""</formula>
    </cfRule>
  </conditionalFormatting>
  <conditionalFormatting sqref="E2151:E2155">
    <cfRule type="expression" dxfId="1867" priority="3407">
      <formula>F2151&lt;&gt;""</formula>
    </cfRule>
  </conditionalFormatting>
  <conditionalFormatting sqref="G2151:G2155">
    <cfRule type="expression" dxfId="1866" priority="3406">
      <formula>H2151&lt;&gt;""</formula>
    </cfRule>
  </conditionalFormatting>
  <conditionalFormatting sqref="I2151:I2155">
    <cfRule type="expression" dxfId="1865" priority="3405">
      <formula>B2159&lt;&gt;""</formula>
    </cfRule>
  </conditionalFormatting>
  <conditionalFormatting sqref="H2155">
    <cfRule type="expression" dxfId="1864" priority="3402">
      <formula>H2151&lt;&gt;""</formula>
    </cfRule>
  </conditionalFormatting>
  <conditionalFormatting sqref="I2164:I2165 C2165:H2165 B2165:B2166">
    <cfRule type="expression" dxfId="1863" priority="3401">
      <formula>$B2167&lt;&gt;""</formula>
    </cfRule>
  </conditionalFormatting>
  <conditionalFormatting sqref="B2171">
    <cfRule type="expression" dxfId="1862" priority="3398">
      <formula>B2167&lt;&gt;""</formula>
    </cfRule>
  </conditionalFormatting>
  <conditionalFormatting sqref="F2171">
    <cfRule type="expression" dxfId="1861" priority="3395">
      <formula>F2167&lt;&gt;""</formula>
    </cfRule>
  </conditionalFormatting>
  <conditionalFormatting sqref="C2167:C2171">
    <cfRule type="expression" dxfId="1860" priority="3394">
      <formula>D2167&lt;&gt;""</formula>
    </cfRule>
  </conditionalFormatting>
  <conditionalFormatting sqref="E2167:E2171">
    <cfRule type="expression" dxfId="1859" priority="3393">
      <formula>F2167&lt;&gt;""</formula>
    </cfRule>
  </conditionalFormatting>
  <conditionalFormatting sqref="G2167:G2171">
    <cfRule type="expression" dxfId="1858" priority="3392">
      <formula>H2167&lt;&gt;""</formula>
    </cfRule>
  </conditionalFormatting>
  <conditionalFormatting sqref="H2171">
    <cfRule type="expression" dxfId="1857" priority="3389">
      <formula>H2167&lt;&gt;""</formula>
    </cfRule>
  </conditionalFormatting>
  <conditionalFormatting sqref="D2143">
    <cfRule type="expression" dxfId="1856" priority="3386">
      <formula>D2139&lt;&gt;""</formula>
    </cfRule>
  </conditionalFormatting>
  <conditionalFormatting sqref="I2128:I2129 C2129:H2129 B2129:B2130">
    <cfRule type="expression" dxfId="1855" priority="3385">
      <formula>$B2131&lt;&gt;""</formula>
    </cfRule>
  </conditionalFormatting>
  <conditionalFormatting sqref="D2135">
    <cfRule type="expression" dxfId="1854" priority="3382">
      <formula>D2131&lt;&gt;""</formula>
    </cfRule>
  </conditionalFormatting>
  <conditionalFormatting sqref="C2131:C2135">
    <cfRule type="expression" dxfId="1853" priority="3381">
      <formula>D2131&lt;&gt;""</formula>
    </cfRule>
  </conditionalFormatting>
  <conditionalFormatting sqref="E2131:E2135">
    <cfRule type="expression" dxfId="1852" priority="3380">
      <formula>F2131&lt;&gt;""</formula>
    </cfRule>
  </conditionalFormatting>
  <conditionalFormatting sqref="G2131:G2135">
    <cfRule type="expression" dxfId="1851" priority="3379">
      <formula>H2131&lt;&gt;""</formula>
    </cfRule>
  </conditionalFormatting>
  <conditionalFormatting sqref="I2131:I2135">
    <cfRule type="expression" dxfId="1850" priority="3378">
      <formula>B2139&lt;&gt;""</formula>
    </cfRule>
  </conditionalFormatting>
  <conditionalFormatting sqref="B2135">
    <cfRule type="expression" dxfId="1849" priority="3375">
      <formula>B2131&lt;&gt;""</formula>
    </cfRule>
  </conditionalFormatting>
  <conditionalFormatting sqref="F2135">
    <cfRule type="expression" dxfId="1848" priority="3372">
      <formula>F2131&lt;&gt;""</formula>
    </cfRule>
  </conditionalFormatting>
  <conditionalFormatting sqref="H2135">
    <cfRule type="expression" dxfId="1847" priority="3369">
      <formula>H2131&lt;&gt;""</formula>
    </cfRule>
  </conditionalFormatting>
  <conditionalFormatting sqref="F2127">
    <cfRule type="expression" dxfId="1846" priority="3366">
      <formula>F2123&lt;&gt;""</formula>
    </cfRule>
  </conditionalFormatting>
  <conditionalFormatting sqref="E2123:E2127">
    <cfRule type="expression" dxfId="1845" priority="3365">
      <formula>F2123&lt;&gt;""</formula>
    </cfRule>
  </conditionalFormatting>
  <conditionalFormatting sqref="G2123:G2127">
    <cfRule type="expression" dxfId="1844" priority="3364">
      <formula>H2123&lt;&gt;""</formula>
    </cfRule>
  </conditionalFormatting>
  <conditionalFormatting sqref="I2123:I2127">
    <cfRule type="expression" dxfId="1843" priority="3363">
      <formula>B2131&lt;&gt;""</formula>
    </cfRule>
  </conditionalFormatting>
  <conditionalFormatting sqref="H2127">
    <cfRule type="expression" dxfId="1842" priority="3360">
      <formula>H2123&lt;&gt;""</formula>
    </cfRule>
  </conditionalFormatting>
  <conditionalFormatting sqref="I2136:I2137 C2137:H2137 B2137:B2138">
    <cfRule type="expression" dxfId="1841" priority="3359">
      <formula>$B2139&lt;&gt;""</formula>
    </cfRule>
  </conditionalFormatting>
  <conditionalFormatting sqref="B2143">
    <cfRule type="expression" dxfId="1840" priority="3356">
      <formula>B2139&lt;&gt;""</formula>
    </cfRule>
  </conditionalFormatting>
  <conditionalFormatting sqref="F2143">
    <cfRule type="expression" dxfId="1839" priority="3353">
      <formula>F2139&lt;&gt;""</formula>
    </cfRule>
  </conditionalFormatting>
  <conditionalFormatting sqref="C2139:C2143">
    <cfRule type="expression" dxfId="1838" priority="3352">
      <formula>D2139&lt;&gt;""</formula>
    </cfRule>
  </conditionalFormatting>
  <conditionalFormatting sqref="E2139:E2143">
    <cfRule type="expression" dxfId="1837" priority="3351">
      <formula>F2139&lt;&gt;""</formula>
    </cfRule>
  </conditionalFormatting>
  <conditionalFormatting sqref="G2139:G2143">
    <cfRule type="expression" dxfId="1836" priority="3350">
      <formula>H2139&lt;&gt;""</formula>
    </cfRule>
  </conditionalFormatting>
  <conditionalFormatting sqref="H2143">
    <cfRule type="expression" dxfId="1835" priority="3347">
      <formula>H2139&lt;&gt;""</formula>
    </cfRule>
  </conditionalFormatting>
  <conditionalFormatting sqref="D2115">
    <cfRule type="expression" dxfId="1834" priority="3344">
      <formula>D2111&lt;&gt;""</formula>
    </cfRule>
  </conditionalFormatting>
  <conditionalFormatting sqref="I2100:I2101 C2101:H2101 B2101:B2102">
    <cfRule type="expression" dxfId="1833" priority="3343">
      <formula>$B2103&lt;&gt;""</formula>
    </cfRule>
  </conditionalFormatting>
  <conditionalFormatting sqref="D2107">
    <cfRule type="expression" dxfId="1832" priority="3340">
      <formula>D2103&lt;&gt;""</formula>
    </cfRule>
  </conditionalFormatting>
  <conditionalFormatting sqref="C2103:C2107">
    <cfRule type="expression" dxfId="1831" priority="3339">
      <formula>D2103&lt;&gt;""</formula>
    </cfRule>
  </conditionalFormatting>
  <conditionalFormatting sqref="E2103:E2107">
    <cfRule type="expression" dxfId="1830" priority="3338">
      <formula>F2103&lt;&gt;""</formula>
    </cfRule>
  </conditionalFormatting>
  <conditionalFormatting sqref="G2103:G2107">
    <cfRule type="expression" dxfId="1829" priority="3337">
      <formula>H2103&lt;&gt;""</formula>
    </cfRule>
  </conditionalFormatting>
  <conditionalFormatting sqref="I2103:I2107">
    <cfRule type="expression" dxfId="1828" priority="3336">
      <formula>B2111&lt;&gt;""</formula>
    </cfRule>
  </conditionalFormatting>
  <conditionalFormatting sqref="B2107">
    <cfRule type="expression" dxfId="1827" priority="3333">
      <formula>B2103&lt;&gt;""</formula>
    </cfRule>
  </conditionalFormatting>
  <conditionalFormatting sqref="F2107">
    <cfRule type="expression" dxfId="1826" priority="3330">
      <formula>F2103&lt;&gt;""</formula>
    </cfRule>
  </conditionalFormatting>
  <conditionalFormatting sqref="H2107">
    <cfRule type="expression" dxfId="1825" priority="3327">
      <formula>H2103&lt;&gt;""</formula>
    </cfRule>
  </conditionalFormatting>
  <conditionalFormatting sqref="F2099">
    <cfRule type="expression" dxfId="1824" priority="3324">
      <formula>F2095&lt;&gt;""</formula>
    </cfRule>
  </conditionalFormatting>
  <conditionalFormatting sqref="E2095:E2099">
    <cfRule type="expression" dxfId="1823" priority="3323">
      <formula>F2095&lt;&gt;""</formula>
    </cfRule>
  </conditionalFormatting>
  <conditionalFormatting sqref="G2095:G2099">
    <cfRule type="expression" dxfId="1822" priority="3322">
      <formula>H2095&lt;&gt;""</formula>
    </cfRule>
  </conditionalFormatting>
  <conditionalFormatting sqref="I2095:I2099">
    <cfRule type="expression" dxfId="1821" priority="3321">
      <formula>B2103&lt;&gt;""</formula>
    </cfRule>
  </conditionalFormatting>
  <conditionalFormatting sqref="H2099">
    <cfRule type="expression" dxfId="1820" priority="3318">
      <formula>H2095&lt;&gt;""</formula>
    </cfRule>
  </conditionalFormatting>
  <conditionalFormatting sqref="I2108:I2109 C2109:H2109 B2109:B2110">
    <cfRule type="expression" dxfId="1819" priority="3317">
      <formula>$B2111&lt;&gt;""</formula>
    </cfRule>
  </conditionalFormatting>
  <conditionalFormatting sqref="B2115">
    <cfRule type="expression" dxfId="1818" priority="3314">
      <formula>B2111&lt;&gt;""</formula>
    </cfRule>
  </conditionalFormatting>
  <conditionalFormatting sqref="F2115">
    <cfRule type="expression" dxfId="1817" priority="3311">
      <formula>F2111&lt;&gt;""</formula>
    </cfRule>
  </conditionalFormatting>
  <conditionalFormatting sqref="C2111:C2115">
    <cfRule type="expression" dxfId="1816" priority="3310">
      <formula>D2111&lt;&gt;""</formula>
    </cfRule>
  </conditionalFormatting>
  <conditionalFormatting sqref="E2111:E2115">
    <cfRule type="expression" dxfId="1815" priority="3309">
      <formula>F2111&lt;&gt;""</formula>
    </cfRule>
  </conditionalFormatting>
  <conditionalFormatting sqref="G2111:G2115">
    <cfRule type="expression" dxfId="1814" priority="3308">
      <formula>H2111&lt;&gt;""</formula>
    </cfRule>
  </conditionalFormatting>
  <conditionalFormatting sqref="H2115">
    <cfRule type="expression" dxfId="1813" priority="3305">
      <formula>H2111&lt;&gt;""</formula>
    </cfRule>
  </conditionalFormatting>
  <conditionalFormatting sqref="D2087">
    <cfRule type="expression" dxfId="1812" priority="3302">
      <formula>D2083&lt;&gt;""</formula>
    </cfRule>
  </conditionalFormatting>
  <conditionalFormatting sqref="I2072:I2073 C2073:H2073 B2073:B2074">
    <cfRule type="expression" dxfId="1811" priority="3301">
      <formula>$B2075&lt;&gt;""</formula>
    </cfRule>
  </conditionalFormatting>
  <conditionalFormatting sqref="D2079">
    <cfRule type="expression" dxfId="1810" priority="3298">
      <formula>D2075&lt;&gt;""</formula>
    </cfRule>
  </conditionalFormatting>
  <conditionalFormatting sqref="C2075:C2079">
    <cfRule type="expression" dxfId="1809" priority="3297">
      <formula>D2075&lt;&gt;""</formula>
    </cfRule>
  </conditionalFormatting>
  <conditionalFormatting sqref="E2075:E2079">
    <cfRule type="expression" dxfId="1808" priority="3296">
      <formula>F2075&lt;&gt;""</formula>
    </cfRule>
  </conditionalFormatting>
  <conditionalFormatting sqref="G2075:G2079">
    <cfRule type="expression" dxfId="1807" priority="3295">
      <formula>H2075&lt;&gt;""</formula>
    </cfRule>
  </conditionalFormatting>
  <conditionalFormatting sqref="I2075:I2079">
    <cfRule type="expression" dxfId="1806" priority="3294">
      <formula>B2083&lt;&gt;""</formula>
    </cfRule>
  </conditionalFormatting>
  <conditionalFormatting sqref="B2079">
    <cfRule type="expression" dxfId="1805" priority="3291">
      <formula>B2075&lt;&gt;""</formula>
    </cfRule>
  </conditionalFormatting>
  <conditionalFormatting sqref="F2079">
    <cfRule type="expression" dxfId="1804" priority="3288">
      <formula>F2075&lt;&gt;""</formula>
    </cfRule>
  </conditionalFormatting>
  <conditionalFormatting sqref="H2079">
    <cfRule type="expression" dxfId="1803" priority="3285">
      <formula>H2075&lt;&gt;""</formula>
    </cfRule>
  </conditionalFormatting>
  <conditionalFormatting sqref="F2071">
    <cfRule type="expression" dxfId="1802" priority="3282">
      <formula>F2067&lt;&gt;""</formula>
    </cfRule>
  </conditionalFormatting>
  <conditionalFormatting sqref="E2067:E2071">
    <cfRule type="expression" dxfId="1801" priority="3281">
      <formula>F2067&lt;&gt;""</formula>
    </cfRule>
  </conditionalFormatting>
  <conditionalFormatting sqref="G2067:G2071">
    <cfRule type="expression" dxfId="1800" priority="3280">
      <formula>H2067&lt;&gt;""</formula>
    </cfRule>
  </conditionalFormatting>
  <conditionalFormatting sqref="I2067:I2071">
    <cfRule type="expression" dxfId="1799" priority="3279">
      <formula>B2075&lt;&gt;""</formula>
    </cfRule>
  </conditionalFormatting>
  <conditionalFormatting sqref="H2071">
    <cfRule type="expression" dxfId="1798" priority="3276">
      <formula>H2067&lt;&gt;""</formula>
    </cfRule>
  </conditionalFormatting>
  <conditionalFormatting sqref="I2080:I2081 C2081:H2081 B2081:B2082">
    <cfRule type="expression" dxfId="1797" priority="3275">
      <formula>$B2083&lt;&gt;""</formula>
    </cfRule>
  </conditionalFormatting>
  <conditionalFormatting sqref="B2087">
    <cfRule type="expression" dxfId="1796" priority="3272">
      <formula>B2083&lt;&gt;""</formula>
    </cfRule>
  </conditionalFormatting>
  <conditionalFormatting sqref="F2087">
    <cfRule type="expression" dxfId="1795" priority="3269">
      <formula>F2083&lt;&gt;""</formula>
    </cfRule>
  </conditionalFormatting>
  <conditionalFormatting sqref="C2083:C2087">
    <cfRule type="expression" dxfId="1794" priority="3268">
      <formula>D2083&lt;&gt;""</formula>
    </cfRule>
  </conditionalFormatting>
  <conditionalFormatting sqref="E2083:E2087">
    <cfRule type="expression" dxfId="1793" priority="3267">
      <formula>F2083&lt;&gt;""</formula>
    </cfRule>
  </conditionalFormatting>
  <conditionalFormatting sqref="G2083:G2087">
    <cfRule type="expression" dxfId="1792" priority="3266">
      <formula>H2083&lt;&gt;""</formula>
    </cfRule>
  </conditionalFormatting>
  <conditionalFormatting sqref="H2087">
    <cfRule type="expression" dxfId="1791" priority="3263">
      <formula>H2083&lt;&gt;""</formula>
    </cfRule>
  </conditionalFormatting>
  <conditionalFormatting sqref="D2059">
    <cfRule type="expression" dxfId="1790" priority="3260">
      <formula>D2055&lt;&gt;""</formula>
    </cfRule>
  </conditionalFormatting>
  <conditionalFormatting sqref="I2044:I2045 C2045:H2045 B2045:B2046">
    <cfRule type="expression" dxfId="1789" priority="3259">
      <formula>$B2047&lt;&gt;""</formula>
    </cfRule>
  </conditionalFormatting>
  <conditionalFormatting sqref="D2051">
    <cfRule type="expression" dxfId="1788" priority="3256">
      <formula>D2047&lt;&gt;""</formula>
    </cfRule>
  </conditionalFormatting>
  <conditionalFormatting sqref="C2047:C2051">
    <cfRule type="expression" dxfId="1787" priority="3255">
      <formula>D2047&lt;&gt;""</formula>
    </cfRule>
  </conditionalFormatting>
  <conditionalFormatting sqref="E2047:E2051">
    <cfRule type="expression" dxfId="1786" priority="3254">
      <formula>F2047&lt;&gt;""</formula>
    </cfRule>
  </conditionalFormatting>
  <conditionalFormatting sqref="G2047:G2051">
    <cfRule type="expression" dxfId="1785" priority="3253">
      <formula>H2047&lt;&gt;""</formula>
    </cfRule>
  </conditionalFormatting>
  <conditionalFormatting sqref="I2047:I2051">
    <cfRule type="expression" dxfId="1784" priority="3252">
      <formula>B2055&lt;&gt;""</formula>
    </cfRule>
  </conditionalFormatting>
  <conditionalFormatting sqref="B2051">
    <cfRule type="expression" dxfId="1783" priority="3249">
      <formula>B2047&lt;&gt;""</formula>
    </cfRule>
  </conditionalFormatting>
  <conditionalFormatting sqref="F2051">
    <cfRule type="expression" dxfId="1782" priority="3246">
      <formula>F2047&lt;&gt;""</formula>
    </cfRule>
  </conditionalFormatting>
  <conditionalFormatting sqref="H2051">
    <cfRule type="expression" dxfId="1781" priority="3243">
      <formula>H2047&lt;&gt;""</formula>
    </cfRule>
  </conditionalFormatting>
  <conditionalFormatting sqref="F2043">
    <cfRule type="expression" dxfId="1780" priority="3240">
      <formula>F2039&lt;&gt;""</formula>
    </cfRule>
  </conditionalFormatting>
  <conditionalFormatting sqref="E2039:E2043">
    <cfRule type="expression" dxfId="1779" priority="3239">
      <formula>F2039&lt;&gt;""</formula>
    </cfRule>
  </conditionalFormatting>
  <conditionalFormatting sqref="G2039:G2043">
    <cfRule type="expression" dxfId="1778" priority="3238">
      <formula>H2039&lt;&gt;""</formula>
    </cfRule>
  </conditionalFormatting>
  <conditionalFormatting sqref="I2039:I2043">
    <cfRule type="expression" dxfId="1777" priority="3237">
      <formula>B2047&lt;&gt;""</formula>
    </cfRule>
  </conditionalFormatting>
  <conditionalFormatting sqref="H2043">
    <cfRule type="expression" dxfId="1776" priority="3234">
      <formula>H2039&lt;&gt;""</formula>
    </cfRule>
  </conditionalFormatting>
  <conditionalFormatting sqref="I2052:I2053 C2053:H2053 B2053:B2054">
    <cfRule type="expression" dxfId="1775" priority="3233">
      <formula>$B2055&lt;&gt;""</formula>
    </cfRule>
  </conditionalFormatting>
  <conditionalFormatting sqref="B2059">
    <cfRule type="expression" dxfId="1774" priority="3230">
      <formula>B2055&lt;&gt;""</formula>
    </cfRule>
  </conditionalFormatting>
  <conditionalFormatting sqref="F2059">
    <cfRule type="expression" dxfId="1773" priority="3227">
      <formula>F2055&lt;&gt;""</formula>
    </cfRule>
  </conditionalFormatting>
  <conditionalFormatting sqref="C2055:C2059">
    <cfRule type="expression" dxfId="1772" priority="3226">
      <formula>D2055&lt;&gt;""</formula>
    </cfRule>
  </conditionalFormatting>
  <conditionalFormatting sqref="E2055:E2059">
    <cfRule type="expression" dxfId="1771" priority="3225">
      <formula>F2055&lt;&gt;""</formula>
    </cfRule>
  </conditionalFormatting>
  <conditionalFormatting sqref="G2055:G2059">
    <cfRule type="expression" dxfId="1770" priority="3224">
      <formula>H2055&lt;&gt;""</formula>
    </cfRule>
  </conditionalFormatting>
  <conditionalFormatting sqref="H2059">
    <cfRule type="expression" dxfId="1769" priority="3221">
      <formula>H2055&lt;&gt;""</formula>
    </cfRule>
  </conditionalFormatting>
  <conditionalFormatting sqref="D2031">
    <cfRule type="expression" dxfId="1768" priority="3218">
      <formula>D2027&lt;&gt;""</formula>
    </cfRule>
  </conditionalFormatting>
  <conditionalFormatting sqref="I2016:I2017 C2017:H2017 B2017:B2018">
    <cfRule type="expression" dxfId="1767" priority="3217">
      <formula>$B2019&lt;&gt;""</formula>
    </cfRule>
  </conditionalFormatting>
  <conditionalFormatting sqref="D2023">
    <cfRule type="expression" dxfId="1766" priority="3214">
      <formula>D2019&lt;&gt;""</formula>
    </cfRule>
  </conditionalFormatting>
  <conditionalFormatting sqref="C2019:C2023">
    <cfRule type="expression" dxfId="1765" priority="3213">
      <formula>D2019&lt;&gt;""</formula>
    </cfRule>
  </conditionalFormatting>
  <conditionalFormatting sqref="E2019:E2023">
    <cfRule type="expression" dxfId="1764" priority="3212">
      <formula>F2019&lt;&gt;""</formula>
    </cfRule>
  </conditionalFormatting>
  <conditionalFormatting sqref="G2019:G2023">
    <cfRule type="expression" dxfId="1763" priority="3211">
      <formula>H2019&lt;&gt;""</formula>
    </cfRule>
  </conditionalFormatting>
  <conditionalFormatting sqref="I2019:I2023">
    <cfRule type="expression" dxfId="1762" priority="3210">
      <formula>B2027&lt;&gt;""</formula>
    </cfRule>
  </conditionalFormatting>
  <conditionalFormatting sqref="B2023">
    <cfRule type="expression" dxfId="1761" priority="3207">
      <formula>B2019&lt;&gt;""</formula>
    </cfRule>
  </conditionalFormatting>
  <conditionalFormatting sqref="F2023">
    <cfRule type="expression" dxfId="1760" priority="3204">
      <formula>F2019&lt;&gt;""</formula>
    </cfRule>
  </conditionalFormatting>
  <conditionalFormatting sqref="H2023">
    <cfRule type="expression" dxfId="1759" priority="3201">
      <formula>H2019&lt;&gt;""</formula>
    </cfRule>
  </conditionalFormatting>
  <conditionalFormatting sqref="F2015">
    <cfRule type="expression" dxfId="1758" priority="3198">
      <formula>F2011&lt;&gt;""</formula>
    </cfRule>
  </conditionalFormatting>
  <conditionalFormatting sqref="E2011:E2015">
    <cfRule type="expression" dxfId="1757" priority="3197">
      <formula>F2011&lt;&gt;""</formula>
    </cfRule>
  </conditionalFormatting>
  <conditionalFormatting sqref="G2011:G2015">
    <cfRule type="expression" dxfId="1756" priority="3196">
      <formula>H2011&lt;&gt;""</formula>
    </cfRule>
  </conditionalFormatting>
  <conditionalFormatting sqref="I2011:I2015">
    <cfRule type="expression" dxfId="1755" priority="3195">
      <formula>B2019&lt;&gt;""</formula>
    </cfRule>
  </conditionalFormatting>
  <conditionalFormatting sqref="H2015">
    <cfRule type="expression" dxfId="1754" priority="3192">
      <formula>H2011&lt;&gt;""</formula>
    </cfRule>
  </conditionalFormatting>
  <conditionalFormatting sqref="I2024:I2025 C2025:H2025 B2025:B2026">
    <cfRule type="expression" dxfId="1753" priority="3191">
      <formula>$B2027&lt;&gt;""</formula>
    </cfRule>
  </conditionalFormatting>
  <conditionalFormatting sqref="B2031">
    <cfRule type="expression" dxfId="1752" priority="3188">
      <formula>B2027&lt;&gt;""</formula>
    </cfRule>
  </conditionalFormatting>
  <conditionalFormatting sqref="F2031">
    <cfRule type="expression" dxfId="1751" priority="3185">
      <formula>F2027&lt;&gt;""</formula>
    </cfRule>
  </conditionalFormatting>
  <conditionalFormatting sqref="C2027:C2031">
    <cfRule type="expression" dxfId="1750" priority="3184">
      <formula>D2027&lt;&gt;""</formula>
    </cfRule>
  </conditionalFormatting>
  <conditionalFormatting sqref="E2027:E2031">
    <cfRule type="expression" dxfId="1749" priority="3183">
      <formula>F2027&lt;&gt;""</formula>
    </cfRule>
  </conditionalFormatting>
  <conditionalFormatting sqref="G2027:G2031">
    <cfRule type="expression" dxfId="1748" priority="3182">
      <formula>H2027&lt;&gt;""</formula>
    </cfRule>
  </conditionalFormatting>
  <conditionalFormatting sqref="H2031">
    <cfRule type="expression" dxfId="1747" priority="3179">
      <formula>H2027&lt;&gt;""</formula>
    </cfRule>
  </conditionalFormatting>
  <conditionalFormatting sqref="D2003">
    <cfRule type="expression" dxfId="1746" priority="3176">
      <formula>D1999&lt;&gt;""</formula>
    </cfRule>
  </conditionalFormatting>
  <conditionalFormatting sqref="I1988:I1989 C1989:H1989 B1989:B1990">
    <cfRule type="expression" dxfId="1745" priority="3175">
      <formula>$B1991&lt;&gt;""</formula>
    </cfRule>
  </conditionalFormatting>
  <conditionalFormatting sqref="D1995">
    <cfRule type="expression" dxfId="1744" priority="3172">
      <formula>D1991&lt;&gt;""</formula>
    </cfRule>
  </conditionalFormatting>
  <conditionalFormatting sqref="C1991:C1995">
    <cfRule type="expression" dxfId="1743" priority="3171">
      <formula>D1991&lt;&gt;""</formula>
    </cfRule>
  </conditionalFormatting>
  <conditionalFormatting sqref="E1991:E1995">
    <cfRule type="expression" dxfId="1742" priority="3170">
      <formula>F1991&lt;&gt;""</formula>
    </cfRule>
  </conditionalFormatting>
  <conditionalFormatting sqref="G1991:G1995">
    <cfRule type="expression" dxfId="1741" priority="3169">
      <formula>H1991&lt;&gt;""</formula>
    </cfRule>
  </conditionalFormatting>
  <conditionalFormatting sqref="I1991:I1995">
    <cfRule type="expression" dxfId="1740" priority="3168">
      <formula>B1999&lt;&gt;""</formula>
    </cfRule>
  </conditionalFormatting>
  <conditionalFormatting sqref="B1995">
    <cfRule type="expression" dxfId="1739" priority="3165">
      <formula>B1991&lt;&gt;""</formula>
    </cfRule>
  </conditionalFormatting>
  <conditionalFormatting sqref="F1995">
    <cfRule type="expression" dxfId="1738" priority="3162">
      <formula>F1991&lt;&gt;""</formula>
    </cfRule>
  </conditionalFormatting>
  <conditionalFormatting sqref="H1995">
    <cfRule type="expression" dxfId="1737" priority="3159">
      <formula>H1991&lt;&gt;""</formula>
    </cfRule>
  </conditionalFormatting>
  <conditionalFormatting sqref="F1987">
    <cfRule type="expression" dxfId="1736" priority="3156">
      <formula>F1983&lt;&gt;""</formula>
    </cfRule>
  </conditionalFormatting>
  <conditionalFormatting sqref="E1983:E1987">
    <cfRule type="expression" dxfId="1735" priority="3155">
      <formula>F1983&lt;&gt;""</formula>
    </cfRule>
  </conditionalFormatting>
  <conditionalFormatting sqref="G1983:G1987">
    <cfRule type="expression" dxfId="1734" priority="3154">
      <formula>H1983&lt;&gt;""</formula>
    </cfRule>
  </conditionalFormatting>
  <conditionalFormatting sqref="I1983:I1987">
    <cfRule type="expression" dxfId="1733" priority="3153">
      <formula>B1991&lt;&gt;""</formula>
    </cfRule>
  </conditionalFormatting>
  <conditionalFormatting sqref="H1987">
    <cfRule type="expression" dxfId="1732" priority="3150">
      <formula>H1983&lt;&gt;""</formula>
    </cfRule>
  </conditionalFormatting>
  <conditionalFormatting sqref="I1996:I1997 C1997:H1997 B1997:B1998">
    <cfRule type="expression" dxfId="1731" priority="3149">
      <formula>$B1999&lt;&gt;""</formula>
    </cfRule>
  </conditionalFormatting>
  <conditionalFormatting sqref="B2003">
    <cfRule type="expression" dxfId="1730" priority="3146">
      <formula>B1999&lt;&gt;""</formula>
    </cfRule>
  </conditionalFormatting>
  <conditionalFormatting sqref="F2003">
    <cfRule type="expression" dxfId="1729" priority="3143">
      <formula>F1999&lt;&gt;""</formula>
    </cfRule>
  </conditionalFormatting>
  <conditionalFormatting sqref="C1999:C2003">
    <cfRule type="expression" dxfId="1728" priority="3142">
      <formula>D1999&lt;&gt;""</formula>
    </cfRule>
  </conditionalFormatting>
  <conditionalFormatting sqref="E1999:E2003">
    <cfRule type="expression" dxfId="1727" priority="3141">
      <formula>F1999&lt;&gt;""</formula>
    </cfRule>
  </conditionalFormatting>
  <conditionalFormatting sqref="G1999:G2003">
    <cfRule type="expression" dxfId="1726" priority="3140">
      <formula>H1999&lt;&gt;""</formula>
    </cfRule>
  </conditionalFormatting>
  <conditionalFormatting sqref="H2003">
    <cfRule type="expression" dxfId="1725" priority="3137">
      <formula>H1999&lt;&gt;""</formula>
    </cfRule>
  </conditionalFormatting>
  <conditionalFormatting sqref="B1987">
    <cfRule type="expression" dxfId="1724" priority="3134">
      <formula>B1983&lt;&gt;""</formula>
    </cfRule>
  </conditionalFormatting>
  <conditionalFormatting sqref="C1983:C1987">
    <cfRule type="expression" dxfId="1723" priority="3133">
      <formula>D1983&lt;&gt;""</formula>
    </cfRule>
  </conditionalFormatting>
  <conditionalFormatting sqref="D1987">
    <cfRule type="expression" dxfId="1722" priority="3130">
      <formula>D1983&lt;&gt;""</formula>
    </cfRule>
  </conditionalFormatting>
  <conditionalFormatting sqref="B2015">
    <cfRule type="expression" dxfId="1721" priority="3127">
      <formula>B2011&lt;&gt;""</formula>
    </cfRule>
  </conditionalFormatting>
  <conditionalFormatting sqref="C2011:C2015">
    <cfRule type="expression" dxfId="1720" priority="3126">
      <formula>D2011&lt;&gt;""</formula>
    </cfRule>
  </conditionalFormatting>
  <conditionalFormatting sqref="D2015">
    <cfRule type="expression" dxfId="1719" priority="3123">
      <formula>D2011&lt;&gt;""</formula>
    </cfRule>
  </conditionalFormatting>
  <conditionalFormatting sqref="B2043">
    <cfRule type="expression" dxfId="1718" priority="3120">
      <formula>B2039&lt;&gt;""</formula>
    </cfRule>
  </conditionalFormatting>
  <conditionalFormatting sqref="C2039:C2043">
    <cfRule type="expression" dxfId="1717" priority="3119">
      <formula>D2039&lt;&gt;""</formula>
    </cfRule>
  </conditionalFormatting>
  <conditionalFormatting sqref="D2043">
    <cfRule type="expression" dxfId="1716" priority="3116">
      <formula>D2039&lt;&gt;""</formula>
    </cfRule>
  </conditionalFormatting>
  <conditionalFormatting sqref="B2071">
    <cfRule type="expression" dxfId="1715" priority="3113">
      <formula>B2067&lt;&gt;""</formula>
    </cfRule>
  </conditionalFormatting>
  <conditionalFormatting sqref="C2067:C2071">
    <cfRule type="expression" dxfId="1714" priority="3112">
      <formula>D2067&lt;&gt;""</formula>
    </cfRule>
  </conditionalFormatting>
  <conditionalFormatting sqref="D2071">
    <cfRule type="expression" dxfId="1713" priority="3109">
      <formula>D2067&lt;&gt;""</formula>
    </cfRule>
  </conditionalFormatting>
  <conditionalFormatting sqref="B2099">
    <cfRule type="expression" dxfId="1712" priority="3106">
      <formula>B2095&lt;&gt;""</formula>
    </cfRule>
  </conditionalFormatting>
  <conditionalFormatting sqref="C2095:C2099">
    <cfRule type="expression" dxfId="1711" priority="3105">
      <formula>D2095&lt;&gt;""</formula>
    </cfRule>
  </conditionalFormatting>
  <conditionalFormatting sqref="D2099">
    <cfRule type="expression" dxfId="1710" priority="3102">
      <formula>D2095&lt;&gt;""</formula>
    </cfRule>
  </conditionalFormatting>
  <conditionalFormatting sqref="B2127">
    <cfRule type="expression" dxfId="1709" priority="3099">
      <formula>B2123&lt;&gt;""</formula>
    </cfRule>
  </conditionalFormatting>
  <conditionalFormatting sqref="C2123:C2127">
    <cfRule type="expression" dxfId="1708" priority="3098">
      <formula>D2123&lt;&gt;""</formula>
    </cfRule>
  </conditionalFormatting>
  <conditionalFormatting sqref="D2127">
    <cfRule type="expression" dxfId="1707" priority="3095">
      <formula>D2123&lt;&gt;""</formula>
    </cfRule>
  </conditionalFormatting>
  <conditionalFormatting sqref="B2155">
    <cfRule type="expression" dxfId="1706" priority="3092">
      <formula>B2151&lt;&gt;""</formula>
    </cfRule>
  </conditionalFormatting>
  <conditionalFormatting sqref="C2151:C2155">
    <cfRule type="expression" dxfId="1705" priority="3091">
      <formula>D2151&lt;&gt;""</formula>
    </cfRule>
  </conditionalFormatting>
  <conditionalFormatting sqref="D2155">
    <cfRule type="expression" dxfId="1704" priority="3088">
      <formula>D2151&lt;&gt;""</formula>
    </cfRule>
  </conditionalFormatting>
  <conditionalFormatting sqref="D2199">
    <cfRule type="expression" dxfId="1703" priority="3085">
      <formula>D2195&lt;&gt;""</formula>
    </cfRule>
  </conditionalFormatting>
  <conditionalFormatting sqref="D2191">
    <cfRule type="expression" dxfId="1702" priority="3082">
      <formula>D2187&lt;&gt;""</formula>
    </cfRule>
  </conditionalFormatting>
  <conditionalFormatting sqref="C2187:C2191">
    <cfRule type="expression" dxfId="1701" priority="3081">
      <formula>D2187&lt;&gt;""</formula>
    </cfRule>
  </conditionalFormatting>
  <conditionalFormatting sqref="E2187:E2191">
    <cfRule type="expression" dxfId="1700" priority="3080">
      <formula>F2187&lt;&gt;""</formula>
    </cfRule>
  </conditionalFormatting>
  <conditionalFormatting sqref="G2187:G2191">
    <cfRule type="expression" dxfId="1699" priority="3079">
      <formula>H2187&lt;&gt;""</formula>
    </cfRule>
  </conditionalFormatting>
  <conditionalFormatting sqref="I2187:I2191">
    <cfRule type="expression" dxfId="1698" priority="3078">
      <formula>B2195&lt;&gt;""</formula>
    </cfRule>
  </conditionalFormatting>
  <conditionalFormatting sqref="B2191">
    <cfRule type="expression" dxfId="1697" priority="3075">
      <formula>B2187&lt;&gt;""</formula>
    </cfRule>
  </conditionalFormatting>
  <conditionalFormatting sqref="F2191">
    <cfRule type="expression" dxfId="1696" priority="3072">
      <formula>F2187&lt;&gt;""</formula>
    </cfRule>
  </conditionalFormatting>
  <conditionalFormatting sqref="H2191">
    <cfRule type="expression" dxfId="1695" priority="3069">
      <formula>H2187&lt;&gt;""</formula>
    </cfRule>
  </conditionalFormatting>
  <conditionalFormatting sqref="F2183">
    <cfRule type="expression" dxfId="1694" priority="3066">
      <formula>F2179&lt;&gt;""</formula>
    </cfRule>
  </conditionalFormatting>
  <conditionalFormatting sqref="E2179:E2183">
    <cfRule type="expression" dxfId="1693" priority="3065">
      <formula>F2179&lt;&gt;""</formula>
    </cfRule>
  </conditionalFormatting>
  <conditionalFormatting sqref="G2179:G2183">
    <cfRule type="expression" dxfId="1692" priority="3064">
      <formula>H2179&lt;&gt;""</formula>
    </cfRule>
  </conditionalFormatting>
  <conditionalFormatting sqref="I2179:I2183">
    <cfRule type="expression" dxfId="1691" priority="3063">
      <formula>B2187&lt;&gt;""</formula>
    </cfRule>
  </conditionalFormatting>
  <conditionalFormatting sqref="H2183">
    <cfRule type="expression" dxfId="1690" priority="3060">
      <formula>H2179&lt;&gt;""</formula>
    </cfRule>
  </conditionalFormatting>
  <conditionalFormatting sqref="B2199">
    <cfRule type="expression" dxfId="1689" priority="3057">
      <formula>B2195&lt;&gt;""</formula>
    </cfRule>
  </conditionalFormatting>
  <conditionalFormatting sqref="F2199">
    <cfRule type="expression" dxfId="1688" priority="3054">
      <formula>F2195&lt;&gt;""</formula>
    </cfRule>
  </conditionalFormatting>
  <conditionalFormatting sqref="C2195:C2199">
    <cfRule type="expression" dxfId="1687" priority="3053">
      <formula>D2195&lt;&gt;""</formula>
    </cfRule>
  </conditionalFormatting>
  <conditionalFormatting sqref="E2195:E2199">
    <cfRule type="expression" dxfId="1686" priority="3052">
      <formula>F2195&lt;&gt;""</formula>
    </cfRule>
  </conditionalFormatting>
  <conditionalFormatting sqref="G2195:G2199">
    <cfRule type="expression" dxfId="1685" priority="3051">
      <formula>H2195&lt;&gt;""</formula>
    </cfRule>
  </conditionalFormatting>
  <conditionalFormatting sqref="H2199">
    <cfRule type="expression" dxfId="1684" priority="3048">
      <formula>H2195&lt;&gt;""</formula>
    </cfRule>
  </conditionalFormatting>
  <conditionalFormatting sqref="D2227">
    <cfRule type="expression" dxfId="1683" priority="3045">
      <formula>D2223&lt;&gt;""</formula>
    </cfRule>
  </conditionalFormatting>
  <conditionalFormatting sqref="D2219">
    <cfRule type="expression" dxfId="1682" priority="3042">
      <formula>D2215&lt;&gt;""</formula>
    </cfRule>
  </conditionalFormatting>
  <conditionalFormatting sqref="C2215:C2219">
    <cfRule type="expression" dxfId="1681" priority="3041">
      <formula>D2215&lt;&gt;""</formula>
    </cfRule>
  </conditionalFormatting>
  <conditionalFormatting sqref="E2215:E2219">
    <cfRule type="expression" dxfId="1680" priority="3040">
      <formula>F2215&lt;&gt;""</formula>
    </cfRule>
  </conditionalFormatting>
  <conditionalFormatting sqref="G2215:G2219">
    <cfRule type="expression" dxfId="1679" priority="3039">
      <formula>H2215&lt;&gt;""</formula>
    </cfRule>
  </conditionalFormatting>
  <conditionalFormatting sqref="I2215:I2219">
    <cfRule type="expression" dxfId="1678" priority="3038">
      <formula>B2223&lt;&gt;""</formula>
    </cfRule>
  </conditionalFormatting>
  <conditionalFormatting sqref="B2219">
    <cfRule type="expression" dxfId="1677" priority="3035">
      <formula>B2215&lt;&gt;""</formula>
    </cfRule>
  </conditionalFormatting>
  <conditionalFormatting sqref="F2219">
    <cfRule type="expression" dxfId="1676" priority="3032">
      <formula>F2215&lt;&gt;""</formula>
    </cfRule>
  </conditionalFormatting>
  <conditionalFormatting sqref="H2219">
    <cfRule type="expression" dxfId="1675" priority="3029">
      <formula>H2215&lt;&gt;""</formula>
    </cfRule>
  </conditionalFormatting>
  <conditionalFormatting sqref="F2211">
    <cfRule type="expression" dxfId="1674" priority="3026">
      <formula>F2207&lt;&gt;""</formula>
    </cfRule>
  </conditionalFormatting>
  <conditionalFormatting sqref="E2207:E2211">
    <cfRule type="expression" dxfId="1673" priority="3025">
      <formula>F2207&lt;&gt;""</formula>
    </cfRule>
  </conditionalFormatting>
  <conditionalFormatting sqref="G2207:G2211">
    <cfRule type="expression" dxfId="1672" priority="3024">
      <formula>H2207&lt;&gt;""</formula>
    </cfRule>
  </conditionalFormatting>
  <conditionalFormatting sqref="I2207:I2211">
    <cfRule type="expression" dxfId="1671" priority="3023">
      <formula>B2215&lt;&gt;""</formula>
    </cfRule>
  </conditionalFormatting>
  <conditionalFormatting sqref="H2211">
    <cfRule type="expression" dxfId="1670" priority="3020">
      <formula>H2207&lt;&gt;""</formula>
    </cfRule>
  </conditionalFormatting>
  <conditionalFormatting sqref="B2227">
    <cfRule type="expression" dxfId="1669" priority="3017">
      <formula>B2223&lt;&gt;""</formula>
    </cfRule>
  </conditionalFormatting>
  <conditionalFormatting sqref="F2227">
    <cfRule type="expression" dxfId="1668" priority="3014">
      <formula>F2223&lt;&gt;""</formula>
    </cfRule>
  </conditionalFormatting>
  <conditionalFormatting sqref="C2223:C2227">
    <cfRule type="expression" dxfId="1667" priority="3013">
      <formula>D2223&lt;&gt;""</formula>
    </cfRule>
  </conditionalFormatting>
  <conditionalFormatting sqref="E2223:E2227">
    <cfRule type="expression" dxfId="1666" priority="3012">
      <formula>F2223&lt;&gt;""</formula>
    </cfRule>
  </conditionalFormatting>
  <conditionalFormatting sqref="G2223:G2227">
    <cfRule type="expression" dxfId="1665" priority="3011">
      <formula>H2223&lt;&gt;""</formula>
    </cfRule>
  </conditionalFormatting>
  <conditionalFormatting sqref="H2227">
    <cfRule type="expression" dxfId="1664" priority="3008">
      <formula>H2223&lt;&gt;""</formula>
    </cfRule>
  </conditionalFormatting>
  <conditionalFormatting sqref="B2213:B2214 C2213:I2213 I2212">
    <cfRule type="expression" dxfId="1663" priority="3006">
      <formula>$B2215&lt;&gt;""</formula>
    </cfRule>
  </conditionalFormatting>
  <conditionalFormatting sqref="B2221:B2222 C2221:I2221 I2220">
    <cfRule type="expression" dxfId="1662" priority="3005">
      <formula>$B2223&lt;&gt;""</formula>
    </cfRule>
  </conditionalFormatting>
  <conditionalFormatting sqref="D2255">
    <cfRule type="expression" dxfId="1661" priority="3002">
      <formula>D2251&lt;&gt;""</formula>
    </cfRule>
  </conditionalFormatting>
  <conditionalFormatting sqref="D2247">
    <cfRule type="expression" dxfId="1660" priority="2999">
      <formula>D2243&lt;&gt;""</formula>
    </cfRule>
  </conditionalFormatting>
  <conditionalFormatting sqref="C2243:C2247">
    <cfRule type="expression" dxfId="1659" priority="2998">
      <formula>D2243&lt;&gt;""</formula>
    </cfRule>
  </conditionalFormatting>
  <conditionalFormatting sqref="E2243:E2247">
    <cfRule type="expression" dxfId="1658" priority="2997">
      <formula>F2243&lt;&gt;""</formula>
    </cfRule>
  </conditionalFormatting>
  <conditionalFormatting sqref="G2243:G2247">
    <cfRule type="expression" dxfId="1657" priority="2996">
      <formula>H2243&lt;&gt;""</formula>
    </cfRule>
  </conditionalFormatting>
  <conditionalFormatting sqref="I2243:I2247">
    <cfRule type="expression" dxfId="1656" priority="2995">
      <formula>B2251&lt;&gt;""</formula>
    </cfRule>
  </conditionalFormatting>
  <conditionalFormatting sqref="B2247">
    <cfRule type="expression" dxfId="1655" priority="2992">
      <formula>B2243&lt;&gt;""</formula>
    </cfRule>
  </conditionalFormatting>
  <conditionalFormatting sqref="F2247">
    <cfRule type="expression" dxfId="1654" priority="2989">
      <formula>F2243&lt;&gt;""</formula>
    </cfRule>
  </conditionalFormatting>
  <conditionalFormatting sqref="H2247">
    <cfRule type="expression" dxfId="1653" priority="2986">
      <formula>H2243&lt;&gt;""</formula>
    </cfRule>
  </conditionalFormatting>
  <conditionalFormatting sqref="F2239">
    <cfRule type="expression" dxfId="1652" priority="2983">
      <formula>F2235&lt;&gt;""</formula>
    </cfRule>
  </conditionalFormatting>
  <conditionalFormatting sqref="E2235:E2239">
    <cfRule type="expression" dxfId="1651" priority="2982">
      <formula>F2235&lt;&gt;""</formula>
    </cfRule>
  </conditionalFormatting>
  <conditionalFormatting sqref="G2235:G2239">
    <cfRule type="expression" dxfId="1650" priority="2981">
      <formula>H2235&lt;&gt;""</formula>
    </cfRule>
  </conditionalFormatting>
  <conditionalFormatting sqref="I2235:I2239">
    <cfRule type="expression" dxfId="1649" priority="2980">
      <formula>B2243&lt;&gt;""</formula>
    </cfRule>
  </conditionalFormatting>
  <conditionalFormatting sqref="H2239">
    <cfRule type="expression" dxfId="1648" priority="2977">
      <formula>H2235&lt;&gt;""</formula>
    </cfRule>
  </conditionalFormatting>
  <conditionalFormatting sqref="B2255">
    <cfRule type="expression" dxfId="1647" priority="2974">
      <formula>B2251&lt;&gt;""</formula>
    </cfRule>
  </conditionalFormatting>
  <conditionalFormatting sqref="F2255">
    <cfRule type="expression" dxfId="1646" priority="2971">
      <formula>F2251&lt;&gt;""</formula>
    </cfRule>
  </conditionalFormatting>
  <conditionalFormatting sqref="C2251:C2255">
    <cfRule type="expression" dxfId="1645" priority="2970">
      <formula>D2251&lt;&gt;""</formula>
    </cfRule>
  </conditionalFormatting>
  <conditionalFormatting sqref="E2251:E2255">
    <cfRule type="expression" dxfId="1644" priority="2969">
      <formula>F2251&lt;&gt;""</formula>
    </cfRule>
  </conditionalFormatting>
  <conditionalFormatting sqref="G2251:G2255">
    <cfRule type="expression" dxfId="1643" priority="2968">
      <formula>H2251&lt;&gt;""</formula>
    </cfRule>
  </conditionalFormatting>
  <conditionalFormatting sqref="H2255">
    <cfRule type="expression" dxfId="1642" priority="2965">
      <formula>H2251&lt;&gt;""</formula>
    </cfRule>
  </conditionalFormatting>
  <conditionalFormatting sqref="B2241:B2242 C2241:I2241 I2240">
    <cfRule type="expression" dxfId="1641" priority="2963">
      <formula>$B2243&lt;&gt;""</formula>
    </cfRule>
  </conditionalFormatting>
  <conditionalFormatting sqref="B2249:B2250 C2249:I2249 I2248">
    <cfRule type="expression" dxfId="1640" priority="2962">
      <formula>$B2251&lt;&gt;""</formula>
    </cfRule>
  </conditionalFormatting>
  <conditionalFormatting sqref="B2183">
    <cfRule type="expression" dxfId="1639" priority="2959">
      <formula>B2179&lt;&gt;""</formula>
    </cfRule>
  </conditionalFormatting>
  <conditionalFormatting sqref="C2179:C2183">
    <cfRule type="expression" dxfId="1638" priority="2958">
      <formula>D2179&lt;&gt;""</formula>
    </cfRule>
  </conditionalFormatting>
  <conditionalFormatting sqref="D2183">
    <cfRule type="expression" dxfId="1637" priority="2955">
      <formula>D2179&lt;&gt;""</formula>
    </cfRule>
  </conditionalFormatting>
  <conditionalFormatting sqref="B2211">
    <cfRule type="expression" dxfId="1636" priority="2953">
      <formula>B2207&lt;&gt;""</formula>
    </cfRule>
  </conditionalFormatting>
  <conditionalFormatting sqref="C2207:C2211">
    <cfRule type="expression" dxfId="1635" priority="2952">
      <formula>D2207&lt;&gt;""</formula>
    </cfRule>
  </conditionalFormatting>
  <conditionalFormatting sqref="D2211">
    <cfRule type="expression" dxfId="1634" priority="2949">
      <formula>D2207&lt;&gt;""</formula>
    </cfRule>
  </conditionalFormatting>
  <conditionalFormatting sqref="B2239">
    <cfRule type="expression" dxfId="1633" priority="2947">
      <formula>B2235&lt;&gt;""</formula>
    </cfRule>
  </conditionalFormatting>
  <conditionalFormatting sqref="C2235:C2239">
    <cfRule type="expression" dxfId="1632" priority="2946">
      <formula>D2235&lt;&gt;""</formula>
    </cfRule>
  </conditionalFormatting>
  <conditionalFormatting sqref="D2239">
    <cfRule type="expression" dxfId="1631" priority="2943">
      <formula>D2235&lt;&gt;""</formula>
    </cfRule>
  </conditionalFormatting>
  <conditionalFormatting sqref="B2193:B2194 C2193:I2193 I2192">
    <cfRule type="expression" dxfId="1630" priority="2942">
      <formula>$B2195&lt;&gt;""</formula>
    </cfRule>
  </conditionalFormatting>
  <conditionalFormatting sqref="B2185:B2186 C2185:I2185 I2184">
    <cfRule type="expression" dxfId="1629" priority="2941">
      <formula>$B2187&lt;&gt;""</formula>
    </cfRule>
  </conditionalFormatting>
  <conditionalFormatting sqref="D2453">
    <cfRule type="expression" dxfId="1628" priority="2938">
      <formula>D2449&lt;&gt;""</formula>
    </cfRule>
  </conditionalFormatting>
  <conditionalFormatting sqref="I2438:I2439 C2439:H2439 B2439:B2440">
    <cfRule type="expression" dxfId="1627" priority="2937">
      <formula>$B2441&lt;&gt;""</formula>
    </cfRule>
  </conditionalFormatting>
  <conditionalFormatting sqref="D2445">
    <cfRule type="expression" dxfId="1626" priority="2934">
      <formula>D2441&lt;&gt;""</formula>
    </cfRule>
  </conditionalFormatting>
  <conditionalFormatting sqref="C2441:C2445">
    <cfRule type="expression" dxfId="1625" priority="2933">
      <formula>D2441&lt;&gt;""</formula>
    </cfRule>
  </conditionalFormatting>
  <conditionalFormatting sqref="E2441:E2445">
    <cfRule type="expression" dxfId="1624" priority="2932">
      <formula>F2441&lt;&gt;""</formula>
    </cfRule>
  </conditionalFormatting>
  <conditionalFormatting sqref="G2441:G2445">
    <cfRule type="expression" dxfId="1623" priority="2931">
      <formula>H2441&lt;&gt;""</formula>
    </cfRule>
  </conditionalFormatting>
  <conditionalFormatting sqref="I2441:I2445">
    <cfRule type="expression" dxfId="1622" priority="2930">
      <formula>B2449&lt;&gt;""</formula>
    </cfRule>
  </conditionalFormatting>
  <conditionalFormatting sqref="B2445">
    <cfRule type="expression" dxfId="1621" priority="2927">
      <formula>B2441&lt;&gt;""</formula>
    </cfRule>
  </conditionalFormatting>
  <conditionalFormatting sqref="F2445">
    <cfRule type="expression" dxfId="1620" priority="2924">
      <formula>F2441&lt;&gt;""</formula>
    </cfRule>
  </conditionalFormatting>
  <conditionalFormatting sqref="H2445">
    <cfRule type="expression" dxfId="1619" priority="2921">
      <formula>H2441&lt;&gt;""</formula>
    </cfRule>
  </conditionalFormatting>
  <conditionalFormatting sqref="F2437">
    <cfRule type="expression" dxfId="1618" priority="2918">
      <formula>F2433&lt;&gt;""</formula>
    </cfRule>
  </conditionalFormatting>
  <conditionalFormatting sqref="E2433:E2437">
    <cfRule type="expression" dxfId="1617" priority="2917">
      <formula>F2433&lt;&gt;""</formula>
    </cfRule>
  </conditionalFormatting>
  <conditionalFormatting sqref="G2433:G2437">
    <cfRule type="expression" dxfId="1616" priority="2916">
      <formula>H2433&lt;&gt;""</formula>
    </cfRule>
  </conditionalFormatting>
  <conditionalFormatting sqref="I2433:I2437">
    <cfRule type="expression" dxfId="1615" priority="2915">
      <formula>B2441&lt;&gt;""</formula>
    </cfRule>
  </conditionalFormatting>
  <conditionalFormatting sqref="H2437">
    <cfRule type="expression" dxfId="1614" priority="2912">
      <formula>H2433&lt;&gt;""</formula>
    </cfRule>
  </conditionalFormatting>
  <conditionalFormatting sqref="I2446:I2447 C2447:H2447 B2447:B2448">
    <cfRule type="expression" dxfId="1613" priority="2911">
      <formula>$B2449&lt;&gt;""</formula>
    </cfRule>
  </conditionalFormatting>
  <conditionalFormatting sqref="B2453">
    <cfRule type="expression" dxfId="1612" priority="2908">
      <formula>B2449&lt;&gt;""</formula>
    </cfRule>
  </conditionalFormatting>
  <conditionalFormatting sqref="F2453">
    <cfRule type="expression" dxfId="1611" priority="2905">
      <formula>F2449&lt;&gt;""</formula>
    </cfRule>
  </conditionalFormatting>
  <conditionalFormatting sqref="C2449:C2453">
    <cfRule type="expression" dxfId="1610" priority="2904">
      <formula>D2449&lt;&gt;""</formula>
    </cfRule>
  </conditionalFormatting>
  <conditionalFormatting sqref="E2449:E2453">
    <cfRule type="expression" dxfId="1609" priority="2903">
      <formula>F2449&lt;&gt;""</formula>
    </cfRule>
  </conditionalFormatting>
  <conditionalFormatting sqref="G2449:G2453">
    <cfRule type="expression" dxfId="1608" priority="2902">
      <formula>H2449&lt;&gt;""</formula>
    </cfRule>
  </conditionalFormatting>
  <conditionalFormatting sqref="H2453">
    <cfRule type="expression" dxfId="1607" priority="2899">
      <formula>H2449&lt;&gt;""</formula>
    </cfRule>
  </conditionalFormatting>
  <conditionalFormatting sqref="D2425">
    <cfRule type="expression" dxfId="1606" priority="2896">
      <formula>D2421&lt;&gt;""</formula>
    </cfRule>
  </conditionalFormatting>
  <conditionalFormatting sqref="I2410:I2411 C2411:H2411 B2411:B2412">
    <cfRule type="expression" dxfId="1605" priority="2895">
      <formula>$B2413&lt;&gt;""</formula>
    </cfRule>
  </conditionalFormatting>
  <conditionalFormatting sqref="D2417">
    <cfRule type="expression" dxfId="1604" priority="2892">
      <formula>D2413&lt;&gt;""</formula>
    </cfRule>
  </conditionalFormatting>
  <conditionalFormatting sqref="C2413:C2417">
    <cfRule type="expression" dxfId="1603" priority="2891">
      <formula>D2413&lt;&gt;""</formula>
    </cfRule>
  </conditionalFormatting>
  <conditionalFormatting sqref="E2413:E2417">
    <cfRule type="expression" dxfId="1602" priority="2890">
      <formula>F2413&lt;&gt;""</formula>
    </cfRule>
  </conditionalFormatting>
  <conditionalFormatting sqref="G2413:G2417">
    <cfRule type="expression" dxfId="1601" priority="2889">
      <formula>H2413&lt;&gt;""</formula>
    </cfRule>
  </conditionalFormatting>
  <conditionalFormatting sqref="I2413:I2417">
    <cfRule type="expression" dxfId="1600" priority="2888">
      <formula>B2421&lt;&gt;""</formula>
    </cfRule>
  </conditionalFormatting>
  <conditionalFormatting sqref="B2417">
    <cfRule type="expression" dxfId="1599" priority="2885">
      <formula>B2413&lt;&gt;""</formula>
    </cfRule>
  </conditionalFormatting>
  <conditionalFormatting sqref="F2417">
    <cfRule type="expression" dxfId="1598" priority="2882">
      <formula>F2413&lt;&gt;""</formula>
    </cfRule>
  </conditionalFormatting>
  <conditionalFormatting sqref="H2417">
    <cfRule type="expression" dxfId="1597" priority="2879">
      <formula>H2413&lt;&gt;""</formula>
    </cfRule>
  </conditionalFormatting>
  <conditionalFormatting sqref="F2409">
    <cfRule type="expression" dxfId="1596" priority="2876">
      <formula>F2405&lt;&gt;""</formula>
    </cfRule>
  </conditionalFormatting>
  <conditionalFormatting sqref="E2405:E2409">
    <cfRule type="expression" dxfId="1595" priority="2875">
      <formula>F2405&lt;&gt;""</formula>
    </cfRule>
  </conditionalFormatting>
  <conditionalFormatting sqref="G2405:G2409">
    <cfRule type="expression" dxfId="1594" priority="2874">
      <formula>H2405&lt;&gt;""</formula>
    </cfRule>
  </conditionalFormatting>
  <conditionalFormatting sqref="I2405:I2409">
    <cfRule type="expression" dxfId="1593" priority="2873">
      <formula>B2413&lt;&gt;""</formula>
    </cfRule>
  </conditionalFormatting>
  <conditionalFormatting sqref="H2409">
    <cfRule type="expression" dxfId="1592" priority="2870">
      <formula>H2405&lt;&gt;""</formula>
    </cfRule>
  </conditionalFormatting>
  <conditionalFormatting sqref="I2418:I2419 C2419:H2419 B2419:B2420">
    <cfRule type="expression" dxfId="1591" priority="2869">
      <formula>$B2421&lt;&gt;""</formula>
    </cfRule>
  </conditionalFormatting>
  <conditionalFormatting sqref="B2425">
    <cfRule type="expression" dxfId="1590" priority="2866">
      <formula>B2421&lt;&gt;""</formula>
    </cfRule>
  </conditionalFormatting>
  <conditionalFormatting sqref="F2425">
    <cfRule type="expression" dxfId="1589" priority="2863">
      <formula>F2421&lt;&gt;""</formula>
    </cfRule>
  </conditionalFormatting>
  <conditionalFormatting sqref="C2421:C2425">
    <cfRule type="expression" dxfId="1588" priority="2862">
      <formula>D2421&lt;&gt;""</formula>
    </cfRule>
  </conditionalFormatting>
  <conditionalFormatting sqref="E2421:E2425">
    <cfRule type="expression" dxfId="1587" priority="2861">
      <formula>F2421&lt;&gt;""</formula>
    </cfRule>
  </conditionalFormatting>
  <conditionalFormatting sqref="G2421:G2425">
    <cfRule type="expression" dxfId="1586" priority="2860">
      <formula>H2421&lt;&gt;""</formula>
    </cfRule>
  </conditionalFormatting>
  <conditionalFormatting sqref="H2425">
    <cfRule type="expression" dxfId="1585" priority="2857">
      <formula>H2421&lt;&gt;""</formula>
    </cfRule>
  </conditionalFormatting>
  <conditionalFormatting sqref="D2397">
    <cfRule type="expression" dxfId="1584" priority="2854">
      <formula>D2393&lt;&gt;""</formula>
    </cfRule>
  </conditionalFormatting>
  <conditionalFormatting sqref="I2382:I2383 C2383:H2383 B2383:B2384">
    <cfRule type="expression" dxfId="1583" priority="2853">
      <formula>$B2385&lt;&gt;""</formula>
    </cfRule>
  </conditionalFormatting>
  <conditionalFormatting sqref="D2389">
    <cfRule type="expression" dxfId="1582" priority="2850">
      <formula>D2385&lt;&gt;""</formula>
    </cfRule>
  </conditionalFormatting>
  <conditionalFormatting sqref="C2385:C2389">
    <cfRule type="expression" dxfId="1581" priority="2849">
      <formula>D2385&lt;&gt;""</formula>
    </cfRule>
  </conditionalFormatting>
  <conditionalFormatting sqref="E2385:E2389">
    <cfRule type="expression" dxfId="1580" priority="2848">
      <formula>F2385&lt;&gt;""</formula>
    </cfRule>
  </conditionalFormatting>
  <conditionalFormatting sqref="G2385:G2389">
    <cfRule type="expression" dxfId="1579" priority="2847">
      <formula>H2385&lt;&gt;""</formula>
    </cfRule>
  </conditionalFormatting>
  <conditionalFormatting sqref="I2385:I2389">
    <cfRule type="expression" dxfId="1578" priority="2846">
      <formula>B2393&lt;&gt;""</formula>
    </cfRule>
  </conditionalFormatting>
  <conditionalFormatting sqref="B2389">
    <cfRule type="expression" dxfId="1577" priority="2843">
      <formula>B2385&lt;&gt;""</formula>
    </cfRule>
  </conditionalFormatting>
  <conditionalFormatting sqref="F2389">
    <cfRule type="expression" dxfId="1576" priority="2840">
      <formula>F2385&lt;&gt;""</formula>
    </cfRule>
  </conditionalFormatting>
  <conditionalFormatting sqref="H2389">
    <cfRule type="expression" dxfId="1575" priority="2837">
      <formula>H2385&lt;&gt;""</formula>
    </cfRule>
  </conditionalFormatting>
  <conditionalFormatting sqref="F2381">
    <cfRule type="expression" dxfId="1574" priority="2834">
      <formula>F2377&lt;&gt;""</formula>
    </cfRule>
  </conditionalFormatting>
  <conditionalFormatting sqref="E2377:E2381">
    <cfRule type="expression" dxfId="1573" priority="2833">
      <formula>F2377&lt;&gt;""</formula>
    </cfRule>
  </conditionalFormatting>
  <conditionalFormatting sqref="G2377:G2381">
    <cfRule type="expression" dxfId="1572" priority="2832">
      <formula>H2377&lt;&gt;""</formula>
    </cfRule>
  </conditionalFormatting>
  <conditionalFormatting sqref="I2377:I2381">
    <cfRule type="expression" dxfId="1571" priority="2831">
      <formula>B2385&lt;&gt;""</formula>
    </cfRule>
  </conditionalFormatting>
  <conditionalFormatting sqref="H2381">
    <cfRule type="expression" dxfId="1570" priority="2828">
      <formula>H2377&lt;&gt;""</formula>
    </cfRule>
  </conditionalFormatting>
  <conditionalFormatting sqref="I2390:I2391 C2391:H2391 B2391:B2392">
    <cfRule type="expression" dxfId="1569" priority="2827">
      <formula>$B2393&lt;&gt;""</formula>
    </cfRule>
  </conditionalFormatting>
  <conditionalFormatting sqref="B2397">
    <cfRule type="expression" dxfId="1568" priority="2824">
      <formula>B2393&lt;&gt;""</formula>
    </cfRule>
  </conditionalFormatting>
  <conditionalFormatting sqref="F2397">
    <cfRule type="expression" dxfId="1567" priority="2821">
      <formula>F2393&lt;&gt;""</formula>
    </cfRule>
  </conditionalFormatting>
  <conditionalFormatting sqref="C2393:C2397">
    <cfRule type="expression" dxfId="1566" priority="2820">
      <formula>D2393&lt;&gt;""</formula>
    </cfRule>
  </conditionalFormatting>
  <conditionalFormatting sqref="E2393:E2397">
    <cfRule type="expression" dxfId="1565" priority="2819">
      <formula>F2393&lt;&gt;""</formula>
    </cfRule>
  </conditionalFormatting>
  <conditionalFormatting sqref="G2393:G2397">
    <cfRule type="expression" dxfId="1564" priority="2818">
      <formula>H2393&lt;&gt;""</formula>
    </cfRule>
  </conditionalFormatting>
  <conditionalFormatting sqref="H2397">
    <cfRule type="expression" dxfId="1563" priority="2815">
      <formula>H2393&lt;&gt;""</formula>
    </cfRule>
  </conditionalFormatting>
  <conditionalFormatting sqref="D2369">
    <cfRule type="expression" dxfId="1562" priority="2812">
      <formula>D2365&lt;&gt;""</formula>
    </cfRule>
  </conditionalFormatting>
  <conditionalFormatting sqref="I2354:I2355 C2355:H2355 B2355:B2356">
    <cfRule type="expression" dxfId="1561" priority="2811">
      <formula>$B2357&lt;&gt;""</formula>
    </cfRule>
  </conditionalFormatting>
  <conditionalFormatting sqref="D2361">
    <cfRule type="expression" dxfId="1560" priority="2808">
      <formula>D2357&lt;&gt;""</formula>
    </cfRule>
  </conditionalFormatting>
  <conditionalFormatting sqref="C2357:C2361">
    <cfRule type="expression" dxfId="1559" priority="2807">
      <formula>D2357&lt;&gt;""</formula>
    </cfRule>
  </conditionalFormatting>
  <conditionalFormatting sqref="E2357:E2361">
    <cfRule type="expression" dxfId="1558" priority="2806">
      <formula>F2357&lt;&gt;""</formula>
    </cfRule>
  </conditionalFormatting>
  <conditionalFormatting sqref="G2357:G2361">
    <cfRule type="expression" dxfId="1557" priority="2805">
      <formula>H2357&lt;&gt;""</formula>
    </cfRule>
  </conditionalFormatting>
  <conditionalFormatting sqref="I2357:I2361">
    <cfRule type="expression" dxfId="1556" priority="2804">
      <formula>B2365&lt;&gt;""</formula>
    </cfRule>
  </conditionalFormatting>
  <conditionalFormatting sqref="B2361">
    <cfRule type="expression" dxfId="1555" priority="2801">
      <formula>B2357&lt;&gt;""</formula>
    </cfRule>
  </conditionalFormatting>
  <conditionalFormatting sqref="F2361">
    <cfRule type="expression" dxfId="1554" priority="2798">
      <formula>F2357&lt;&gt;""</formula>
    </cfRule>
  </conditionalFormatting>
  <conditionalFormatting sqref="H2361">
    <cfRule type="expression" dxfId="1553" priority="2795">
      <formula>H2357&lt;&gt;""</formula>
    </cfRule>
  </conditionalFormatting>
  <conditionalFormatting sqref="F2353">
    <cfRule type="expression" dxfId="1552" priority="2792">
      <formula>F2349&lt;&gt;""</formula>
    </cfRule>
  </conditionalFormatting>
  <conditionalFormatting sqref="E2349:E2353">
    <cfRule type="expression" dxfId="1551" priority="2791">
      <formula>F2349&lt;&gt;""</formula>
    </cfRule>
  </conditionalFormatting>
  <conditionalFormatting sqref="G2349:G2353">
    <cfRule type="expression" dxfId="1550" priority="2790">
      <formula>H2349&lt;&gt;""</formula>
    </cfRule>
  </conditionalFormatting>
  <conditionalFormatting sqref="I2349:I2353">
    <cfRule type="expression" dxfId="1549" priority="2789">
      <formula>B2357&lt;&gt;""</formula>
    </cfRule>
  </conditionalFormatting>
  <conditionalFormatting sqref="H2353">
    <cfRule type="expression" dxfId="1548" priority="2786">
      <formula>H2349&lt;&gt;""</formula>
    </cfRule>
  </conditionalFormatting>
  <conditionalFormatting sqref="I2362:I2363 C2363:H2363 B2363:B2364">
    <cfRule type="expression" dxfId="1547" priority="2785">
      <formula>$B2365&lt;&gt;""</formula>
    </cfRule>
  </conditionalFormatting>
  <conditionalFormatting sqref="B2369">
    <cfRule type="expression" dxfId="1546" priority="2782">
      <formula>B2365&lt;&gt;""</formula>
    </cfRule>
  </conditionalFormatting>
  <conditionalFormatting sqref="F2369">
    <cfRule type="expression" dxfId="1545" priority="2779">
      <formula>F2365&lt;&gt;""</formula>
    </cfRule>
  </conditionalFormatting>
  <conditionalFormatting sqref="C2365:C2369">
    <cfRule type="expression" dxfId="1544" priority="2778">
      <formula>D2365&lt;&gt;""</formula>
    </cfRule>
  </conditionalFormatting>
  <conditionalFormatting sqref="E2365:E2369">
    <cfRule type="expression" dxfId="1543" priority="2777">
      <formula>F2365&lt;&gt;""</formula>
    </cfRule>
  </conditionalFormatting>
  <conditionalFormatting sqref="G2365:G2369">
    <cfRule type="expression" dxfId="1542" priority="2776">
      <formula>H2365&lt;&gt;""</formula>
    </cfRule>
  </conditionalFormatting>
  <conditionalFormatting sqref="H2369">
    <cfRule type="expression" dxfId="1541" priority="2773">
      <formula>H2365&lt;&gt;""</formula>
    </cfRule>
  </conditionalFormatting>
  <conditionalFormatting sqref="D2341">
    <cfRule type="expression" dxfId="1540" priority="2770">
      <formula>D2337&lt;&gt;""</formula>
    </cfRule>
  </conditionalFormatting>
  <conditionalFormatting sqref="I2326:I2327 C2327:H2327 B2327:B2328">
    <cfRule type="expression" dxfId="1539" priority="2769">
      <formula>$B2329&lt;&gt;""</formula>
    </cfRule>
  </conditionalFormatting>
  <conditionalFormatting sqref="D2333">
    <cfRule type="expression" dxfId="1538" priority="2766">
      <formula>D2329&lt;&gt;""</formula>
    </cfRule>
  </conditionalFormatting>
  <conditionalFormatting sqref="C2329:C2333">
    <cfRule type="expression" dxfId="1537" priority="2765">
      <formula>D2329&lt;&gt;""</formula>
    </cfRule>
  </conditionalFormatting>
  <conditionalFormatting sqref="E2329:E2333">
    <cfRule type="expression" dxfId="1536" priority="2764">
      <formula>F2329&lt;&gt;""</formula>
    </cfRule>
  </conditionalFormatting>
  <conditionalFormatting sqref="G2329:G2333">
    <cfRule type="expression" dxfId="1535" priority="2763">
      <formula>H2329&lt;&gt;""</formula>
    </cfRule>
  </conditionalFormatting>
  <conditionalFormatting sqref="I2329:I2333">
    <cfRule type="expression" dxfId="1534" priority="2762">
      <formula>B2337&lt;&gt;""</formula>
    </cfRule>
  </conditionalFormatting>
  <conditionalFormatting sqref="B2333">
    <cfRule type="expression" dxfId="1533" priority="2759">
      <formula>B2329&lt;&gt;""</formula>
    </cfRule>
  </conditionalFormatting>
  <conditionalFormatting sqref="F2333">
    <cfRule type="expression" dxfId="1532" priority="2756">
      <formula>F2329&lt;&gt;""</formula>
    </cfRule>
  </conditionalFormatting>
  <conditionalFormatting sqref="H2333">
    <cfRule type="expression" dxfId="1531" priority="2753">
      <formula>H2329&lt;&gt;""</formula>
    </cfRule>
  </conditionalFormatting>
  <conditionalFormatting sqref="F2325">
    <cfRule type="expression" dxfId="1530" priority="2750">
      <formula>F2321&lt;&gt;""</formula>
    </cfRule>
  </conditionalFormatting>
  <conditionalFormatting sqref="E2321:E2325">
    <cfRule type="expression" dxfId="1529" priority="2749">
      <formula>F2321&lt;&gt;""</formula>
    </cfRule>
  </conditionalFormatting>
  <conditionalFormatting sqref="G2321:G2325">
    <cfRule type="expression" dxfId="1528" priority="2748">
      <formula>H2321&lt;&gt;""</formula>
    </cfRule>
  </conditionalFormatting>
  <conditionalFormatting sqref="I2321:I2325">
    <cfRule type="expression" dxfId="1527" priority="2747">
      <formula>B2329&lt;&gt;""</formula>
    </cfRule>
  </conditionalFormatting>
  <conditionalFormatting sqref="H2325">
    <cfRule type="expression" dxfId="1526" priority="2744">
      <formula>H2321&lt;&gt;""</formula>
    </cfRule>
  </conditionalFormatting>
  <conditionalFormatting sqref="I2334:I2335 C2335:H2335 B2335:B2336">
    <cfRule type="expression" dxfId="1525" priority="2743">
      <formula>$B2337&lt;&gt;""</formula>
    </cfRule>
  </conditionalFormatting>
  <conditionalFormatting sqref="B2341">
    <cfRule type="expression" dxfId="1524" priority="2740">
      <formula>B2337&lt;&gt;""</formula>
    </cfRule>
  </conditionalFormatting>
  <conditionalFormatting sqref="F2341">
    <cfRule type="expression" dxfId="1523" priority="2737">
      <formula>F2337&lt;&gt;""</formula>
    </cfRule>
  </conditionalFormatting>
  <conditionalFormatting sqref="C2337:C2341">
    <cfRule type="expression" dxfId="1522" priority="2736">
      <formula>D2337&lt;&gt;""</formula>
    </cfRule>
  </conditionalFormatting>
  <conditionalFormatting sqref="E2337:E2341">
    <cfRule type="expression" dxfId="1521" priority="2735">
      <formula>F2337&lt;&gt;""</formula>
    </cfRule>
  </conditionalFormatting>
  <conditionalFormatting sqref="G2337:G2341">
    <cfRule type="expression" dxfId="1520" priority="2734">
      <formula>H2337&lt;&gt;""</formula>
    </cfRule>
  </conditionalFormatting>
  <conditionalFormatting sqref="H2341">
    <cfRule type="expression" dxfId="1519" priority="2731">
      <formula>H2337&lt;&gt;""</formula>
    </cfRule>
  </conditionalFormatting>
  <conditionalFormatting sqref="D2313">
    <cfRule type="expression" dxfId="1518" priority="2728">
      <formula>D2309&lt;&gt;""</formula>
    </cfRule>
  </conditionalFormatting>
  <conditionalFormatting sqref="I2298:I2299 C2299:H2299 B2299:B2300">
    <cfRule type="expression" dxfId="1517" priority="2727">
      <formula>$B2301&lt;&gt;""</formula>
    </cfRule>
  </conditionalFormatting>
  <conditionalFormatting sqref="D2305">
    <cfRule type="expression" dxfId="1516" priority="2724">
      <formula>D2301&lt;&gt;""</formula>
    </cfRule>
  </conditionalFormatting>
  <conditionalFormatting sqref="C2301:C2305">
    <cfRule type="expression" dxfId="1515" priority="2723">
      <formula>D2301&lt;&gt;""</formula>
    </cfRule>
  </conditionalFormatting>
  <conditionalFormatting sqref="E2301:E2305">
    <cfRule type="expression" dxfId="1514" priority="2722">
      <formula>F2301&lt;&gt;""</formula>
    </cfRule>
  </conditionalFormatting>
  <conditionalFormatting sqref="G2301:G2305">
    <cfRule type="expression" dxfId="1513" priority="2721">
      <formula>H2301&lt;&gt;""</formula>
    </cfRule>
  </conditionalFormatting>
  <conditionalFormatting sqref="I2301:I2305">
    <cfRule type="expression" dxfId="1512" priority="2720">
      <formula>B2309&lt;&gt;""</formula>
    </cfRule>
  </conditionalFormatting>
  <conditionalFormatting sqref="B2305">
    <cfRule type="expression" dxfId="1511" priority="2717">
      <formula>B2301&lt;&gt;""</formula>
    </cfRule>
  </conditionalFormatting>
  <conditionalFormatting sqref="F2305">
    <cfRule type="expression" dxfId="1510" priority="2714">
      <formula>F2301&lt;&gt;""</formula>
    </cfRule>
  </conditionalFormatting>
  <conditionalFormatting sqref="H2305">
    <cfRule type="expression" dxfId="1509" priority="2711">
      <formula>H2301&lt;&gt;""</formula>
    </cfRule>
  </conditionalFormatting>
  <conditionalFormatting sqref="F2297">
    <cfRule type="expression" dxfId="1508" priority="2708">
      <formula>F2293&lt;&gt;""</formula>
    </cfRule>
  </conditionalFormatting>
  <conditionalFormatting sqref="E2293:E2297">
    <cfRule type="expression" dxfId="1507" priority="2707">
      <formula>F2293&lt;&gt;""</formula>
    </cfRule>
  </conditionalFormatting>
  <conditionalFormatting sqref="G2293:G2297">
    <cfRule type="expression" dxfId="1506" priority="2706">
      <formula>H2293&lt;&gt;""</formula>
    </cfRule>
  </conditionalFormatting>
  <conditionalFormatting sqref="I2293:I2297">
    <cfRule type="expression" dxfId="1505" priority="2705">
      <formula>B2301&lt;&gt;""</formula>
    </cfRule>
  </conditionalFormatting>
  <conditionalFormatting sqref="H2297">
    <cfRule type="expression" dxfId="1504" priority="2702">
      <formula>H2293&lt;&gt;""</formula>
    </cfRule>
  </conditionalFormatting>
  <conditionalFormatting sqref="I2306:I2307 C2307:H2307 B2307:B2308">
    <cfRule type="expression" dxfId="1503" priority="2701">
      <formula>$B2309&lt;&gt;""</formula>
    </cfRule>
  </conditionalFormatting>
  <conditionalFormatting sqref="B2313">
    <cfRule type="expression" dxfId="1502" priority="2698">
      <formula>B2309&lt;&gt;""</formula>
    </cfRule>
  </conditionalFormatting>
  <conditionalFormatting sqref="F2313">
    <cfRule type="expression" dxfId="1501" priority="2695">
      <formula>F2309&lt;&gt;""</formula>
    </cfRule>
  </conditionalFormatting>
  <conditionalFormatting sqref="C2309:C2313">
    <cfRule type="expression" dxfId="1500" priority="2694">
      <formula>D2309&lt;&gt;""</formula>
    </cfRule>
  </conditionalFormatting>
  <conditionalFormatting sqref="E2309:E2313">
    <cfRule type="expression" dxfId="1499" priority="2693">
      <formula>F2309&lt;&gt;""</formula>
    </cfRule>
  </conditionalFormatting>
  <conditionalFormatting sqref="G2309:G2313">
    <cfRule type="expression" dxfId="1498" priority="2692">
      <formula>H2309&lt;&gt;""</formula>
    </cfRule>
  </conditionalFormatting>
  <conditionalFormatting sqref="H2313">
    <cfRule type="expression" dxfId="1497" priority="2689">
      <formula>H2309&lt;&gt;""</formula>
    </cfRule>
  </conditionalFormatting>
  <conditionalFormatting sqref="D2285">
    <cfRule type="expression" dxfId="1496" priority="2686">
      <formula>D2281&lt;&gt;""</formula>
    </cfRule>
  </conditionalFormatting>
  <conditionalFormatting sqref="I2270:I2271 C2271:H2271 B2271:B2272">
    <cfRule type="expression" dxfId="1495" priority="2685">
      <formula>$B2273&lt;&gt;""</formula>
    </cfRule>
  </conditionalFormatting>
  <conditionalFormatting sqref="D2277">
    <cfRule type="expression" dxfId="1494" priority="2682">
      <formula>D2273&lt;&gt;""</formula>
    </cfRule>
  </conditionalFormatting>
  <conditionalFormatting sqref="C2273:C2277">
    <cfRule type="expression" dxfId="1493" priority="2681">
      <formula>D2273&lt;&gt;""</formula>
    </cfRule>
  </conditionalFormatting>
  <conditionalFormatting sqref="E2273:E2277">
    <cfRule type="expression" dxfId="1492" priority="2680">
      <formula>F2273&lt;&gt;""</formula>
    </cfRule>
  </conditionalFormatting>
  <conditionalFormatting sqref="G2273:G2277">
    <cfRule type="expression" dxfId="1491" priority="2679">
      <formula>H2273&lt;&gt;""</formula>
    </cfRule>
  </conditionalFormatting>
  <conditionalFormatting sqref="I2273:I2277">
    <cfRule type="expression" dxfId="1490" priority="2678">
      <formula>B2281&lt;&gt;""</formula>
    </cfRule>
  </conditionalFormatting>
  <conditionalFormatting sqref="B2277">
    <cfRule type="expression" dxfId="1489" priority="2675">
      <formula>B2273&lt;&gt;""</formula>
    </cfRule>
  </conditionalFormatting>
  <conditionalFormatting sqref="F2277">
    <cfRule type="expression" dxfId="1488" priority="2672">
      <formula>F2273&lt;&gt;""</formula>
    </cfRule>
  </conditionalFormatting>
  <conditionalFormatting sqref="H2277">
    <cfRule type="expression" dxfId="1487" priority="2669">
      <formula>H2273&lt;&gt;""</formula>
    </cfRule>
  </conditionalFormatting>
  <conditionalFormatting sqref="F2269">
    <cfRule type="expression" dxfId="1486" priority="2666">
      <formula>F2265&lt;&gt;""</formula>
    </cfRule>
  </conditionalFormatting>
  <conditionalFormatting sqref="E2265:E2269">
    <cfRule type="expression" dxfId="1485" priority="2665">
      <formula>F2265&lt;&gt;""</formula>
    </cfRule>
  </conditionalFormatting>
  <conditionalFormatting sqref="G2265:G2269">
    <cfRule type="expression" dxfId="1484" priority="2664">
      <formula>H2265&lt;&gt;""</formula>
    </cfRule>
  </conditionalFormatting>
  <conditionalFormatting sqref="I2265:I2269">
    <cfRule type="expression" dxfId="1483" priority="2663">
      <formula>B2273&lt;&gt;""</formula>
    </cfRule>
  </conditionalFormatting>
  <conditionalFormatting sqref="H2269">
    <cfRule type="expression" dxfId="1482" priority="2660">
      <formula>H2265&lt;&gt;""</formula>
    </cfRule>
  </conditionalFormatting>
  <conditionalFormatting sqref="I2278:I2279 C2279:H2279 B2279:B2280">
    <cfRule type="expression" dxfId="1481" priority="2659">
      <formula>$B2281&lt;&gt;""</formula>
    </cfRule>
  </conditionalFormatting>
  <conditionalFormatting sqref="B2285">
    <cfRule type="expression" dxfId="1480" priority="2656">
      <formula>B2281&lt;&gt;""</formula>
    </cfRule>
  </conditionalFormatting>
  <conditionalFormatting sqref="F2285">
    <cfRule type="expression" dxfId="1479" priority="2653">
      <formula>F2281&lt;&gt;""</formula>
    </cfRule>
  </conditionalFormatting>
  <conditionalFormatting sqref="C2281:C2285">
    <cfRule type="expression" dxfId="1478" priority="2652">
      <formula>D2281&lt;&gt;""</formula>
    </cfRule>
  </conditionalFormatting>
  <conditionalFormatting sqref="E2281:E2285">
    <cfRule type="expression" dxfId="1477" priority="2651">
      <formula>F2281&lt;&gt;""</formula>
    </cfRule>
  </conditionalFormatting>
  <conditionalFormatting sqref="G2281:G2285">
    <cfRule type="expression" dxfId="1476" priority="2650">
      <formula>H2281&lt;&gt;""</formula>
    </cfRule>
  </conditionalFormatting>
  <conditionalFormatting sqref="H2285">
    <cfRule type="expression" dxfId="1475" priority="2647">
      <formula>H2281&lt;&gt;""</formula>
    </cfRule>
  </conditionalFormatting>
  <conditionalFormatting sqref="B2269">
    <cfRule type="expression" dxfId="1474" priority="2644">
      <formula>B2265&lt;&gt;""</formula>
    </cfRule>
  </conditionalFormatting>
  <conditionalFormatting sqref="C2265:C2269">
    <cfRule type="expression" dxfId="1473" priority="2643">
      <formula>D2265&lt;&gt;""</formula>
    </cfRule>
  </conditionalFormatting>
  <conditionalFormatting sqref="D2269">
    <cfRule type="expression" dxfId="1472" priority="2640">
      <formula>D2265&lt;&gt;""</formula>
    </cfRule>
  </conditionalFormatting>
  <conditionalFormatting sqref="B2297">
    <cfRule type="expression" dxfId="1471" priority="2637">
      <formula>B2293&lt;&gt;""</formula>
    </cfRule>
  </conditionalFormatting>
  <conditionalFormatting sqref="C2293:C2297">
    <cfRule type="expression" dxfId="1470" priority="2636">
      <formula>D2293&lt;&gt;""</formula>
    </cfRule>
  </conditionalFormatting>
  <conditionalFormatting sqref="D2297">
    <cfRule type="expression" dxfId="1469" priority="2633">
      <formula>D2293&lt;&gt;""</formula>
    </cfRule>
  </conditionalFormatting>
  <conditionalFormatting sqref="B2325">
    <cfRule type="expression" dxfId="1468" priority="2630">
      <formula>B2321&lt;&gt;""</formula>
    </cfRule>
  </conditionalFormatting>
  <conditionalFormatting sqref="C2321:C2325">
    <cfRule type="expression" dxfId="1467" priority="2629">
      <formula>D2321&lt;&gt;""</formula>
    </cfRule>
  </conditionalFormatting>
  <conditionalFormatting sqref="D2325">
    <cfRule type="expression" dxfId="1466" priority="2626">
      <formula>D2321&lt;&gt;""</formula>
    </cfRule>
  </conditionalFormatting>
  <conditionalFormatting sqref="B2353">
    <cfRule type="expression" dxfId="1465" priority="2623">
      <formula>B2349&lt;&gt;""</formula>
    </cfRule>
  </conditionalFormatting>
  <conditionalFormatting sqref="C2349:C2353">
    <cfRule type="expression" dxfId="1464" priority="2622">
      <formula>D2349&lt;&gt;""</formula>
    </cfRule>
  </conditionalFormatting>
  <conditionalFormatting sqref="D2353">
    <cfRule type="expression" dxfId="1463" priority="2619">
      <formula>D2349&lt;&gt;""</formula>
    </cfRule>
  </conditionalFormatting>
  <conditionalFormatting sqref="B2381">
    <cfRule type="expression" dxfId="1462" priority="2616">
      <formula>B2377&lt;&gt;""</formula>
    </cfRule>
  </conditionalFormatting>
  <conditionalFormatting sqref="C2377:C2381">
    <cfRule type="expression" dxfId="1461" priority="2615">
      <formula>D2377&lt;&gt;""</formula>
    </cfRule>
  </conditionalFormatting>
  <conditionalFormatting sqref="D2381">
    <cfRule type="expression" dxfId="1460" priority="2612">
      <formula>D2377&lt;&gt;""</formula>
    </cfRule>
  </conditionalFormatting>
  <conditionalFormatting sqref="B2409">
    <cfRule type="expression" dxfId="1459" priority="2609">
      <formula>B2405&lt;&gt;""</formula>
    </cfRule>
  </conditionalFormatting>
  <conditionalFormatting sqref="C2405:C2409">
    <cfRule type="expression" dxfId="1458" priority="2608">
      <formula>D2405&lt;&gt;""</formula>
    </cfRule>
  </conditionalFormatting>
  <conditionalFormatting sqref="D2409">
    <cfRule type="expression" dxfId="1457" priority="2605">
      <formula>D2405&lt;&gt;""</formula>
    </cfRule>
  </conditionalFormatting>
  <conditionalFormatting sqref="B2437">
    <cfRule type="expression" dxfId="1456" priority="2602">
      <formula>B2433&lt;&gt;""</formula>
    </cfRule>
  </conditionalFormatting>
  <conditionalFormatting sqref="C2433:C2437">
    <cfRule type="expression" dxfId="1455" priority="2601">
      <formula>D2433&lt;&gt;""</formula>
    </cfRule>
  </conditionalFormatting>
  <conditionalFormatting sqref="D2437">
    <cfRule type="expression" dxfId="1454" priority="2598">
      <formula>D2433&lt;&gt;""</formula>
    </cfRule>
  </conditionalFormatting>
  <conditionalFormatting sqref="D2481">
    <cfRule type="expression" dxfId="1453" priority="2595">
      <formula>D2477&lt;&gt;""</formula>
    </cfRule>
  </conditionalFormatting>
  <conditionalFormatting sqref="D2473">
    <cfRule type="expression" dxfId="1452" priority="2592">
      <formula>D2469&lt;&gt;""</formula>
    </cfRule>
  </conditionalFormatting>
  <conditionalFormatting sqref="C2469:C2473">
    <cfRule type="expression" dxfId="1451" priority="2591">
      <formula>D2469&lt;&gt;""</formula>
    </cfRule>
  </conditionalFormatting>
  <conditionalFormatting sqref="E2469:E2473">
    <cfRule type="expression" dxfId="1450" priority="2590">
      <formula>F2469&lt;&gt;""</formula>
    </cfRule>
  </conditionalFormatting>
  <conditionalFormatting sqref="G2469:G2473">
    <cfRule type="expression" dxfId="1449" priority="2589">
      <formula>H2469&lt;&gt;""</formula>
    </cfRule>
  </conditionalFormatting>
  <conditionalFormatting sqref="I2469:I2473">
    <cfRule type="expression" dxfId="1448" priority="2588">
      <formula>B2477&lt;&gt;""</formula>
    </cfRule>
  </conditionalFormatting>
  <conditionalFormatting sqref="B2473">
    <cfRule type="expression" dxfId="1447" priority="2585">
      <formula>B2469&lt;&gt;""</formula>
    </cfRule>
  </conditionalFormatting>
  <conditionalFormatting sqref="F2473">
    <cfRule type="expression" dxfId="1446" priority="2582">
      <formula>F2469&lt;&gt;""</formula>
    </cfRule>
  </conditionalFormatting>
  <conditionalFormatting sqref="H2473">
    <cfRule type="expression" dxfId="1445" priority="2579">
      <formula>H2469&lt;&gt;""</formula>
    </cfRule>
  </conditionalFormatting>
  <conditionalFormatting sqref="F2465">
    <cfRule type="expression" dxfId="1444" priority="2576">
      <formula>F2461&lt;&gt;""</formula>
    </cfRule>
  </conditionalFormatting>
  <conditionalFormatting sqref="E2461:E2465">
    <cfRule type="expression" dxfId="1443" priority="2575">
      <formula>F2461&lt;&gt;""</formula>
    </cfRule>
  </conditionalFormatting>
  <conditionalFormatting sqref="G2461:G2465">
    <cfRule type="expression" dxfId="1442" priority="2574">
      <formula>H2461&lt;&gt;""</formula>
    </cfRule>
  </conditionalFormatting>
  <conditionalFormatting sqref="I2461:I2465">
    <cfRule type="expression" dxfId="1441" priority="2573">
      <formula>B2469&lt;&gt;""</formula>
    </cfRule>
  </conditionalFormatting>
  <conditionalFormatting sqref="H2465">
    <cfRule type="expression" dxfId="1440" priority="2570">
      <formula>H2461&lt;&gt;""</formula>
    </cfRule>
  </conditionalFormatting>
  <conditionalFormatting sqref="B2481">
    <cfRule type="expression" dxfId="1439" priority="2567">
      <formula>B2477&lt;&gt;""</formula>
    </cfRule>
  </conditionalFormatting>
  <conditionalFormatting sqref="F2481">
    <cfRule type="expression" dxfId="1438" priority="2564">
      <formula>F2477&lt;&gt;""</formula>
    </cfRule>
  </conditionalFormatting>
  <conditionalFormatting sqref="C2477:C2481">
    <cfRule type="expression" dxfId="1437" priority="2563">
      <formula>D2477&lt;&gt;""</formula>
    </cfRule>
  </conditionalFormatting>
  <conditionalFormatting sqref="E2477:E2481">
    <cfRule type="expression" dxfId="1436" priority="2562">
      <formula>F2477&lt;&gt;""</formula>
    </cfRule>
  </conditionalFormatting>
  <conditionalFormatting sqref="G2477:G2481">
    <cfRule type="expression" dxfId="1435" priority="2561">
      <formula>H2477&lt;&gt;""</formula>
    </cfRule>
  </conditionalFormatting>
  <conditionalFormatting sqref="H2481">
    <cfRule type="expression" dxfId="1434" priority="2558">
      <formula>H2477&lt;&gt;""</formula>
    </cfRule>
  </conditionalFormatting>
  <conditionalFormatting sqref="D2509">
    <cfRule type="expression" dxfId="1433" priority="2555">
      <formula>D2505&lt;&gt;""</formula>
    </cfRule>
  </conditionalFormatting>
  <conditionalFormatting sqref="D2501">
    <cfRule type="expression" dxfId="1432" priority="2552">
      <formula>D2497&lt;&gt;""</formula>
    </cfRule>
  </conditionalFormatting>
  <conditionalFormatting sqref="C2497:C2501">
    <cfRule type="expression" dxfId="1431" priority="2551">
      <formula>D2497&lt;&gt;""</formula>
    </cfRule>
  </conditionalFormatting>
  <conditionalFormatting sqref="E2497:E2501">
    <cfRule type="expression" dxfId="1430" priority="2550">
      <formula>F2497&lt;&gt;""</formula>
    </cfRule>
  </conditionalFormatting>
  <conditionalFormatting sqref="G2497:G2501">
    <cfRule type="expression" dxfId="1429" priority="2549">
      <formula>H2497&lt;&gt;""</formula>
    </cfRule>
  </conditionalFormatting>
  <conditionalFormatting sqref="I2497:I2501">
    <cfRule type="expression" dxfId="1428" priority="2548">
      <formula>B2505&lt;&gt;""</formula>
    </cfRule>
  </conditionalFormatting>
  <conditionalFormatting sqref="B2501">
    <cfRule type="expression" dxfId="1427" priority="2545">
      <formula>B2497&lt;&gt;""</formula>
    </cfRule>
  </conditionalFormatting>
  <conditionalFormatting sqref="F2501">
    <cfRule type="expression" dxfId="1426" priority="2542">
      <formula>F2497&lt;&gt;""</formula>
    </cfRule>
  </conditionalFormatting>
  <conditionalFormatting sqref="H2501">
    <cfRule type="expression" dxfId="1425" priority="2539">
      <formula>H2497&lt;&gt;""</formula>
    </cfRule>
  </conditionalFormatting>
  <conditionalFormatting sqref="F2493">
    <cfRule type="expression" dxfId="1424" priority="2536">
      <formula>F2489&lt;&gt;""</formula>
    </cfRule>
  </conditionalFormatting>
  <conditionalFormatting sqref="E2489:E2493">
    <cfRule type="expression" dxfId="1423" priority="2535">
      <formula>F2489&lt;&gt;""</formula>
    </cfRule>
  </conditionalFormatting>
  <conditionalFormatting sqref="G2489:G2493">
    <cfRule type="expression" dxfId="1422" priority="2534">
      <formula>H2489&lt;&gt;""</formula>
    </cfRule>
  </conditionalFormatting>
  <conditionalFormatting sqref="I2489:I2493">
    <cfRule type="expression" dxfId="1421" priority="2533">
      <formula>B2497&lt;&gt;""</formula>
    </cfRule>
  </conditionalFormatting>
  <conditionalFormatting sqref="H2493">
    <cfRule type="expression" dxfId="1420" priority="2530">
      <formula>H2489&lt;&gt;""</formula>
    </cfRule>
  </conditionalFormatting>
  <conditionalFormatting sqref="B2509">
    <cfRule type="expression" dxfId="1419" priority="2527">
      <formula>B2505&lt;&gt;""</formula>
    </cfRule>
  </conditionalFormatting>
  <conditionalFormatting sqref="F2509">
    <cfRule type="expression" dxfId="1418" priority="2524">
      <formula>F2505&lt;&gt;""</formula>
    </cfRule>
  </conditionalFormatting>
  <conditionalFormatting sqref="C2505:C2509">
    <cfRule type="expression" dxfId="1417" priority="2523">
      <formula>D2505&lt;&gt;""</formula>
    </cfRule>
  </conditionalFormatting>
  <conditionalFormatting sqref="E2505:E2509">
    <cfRule type="expression" dxfId="1416" priority="2522">
      <formula>F2505&lt;&gt;""</formula>
    </cfRule>
  </conditionalFormatting>
  <conditionalFormatting sqref="G2505:G2509">
    <cfRule type="expression" dxfId="1415" priority="2521">
      <formula>H2505&lt;&gt;""</formula>
    </cfRule>
  </conditionalFormatting>
  <conditionalFormatting sqref="H2509">
    <cfRule type="expression" dxfId="1414" priority="2518">
      <formula>H2505&lt;&gt;""</formula>
    </cfRule>
  </conditionalFormatting>
  <conditionalFormatting sqref="B2495:B2496 C2495:I2495 I2494">
    <cfRule type="expression" dxfId="1413" priority="2516">
      <formula>$B2497&lt;&gt;""</formula>
    </cfRule>
  </conditionalFormatting>
  <conditionalFormatting sqref="B2503:B2504 C2503:I2503 I2502">
    <cfRule type="expression" dxfId="1412" priority="2515">
      <formula>$B2505&lt;&gt;""</formula>
    </cfRule>
  </conditionalFormatting>
  <conditionalFormatting sqref="D2537">
    <cfRule type="expression" dxfId="1411" priority="2512">
      <formula>D2533&lt;&gt;""</formula>
    </cfRule>
  </conditionalFormatting>
  <conditionalFormatting sqref="D2529">
    <cfRule type="expression" dxfId="1410" priority="2509">
      <formula>D2525&lt;&gt;""</formula>
    </cfRule>
  </conditionalFormatting>
  <conditionalFormatting sqref="C2525:C2529">
    <cfRule type="expression" dxfId="1409" priority="2508">
      <formula>D2525&lt;&gt;""</formula>
    </cfRule>
  </conditionalFormatting>
  <conditionalFormatting sqref="E2525:E2529">
    <cfRule type="expression" dxfId="1408" priority="2507">
      <formula>F2525&lt;&gt;""</formula>
    </cfRule>
  </conditionalFormatting>
  <conditionalFormatting sqref="G2525:G2529">
    <cfRule type="expression" dxfId="1407" priority="2506">
      <formula>H2525&lt;&gt;""</formula>
    </cfRule>
  </conditionalFormatting>
  <conditionalFormatting sqref="I2525:I2529">
    <cfRule type="expression" dxfId="1406" priority="2505">
      <formula>B2533&lt;&gt;""</formula>
    </cfRule>
  </conditionalFormatting>
  <conditionalFormatting sqref="B2529">
    <cfRule type="expression" dxfId="1405" priority="2502">
      <formula>B2525&lt;&gt;""</formula>
    </cfRule>
  </conditionalFormatting>
  <conditionalFormatting sqref="F2529">
    <cfRule type="expression" dxfId="1404" priority="2499">
      <formula>F2525&lt;&gt;""</formula>
    </cfRule>
  </conditionalFormatting>
  <conditionalFormatting sqref="H2529">
    <cfRule type="expression" dxfId="1403" priority="2496">
      <formula>H2525&lt;&gt;""</formula>
    </cfRule>
  </conditionalFormatting>
  <conditionalFormatting sqref="F2521">
    <cfRule type="expression" dxfId="1402" priority="2493">
      <formula>F2517&lt;&gt;""</formula>
    </cfRule>
  </conditionalFormatting>
  <conditionalFormatting sqref="E2517:E2521">
    <cfRule type="expression" dxfId="1401" priority="2492">
      <formula>F2517&lt;&gt;""</formula>
    </cfRule>
  </conditionalFormatting>
  <conditionalFormatting sqref="G2517:G2521">
    <cfRule type="expression" dxfId="1400" priority="2491">
      <formula>H2517&lt;&gt;""</formula>
    </cfRule>
  </conditionalFormatting>
  <conditionalFormatting sqref="I2517:I2521">
    <cfRule type="expression" dxfId="1399" priority="2490">
      <formula>B2525&lt;&gt;""</formula>
    </cfRule>
  </conditionalFormatting>
  <conditionalFormatting sqref="H2521">
    <cfRule type="expression" dxfId="1398" priority="2487">
      <formula>H2517&lt;&gt;""</formula>
    </cfRule>
  </conditionalFormatting>
  <conditionalFormatting sqref="B2537">
    <cfRule type="expression" dxfId="1397" priority="2484">
      <formula>B2533&lt;&gt;""</formula>
    </cfRule>
  </conditionalFormatting>
  <conditionalFormatting sqref="F2537">
    <cfRule type="expression" dxfId="1396" priority="2481">
      <formula>F2533&lt;&gt;""</formula>
    </cfRule>
  </conditionalFormatting>
  <conditionalFormatting sqref="C2533:C2537">
    <cfRule type="expression" dxfId="1395" priority="2480">
      <formula>D2533&lt;&gt;""</formula>
    </cfRule>
  </conditionalFormatting>
  <conditionalFormatting sqref="E2533:E2537">
    <cfRule type="expression" dxfId="1394" priority="2479">
      <formula>F2533&lt;&gt;""</formula>
    </cfRule>
  </conditionalFormatting>
  <conditionalFormatting sqref="G2533:G2537">
    <cfRule type="expression" dxfId="1393" priority="2478">
      <formula>H2533&lt;&gt;""</formula>
    </cfRule>
  </conditionalFormatting>
  <conditionalFormatting sqref="H2537">
    <cfRule type="expression" dxfId="1392" priority="2475">
      <formula>H2533&lt;&gt;""</formula>
    </cfRule>
  </conditionalFormatting>
  <conditionalFormatting sqref="B2523:B2524 C2523:I2523 I2522">
    <cfRule type="expression" dxfId="1391" priority="2473">
      <formula>$B2525&lt;&gt;""</formula>
    </cfRule>
  </conditionalFormatting>
  <conditionalFormatting sqref="B2531:B2532 C2531:I2531 I2530">
    <cfRule type="expression" dxfId="1390" priority="2472">
      <formula>$B2533&lt;&gt;""</formula>
    </cfRule>
  </conditionalFormatting>
  <conditionalFormatting sqref="B2465">
    <cfRule type="expression" dxfId="1389" priority="2469">
      <formula>B2461&lt;&gt;""</formula>
    </cfRule>
  </conditionalFormatting>
  <conditionalFormatting sqref="C2461:C2465">
    <cfRule type="expression" dxfId="1388" priority="2468">
      <formula>D2461&lt;&gt;""</formula>
    </cfRule>
  </conditionalFormatting>
  <conditionalFormatting sqref="D2465">
    <cfRule type="expression" dxfId="1387" priority="2465">
      <formula>D2461&lt;&gt;""</formula>
    </cfRule>
  </conditionalFormatting>
  <conditionalFormatting sqref="B2493">
    <cfRule type="expression" dxfId="1386" priority="2463">
      <formula>B2489&lt;&gt;""</formula>
    </cfRule>
  </conditionalFormatting>
  <conditionalFormatting sqref="C2489:C2493">
    <cfRule type="expression" dxfId="1385" priority="2462">
      <formula>D2489&lt;&gt;""</formula>
    </cfRule>
  </conditionalFormatting>
  <conditionalFormatting sqref="D2493">
    <cfRule type="expression" dxfId="1384" priority="2459">
      <formula>D2489&lt;&gt;""</formula>
    </cfRule>
  </conditionalFormatting>
  <conditionalFormatting sqref="B2521">
    <cfRule type="expression" dxfId="1383" priority="2457">
      <formula>B2517&lt;&gt;""</formula>
    </cfRule>
  </conditionalFormatting>
  <conditionalFormatting sqref="C2517:C2521">
    <cfRule type="expression" dxfId="1382" priority="2456">
      <formula>D2517&lt;&gt;""</formula>
    </cfRule>
  </conditionalFormatting>
  <conditionalFormatting sqref="D2521">
    <cfRule type="expression" dxfId="1381" priority="2453">
      <formula>D2517&lt;&gt;""</formula>
    </cfRule>
  </conditionalFormatting>
  <conditionalFormatting sqref="B2475:B2476 C2475:I2475 I2474">
    <cfRule type="expression" dxfId="1380" priority="2452">
      <formula>$B2477&lt;&gt;""</formula>
    </cfRule>
  </conditionalFormatting>
  <conditionalFormatting sqref="B2467:B2468 C2467:I2467 I2466">
    <cfRule type="expression" dxfId="1379" priority="2451">
      <formula>$B2469&lt;&gt;""</formula>
    </cfRule>
  </conditionalFormatting>
  <conditionalFormatting sqref="D2735">
    <cfRule type="expression" dxfId="1378" priority="2448">
      <formula>D2731&lt;&gt;""</formula>
    </cfRule>
  </conditionalFormatting>
  <conditionalFormatting sqref="I2720:I2721 C2721:H2721 B2721:B2722">
    <cfRule type="expression" dxfId="1377" priority="2447">
      <formula>$B2723&lt;&gt;""</formula>
    </cfRule>
  </conditionalFormatting>
  <conditionalFormatting sqref="D2727">
    <cfRule type="expression" dxfId="1376" priority="2444">
      <formula>D2723&lt;&gt;""</formula>
    </cfRule>
  </conditionalFormatting>
  <conditionalFormatting sqref="C2723:C2727">
    <cfRule type="expression" dxfId="1375" priority="2443">
      <formula>D2723&lt;&gt;""</formula>
    </cfRule>
  </conditionalFormatting>
  <conditionalFormatting sqref="E2723:E2727">
    <cfRule type="expression" dxfId="1374" priority="2442">
      <formula>F2723&lt;&gt;""</formula>
    </cfRule>
  </conditionalFormatting>
  <conditionalFormatting sqref="G2723:G2727">
    <cfRule type="expression" dxfId="1373" priority="2441">
      <formula>H2723&lt;&gt;""</formula>
    </cfRule>
  </conditionalFormatting>
  <conditionalFormatting sqref="I2723:I2727">
    <cfRule type="expression" dxfId="1372" priority="2440">
      <formula>B2731&lt;&gt;""</formula>
    </cfRule>
  </conditionalFormatting>
  <conditionalFormatting sqref="B2727">
    <cfRule type="expression" dxfId="1371" priority="2437">
      <formula>B2723&lt;&gt;""</formula>
    </cfRule>
  </conditionalFormatting>
  <conditionalFormatting sqref="F2727">
    <cfRule type="expression" dxfId="1370" priority="2434">
      <formula>F2723&lt;&gt;""</formula>
    </cfRule>
  </conditionalFormatting>
  <conditionalFormatting sqref="H2727">
    <cfRule type="expression" dxfId="1369" priority="2431">
      <formula>H2723&lt;&gt;""</formula>
    </cfRule>
  </conditionalFormatting>
  <conditionalFormatting sqref="F2719">
    <cfRule type="expression" dxfId="1368" priority="2428">
      <formula>F2715&lt;&gt;""</formula>
    </cfRule>
  </conditionalFormatting>
  <conditionalFormatting sqref="E2715:E2719">
    <cfRule type="expression" dxfId="1367" priority="2427">
      <formula>F2715&lt;&gt;""</formula>
    </cfRule>
  </conditionalFormatting>
  <conditionalFormatting sqref="G2715:G2719">
    <cfRule type="expression" dxfId="1366" priority="2426">
      <formula>H2715&lt;&gt;""</formula>
    </cfRule>
  </conditionalFormatting>
  <conditionalFormatting sqref="I2715:I2719">
    <cfRule type="expression" dxfId="1365" priority="2425">
      <formula>B2723&lt;&gt;""</formula>
    </cfRule>
  </conditionalFormatting>
  <conditionalFormatting sqref="H2719">
    <cfRule type="expression" dxfId="1364" priority="2422">
      <formula>H2715&lt;&gt;""</formula>
    </cfRule>
  </conditionalFormatting>
  <conditionalFormatting sqref="I2728:I2729 C2729:H2729 B2729:B2730">
    <cfRule type="expression" dxfId="1363" priority="2421">
      <formula>$B2731&lt;&gt;""</formula>
    </cfRule>
  </conditionalFormatting>
  <conditionalFormatting sqref="B2735">
    <cfRule type="expression" dxfId="1362" priority="2418">
      <formula>B2731&lt;&gt;""</formula>
    </cfRule>
  </conditionalFormatting>
  <conditionalFormatting sqref="F2735">
    <cfRule type="expression" dxfId="1361" priority="2415">
      <formula>F2731&lt;&gt;""</formula>
    </cfRule>
  </conditionalFormatting>
  <conditionalFormatting sqref="C2731:C2735">
    <cfRule type="expression" dxfId="1360" priority="2414">
      <formula>D2731&lt;&gt;""</formula>
    </cfRule>
  </conditionalFormatting>
  <conditionalFormatting sqref="E2731:E2735">
    <cfRule type="expression" dxfId="1359" priority="2413">
      <formula>F2731&lt;&gt;""</formula>
    </cfRule>
  </conditionalFormatting>
  <conditionalFormatting sqref="G2731:G2735">
    <cfRule type="expression" dxfId="1358" priority="2412">
      <formula>H2731&lt;&gt;""</formula>
    </cfRule>
  </conditionalFormatting>
  <conditionalFormatting sqref="H2735">
    <cfRule type="expression" dxfId="1357" priority="2409">
      <formula>H2731&lt;&gt;""</formula>
    </cfRule>
  </conditionalFormatting>
  <conditionalFormatting sqref="D2707">
    <cfRule type="expression" dxfId="1356" priority="2406">
      <formula>D2703&lt;&gt;""</formula>
    </cfRule>
  </conditionalFormatting>
  <conditionalFormatting sqref="I2692:I2693 C2693:H2693 B2693:B2694">
    <cfRule type="expression" dxfId="1355" priority="2405">
      <formula>$B2695&lt;&gt;""</formula>
    </cfRule>
  </conditionalFormatting>
  <conditionalFormatting sqref="D2699">
    <cfRule type="expression" dxfId="1354" priority="2402">
      <formula>D2695&lt;&gt;""</formula>
    </cfRule>
  </conditionalFormatting>
  <conditionalFormatting sqref="C2695:C2699">
    <cfRule type="expression" dxfId="1353" priority="2401">
      <formula>D2695&lt;&gt;""</formula>
    </cfRule>
  </conditionalFormatting>
  <conditionalFormatting sqref="E2695:E2699">
    <cfRule type="expression" dxfId="1352" priority="2400">
      <formula>F2695&lt;&gt;""</formula>
    </cfRule>
  </conditionalFormatting>
  <conditionalFormatting sqref="G2695:G2699">
    <cfRule type="expression" dxfId="1351" priority="2399">
      <formula>H2695&lt;&gt;""</formula>
    </cfRule>
  </conditionalFormatting>
  <conditionalFormatting sqref="I2695:I2699">
    <cfRule type="expression" dxfId="1350" priority="2398">
      <formula>B2703&lt;&gt;""</formula>
    </cfRule>
  </conditionalFormatting>
  <conditionalFormatting sqref="B2699">
    <cfRule type="expression" dxfId="1349" priority="2395">
      <formula>B2695&lt;&gt;""</formula>
    </cfRule>
  </conditionalFormatting>
  <conditionalFormatting sqref="F2699">
    <cfRule type="expression" dxfId="1348" priority="2392">
      <formula>F2695&lt;&gt;""</formula>
    </cfRule>
  </conditionalFormatting>
  <conditionalFormatting sqref="H2699">
    <cfRule type="expression" dxfId="1347" priority="2389">
      <formula>H2695&lt;&gt;""</formula>
    </cfRule>
  </conditionalFormatting>
  <conditionalFormatting sqref="F2691">
    <cfRule type="expression" dxfId="1346" priority="2386">
      <formula>F2687&lt;&gt;""</formula>
    </cfRule>
  </conditionalFormatting>
  <conditionalFormatting sqref="E2687:E2691">
    <cfRule type="expression" dxfId="1345" priority="2385">
      <formula>F2687&lt;&gt;""</formula>
    </cfRule>
  </conditionalFormatting>
  <conditionalFormatting sqref="G2687:G2691">
    <cfRule type="expression" dxfId="1344" priority="2384">
      <formula>H2687&lt;&gt;""</formula>
    </cfRule>
  </conditionalFormatting>
  <conditionalFormatting sqref="I2687:I2691">
    <cfRule type="expression" dxfId="1343" priority="2383">
      <formula>B2695&lt;&gt;""</formula>
    </cfRule>
  </conditionalFormatting>
  <conditionalFormatting sqref="H2691">
    <cfRule type="expression" dxfId="1342" priority="2380">
      <formula>H2687&lt;&gt;""</formula>
    </cfRule>
  </conditionalFormatting>
  <conditionalFormatting sqref="I2700:I2701 C2701:H2701 B2701:B2702">
    <cfRule type="expression" dxfId="1341" priority="2379">
      <formula>$B2703&lt;&gt;""</formula>
    </cfRule>
  </conditionalFormatting>
  <conditionalFormatting sqref="B2707">
    <cfRule type="expression" dxfId="1340" priority="2376">
      <formula>B2703&lt;&gt;""</formula>
    </cfRule>
  </conditionalFormatting>
  <conditionalFormatting sqref="F2707">
    <cfRule type="expression" dxfId="1339" priority="2373">
      <formula>F2703&lt;&gt;""</formula>
    </cfRule>
  </conditionalFormatting>
  <conditionalFormatting sqref="C2703:C2707">
    <cfRule type="expression" dxfId="1338" priority="2372">
      <formula>D2703&lt;&gt;""</formula>
    </cfRule>
  </conditionalFormatting>
  <conditionalFormatting sqref="E2703:E2707">
    <cfRule type="expression" dxfId="1337" priority="2371">
      <formula>F2703&lt;&gt;""</formula>
    </cfRule>
  </conditionalFormatting>
  <conditionalFormatting sqref="G2703:G2707">
    <cfRule type="expression" dxfId="1336" priority="2370">
      <formula>H2703&lt;&gt;""</formula>
    </cfRule>
  </conditionalFormatting>
  <conditionalFormatting sqref="H2707">
    <cfRule type="expression" dxfId="1335" priority="2367">
      <formula>H2703&lt;&gt;""</formula>
    </cfRule>
  </conditionalFormatting>
  <conditionalFormatting sqref="D2679">
    <cfRule type="expression" dxfId="1334" priority="2364">
      <formula>D2675&lt;&gt;""</formula>
    </cfRule>
  </conditionalFormatting>
  <conditionalFormatting sqref="I2664:I2665 C2665:H2665 B2665:B2666">
    <cfRule type="expression" dxfId="1333" priority="2363">
      <formula>$B2667&lt;&gt;""</formula>
    </cfRule>
  </conditionalFormatting>
  <conditionalFormatting sqref="D2671">
    <cfRule type="expression" dxfId="1332" priority="2360">
      <formula>D2667&lt;&gt;""</formula>
    </cfRule>
  </conditionalFormatting>
  <conditionalFormatting sqref="C2667:C2671">
    <cfRule type="expression" dxfId="1331" priority="2359">
      <formula>D2667&lt;&gt;""</formula>
    </cfRule>
  </conditionalFormatting>
  <conditionalFormatting sqref="E2667:E2671">
    <cfRule type="expression" dxfId="1330" priority="2358">
      <formula>F2667&lt;&gt;""</formula>
    </cfRule>
  </conditionalFormatting>
  <conditionalFormatting sqref="G2667:G2671">
    <cfRule type="expression" dxfId="1329" priority="2357">
      <formula>H2667&lt;&gt;""</formula>
    </cfRule>
  </conditionalFormatting>
  <conditionalFormatting sqref="I2667:I2671">
    <cfRule type="expression" dxfId="1328" priority="2356">
      <formula>B2675&lt;&gt;""</formula>
    </cfRule>
  </conditionalFormatting>
  <conditionalFormatting sqref="B2671">
    <cfRule type="expression" dxfId="1327" priority="2353">
      <formula>B2667&lt;&gt;""</formula>
    </cfRule>
  </conditionalFormatting>
  <conditionalFormatting sqref="F2671">
    <cfRule type="expression" dxfId="1326" priority="2350">
      <formula>F2667&lt;&gt;""</formula>
    </cfRule>
  </conditionalFormatting>
  <conditionalFormatting sqref="H2671">
    <cfRule type="expression" dxfId="1325" priority="2347">
      <formula>H2667&lt;&gt;""</formula>
    </cfRule>
  </conditionalFormatting>
  <conditionalFormatting sqref="F2663">
    <cfRule type="expression" dxfId="1324" priority="2344">
      <formula>F2659&lt;&gt;""</formula>
    </cfRule>
  </conditionalFormatting>
  <conditionalFormatting sqref="E2659:E2663">
    <cfRule type="expression" dxfId="1323" priority="2343">
      <formula>F2659&lt;&gt;""</formula>
    </cfRule>
  </conditionalFormatting>
  <conditionalFormatting sqref="G2659:G2663">
    <cfRule type="expression" dxfId="1322" priority="2342">
      <formula>H2659&lt;&gt;""</formula>
    </cfRule>
  </conditionalFormatting>
  <conditionalFormatting sqref="I2659:I2663">
    <cfRule type="expression" dxfId="1321" priority="2341">
      <formula>B2667&lt;&gt;""</formula>
    </cfRule>
  </conditionalFormatting>
  <conditionalFormatting sqref="H2663">
    <cfRule type="expression" dxfId="1320" priority="2338">
      <formula>H2659&lt;&gt;""</formula>
    </cfRule>
  </conditionalFormatting>
  <conditionalFormatting sqref="I2672:I2673 C2673:H2673 B2673:B2674">
    <cfRule type="expression" dxfId="1319" priority="2337">
      <formula>$B2675&lt;&gt;""</formula>
    </cfRule>
  </conditionalFormatting>
  <conditionalFormatting sqref="B2679">
    <cfRule type="expression" dxfId="1318" priority="2334">
      <formula>B2675&lt;&gt;""</formula>
    </cfRule>
  </conditionalFormatting>
  <conditionalFormatting sqref="F2679">
    <cfRule type="expression" dxfId="1317" priority="2331">
      <formula>F2675&lt;&gt;""</formula>
    </cfRule>
  </conditionalFormatting>
  <conditionalFormatting sqref="C2675:C2679">
    <cfRule type="expression" dxfId="1316" priority="2330">
      <formula>D2675&lt;&gt;""</formula>
    </cfRule>
  </conditionalFormatting>
  <conditionalFormatting sqref="E2675:E2679">
    <cfRule type="expression" dxfId="1315" priority="2329">
      <formula>F2675&lt;&gt;""</formula>
    </cfRule>
  </conditionalFormatting>
  <conditionalFormatting sqref="G2675:G2679">
    <cfRule type="expression" dxfId="1314" priority="2328">
      <formula>H2675&lt;&gt;""</formula>
    </cfRule>
  </conditionalFormatting>
  <conditionalFormatting sqref="H2679">
    <cfRule type="expression" dxfId="1313" priority="2325">
      <formula>H2675&lt;&gt;""</formula>
    </cfRule>
  </conditionalFormatting>
  <conditionalFormatting sqref="D2651">
    <cfRule type="expression" dxfId="1312" priority="2322">
      <formula>D2647&lt;&gt;""</formula>
    </cfRule>
  </conditionalFormatting>
  <conditionalFormatting sqref="I2636:I2637 C2637:H2637 B2637:B2638">
    <cfRule type="expression" dxfId="1311" priority="2321">
      <formula>$B2639&lt;&gt;""</formula>
    </cfRule>
  </conditionalFormatting>
  <conditionalFormatting sqref="D2643">
    <cfRule type="expression" dxfId="1310" priority="2318">
      <formula>D2639&lt;&gt;""</formula>
    </cfRule>
  </conditionalFormatting>
  <conditionalFormatting sqref="C2639:C2643">
    <cfRule type="expression" dxfId="1309" priority="2317">
      <formula>D2639&lt;&gt;""</formula>
    </cfRule>
  </conditionalFormatting>
  <conditionalFormatting sqref="E2639:E2643">
    <cfRule type="expression" dxfId="1308" priority="2316">
      <formula>F2639&lt;&gt;""</formula>
    </cfRule>
  </conditionalFormatting>
  <conditionalFormatting sqref="G2639:G2643">
    <cfRule type="expression" dxfId="1307" priority="2315">
      <formula>H2639&lt;&gt;""</formula>
    </cfRule>
  </conditionalFormatting>
  <conditionalFormatting sqref="I2639:I2643">
    <cfRule type="expression" dxfId="1306" priority="2314">
      <formula>B2647&lt;&gt;""</formula>
    </cfRule>
  </conditionalFormatting>
  <conditionalFormatting sqref="B2643">
    <cfRule type="expression" dxfId="1305" priority="2311">
      <formula>B2639&lt;&gt;""</formula>
    </cfRule>
  </conditionalFormatting>
  <conditionalFormatting sqref="F2643">
    <cfRule type="expression" dxfId="1304" priority="2308">
      <formula>F2639&lt;&gt;""</formula>
    </cfRule>
  </conditionalFormatting>
  <conditionalFormatting sqref="H2643">
    <cfRule type="expression" dxfId="1303" priority="2305">
      <formula>H2639&lt;&gt;""</formula>
    </cfRule>
  </conditionalFormatting>
  <conditionalFormatting sqref="F2635">
    <cfRule type="expression" dxfId="1302" priority="2302">
      <formula>F2631&lt;&gt;""</formula>
    </cfRule>
  </conditionalFormatting>
  <conditionalFormatting sqref="E2631:E2635">
    <cfRule type="expression" dxfId="1301" priority="2301">
      <formula>F2631&lt;&gt;""</formula>
    </cfRule>
  </conditionalFormatting>
  <conditionalFormatting sqref="G2631:G2635">
    <cfRule type="expression" dxfId="1300" priority="2300">
      <formula>H2631&lt;&gt;""</formula>
    </cfRule>
  </conditionalFormatting>
  <conditionalFormatting sqref="I2631:I2635">
    <cfRule type="expression" dxfId="1299" priority="2299">
      <formula>B2639&lt;&gt;""</formula>
    </cfRule>
  </conditionalFormatting>
  <conditionalFormatting sqref="H2635">
    <cfRule type="expression" dxfId="1298" priority="2296">
      <formula>H2631&lt;&gt;""</formula>
    </cfRule>
  </conditionalFormatting>
  <conditionalFormatting sqref="I2644:I2645 C2645:H2645 B2645:B2646">
    <cfRule type="expression" dxfId="1297" priority="2295">
      <formula>$B2647&lt;&gt;""</formula>
    </cfRule>
  </conditionalFormatting>
  <conditionalFormatting sqref="B2651">
    <cfRule type="expression" dxfId="1296" priority="2292">
      <formula>B2647&lt;&gt;""</formula>
    </cfRule>
  </conditionalFormatting>
  <conditionalFormatting sqref="F2651">
    <cfRule type="expression" dxfId="1295" priority="2289">
      <formula>F2647&lt;&gt;""</formula>
    </cfRule>
  </conditionalFormatting>
  <conditionalFormatting sqref="C2647:C2651">
    <cfRule type="expression" dxfId="1294" priority="2288">
      <formula>D2647&lt;&gt;""</formula>
    </cfRule>
  </conditionalFormatting>
  <conditionalFormatting sqref="E2647:E2651">
    <cfRule type="expression" dxfId="1293" priority="2287">
      <formula>F2647&lt;&gt;""</formula>
    </cfRule>
  </conditionalFormatting>
  <conditionalFormatting sqref="G2647:G2651">
    <cfRule type="expression" dxfId="1292" priority="2286">
      <formula>H2647&lt;&gt;""</formula>
    </cfRule>
  </conditionalFormatting>
  <conditionalFormatting sqref="H2651">
    <cfRule type="expression" dxfId="1291" priority="2283">
      <formula>H2647&lt;&gt;""</formula>
    </cfRule>
  </conditionalFormatting>
  <conditionalFormatting sqref="D2623">
    <cfRule type="expression" dxfId="1290" priority="2280">
      <formula>D2619&lt;&gt;""</formula>
    </cfRule>
  </conditionalFormatting>
  <conditionalFormatting sqref="I2608:I2609 C2609:H2609 B2609:B2610">
    <cfRule type="expression" dxfId="1289" priority="2279">
      <formula>$B2611&lt;&gt;""</formula>
    </cfRule>
  </conditionalFormatting>
  <conditionalFormatting sqref="D2615">
    <cfRule type="expression" dxfId="1288" priority="2276">
      <formula>D2611&lt;&gt;""</formula>
    </cfRule>
  </conditionalFormatting>
  <conditionalFormatting sqref="C2611:C2615">
    <cfRule type="expression" dxfId="1287" priority="2275">
      <formula>D2611&lt;&gt;""</formula>
    </cfRule>
  </conditionalFormatting>
  <conditionalFormatting sqref="E2611:E2615">
    <cfRule type="expression" dxfId="1286" priority="2274">
      <formula>F2611&lt;&gt;""</formula>
    </cfRule>
  </conditionalFormatting>
  <conditionalFormatting sqref="G2611:G2615">
    <cfRule type="expression" dxfId="1285" priority="2273">
      <formula>H2611&lt;&gt;""</formula>
    </cfRule>
  </conditionalFormatting>
  <conditionalFormatting sqref="I2611:I2615">
    <cfRule type="expression" dxfId="1284" priority="2272">
      <formula>B2619&lt;&gt;""</formula>
    </cfRule>
  </conditionalFormatting>
  <conditionalFormatting sqref="B2615">
    <cfRule type="expression" dxfId="1283" priority="2269">
      <formula>B2611&lt;&gt;""</formula>
    </cfRule>
  </conditionalFormatting>
  <conditionalFormatting sqref="F2615">
    <cfRule type="expression" dxfId="1282" priority="2266">
      <formula>F2611&lt;&gt;""</formula>
    </cfRule>
  </conditionalFormatting>
  <conditionalFormatting sqref="H2615">
    <cfRule type="expression" dxfId="1281" priority="2263">
      <formula>H2611&lt;&gt;""</formula>
    </cfRule>
  </conditionalFormatting>
  <conditionalFormatting sqref="F2607">
    <cfRule type="expression" dxfId="1280" priority="2260">
      <formula>F2603&lt;&gt;""</formula>
    </cfRule>
  </conditionalFormatting>
  <conditionalFormatting sqref="E2603:E2607">
    <cfRule type="expression" dxfId="1279" priority="2259">
      <formula>F2603&lt;&gt;""</formula>
    </cfRule>
  </conditionalFormatting>
  <conditionalFormatting sqref="G2603:G2607">
    <cfRule type="expression" dxfId="1278" priority="2258">
      <formula>H2603&lt;&gt;""</formula>
    </cfRule>
  </conditionalFormatting>
  <conditionalFormatting sqref="I2603:I2607">
    <cfRule type="expression" dxfId="1277" priority="2257">
      <formula>B2611&lt;&gt;""</formula>
    </cfRule>
  </conditionalFormatting>
  <conditionalFormatting sqref="H2607">
    <cfRule type="expression" dxfId="1276" priority="2254">
      <formula>H2603&lt;&gt;""</formula>
    </cfRule>
  </conditionalFormatting>
  <conditionalFormatting sqref="I2616:I2617 C2617:H2617 B2617:B2618">
    <cfRule type="expression" dxfId="1275" priority="2253">
      <formula>$B2619&lt;&gt;""</formula>
    </cfRule>
  </conditionalFormatting>
  <conditionalFormatting sqref="B2623">
    <cfRule type="expression" dxfId="1274" priority="2250">
      <formula>B2619&lt;&gt;""</formula>
    </cfRule>
  </conditionalFormatting>
  <conditionalFormatting sqref="F2623">
    <cfRule type="expression" dxfId="1273" priority="2247">
      <formula>F2619&lt;&gt;""</formula>
    </cfRule>
  </conditionalFormatting>
  <conditionalFormatting sqref="C2619:C2623">
    <cfRule type="expression" dxfId="1272" priority="2246">
      <formula>D2619&lt;&gt;""</formula>
    </cfRule>
  </conditionalFormatting>
  <conditionalFormatting sqref="E2619:E2623">
    <cfRule type="expression" dxfId="1271" priority="2245">
      <formula>F2619&lt;&gt;""</formula>
    </cfRule>
  </conditionalFormatting>
  <conditionalFormatting sqref="G2619:G2623">
    <cfRule type="expression" dxfId="1270" priority="2244">
      <formula>H2619&lt;&gt;""</formula>
    </cfRule>
  </conditionalFormatting>
  <conditionalFormatting sqref="H2623">
    <cfRule type="expression" dxfId="1269" priority="2241">
      <formula>H2619&lt;&gt;""</formula>
    </cfRule>
  </conditionalFormatting>
  <conditionalFormatting sqref="D2595">
    <cfRule type="expression" dxfId="1268" priority="2238">
      <formula>D2591&lt;&gt;""</formula>
    </cfRule>
  </conditionalFormatting>
  <conditionalFormatting sqref="I2580:I2581 C2581:H2581 B2581:B2582">
    <cfRule type="expression" dxfId="1267" priority="2237">
      <formula>$B2583&lt;&gt;""</formula>
    </cfRule>
  </conditionalFormatting>
  <conditionalFormatting sqref="D2587">
    <cfRule type="expression" dxfId="1266" priority="2234">
      <formula>D2583&lt;&gt;""</formula>
    </cfRule>
  </conditionalFormatting>
  <conditionalFormatting sqref="C2583:C2587">
    <cfRule type="expression" dxfId="1265" priority="2233">
      <formula>D2583&lt;&gt;""</formula>
    </cfRule>
  </conditionalFormatting>
  <conditionalFormatting sqref="E2583:E2587">
    <cfRule type="expression" dxfId="1264" priority="2232">
      <formula>F2583&lt;&gt;""</formula>
    </cfRule>
  </conditionalFormatting>
  <conditionalFormatting sqref="G2583:G2587">
    <cfRule type="expression" dxfId="1263" priority="2231">
      <formula>H2583&lt;&gt;""</formula>
    </cfRule>
  </conditionalFormatting>
  <conditionalFormatting sqref="I2583:I2587">
    <cfRule type="expression" dxfId="1262" priority="2230">
      <formula>B2591&lt;&gt;""</formula>
    </cfRule>
  </conditionalFormatting>
  <conditionalFormatting sqref="B2587">
    <cfRule type="expression" dxfId="1261" priority="2227">
      <formula>B2583&lt;&gt;""</formula>
    </cfRule>
  </conditionalFormatting>
  <conditionalFormatting sqref="F2587">
    <cfRule type="expression" dxfId="1260" priority="2224">
      <formula>F2583&lt;&gt;""</formula>
    </cfRule>
  </conditionalFormatting>
  <conditionalFormatting sqref="H2587">
    <cfRule type="expression" dxfId="1259" priority="2221">
      <formula>H2583&lt;&gt;""</formula>
    </cfRule>
  </conditionalFormatting>
  <conditionalFormatting sqref="F2579">
    <cfRule type="expression" dxfId="1258" priority="2218">
      <formula>F2575&lt;&gt;""</formula>
    </cfRule>
  </conditionalFormatting>
  <conditionalFormatting sqref="E2575:E2579">
    <cfRule type="expression" dxfId="1257" priority="2217">
      <formula>F2575&lt;&gt;""</formula>
    </cfRule>
  </conditionalFormatting>
  <conditionalFormatting sqref="G2575:G2579">
    <cfRule type="expression" dxfId="1256" priority="2216">
      <formula>H2575&lt;&gt;""</formula>
    </cfRule>
  </conditionalFormatting>
  <conditionalFormatting sqref="I2575:I2579">
    <cfRule type="expression" dxfId="1255" priority="2215">
      <formula>B2583&lt;&gt;""</formula>
    </cfRule>
  </conditionalFormatting>
  <conditionalFormatting sqref="H2579">
    <cfRule type="expression" dxfId="1254" priority="2212">
      <formula>H2575&lt;&gt;""</formula>
    </cfRule>
  </conditionalFormatting>
  <conditionalFormatting sqref="I2588:I2589 C2589:H2589 B2589:B2590">
    <cfRule type="expression" dxfId="1253" priority="2211">
      <formula>$B2591&lt;&gt;""</formula>
    </cfRule>
  </conditionalFormatting>
  <conditionalFormatting sqref="B2595">
    <cfRule type="expression" dxfId="1252" priority="2208">
      <formula>B2591&lt;&gt;""</formula>
    </cfRule>
  </conditionalFormatting>
  <conditionalFormatting sqref="F2595">
    <cfRule type="expression" dxfId="1251" priority="2205">
      <formula>F2591&lt;&gt;""</formula>
    </cfRule>
  </conditionalFormatting>
  <conditionalFormatting sqref="C2591:C2595">
    <cfRule type="expression" dxfId="1250" priority="2204">
      <formula>D2591&lt;&gt;""</formula>
    </cfRule>
  </conditionalFormatting>
  <conditionalFormatting sqref="E2591:E2595">
    <cfRule type="expression" dxfId="1249" priority="2203">
      <formula>F2591&lt;&gt;""</formula>
    </cfRule>
  </conditionalFormatting>
  <conditionalFormatting sqref="G2591:G2595">
    <cfRule type="expression" dxfId="1248" priority="2202">
      <formula>H2591&lt;&gt;""</formula>
    </cfRule>
  </conditionalFormatting>
  <conditionalFormatting sqref="H2595">
    <cfRule type="expression" dxfId="1247" priority="2199">
      <formula>H2591&lt;&gt;""</formula>
    </cfRule>
  </conditionalFormatting>
  <conditionalFormatting sqref="D2567">
    <cfRule type="expression" dxfId="1246" priority="2196">
      <formula>D2563&lt;&gt;""</formula>
    </cfRule>
  </conditionalFormatting>
  <conditionalFormatting sqref="I2552:I2553 C2553:H2553 B2553:B2554">
    <cfRule type="expression" dxfId="1245" priority="2195">
      <formula>$B2555&lt;&gt;""</formula>
    </cfRule>
  </conditionalFormatting>
  <conditionalFormatting sqref="D2559">
    <cfRule type="expression" dxfId="1244" priority="2192">
      <formula>D2555&lt;&gt;""</formula>
    </cfRule>
  </conditionalFormatting>
  <conditionalFormatting sqref="C2555:C2559">
    <cfRule type="expression" dxfId="1243" priority="2191">
      <formula>D2555&lt;&gt;""</formula>
    </cfRule>
  </conditionalFormatting>
  <conditionalFormatting sqref="E2555:E2559">
    <cfRule type="expression" dxfId="1242" priority="2190">
      <formula>F2555&lt;&gt;""</formula>
    </cfRule>
  </conditionalFormatting>
  <conditionalFormatting sqref="G2555:G2559">
    <cfRule type="expression" dxfId="1241" priority="2189">
      <formula>H2555&lt;&gt;""</formula>
    </cfRule>
  </conditionalFormatting>
  <conditionalFormatting sqref="I2555:I2559">
    <cfRule type="expression" dxfId="1240" priority="2188">
      <formula>B2563&lt;&gt;""</formula>
    </cfRule>
  </conditionalFormatting>
  <conditionalFormatting sqref="B2559">
    <cfRule type="expression" dxfId="1239" priority="2185">
      <formula>B2555&lt;&gt;""</formula>
    </cfRule>
  </conditionalFormatting>
  <conditionalFormatting sqref="F2559">
    <cfRule type="expression" dxfId="1238" priority="2182">
      <formula>F2555&lt;&gt;""</formula>
    </cfRule>
  </conditionalFormatting>
  <conditionalFormatting sqref="H2559">
    <cfRule type="expression" dxfId="1237" priority="2179">
      <formula>H2555&lt;&gt;""</formula>
    </cfRule>
  </conditionalFormatting>
  <conditionalFormatting sqref="F2551">
    <cfRule type="expression" dxfId="1236" priority="2176">
      <formula>F2547&lt;&gt;""</formula>
    </cfRule>
  </conditionalFormatting>
  <conditionalFormatting sqref="E2547:E2551">
    <cfRule type="expression" dxfId="1235" priority="2175">
      <formula>F2547&lt;&gt;""</formula>
    </cfRule>
  </conditionalFormatting>
  <conditionalFormatting sqref="G2547:G2551">
    <cfRule type="expression" dxfId="1234" priority="2174">
      <formula>H2547&lt;&gt;""</formula>
    </cfRule>
  </conditionalFormatting>
  <conditionalFormatting sqref="I2547:I2551">
    <cfRule type="expression" dxfId="1233" priority="2173">
      <formula>B2555&lt;&gt;""</formula>
    </cfRule>
  </conditionalFormatting>
  <conditionalFormatting sqref="H2551">
    <cfRule type="expression" dxfId="1232" priority="2170">
      <formula>H2547&lt;&gt;""</formula>
    </cfRule>
  </conditionalFormatting>
  <conditionalFormatting sqref="I2560:I2561 C2561:H2561 B2561:B2562">
    <cfRule type="expression" dxfId="1231" priority="2169">
      <formula>$B2563&lt;&gt;""</formula>
    </cfRule>
  </conditionalFormatting>
  <conditionalFormatting sqref="B2567">
    <cfRule type="expression" dxfId="1230" priority="2166">
      <formula>B2563&lt;&gt;""</formula>
    </cfRule>
  </conditionalFormatting>
  <conditionalFormatting sqref="F2567">
    <cfRule type="expression" dxfId="1229" priority="2163">
      <formula>F2563&lt;&gt;""</formula>
    </cfRule>
  </conditionalFormatting>
  <conditionalFormatting sqref="C2563:C2567">
    <cfRule type="expression" dxfId="1228" priority="2162">
      <formula>D2563&lt;&gt;""</formula>
    </cfRule>
  </conditionalFormatting>
  <conditionalFormatting sqref="E2563:E2567">
    <cfRule type="expression" dxfId="1227" priority="2161">
      <formula>F2563&lt;&gt;""</formula>
    </cfRule>
  </conditionalFormatting>
  <conditionalFormatting sqref="G2563:G2567">
    <cfRule type="expression" dxfId="1226" priority="2160">
      <formula>H2563&lt;&gt;""</formula>
    </cfRule>
  </conditionalFormatting>
  <conditionalFormatting sqref="H2567">
    <cfRule type="expression" dxfId="1225" priority="2157">
      <formula>H2563&lt;&gt;""</formula>
    </cfRule>
  </conditionalFormatting>
  <conditionalFormatting sqref="B2551">
    <cfRule type="expression" dxfId="1224" priority="2154">
      <formula>B2547&lt;&gt;""</formula>
    </cfRule>
  </conditionalFormatting>
  <conditionalFormatting sqref="C2547:C2551">
    <cfRule type="expression" dxfId="1223" priority="2153">
      <formula>D2547&lt;&gt;""</formula>
    </cfRule>
  </conditionalFormatting>
  <conditionalFormatting sqref="D2551">
    <cfRule type="expression" dxfId="1222" priority="2150">
      <formula>D2547&lt;&gt;""</formula>
    </cfRule>
  </conditionalFormatting>
  <conditionalFormatting sqref="B2579">
    <cfRule type="expression" dxfId="1221" priority="2147">
      <formula>B2575&lt;&gt;""</formula>
    </cfRule>
  </conditionalFormatting>
  <conditionalFormatting sqref="C2575:C2579">
    <cfRule type="expression" dxfId="1220" priority="2146">
      <formula>D2575&lt;&gt;""</formula>
    </cfRule>
  </conditionalFormatting>
  <conditionalFormatting sqref="D2579">
    <cfRule type="expression" dxfId="1219" priority="2143">
      <formula>D2575&lt;&gt;""</formula>
    </cfRule>
  </conditionalFormatting>
  <conditionalFormatting sqref="B2607">
    <cfRule type="expression" dxfId="1218" priority="2140">
      <formula>B2603&lt;&gt;""</formula>
    </cfRule>
  </conditionalFormatting>
  <conditionalFormatting sqref="C2603:C2607">
    <cfRule type="expression" dxfId="1217" priority="2139">
      <formula>D2603&lt;&gt;""</formula>
    </cfRule>
  </conditionalFormatting>
  <conditionalFormatting sqref="D2607">
    <cfRule type="expression" dxfId="1216" priority="2136">
      <formula>D2603&lt;&gt;""</formula>
    </cfRule>
  </conditionalFormatting>
  <conditionalFormatting sqref="B2635">
    <cfRule type="expression" dxfId="1215" priority="2133">
      <formula>B2631&lt;&gt;""</formula>
    </cfRule>
  </conditionalFormatting>
  <conditionalFormatting sqref="C2631:C2635">
    <cfRule type="expression" dxfId="1214" priority="2132">
      <formula>D2631&lt;&gt;""</formula>
    </cfRule>
  </conditionalFormatting>
  <conditionalFormatting sqref="D2635">
    <cfRule type="expression" dxfId="1213" priority="2129">
      <formula>D2631&lt;&gt;""</formula>
    </cfRule>
  </conditionalFormatting>
  <conditionalFormatting sqref="B2663">
    <cfRule type="expression" dxfId="1212" priority="2126">
      <formula>B2659&lt;&gt;""</formula>
    </cfRule>
  </conditionalFormatting>
  <conditionalFormatting sqref="C2659:C2663">
    <cfRule type="expression" dxfId="1211" priority="2125">
      <formula>D2659&lt;&gt;""</formula>
    </cfRule>
  </conditionalFormatting>
  <conditionalFormatting sqref="D2663">
    <cfRule type="expression" dxfId="1210" priority="2122">
      <formula>D2659&lt;&gt;""</formula>
    </cfRule>
  </conditionalFormatting>
  <conditionalFormatting sqref="B2691">
    <cfRule type="expression" dxfId="1209" priority="2119">
      <formula>B2687&lt;&gt;""</formula>
    </cfRule>
  </conditionalFormatting>
  <conditionalFormatting sqref="C2687:C2691">
    <cfRule type="expression" dxfId="1208" priority="2118">
      <formula>D2687&lt;&gt;""</formula>
    </cfRule>
  </conditionalFormatting>
  <conditionalFormatting sqref="D2691">
    <cfRule type="expression" dxfId="1207" priority="2115">
      <formula>D2687&lt;&gt;""</formula>
    </cfRule>
  </conditionalFormatting>
  <conditionalFormatting sqref="B2719">
    <cfRule type="expression" dxfId="1206" priority="2112">
      <formula>B2715&lt;&gt;""</formula>
    </cfRule>
  </conditionalFormatting>
  <conditionalFormatting sqref="C2715:C2719">
    <cfRule type="expression" dxfId="1205" priority="2111">
      <formula>D2715&lt;&gt;""</formula>
    </cfRule>
  </conditionalFormatting>
  <conditionalFormatting sqref="D2719">
    <cfRule type="expression" dxfId="1204" priority="2108">
      <formula>D2715&lt;&gt;""</formula>
    </cfRule>
  </conditionalFormatting>
  <conditionalFormatting sqref="D2763">
    <cfRule type="expression" dxfId="1203" priority="2105">
      <formula>D2759&lt;&gt;""</formula>
    </cfRule>
  </conditionalFormatting>
  <conditionalFormatting sqref="D2755">
    <cfRule type="expression" dxfId="1202" priority="2102">
      <formula>D2751&lt;&gt;""</formula>
    </cfRule>
  </conditionalFormatting>
  <conditionalFormatting sqref="C2751:C2755">
    <cfRule type="expression" dxfId="1201" priority="2101">
      <formula>D2751&lt;&gt;""</formula>
    </cfRule>
  </conditionalFormatting>
  <conditionalFormatting sqref="E2751:E2755">
    <cfRule type="expression" dxfId="1200" priority="2100">
      <formula>F2751&lt;&gt;""</formula>
    </cfRule>
  </conditionalFormatting>
  <conditionalFormatting sqref="G2751:G2755">
    <cfRule type="expression" dxfId="1199" priority="2099">
      <formula>H2751&lt;&gt;""</formula>
    </cfRule>
  </conditionalFormatting>
  <conditionalFormatting sqref="I2751:I2755">
    <cfRule type="expression" dxfId="1198" priority="2098">
      <formula>B2759&lt;&gt;""</formula>
    </cfRule>
  </conditionalFormatting>
  <conditionalFormatting sqref="B2755">
    <cfRule type="expression" dxfId="1197" priority="2095">
      <formula>B2751&lt;&gt;""</formula>
    </cfRule>
  </conditionalFormatting>
  <conditionalFormatting sqref="F2755">
    <cfRule type="expression" dxfId="1196" priority="2092">
      <formula>F2751&lt;&gt;""</formula>
    </cfRule>
  </conditionalFormatting>
  <conditionalFormatting sqref="H2755">
    <cfRule type="expression" dxfId="1195" priority="2089">
      <formula>H2751&lt;&gt;""</formula>
    </cfRule>
  </conditionalFormatting>
  <conditionalFormatting sqref="F2747">
    <cfRule type="expression" dxfId="1194" priority="2086">
      <formula>F2743&lt;&gt;""</formula>
    </cfRule>
  </conditionalFormatting>
  <conditionalFormatting sqref="E2743:E2747">
    <cfRule type="expression" dxfId="1193" priority="2085">
      <formula>F2743&lt;&gt;""</formula>
    </cfRule>
  </conditionalFormatting>
  <conditionalFormatting sqref="G2743:G2747">
    <cfRule type="expression" dxfId="1192" priority="2084">
      <formula>H2743&lt;&gt;""</formula>
    </cfRule>
  </conditionalFormatting>
  <conditionalFormatting sqref="I2743:I2747">
    <cfRule type="expression" dxfId="1191" priority="2083">
      <formula>B2751&lt;&gt;""</formula>
    </cfRule>
  </conditionalFormatting>
  <conditionalFormatting sqref="H2747">
    <cfRule type="expression" dxfId="1190" priority="2080">
      <formula>H2743&lt;&gt;""</formula>
    </cfRule>
  </conditionalFormatting>
  <conditionalFormatting sqref="B2763">
    <cfRule type="expression" dxfId="1189" priority="2077">
      <formula>B2759&lt;&gt;""</formula>
    </cfRule>
  </conditionalFormatting>
  <conditionalFormatting sqref="F2763">
    <cfRule type="expression" dxfId="1188" priority="2074">
      <formula>F2759&lt;&gt;""</formula>
    </cfRule>
  </conditionalFormatting>
  <conditionalFormatting sqref="C2759:C2763">
    <cfRule type="expression" dxfId="1187" priority="2073">
      <formula>D2759&lt;&gt;""</formula>
    </cfRule>
  </conditionalFormatting>
  <conditionalFormatting sqref="E2759:E2763">
    <cfRule type="expression" dxfId="1186" priority="2072">
      <formula>F2759&lt;&gt;""</formula>
    </cfRule>
  </conditionalFormatting>
  <conditionalFormatting sqref="G2759:G2763">
    <cfRule type="expression" dxfId="1185" priority="2071">
      <formula>H2759&lt;&gt;""</formula>
    </cfRule>
  </conditionalFormatting>
  <conditionalFormatting sqref="H2763">
    <cfRule type="expression" dxfId="1184" priority="2068">
      <formula>H2759&lt;&gt;""</formula>
    </cfRule>
  </conditionalFormatting>
  <conditionalFormatting sqref="D2791">
    <cfRule type="expression" dxfId="1183" priority="2065">
      <formula>D2787&lt;&gt;""</formula>
    </cfRule>
  </conditionalFormatting>
  <conditionalFormatting sqref="D2783">
    <cfRule type="expression" dxfId="1182" priority="2062">
      <formula>D2779&lt;&gt;""</formula>
    </cfRule>
  </conditionalFormatting>
  <conditionalFormatting sqref="C2779:C2783">
    <cfRule type="expression" dxfId="1181" priority="2061">
      <formula>D2779&lt;&gt;""</formula>
    </cfRule>
  </conditionalFormatting>
  <conditionalFormatting sqref="E2779:E2783">
    <cfRule type="expression" dxfId="1180" priority="2060">
      <formula>F2779&lt;&gt;""</formula>
    </cfRule>
  </conditionalFormatting>
  <conditionalFormatting sqref="G2779:G2783">
    <cfRule type="expression" dxfId="1179" priority="2059">
      <formula>H2779&lt;&gt;""</formula>
    </cfRule>
  </conditionalFormatting>
  <conditionalFormatting sqref="I2779:I2783">
    <cfRule type="expression" dxfId="1178" priority="2058">
      <formula>B2787&lt;&gt;""</formula>
    </cfRule>
  </conditionalFormatting>
  <conditionalFormatting sqref="B2783">
    <cfRule type="expression" dxfId="1177" priority="2055">
      <formula>B2779&lt;&gt;""</formula>
    </cfRule>
  </conditionalFormatting>
  <conditionalFormatting sqref="F2783">
    <cfRule type="expression" dxfId="1176" priority="2052">
      <formula>F2779&lt;&gt;""</formula>
    </cfRule>
  </conditionalFormatting>
  <conditionalFormatting sqref="H2783">
    <cfRule type="expression" dxfId="1175" priority="2049">
      <formula>H2779&lt;&gt;""</formula>
    </cfRule>
  </conditionalFormatting>
  <conditionalFormatting sqref="F2775">
    <cfRule type="expression" dxfId="1174" priority="2046">
      <formula>F2771&lt;&gt;""</formula>
    </cfRule>
  </conditionalFormatting>
  <conditionalFormatting sqref="E2771:E2775">
    <cfRule type="expression" dxfId="1173" priority="2045">
      <formula>F2771&lt;&gt;""</formula>
    </cfRule>
  </conditionalFormatting>
  <conditionalFormatting sqref="G2771:G2775">
    <cfRule type="expression" dxfId="1172" priority="2044">
      <formula>H2771&lt;&gt;""</formula>
    </cfRule>
  </conditionalFormatting>
  <conditionalFormatting sqref="I2771:I2775">
    <cfRule type="expression" dxfId="1171" priority="2043">
      <formula>B2779&lt;&gt;""</formula>
    </cfRule>
  </conditionalFormatting>
  <conditionalFormatting sqref="H2775">
    <cfRule type="expression" dxfId="1170" priority="2040">
      <formula>H2771&lt;&gt;""</formula>
    </cfRule>
  </conditionalFormatting>
  <conditionalFormatting sqref="B2791">
    <cfRule type="expression" dxfId="1169" priority="2037">
      <formula>B2787&lt;&gt;""</formula>
    </cfRule>
  </conditionalFormatting>
  <conditionalFormatting sqref="F2791">
    <cfRule type="expression" dxfId="1168" priority="2034">
      <formula>F2787&lt;&gt;""</formula>
    </cfRule>
  </conditionalFormatting>
  <conditionalFormatting sqref="C2787:C2791">
    <cfRule type="expression" dxfId="1167" priority="2033">
      <formula>D2787&lt;&gt;""</formula>
    </cfRule>
  </conditionalFormatting>
  <conditionalFormatting sqref="E2787:E2791">
    <cfRule type="expression" dxfId="1166" priority="2032">
      <formula>F2787&lt;&gt;""</formula>
    </cfRule>
  </conditionalFormatting>
  <conditionalFormatting sqref="G2787:G2791">
    <cfRule type="expression" dxfId="1165" priority="2031">
      <formula>H2787&lt;&gt;""</formula>
    </cfRule>
  </conditionalFormatting>
  <conditionalFormatting sqref="H2791">
    <cfRule type="expression" dxfId="1164" priority="2028">
      <formula>H2787&lt;&gt;""</formula>
    </cfRule>
  </conditionalFormatting>
  <conditionalFormatting sqref="B2777:B2778 C2777:I2777 I2776">
    <cfRule type="expression" dxfId="1163" priority="2026">
      <formula>$B2779&lt;&gt;""</formula>
    </cfRule>
  </conditionalFormatting>
  <conditionalFormatting sqref="B2785:B2786 C2785:I2785 I2784">
    <cfRule type="expression" dxfId="1162" priority="2025">
      <formula>$B2787&lt;&gt;""</formula>
    </cfRule>
  </conditionalFormatting>
  <conditionalFormatting sqref="D2819">
    <cfRule type="expression" dxfId="1161" priority="2022">
      <formula>D2815&lt;&gt;""</formula>
    </cfRule>
  </conditionalFormatting>
  <conditionalFormatting sqref="D2811">
    <cfRule type="expression" dxfId="1160" priority="2019">
      <formula>D2807&lt;&gt;""</formula>
    </cfRule>
  </conditionalFormatting>
  <conditionalFormatting sqref="C2807:C2811">
    <cfRule type="expression" dxfId="1159" priority="2018">
      <formula>D2807&lt;&gt;""</formula>
    </cfRule>
  </conditionalFormatting>
  <conditionalFormatting sqref="E2807:E2811">
    <cfRule type="expression" dxfId="1158" priority="2017">
      <formula>F2807&lt;&gt;""</formula>
    </cfRule>
  </conditionalFormatting>
  <conditionalFormatting sqref="G2807:G2811">
    <cfRule type="expression" dxfId="1157" priority="2016">
      <formula>H2807&lt;&gt;""</formula>
    </cfRule>
  </conditionalFormatting>
  <conditionalFormatting sqref="I2807:I2811">
    <cfRule type="expression" dxfId="1156" priority="2015">
      <formula>B2815&lt;&gt;""</formula>
    </cfRule>
  </conditionalFormatting>
  <conditionalFormatting sqref="B2811">
    <cfRule type="expression" dxfId="1155" priority="2012">
      <formula>B2807&lt;&gt;""</formula>
    </cfRule>
  </conditionalFormatting>
  <conditionalFormatting sqref="F2811">
    <cfRule type="expression" dxfId="1154" priority="2009">
      <formula>F2807&lt;&gt;""</formula>
    </cfRule>
  </conditionalFormatting>
  <conditionalFormatting sqref="H2811">
    <cfRule type="expression" dxfId="1153" priority="2006">
      <formula>H2807&lt;&gt;""</formula>
    </cfRule>
  </conditionalFormatting>
  <conditionalFormatting sqref="F2803">
    <cfRule type="expression" dxfId="1152" priority="2003">
      <formula>F2799&lt;&gt;""</formula>
    </cfRule>
  </conditionalFormatting>
  <conditionalFormatting sqref="E2799:E2803">
    <cfRule type="expression" dxfId="1151" priority="2002">
      <formula>F2799&lt;&gt;""</formula>
    </cfRule>
  </conditionalFormatting>
  <conditionalFormatting sqref="G2799:G2803">
    <cfRule type="expression" dxfId="1150" priority="2001">
      <formula>H2799&lt;&gt;""</formula>
    </cfRule>
  </conditionalFormatting>
  <conditionalFormatting sqref="I2799:I2803">
    <cfRule type="expression" dxfId="1149" priority="2000">
      <formula>B2807&lt;&gt;""</formula>
    </cfRule>
  </conditionalFormatting>
  <conditionalFormatting sqref="H2803">
    <cfRule type="expression" dxfId="1148" priority="1997">
      <formula>H2799&lt;&gt;""</formula>
    </cfRule>
  </conditionalFormatting>
  <conditionalFormatting sqref="B2819">
    <cfRule type="expression" dxfId="1147" priority="1994">
      <formula>B2815&lt;&gt;""</formula>
    </cfRule>
  </conditionalFormatting>
  <conditionalFormatting sqref="F2819">
    <cfRule type="expression" dxfId="1146" priority="1991">
      <formula>F2815&lt;&gt;""</formula>
    </cfRule>
  </conditionalFormatting>
  <conditionalFormatting sqref="C2815:C2819">
    <cfRule type="expression" dxfId="1145" priority="1990">
      <formula>D2815&lt;&gt;""</formula>
    </cfRule>
  </conditionalFormatting>
  <conditionalFormatting sqref="E2815:E2819">
    <cfRule type="expression" dxfId="1144" priority="1989">
      <formula>F2815&lt;&gt;""</formula>
    </cfRule>
  </conditionalFormatting>
  <conditionalFormatting sqref="G2815:G2819">
    <cfRule type="expression" dxfId="1143" priority="1988">
      <formula>H2815&lt;&gt;""</formula>
    </cfRule>
  </conditionalFormatting>
  <conditionalFormatting sqref="H2819">
    <cfRule type="expression" dxfId="1142" priority="1985">
      <formula>H2815&lt;&gt;""</formula>
    </cfRule>
  </conditionalFormatting>
  <conditionalFormatting sqref="B2805:B2806 C2805:I2805 I2804">
    <cfRule type="expression" dxfId="1141" priority="1983">
      <formula>$B2807&lt;&gt;""</formula>
    </cfRule>
  </conditionalFormatting>
  <conditionalFormatting sqref="B2813:B2814 C2813:I2813 I2812">
    <cfRule type="expression" dxfId="1140" priority="1982">
      <formula>$B2815&lt;&gt;""</formula>
    </cfRule>
  </conditionalFormatting>
  <conditionalFormatting sqref="B2747">
    <cfRule type="expression" dxfId="1139" priority="1979">
      <formula>B2743&lt;&gt;""</formula>
    </cfRule>
  </conditionalFormatting>
  <conditionalFormatting sqref="C2743:C2747">
    <cfRule type="expression" dxfId="1138" priority="1978">
      <formula>D2743&lt;&gt;""</formula>
    </cfRule>
  </conditionalFormatting>
  <conditionalFormatting sqref="D2747">
    <cfRule type="expression" dxfId="1137" priority="1975">
      <formula>D2743&lt;&gt;""</formula>
    </cfRule>
  </conditionalFormatting>
  <conditionalFormatting sqref="B2775">
    <cfRule type="expression" dxfId="1136" priority="1973">
      <formula>B2771&lt;&gt;""</formula>
    </cfRule>
  </conditionalFormatting>
  <conditionalFormatting sqref="C2771:C2775">
    <cfRule type="expression" dxfId="1135" priority="1972">
      <formula>D2771&lt;&gt;""</formula>
    </cfRule>
  </conditionalFormatting>
  <conditionalFormatting sqref="D2775">
    <cfRule type="expression" dxfId="1134" priority="1969">
      <formula>D2771&lt;&gt;""</formula>
    </cfRule>
  </conditionalFormatting>
  <conditionalFormatting sqref="B2803">
    <cfRule type="expression" dxfId="1133" priority="1967">
      <formula>B2799&lt;&gt;""</formula>
    </cfRule>
  </conditionalFormatting>
  <conditionalFormatting sqref="C2799:C2803">
    <cfRule type="expression" dxfId="1132" priority="1966">
      <formula>D2799&lt;&gt;""</formula>
    </cfRule>
  </conditionalFormatting>
  <conditionalFormatting sqref="D2803">
    <cfRule type="expression" dxfId="1131" priority="1963">
      <formula>D2799&lt;&gt;""</formula>
    </cfRule>
  </conditionalFormatting>
  <conditionalFormatting sqref="B2757:B2758 C2757:I2757 I2756">
    <cfRule type="expression" dxfId="1130" priority="1962">
      <formula>$B2759&lt;&gt;""</formula>
    </cfRule>
  </conditionalFormatting>
  <conditionalFormatting sqref="B2749:B2750 C2749:I2749 I2748">
    <cfRule type="expression" dxfId="1129" priority="1961">
      <formula>$B2751&lt;&gt;""</formula>
    </cfRule>
  </conditionalFormatting>
  <conditionalFormatting sqref="D3017">
    <cfRule type="expression" dxfId="1128" priority="1958">
      <formula>D3013&lt;&gt;""</formula>
    </cfRule>
  </conditionalFormatting>
  <conditionalFormatting sqref="I3002:I3003 C3003:H3003 B3003:B3004">
    <cfRule type="expression" dxfId="1127" priority="1957">
      <formula>$B3005&lt;&gt;""</formula>
    </cfRule>
  </conditionalFormatting>
  <conditionalFormatting sqref="D3009">
    <cfRule type="expression" dxfId="1126" priority="1954">
      <formula>D3005&lt;&gt;""</formula>
    </cfRule>
  </conditionalFormatting>
  <conditionalFormatting sqref="C3005:C3009">
    <cfRule type="expression" dxfId="1125" priority="1953">
      <formula>D3005&lt;&gt;""</formula>
    </cfRule>
  </conditionalFormatting>
  <conditionalFormatting sqref="E3005:E3009">
    <cfRule type="expression" dxfId="1124" priority="1952">
      <formula>F3005&lt;&gt;""</formula>
    </cfRule>
  </conditionalFormatting>
  <conditionalFormatting sqref="G3005:G3009">
    <cfRule type="expression" dxfId="1123" priority="1951">
      <formula>H3005&lt;&gt;""</formula>
    </cfRule>
  </conditionalFormatting>
  <conditionalFormatting sqref="I3005:I3009">
    <cfRule type="expression" dxfId="1122" priority="1950">
      <formula>B3013&lt;&gt;""</formula>
    </cfRule>
  </conditionalFormatting>
  <conditionalFormatting sqref="B3009">
    <cfRule type="expression" dxfId="1121" priority="1947">
      <formula>B3005&lt;&gt;""</formula>
    </cfRule>
  </conditionalFormatting>
  <conditionalFormatting sqref="F3009">
    <cfRule type="expression" dxfId="1120" priority="1944">
      <formula>F3005&lt;&gt;""</formula>
    </cfRule>
  </conditionalFormatting>
  <conditionalFormatting sqref="H3009">
    <cfRule type="expression" dxfId="1119" priority="1941">
      <formula>H3005&lt;&gt;""</formula>
    </cfRule>
  </conditionalFormatting>
  <conditionalFormatting sqref="F3001">
    <cfRule type="expression" dxfId="1118" priority="1938">
      <formula>F2997&lt;&gt;""</formula>
    </cfRule>
  </conditionalFormatting>
  <conditionalFormatting sqref="E2997:E3001">
    <cfRule type="expression" dxfId="1117" priority="1937">
      <formula>F2997&lt;&gt;""</formula>
    </cfRule>
  </conditionalFormatting>
  <conditionalFormatting sqref="G2997:G3001">
    <cfRule type="expression" dxfId="1116" priority="1936">
      <formula>H2997&lt;&gt;""</formula>
    </cfRule>
  </conditionalFormatting>
  <conditionalFormatting sqref="I2997:I3001">
    <cfRule type="expression" dxfId="1115" priority="1935">
      <formula>B3005&lt;&gt;""</formula>
    </cfRule>
  </conditionalFormatting>
  <conditionalFormatting sqref="H3001">
    <cfRule type="expression" dxfId="1114" priority="1932">
      <formula>H2997&lt;&gt;""</formula>
    </cfRule>
  </conditionalFormatting>
  <conditionalFormatting sqref="I3010:I3011 C3011:H3011 B3011:B3012">
    <cfRule type="expression" dxfId="1113" priority="1931">
      <formula>$B3013&lt;&gt;""</formula>
    </cfRule>
  </conditionalFormatting>
  <conditionalFormatting sqref="B3017">
    <cfRule type="expression" dxfId="1112" priority="1928">
      <formula>B3013&lt;&gt;""</formula>
    </cfRule>
  </conditionalFormatting>
  <conditionalFormatting sqref="F3017">
    <cfRule type="expression" dxfId="1111" priority="1925">
      <formula>F3013&lt;&gt;""</formula>
    </cfRule>
  </conditionalFormatting>
  <conditionalFormatting sqref="C3013:C3017">
    <cfRule type="expression" dxfId="1110" priority="1924">
      <formula>D3013&lt;&gt;""</formula>
    </cfRule>
  </conditionalFormatting>
  <conditionalFormatting sqref="E3013:E3017">
    <cfRule type="expression" dxfId="1109" priority="1923">
      <formula>F3013&lt;&gt;""</formula>
    </cfRule>
  </conditionalFormatting>
  <conditionalFormatting sqref="G3013:G3017">
    <cfRule type="expression" dxfId="1108" priority="1922">
      <formula>H3013&lt;&gt;""</formula>
    </cfRule>
  </conditionalFormatting>
  <conditionalFormatting sqref="H3017">
    <cfRule type="expression" dxfId="1107" priority="1919">
      <formula>H3013&lt;&gt;""</formula>
    </cfRule>
  </conditionalFormatting>
  <conditionalFormatting sqref="D2989">
    <cfRule type="expression" dxfId="1106" priority="1916">
      <formula>D2985&lt;&gt;""</formula>
    </cfRule>
  </conditionalFormatting>
  <conditionalFormatting sqref="I2974:I2975 C2975:H2975 B2975:B2976">
    <cfRule type="expression" dxfId="1105" priority="1915">
      <formula>$B2977&lt;&gt;""</formula>
    </cfRule>
  </conditionalFormatting>
  <conditionalFormatting sqref="D2981">
    <cfRule type="expression" dxfId="1104" priority="1912">
      <formula>D2977&lt;&gt;""</formula>
    </cfRule>
  </conditionalFormatting>
  <conditionalFormatting sqref="C2977:C2981">
    <cfRule type="expression" dxfId="1103" priority="1911">
      <formula>D2977&lt;&gt;""</formula>
    </cfRule>
  </conditionalFormatting>
  <conditionalFormatting sqref="E2977:E2981">
    <cfRule type="expression" dxfId="1102" priority="1910">
      <formula>F2977&lt;&gt;""</formula>
    </cfRule>
  </conditionalFormatting>
  <conditionalFormatting sqref="G2977:G2981">
    <cfRule type="expression" dxfId="1101" priority="1909">
      <formula>H2977&lt;&gt;""</formula>
    </cfRule>
  </conditionalFormatting>
  <conditionalFormatting sqref="I2977:I2981">
    <cfRule type="expression" dxfId="1100" priority="1908">
      <formula>B2985&lt;&gt;""</formula>
    </cfRule>
  </conditionalFormatting>
  <conditionalFormatting sqref="B2981">
    <cfRule type="expression" dxfId="1099" priority="1905">
      <formula>B2977&lt;&gt;""</formula>
    </cfRule>
  </conditionalFormatting>
  <conditionalFormatting sqref="F2981">
    <cfRule type="expression" dxfId="1098" priority="1902">
      <formula>F2977&lt;&gt;""</formula>
    </cfRule>
  </conditionalFormatting>
  <conditionalFormatting sqref="H2981">
    <cfRule type="expression" dxfId="1097" priority="1899">
      <formula>H2977&lt;&gt;""</formula>
    </cfRule>
  </conditionalFormatting>
  <conditionalFormatting sqref="F2973">
    <cfRule type="expression" dxfId="1096" priority="1896">
      <formula>F2969&lt;&gt;""</formula>
    </cfRule>
  </conditionalFormatting>
  <conditionalFormatting sqref="E2969:E2973">
    <cfRule type="expression" dxfId="1095" priority="1895">
      <formula>F2969&lt;&gt;""</formula>
    </cfRule>
  </conditionalFormatting>
  <conditionalFormatting sqref="G2969:G2973">
    <cfRule type="expression" dxfId="1094" priority="1894">
      <formula>H2969&lt;&gt;""</formula>
    </cfRule>
  </conditionalFormatting>
  <conditionalFormatting sqref="I2969:I2973">
    <cfRule type="expression" dxfId="1093" priority="1893">
      <formula>B2977&lt;&gt;""</formula>
    </cfRule>
  </conditionalFormatting>
  <conditionalFormatting sqref="H2973">
    <cfRule type="expression" dxfId="1092" priority="1890">
      <formula>H2969&lt;&gt;""</formula>
    </cfRule>
  </conditionalFormatting>
  <conditionalFormatting sqref="I2982:I2983 C2983:H2983 B2983:B2984">
    <cfRule type="expression" dxfId="1091" priority="1889">
      <formula>$B2985&lt;&gt;""</formula>
    </cfRule>
  </conditionalFormatting>
  <conditionalFormatting sqref="B2989">
    <cfRule type="expression" dxfId="1090" priority="1886">
      <formula>B2985&lt;&gt;""</formula>
    </cfRule>
  </conditionalFormatting>
  <conditionalFormatting sqref="F2989">
    <cfRule type="expression" dxfId="1089" priority="1883">
      <formula>F2985&lt;&gt;""</formula>
    </cfRule>
  </conditionalFormatting>
  <conditionalFormatting sqref="C2985:C2989">
    <cfRule type="expression" dxfId="1088" priority="1882">
      <formula>D2985&lt;&gt;""</formula>
    </cfRule>
  </conditionalFormatting>
  <conditionalFormatting sqref="E2985:E2989">
    <cfRule type="expression" dxfId="1087" priority="1881">
      <formula>F2985&lt;&gt;""</formula>
    </cfRule>
  </conditionalFormatting>
  <conditionalFormatting sqref="G2985:G2989">
    <cfRule type="expression" dxfId="1086" priority="1880">
      <formula>H2985&lt;&gt;""</formula>
    </cfRule>
  </conditionalFormatting>
  <conditionalFormatting sqref="H2989">
    <cfRule type="expression" dxfId="1085" priority="1877">
      <formula>H2985&lt;&gt;""</formula>
    </cfRule>
  </conditionalFormatting>
  <conditionalFormatting sqref="D2961">
    <cfRule type="expression" dxfId="1084" priority="1874">
      <formula>D2957&lt;&gt;""</formula>
    </cfRule>
  </conditionalFormatting>
  <conditionalFormatting sqref="I2946:I2947 C2947:H2947 B2947:B2948">
    <cfRule type="expression" dxfId="1083" priority="1873">
      <formula>$B2949&lt;&gt;""</formula>
    </cfRule>
  </conditionalFormatting>
  <conditionalFormatting sqref="D2953">
    <cfRule type="expression" dxfId="1082" priority="1870">
      <formula>D2949&lt;&gt;""</formula>
    </cfRule>
  </conditionalFormatting>
  <conditionalFormatting sqref="C2949:C2953">
    <cfRule type="expression" dxfId="1081" priority="1869">
      <formula>D2949&lt;&gt;""</formula>
    </cfRule>
  </conditionalFormatting>
  <conditionalFormatting sqref="E2949:E2953">
    <cfRule type="expression" dxfId="1080" priority="1868">
      <formula>F2949&lt;&gt;""</formula>
    </cfRule>
  </conditionalFormatting>
  <conditionalFormatting sqref="G2949:G2953">
    <cfRule type="expression" dxfId="1079" priority="1867">
      <formula>H2949&lt;&gt;""</formula>
    </cfRule>
  </conditionalFormatting>
  <conditionalFormatting sqref="I2949:I2953">
    <cfRule type="expression" dxfId="1078" priority="1866">
      <formula>B2957&lt;&gt;""</formula>
    </cfRule>
  </conditionalFormatting>
  <conditionalFormatting sqref="B2953">
    <cfRule type="expression" dxfId="1077" priority="1863">
      <formula>B2949&lt;&gt;""</formula>
    </cfRule>
  </conditionalFormatting>
  <conditionalFormatting sqref="F2953">
    <cfRule type="expression" dxfId="1076" priority="1860">
      <formula>F2949&lt;&gt;""</formula>
    </cfRule>
  </conditionalFormatting>
  <conditionalFormatting sqref="H2953">
    <cfRule type="expression" dxfId="1075" priority="1857">
      <formula>H2949&lt;&gt;""</formula>
    </cfRule>
  </conditionalFormatting>
  <conditionalFormatting sqref="F2945">
    <cfRule type="expression" dxfId="1074" priority="1854">
      <formula>F2941&lt;&gt;""</formula>
    </cfRule>
  </conditionalFormatting>
  <conditionalFormatting sqref="E2941:E2945">
    <cfRule type="expression" dxfId="1073" priority="1853">
      <formula>F2941&lt;&gt;""</formula>
    </cfRule>
  </conditionalFormatting>
  <conditionalFormatting sqref="G2941:G2945">
    <cfRule type="expression" dxfId="1072" priority="1852">
      <formula>H2941&lt;&gt;""</formula>
    </cfRule>
  </conditionalFormatting>
  <conditionalFormatting sqref="I2941:I2945">
    <cfRule type="expression" dxfId="1071" priority="1851">
      <formula>B2949&lt;&gt;""</formula>
    </cfRule>
  </conditionalFormatting>
  <conditionalFormatting sqref="H2945">
    <cfRule type="expression" dxfId="1070" priority="1848">
      <formula>H2941&lt;&gt;""</formula>
    </cfRule>
  </conditionalFormatting>
  <conditionalFormatting sqref="I2954:I2955 C2955:H2955 B2955:B2956">
    <cfRule type="expression" dxfId="1069" priority="1847">
      <formula>$B2957&lt;&gt;""</formula>
    </cfRule>
  </conditionalFormatting>
  <conditionalFormatting sqref="B2961">
    <cfRule type="expression" dxfId="1068" priority="1844">
      <formula>B2957&lt;&gt;""</formula>
    </cfRule>
  </conditionalFormatting>
  <conditionalFormatting sqref="F2961">
    <cfRule type="expression" dxfId="1067" priority="1841">
      <formula>F2957&lt;&gt;""</formula>
    </cfRule>
  </conditionalFormatting>
  <conditionalFormatting sqref="C2957:C2961">
    <cfRule type="expression" dxfId="1066" priority="1840">
      <formula>D2957&lt;&gt;""</formula>
    </cfRule>
  </conditionalFormatting>
  <conditionalFormatting sqref="E2957:E2961">
    <cfRule type="expression" dxfId="1065" priority="1839">
      <formula>F2957&lt;&gt;""</formula>
    </cfRule>
  </conditionalFormatting>
  <conditionalFormatting sqref="G2957:G2961">
    <cfRule type="expression" dxfId="1064" priority="1838">
      <formula>H2957&lt;&gt;""</formula>
    </cfRule>
  </conditionalFormatting>
  <conditionalFormatting sqref="H2961">
    <cfRule type="expression" dxfId="1063" priority="1835">
      <formula>H2957&lt;&gt;""</formula>
    </cfRule>
  </conditionalFormatting>
  <conditionalFormatting sqref="D2933">
    <cfRule type="expression" dxfId="1062" priority="1832">
      <formula>D2929&lt;&gt;""</formula>
    </cfRule>
  </conditionalFormatting>
  <conditionalFormatting sqref="I2918:I2919 C2919:H2919 B2919:B2920">
    <cfRule type="expression" dxfId="1061" priority="1831">
      <formula>$B2921&lt;&gt;""</formula>
    </cfRule>
  </conditionalFormatting>
  <conditionalFormatting sqref="D2925">
    <cfRule type="expression" dxfId="1060" priority="1828">
      <formula>D2921&lt;&gt;""</formula>
    </cfRule>
  </conditionalFormatting>
  <conditionalFormatting sqref="C2921:C2925">
    <cfRule type="expression" dxfId="1059" priority="1827">
      <formula>D2921&lt;&gt;""</formula>
    </cfRule>
  </conditionalFormatting>
  <conditionalFormatting sqref="E2921:E2925">
    <cfRule type="expression" dxfId="1058" priority="1826">
      <formula>F2921&lt;&gt;""</formula>
    </cfRule>
  </conditionalFormatting>
  <conditionalFormatting sqref="G2921:G2925">
    <cfRule type="expression" dxfId="1057" priority="1825">
      <formula>H2921&lt;&gt;""</formula>
    </cfRule>
  </conditionalFormatting>
  <conditionalFormatting sqref="I2921:I2925">
    <cfRule type="expression" dxfId="1056" priority="1824">
      <formula>B2929&lt;&gt;""</formula>
    </cfRule>
  </conditionalFormatting>
  <conditionalFormatting sqref="B2925">
    <cfRule type="expression" dxfId="1055" priority="1821">
      <formula>B2921&lt;&gt;""</formula>
    </cfRule>
  </conditionalFormatting>
  <conditionalFormatting sqref="F2925">
    <cfRule type="expression" dxfId="1054" priority="1818">
      <formula>F2921&lt;&gt;""</formula>
    </cfRule>
  </conditionalFormatting>
  <conditionalFormatting sqref="H2925">
    <cfRule type="expression" dxfId="1053" priority="1815">
      <formula>H2921&lt;&gt;""</formula>
    </cfRule>
  </conditionalFormatting>
  <conditionalFormatting sqref="F2917">
    <cfRule type="expression" dxfId="1052" priority="1812">
      <formula>F2913&lt;&gt;""</formula>
    </cfRule>
  </conditionalFormatting>
  <conditionalFormatting sqref="E2913:E2917">
    <cfRule type="expression" dxfId="1051" priority="1811">
      <formula>F2913&lt;&gt;""</formula>
    </cfRule>
  </conditionalFormatting>
  <conditionalFormatting sqref="G2913:G2917">
    <cfRule type="expression" dxfId="1050" priority="1810">
      <formula>H2913&lt;&gt;""</formula>
    </cfRule>
  </conditionalFormatting>
  <conditionalFormatting sqref="I2913:I2917">
    <cfRule type="expression" dxfId="1049" priority="1809">
      <formula>B2921&lt;&gt;""</formula>
    </cfRule>
  </conditionalFormatting>
  <conditionalFormatting sqref="H2917">
    <cfRule type="expression" dxfId="1048" priority="1806">
      <formula>H2913&lt;&gt;""</formula>
    </cfRule>
  </conditionalFormatting>
  <conditionalFormatting sqref="I2926:I2927 C2927:H2927 B2927:B2928">
    <cfRule type="expression" dxfId="1047" priority="1805">
      <formula>$B2929&lt;&gt;""</formula>
    </cfRule>
  </conditionalFormatting>
  <conditionalFormatting sqref="B2933">
    <cfRule type="expression" dxfId="1046" priority="1802">
      <formula>B2929&lt;&gt;""</formula>
    </cfRule>
  </conditionalFormatting>
  <conditionalFormatting sqref="F2933">
    <cfRule type="expression" dxfId="1045" priority="1799">
      <formula>F2929&lt;&gt;""</formula>
    </cfRule>
  </conditionalFormatting>
  <conditionalFormatting sqref="C2929:C2933">
    <cfRule type="expression" dxfId="1044" priority="1798">
      <formula>D2929&lt;&gt;""</formula>
    </cfRule>
  </conditionalFormatting>
  <conditionalFormatting sqref="E2929:E2933">
    <cfRule type="expression" dxfId="1043" priority="1797">
      <formula>F2929&lt;&gt;""</formula>
    </cfRule>
  </conditionalFormatting>
  <conditionalFormatting sqref="G2929:G2933">
    <cfRule type="expression" dxfId="1042" priority="1796">
      <formula>H2929&lt;&gt;""</formula>
    </cfRule>
  </conditionalFormatting>
  <conditionalFormatting sqref="H2933">
    <cfRule type="expression" dxfId="1041" priority="1793">
      <formula>H2929&lt;&gt;""</formula>
    </cfRule>
  </conditionalFormatting>
  <conditionalFormatting sqref="D2905">
    <cfRule type="expression" dxfId="1040" priority="1790">
      <formula>D2901&lt;&gt;""</formula>
    </cfRule>
  </conditionalFormatting>
  <conditionalFormatting sqref="I2890:I2891 C2891:H2891 B2891:B2892">
    <cfRule type="expression" dxfId="1039" priority="1789">
      <formula>$B2893&lt;&gt;""</formula>
    </cfRule>
  </conditionalFormatting>
  <conditionalFormatting sqref="D2897">
    <cfRule type="expression" dxfId="1038" priority="1786">
      <formula>D2893&lt;&gt;""</formula>
    </cfRule>
  </conditionalFormatting>
  <conditionalFormatting sqref="C2893:C2897">
    <cfRule type="expression" dxfId="1037" priority="1785">
      <formula>D2893&lt;&gt;""</formula>
    </cfRule>
  </conditionalFormatting>
  <conditionalFormatting sqref="E2893:E2897">
    <cfRule type="expression" dxfId="1036" priority="1784">
      <formula>F2893&lt;&gt;""</formula>
    </cfRule>
  </conditionalFormatting>
  <conditionalFormatting sqref="G2893:G2897">
    <cfRule type="expression" dxfId="1035" priority="1783">
      <formula>H2893&lt;&gt;""</formula>
    </cfRule>
  </conditionalFormatting>
  <conditionalFormatting sqref="I2893:I2897">
    <cfRule type="expression" dxfId="1034" priority="1782">
      <formula>B2901&lt;&gt;""</formula>
    </cfRule>
  </conditionalFormatting>
  <conditionalFormatting sqref="B2897">
    <cfRule type="expression" dxfId="1033" priority="1779">
      <formula>B2893&lt;&gt;""</formula>
    </cfRule>
  </conditionalFormatting>
  <conditionalFormatting sqref="F2897">
    <cfRule type="expression" dxfId="1032" priority="1776">
      <formula>F2893&lt;&gt;""</formula>
    </cfRule>
  </conditionalFormatting>
  <conditionalFormatting sqref="H2897">
    <cfRule type="expression" dxfId="1031" priority="1773">
      <formula>H2893&lt;&gt;""</formula>
    </cfRule>
  </conditionalFormatting>
  <conditionalFormatting sqref="F2889">
    <cfRule type="expression" dxfId="1030" priority="1770">
      <formula>F2885&lt;&gt;""</formula>
    </cfRule>
  </conditionalFormatting>
  <conditionalFormatting sqref="E2885:E2889">
    <cfRule type="expression" dxfId="1029" priority="1769">
      <formula>F2885&lt;&gt;""</formula>
    </cfRule>
  </conditionalFormatting>
  <conditionalFormatting sqref="G2885:G2889">
    <cfRule type="expression" dxfId="1028" priority="1768">
      <formula>H2885&lt;&gt;""</formula>
    </cfRule>
  </conditionalFormatting>
  <conditionalFormatting sqref="I2885:I2889">
    <cfRule type="expression" dxfId="1027" priority="1767">
      <formula>B2893&lt;&gt;""</formula>
    </cfRule>
  </conditionalFormatting>
  <conditionalFormatting sqref="H2889">
    <cfRule type="expression" dxfId="1026" priority="1764">
      <formula>H2885&lt;&gt;""</formula>
    </cfRule>
  </conditionalFormatting>
  <conditionalFormatting sqref="I2898:I2899 C2899:H2899 B2899:B2900">
    <cfRule type="expression" dxfId="1025" priority="1763">
      <formula>$B2901&lt;&gt;""</formula>
    </cfRule>
  </conditionalFormatting>
  <conditionalFormatting sqref="B2905">
    <cfRule type="expression" dxfId="1024" priority="1760">
      <formula>B2901&lt;&gt;""</formula>
    </cfRule>
  </conditionalFormatting>
  <conditionalFormatting sqref="F2905">
    <cfRule type="expression" dxfId="1023" priority="1757">
      <formula>F2901&lt;&gt;""</formula>
    </cfRule>
  </conditionalFormatting>
  <conditionalFormatting sqref="C2901:C2905">
    <cfRule type="expression" dxfId="1022" priority="1756">
      <formula>D2901&lt;&gt;""</formula>
    </cfRule>
  </conditionalFormatting>
  <conditionalFormatting sqref="E2901:E2905">
    <cfRule type="expression" dxfId="1021" priority="1755">
      <formula>F2901&lt;&gt;""</formula>
    </cfRule>
  </conditionalFormatting>
  <conditionalFormatting sqref="G2901:G2905">
    <cfRule type="expression" dxfId="1020" priority="1754">
      <formula>H2901&lt;&gt;""</formula>
    </cfRule>
  </conditionalFormatting>
  <conditionalFormatting sqref="H2905">
    <cfRule type="expression" dxfId="1019" priority="1751">
      <formula>H2901&lt;&gt;""</formula>
    </cfRule>
  </conditionalFormatting>
  <conditionalFormatting sqref="D2877">
    <cfRule type="expression" dxfId="1018" priority="1748">
      <formula>D2873&lt;&gt;""</formula>
    </cfRule>
  </conditionalFormatting>
  <conditionalFormatting sqref="I2862:I2863 C2863:H2863 B2863:B2864">
    <cfRule type="expression" dxfId="1017" priority="1747">
      <formula>$B2865&lt;&gt;""</formula>
    </cfRule>
  </conditionalFormatting>
  <conditionalFormatting sqref="D2869">
    <cfRule type="expression" dxfId="1016" priority="1744">
      <formula>D2865&lt;&gt;""</formula>
    </cfRule>
  </conditionalFormatting>
  <conditionalFormatting sqref="C2865:C2869">
    <cfRule type="expression" dxfId="1015" priority="1743">
      <formula>D2865&lt;&gt;""</formula>
    </cfRule>
  </conditionalFormatting>
  <conditionalFormatting sqref="E2865:E2869">
    <cfRule type="expression" dxfId="1014" priority="1742">
      <formula>F2865&lt;&gt;""</formula>
    </cfRule>
  </conditionalFormatting>
  <conditionalFormatting sqref="G2865:G2869">
    <cfRule type="expression" dxfId="1013" priority="1741">
      <formula>H2865&lt;&gt;""</formula>
    </cfRule>
  </conditionalFormatting>
  <conditionalFormatting sqref="I2865:I2869">
    <cfRule type="expression" dxfId="1012" priority="1740">
      <formula>B2873&lt;&gt;""</formula>
    </cfRule>
  </conditionalFormatting>
  <conditionalFormatting sqref="B2869">
    <cfRule type="expression" dxfId="1011" priority="1737">
      <formula>B2865&lt;&gt;""</formula>
    </cfRule>
  </conditionalFormatting>
  <conditionalFormatting sqref="F2869">
    <cfRule type="expression" dxfId="1010" priority="1734">
      <formula>F2865&lt;&gt;""</formula>
    </cfRule>
  </conditionalFormatting>
  <conditionalFormatting sqref="H2869">
    <cfRule type="expression" dxfId="1009" priority="1731">
      <formula>H2865&lt;&gt;""</formula>
    </cfRule>
  </conditionalFormatting>
  <conditionalFormatting sqref="F2861">
    <cfRule type="expression" dxfId="1008" priority="1728">
      <formula>F2857&lt;&gt;""</formula>
    </cfRule>
  </conditionalFormatting>
  <conditionalFormatting sqref="E2857:E2861">
    <cfRule type="expression" dxfId="1007" priority="1727">
      <formula>F2857&lt;&gt;""</formula>
    </cfRule>
  </conditionalFormatting>
  <conditionalFormatting sqref="G2857:G2861">
    <cfRule type="expression" dxfId="1006" priority="1726">
      <formula>H2857&lt;&gt;""</formula>
    </cfRule>
  </conditionalFormatting>
  <conditionalFormatting sqref="I2857:I2861">
    <cfRule type="expression" dxfId="1005" priority="1725">
      <formula>B2865&lt;&gt;""</formula>
    </cfRule>
  </conditionalFormatting>
  <conditionalFormatting sqref="H2861">
    <cfRule type="expression" dxfId="1004" priority="1722">
      <formula>H2857&lt;&gt;""</formula>
    </cfRule>
  </conditionalFormatting>
  <conditionalFormatting sqref="I2870:I2871 C2871:H2871 B2871:B2872">
    <cfRule type="expression" dxfId="1003" priority="1721">
      <formula>$B2873&lt;&gt;""</formula>
    </cfRule>
  </conditionalFormatting>
  <conditionalFormatting sqref="B2877">
    <cfRule type="expression" dxfId="1002" priority="1718">
      <formula>B2873&lt;&gt;""</formula>
    </cfRule>
  </conditionalFormatting>
  <conditionalFormatting sqref="F2877">
    <cfRule type="expression" dxfId="1001" priority="1715">
      <formula>F2873&lt;&gt;""</formula>
    </cfRule>
  </conditionalFormatting>
  <conditionalFormatting sqref="C2873:C2877">
    <cfRule type="expression" dxfId="1000" priority="1714">
      <formula>D2873&lt;&gt;""</formula>
    </cfRule>
  </conditionalFormatting>
  <conditionalFormatting sqref="E2873:E2877">
    <cfRule type="expression" dxfId="999" priority="1713">
      <formula>F2873&lt;&gt;""</formula>
    </cfRule>
  </conditionalFormatting>
  <conditionalFormatting sqref="G2873:G2877">
    <cfRule type="expression" dxfId="998" priority="1712">
      <formula>H2873&lt;&gt;""</formula>
    </cfRule>
  </conditionalFormatting>
  <conditionalFormatting sqref="H2877">
    <cfRule type="expression" dxfId="997" priority="1709">
      <formula>H2873&lt;&gt;""</formula>
    </cfRule>
  </conditionalFormatting>
  <conditionalFormatting sqref="D2849">
    <cfRule type="expression" dxfId="996" priority="1706">
      <formula>D2845&lt;&gt;""</formula>
    </cfRule>
  </conditionalFormatting>
  <conditionalFormatting sqref="I2834:I2835 C2835:H2835 B2835:B2836">
    <cfRule type="expression" dxfId="995" priority="1705">
      <formula>$B2837&lt;&gt;""</formula>
    </cfRule>
  </conditionalFormatting>
  <conditionalFormatting sqref="D2841">
    <cfRule type="expression" dxfId="994" priority="1702">
      <formula>D2837&lt;&gt;""</formula>
    </cfRule>
  </conditionalFormatting>
  <conditionalFormatting sqref="C2837:C2841">
    <cfRule type="expression" dxfId="993" priority="1701">
      <formula>D2837&lt;&gt;""</formula>
    </cfRule>
  </conditionalFormatting>
  <conditionalFormatting sqref="E2837:E2841">
    <cfRule type="expression" dxfId="992" priority="1700">
      <formula>F2837&lt;&gt;""</formula>
    </cfRule>
  </conditionalFormatting>
  <conditionalFormatting sqref="G2837:G2841">
    <cfRule type="expression" dxfId="991" priority="1699">
      <formula>H2837&lt;&gt;""</formula>
    </cfRule>
  </conditionalFormatting>
  <conditionalFormatting sqref="I2837:I2841">
    <cfRule type="expression" dxfId="990" priority="1698">
      <formula>B2845&lt;&gt;""</formula>
    </cfRule>
  </conditionalFormatting>
  <conditionalFormatting sqref="B2841">
    <cfRule type="expression" dxfId="989" priority="1695">
      <formula>B2837&lt;&gt;""</formula>
    </cfRule>
  </conditionalFormatting>
  <conditionalFormatting sqref="F2841">
    <cfRule type="expression" dxfId="988" priority="1692">
      <formula>F2837&lt;&gt;""</formula>
    </cfRule>
  </conditionalFormatting>
  <conditionalFormatting sqref="H2841">
    <cfRule type="expression" dxfId="987" priority="1689">
      <formula>H2837&lt;&gt;""</formula>
    </cfRule>
  </conditionalFormatting>
  <conditionalFormatting sqref="F2833">
    <cfRule type="expression" dxfId="986" priority="1686">
      <formula>F2829&lt;&gt;""</formula>
    </cfRule>
  </conditionalFormatting>
  <conditionalFormatting sqref="E2829:E2833">
    <cfRule type="expression" dxfId="985" priority="1685">
      <formula>F2829&lt;&gt;""</formula>
    </cfRule>
  </conditionalFormatting>
  <conditionalFormatting sqref="G2829:G2833">
    <cfRule type="expression" dxfId="984" priority="1684">
      <formula>H2829&lt;&gt;""</formula>
    </cfRule>
  </conditionalFormatting>
  <conditionalFormatting sqref="I2829:I2833">
    <cfRule type="expression" dxfId="983" priority="1683">
      <formula>B2837&lt;&gt;""</formula>
    </cfRule>
  </conditionalFormatting>
  <conditionalFormatting sqref="H2833">
    <cfRule type="expression" dxfId="982" priority="1680">
      <formula>H2829&lt;&gt;""</formula>
    </cfRule>
  </conditionalFormatting>
  <conditionalFormatting sqref="I2842:I2843 C2843:H2843 B2843:B2844">
    <cfRule type="expression" dxfId="981" priority="1679">
      <formula>$B2845&lt;&gt;""</formula>
    </cfRule>
  </conditionalFormatting>
  <conditionalFormatting sqref="B2849">
    <cfRule type="expression" dxfId="980" priority="1676">
      <formula>B2845&lt;&gt;""</formula>
    </cfRule>
  </conditionalFormatting>
  <conditionalFormatting sqref="F2849">
    <cfRule type="expression" dxfId="979" priority="1673">
      <formula>F2845&lt;&gt;""</formula>
    </cfRule>
  </conditionalFormatting>
  <conditionalFormatting sqref="C2845:C2849">
    <cfRule type="expression" dxfId="978" priority="1672">
      <formula>D2845&lt;&gt;""</formula>
    </cfRule>
  </conditionalFormatting>
  <conditionalFormatting sqref="E2845:E2849">
    <cfRule type="expression" dxfId="977" priority="1671">
      <formula>F2845&lt;&gt;""</formula>
    </cfRule>
  </conditionalFormatting>
  <conditionalFormatting sqref="G2845:G2849">
    <cfRule type="expression" dxfId="976" priority="1670">
      <formula>H2845&lt;&gt;""</formula>
    </cfRule>
  </conditionalFormatting>
  <conditionalFormatting sqref="H2849">
    <cfRule type="expression" dxfId="975" priority="1667">
      <formula>H2845&lt;&gt;""</formula>
    </cfRule>
  </conditionalFormatting>
  <conditionalFormatting sqref="B2833">
    <cfRule type="expression" dxfId="974" priority="1664">
      <formula>B2829&lt;&gt;""</formula>
    </cfRule>
  </conditionalFormatting>
  <conditionalFormatting sqref="C2829:C2833">
    <cfRule type="expression" dxfId="973" priority="1663">
      <formula>D2829&lt;&gt;""</formula>
    </cfRule>
  </conditionalFormatting>
  <conditionalFormatting sqref="D2833">
    <cfRule type="expression" dxfId="972" priority="1660">
      <formula>D2829&lt;&gt;""</formula>
    </cfRule>
  </conditionalFormatting>
  <conditionalFormatting sqref="B2861">
    <cfRule type="expression" dxfId="971" priority="1657">
      <formula>B2857&lt;&gt;""</formula>
    </cfRule>
  </conditionalFormatting>
  <conditionalFormatting sqref="C2857:C2861">
    <cfRule type="expression" dxfId="970" priority="1656">
      <formula>D2857&lt;&gt;""</formula>
    </cfRule>
  </conditionalFormatting>
  <conditionalFormatting sqref="D2861">
    <cfRule type="expression" dxfId="969" priority="1653">
      <formula>D2857&lt;&gt;""</formula>
    </cfRule>
  </conditionalFormatting>
  <conditionalFormatting sqref="B2889">
    <cfRule type="expression" dxfId="968" priority="1650">
      <formula>B2885&lt;&gt;""</formula>
    </cfRule>
  </conditionalFormatting>
  <conditionalFormatting sqref="C2885:C2889">
    <cfRule type="expression" dxfId="967" priority="1649">
      <formula>D2885&lt;&gt;""</formula>
    </cfRule>
  </conditionalFormatting>
  <conditionalFormatting sqref="D2889">
    <cfRule type="expression" dxfId="966" priority="1646">
      <formula>D2885&lt;&gt;""</formula>
    </cfRule>
  </conditionalFormatting>
  <conditionalFormatting sqref="B2917">
    <cfRule type="expression" dxfId="965" priority="1643">
      <formula>B2913&lt;&gt;""</formula>
    </cfRule>
  </conditionalFormatting>
  <conditionalFormatting sqref="C2913:C2917">
    <cfRule type="expression" dxfId="964" priority="1642">
      <formula>D2913&lt;&gt;""</formula>
    </cfRule>
  </conditionalFormatting>
  <conditionalFormatting sqref="D2917">
    <cfRule type="expression" dxfId="963" priority="1639">
      <formula>D2913&lt;&gt;""</formula>
    </cfRule>
  </conditionalFormatting>
  <conditionalFormatting sqref="B2945">
    <cfRule type="expression" dxfId="962" priority="1636">
      <formula>B2941&lt;&gt;""</formula>
    </cfRule>
  </conditionalFormatting>
  <conditionalFormatting sqref="C2941:C2945">
    <cfRule type="expression" dxfId="961" priority="1635">
      <formula>D2941&lt;&gt;""</formula>
    </cfRule>
  </conditionalFormatting>
  <conditionalFormatting sqref="D2945">
    <cfRule type="expression" dxfId="960" priority="1632">
      <formula>D2941&lt;&gt;""</formula>
    </cfRule>
  </conditionalFormatting>
  <conditionalFormatting sqref="B2973">
    <cfRule type="expression" dxfId="959" priority="1629">
      <formula>B2969&lt;&gt;""</formula>
    </cfRule>
  </conditionalFormatting>
  <conditionalFormatting sqref="C2969:C2973">
    <cfRule type="expression" dxfId="958" priority="1628">
      <formula>D2969&lt;&gt;""</formula>
    </cfRule>
  </conditionalFormatting>
  <conditionalFormatting sqref="D2973">
    <cfRule type="expression" dxfId="957" priority="1625">
      <formula>D2969&lt;&gt;""</formula>
    </cfRule>
  </conditionalFormatting>
  <conditionalFormatting sqref="B3001">
    <cfRule type="expression" dxfId="956" priority="1622">
      <formula>B2997&lt;&gt;""</formula>
    </cfRule>
  </conditionalFormatting>
  <conditionalFormatting sqref="C2997:C3001">
    <cfRule type="expression" dxfId="955" priority="1621">
      <formula>D2997&lt;&gt;""</formula>
    </cfRule>
  </conditionalFormatting>
  <conditionalFormatting sqref="D3001">
    <cfRule type="expression" dxfId="954" priority="1618">
      <formula>D2997&lt;&gt;""</formula>
    </cfRule>
  </conditionalFormatting>
  <conditionalFormatting sqref="D3045">
    <cfRule type="expression" dxfId="953" priority="1615">
      <formula>D3041&lt;&gt;""</formula>
    </cfRule>
  </conditionalFormatting>
  <conditionalFormatting sqref="D3037">
    <cfRule type="expression" dxfId="952" priority="1612">
      <formula>D3033&lt;&gt;""</formula>
    </cfRule>
  </conditionalFormatting>
  <conditionalFormatting sqref="C3033:C3037">
    <cfRule type="expression" dxfId="951" priority="1611">
      <formula>D3033&lt;&gt;""</formula>
    </cfRule>
  </conditionalFormatting>
  <conditionalFormatting sqref="E3033:E3037">
    <cfRule type="expression" dxfId="950" priority="1610">
      <formula>F3033&lt;&gt;""</formula>
    </cfRule>
  </conditionalFormatting>
  <conditionalFormatting sqref="G3033:G3037">
    <cfRule type="expression" dxfId="949" priority="1609">
      <formula>H3033&lt;&gt;""</formula>
    </cfRule>
  </conditionalFormatting>
  <conditionalFormatting sqref="I3033:I3037">
    <cfRule type="expression" dxfId="948" priority="1608">
      <formula>B3041&lt;&gt;""</formula>
    </cfRule>
  </conditionalFormatting>
  <conditionalFormatting sqref="B3037">
    <cfRule type="expression" dxfId="947" priority="1605">
      <formula>B3033&lt;&gt;""</formula>
    </cfRule>
  </conditionalFormatting>
  <conditionalFormatting sqref="F3037">
    <cfRule type="expression" dxfId="946" priority="1602">
      <formula>F3033&lt;&gt;""</formula>
    </cfRule>
  </conditionalFormatting>
  <conditionalFormatting sqref="H3037">
    <cfRule type="expression" dxfId="945" priority="1599">
      <formula>H3033&lt;&gt;""</formula>
    </cfRule>
  </conditionalFormatting>
  <conditionalFormatting sqref="F3029">
    <cfRule type="expression" dxfId="944" priority="1596">
      <formula>F3025&lt;&gt;""</formula>
    </cfRule>
  </conditionalFormatting>
  <conditionalFormatting sqref="E3025:E3029">
    <cfRule type="expression" dxfId="943" priority="1595">
      <formula>F3025&lt;&gt;""</formula>
    </cfRule>
  </conditionalFormatting>
  <conditionalFormatting sqref="G3025:G3029">
    <cfRule type="expression" dxfId="942" priority="1594">
      <formula>H3025&lt;&gt;""</formula>
    </cfRule>
  </conditionalFormatting>
  <conditionalFormatting sqref="I3025:I3029">
    <cfRule type="expression" dxfId="941" priority="1593">
      <formula>B3033&lt;&gt;""</formula>
    </cfRule>
  </conditionalFormatting>
  <conditionalFormatting sqref="H3029">
    <cfRule type="expression" dxfId="940" priority="1590">
      <formula>H3025&lt;&gt;""</formula>
    </cfRule>
  </conditionalFormatting>
  <conditionalFormatting sqref="B3045">
    <cfRule type="expression" dxfId="939" priority="1587">
      <formula>B3041&lt;&gt;""</formula>
    </cfRule>
  </conditionalFormatting>
  <conditionalFormatting sqref="F3045">
    <cfRule type="expression" dxfId="938" priority="1584">
      <formula>F3041&lt;&gt;""</formula>
    </cfRule>
  </conditionalFormatting>
  <conditionalFormatting sqref="C3041:C3045">
    <cfRule type="expression" dxfId="937" priority="1583">
      <formula>D3041&lt;&gt;""</formula>
    </cfRule>
  </conditionalFormatting>
  <conditionalFormatting sqref="E3041:E3045">
    <cfRule type="expression" dxfId="936" priority="1582">
      <formula>F3041&lt;&gt;""</formula>
    </cfRule>
  </conditionalFormatting>
  <conditionalFormatting sqref="G3041:G3045">
    <cfRule type="expression" dxfId="935" priority="1581">
      <formula>H3041&lt;&gt;""</formula>
    </cfRule>
  </conditionalFormatting>
  <conditionalFormatting sqref="H3045">
    <cfRule type="expression" dxfId="934" priority="1578">
      <formula>H3041&lt;&gt;""</formula>
    </cfRule>
  </conditionalFormatting>
  <conditionalFormatting sqref="D3073">
    <cfRule type="expression" dxfId="933" priority="1575">
      <formula>D3069&lt;&gt;""</formula>
    </cfRule>
  </conditionalFormatting>
  <conditionalFormatting sqref="D3065">
    <cfRule type="expression" dxfId="932" priority="1572">
      <formula>D3061&lt;&gt;""</formula>
    </cfRule>
  </conditionalFormatting>
  <conditionalFormatting sqref="C3061:C3065">
    <cfRule type="expression" dxfId="931" priority="1571">
      <formula>D3061&lt;&gt;""</formula>
    </cfRule>
  </conditionalFormatting>
  <conditionalFormatting sqref="E3061:E3065">
    <cfRule type="expression" dxfId="930" priority="1570">
      <formula>F3061&lt;&gt;""</formula>
    </cfRule>
  </conditionalFormatting>
  <conditionalFormatting sqref="G3061:G3065">
    <cfRule type="expression" dxfId="929" priority="1569">
      <formula>H3061&lt;&gt;""</formula>
    </cfRule>
  </conditionalFormatting>
  <conditionalFormatting sqref="I3061:I3065">
    <cfRule type="expression" dxfId="928" priority="1568">
      <formula>B3069&lt;&gt;""</formula>
    </cfRule>
  </conditionalFormatting>
  <conditionalFormatting sqref="B3065">
    <cfRule type="expression" dxfId="927" priority="1565">
      <formula>B3061&lt;&gt;""</formula>
    </cfRule>
  </conditionalFormatting>
  <conditionalFormatting sqref="F3065">
    <cfRule type="expression" dxfId="926" priority="1562">
      <formula>F3061&lt;&gt;""</formula>
    </cfRule>
  </conditionalFormatting>
  <conditionalFormatting sqref="H3065">
    <cfRule type="expression" dxfId="925" priority="1559">
      <formula>H3061&lt;&gt;""</formula>
    </cfRule>
  </conditionalFormatting>
  <conditionalFormatting sqref="F3057">
    <cfRule type="expression" dxfId="924" priority="1556">
      <formula>F3053&lt;&gt;""</formula>
    </cfRule>
  </conditionalFormatting>
  <conditionalFormatting sqref="E3053:E3057">
    <cfRule type="expression" dxfId="923" priority="1555">
      <formula>F3053&lt;&gt;""</formula>
    </cfRule>
  </conditionalFormatting>
  <conditionalFormatting sqref="G3053:G3057">
    <cfRule type="expression" dxfId="922" priority="1554">
      <formula>H3053&lt;&gt;""</formula>
    </cfRule>
  </conditionalFormatting>
  <conditionalFormatting sqref="I3053:I3057">
    <cfRule type="expression" dxfId="921" priority="1553">
      <formula>B3061&lt;&gt;""</formula>
    </cfRule>
  </conditionalFormatting>
  <conditionalFormatting sqref="H3057">
    <cfRule type="expression" dxfId="920" priority="1550">
      <formula>H3053&lt;&gt;""</formula>
    </cfRule>
  </conditionalFormatting>
  <conditionalFormatting sqref="B3073">
    <cfRule type="expression" dxfId="919" priority="1547">
      <formula>B3069&lt;&gt;""</formula>
    </cfRule>
  </conditionalFormatting>
  <conditionalFormatting sqref="F3073">
    <cfRule type="expression" dxfId="918" priority="1544">
      <formula>F3069&lt;&gt;""</formula>
    </cfRule>
  </conditionalFormatting>
  <conditionalFormatting sqref="C3069:C3073">
    <cfRule type="expression" dxfId="917" priority="1543">
      <formula>D3069&lt;&gt;""</formula>
    </cfRule>
  </conditionalFormatting>
  <conditionalFormatting sqref="E3069:E3073">
    <cfRule type="expression" dxfId="916" priority="1542">
      <formula>F3069&lt;&gt;""</formula>
    </cfRule>
  </conditionalFormatting>
  <conditionalFormatting sqref="G3069:G3073">
    <cfRule type="expression" dxfId="915" priority="1541">
      <formula>H3069&lt;&gt;""</formula>
    </cfRule>
  </conditionalFormatting>
  <conditionalFormatting sqref="H3073">
    <cfRule type="expression" dxfId="914" priority="1538">
      <formula>H3069&lt;&gt;""</formula>
    </cfRule>
  </conditionalFormatting>
  <conditionalFormatting sqref="B3059:B3060 C3059:I3059 I3058">
    <cfRule type="expression" dxfId="913" priority="1536">
      <formula>$B3061&lt;&gt;""</formula>
    </cfRule>
  </conditionalFormatting>
  <conditionalFormatting sqref="B3067:B3068 C3067:I3067 I3066">
    <cfRule type="expression" dxfId="912" priority="1535">
      <formula>$B3069&lt;&gt;""</formula>
    </cfRule>
  </conditionalFormatting>
  <conditionalFormatting sqref="D3101">
    <cfRule type="expression" dxfId="911" priority="1532">
      <formula>D3097&lt;&gt;""</formula>
    </cfRule>
  </conditionalFormatting>
  <conditionalFormatting sqref="D3093">
    <cfRule type="expression" dxfId="910" priority="1529">
      <formula>D3089&lt;&gt;""</formula>
    </cfRule>
  </conditionalFormatting>
  <conditionalFormatting sqref="C3089:C3093">
    <cfRule type="expression" dxfId="909" priority="1528">
      <formula>D3089&lt;&gt;""</formula>
    </cfRule>
  </conditionalFormatting>
  <conditionalFormatting sqref="E3089:E3093">
    <cfRule type="expression" dxfId="908" priority="1527">
      <formula>F3089&lt;&gt;""</formula>
    </cfRule>
  </conditionalFormatting>
  <conditionalFormatting sqref="G3089:G3093">
    <cfRule type="expression" dxfId="907" priority="1526">
      <formula>H3089&lt;&gt;""</formula>
    </cfRule>
  </conditionalFormatting>
  <conditionalFormatting sqref="I3089:I3093">
    <cfRule type="expression" dxfId="906" priority="1525">
      <formula>B3097&lt;&gt;""</formula>
    </cfRule>
  </conditionalFormatting>
  <conditionalFormatting sqref="B3093">
    <cfRule type="expression" dxfId="905" priority="1522">
      <formula>B3089&lt;&gt;""</formula>
    </cfRule>
  </conditionalFormatting>
  <conditionalFormatting sqref="F3093">
    <cfRule type="expression" dxfId="904" priority="1519">
      <formula>F3089&lt;&gt;""</formula>
    </cfRule>
  </conditionalFormatting>
  <conditionalFormatting sqref="H3093">
    <cfRule type="expression" dxfId="903" priority="1516">
      <formula>H3089&lt;&gt;""</formula>
    </cfRule>
  </conditionalFormatting>
  <conditionalFormatting sqref="F3085">
    <cfRule type="expression" dxfId="902" priority="1513">
      <formula>F3081&lt;&gt;""</formula>
    </cfRule>
  </conditionalFormatting>
  <conditionalFormatting sqref="E3081:E3085">
    <cfRule type="expression" dxfId="901" priority="1512">
      <formula>F3081&lt;&gt;""</formula>
    </cfRule>
  </conditionalFormatting>
  <conditionalFormatting sqref="G3081:G3085">
    <cfRule type="expression" dxfId="900" priority="1511">
      <formula>H3081&lt;&gt;""</formula>
    </cfRule>
  </conditionalFormatting>
  <conditionalFormatting sqref="I3081:I3085">
    <cfRule type="expression" dxfId="899" priority="1510">
      <formula>B3089&lt;&gt;""</formula>
    </cfRule>
  </conditionalFormatting>
  <conditionalFormatting sqref="H3085">
    <cfRule type="expression" dxfId="898" priority="1507">
      <formula>H3081&lt;&gt;""</formula>
    </cfRule>
  </conditionalFormatting>
  <conditionalFormatting sqref="B3101">
    <cfRule type="expression" dxfId="897" priority="1504">
      <formula>B3097&lt;&gt;""</formula>
    </cfRule>
  </conditionalFormatting>
  <conditionalFormatting sqref="F3101">
    <cfRule type="expression" dxfId="896" priority="1501">
      <formula>F3097&lt;&gt;""</formula>
    </cfRule>
  </conditionalFormatting>
  <conditionalFormatting sqref="C3097:C3101">
    <cfRule type="expression" dxfId="895" priority="1500">
      <formula>D3097&lt;&gt;""</formula>
    </cfRule>
  </conditionalFormatting>
  <conditionalFormatting sqref="E3097:E3101">
    <cfRule type="expression" dxfId="894" priority="1499">
      <formula>F3097&lt;&gt;""</formula>
    </cfRule>
  </conditionalFormatting>
  <conditionalFormatting sqref="G3097:G3101">
    <cfRule type="expression" dxfId="893" priority="1498">
      <formula>H3097&lt;&gt;""</formula>
    </cfRule>
  </conditionalFormatting>
  <conditionalFormatting sqref="H3101">
    <cfRule type="expression" dxfId="892" priority="1495">
      <formula>H3097&lt;&gt;""</formula>
    </cfRule>
  </conditionalFormatting>
  <conditionalFormatting sqref="B3087:B3088 C3087:I3087 I3086">
    <cfRule type="expression" dxfId="891" priority="1493">
      <formula>$B3089&lt;&gt;""</formula>
    </cfRule>
  </conditionalFormatting>
  <conditionalFormatting sqref="B3095:B3096 C3095:I3095 I3094">
    <cfRule type="expression" dxfId="890" priority="1492">
      <formula>$B3097&lt;&gt;""</formula>
    </cfRule>
  </conditionalFormatting>
  <conditionalFormatting sqref="B3029">
    <cfRule type="expression" dxfId="889" priority="1489">
      <formula>B3025&lt;&gt;""</formula>
    </cfRule>
  </conditionalFormatting>
  <conditionalFormatting sqref="C3025:C3029">
    <cfRule type="expression" dxfId="888" priority="1488">
      <formula>D3025&lt;&gt;""</formula>
    </cfRule>
  </conditionalFormatting>
  <conditionalFormatting sqref="D3029">
    <cfRule type="expression" dxfId="887" priority="1485">
      <formula>D3025&lt;&gt;""</formula>
    </cfRule>
  </conditionalFormatting>
  <conditionalFormatting sqref="B3057">
    <cfRule type="expression" dxfId="886" priority="1483">
      <formula>B3053&lt;&gt;""</formula>
    </cfRule>
  </conditionalFormatting>
  <conditionalFormatting sqref="C3053:C3057">
    <cfRule type="expression" dxfId="885" priority="1482">
      <formula>D3053&lt;&gt;""</formula>
    </cfRule>
  </conditionalFormatting>
  <conditionalFormatting sqref="D3057">
    <cfRule type="expression" dxfId="884" priority="1479">
      <formula>D3053&lt;&gt;""</formula>
    </cfRule>
  </conditionalFormatting>
  <conditionalFormatting sqref="B3085">
    <cfRule type="expression" dxfId="883" priority="1477">
      <formula>B3081&lt;&gt;""</formula>
    </cfRule>
  </conditionalFormatting>
  <conditionalFormatting sqref="C3081:C3085">
    <cfRule type="expression" dxfId="882" priority="1476">
      <formula>D3081&lt;&gt;""</formula>
    </cfRule>
  </conditionalFormatting>
  <conditionalFormatting sqref="D3085">
    <cfRule type="expression" dxfId="881" priority="1473">
      <formula>D3081&lt;&gt;""</formula>
    </cfRule>
  </conditionalFormatting>
  <conditionalFormatting sqref="B3039:B3040 C3039:I3039 I3038">
    <cfRule type="expression" dxfId="880" priority="1472">
      <formula>$B3041&lt;&gt;""</formula>
    </cfRule>
  </conditionalFormatting>
  <conditionalFormatting sqref="B3031:B3032 C3031:I3031 I3030">
    <cfRule type="expression" dxfId="879" priority="1471">
      <formula>$B3033&lt;&gt;""</formula>
    </cfRule>
  </conditionalFormatting>
  <conditionalFormatting sqref="D3299">
    <cfRule type="expression" dxfId="878" priority="1468">
      <formula>D3295&lt;&gt;""</formula>
    </cfRule>
  </conditionalFormatting>
  <conditionalFormatting sqref="I3284:I3285 C3285:H3285 B3285:B3286">
    <cfRule type="expression" dxfId="877" priority="1467">
      <formula>$B3287&lt;&gt;""</formula>
    </cfRule>
  </conditionalFormatting>
  <conditionalFormatting sqref="D3291">
    <cfRule type="expression" dxfId="876" priority="1464">
      <formula>D3287&lt;&gt;""</formula>
    </cfRule>
  </conditionalFormatting>
  <conditionalFormatting sqref="C3287:C3291">
    <cfRule type="expression" dxfId="875" priority="1463">
      <formula>D3287&lt;&gt;""</formula>
    </cfRule>
  </conditionalFormatting>
  <conditionalFormatting sqref="E3287:E3291">
    <cfRule type="expression" dxfId="874" priority="1462">
      <formula>F3287&lt;&gt;""</formula>
    </cfRule>
  </conditionalFormatting>
  <conditionalFormatting sqref="G3287:G3291">
    <cfRule type="expression" dxfId="873" priority="1461">
      <formula>H3287&lt;&gt;""</formula>
    </cfRule>
  </conditionalFormatting>
  <conditionalFormatting sqref="I3287:I3291">
    <cfRule type="expression" dxfId="872" priority="1460">
      <formula>B3295&lt;&gt;""</formula>
    </cfRule>
  </conditionalFormatting>
  <conditionalFormatting sqref="B3291">
    <cfRule type="expression" dxfId="871" priority="1457">
      <formula>B3287&lt;&gt;""</formula>
    </cfRule>
  </conditionalFormatting>
  <conditionalFormatting sqref="F3291">
    <cfRule type="expression" dxfId="870" priority="1454">
      <formula>F3287&lt;&gt;""</formula>
    </cfRule>
  </conditionalFormatting>
  <conditionalFormatting sqref="H3291">
    <cfRule type="expression" dxfId="869" priority="1451">
      <formula>H3287&lt;&gt;""</formula>
    </cfRule>
  </conditionalFormatting>
  <conditionalFormatting sqref="F3283">
    <cfRule type="expression" dxfId="868" priority="1448">
      <formula>F3279&lt;&gt;""</formula>
    </cfRule>
  </conditionalFormatting>
  <conditionalFormatting sqref="E3279:E3283">
    <cfRule type="expression" dxfId="867" priority="1447">
      <formula>F3279&lt;&gt;""</formula>
    </cfRule>
  </conditionalFormatting>
  <conditionalFormatting sqref="G3279:G3283">
    <cfRule type="expression" dxfId="866" priority="1446">
      <formula>H3279&lt;&gt;""</formula>
    </cfRule>
  </conditionalFormatting>
  <conditionalFormatting sqref="I3279:I3283">
    <cfRule type="expression" dxfId="865" priority="1445">
      <formula>B3287&lt;&gt;""</formula>
    </cfRule>
  </conditionalFormatting>
  <conditionalFormatting sqref="H3283">
    <cfRule type="expression" dxfId="864" priority="1442">
      <formula>H3279&lt;&gt;""</formula>
    </cfRule>
  </conditionalFormatting>
  <conditionalFormatting sqref="I3292:I3293 C3293:H3293 B3293:B3294">
    <cfRule type="expression" dxfId="863" priority="1441">
      <formula>$B3295&lt;&gt;""</formula>
    </cfRule>
  </conditionalFormatting>
  <conditionalFormatting sqref="B3299">
    <cfRule type="expression" dxfId="862" priority="1438">
      <formula>B3295&lt;&gt;""</formula>
    </cfRule>
  </conditionalFormatting>
  <conditionalFormatting sqref="F3299">
    <cfRule type="expression" dxfId="861" priority="1435">
      <formula>F3295&lt;&gt;""</formula>
    </cfRule>
  </conditionalFormatting>
  <conditionalFormatting sqref="C3295:C3299">
    <cfRule type="expression" dxfId="860" priority="1434">
      <formula>D3295&lt;&gt;""</formula>
    </cfRule>
  </conditionalFormatting>
  <conditionalFormatting sqref="E3295:E3299">
    <cfRule type="expression" dxfId="859" priority="1433">
      <formula>F3295&lt;&gt;""</formula>
    </cfRule>
  </conditionalFormatting>
  <conditionalFormatting sqref="G3295:G3299">
    <cfRule type="expression" dxfId="858" priority="1432">
      <formula>H3295&lt;&gt;""</formula>
    </cfRule>
  </conditionalFormatting>
  <conditionalFormatting sqref="H3299">
    <cfRule type="expression" dxfId="857" priority="1429">
      <formula>H3295&lt;&gt;""</formula>
    </cfRule>
  </conditionalFormatting>
  <conditionalFormatting sqref="D3271">
    <cfRule type="expression" dxfId="856" priority="1426">
      <formula>D3267&lt;&gt;""</formula>
    </cfRule>
  </conditionalFormatting>
  <conditionalFormatting sqref="I3256:I3257 C3257:H3257 B3257:B3258">
    <cfRule type="expression" dxfId="855" priority="1425">
      <formula>$B3259&lt;&gt;""</formula>
    </cfRule>
  </conditionalFormatting>
  <conditionalFormatting sqref="D3263">
    <cfRule type="expression" dxfId="854" priority="1422">
      <formula>D3259&lt;&gt;""</formula>
    </cfRule>
  </conditionalFormatting>
  <conditionalFormatting sqref="C3259:C3263">
    <cfRule type="expression" dxfId="853" priority="1421">
      <formula>D3259&lt;&gt;""</formula>
    </cfRule>
  </conditionalFormatting>
  <conditionalFormatting sqref="E3259:E3263">
    <cfRule type="expression" dxfId="852" priority="1420">
      <formula>F3259&lt;&gt;""</formula>
    </cfRule>
  </conditionalFormatting>
  <conditionalFormatting sqref="G3259:G3263">
    <cfRule type="expression" dxfId="851" priority="1419">
      <formula>H3259&lt;&gt;""</formula>
    </cfRule>
  </conditionalFormatting>
  <conditionalFormatting sqref="I3259:I3263">
    <cfRule type="expression" dxfId="850" priority="1418">
      <formula>B3267&lt;&gt;""</formula>
    </cfRule>
  </conditionalFormatting>
  <conditionalFormatting sqref="B3263">
    <cfRule type="expression" dxfId="849" priority="1415">
      <formula>B3259&lt;&gt;""</formula>
    </cfRule>
  </conditionalFormatting>
  <conditionalFormatting sqref="F3263">
    <cfRule type="expression" dxfId="848" priority="1412">
      <formula>F3259&lt;&gt;""</formula>
    </cfRule>
  </conditionalFormatting>
  <conditionalFormatting sqref="H3263">
    <cfRule type="expression" dxfId="847" priority="1409">
      <formula>H3259&lt;&gt;""</formula>
    </cfRule>
  </conditionalFormatting>
  <conditionalFormatting sqref="F3255">
    <cfRule type="expression" dxfId="846" priority="1406">
      <formula>F3251&lt;&gt;""</formula>
    </cfRule>
  </conditionalFormatting>
  <conditionalFormatting sqref="E3251:E3255">
    <cfRule type="expression" dxfId="845" priority="1405">
      <formula>F3251&lt;&gt;""</formula>
    </cfRule>
  </conditionalFormatting>
  <conditionalFormatting sqref="G3251:G3255">
    <cfRule type="expression" dxfId="844" priority="1404">
      <formula>H3251&lt;&gt;""</formula>
    </cfRule>
  </conditionalFormatting>
  <conditionalFormatting sqref="I3251:I3255">
    <cfRule type="expression" dxfId="843" priority="1403">
      <formula>B3259&lt;&gt;""</formula>
    </cfRule>
  </conditionalFormatting>
  <conditionalFormatting sqref="H3255">
    <cfRule type="expression" dxfId="842" priority="1400">
      <formula>H3251&lt;&gt;""</formula>
    </cfRule>
  </conditionalFormatting>
  <conditionalFormatting sqref="I3264:I3265 C3265:H3265 B3265:B3266">
    <cfRule type="expression" dxfId="841" priority="1399">
      <formula>$B3267&lt;&gt;""</formula>
    </cfRule>
  </conditionalFormatting>
  <conditionalFormatting sqref="B3271">
    <cfRule type="expression" dxfId="840" priority="1396">
      <formula>B3267&lt;&gt;""</formula>
    </cfRule>
  </conditionalFormatting>
  <conditionalFormatting sqref="F3271">
    <cfRule type="expression" dxfId="839" priority="1393">
      <formula>F3267&lt;&gt;""</formula>
    </cfRule>
  </conditionalFormatting>
  <conditionalFormatting sqref="C3267:C3271">
    <cfRule type="expression" dxfId="838" priority="1392">
      <formula>D3267&lt;&gt;""</formula>
    </cfRule>
  </conditionalFormatting>
  <conditionalFormatting sqref="E3267:E3271">
    <cfRule type="expression" dxfId="837" priority="1391">
      <formula>F3267&lt;&gt;""</formula>
    </cfRule>
  </conditionalFormatting>
  <conditionalFormatting sqref="G3267:G3271">
    <cfRule type="expression" dxfId="836" priority="1390">
      <formula>H3267&lt;&gt;""</formula>
    </cfRule>
  </conditionalFormatting>
  <conditionalFormatting sqref="H3271">
    <cfRule type="expression" dxfId="835" priority="1387">
      <formula>H3267&lt;&gt;""</formula>
    </cfRule>
  </conditionalFormatting>
  <conditionalFormatting sqref="D3243">
    <cfRule type="expression" dxfId="834" priority="1384">
      <formula>D3239&lt;&gt;""</formula>
    </cfRule>
  </conditionalFormatting>
  <conditionalFormatting sqref="I3228:I3229 C3229:H3229 B3229:B3230">
    <cfRule type="expression" dxfId="833" priority="1383">
      <formula>$B3231&lt;&gt;""</formula>
    </cfRule>
  </conditionalFormatting>
  <conditionalFormatting sqref="D3235">
    <cfRule type="expression" dxfId="832" priority="1380">
      <formula>D3231&lt;&gt;""</formula>
    </cfRule>
  </conditionalFormatting>
  <conditionalFormatting sqref="C3231:C3235">
    <cfRule type="expression" dxfId="831" priority="1379">
      <formula>D3231&lt;&gt;""</formula>
    </cfRule>
  </conditionalFormatting>
  <conditionalFormatting sqref="E3231:E3235">
    <cfRule type="expression" dxfId="830" priority="1378">
      <formula>F3231&lt;&gt;""</formula>
    </cfRule>
  </conditionalFormatting>
  <conditionalFormatting sqref="G3231:G3235">
    <cfRule type="expression" dxfId="829" priority="1377">
      <formula>H3231&lt;&gt;""</formula>
    </cfRule>
  </conditionalFormatting>
  <conditionalFormatting sqref="I3231:I3235">
    <cfRule type="expression" dxfId="828" priority="1376">
      <formula>B3239&lt;&gt;""</formula>
    </cfRule>
  </conditionalFormatting>
  <conditionalFormatting sqref="B3235">
    <cfRule type="expression" dxfId="827" priority="1373">
      <formula>B3231&lt;&gt;""</formula>
    </cfRule>
  </conditionalFormatting>
  <conditionalFormatting sqref="F3235">
    <cfRule type="expression" dxfId="826" priority="1370">
      <formula>F3231&lt;&gt;""</formula>
    </cfRule>
  </conditionalFormatting>
  <conditionalFormatting sqref="H3235">
    <cfRule type="expression" dxfId="825" priority="1367">
      <formula>H3231&lt;&gt;""</formula>
    </cfRule>
  </conditionalFormatting>
  <conditionalFormatting sqref="F3227">
    <cfRule type="expression" dxfId="824" priority="1364">
      <formula>F3223&lt;&gt;""</formula>
    </cfRule>
  </conditionalFormatting>
  <conditionalFormatting sqref="E3223:E3227">
    <cfRule type="expression" dxfId="823" priority="1363">
      <formula>F3223&lt;&gt;""</formula>
    </cfRule>
  </conditionalFormatting>
  <conditionalFormatting sqref="G3223:G3227">
    <cfRule type="expression" dxfId="822" priority="1362">
      <formula>H3223&lt;&gt;""</formula>
    </cfRule>
  </conditionalFormatting>
  <conditionalFormatting sqref="I3223:I3227">
    <cfRule type="expression" dxfId="821" priority="1361">
      <formula>B3231&lt;&gt;""</formula>
    </cfRule>
  </conditionalFormatting>
  <conditionalFormatting sqref="H3227">
    <cfRule type="expression" dxfId="820" priority="1358">
      <formula>H3223&lt;&gt;""</formula>
    </cfRule>
  </conditionalFormatting>
  <conditionalFormatting sqref="I3236:I3237 C3237:H3237 B3237:B3238">
    <cfRule type="expression" dxfId="819" priority="1357">
      <formula>$B3239&lt;&gt;""</formula>
    </cfRule>
  </conditionalFormatting>
  <conditionalFormatting sqref="B3243">
    <cfRule type="expression" dxfId="818" priority="1354">
      <formula>B3239&lt;&gt;""</formula>
    </cfRule>
  </conditionalFormatting>
  <conditionalFormatting sqref="F3243">
    <cfRule type="expression" dxfId="817" priority="1351">
      <formula>F3239&lt;&gt;""</formula>
    </cfRule>
  </conditionalFormatting>
  <conditionalFormatting sqref="C3239:C3243">
    <cfRule type="expression" dxfId="816" priority="1350">
      <formula>D3239&lt;&gt;""</formula>
    </cfRule>
  </conditionalFormatting>
  <conditionalFormatting sqref="E3239:E3243">
    <cfRule type="expression" dxfId="815" priority="1349">
      <formula>F3239&lt;&gt;""</formula>
    </cfRule>
  </conditionalFormatting>
  <conditionalFormatting sqref="G3239:G3243">
    <cfRule type="expression" dxfId="814" priority="1348">
      <formula>H3239&lt;&gt;""</formula>
    </cfRule>
  </conditionalFormatting>
  <conditionalFormatting sqref="H3243">
    <cfRule type="expression" dxfId="813" priority="1345">
      <formula>H3239&lt;&gt;""</formula>
    </cfRule>
  </conditionalFormatting>
  <conditionalFormatting sqref="D3215">
    <cfRule type="expression" dxfId="812" priority="1342">
      <formula>D3211&lt;&gt;""</formula>
    </cfRule>
  </conditionalFormatting>
  <conditionalFormatting sqref="I3200:I3201 C3201:H3201 B3201:B3202">
    <cfRule type="expression" dxfId="811" priority="1341">
      <formula>$B3203&lt;&gt;""</formula>
    </cfRule>
  </conditionalFormatting>
  <conditionalFormatting sqref="D3207">
    <cfRule type="expression" dxfId="810" priority="1338">
      <formula>D3203&lt;&gt;""</formula>
    </cfRule>
  </conditionalFormatting>
  <conditionalFormatting sqref="C3203:C3207">
    <cfRule type="expression" dxfId="809" priority="1337">
      <formula>D3203&lt;&gt;""</formula>
    </cfRule>
  </conditionalFormatting>
  <conditionalFormatting sqref="E3203:E3207">
    <cfRule type="expression" dxfId="808" priority="1336">
      <formula>F3203&lt;&gt;""</formula>
    </cfRule>
  </conditionalFormatting>
  <conditionalFormatting sqref="G3203:G3207">
    <cfRule type="expression" dxfId="807" priority="1335">
      <formula>H3203&lt;&gt;""</formula>
    </cfRule>
  </conditionalFormatting>
  <conditionalFormatting sqref="I3203:I3207">
    <cfRule type="expression" dxfId="806" priority="1334">
      <formula>B3211&lt;&gt;""</formula>
    </cfRule>
  </conditionalFormatting>
  <conditionalFormatting sqref="B3207">
    <cfRule type="expression" dxfId="805" priority="1331">
      <formula>B3203&lt;&gt;""</formula>
    </cfRule>
  </conditionalFormatting>
  <conditionalFormatting sqref="F3207">
    <cfRule type="expression" dxfId="804" priority="1328">
      <formula>F3203&lt;&gt;""</formula>
    </cfRule>
  </conditionalFormatting>
  <conditionalFormatting sqref="H3207">
    <cfRule type="expression" dxfId="803" priority="1325">
      <formula>H3203&lt;&gt;""</formula>
    </cfRule>
  </conditionalFormatting>
  <conditionalFormatting sqref="F3199">
    <cfRule type="expression" dxfId="802" priority="1322">
      <formula>F3195&lt;&gt;""</formula>
    </cfRule>
  </conditionalFormatting>
  <conditionalFormatting sqref="E3195:E3199">
    <cfRule type="expression" dxfId="801" priority="1321">
      <formula>F3195&lt;&gt;""</formula>
    </cfRule>
  </conditionalFormatting>
  <conditionalFormatting sqref="G3195:G3199">
    <cfRule type="expression" dxfId="800" priority="1320">
      <formula>H3195&lt;&gt;""</formula>
    </cfRule>
  </conditionalFormatting>
  <conditionalFormatting sqref="I3195:I3199">
    <cfRule type="expression" dxfId="799" priority="1319">
      <formula>B3203&lt;&gt;""</formula>
    </cfRule>
  </conditionalFormatting>
  <conditionalFormatting sqref="H3199">
    <cfRule type="expression" dxfId="798" priority="1316">
      <formula>H3195&lt;&gt;""</formula>
    </cfRule>
  </conditionalFormatting>
  <conditionalFormatting sqref="I3208:I3209 C3209:H3209 B3209:B3210">
    <cfRule type="expression" dxfId="797" priority="1315">
      <formula>$B3211&lt;&gt;""</formula>
    </cfRule>
  </conditionalFormatting>
  <conditionalFormatting sqref="B3215">
    <cfRule type="expression" dxfId="796" priority="1312">
      <formula>B3211&lt;&gt;""</formula>
    </cfRule>
  </conditionalFormatting>
  <conditionalFormatting sqref="F3215">
    <cfRule type="expression" dxfId="795" priority="1309">
      <formula>F3211&lt;&gt;""</formula>
    </cfRule>
  </conditionalFormatting>
  <conditionalFormatting sqref="C3211:C3215">
    <cfRule type="expression" dxfId="794" priority="1308">
      <formula>D3211&lt;&gt;""</formula>
    </cfRule>
  </conditionalFormatting>
  <conditionalFormatting sqref="E3211:E3215">
    <cfRule type="expression" dxfId="793" priority="1307">
      <formula>F3211&lt;&gt;""</formula>
    </cfRule>
  </conditionalFormatting>
  <conditionalFormatting sqref="G3211:G3215">
    <cfRule type="expression" dxfId="792" priority="1306">
      <formula>H3211&lt;&gt;""</formula>
    </cfRule>
  </conditionalFormatting>
  <conditionalFormatting sqref="H3215">
    <cfRule type="expression" dxfId="791" priority="1303">
      <formula>H3211&lt;&gt;""</formula>
    </cfRule>
  </conditionalFormatting>
  <conditionalFormatting sqref="D3187">
    <cfRule type="expression" dxfId="790" priority="1300">
      <formula>D3183&lt;&gt;""</formula>
    </cfRule>
  </conditionalFormatting>
  <conditionalFormatting sqref="I3172:I3173 C3173:H3173 B3173:B3174">
    <cfRule type="expression" dxfId="789" priority="1299">
      <formula>$B3175&lt;&gt;""</formula>
    </cfRule>
  </conditionalFormatting>
  <conditionalFormatting sqref="D3179">
    <cfRule type="expression" dxfId="788" priority="1296">
      <formula>D3175&lt;&gt;""</formula>
    </cfRule>
  </conditionalFormatting>
  <conditionalFormatting sqref="C3175:C3179">
    <cfRule type="expression" dxfId="787" priority="1295">
      <formula>D3175&lt;&gt;""</formula>
    </cfRule>
  </conditionalFormatting>
  <conditionalFormatting sqref="E3175:E3179">
    <cfRule type="expression" dxfId="786" priority="1294">
      <formula>F3175&lt;&gt;""</formula>
    </cfRule>
  </conditionalFormatting>
  <conditionalFormatting sqref="G3175:G3179">
    <cfRule type="expression" dxfId="785" priority="1293">
      <formula>H3175&lt;&gt;""</formula>
    </cfRule>
  </conditionalFormatting>
  <conditionalFormatting sqref="I3175:I3179">
    <cfRule type="expression" dxfId="784" priority="1292">
      <formula>B3183&lt;&gt;""</formula>
    </cfRule>
  </conditionalFormatting>
  <conditionalFormatting sqref="B3179">
    <cfRule type="expression" dxfId="783" priority="1289">
      <formula>B3175&lt;&gt;""</formula>
    </cfRule>
  </conditionalFormatting>
  <conditionalFormatting sqref="F3179">
    <cfRule type="expression" dxfId="782" priority="1286">
      <formula>F3175&lt;&gt;""</formula>
    </cfRule>
  </conditionalFormatting>
  <conditionalFormatting sqref="H3179">
    <cfRule type="expression" dxfId="781" priority="1283">
      <formula>H3175&lt;&gt;""</formula>
    </cfRule>
  </conditionalFormatting>
  <conditionalFormatting sqref="F3171">
    <cfRule type="expression" dxfId="780" priority="1280">
      <formula>F3167&lt;&gt;""</formula>
    </cfRule>
  </conditionalFormatting>
  <conditionalFormatting sqref="E3167:E3171">
    <cfRule type="expression" dxfId="779" priority="1279">
      <formula>F3167&lt;&gt;""</formula>
    </cfRule>
  </conditionalFormatting>
  <conditionalFormatting sqref="G3167:G3171">
    <cfRule type="expression" dxfId="778" priority="1278">
      <formula>H3167&lt;&gt;""</formula>
    </cfRule>
  </conditionalFormatting>
  <conditionalFormatting sqref="I3167:I3171">
    <cfRule type="expression" dxfId="777" priority="1277">
      <formula>B3175&lt;&gt;""</formula>
    </cfRule>
  </conditionalFormatting>
  <conditionalFormatting sqref="H3171">
    <cfRule type="expression" dxfId="776" priority="1274">
      <formula>H3167&lt;&gt;""</formula>
    </cfRule>
  </conditionalFormatting>
  <conditionalFormatting sqref="I3180:I3181 C3181:H3181 B3181:B3182">
    <cfRule type="expression" dxfId="775" priority="1273">
      <formula>$B3183&lt;&gt;""</formula>
    </cfRule>
  </conditionalFormatting>
  <conditionalFormatting sqref="B3187">
    <cfRule type="expression" dxfId="774" priority="1270">
      <formula>B3183&lt;&gt;""</formula>
    </cfRule>
  </conditionalFormatting>
  <conditionalFormatting sqref="F3187">
    <cfRule type="expression" dxfId="773" priority="1267">
      <formula>F3183&lt;&gt;""</formula>
    </cfRule>
  </conditionalFormatting>
  <conditionalFormatting sqref="C3183:C3187">
    <cfRule type="expression" dxfId="772" priority="1266">
      <formula>D3183&lt;&gt;""</formula>
    </cfRule>
  </conditionalFormatting>
  <conditionalFormatting sqref="E3183:E3187">
    <cfRule type="expression" dxfId="771" priority="1265">
      <formula>F3183&lt;&gt;""</formula>
    </cfRule>
  </conditionalFormatting>
  <conditionalFormatting sqref="G3183:G3187">
    <cfRule type="expression" dxfId="770" priority="1264">
      <formula>H3183&lt;&gt;""</formula>
    </cfRule>
  </conditionalFormatting>
  <conditionalFormatting sqref="H3187">
    <cfRule type="expression" dxfId="769" priority="1261">
      <formula>H3183&lt;&gt;""</formula>
    </cfRule>
  </conditionalFormatting>
  <conditionalFormatting sqref="D3159">
    <cfRule type="expression" dxfId="768" priority="1258">
      <formula>D3155&lt;&gt;""</formula>
    </cfRule>
  </conditionalFormatting>
  <conditionalFormatting sqref="I3144:I3145 C3145:H3145 B3145:B3146">
    <cfRule type="expression" dxfId="767" priority="1257">
      <formula>$B3147&lt;&gt;""</formula>
    </cfRule>
  </conditionalFormatting>
  <conditionalFormatting sqref="D3151">
    <cfRule type="expression" dxfId="766" priority="1254">
      <formula>D3147&lt;&gt;""</formula>
    </cfRule>
  </conditionalFormatting>
  <conditionalFormatting sqref="C3147:C3151">
    <cfRule type="expression" dxfId="765" priority="1253">
      <formula>D3147&lt;&gt;""</formula>
    </cfRule>
  </conditionalFormatting>
  <conditionalFormatting sqref="E3147:E3151">
    <cfRule type="expression" dxfId="764" priority="1252">
      <formula>F3147&lt;&gt;""</formula>
    </cfRule>
  </conditionalFormatting>
  <conditionalFormatting sqref="G3147:G3151">
    <cfRule type="expression" dxfId="763" priority="1251">
      <formula>H3147&lt;&gt;""</formula>
    </cfRule>
  </conditionalFormatting>
  <conditionalFormatting sqref="I3147:I3151">
    <cfRule type="expression" dxfId="762" priority="1250">
      <formula>B3155&lt;&gt;""</formula>
    </cfRule>
  </conditionalFormatting>
  <conditionalFormatting sqref="B3151">
    <cfRule type="expression" dxfId="761" priority="1247">
      <formula>B3147&lt;&gt;""</formula>
    </cfRule>
  </conditionalFormatting>
  <conditionalFormatting sqref="F3151">
    <cfRule type="expression" dxfId="760" priority="1244">
      <formula>F3147&lt;&gt;""</formula>
    </cfRule>
  </conditionalFormatting>
  <conditionalFormatting sqref="H3151">
    <cfRule type="expression" dxfId="759" priority="1241">
      <formula>H3147&lt;&gt;""</formula>
    </cfRule>
  </conditionalFormatting>
  <conditionalFormatting sqref="F3143">
    <cfRule type="expression" dxfId="758" priority="1238">
      <formula>F3139&lt;&gt;""</formula>
    </cfRule>
  </conditionalFormatting>
  <conditionalFormatting sqref="E3139:E3143">
    <cfRule type="expression" dxfId="757" priority="1237">
      <formula>F3139&lt;&gt;""</formula>
    </cfRule>
  </conditionalFormatting>
  <conditionalFormatting sqref="G3139:G3143">
    <cfRule type="expression" dxfId="756" priority="1236">
      <formula>H3139&lt;&gt;""</formula>
    </cfRule>
  </conditionalFormatting>
  <conditionalFormatting sqref="I3139:I3143">
    <cfRule type="expression" dxfId="755" priority="1235">
      <formula>B3147&lt;&gt;""</formula>
    </cfRule>
  </conditionalFormatting>
  <conditionalFormatting sqref="H3143">
    <cfRule type="expression" dxfId="754" priority="1232">
      <formula>H3139&lt;&gt;""</formula>
    </cfRule>
  </conditionalFormatting>
  <conditionalFormatting sqref="I3152:I3153 C3153:H3153 B3153:B3154">
    <cfRule type="expression" dxfId="753" priority="1231">
      <formula>$B3155&lt;&gt;""</formula>
    </cfRule>
  </conditionalFormatting>
  <conditionalFormatting sqref="B3159">
    <cfRule type="expression" dxfId="752" priority="1228">
      <formula>B3155&lt;&gt;""</formula>
    </cfRule>
  </conditionalFormatting>
  <conditionalFormatting sqref="F3159">
    <cfRule type="expression" dxfId="751" priority="1225">
      <formula>F3155&lt;&gt;""</formula>
    </cfRule>
  </conditionalFormatting>
  <conditionalFormatting sqref="C3155:C3159">
    <cfRule type="expression" dxfId="750" priority="1224">
      <formula>D3155&lt;&gt;""</formula>
    </cfRule>
  </conditionalFormatting>
  <conditionalFormatting sqref="E3155:E3159">
    <cfRule type="expression" dxfId="749" priority="1223">
      <formula>F3155&lt;&gt;""</formula>
    </cfRule>
  </conditionalFormatting>
  <conditionalFormatting sqref="G3155:G3159">
    <cfRule type="expression" dxfId="748" priority="1222">
      <formula>H3155&lt;&gt;""</formula>
    </cfRule>
  </conditionalFormatting>
  <conditionalFormatting sqref="H3159">
    <cfRule type="expression" dxfId="747" priority="1219">
      <formula>H3155&lt;&gt;""</formula>
    </cfRule>
  </conditionalFormatting>
  <conditionalFormatting sqref="D3131">
    <cfRule type="expression" dxfId="746" priority="1216">
      <formula>D3127&lt;&gt;""</formula>
    </cfRule>
  </conditionalFormatting>
  <conditionalFormatting sqref="I3116:I3117 C3117:H3117 B3117:B3118">
    <cfRule type="expression" dxfId="745" priority="1215">
      <formula>$B3119&lt;&gt;""</formula>
    </cfRule>
  </conditionalFormatting>
  <conditionalFormatting sqref="D3123">
    <cfRule type="expression" dxfId="744" priority="1212">
      <formula>D3119&lt;&gt;""</formula>
    </cfRule>
  </conditionalFormatting>
  <conditionalFormatting sqref="C3119:C3123">
    <cfRule type="expression" dxfId="743" priority="1211">
      <formula>D3119&lt;&gt;""</formula>
    </cfRule>
  </conditionalFormatting>
  <conditionalFormatting sqref="E3119:E3123">
    <cfRule type="expression" dxfId="742" priority="1210">
      <formula>F3119&lt;&gt;""</formula>
    </cfRule>
  </conditionalFormatting>
  <conditionalFormatting sqref="G3119:G3123">
    <cfRule type="expression" dxfId="741" priority="1209">
      <formula>H3119&lt;&gt;""</formula>
    </cfRule>
  </conditionalFormatting>
  <conditionalFormatting sqref="I3119:I3123">
    <cfRule type="expression" dxfId="740" priority="1208">
      <formula>B3127&lt;&gt;""</formula>
    </cfRule>
  </conditionalFormatting>
  <conditionalFormatting sqref="B3123">
    <cfRule type="expression" dxfId="739" priority="1205">
      <formula>B3119&lt;&gt;""</formula>
    </cfRule>
  </conditionalFormatting>
  <conditionalFormatting sqref="F3123">
    <cfRule type="expression" dxfId="738" priority="1202">
      <formula>F3119&lt;&gt;""</formula>
    </cfRule>
  </conditionalFormatting>
  <conditionalFormatting sqref="H3123">
    <cfRule type="expression" dxfId="737" priority="1199">
      <formula>H3119&lt;&gt;""</formula>
    </cfRule>
  </conditionalFormatting>
  <conditionalFormatting sqref="F3115">
    <cfRule type="expression" dxfId="736" priority="1196">
      <formula>F3111&lt;&gt;""</formula>
    </cfRule>
  </conditionalFormatting>
  <conditionalFormatting sqref="E3111:E3115">
    <cfRule type="expression" dxfId="735" priority="1195">
      <formula>F3111&lt;&gt;""</formula>
    </cfRule>
  </conditionalFormatting>
  <conditionalFormatting sqref="G3111:G3115">
    <cfRule type="expression" dxfId="734" priority="1194">
      <formula>H3111&lt;&gt;""</formula>
    </cfRule>
  </conditionalFormatting>
  <conditionalFormatting sqref="I3111:I3115">
    <cfRule type="expression" dxfId="733" priority="1193">
      <formula>B3119&lt;&gt;""</formula>
    </cfRule>
  </conditionalFormatting>
  <conditionalFormatting sqref="H3115">
    <cfRule type="expression" dxfId="732" priority="1190">
      <formula>H3111&lt;&gt;""</formula>
    </cfRule>
  </conditionalFormatting>
  <conditionalFormatting sqref="I3124:I3125 C3125:H3125 B3125:B3126">
    <cfRule type="expression" dxfId="731" priority="1189">
      <formula>$B3127&lt;&gt;""</formula>
    </cfRule>
  </conditionalFormatting>
  <conditionalFormatting sqref="B3131">
    <cfRule type="expression" dxfId="730" priority="1186">
      <formula>B3127&lt;&gt;""</formula>
    </cfRule>
  </conditionalFormatting>
  <conditionalFormatting sqref="F3131">
    <cfRule type="expression" dxfId="729" priority="1183">
      <formula>F3127&lt;&gt;""</formula>
    </cfRule>
  </conditionalFormatting>
  <conditionalFormatting sqref="C3127:C3131">
    <cfRule type="expression" dxfId="728" priority="1182">
      <formula>D3127&lt;&gt;""</formula>
    </cfRule>
  </conditionalFormatting>
  <conditionalFormatting sqref="E3127:E3131">
    <cfRule type="expression" dxfId="727" priority="1181">
      <formula>F3127&lt;&gt;""</formula>
    </cfRule>
  </conditionalFormatting>
  <conditionalFormatting sqref="G3127:G3131">
    <cfRule type="expression" dxfId="726" priority="1180">
      <formula>H3127&lt;&gt;""</formula>
    </cfRule>
  </conditionalFormatting>
  <conditionalFormatting sqref="H3131">
    <cfRule type="expression" dxfId="725" priority="1177">
      <formula>H3127&lt;&gt;""</formula>
    </cfRule>
  </conditionalFormatting>
  <conditionalFormatting sqref="B3115">
    <cfRule type="expression" dxfId="724" priority="1174">
      <formula>B3111&lt;&gt;""</formula>
    </cfRule>
  </conditionalFormatting>
  <conditionalFormatting sqref="C3111:C3115">
    <cfRule type="expression" dxfId="723" priority="1173">
      <formula>D3111&lt;&gt;""</formula>
    </cfRule>
  </conditionalFormatting>
  <conditionalFormatting sqref="D3115">
    <cfRule type="expression" dxfId="722" priority="1170">
      <formula>D3111&lt;&gt;""</formula>
    </cfRule>
  </conditionalFormatting>
  <conditionalFormatting sqref="B3143">
    <cfRule type="expression" dxfId="721" priority="1167">
      <formula>B3139&lt;&gt;""</formula>
    </cfRule>
  </conditionalFormatting>
  <conditionalFormatting sqref="C3139:C3143">
    <cfRule type="expression" dxfId="720" priority="1166">
      <formula>D3139&lt;&gt;""</formula>
    </cfRule>
  </conditionalFormatting>
  <conditionalFormatting sqref="D3143">
    <cfRule type="expression" dxfId="719" priority="1163">
      <formula>D3139&lt;&gt;""</formula>
    </cfRule>
  </conditionalFormatting>
  <conditionalFormatting sqref="B3171">
    <cfRule type="expression" dxfId="718" priority="1160">
      <formula>B3167&lt;&gt;""</formula>
    </cfRule>
  </conditionalFormatting>
  <conditionalFormatting sqref="C3167:C3171">
    <cfRule type="expression" dxfId="717" priority="1159">
      <formula>D3167&lt;&gt;""</formula>
    </cfRule>
  </conditionalFormatting>
  <conditionalFormatting sqref="D3171">
    <cfRule type="expression" dxfId="716" priority="1156">
      <formula>D3167&lt;&gt;""</formula>
    </cfRule>
  </conditionalFormatting>
  <conditionalFormatting sqref="B3199">
    <cfRule type="expression" dxfId="715" priority="1153">
      <formula>B3195&lt;&gt;""</formula>
    </cfRule>
  </conditionalFormatting>
  <conditionalFormatting sqref="C3195:C3199">
    <cfRule type="expression" dxfId="714" priority="1152">
      <formula>D3195&lt;&gt;""</formula>
    </cfRule>
  </conditionalFormatting>
  <conditionalFormatting sqref="D3199">
    <cfRule type="expression" dxfId="713" priority="1149">
      <formula>D3195&lt;&gt;""</formula>
    </cfRule>
  </conditionalFormatting>
  <conditionalFormatting sqref="B3227">
    <cfRule type="expression" dxfId="712" priority="1146">
      <formula>B3223&lt;&gt;""</formula>
    </cfRule>
  </conditionalFormatting>
  <conditionalFormatting sqref="C3223:C3227">
    <cfRule type="expression" dxfId="711" priority="1145">
      <formula>D3223&lt;&gt;""</formula>
    </cfRule>
  </conditionalFormatting>
  <conditionalFormatting sqref="D3227">
    <cfRule type="expression" dxfId="710" priority="1142">
      <formula>D3223&lt;&gt;""</formula>
    </cfRule>
  </conditionalFormatting>
  <conditionalFormatting sqref="B3255">
    <cfRule type="expression" dxfId="709" priority="1139">
      <formula>B3251&lt;&gt;""</formula>
    </cfRule>
  </conditionalFormatting>
  <conditionalFormatting sqref="C3251:C3255">
    <cfRule type="expression" dxfId="708" priority="1138">
      <formula>D3251&lt;&gt;""</formula>
    </cfRule>
  </conditionalFormatting>
  <conditionalFormatting sqref="D3255">
    <cfRule type="expression" dxfId="707" priority="1135">
      <formula>D3251&lt;&gt;""</formula>
    </cfRule>
  </conditionalFormatting>
  <conditionalFormatting sqref="B3283">
    <cfRule type="expression" dxfId="706" priority="1132">
      <formula>B3279&lt;&gt;""</formula>
    </cfRule>
  </conditionalFormatting>
  <conditionalFormatting sqref="C3279:C3283">
    <cfRule type="expression" dxfId="705" priority="1131">
      <formula>D3279&lt;&gt;""</formula>
    </cfRule>
  </conditionalFormatting>
  <conditionalFormatting sqref="D3283">
    <cfRule type="expression" dxfId="704" priority="1128">
      <formula>D3279&lt;&gt;""</formula>
    </cfRule>
  </conditionalFormatting>
  <conditionalFormatting sqref="D3327">
    <cfRule type="expression" dxfId="703" priority="1125">
      <formula>D3323&lt;&gt;""</formula>
    </cfRule>
  </conditionalFormatting>
  <conditionalFormatting sqref="D3319">
    <cfRule type="expression" dxfId="702" priority="1122">
      <formula>D3315&lt;&gt;""</formula>
    </cfRule>
  </conditionalFormatting>
  <conditionalFormatting sqref="C3315:C3319">
    <cfRule type="expression" dxfId="701" priority="1121">
      <formula>D3315&lt;&gt;""</formula>
    </cfRule>
  </conditionalFormatting>
  <conditionalFormatting sqref="E3315:E3319">
    <cfRule type="expression" dxfId="700" priority="1120">
      <formula>F3315&lt;&gt;""</formula>
    </cfRule>
  </conditionalFormatting>
  <conditionalFormatting sqref="G3315:G3319">
    <cfRule type="expression" dxfId="699" priority="1119">
      <formula>H3315&lt;&gt;""</formula>
    </cfRule>
  </conditionalFormatting>
  <conditionalFormatting sqref="I3315:I3319">
    <cfRule type="expression" dxfId="698" priority="1118">
      <formula>B3323&lt;&gt;""</formula>
    </cfRule>
  </conditionalFormatting>
  <conditionalFormatting sqref="B3319">
    <cfRule type="expression" dxfId="697" priority="1115">
      <formula>B3315&lt;&gt;""</formula>
    </cfRule>
  </conditionalFormatting>
  <conditionalFormatting sqref="F3319">
    <cfRule type="expression" dxfId="696" priority="1112">
      <formula>F3315&lt;&gt;""</formula>
    </cfRule>
  </conditionalFormatting>
  <conditionalFormatting sqref="H3319">
    <cfRule type="expression" dxfId="695" priority="1109">
      <formula>H3315&lt;&gt;""</formula>
    </cfRule>
  </conditionalFormatting>
  <conditionalFormatting sqref="F3311">
    <cfRule type="expression" dxfId="694" priority="1106">
      <formula>F3307&lt;&gt;""</formula>
    </cfRule>
  </conditionalFormatting>
  <conditionalFormatting sqref="E3307:E3311">
    <cfRule type="expression" dxfId="693" priority="1105">
      <formula>F3307&lt;&gt;""</formula>
    </cfRule>
  </conditionalFormatting>
  <conditionalFormatting sqref="G3307:G3311">
    <cfRule type="expression" dxfId="692" priority="1104">
      <formula>H3307&lt;&gt;""</formula>
    </cfRule>
  </conditionalFormatting>
  <conditionalFormatting sqref="I3307:I3311">
    <cfRule type="expression" dxfId="691" priority="1103">
      <formula>B3315&lt;&gt;""</formula>
    </cfRule>
  </conditionalFormatting>
  <conditionalFormatting sqref="H3311">
    <cfRule type="expression" dxfId="690" priority="1100">
      <formula>H3307&lt;&gt;""</formula>
    </cfRule>
  </conditionalFormatting>
  <conditionalFormatting sqref="B3327">
    <cfRule type="expression" dxfId="689" priority="1097">
      <formula>B3323&lt;&gt;""</formula>
    </cfRule>
  </conditionalFormatting>
  <conditionalFormatting sqref="F3327">
    <cfRule type="expression" dxfId="688" priority="1094">
      <formula>F3323&lt;&gt;""</formula>
    </cfRule>
  </conditionalFormatting>
  <conditionalFormatting sqref="C3323:C3327">
    <cfRule type="expression" dxfId="687" priority="1093">
      <formula>D3323&lt;&gt;""</formula>
    </cfRule>
  </conditionalFormatting>
  <conditionalFormatting sqref="E3323:E3327">
    <cfRule type="expression" dxfId="686" priority="1092">
      <formula>F3323&lt;&gt;""</formula>
    </cfRule>
  </conditionalFormatting>
  <conditionalFormatting sqref="G3323:G3327">
    <cfRule type="expression" dxfId="685" priority="1091">
      <formula>H3323&lt;&gt;""</formula>
    </cfRule>
  </conditionalFormatting>
  <conditionalFormatting sqref="H3327">
    <cfRule type="expression" dxfId="684" priority="1088">
      <formula>H3323&lt;&gt;""</formula>
    </cfRule>
  </conditionalFormatting>
  <conditionalFormatting sqref="D3355">
    <cfRule type="expression" dxfId="683" priority="1085">
      <formula>D3351&lt;&gt;""</formula>
    </cfRule>
  </conditionalFormatting>
  <conditionalFormatting sqref="D3347">
    <cfRule type="expression" dxfId="682" priority="1082">
      <formula>D3343&lt;&gt;""</formula>
    </cfRule>
  </conditionalFormatting>
  <conditionalFormatting sqref="C3343:C3347">
    <cfRule type="expression" dxfId="681" priority="1081">
      <formula>D3343&lt;&gt;""</formula>
    </cfRule>
  </conditionalFormatting>
  <conditionalFormatting sqref="E3343:E3347">
    <cfRule type="expression" dxfId="680" priority="1080">
      <formula>F3343&lt;&gt;""</formula>
    </cfRule>
  </conditionalFormatting>
  <conditionalFormatting sqref="G3343:G3347">
    <cfRule type="expression" dxfId="679" priority="1079">
      <formula>H3343&lt;&gt;""</formula>
    </cfRule>
  </conditionalFormatting>
  <conditionalFormatting sqref="I3343:I3347">
    <cfRule type="expression" dxfId="678" priority="1078">
      <formula>B3351&lt;&gt;""</formula>
    </cfRule>
  </conditionalFormatting>
  <conditionalFormatting sqref="B3347">
    <cfRule type="expression" dxfId="677" priority="1075">
      <formula>B3343&lt;&gt;""</formula>
    </cfRule>
  </conditionalFormatting>
  <conditionalFormatting sqref="F3347">
    <cfRule type="expression" dxfId="676" priority="1072">
      <formula>F3343&lt;&gt;""</formula>
    </cfRule>
  </conditionalFormatting>
  <conditionalFormatting sqref="H3347">
    <cfRule type="expression" dxfId="675" priority="1069">
      <formula>H3343&lt;&gt;""</formula>
    </cfRule>
  </conditionalFormatting>
  <conditionalFormatting sqref="F3339">
    <cfRule type="expression" dxfId="674" priority="1066">
      <formula>F3335&lt;&gt;""</formula>
    </cfRule>
  </conditionalFormatting>
  <conditionalFormatting sqref="E3335:E3339">
    <cfRule type="expression" dxfId="673" priority="1065">
      <formula>F3335&lt;&gt;""</formula>
    </cfRule>
  </conditionalFormatting>
  <conditionalFormatting sqref="G3335:G3339">
    <cfRule type="expression" dxfId="672" priority="1064">
      <formula>H3335&lt;&gt;""</formula>
    </cfRule>
  </conditionalFormatting>
  <conditionalFormatting sqref="I3335:I3339">
    <cfRule type="expression" dxfId="671" priority="1063">
      <formula>B3343&lt;&gt;""</formula>
    </cfRule>
  </conditionalFormatting>
  <conditionalFormatting sqref="H3339">
    <cfRule type="expression" dxfId="670" priority="1060">
      <formula>H3335&lt;&gt;""</formula>
    </cfRule>
  </conditionalFormatting>
  <conditionalFormatting sqref="B3355">
    <cfRule type="expression" dxfId="669" priority="1057">
      <formula>B3351&lt;&gt;""</formula>
    </cfRule>
  </conditionalFormatting>
  <conditionalFormatting sqref="F3355">
    <cfRule type="expression" dxfId="668" priority="1054">
      <formula>F3351&lt;&gt;""</formula>
    </cfRule>
  </conditionalFormatting>
  <conditionalFormatting sqref="C3351:C3355">
    <cfRule type="expression" dxfId="667" priority="1053">
      <formula>D3351&lt;&gt;""</formula>
    </cfRule>
  </conditionalFormatting>
  <conditionalFormatting sqref="E3351:E3355">
    <cfRule type="expression" dxfId="666" priority="1052">
      <formula>F3351&lt;&gt;""</formula>
    </cfRule>
  </conditionalFormatting>
  <conditionalFormatting sqref="G3351:G3355">
    <cfRule type="expression" dxfId="665" priority="1051">
      <formula>H3351&lt;&gt;""</formula>
    </cfRule>
  </conditionalFormatting>
  <conditionalFormatting sqref="H3355">
    <cfRule type="expression" dxfId="664" priority="1048">
      <formula>H3351&lt;&gt;""</formula>
    </cfRule>
  </conditionalFormatting>
  <conditionalFormatting sqref="B3341:B3342 C3341:I3341 I3340">
    <cfRule type="expression" dxfId="663" priority="1046">
      <formula>$B3343&lt;&gt;""</formula>
    </cfRule>
  </conditionalFormatting>
  <conditionalFormatting sqref="B3349:B3350 C3349:I3349 I3348">
    <cfRule type="expression" dxfId="662" priority="1045">
      <formula>$B3351&lt;&gt;""</formula>
    </cfRule>
  </conditionalFormatting>
  <conditionalFormatting sqref="D3383">
    <cfRule type="expression" dxfId="661" priority="1042">
      <formula>D3379&lt;&gt;""</formula>
    </cfRule>
  </conditionalFormatting>
  <conditionalFormatting sqref="D3375">
    <cfRule type="expression" dxfId="660" priority="1039">
      <formula>D3371&lt;&gt;""</formula>
    </cfRule>
  </conditionalFormatting>
  <conditionalFormatting sqref="C3371:C3375">
    <cfRule type="expression" dxfId="659" priority="1038">
      <formula>D3371&lt;&gt;""</formula>
    </cfRule>
  </conditionalFormatting>
  <conditionalFormatting sqref="E3371:E3375">
    <cfRule type="expression" dxfId="658" priority="1037">
      <formula>F3371&lt;&gt;""</formula>
    </cfRule>
  </conditionalFormatting>
  <conditionalFormatting sqref="G3371:G3375">
    <cfRule type="expression" dxfId="657" priority="1036">
      <formula>H3371&lt;&gt;""</formula>
    </cfRule>
  </conditionalFormatting>
  <conditionalFormatting sqref="I3371:I3375">
    <cfRule type="expression" dxfId="656" priority="1035">
      <formula>B3379&lt;&gt;""</formula>
    </cfRule>
  </conditionalFormatting>
  <conditionalFormatting sqref="B3375">
    <cfRule type="expression" dxfId="655" priority="1032">
      <formula>B3371&lt;&gt;""</formula>
    </cfRule>
  </conditionalFormatting>
  <conditionalFormatting sqref="F3375">
    <cfRule type="expression" dxfId="654" priority="1029">
      <formula>F3371&lt;&gt;""</formula>
    </cfRule>
  </conditionalFormatting>
  <conditionalFormatting sqref="H3375">
    <cfRule type="expression" dxfId="653" priority="1026">
      <formula>H3371&lt;&gt;""</formula>
    </cfRule>
  </conditionalFormatting>
  <conditionalFormatting sqref="F3367">
    <cfRule type="expression" dxfId="652" priority="1023">
      <formula>F3363&lt;&gt;""</formula>
    </cfRule>
  </conditionalFormatting>
  <conditionalFormatting sqref="E3363:E3367">
    <cfRule type="expression" dxfId="651" priority="1022">
      <formula>F3363&lt;&gt;""</formula>
    </cfRule>
  </conditionalFormatting>
  <conditionalFormatting sqref="G3363:G3367">
    <cfRule type="expression" dxfId="650" priority="1021">
      <formula>H3363&lt;&gt;""</formula>
    </cfRule>
  </conditionalFormatting>
  <conditionalFormatting sqref="I3363:I3367">
    <cfRule type="expression" dxfId="649" priority="1020">
      <formula>B3371&lt;&gt;""</formula>
    </cfRule>
  </conditionalFormatting>
  <conditionalFormatting sqref="H3367">
    <cfRule type="expression" dxfId="648" priority="1017">
      <formula>H3363&lt;&gt;""</formula>
    </cfRule>
  </conditionalFormatting>
  <conditionalFormatting sqref="B3383">
    <cfRule type="expression" dxfId="647" priority="1014">
      <formula>B3379&lt;&gt;""</formula>
    </cfRule>
  </conditionalFormatting>
  <conditionalFormatting sqref="F3383">
    <cfRule type="expression" dxfId="646" priority="1011">
      <formula>F3379&lt;&gt;""</formula>
    </cfRule>
  </conditionalFormatting>
  <conditionalFormatting sqref="C3379:C3383">
    <cfRule type="expression" dxfId="645" priority="1010">
      <formula>D3379&lt;&gt;""</formula>
    </cfRule>
  </conditionalFormatting>
  <conditionalFormatting sqref="E3379:E3383">
    <cfRule type="expression" dxfId="644" priority="1009">
      <formula>F3379&lt;&gt;""</formula>
    </cfRule>
  </conditionalFormatting>
  <conditionalFormatting sqref="G3379:G3383">
    <cfRule type="expression" dxfId="643" priority="1008">
      <formula>H3379&lt;&gt;""</formula>
    </cfRule>
  </conditionalFormatting>
  <conditionalFormatting sqref="H3383">
    <cfRule type="expression" dxfId="642" priority="1005">
      <formula>H3379&lt;&gt;""</formula>
    </cfRule>
  </conditionalFormatting>
  <conditionalFormatting sqref="B3369:B3370 C3369:I3369 I3368">
    <cfRule type="expression" dxfId="641" priority="1003">
      <formula>$B3371&lt;&gt;""</formula>
    </cfRule>
  </conditionalFormatting>
  <conditionalFormatting sqref="B3377:B3378 C3377:I3377 I3376">
    <cfRule type="expression" dxfId="640" priority="1002">
      <formula>$B3379&lt;&gt;""</formula>
    </cfRule>
  </conditionalFormatting>
  <conditionalFormatting sqref="B3311">
    <cfRule type="expression" dxfId="639" priority="999">
      <formula>B3307&lt;&gt;""</formula>
    </cfRule>
  </conditionalFormatting>
  <conditionalFormatting sqref="C3307:C3311">
    <cfRule type="expression" dxfId="638" priority="998">
      <formula>D3307&lt;&gt;""</formula>
    </cfRule>
  </conditionalFormatting>
  <conditionalFormatting sqref="D3311">
    <cfRule type="expression" dxfId="637" priority="995">
      <formula>D3307&lt;&gt;""</formula>
    </cfRule>
  </conditionalFormatting>
  <conditionalFormatting sqref="B3339">
    <cfRule type="expression" dxfId="636" priority="993">
      <formula>B3335&lt;&gt;""</formula>
    </cfRule>
  </conditionalFormatting>
  <conditionalFormatting sqref="C3335:C3339">
    <cfRule type="expression" dxfId="635" priority="992">
      <formula>D3335&lt;&gt;""</formula>
    </cfRule>
  </conditionalFormatting>
  <conditionalFormatting sqref="D3339">
    <cfRule type="expression" dxfId="634" priority="989">
      <formula>D3335&lt;&gt;""</formula>
    </cfRule>
  </conditionalFormatting>
  <conditionalFormatting sqref="B3367">
    <cfRule type="expression" dxfId="633" priority="987">
      <formula>B3363&lt;&gt;""</formula>
    </cfRule>
  </conditionalFormatting>
  <conditionalFormatting sqref="C3363:C3367">
    <cfRule type="expression" dxfId="632" priority="986">
      <formula>D3363&lt;&gt;""</formula>
    </cfRule>
  </conditionalFormatting>
  <conditionalFormatting sqref="D3367">
    <cfRule type="expression" dxfId="631" priority="983">
      <formula>D3363&lt;&gt;""</formula>
    </cfRule>
  </conditionalFormatting>
  <conditionalFormatting sqref="B3321:B3322 C3321:I3321 I3320">
    <cfRule type="expression" dxfId="630" priority="982">
      <formula>$B3323&lt;&gt;""</formula>
    </cfRule>
  </conditionalFormatting>
  <conditionalFormatting sqref="B3313:B3314 C3313:I3313 I3312">
    <cfRule type="expression" dxfId="629" priority="981">
      <formula>$B3315&lt;&gt;""</formula>
    </cfRule>
  </conditionalFormatting>
  <conditionalFormatting sqref="D3581">
    <cfRule type="expression" dxfId="628" priority="978">
      <formula>D3577&lt;&gt;""</formula>
    </cfRule>
  </conditionalFormatting>
  <conditionalFormatting sqref="I3566:I3567 C3567:H3567 B3567:B3568">
    <cfRule type="expression" dxfId="627" priority="977">
      <formula>$B3569&lt;&gt;""</formula>
    </cfRule>
  </conditionalFormatting>
  <conditionalFormatting sqref="D3573">
    <cfRule type="expression" dxfId="626" priority="974">
      <formula>D3569&lt;&gt;""</formula>
    </cfRule>
  </conditionalFormatting>
  <conditionalFormatting sqref="C3569:C3573">
    <cfRule type="expression" dxfId="625" priority="973">
      <formula>D3569&lt;&gt;""</formula>
    </cfRule>
  </conditionalFormatting>
  <conditionalFormatting sqref="E3569:E3573">
    <cfRule type="expression" dxfId="624" priority="972">
      <formula>F3569&lt;&gt;""</formula>
    </cfRule>
  </conditionalFormatting>
  <conditionalFormatting sqref="G3569:G3573">
    <cfRule type="expression" dxfId="623" priority="971">
      <formula>H3569&lt;&gt;""</formula>
    </cfRule>
  </conditionalFormatting>
  <conditionalFormatting sqref="I3569:I3573">
    <cfRule type="expression" dxfId="622" priority="970">
      <formula>B3577&lt;&gt;""</formula>
    </cfRule>
  </conditionalFormatting>
  <conditionalFormatting sqref="B3573">
    <cfRule type="expression" dxfId="621" priority="967">
      <formula>B3569&lt;&gt;""</formula>
    </cfRule>
  </conditionalFormatting>
  <conditionalFormatting sqref="F3573">
    <cfRule type="expression" dxfId="620" priority="964">
      <formula>F3569&lt;&gt;""</formula>
    </cfRule>
  </conditionalFormatting>
  <conditionalFormatting sqref="H3573">
    <cfRule type="expression" dxfId="619" priority="961">
      <formula>H3569&lt;&gt;""</formula>
    </cfRule>
  </conditionalFormatting>
  <conditionalFormatting sqref="F3565">
    <cfRule type="expression" dxfId="618" priority="958">
      <formula>F3561&lt;&gt;""</formula>
    </cfRule>
  </conditionalFormatting>
  <conditionalFormatting sqref="E3561:E3565">
    <cfRule type="expression" dxfId="617" priority="957">
      <formula>F3561&lt;&gt;""</formula>
    </cfRule>
  </conditionalFormatting>
  <conditionalFormatting sqref="G3561:G3565">
    <cfRule type="expression" dxfId="616" priority="956">
      <formula>H3561&lt;&gt;""</formula>
    </cfRule>
  </conditionalFormatting>
  <conditionalFormatting sqref="I3561:I3565">
    <cfRule type="expression" dxfId="615" priority="955">
      <formula>B3569&lt;&gt;""</formula>
    </cfRule>
  </conditionalFormatting>
  <conditionalFormatting sqref="H3565">
    <cfRule type="expression" dxfId="614" priority="952">
      <formula>H3561&lt;&gt;""</formula>
    </cfRule>
  </conditionalFormatting>
  <conditionalFormatting sqref="I3574:I3575 C3575:H3575 B3575:B3576">
    <cfRule type="expression" dxfId="613" priority="951">
      <formula>$B3577&lt;&gt;""</formula>
    </cfRule>
  </conditionalFormatting>
  <conditionalFormatting sqref="B3581">
    <cfRule type="expression" dxfId="612" priority="948">
      <formula>B3577&lt;&gt;""</formula>
    </cfRule>
  </conditionalFormatting>
  <conditionalFormatting sqref="F3581">
    <cfRule type="expression" dxfId="611" priority="945">
      <formula>F3577&lt;&gt;""</formula>
    </cfRule>
  </conditionalFormatting>
  <conditionalFormatting sqref="C3577:C3581">
    <cfRule type="expression" dxfId="610" priority="944">
      <formula>D3577&lt;&gt;""</formula>
    </cfRule>
  </conditionalFormatting>
  <conditionalFormatting sqref="E3577:E3581">
    <cfRule type="expression" dxfId="609" priority="943">
      <formula>F3577&lt;&gt;""</formula>
    </cfRule>
  </conditionalFormatting>
  <conditionalFormatting sqref="G3577:G3581">
    <cfRule type="expression" dxfId="608" priority="942">
      <formula>H3577&lt;&gt;""</formula>
    </cfRule>
  </conditionalFormatting>
  <conditionalFormatting sqref="H3581">
    <cfRule type="expression" dxfId="607" priority="939">
      <formula>H3577&lt;&gt;""</formula>
    </cfRule>
  </conditionalFormatting>
  <conditionalFormatting sqref="D3553">
    <cfRule type="expression" dxfId="606" priority="936">
      <formula>D3549&lt;&gt;""</formula>
    </cfRule>
  </conditionalFormatting>
  <conditionalFormatting sqref="I3538:I3539 C3539:H3539 B3539:B3540">
    <cfRule type="expression" dxfId="605" priority="935">
      <formula>$B3541&lt;&gt;""</formula>
    </cfRule>
  </conditionalFormatting>
  <conditionalFormatting sqref="D3545">
    <cfRule type="expression" dxfId="604" priority="932">
      <formula>D3541&lt;&gt;""</formula>
    </cfRule>
  </conditionalFormatting>
  <conditionalFormatting sqref="C3541:C3545">
    <cfRule type="expression" dxfId="603" priority="931">
      <formula>D3541&lt;&gt;""</formula>
    </cfRule>
  </conditionalFormatting>
  <conditionalFormatting sqref="E3541:E3545">
    <cfRule type="expression" dxfId="602" priority="930">
      <formula>F3541&lt;&gt;""</formula>
    </cfRule>
  </conditionalFormatting>
  <conditionalFormatting sqref="G3541:G3545">
    <cfRule type="expression" dxfId="601" priority="929">
      <formula>H3541&lt;&gt;""</formula>
    </cfRule>
  </conditionalFormatting>
  <conditionalFormatting sqref="I3541:I3545">
    <cfRule type="expression" dxfId="600" priority="928">
      <formula>B3549&lt;&gt;""</formula>
    </cfRule>
  </conditionalFormatting>
  <conditionalFormatting sqref="B3545">
    <cfRule type="expression" dxfId="599" priority="925">
      <formula>B3541&lt;&gt;""</formula>
    </cfRule>
  </conditionalFormatting>
  <conditionalFormatting sqref="F3545">
    <cfRule type="expression" dxfId="598" priority="922">
      <formula>F3541&lt;&gt;""</formula>
    </cfRule>
  </conditionalFormatting>
  <conditionalFormatting sqref="H3545">
    <cfRule type="expression" dxfId="597" priority="919">
      <formula>H3541&lt;&gt;""</formula>
    </cfRule>
  </conditionalFormatting>
  <conditionalFormatting sqref="F3537">
    <cfRule type="expression" dxfId="596" priority="916">
      <formula>F3533&lt;&gt;""</formula>
    </cfRule>
  </conditionalFormatting>
  <conditionalFormatting sqref="E3533:E3537">
    <cfRule type="expression" dxfId="595" priority="915">
      <formula>F3533&lt;&gt;""</formula>
    </cfRule>
  </conditionalFormatting>
  <conditionalFormatting sqref="G3533:G3537">
    <cfRule type="expression" dxfId="594" priority="914">
      <formula>H3533&lt;&gt;""</formula>
    </cfRule>
  </conditionalFormatting>
  <conditionalFormatting sqref="I3533:I3537">
    <cfRule type="expression" dxfId="593" priority="913">
      <formula>B3541&lt;&gt;""</formula>
    </cfRule>
  </conditionalFormatting>
  <conditionalFormatting sqref="H3537">
    <cfRule type="expression" dxfId="592" priority="910">
      <formula>H3533&lt;&gt;""</formula>
    </cfRule>
  </conditionalFormatting>
  <conditionalFormatting sqref="I3546:I3547 C3547:H3547 B3547:B3548">
    <cfRule type="expression" dxfId="591" priority="909">
      <formula>$B3549&lt;&gt;""</formula>
    </cfRule>
  </conditionalFormatting>
  <conditionalFormatting sqref="B3553">
    <cfRule type="expression" dxfId="590" priority="906">
      <formula>B3549&lt;&gt;""</formula>
    </cfRule>
  </conditionalFormatting>
  <conditionalFormatting sqref="F3553">
    <cfRule type="expression" dxfId="589" priority="903">
      <formula>F3549&lt;&gt;""</formula>
    </cfRule>
  </conditionalFormatting>
  <conditionalFormatting sqref="C3549:C3553">
    <cfRule type="expression" dxfId="588" priority="902">
      <formula>D3549&lt;&gt;""</formula>
    </cfRule>
  </conditionalFormatting>
  <conditionalFormatting sqref="E3549:E3553">
    <cfRule type="expression" dxfId="587" priority="901">
      <formula>F3549&lt;&gt;""</formula>
    </cfRule>
  </conditionalFormatting>
  <conditionalFormatting sqref="G3549:G3553">
    <cfRule type="expression" dxfId="586" priority="900">
      <formula>H3549&lt;&gt;""</formula>
    </cfRule>
  </conditionalFormatting>
  <conditionalFormatting sqref="H3553">
    <cfRule type="expression" dxfId="585" priority="897">
      <formula>H3549&lt;&gt;""</formula>
    </cfRule>
  </conditionalFormatting>
  <conditionalFormatting sqref="D3525">
    <cfRule type="expression" dxfId="584" priority="894">
      <formula>D3521&lt;&gt;""</formula>
    </cfRule>
  </conditionalFormatting>
  <conditionalFormatting sqref="I3510:I3511 C3511:H3511 B3511:B3512">
    <cfRule type="expression" dxfId="583" priority="893">
      <formula>$B3513&lt;&gt;""</formula>
    </cfRule>
  </conditionalFormatting>
  <conditionalFormatting sqref="D3517">
    <cfRule type="expression" dxfId="582" priority="890">
      <formula>D3513&lt;&gt;""</formula>
    </cfRule>
  </conditionalFormatting>
  <conditionalFormatting sqref="C3513:C3517">
    <cfRule type="expression" dxfId="581" priority="889">
      <formula>D3513&lt;&gt;""</formula>
    </cfRule>
  </conditionalFormatting>
  <conditionalFormatting sqref="E3513:E3517">
    <cfRule type="expression" dxfId="580" priority="888">
      <formula>F3513&lt;&gt;""</formula>
    </cfRule>
  </conditionalFormatting>
  <conditionalFormatting sqref="G3513:G3517">
    <cfRule type="expression" dxfId="579" priority="887">
      <formula>H3513&lt;&gt;""</formula>
    </cfRule>
  </conditionalFormatting>
  <conditionalFormatting sqref="I3513:I3517">
    <cfRule type="expression" dxfId="578" priority="886">
      <formula>B3521&lt;&gt;""</formula>
    </cfRule>
  </conditionalFormatting>
  <conditionalFormatting sqref="B3517">
    <cfRule type="expression" dxfId="577" priority="883">
      <formula>B3513&lt;&gt;""</formula>
    </cfRule>
  </conditionalFormatting>
  <conditionalFormatting sqref="F3517">
    <cfRule type="expression" dxfId="576" priority="880">
      <formula>F3513&lt;&gt;""</formula>
    </cfRule>
  </conditionalFormatting>
  <conditionalFormatting sqref="H3517">
    <cfRule type="expression" dxfId="575" priority="877">
      <formula>H3513&lt;&gt;""</formula>
    </cfRule>
  </conditionalFormatting>
  <conditionalFormatting sqref="F3509">
    <cfRule type="expression" dxfId="574" priority="874">
      <formula>F3505&lt;&gt;""</formula>
    </cfRule>
  </conditionalFormatting>
  <conditionalFormatting sqref="E3505:E3509">
    <cfRule type="expression" dxfId="573" priority="873">
      <formula>F3505&lt;&gt;""</formula>
    </cfRule>
  </conditionalFormatting>
  <conditionalFormatting sqref="G3505:G3509">
    <cfRule type="expression" dxfId="572" priority="872">
      <formula>H3505&lt;&gt;""</formula>
    </cfRule>
  </conditionalFormatting>
  <conditionalFormatting sqref="I3505:I3509">
    <cfRule type="expression" dxfId="571" priority="871">
      <formula>B3513&lt;&gt;""</formula>
    </cfRule>
  </conditionalFormatting>
  <conditionalFormatting sqref="H3509">
    <cfRule type="expression" dxfId="570" priority="868">
      <formula>H3505&lt;&gt;""</formula>
    </cfRule>
  </conditionalFormatting>
  <conditionalFormatting sqref="I3518:I3519 C3519:H3519 B3519:B3520">
    <cfRule type="expression" dxfId="569" priority="867">
      <formula>$B3521&lt;&gt;""</formula>
    </cfRule>
  </conditionalFormatting>
  <conditionalFormatting sqref="B3525">
    <cfRule type="expression" dxfId="568" priority="864">
      <formula>B3521&lt;&gt;""</formula>
    </cfRule>
  </conditionalFormatting>
  <conditionalFormatting sqref="F3525">
    <cfRule type="expression" dxfId="567" priority="861">
      <formula>F3521&lt;&gt;""</formula>
    </cfRule>
  </conditionalFormatting>
  <conditionalFormatting sqref="C3521:C3525">
    <cfRule type="expression" dxfId="566" priority="860">
      <formula>D3521&lt;&gt;""</formula>
    </cfRule>
  </conditionalFormatting>
  <conditionalFormatting sqref="E3521:E3525">
    <cfRule type="expression" dxfId="565" priority="859">
      <formula>F3521&lt;&gt;""</formula>
    </cfRule>
  </conditionalFormatting>
  <conditionalFormatting sqref="G3521:G3525">
    <cfRule type="expression" dxfId="564" priority="858">
      <formula>H3521&lt;&gt;""</formula>
    </cfRule>
  </conditionalFormatting>
  <conditionalFormatting sqref="H3525">
    <cfRule type="expression" dxfId="563" priority="855">
      <formula>H3521&lt;&gt;""</formula>
    </cfRule>
  </conditionalFormatting>
  <conditionalFormatting sqref="D3497">
    <cfRule type="expression" dxfId="562" priority="852">
      <formula>D3493&lt;&gt;""</formula>
    </cfRule>
  </conditionalFormatting>
  <conditionalFormatting sqref="I3482:I3483 C3483:H3483 B3483:B3484">
    <cfRule type="expression" dxfId="561" priority="851">
      <formula>$B3485&lt;&gt;""</formula>
    </cfRule>
  </conditionalFormatting>
  <conditionalFormatting sqref="D3489">
    <cfRule type="expression" dxfId="560" priority="848">
      <formula>D3485&lt;&gt;""</formula>
    </cfRule>
  </conditionalFormatting>
  <conditionalFormatting sqref="C3485:C3489">
    <cfRule type="expression" dxfId="559" priority="847">
      <formula>D3485&lt;&gt;""</formula>
    </cfRule>
  </conditionalFormatting>
  <conditionalFormatting sqref="E3485:E3489">
    <cfRule type="expression" dxfId="558" priority="846">
      <formula>F3485&lt;&gt;""</formula>
    </cfRule>
  </conditionalFormatting>
  <conditionalFormatting sqref="G3485:G3489">
    <cfRule type="expression" dxfId="557" priority="845">
      <formula>H3485&lt;&gt;""</formula>
    </cfRule>
  </conditionalFormatting>
  <conditionalFormatting sqref="I3485:I3489">
    <cfRule type="expression" dxfId="556" priority="844">
      <formula>B3493&lt;&gt;""</formula>
    </cfRule>
  </conditionalFormatting>
  <conditionalFormatting sqref="B3489">
    <cfRule type="expression" dxfId="555" priority="841">
      <formula>B3485&lt;&gt;""</formula>
    </cfRule>
  </conditionalFormatting>
  <conditionalFormatting sqref="F3489">
    <cfRule type="expression" dxfId="554" priority="838">
      <formula>F3485&lt;&gt;""</formula>
    </cfRule>
  </conditionalFormatting>
  <conditionalFormatting sqref="H3489">
    <cfRule type="expression" dxfId="553" priority="835">
      <formula>H3485&lt;&gt;""</formula>
    </cfRule>
  </conditionalFormatting>
  <conditionalFormatting sqref="F3481">
    <cfRule type="expression" dxfId="552" priority="832">
      <formula>F3477&lt;&gt;""</formula>
    </cfRule>
  </conditionalFormatting>
  <conditionalFormatting sqref="E3477:E3481">
    <cfRule type="expression" dxfId="551" priority="831">
      <formula>F3477&lt;&gt;""</formula>
    </cfRule>
  </conditionalFormatting>
  <conditionalFormatting sqref="G3477:G3481">
    <cfRule type="expression" dxfId="550" priority="830">
      <formula>H3477&lt;&gt;""</formula>
    </cfRule>
  </conditionalFormatting>
  <conditionalFormatting sqref="I3477:I3481">
    <cfRule type="expression" dxfId="549" priority="829">
      <formula>B3485&lt;&gt;""</formula>
    </cfRule>
  </conditionalFormatting>
  <conditionalFormatting sqref="H3481">
    <cfRule type="expression" dxfId="548" priority="826">
      <formula>H3477&lt;&gt;""</formula>
    </cfRule>
  </conditionalFormatting>
  <conditionalFormatting sqref="I3490:I3491 C3491:H3491 B3491:B3492">
    <cfRule type="expression" dxfId="547" priority="825">
      <formula>$B3493&lt;&gt;""</formula>
    </cfRule>
  </conditionalFormatting>
  <conditionalFormatting sqref="B3497">
    <cfRule type="expression" dxfId="546" priority="822">
      <formula>B3493&lt;&gt;""</formula>
    </cfRule>
  </conditionalFormatting>
  <conditionalFormatting sqref="F3497">
    <cfRule type="expression" dxfId="545" priority="819">
      <formula>F3493&lt;&gt;""</formula>
    </cfRule>
  </conditionalFormatting>
  <conditionalFormatting sqref="C3493:C3497">
    <cfRule type="expression" dxfId="544" priority="818">
      <formula>D3493&lt;&gt;""</formula>
    </cfRule>
  </conditionalFormatting>
  <conditionalFormatting sqref="E3493:E3497">
    <cfRule type="expression" dxfId="543" priority="817">
      <formula>F3493&lt;&gt;""</formula>
    </cfRule>
  </conditionalFormatting>
  <conditionalFormatting sqref="G3493:G3497">
    <cfRule type="expression" dxfId="542" priority="816">
      <formula>H3493&lt;&gt;""</formula>
    </cfRule>
  </conditionalFormatting>
  <conditionalFormatting sqref="H3497">
    <cfRule type="expression" dxfId="541" priority="813">
      <formula>H3493&lt;&gt;""</formula>
    </cfRule>
  </conditionalFormatting>
  <conditionalFormatting sqref="D3469">
    <cfRule type="expression" dxfId="540" priority="810">
      <formula>D3465&lt;&gt;""</formula>
    </cfRule>
  </conditionalFormatting>
  <conditionalFormatting sqref="I3454:I3455 C3455:H3455 B3455:B3456">
    <cfRule type="expression" dxfId="539" priority="809">
      <formula>$B3457&lt;&gt;""</formula>
    </cfRule>
  </conditionalFormatting>
  <conditionalFormatting sqref="D3461">
    <cfRule type="expression" dxfId="538" priority="806">
      <formula>D3457&lt;&gt;""</formula>
    </cfRule>
  </conditionalFormatting>
  <conditionalFormatting sqref="C3457:C3461">
    <cfRule type="expression" dxfId="537" priority="805">
      <formula>D3457&lt;&gt;""</formula>
    </cfRule>
  </conditionalFormatting>
  <conditionalFormatting sqref="E3457:E3461">
    <cfRule type="expression" dxfId="536" priority="804">
      <formula>F3457&lt;&gt;""</formula>
    </cfRule>
  </conditionalFormatting>
  <conditionalFormatting sqref="G3457:G3461">
    <cfRule type="expression" dxfId="535" priority="803">
      <formula>H3457&lt;&gt;""</formula>
    </cfRule>
  </conditionalFormatting>
  <conditionalFormatting sqref="I3457:I3461">
    <cfRule type="expression" dxfId="534" priority="802">
      <formula>B3465&lt;&gt;""</formula>
    </cfRule>
  </conditionalFormatting>
  <conditionalFormatting sqref="B3461">
    <cfRule type="expression" dxfId="533" priority="799">
      <formula>B3457&lt;&gt;""</formula>
    </cfRule>
  </conditionalFormatting>
  <conditionalFormatting sqref="F3461">
    <cfRule type="expression" dxfId="532" priority="796">
      <formula>F3457&lt;&gt;""</formula>
    </cfRule>
  </conditionalFormatting>
  <conditionalFormatting sqref="H3461">
    <cfRule type="expression" dxfId="531" priority="793">
      <formula>H3457&lt;&gt;""</formula>
    </cfRule>
  </conditionalFormatting>
  <conditionalFormatting sqref="F3453">
    <cfRule type="expression" dxfId="530" priority="790">
      <formula>F3449&lt;&gt;""</formula>
    </cfRule>
  </conditionalFormatting>
  <conditionalFormatting sqref="E3449:E3453">
    <cfRule type="expression" dxfId="529" priority="789">
      <formula>F3449&lt;&gt;""</formula>
    </cfRule>
  </conditionalFormatting>
  <conditionalFormatting sqref="G3449:G3453">
    <cfRule type="expression" dxfId="528" priority="788">
      <formula>H3449&lt;&gt;""</formula>
    </cfRule>
  </conditionalFormatting>
  <conditionalFormatting sqref="I3449:I3453">
    <cfRule type="expression" dxfId="527" priority="787">
      <formula>B3457&lt;&gt;""</formula>
    </cfRule>
  </conditionalFormatting>
  <conditionalFormatting sqref="H3453">
    <cfRule type="expression" dxfId="526" priority="784">
      <formula>H3449&lt;&gt;""</formula>
    </cfRule>
  </conditionalFormatting>
  <conditionalFormatting sqref="I3462:I3463 C3463:H3463 B3463:B3464">
    <cfRule type="expression" dxfId="525" priority="783">
      <formula>$B3465&lt;&gt;""</formula>
    </cfRule>
  </conditionalFormatting>
  <conditionalFormatting sqref="B3469">
    <cfRule type="expression" dxfId="524" priority="780">
      <formula>B3465&lt;&gt;""</formula>
    </cfRule>
  </conditionalFormatting>
  <conditionalFormatting sqref="F3469">
    <cfRule type="expression" dxfId="523" priority="777">
      <formula>F3465&lt;&gt;""</formula>
    </cfRule>
  </conditionalFormatting>
  <conditionalFormatting sqref="C3465:C3469">
    <cfRule type="expression" dxfId="522" priority="776">
      <formula>D3465&lt;&gt;""</formula>
    </cfRule>
  </conditionalFormatting>
  <conditionalFormatting sqref="E3465:E3469">
    <cfRule type="expression" dxfId="521" priority="775">
      <formula>F3465&lt;&gt;""</formula>
    </cfRule>
  </conditionalFormatting>
  <conditionalFormatting sqref="G3465:G3469">
    <cfRule type="expression" dxfId="520" priority="774">
      <formula>H3465&lt;&gt;""</formula>
    </cfRule>
  </conditionalFormatting>
  <conditionalFormatting sqref="H3469">
    <cfRule type="expression" dxfId="519" priority="771">
      <formula>H3465&lt;&gt;""</formula>
    </cfRule>
  </conditionalFormatting>
  <conditionalFormatting sqref="D3441">
    <cfRule type="expression" dxfId="518" priority="768">
      <formula>D3437&lt;&gt;""</formula>
    </cfRule>
  </conditionalFormatting>
  <conditionalFormatting sqref="I3426:I3427 C3427:H3427 B3427:B3428">
    <cfRule type="expression" dxfId="517" priority="767">
      <formula>$B3429&lt;&gt;""</formula>
    </cfRule>
  </conditionalFormatting>
  <conditionalFormatting sqref="D3433">
    <cfRule type="expression" dxfId="516" priority="764">
      <formula>D3429&lt;&gt;""</formula>
    </cfRule>
  </conditionalFormatting>
  <conditionalFormatting sqref="C3429:C3433">
    <cfRule type="expression" dxfId="515" priority="763">
      <formula>D3429&lt;&gt;""</formula>
    </cfRule>
  </conditionalFormatting>
  <conditionalFormatting sqref="E3429:E3433">
    <cfRule type="expression" dxfId="514" priority="762">
      <formula>F3429&lt;&gt;""</formula>
    </cfRule>
  </conditionalFormatting>
  <conditionalFormatting sqref="G3429:G3433">
    <cfRule type="expression" dxfId="513" priority="761">
      <formula>H3429&lt;&gt;""</formula>
    </cfRule>
  </conditionalFormatting>
  <conditionalFormatting sqref="I3429:I3433">
    <cfRule type="expression" dxfId="512" priority="760">
      <formula>B3437&lt;&gt;""</formula>
    </cfRule>
  </conditionalFormatting>
  <conditionalFormatting sqref="B3433">
    <cfRule type="expression" dxfId="511" priority="757">
      <formula>B3429&lt;&gt;""</formula>
    </cfRule>
  </conditionalFormatting>
  <conditionalFormatting sqref="F3433">
    <cfRule type="expression" dxfId="510" priority="754">
      <formula>F3429&lt;&gt;""</formula>
    </cfRule>
  </conditionalFormatting>
  <conditionalFormatting sqref="H3433">
    <cfRule type="expression" dxfId="509" priority="751">
      <formula>H3429&lt;&gt;""</formula>
    </cfRule>
  </conditionalFormatting>
  <conditionalFormatting sqref="F3425">
    <cfRule type="expression" dxfId="508" priority="748">
      <formula>F3421&lt;&gt;""</formula>
    </cfRule>
  </conditionalFormatting>
  <conditionalFormatting sqref="E3421:E3425">
    <cfRule type="expression" dxfId="507" priority="747">
      <formula>F3421&lt;&gt;""</formula>
    </cfRule>
  </conditionalFormatting>
  <conditionalFormatting sqref="G3421:G3425">
    <cfRule type="expression" dxfId="506" priority="746">
      <formula>H3421&lt;&gt;""</formula>
    </cfRule>
  </conditionalFormatting>
  <conditionalFormatting sqref="I3421:I3425">
    <cfRule type="expression" dxfId="505" priority="745">
      <formula>B3429&lt;&gt;""</formula>
    </cfRule>
  </conditionalFormatting>
  <conditionalFormatting sqref="H3425">
    <cfRule type="expression" dxfId="504" priority="742">
      <formula>H3421&lt;&gt;""</formula>
    </cfRule>
  </conditionalFormatting>
  <conditionalFormatting sqref="I3434:I3435 C3435:H3435 B3435:B3436">
    <cfRule type="expression" dxfId="503" priority="741">
      <formula>$B3437&lt;&gt;""</formula>
    </cfRule>
  </conditionalFormatting>
  <conditionalFormatting sqref="B3441">
    <cfRule type="expression" dxfId="502" priority="738">
      <formula>B3437&lt;&gt;""</formula>
    </cfRule>
  </conditionalFormatting>
  <conditionalFormatting sqref="F3441">
    <cfRule type="expression" dxfId="501" priority="735">
      <formula>F3437&lt;&gt;""</formula>
    </cfRule>
  </conditionalFormatting>
  <conditionalFormatting sqref="C3437:C3441">
    <cfRule type="expression" dxfId="500" priority="734">
      <formula>D3437&lt;&gt;""</formula>
    </cfRule>
  </conditionalFormatting>
  <conditionalFormatting sqref="E3437:E3441">
    <cfRule type="expression" dxfId="499" priority="733">
      <formula>F3437&lt;&gt;""</formula>
    </cfRule>
  </conditionalFormatting>
  <conditionalFormatting sqref="G3437:G3441">
    <cfRule type="expression" dxfId="498" priority="732">
      <formula>H3437&lt;&gt;""</formula>
    </cfRule>
  </conditionalFormatting>
  <conditionalFormatting sqref="H3441">
    <cfRule type="expression" dxfId="497" priority="729">
      <formula>H3437&lt;&gt;""</formula>
    </cfRule>
  </conditionalFormatting>
  <conditionalFormatting sqref="D3413">
    <cfRule type="expression" dxfId="496" priority="726">
      <formula>D3409&lt;&gt;""</formula>
    </cfRule>
  </conditionalFormatting>
  <conditionalFormatting sqref="I3398:I3399 C3399:H3399 B3399:B3400">
    <cfRule type="expression" dxfId="495" priority="725">
      <formula>$B3401&lt;&gt;""</formula>
    </cfRule>
  </conditionalFormatting>
  <conditionalFormatting sqref="D3405">
    <cfRule type="expression" dxfId="494" priority="722">
      <formula>D3401&lt;&gt;""</formula>
    </cfRule>
  </conditionalFormatting>
  <conditionalFormatting sqref="C3401:C3405">
    <cfRule type="expression" dxfId="493" priority="721">
      <formula>D3401&lt;&gt;""</formula>
    </cfRule>
  </conditionalFormatting>
  <conditionalFormatting sqref="E3401:E3405">
    <cfRule type="expression" dxfId="492" priority="720">
      <formula>F3401&lt;&gt;""</formula>
    </cfRule>
  </conditionalFormatting>
  <conditionalFormatting sqref="G3401:G3405">
    <cfRule type="expression" dxfId="491" priority="719">
      <formula>H3401&lt;&gt;""</formula>
    </cfRule>
  </conditionalFormatting>
  <conditionalFormatting sqref="I3401:I3405">
    <cfRule type="expression" dxfId="490" priority="718">
      <formula>B3409&lt;&gt;""</formula>
    </cfRule>
  </conditionalFormatting>
  <conditionalFormatting sqref="B3405">
    <cfRule type="expression" dxfId="489" priority="715">
      <formula>B3401&lt;&gt;""</formula>
    </cfRule>
  </conditionalFormatting>
  <conditionalFormatting sqref="F3405">
    <cfRule type="expression" dxfId="488" priority="712">
      <formula>F3401&lt;&gt;""</formula>
    </cfRule>
  </conditionalFormatting>
  <conditionalFormatting sqref="H3405">
    <cfRule type="expression" dxfId="487" priority="709">
      <formula>H3401&lt;&gt;""</formula>
    </cfRule>
  </conditionalFormatting>
  <conditionalFormatting sqref="F3397">
    <cfRule type="expression" dxfId="486" priority="706">
      <formula>F3393&lt;&gt;""</formula>
    </cfRule>
  </conditionalFormatting>
  <conditionalFormatting sqref="E3393:E3397">
    <cfRule type="expression" dxfId="485" priority="705">
      <formula>F3393&lt;&gt;""</formula>
    </cfRule>
  </conditionalFormatting>
  <conditionalFormatting sqref="G3393:G3397">
    <cfRule type="expression" dxfId="484" priority="704">
      <formula>H3393&lt;&gt;""</formula>
    </cfRule>
  </conditionalFormatting>
  <conditionalFormatting sqref="I3393:I3397">
    <cfRule type="expression" dxfId="483" priority="703">
      <formula>B3401&lt;&gt;""</formula>
    </cfRule>
  </conditionalFormatting>
  <conditionalFormatting sqref="H3397">
    <cfRule type="expression" dxfId="482" priority="700">
      <formula>H3393&lt;&gt;""</formula>
    </cfRule>
  </conditionalFormatting>
  <conditionalFormatting sqref="I3406:I3407 C3407:H3407 B3407:B3408">
    <cfRule type="expression" dxfId="481" priority="699">
      <formula>$B3409&lt;&gt;""</formula>
    </cfRule>
  </conditionalFormatting>
  <conditionalFormatting sqref="B3413">
    <cfRule type="expression" dxfId="480" priority="696">
      <formula>B3409&lt;&gt;""</formula>
    </cfRule>
  </conditionalFormatting>
  <conditionalFormatting sqref="F3413">
    <cfRule type="expression" dxfId="479" priority="693">
      <formula>F3409&lt;&gt;""</formula>
    </cfRule>
  </conditionalFormatting>
  <conditionalFormatting sqref="C3409:C3413">
    <cfRule type="expression" dxfId="478" priority="692">
      <formula>D3409&lt;&gt;""</formula>
    </cfRule>
  </conditionalFormatting>
  <conditionalFormatting sqref="E3409:E3413">
    <cfRule type="expression" dxfId="477" priority="691">
      <formula>F3409&lt;&gt;""</formula>
    </cfRule>
  </conditionalFormatting>
  <conditionalFormatting sqref="G3409:G3413">
    <cfRule type="expression" dxfId="476" priority="690">
      <formula>H3409&lt;&gt;""</formula>
    </cfRule>
  </conditionalFormatting>
  <conditionalFormatting sqref="H3413">
    <cfRule type="expression" dxfId="475" priority="687">
      <formula>H3409&lt;&gt;""</formula>
    </cfRule>
  </conditionalFormatting>
  <conditionalFormatting sqref="B3397">
    <cfRule type="expression" dxfId="474" priority="684">
      <formula>B3393&lt;&gt;""</formula>
    </cfRule>
  </conditionalFormatting>
  <conditionalFormatting sqref="C3393:C3397">
    <cfRule type="expression" dxfId="473" priority="683">
      <formula>D3393&lt;&gt;""</formula>
    </cfRule>
  </conditionalFormatting>
  <conditionalFormatting sqref="D3397">
    <cfRule type="expression" dxfId="472" priority="680">
      <formula>D3393&lt;&gt;""</formula>
    </cfRule>
  </conditionalFormatting>
  <conditionalFormatting sqref="B3425">
    <cfRule type="expression" dxfId="471" priority="677">
      <formula>B3421&lt;&gt;""</formula>
    </cfRule>
  </conditionalFormatting>
  <conditionalFormatting sqref="C3421:C3425">
    <cfRule type="expression" dxfId="470" priority="676">
      <formula>D3421&lt;&gt;""</formula>
    </cfRule>
  </conditionalFormatting>
  <conditionalFormatting sqref="D3425">
    <cfRule type="expression" dxfId="469" priority="673">
      <formula>D3421&lt;&gt;""</formula>
    </cfRule>
  </conditionalFormatting>
  <conditionalFormatting sqref="B3453">
    <cfRule type="expression" dxfId="468" priority="670">
      <formula>B3449&lt;&gt;""</formula>
    </cfRule>
  </conditionalFormatting>
  <conditionalFormatting sqref="C3449:C3453">
    <cfRule type="expression" dxfId="467" priority="669">
      <formula>D3449&lt;&gt;""</formula>
    </cfRule>
  </conditionalFormatting>
  <conditionalFormatting sqref="D3453">
    <cfRule type="expression" dxfId="466" priority="666">
      <formula>D3449&lt;&gt;""</formula>
    </cfRule>
  </conditionalFormatting>
  <conditionalFormatting sqref="B3481">
    <cfRule type="expression" dxfId="465" priority="663">
      <formula>B3477&lt;&gt;""</formula>
    </cfRule>
  </conditionalFormatting>
  <conditionalFormatting sqref="C3477:C3481">
    <cfRule type="expression" dxfId="464" priority="662">
      <formula>D3477&lt;&gt;""</formula>
    </cfRule>
  </conditionalFormatting>
  <conditionalFormatting sqref="D3481">
    <cfRule type="expression" dxfId="463" priority="659">
      <formula>D3477&lt;&gt;""</formula>
    </cfRule>
  </conditionalFormatting>
  <conditionalFormatting sqref="B3509">
    <cfRule type="expression" dxfId="462" priority="656">
      <formula>B3505&lt;&gt;""</formula>
    </cfRule>
  </conditionalFormatting>
  <conditionalFormatting sqref="C3505:C3509">
    <cfRule type="expression" dxfId="461" priority="655">
      <formula>D3505&lt;&gt;""</formula>
    </cfRule>
  </conditionalFormatting>
  <conditionalFormatting sqref="D3509">
    <cfRule type="expression" dxfId="460" priority="652">
      <formula>D3505&lt;&gt;""</formula>
    </cfRule>
  </conditionalFormatting>
  <conditionalFormatting sqref="B3537">
    <cfRule type="expression" dxfId="459" priority="649">
      <formula>B3533&lt;&gt;""</formula>
    </cfRule>
  </conditionalFormatting>
  <conditionalFormatting sqref="C3533:C3537">
    <cfRule type="expression" dxfId="458" priority="648">
      <formula>D3533&lt;&gt;""</formula>
    </cfRule>
  </conditionalFormatting>
  <conditionalFormatting sqref="D3537">
    <cfRule type="expression" dxfId="457" priority="645">
      <formula>D3533&lt;&gt;""</formula>
    </cfRule>
  </conditionalFormatting>
  <conditionalFormatting sqref="B3565">
    <cfRule type="expression" dxfId="456" priority="642">
      <formula>B3561&lt;&gt;""</formula>
    </cfRule>
  </conditionalFormatting>
  <conditionalFormatting sqref="C3561:C3565">
    <cfRule type="expression" dxfId="455" priority="641">
      <formula>D3561&lt;&gt;""</formula>
    </cfRule>
  </conditionalFormatting>
  <conditionalFormatting sqref="D3565">
    <cfRule type="expression" dxfId="454" priority="638">
      <formula>D3561&lt;&gt;""</formula>
    </cfRule>
  </conditionalFormatting>
  <conditionalFormatting sqref="D3609">
    <cfRule type="expression" dxfId="453" priority="635">
      <formula>D3605&lt;&gt;""</formula>
    </cfRule>
  </conditionalFormatting>
  <conditionalFormatting sqref="D3601">
    <cfRule type="expression" dxfId="452" priority="632">
      <formula>D3597&lt;&gt;""</formula>
    </cfRule>
  </conditionalFormatting>
  <conditionalFormatting sqref="C3597:C3601">
    <cfRule type="expression" dxfId="451" priority="631">
      <formula>D3597&lt;&gt;""</formula>
    </cfRule>
  </conditionalFormatting>
  <conditionalFormatting sqref="E3597:E3601">
    <cfRule type="expression" dxfId="450" priority="630">
      <formula>F3597&lt;&gt;""</formula>
    </cfRule>
  </conditionalFormatting>
  <conditionalFormatting sqref="G3597:G3601">
    <cfRule type="expression" dxfId="449" priority="629">
      <formula>H3597&lt;&gt;""</formula>
    </cfRule>
  </conditionalFormatting>
  <conditionalFormatting sqref="I3597:I3601">
    <cfRule type="expression" dxfId="448" priority="628">
      <formula>B3605&lt;&gt;""</formula>
    </cfRule>
  </conditionalFormatting>
  <conditionalFormatting sqref="B3601">
    <cfRule type="expression" dxfId="447" priority="625">
      <formula>B3597&lt;&gt;""</formula>
    </cfRule>
  </conditionalFormatting>
  <conditionalFormatting sqref="F3601">
    <cfRule type="expression" dxfId="446" priority="622">
      <formula>F3597&lt;&gt;""</formula>
    </cfRule>
  </conditionalFormatting>
  <conditionalFormatting sqref="H3601">
    <cfRule type="expression" dxfId="445" priority="619">
      <formula>H3597&lt;&gt;""</formula>
    </cfRule>
  </conditionalFormatting>
  <conditionalFormatting sqref="F3593">
    <cfRule type="expression" dxfId="444" priority="616">
      <formula>F3589&lt;&gt;""</formula>
    </cfRule>
  </conditionalFormatting>
  <conditionalFormatting sqref="E3589:E3593">
    <cfRule type="expression" dxfId="443" priority="615">
      <formula>F3589&lt;&gt;""</formula>
    </cfRule>
  </conditionalFormatting>
  <conditionalFormatting sqref="G3589:G3593">
    <cfRule type="expression" dxfId="442" priority="614">
      <formula>H3589&lt;&gt;""</formula>
    </cfRule>
  </conditionalFormatting>
  <conditionalFormatting sqref="I3589:I3593">
    <cfRule type="expression" dxfId="441" priority="613">
      <formula>B3597&lt;&gt;""</formula>
    </cfRule>
  </conditionalFormatting>
  <conditionalFormatting sqref="H3593">
    <cfRule type="expression" dxfId="440" priority="610">
      <formula>H3589&lt;&gt;""</formula>
    </cfRule>
  </conditionalFormatting>
  <conditionalFormatting sqref="B3609">
    <cfRule type="expression" dxfId="439" priority="607">
      <formula>B3605&lt;&gt;""</formula>
    </cfRule>
  </conditionalFormatting>
  <conditionalFormatting sqref="F3609">
    <cfRule type="expression" dxfId="438" priority="604">
      <formula>F3605&lt;&gt;""</formula>
    </cfRule>
  </conditionalFormatting>
  <conditionalFormatting sqref="C3605:C3609">
    <cfRule type="expression" dxfId="437" priority="603">
      <formula>D3605&lt;&gt;""</formula>
    </cfRule>
  </conditionalFormatting>
  <conditionalFormatting sqref="E3605:E3609">
    <cfRule type="expression" dxfId="436" priority="602">
      <formula>F3605&lt;&gt;""</formula>
    </cfRule>
  </conditionalFormatting>
  <conditionalFormatting sqref="G3605:G3609">
    <cfRule type="expression" dxfId="435" priority="601">
      <formula>H3605&lt;&gt;""</formula>
    </cfRule>
  </conditionalFormatting>
  <conditionalFormatting sqref="H3609">
    <cfRule type="expression" dxfId="434" priority="598">
      <formula>H3605&lt;&gt;""</formula>
    </cfRule>
  </conditionalFormatting>
  <conditionalFormatting sqref="D3637">
    <cfRule type="expression" dxfId="433" priority="595">
      <formula>D3633&lt;&gt;""</formula>
    </cfRule>
  </conditionalFormatting>
  <conditionalFormatting sqref="D3629">
    <cfRule type="expression" dxfId="432" priority="592">
      <formula>D3625&lt;&gt;""</formula>
    </cfRule>
  </conditionalFormatting>
  <conditionalFormatting sqref="C3625:C3629">
    <cfRule type="expression" dxfId="431" priority="591">
      <formula>D3625&lt;&gt;""</formula>
    </cfRule>
  </conditionalFormatting>
  <conditionalFormatting sqref="E3625:E3629">
    <cfRule type="expression" dxfId="430" priority="590">
      <formula>F3625&lt;&gt;""</formula>
    </cfRule>
  </conditionalFormatting>
  <conditionalFormatting sqref="G3625:G3629">
    <cfRule type="expression" dxfId="429" priority="589">
      <formula>H3625&lt;&gt;""</formula>
    </cfRule>
  </conditionalFormatting>
  <conditionalFormatting sqref="I3625:I3629">
    <cfRule type="expression" dxfId="428" priority="588">
      <formula>B3633&lt;&gt;""</formula>
    </cfRule>
  </conditionalFormatting>
  <conditionalFormatting sqref="B3629">
    <cfRule type="expression" dxfId="427" priority="585">
      <formula>B3625&lt;&gt;""</formula>
    </cfRule>
  </conditionalFormatting>
  <conditionalFormatting sqref="F3629">
    <cfRule type="expression" dxfId="426" priority="582">
      <formula>F3625&lt;&gt;""</formula>
    </cfRule>
  </conditionalFormatting>
  <conditionalFormatting sqref="H3629">
    <cfRule type="expression" dxfId="425" priority="579">
      <formula>H3625&lt;&gt;""</formula>
    </cfRule>
  </conditionalFormatting>
  <conditionalFormatting sqref="F3621">
    <cfRule type="expression" dxfId="424" priority="576">
      <formula>F3617&lt;&gt;""</formula>
    </cfRule>
  </conditionalFormatting>
  <conditionalFormatting sqref="E3617:E3621">
    <cfRule type="expression" dxfId="423" priority="575">
      <formula>F3617&lt;&gt;""</formula>
    </cfRule>
  </conditionalFormatting>
  <conditionalFormatting sqref="G3617:G3621">
    <cfRule type="expression" dxfId="422" priority="574">
      <formula>H3617&lt;&gt;""</formula>
    </cfRule>
  </conditionalFormatting>
  <conditionalFormatting sqref="I3617:I3621">
    <cfRule type="expression" dxfId="421" priority="573">
      <formula>B3625&lt;&gt;""</formula>
    </cfRule>
  </conditionalFormatting>
  <conditionalFormatting sqref="H3621">
    <cfRule type="expression" dxfId="420" priority="570">
      <formula>H3617&lt;&gt;""</formula>
    </cfRule>
  </conditionalFormatting>
  <conditionalFormatting sqref="B3637">
    <cfRule type="expression" dxfId="419" priority="567">
      <formula>B3633&lt;&gt;""</formula>
    </cfRule>
  </conditionalFormatting>
  <conditionalFormatting sqref="F3637">
    <cfRule type="expression" dxfId="418" priority="564">
      <formula>F3633&lt;&gt;""</formula>
    </cfRule>
  </conditionalFormatting>
  <conditionalFormatting sqref="C3633:C3637">
    <cfRule type="expression" dxfId="417" priority="563">
      <formula>D3633&lt;&gt;""</formula>
    </cfRule>
  </conditionalFormatting>
  <conditionalFormatting sqref="E3633:E3637">
    <cfRule type="expression" dxfId="416" priority="562">
      <formula>F3633&lt;&gt;""</formula>
    </cfRule>
  </conditionalFormatting>
  <conditionalFormatting sqref="G3633:G3637">
    <cfRule type="expression" dxfId="415" priority="561">
      <formula>H3633&lt;&gt;""</formula>
    </cfRule>
  </conditionalFormatting>
  <conditionalFormatting sqref="H3637">
    <cfRule type="expression" dxfId="414" priority="558">
      <formula>H3633&lt;&gt;""</formula>
    </cfRule>
  </conditionalFormatting>
  <conditionalFormatting sqref="B3623:B3624 C3623:I3623 I3622">
    <cfRule type="expression" dxfId="413" priority="556">
      <formula>$B3625&lt;&gt;""</formula>
    </cfRule>
  </conditionalFormatting>
  <conditionalFormatting sqref="B3631:B3632 C3631:I3631 I3630">
    <cfRule type="expression" dxfId="412" priority="555">
      <formula>$B3633&lt;&gt;""</formula>
    </cfRule>
  </conditionalFormatting>
  <conditionalFormatting sqref="D3665">
    <cfRule type="expression" dxfId="411" priority="552">
      <formula>D3661&lt;&gt;""</formula>
    </cfRule>
  </conditionalFormatting>
  <conditionalFormatting sqref="D3657">
    <cfRule type="expression" dxfId="410" priority="549">
      <formula>D3653&lt;&gt;""</formula>
    </cfRule>
  </conditionalFormatting>
  <conditionalFormatting sqref="C3653:C3657">
    <cfRule type="expression" dxfId="409" priority="548">
      <formula>D3653&lt;&gt;""</formula>
    </cfRule>
  </conditionalFormatting>
  <conditionalFormatting sqref="E3653:E3657">
    <cfRule type="expression" dxfId="408" priority="547">
      <formula>F3653&lt;&gt;""</formula>
    </cfRule>
  </conditionalFormatting>
  <conditionalFormatting sqref="G3653:G3657">
    <cfRule type="expression" dxfId="407" priority="546">
      <formula>H3653&lt;&gt;""</formula>
    </cfRule>
  </conditionalFormatting>
  <conditionalFormatting sqref="I3653:I3657">
    <cfRule type="expression" dxfId="406" priority="545">
      <formula>B3661&lt;&gt;""</formula>
    </cfRule>
  </conditionalFormatting>
  <conditionalFormatting sqref="B3657">
    <cfRule type="expression" dxfId="405" priority="542">
      <formula>B3653&lt;&gt;""</formula>
    </cfRule>
  </conditionalFormatting>
  <conditionalFormatting sqref="F3657">
    <cfRule type="expression" dxfId="404" priority="539">
      <formula>F3653&lt;&gt;""</formula>
    </cfRule>
  </conditionalFormatting>
  <conditionalFormatting sqref="H3657">
    <cfRule type="expression" dxfId="403" priority="536">
      <formula>H3653&lt;&gt;""</formula>
    </cfRule>
  </conditionalFormatting>
  <conditionalFormatting sqref="F3649">
    <cfRule type="expression" dxfId="402" priority="533">
      <formula>F3645&lt;&gt;""</formula>
    </cfRule>
  </conditionalFormatting>
  <conditionalFormatting sqref="E3645:E3649">
    <cfRule type="expression" dxfId="401" priority="532">
      <formula>F3645&lt;&gt;""</formula>
    </cfRule>
  </conditionalFormatting>
  <conditionalFormatting sqref="G3645:G3649">
    <cfRule type="expression" dxfId="400" priority="531">
      <formula>H3645&lt;&gt;""</formula>
    </cfRule>
  </conditionalFormatting>
  <conditionalFormatting sqref="I3645:I3649">
    <cfRule type="expression" dxfId="399" priority="530">
      <formula>B3653&lt;&gt;""</formula>
    </cfRule>
  </conditionalFormatting>
  <conditionalFormatting sqref="H3649">
    <cfRule type="expression" dxfId="398" priority="527">
      <formula>H3645&lt;&gt;""</formula>
    </cfRule>
  </conditionalFormatting>
  <conditionalFormatting sqref="B3665">
    <cfRule type="expression" dxfId="397" priority="524">
      <formula>B3661&lt;&gt;""</formula>
    </cfRule>
  </conditionalFormatting>
  <conditionalFormatting sqref="F3665">
    <cfRule type="expression" dxfId="396" priority="521">
      <formula>F3661&lt;&gt;""</formula>
    </cfRule>
  </conditionalFormatting>
  <conditionalFormatting sqref="C3661:C3665">
    <cfRule type="expression" dxfId="395" priority="520">
      <formula>D3661&lt;&gt;""</formula>
    </cfRule>
  </conditionalFormatting>
  <conditionalFormatting sqref="E3661:E3665">
    <cfRule type="expression" dxfId="394" priority="519">
      <formula>F3661&lt;&gt;""</formula>
    </cfRule>
  </conditionalFormatting>
  <conditionalFormatting sqref="G3661:G3665">
    <cfRule type="expression" dxfId="393" priority="518">
      <formula>H3661&lt;&gt;""</formula>
    </cfRule>
  </conditionalFormatting>
  <conditionalFormatting sqref="H3665">
    <cfRule type="expression" dxfId="392" priority="515">
      <formula>H3661&lt;&gt;""</formula>
    </cfRule>
  </conditionalFormatting>
  <conditionalFormatting sqref="B3651:B3652 C3651:I3651 I3650">
    <cfRule type="expression" dxfId="391" priority="513">
      <formula>$B3653&lt;&gt;""</formula>
    </cfRule>
  </conditionalFormatting>
  <conditionalFormatting sqref="B3659:B3660 C3659:I3659 I3658">
    <cfRule type="expression" dxfId="390" priority="512">
      <formula>$B3661&lt;&gt;""</formula>
    </cfRule>
  </conditionalFormatting>
  <conditionalFormatting sqref="B3593">
    <cfRule type="expression" dxfId="389" priority="509">
      <formula>B3589&lt;&gt;""</formula>
    </cfRule>
  </conditionalFormatting>
  <conditionalFormatting sqref="C3589:C3593">
    <cfRule type="expression" dxfId="388" priority="508">
      <formula>D3589&lt;&gt;""</formula>
    </cfRule>
  </conditionalFormatting>
  <conditionalFormatting sqref="D3593">
    <cfRule type="expression" dxfId="387" priority="505">
      <formula>D3589&lt;&gt;""</formula>
    </cfRule>
  </conditionalFormatting>
  <conditionalFormatting sqref="B3621">
    <cfRule type="expression" dxfId="386" priority="503">
      <formula>B3617&lt;&gt;""</formula>
    </cfRule>
  </conditionalFormatting>
  <conditionalFormatting sqref="C3617:C3621">
    <cfRule type="expression" dxfId="385" priority="502">
      <formula>D3617&lt;&gt;""</formula>
    </cfRule>
  </conditionalFormatting>
  <conditionalFormatting sqref="D3621">
    <cfRule type="expression" dxfId="384" priority="499">
      <formula>D3617&lt;&gt;""</formula>
    </cfRule>
  </conditionalFormatting>
  <conditionalFormatting sqref="B3649">
    <cfRule type="expression" dxfId="383" priority="497">
      <formula>B3645&lt;&gt;""</formula>
    </cfRule>
  </conditionalFormatting>
  <conditionalFormatting sqref="C3645:C3649">
    <cfRule type="expression" dxfId="382" priority="496">
      <formula>D3645&lt;&gt;""</formula>
    </cfRule>
  </conditionalFormatting>
  <conditionalFormatting sqref="D3649">
    <cfRule type="expression" dxfId="381" priority="493">
      <formula>D3645&lt;&gt;""</formula>
    </cfRule>
  </conditionalFormatting>
  <conditionalFormatting sqref="B3603:B3604 C3603:I3603 I3602">
    <cfRule type="expression" dxfId="380" priority="492">
      <formula>$B3605&lt;&gt;""</formula>
    </cfRule>
  </conditionalFormatting>
  <conditionalFormatting sqref="B3595:B3596 C3595:I3595 I3594">
    <cfRule type="expression" dxfId="379" priority="491">
      <formula>$B3597&lt;&gt;""</formula>
    </cfRule>
  </conditionalFormatting>
  <conditionalFormatting sqref="D3857:D3861">
    <cfRule type="expression" dxfId="378" priority="490">
      <formula>D3857&lt;&gt;""</formula>
    </cfRule>
  </conditionalFormatting>
  <conditionalFormatting sqref="D3857">
    <cfRule type="expression" dxfId="377" priority="489">
      <formula>D3857&lt;&gt;""</formula>
    </cfRule>
  </conditionalFormatting>
  <conditionalFormatting sqref="D3861">
    <cfRule type="expression" dxfId="376" priority="488">
      <formula>D3857&lt;&gt;""</formula>
    </cfRule>
  </conditionalFormatting>
  <conditionalFormatting sqref="I3846:I3847 C3847:H3847 B3847:B3848">
    <cfRule type="expression" dxfId="375" priority="487">
      <formula>$B3849&lt;&gt;""</formula>
    </cfRule>
  </conditionalFormatting>
  <conditionalFormatting sqref="D3849:D3853">
    <cfRule type="expression" dxfId="374" priority="486">
      <formula>D3849&lt;&gt;""</formula>
    </cfRule>
  </conditionalFormatting>
  <conditionalFormatting sqref="D3849">
    <cfRule type="expression" dxfId="373" priority="485">
      <formula>D3849&lt;&gt;""</formula>
    </cfRule>
  </conditionalFormatting>
  <conditionalFormatting sqref="D3853">
    <cfRule type="expression" dxfId="372" priority="484">
      <formula>D3849&lt;&gt;""</formula>
    </cfRule>
  </conditionalFormatting>
  <conditionalFormatting sqref="C3849:C3853">
    <cfRule type="expression" dxfId="371" priority="483">
      <formula>D3849&lt;&gt;""</formula>
    </cfRule>
  </conditionalFormatting>
  <conditionalFormatting sqref="E3849:E3853">
    <cfRule type="expression" dxfId="370" priority="482">
      <formula>F3849&lt;&gt;""</formula>
    </cfRule>
  </conditionalFormatting>
  <conditionalFormatting sqref="G3849:G3853">
    <cfRule type="expression" dxfId="369" priority="481">
      <formula>H3849&lt;&gt;""</formula>
    </cfRule>
  </conditionalFormatting>
  <conditionalFormatting sqref="I3849:I3853">
    <cfRule type="expression" dxfId="368" priority="480">
      <formula>B3857&lt;&gt;""</formula>
    </cfRule>
  </conditionalFormatting>
  <conditionalFormatting sqref="B3849:B3853">
    <cfRule type="expression" dxfId="367" priority="479">
      <formula>B3849&lt;&gt;""</formula>
    </cfRule>
  </conditionalFormatting>
  <conditionalFormatting sqref="B3849">
    <cfRule type="expression" dxfId="366" priority="478">
      <formula>B3849&lt;&gt;""</formula>
    </cfRule>
  </conditionalFormatting>
  <conditionalFormatting sqref="B3853">
    <cfRule type="expression" dxfId="365" priority="477">
      <formula>B3849&lt;&gt;""</formula>
    </cfRule>
  </conditionalFormatting>
  <conditionalFormatting sqref="F3849:F3853">
    <cfRule type="expression" dxfId="364" priority="476">
      <formula>F3849&lt;&gt;""</formula>
    </cfRule>
  </conditionalFormatting>
  <conditionalFormatting sqref="F3849">
    <cfRule type="expression" dxfId="363" priority="475">
      <formula>F3849&lt;&gt;""</formula>
    </cfRule>
  </conditionalFormatting>
  <conditionalFormatting sqref="F3853">
    <cfRule type="expression" dxfId="362" priority="474">
      <formula>F3849&lt;&gt;""</formula>
    </cfRule>
  </conditionalFormatting>
  <conditionalFormatting sqref="H3849:H3853">
    <cfRule type="expression" dxfId="361" priority="473">
      <formula>H3849&lt;&gt;""</formula>
    </cfRule>
  </conditionalFormatting>
  <conditionalFormatting sqref="H3849">
    <cfRule type="expression" dxfId="360" priority="472">
      <formula>H3849&lt;&gt;""</formula>
    </cfRule>
  </conditionalFormatting>
  <conditionalFormatting sqref="H3853">
    <cfRule type="expression" dxfId="359" priority="471">
      <formula>H3849&lt;&gt;""</formula>
    </cfRule>
  </conditionalFormatting>
  <conditionalFormatting sqref="F3841:F3845">
    <cfRule type="expression" dxfId="358" priority="470">
      <formula>F3841&lt;&gt;""</formula>
    </cfRule>
  </conditionalFormatting>
  <conditionalFormatting sqref="F3841">
    <cfRule type="expression" dxfId="357" priority="469">
      <formula>F3841&lt;&gt;""</formula>
    </cfRule>
  </conditionalFormatting>
  <conditionalFormatting sqref="F3845">
    <cfRule type="expression" dxfId="356" priority="468">
      <formula>F3841&lt;&gt;""</formula>
    </cfRule>
  </conditionalFormatting>
  <conditionalFormatting sqref="E3841:E3845">
    <cfRule type="expression" dxfId="355" priority="467">
      <formula>F3841&lt;&gt;""</formula>
    </cfRule>
  </conditionalFormatting>
  <conditionalFormatting sqref="G3841:G3845">
    <cfRule type="expression" dxfId="354" priority="466">
      <formula>H3841&lt;&gt;""</formula>
    </cfRule>
  </conditionalFormatting>
  <conditionalFormatting sqref="I3841:I3845">
    <cfRule type="expression" dxfId="353" priority="465">
      <formula>B3849&lt;&gt;""</formula>
    </cfRule>
  </conditionalFormatting>
  <conditionalFormatting sqref="H3841:H3845">
    <cfRule type="expression" dxfId="352" priority="464">
      <formula>H3841&lt;&gt;""</formula>
    </cfRule>
  </conditionalFormatting>
  <conditionalFormatting sqref="H3841">
    <cfRule type="expression" dxfId="351" priority="463">
      <formula>H3841&lt;&gt;""</formula>
    </cfRule>
  </conditionalFormatting>
  <conditionalFormatting sqref="H3845">
    <cfRule type="expression" dxfId="350" priority="462">
      <formula>H3841&lt;&gt;""</formula>
    </cfRule>
  </conditionalFormatting>
  <conditionalFormatting sqref="I3854:I3855 C3855:H3855 B3855:B3856">
    <cfRule type="expression" dxfId="349" priority="461">
      <formula>$B3857&lt;&gt;""</formula>
    </cfRule>
  </conditionalFormatting>
  <conditionalFormatting sqref="B3857:B3861">
    <cfRule type="expression" dxfId="348" priority="460">
      <formula>B3857&lt;&gt;""</formula>
    </cfRule>
  </conditionalFormatting>
  <conditionalFormatting sqref="B3857">
    <cfRule type="expression" dxfId="347" priority="459">
      <formula>B3857&lt;&gt;""</formula>
    </cfRule>
  </conditionalFormatting>
  <conditionalFormatting sqref="B3861">
    <cfRule type="expression" dxfId="346" priority="458">
      <formula>B3857&lt;&gt;""</formula>
    </cfRule>
  </conditionalFormatting>
  <conditionalFormatting sqref="F3857:F3861">
    <cfRule type="expression" dxfId="345" priority="457">
      <formula>F3857&lt;&gt;""</formula>
    </cfRule>
  </conditionalFormatting>
  <conditionalFormatting sqref="F3857">
    <cfRule type="expression" dxfId="344" priority="456">
      <formula>F3857&lt;&gt;""</formula>
    </cfRule>
  </conditionalFormatting>
  <conditionalFormatting sqref="F3861">
    <cfRule type="expression" dxfId="343" priority="455">
      <formula>F3857&lt;&gt;""</formula>
    </cfRule>
  </conditionalFormatting>
  <conditionalFormatting sqref="C3857:C3861">
    <cfRule type="expression" dxfId="342" priority="454">
      <formula>D3857&lt;&gt;""</formula>
    </cfRule>
  </conditionalFormatting>
  <conditionalFormatting sqref="E3857:E3861">
    <cfRule type="expression" dxfId="341" priority="453">
      <formula>F3857&lt;&gt;""</formula>
    </cfRule>
  </conditionalFormatting>
  <conditionalFormatting sqref="G3857:G3861">
    <cfRule type="expression" dxfId="340" priority="452">
      <formula>H3857&lt;&gt;""</formula>
    </cfRule>
  </conditionalFormatting>
  <conditionalFormatting sqref="H3857:H3861">
    <cfRule type="expression" dxfId="339" priority="451">
      <formula>H3857&lt;&gt;""</formula>
    </cfRule>
  </conditionalFormatting>
  <conditionalFormatting sqref="H3857">
    <cfRule type="expression" dxfId="338" priority="450">
      <formula>H3857&lt;&gt;""</formula>
    </cfRule>
  </conditionalFormatting>
  <conditionalFormatting sqref="H3861">
    <cfRule type="expression" dxfId="337" priority="449">
      <formula>H3857&lt;&gt;""</formula>
    </cfRule>
  </conditionalFormatting>
  <conditionalFormatting sqref="I3820:I3821 C3821:H3821 B3821:B3822">
    <cfRule type="expression" dxfId="336" priority="445">
      <formula>$B3823&lt;&gt;""</formula>
    </cfRule>
  </conditionalFormatting>
  <conditionalFormatting sqref="D3827">
    <cfRule type="expression" dxfId="335" priority="442">
      <formula>D3823&lt;&gt;""</formula>
    </cfRule>
  </conditionalFormatting>
  <conditionalFormatting sqref="C3823:C3827">
    <cfRule type="expression" dxfId="334" priority="441">
      <formula>D3823&lt;&gt;""</formula>
    </cfRule>
  </conditionalFormatting>
  <conditionalFormatting sqref="E3823:E3827">
    <cfRule type="expression" dxfId="333" priority="440">
      <formula>F3823&lt;&gt;""</formula>
    </cfRule>
  </conditionalFormatting>
  <conditionalFormatting sqref="G3823:G3827">
    <cfRule type="expression" dxfId="332" priority="439">
      <formula>H3823&lt;&gt;""</formula>
    </cfRule>
  </conditionalFormatting>
  <conditionalFormatting sqref="B3827">
    <cfRule type="expression" dxfId="331" priority="435">
      <formula>B3823&lt;&gt;""</formula>
    </cfRule>
  </conditionalFormatting>
  <conditionalFormatting sqref="F3827">
    <cfRule type="expression" dxfId="330" priority="432">
      <formula>F3823&lt;&gt;""</formula>
    </cfRule>
  </conditionalFormatting>
  <conditionalFormatting sqref="H3827">
    <cfRule type="expression" dxfId="329" priority="429">
      <formula>H3823&lt;&gt;""</formula>
    </cfRule>
  </conditionalFormatting>
  <conditionalFormatting sqref="F3819">
    <cfRule type="expression" dxfId="328" priority="426">
      <formula>F3815&lt;&gt;""</formula>
    </cfRule>
  </conditionalFormatting>
  <conditionalFormatting sqref="E3815:E3819">
    <cfRule type="expression" dxfId="327" priority="425">
      <formula>F3815&lt;&gt;""</formula>
    </cfRule>
  </conditionalFormatting>
  <conditionalFormatting sqref="G3815:G3819">
    <cfRule type="expression" dxfId="326" priority="424">
      <formula>H3815&lt;&gt;""</formula>
    </cfRule>
  </conditionalFormatting>
  <conditionalFormatting sqref="I3815:I3819">
    <cfRule type="expression" dxfId="325" priority="423">
      <formula>B3823&lt;&gt;""</formula>
    </cfRule>
  </conditionalFormatting>
  <conditionalFormatting sqref="H3819">
    <cfRule type="expression" dxfId="324" priority="420">
      <formula>H3815&lt;&gt;""</formula>
    </cfRule>
  </conditionalFormatting>
  <conditionalFormatting sqref="I3828:I3829 C3829:H3829 B3829:B3830">
    <cfRule type="expression" dxfId="323" priority="419">
      <formula>$B3831&lt;&gt;""</formula>
    </cfRule>
  </conditionalFormatting>
  <conditionalFormatting sqref="D3807">
    <cfRule type="expression" dxfId="322" priority="404">
      <formula>D3803&lt;&gt;""</formula>
    </cfRule>
  </conditionalFormatting>
  <conditionalFormatting sqref="I3792:I3793 C3793:H3793 B3793:B3794">
    <cfRule type="expression" dxfId="321" priority="403">
      <formula>$B3795&lt;&gt;""</formula>
    </cfRule>
  </conditionalFormatting>
  <conditionalFormatting sqref="D3799">
    <cfRule type="expression" dxfId="320" priority="400">
      <formula>D3795&lt;&gt;""</formula>
    </cfRule>
  </conditionalFormatting>
  <conditionalFormatting sqref="C3795:C3799">
    <cfRule type="expression" dxfId="319" priority="399">
      <formula>D3795&lt;&gt;""</formula>
    </cfRule>
  </conditionalFormatting>
  <conditionalFormatting sqref="E3795:E3799">
    <cfRule type="expression" dxfId="318" priority="398">
      <formula>F3795&lt;&gt;""</formula>
    </cfRule>
  </conditionalFormatting>
  <conditionalFormatting sqref="G3795:G3799">
    <cfRule type="expression" dxfId="317" priority="397">
      <formula>H3795&lt;&gt;""</formula>
    </cfRule>
  </conditionalFormatting>
  <conditionalFormatting sqref="I3795:I3799">
    <cfRule type="expression" dxfId="316" priority="396">
      <formula>B3803&lt;&gt;""</formula>
    </cfRule>
  </conditionalFormatting>
  <conditionalFormatting sqref="B3799">
    <cfRule type="expression" dxfId="315" priority="393">
      <formula>B3795&lt;&gt;""</formula>
    </cfRule>
  </conditionalFormatting>
  <conditionalFormatting sqref="F3799">
    <cfRule type="expression" dxfId="314" priority="390">
      <formula>F3795&lt;&gt;""</formula>
    </cfRule>
  </conditionalFormatting>
  <conditionalFormatting sqref="H3799">
    <cfRule type="expression" dxfId="313" priority="387">
      <formula>H3795&lt;&gt;""</formula>
    </cfRule>
  </conditionalFormatting>
  <conditionalFormatting sqref="F3791">
    <cfRule type="expression" dxfId="312" priority="384">
      <formula>F3787&lt;&gt;""</formula>
    </cfRule>
  </conditionalFormatting>
  <conditionalFormatting sqref="E3787:E3791">
    <cfRule type="expression" dxfId="311" priority="383">
      <formula>F3787&lt;&gt;""</formula>
    </cfRule>
  </conditionalFormatting>
  <conditionalFormatting sqref="G3787:G3791">
    <cfRule type="expression" dxfId="310" priority="382">
      <formula>H3787&lt;&gt;""</formula>
    </cfRule>
  </conditionalFormatting>
  <conditionalFormatting sqref="I3787:I3791">
    <cfRule type="expression" dxfId="309" priority="381">
      <formula>B3795&lt;&gt;""</formula>
    </cfRule>
  </conditionalFormatting>
  <conditionalFormatting sqref="H3791">
    <cfRule type="expression" dxfId="308" priority="378">
      <formula>H3787&lt;&gt;""</formula>
    </cfRule>
  </conditionalFormatting>
  <conditionalFormatting sqref="I3800:I3801 C3801:H3801 B3801:B3802">
    <cfRule type="expression" dxfId="307" priority="377">
      <formula>$B3803&lt;&gt;""</formula>
    </cfRule>
  </conditionalFormatting>
  <conditionalFormatting sqref="B3807">
    <cfRule type="expression" dxfId="306" priority="374">
      <formula>B3803&lt;&gt;""</formula>
    </cfRule>
  </conditionalFormatting>
  <conditionalFormatting sqref="F3807">
    <cfRule type="expression" dxfId="305" priority="371">
      <formula>F3803&lt;&gt;""</formula>
    </cfRule>
  </conditionalFormatting>
  <conditionalFormatting sqref="C3803:C3807">
    <cfRule type="expression" dxfId="304" priority="370">
      <formula>D3803&lt;&gt;""</formula>
    </cfRule>
  </conditionalFormatting>
  <conditionalFormatting sqref="E3803:E3807">
    <cfRule type="expression" dxfId="303" priority="369">
      <formula>F3803&lt;&gt;""</formula>
    </cfRule>
  </conditionalFormatting>
  <conditionalFormatting sqref="G3803:G3807">
    <cfRule type="expression" dxfId="302" priority="368">
      <formula>H3803&lt;&gt;""</formula>
    </cfRule>
  </conditionalFormatting>
  <conditionalFormatting sqref="H3807">
    <cfRule type="expression" dxfId="301" priority="365">
      <formula>H3803&lt;&gt;""</formula>
    </cfRule>
  </conditionalFormatting>
  <conditionalFormatting sqref="D3779">
    <cfRule type="expression" dxfId="300" priority="362">
      <formula>D3775&lt;&gt;""</formula>
    </cfRule>
  </conditionalFormatting>
  <conditionalFormatting sqref="I3764:I3765 C3765:H3765 B3765:B3766">
    <cfRule type="expression" dxfId="299" priority="361">
      <formula>$B3767&lt;&gt;""</formula>
    </cfRule>
  </conditionalFormatting>
  <conditionalFormatting sqref="D3771">
    <cfRule type="expression" dxfId="298" priority="358">
      <formula>D3767&lt;&gt;""</formula>
    </cfRule>
  </conditionalFormatting>
  <conditionalFormatting sqref="C3767:C3771">
    <cfRule type="expression" dxfId="297" priority="357">
      <formula>D3767&lt;&gt;""</formula>
    </cfRule>
  </conditionalFormatting>
  <conditionalFormatting sqref="E3767:E3771">
    <cfRule type="expression" dxfId="296" priority="356">
      <formula>F3767&lt;&gt;""</formula>
    </cfRule>
  </conditionalFormatting>
  <conditionalFormatting sqref="G3767:G3771">
    <cfRule type="expression" dxfId="295" priority="355">
      <formula>H3767&lt;&gt;""</formula>
    </cfRule>
  </conditionalFormatting>
  <conditionalFormatting sqref="I3767:I3771">
    <cfRule type="expression" dxfId="294" priority="354">
      <formula>B3775&lt;&gt;""</formula>
    </cfRule>
  </conditionalFormatting>
  <conditionalFormatting sqref="B3771">
    <cfRule type="expression" dxfId="293" priority="351">
      <formula>B3767&lt;&gt;""</formula>
    </cfRule>
  </conditionalFormatting>
  <conditionalFormatting sqref="F3771">
    <cfRule type="expression" dxfId="292" priority="348">
      <formula>F3767&lt;&gt;""</formula>
    </cfRule>
  </conditionalFormatting>
  <conditionalFormatting sqref="H3771">
    <cfRule type="expression" dxfId="291" priority="345">
      <formula>H3767&lt;&gt;""</formula>
    </cfRule>
  </conditionalFormatting>
  <conditionalFormatting sqref="F3763">
    <cfRule type="expression" dxfId="290" priority="342">
      <formula>F3759&lt;&gt;""</formula>
    </cfRule>
  </conditionalFormatting>
  <conditionalFormatting sqref="E3759:E3763">
    <cfRule type="expression" dxfId="289" priority="341">
      <formula>F3759&lt;&gt;""</formula>
    </cfRule>
  </conditionalFormatting>
  <conditionalFormatting sqref="G3759:G3763">
    <cfRule type="expression" dxfId="288" priority="340">
      <formula>H3759&lt;&gt;""</formula>
    </cfRule>
  </conditionalFormatting>
  <conditionalFormatting sqref="I3759:I3763">
    <cfRule type="expression" dxfId="287" priority="339">
      <formula>B3767&lt;&gt;""</formula>
    </cfRule>
  </conditionalFormatting>
  <conditionalFormatting sqref="H3763">
    <cfRule type="expression" dxfId="286" priority="336">
      <formula>H3759&lt;&gt;""</formula>
    </cfRule>
  </conditionalFormatting>
  <conditionalFormatting sqref="I3772:I3773 C3773:H3773 B3773:B3774">
    <cfRule type="expression" dxfId="285" priority="335">
      <formula>$B3775&lt;&gt;""</formula>
    </cfRule>
  </conditionalFormatting>
  <conditionalFormatting sqref="B3779">
    <cfRule type="expression" dxfId="284" priority="332">
      <formula>B3775&lt;&gt;""</formula>
    </cfRule>
  </conditionalFormatting>
  <conditionalFormatting sqref="F3779">
    <cfRule type="expression" dxfId="283" priority="329">
      <formula>F3775&lt;&gt;""</formula>
    </cfRule>
  </conditionalFormatting>
  <conditionalFormatting sqref="C3775:C3779">
    <cfRule type="expression" dxfId="282" priority="328">
      <formula>D3775&lt;&gt;""</formula>
    </cfRule>
  </conditionalFormatting>
  <conditionalFormatting sqref="E3775:E3779">
    <cfRule type="expression" dxfId="281" priority="327">
      <formula>F3775&lt;&gt;""</formula>
    </cfRule>
  </conditionalFormatting>
  <conditionalFormatting sqref="G3775:G3779">
    <cfRule type="expression" dxfId="280" priority="326">
      <formula>H3775&lt;&gt;""</formula>
    </cfRule>
  </conditionalFormatting>
  <conditionalFormatting sqref="H3779">
    <cfRule type="expression" dxfId="279" priority="323">
      <formula>H3775&lt;&gt;""</formula>
    </cfRule>
  </conditionalFormatting>
  <conditionalFormatting sqref="D3751">
    <cfRule type="expression" dxfId="278" priority="320">
      <formula>D3747&lt;&gt;""</formula>
    </cfRule>
  </conditionalFormatting>
  <conditionalFormatting sqref="I3736:I3737 C3737:H3737 B3737:B3738">
    <cfRule type="expression" dxfId="277" priority="319">
      <formula>$B3739&lt;&gt;""</formula>
    </cfRule>
  </conditionalFormatting>
  <conditionalFormatting sqref="D3743">
    <cfRule type="expression" dxfId="276" priority="316">
      <formula>D3739&lt;&gt;""</formula>
    </cfRule>
  </conditionalFormatting>
  <conditionalFormatting sqref="C3739:C3743">
    <cfRule type="expression" dxfId="275" priority="315">
      <formula>D3739&lt;&gt;""</formula>
    </cfRule>
  </conditionalFormatting>
  <conditionalFormatting sqref="E3739:E3743">
    <cfRule type="expression" dxfId="274" priority="314">
      <formula>F3739&lt;&gt;""</formula>
    </cfRule>
  </conditionalFormatting>
  <conditionalFormatting sqref="G3739:G3743">
    <cfRule type="expression" dxfId="273" priority="313">
      <formula>H3739&lt;&gt;""</formula>
    </cfRule>
  </conditionalFormatting>
  <conditionalFormatting sqref="I3739:I3743">
    <cfRule type="expression" dxfId="272" priority="312">
      <formula>B3747&lt;&gt;""</formula>
    </cfRule>
  </conditionalFormatting>
  <conditionalFormatting sqref="B3743">
    <cfRule type="expression" dxfId="271" priority="309">
      <formula>B3739&lt;&gt;""</formula>
    </cfRule>
  </conditionalFormatting>
  <conditionalFormatting sqref="F3743">
    <cfRule type="expression" dxfId="270" priority="306">
      <formula>F3739&lt;&gt;""</formula>
    </cfRule>
  </conditionalFormatting>
  <conditionalFormatting sqref="H3743">
    <cfRule type="expression" dxfId="269" priority="303">
      <formula>H3739&lt;&gt;""</formula>
    </cfRule>
  </conditionalFormatting>
  <conditionalFormatting sqref="F3735">
    <cfRule type="expression" dxfId="268" priority="300">
      <formula>F3731&lt;&gt;""</formula>
    </cfRule>
  </conditionalFormatting>
  <conditionalFormatting sqref="E3731:E3735">
    <cfRule type="expression" dxfId="267" priority="299">
      <formula>F3731&lt;&gt;""</formula>
    </cfRule>
  </conditionalFormatting>
  <conditionalFormatting sqref="G3731:G3735">
    <cfRule type="expression" dxfId="266" priority="298">
      <formula>H3731&lt;&gt;""</formula>
    </cfRule>
  </conditionalFormatting>
  <conditionalFormatting sqref="I3731:I3735">
    <cfRule type="expression" dxfId="265" priority="297">
      <formula>B3739&lt;&gt;""</formula>
    </cfRule>
  </conditionalFormatting>
  <conditionalFormatting sqref="H3735">
    <cfRule type="expression" dxfId="264" priority="294">
      <formula>H3731&lt;&gt;""</formula>
    </cfRule>
  </conditionalFormatting>
  <conditionalFormatting sqref="I3744:I3745 C3745:H3745 B3745:B3746">
    <cfRule type="expression" dxfId="263" priority="293">
      <formula>$B3747&lt;&gt;""</formula>
    </cfRule>
  </conditionalFormatting>
  <conditionalFormatting sqref="B3751">
    <cfRule type="expression" dxfId="262" priority="290">
      <formula>B3747&lt;&gt;""</formula>
    </cfRule>
  </conditionalFormatting>
  <conditionalFormatting sqref="F3751">
    <cfRule type="expression" dxfId="261" priority="287">
      <formula>F3747&lt;&gt;""</formula>
    </cfRule>
  </conditionalFormatting>
  <conditionalFormatting sqref="C3747:C3751">
    <cfRule type="expression" dxfId="260" priority="286">
      <formula>D3747&lt;&gt;""</formula>
    </cfRule>
  </conditionalFormatting>
  <conditionalFormatting sqref="E3747:E3751">
    <cfRule type="expression" dxfId="259" priority="285">
      <formula>F3747&lt;&gt;""</formula>
    </cfRule>
  </conditionalFormatting>
  <conditionalFormatting sqref="G3747:G3751">
    <cfRule type="expression" dxfId="258" priority="284">
      <formula>H3747&lt;&gt;""</formula>
    </cfRule>
  </conditionalFormatting>
  <conditionalFormatting sqref="H3751">
    <cfRule type="expression" dxfId="257" priority="281">
      <formula>H3747&lt;&gt;""</formula>
    </cfRule>
  </conditionalFormatting>
  <conditionalFormatting sqref="D3723">
    <cfRule type="expression" dxfId="256" priority="278">
      <formula>D3719&lt;&gt;""</formula>
    </cfRule>
  </conditionalFormatting>
  <conditionalFormatting sqref="I3708:I3709 C3709:H3709 B3709:B3710">
    <cfRule type="expression" dxfId="255" priority="277">
      <formula>$B3711&lt;&gt;""</formula>
    </cfRule>
  </conditionalFormatting>
  <conditionalFormatting sqref="D3715">
    <cfRule type="expression" dxfId="254" priority="274">
      <formula>D3711&lt;&gt;""</formula>
    </cfRule>
  </conditionalFormatting>
  <conditionalFormatting sqref="C3711:C3715">
    <cfRule type="expression" dxfId="253" priority="273">
      <formula>D3711&lt;&gt;""</formula>
    </cfRule>
  </conditionalFormatting>
  <conditionalFormatting sqref="E3711:E3715">
    <cfRule type="expression" dxfId="252" priority="272">
      <formula>F3711&lt;&gt;""</formula>
    </cfRule>
  </conditionalFormatting>
  <conditionalFormatting sqref="G3711:G3715">
    <cfRule type="expression" dxfId="251" priority="271">
      <formula>H3711&lt;&gt;""</formula>
    </cfRule>
  </conditionalFormatting>
  <conditionalFormatting sqref="I3711:I3715">
    <cfRule type="expression" dxfId="250" priority="270">
      <formula>B3719&lt;&gt;""</formula>
    </cfRule>
  </conditionalFormatting>
  <conditionalFormatting sqref="B3715">
    <cfRule type="expression" dxfId="249" priority="267">
      <formula>B3711&lt;&gt;""</formula>
    </cfRule>
  </conditionalFormatting>
  <conditionalFormatting sqref="F3715">
    <cfRule type="expression" dxfId="248" priority="264">
      <formula>F3711&lt;&gt;""</formula>
    </cfRule>
  </conditionalFormatting>
  <conditionalFormatting sqref="H3715">
    <cfRule type="expression" dxfId="247" priority="261">
      <formula>H3711&lt;&gt;""</formula>
    </cfRule>
  </conditionalFormatting>
  <conditionalFormatting sqref="F3707">
    <cfRule type="expression" dxfId="246" priority="258">
      <formula>F3703&lt;&gt;""</formula>
    </cfRule>
  </conditionalFormatting>
  <conditionalFormatting sqref="E3703:E3707">
    <cfRule type="expression" dxfId="245" priority="257">
      <formula>F3703&lt;&gt;""</formula>
    </cfRule>
  </conditionalFormatting>
  <conditionalFormatting sqref="G3703:G3707">
    <cfRule type="expression" dxfId="244" priority="256">
      <formula>H3703&lt;&gt;""</formula>
    </cfRule>
  </conditionalFormatting>
  <conditionalFormatting sqref="I3703:I3707">
    <cfRule type="expression" dxfId="243" priority="255">
      <formula>B3711&lt;&gt;""</formula>
    </cfRule>
  </conditionalFormatting>
  <conditionalFormatting sqref="H3707">
    <cfRule type="expression" dxfId="242" priority="252">
      <formula>H3703&lt;&gt;""</formula>
    </cfRule>
  </conditionalFormatting>
  <conditionalFormatting sqref="I3716:I3717 C3717:H3717 B3717:B3718">
    <cfRule type="expression" dxfId="241" priority="251">
      <formula>$B3719&lt;&gt;""</formula>
    </cfRule>
  </conditionalFormatting>
  <conditionalFormatting sqref="B3723">
    <cfRule type="expression" dxfId="240" priority="248">
      <formula>B3719&lt;&gt;""</formula>
    </cfRule>
  </conditionalFormatting>
  <conditionalFormatting sqref="F3723">
    <cfRule type="expression" dxfId="239" priority="245">
      <formula>F3719&lt;&gt;""</formula>
    </cfRule>
  </conditionalFormatting>
  <conditionalFormatting sqref="C3719:C3723">
    <cfRule type="expression" dxfId="238" priority="244">
      <formula>D3719&lt;&gt;""</formula>
    </cfRule>
  </conditionalFormatting>
  <conditionalFormatting sqref="E3719:E3723">
    <cfRule type="expression" dxfId="237" priority="243">
      <formula>F3719&lt;&gt;""</formula>
    </cfRule>
  </conditionalFormatting>
  <conditionalFormatting sqref="G3719:G3723">
    <cfRule type="expression" dxfId="236" priority="242">
      <formula>H3719&lt;&gt;""</formula>
    </cfRule>
  </conditionalFormatting>
  <conditionalFormatting sqref="H3723">
    <cfRule type="expression" dxfId="235" priority="239">
      <formula>H3719&lt;&gt;""</formula>
    </cfRule>
  </conditionalFormatting>
  <conditionalFormatting sqref="D3695">
    <cfRule type="expression" dxfId="234" priority="236">
      <formula>D3691&lt;&gt;""</formula>
    </cfRule>
  </conditionalFormatting>
  <conditionalFormatting sqref="I3680:I3681 C3681:H3681 B3681:B3682">
    <cfRule type="expression" dxfId="233" priority="235">
      <formula>$B3683&lt;&gt;""</formula>
    </cfRule>
  </conditionalFormatting>
  <conditionalFormatting sqref="D3687">
    <cfRule type="expression" dxfId="232" priority="232">
      <formula>D3683&lt;&gt;""</formula>
    </cfRule>
  </conditionalFormatting>
  <conditionalFormatting sqref="C3683:C3687">
    <cfRule type="expression" dxfId="231" priority="231">
      <formula>D3683&lt;&gt;""</formula>
    </cfRule>
  </conditionalFormatting>
  <conditionalFormatting sqref="E3683:E3687">
    <cfRule type="expression" dxfId="230" priority="230">
      <formula>F3683&lt;&gt;""</formula>
    </cfRule>
  </conditionalFormatting>
  <conditionalFormatting sqref="G3683:G3687">
    <cfRule type="expression" dxfId="229" priority="229">
      <formula>H3683&lt;&gt;""</formula>
    </cfRule>
  </conditionalFormatting>
  <conditionalFormatting sqref="I3683:I3687">
    <cfRule type="expression" dxfId="228" priority="228">
      <formula>B3691&lt;&gt;""</formula>
    </cfRule>
  </conditionalFormatting>
  <conditionalFormatting sqref="B3687">
    <cfRule type="expression" dxfId="227" priority="225">
      <formula>B3683&lt;&gt;""</formula>
    </cfRule>
  </conditionalFormatting>
  <conditionalFormatting sqref="F3687">
    <cfRule type="expression" dxfId="226" priority="222">
      <formula>F3683&lt;&gt;""</formula>
    </cfRule>
  </conditionalFormatting>
  <conditionalFormatting sqref="H3687">
    <cfRule type="expression" dxfId="225" priority="219">
      <formula>H3683&lt;&gt;""</formula>
    </cfRule>
  </conditionalFormatting>
  <conditionalFormatting sqref="F3679">
    <cfRule type="expression" dxfId="224" priority="216">
      <formula>F3675&lt;&gt;""</formula>
    </cfRule>
  </conditionalFormatting>
  <conditionalFormatting sqref="E3675:E3679">
    <cfRule type="expression" dxfId="223" priority="215">
      <formula>F3675&lt;&gt;""</formula>
    </cfRule>
  </conditionalFormatting>
  <conditionalFormatting sqref="G3675:G3679">
    <cfRule type="expression" dxfId="222" priority="214">
      <formula>H3675&lt;&gt;""</formula>
    </cfRule>
  </conditionalFormatting>
  <conditionalFormatting sqref="I3675:I3679">
    <cfRule type="expression" dxfId="221" priority="213">
      <formula>B3683&lt;&gt;""</formula>
    </cfRule>
  </conditionalFormatting>
  <conditionalFormatting sqref="H3679">
    <cfRule type="expression" dxfId="220" priority="210">
      <formula>H3675&lt;&gt;""</formula>
    </cfRule>
  </conditionalFormatting>
  <conditionalFormatting sqref="I3688:I3689 C3689:H3689 B3689:B3690">
    <cfRule type="expression" dxfId="219" priority="209">
      <formula>$B3691&lt;&gt;""</formula>
    </cfRule>
  </conditionalFormatting>
  <conditionalFormatting sqref="B3695">
    <cfRule type="expression" dxfId="218" priority="206">
      <formula>B3691&lt;&gt;""</formula>
    </cfRule>
  </conditionalFormatting>
  <conditionalFormatting sqref="F3695">
    <cfRule type="expression" dxfId="217" priority="203">
      <formula>F3691&lt;&gt;""</formula>
    </cfRule>
  </conditionalFormatting>
  <conditionalFormatting sqref="C3691:C3695">
    <cfRule type="expression" dxfId="216" priority="202">
      <formula>D3691&lt;&gt;""</formula>
    </cfRule>
  </conditionalFormatting>
  <conditionalFormatting sqref="E3691:E3695">
    <cfRule type="expression" dxfId="215" priority="201">
      <formula>F3691&lt;&gt;""</formula>
    </cfRule>
  </conditionalFormatting>
  <conditionalFormatting sqref="G3691:G3695">
    <cfRule type="expression" dxfId="214" priority="200">
      <formula>H3691&lt;&gt;""</formula>
    </cfRule>
  </conditionalFormatting>
  <conditionalFormatting sqref="H3695">
    <cfRule type="expression" dxfId="213" priority="197">
      <formula>H3691&lt;&gt;""</formula>
    </cfRule>
  </conditionalFormatting>
  <conditionalFormatting sqref="B3679">
    <cfRule type="expression" dxfId="212" priority="194">
      <formula>B3675&lt;&gt;""</formula>
    </cfRule>
  </conditionalFormatting>
  <conditionalFormatting sqref="C3675:C3679">
    <cfRule type="expression" dxfId="211" priority="193">
      <formula>D3675&lt;&gt;""</formula>
    </cfRule>
  </conditionalFormatting>
  <conditionalFormatting sqref="D3679">
    <cfRule type="expression" dxfId="210" priority="190">
      <formula>D3675&lt;&gt;""</formula>
    </cfRule>
  </conditionalFormatting>
  <conditionalFormatting sqref="B3707">
    <cfRule type="expression" dxfId="209" priority="187">
      <formula>B3703&lt;&gt;""</formula>
    </cfRule>
  </conditionalFormatting>
  <conditionalFormatting sqref="C3703:C3707">
    <cfRule type="expression" dxfId="208" priority="186">
      <formula>D3703&lt;&gt;""</formula>
    </cfRule>
  </conditionalFormatting>
  <conditionalFormatting sqref="D3707">
    <cfRule type="expression" dxfId="207" priority="183">
      <formula>D3703&lt;&gt;""</formula>
    </cfRule>
  </conditionalFormatting>
  <conditionalFormatting sqref="B3735">
    <cfRule type="expression" dxfId="206" priority="180">
      <formula>B3731&lt;&gt;""</formula>
    </cfRule>
  </conditionalFormatting>
  <conditionalFormatting sqref="C3731:C3735">
    <cfRule type="expression" dxfId="205" priority="179">
      <formula>D3731&lt;&gt;""</formula>
    </cfRule>
  </conditionalFormatting>
  <conditionalFormatting sqref="D3735">
    <cfRule type="expression" dxfId="204" priority="176">
      <formula>D3731&lt;&gt;""</formula>
    </cfRule>
  </conditionalFormatting>
  <conditionalFormatting sqref="B3763">
    <cfRule type="expression" dxfId="203" priority="173">
      <formula>B3759&lt;&gt;""</formula>
    </cfRule>
  </conditionalFormatting>
  <conditionalFormatting sqref="C3759:C3763">
    <cfRule type="expression" dxfId="202" priority="172">
      <formula>D3759&lt;&gt;""</formula>
    </cfRule>
  </conditionalFormatting>
  <conditionalFormatting sqref="D3763">
    <cfRule type="expression" dxfId="201" priority="169">
      <formula>D3759&lt;&gt;""</formula>
    </cfRule>
  </conditionalFormatting>
  <conditionalFormatting sqref="B3791">
    <cfRule type="expression" dxfId="200" priority="166">
      <formula>B3787&lt;&gt;""</formula>
    </cfRule>
  </conditionalFormatting>
  <conditionalFormatting sqref="C3787:C3791">
    <cfRule type="expression" dxfId="199" priority="165">
      <formula>D3787&lt;&gt;""</formula>
    </cfRule>
  </conditionalFormatting>
  <conditionalFormatting sqref="D3791">
    <cfRule type="expression" dxfId="198" priority="162">
      <formula>D3787&lt;&gt;""</formula>
    </cfRule>
  </conditionalFormatting>
  <conditionalFormatting sqref="B3819">
    <cfRule type="expression" dxfId="197" priority="159">
      <formula>B3815&lt;&gt;""</formula>
    </cfRule>
  </conditionalFormatting>
  <conditionalFormatting sqref="C3815:C3819">
    <cfRule type="expression" dxfId="196" priority="158">
      <formula>D3815&lt;&gt;""</formula>
    </cfRule>
  </conditionalFormatting>
  <conditionalFormatting sqref="D3819">
    <cfRule type="expression" dxfId="195" priority="155">
      <formula>D3815&lt;&gt;""</formula>
    </cfRule>
  </conditionalFormatting>
  <conditionalFormatting sqref="B3841:B3845">
    <cfRule type="expression" dxfId="194" priority="154">
      <formula>B3841&lt;&gt;""</formula>
    </cfRule>
  </conditionalFormatting>
  <conditionalFormatting sqref="B3841">
    <cfRule type="expression" dxfId="193" priority="153">
      <formula>B3841&lt;&gt;""</formula>
    </cfRule>
  </conditionalFormatting>
  <conditionalFormatting sqref="B3845">
    <cfRule type="expression" dxfId="192" priority="152">
      <formula>B3841&lt;&gt;""</formula>
    </cfRule>
  </conditionalFormatting>
  <conditionalFormatting sqref="C3841:C3845">
    <cfRule type="expression" dxfId="191" priority="151">
      <formula>D3841&lt;&gt;""</formula>
    </cfRule>
  </conditionalFormatting>
  <conditionalFormatting sqref="D3841:D3845">
    <cfRule type="expression" dxfId="190" priority="150">
      <formula>D3841&lt;&gt;""</formula>
    </cfRule>
  </conditionalFormatting>
  <conditionalFormatting sqref="D3841">
    <cfRule type="expression" dxfId="189" priority="149">
      <formula>D3841&lt;&gt;""</formula>
    </cfRule>
  </conditionalFormatting>
  <conditionalFormatting sqref="D3845">
    <cfRule type="expression" dxfId="188" priority="148">
      <formula>D3841&lt;&gt;""</formula>
    </cfRule>
  </conditionalFormatting>
  <conditionalFormatting sqref="D3885:D3889">
    <cfRule type="expression" dxfId="187" priority="147">
      <formula>D3885&lt;&gt;""</formula>
    </cfRule>
  </conditionalFormatting>
  <conditionalFormatting sqref="D3885">
    <cfRule type="expression" dxfId="186" priority="146">
      <formula>D3885&lt;&gt;""</formula>
    </cfRule>
  </conditionalFormatting>
  <conditionalFormatting sqref="D3889">
    <cfRule type="expression" dxfId="185" priority="145">
      <formula>D3885&lt;&gt;""</formula>
    </cfRule>
  </conditionalFormatting>
  <conditionalFormatting sqref="D3877:D3881">
    <cfRule type="expression" dxfId="184" priority="144">
      <formula>D3877&lt;&gt;""</formula>
    </cfRule>
  </conditionalFormatting>
  <conditionalFormatting sqref="D3877">
    <cfRule type="expression" dxfId="183" priority="143">
      <formula>D3877&lt;&gt;""</formula>
    </cfRule>
  </conditionalFormatting>
  <conditionalFormatting sqref="D3881">
    <cfRule type="expression" dxfId="182" priority="142">
      <formula>D3877&lt;&gt;""</formula>
    </cfRule>
  </conditionalFormatting>
  <conditionalFormatting sqref="C3877:C3881">
    <cfRule type="expression" dxfId="181" priority="141">
      <formula>D3877&lt;&gt;""</formula>
    </cfRule>
  </conditionalFormatting>
  <conditionalFormatting sqref="E3877:E3881">
    <cfRule type="expression" dxfId="180" priority="140">
      <formula>F3877&lt;&gt;""</formula>
    </cfRule>
  </conditionalFormatting>
  <conditionalFormatting sqref="G3877:G3881">
    <cfRule type="expression" dxfId="179" priority="139">
      <formula>H3877&lt;&gt;""</formula>
    </cfRule>
  </conditionalFormatting>
  <conditionalFormatting sqref="I3877:I3881">
    <cfRule type="expression" dxfId="178" priority="138">
      <formula>B3885&lt;&gt;""</formula>
    </cfRule>
  </conditionalFormatting>
  <conditionalFormatting sqref="B3877:B3881">
    <cfRule type="expression" dxfId="177" priority="137">
      <formula>B3877&lt;&gt;""</formula>
    </cfRule>
  </conditionalFormatting>
  <conditionalFormatting sqref="B3877">
    <cfRule type="expression" dxfId="176" priority="136">
      <formula>B3877&lt;&gt;""</formula>
    </cfRule>
  </conditionalFormatting>
  <conditionalFormatting sqref="B3881">
    <cfRule type="expression" dxfId="175" priority="135">
      <formula>B3877&lt;&gt;""</formula>
    </cfRule>
  </conditionalFormatting>
  <conditionalFormatting sqref="F3877:F3881">
    <cfRule type="expression" dxfId="174" priority="134">
      <formula>F3877&lt;&gt;""</formula>
    </cfRule>
  </conditionalFormatting>
  <conditionalFormatting sqref="F3877">
    <cfRule type="expression" dxfId="173" priority="133">
      <formula>F3877&lt;&gt;""</formula>
    </cfRule>
  </conditionalFormatting>
  <conditionalFormatting sqref="F3881">
    <cfRule type="expression" dxfId="172" priority="132">
      <formula>F3877&lt;&gt;""</formula>
    </cfRule>
  </conditionalFormatting>
  <conditionalFormatting sqref="H3877:H3881">
    <cfRule type="expression" dxfId="171" priority="131">
      <formula>H3877&lt;&gt;""</formula>
    </cfRule>
  </conditionalFormatting>
  <conditionalFormatting sqref="H3877">
    <cfRule type="expression" dxfId="170" priority="130">
      <formula>H3877&lt;&gt;""</formula>
    </cfRule>
  </conditionalFormatting>
  <conditionalFormatting sqref="H3881">
    <cfRule type="expression" dxfId="169" priority="129">
      <formula>H3877&lt;&gt;""</formula>
    </cfRule>
  </conditionalFormatting>
  <conditionalFormatting sqref="F3869:F3873">
    <cfRule type="expression" dxfId="168" priority="128">
      <formula>F3869&lt;&gt;""</formula>
    </cfRule>
  </conditionalFormatting>
  <conditionalFormatting sqref="F3869">
    <cfRule type="expression" dxfId="167" priority="127">
      <formula>F3869&lt;&gt;""</formula>
    </cfRule>
  </conditionalFormatting>
  <conditionalFormatting sqref="F3873">
    <cfRule type="expression" dxfId="166" priority="126">
      <formula>F3869&lt;&gt;""</formula>
    </cfRule>
  </conditionalFormatting>
  <conditionalFormatting sqref="E3869:E3873">
    <cfRule type="expression" dxfId="165" priority="125">
      <formula>F3869&lt;&gt;""</formula>
    </cfRule>
  </conditionalFormatting>
  <conditionalFormatting sqref="G3869:G3873">
    <cfRule type="expression" dxfId="164" priority="124">
      <formula>H3869&lt;&gt;""</formula>
    </cfRule>
  </conditionalFormatting>
  <conditionalFormatting sqref="I3869:I3873">
    <cfRule type="expression" dxfId="163" priority="123">
      <formula>B3877&lt;&gt;""</formula>
    </cfRule>
  </conditionalFormatting>
  <conditionalFormatting sqref="H3869:H3873">
    <cfRule type="expression" dxfId="162" priority="122">
      <formula>H3869&lt;&gt;""</formula>
    </cfRule>
  </conditionalFormatting>
  <conditionalFormatting sqref="H3869">
    <cfRule type="expression" dxfId="161" priority="121">
      <formula>H3869&lt;&gt;""</formula>
    </cfRule>
  </conditionalFormatting>
  <conditionalFormatting sqref="H3873">
    <cfRule type="expression" dxfId="160" priority="120">
      <formula>H3869&lt;&gt;""</formula>
    </cfRule>
  </conditionalFormatting>
  <conditionalFormatting sqref="B3885:B3889">
    <cfRule type="expression" dxfId="159" priority="119">
      <formula>B3885&lt;&gt;""</formula>
    </cfRule>
  </conditionalFormatting>
  <conditionalFormatting sqref="B3885">
    <cfRule type="expression" dxfId="158" priority="118">
      <formula>B3885&lt;&gt;""</formula>
    </cfRule>
  </conditionalFormatting>
  <conditionalFormatting sqref="B3889">
    <cfRule type="expression" dxfId="157" priority="117">
      <formula>B3885&lt;&gt;""</formula>
    </cfRule>
  </conditionalFormatting>
  <conditionalFormatting sqref="F3885:F3889">
    <cfRule type="expression" dxfId="156" priority="116">
      <formula>F3885&lt;&gt;""</formula>
    </cfRule>
  </conditionalFormatting>
  <conditionalFormatting sqref="F3885">
    <cfRule type="expression" dxfId="155" priority="115">
      <formula>F3885&lt;&gt;""</formula>
    </cfRule>
  </conditionalFormatting>
  <conditionalFormatting sqref="F3889">
    <cfRule type="expression" dxfId="154" priority="114">
      <formula>F3885&lt;&gt;""</formula>
    </cfRule>
  </conditionalFormatting>
  <conditionalFormatting sqref="C3885:C3889">
    <cfRule type="expression" dxfId="153" priority="113">
      <formula>D3885&lt;&gt;""</formula>
    </cfRule>
  </conditionalFormatting>
  <conditionalFormatting sqref="E3885:E3889">
    <cfRule type="expression" dxfId="152" priority="112">
      <formula>F3885&lt;&gt;""</formula>
    </cfRule>
  </conditionalFormatting>
  <conditionalFormatting sqref="G3885:G3889">
    <cfRule type="expression" dxfId="151" priority="111">
      <formula>H3885&lt;&gt;""</formula>
    </cfRule>
  </conditionalFormatting>
  <conditionalFormatting sqref="H3885:H3889">
    <cfRule type="expression" dxfId="150" priority="110">
      <formula>H3885&lt;&gt;""</formula>
    </cfRule>
  </conditionalFormatting>
  <conditionalFormatting sqref="H3885">
    <cfRule type="expression" dxfId="149" priority="109">
      <formula>H3885&lt;&gt;""</formula>
    </cfRule>
  </conditionalFormatting>
  <conditionalFormatting sqref="H3889">
    <cfRule type="expression" dxfId="148" priority="108">
      <formula>H3885&lt;&gt;""</formula>
    </cfRule>
  </conditionalFormatting>
  <conditionalFormatting sqref="D3913:D3917">
    <cfRule type="expression" dxfId="147" priority="107">
      <formula>D3913&lt;&gt;""</formula>
    </cfRule>
  </conditionalFormatting>
  <conditionalFormatting sqref="D3913">
    <cfRule type="expression" dxfId="146" priority="106">
      <formula>D3913&lt;&gt;""</formula>
    </cfRule>
  </conditionalFormatting>
  <conditionalFormatting sqref="D3917">
    <cfRule type="expression" dxfId="145" priority="105">
      <formula>D3913&lt;&gt;""</formula>
    </cfRule>
  </conditionalFormatting>
  <conditionalFormatting sqref="D3905:D3909">
    <cfRule type="expression" dxfId="144" priority="104">
      <formula>D3905&lt;&gt;""</formula>
    </cfRule>
  </conditionalFormatting>
  <conditionalFormatting sqref="D3905">
    <cfRule type="expression" dxfId="143" priority="103">
      <formula>D3905&lt;&gt;""</formula>
    </cfRule>
  </conditionalFormatting>
  <conditionalFormatting sqref="D3909">
    <cfRule type="expression" dxfId="142" priority="102">
      <formula>D3905&lt;&gt;""</formula>
    </cfRule>
  </conditionalFormatting>
  <conditionalFormatting sqref="C3905:C3909">
    <cfRule type="expression" dxfId="141" priority="101">
      <formula>D3905&lt;&gt;""</formula>
    </cfRule>
  </conditionalFormatting>
  <conditionalFormatting sqref="E3905:E3909">
    <cfRule type="expression" dxfId="140" priority="100">
      <formula>F3905&lt;&gt;""</formula>
    </cfRule>
  </conditionalFormatting>
  <conditionalFormatting sqref="G3905:G3909">
    <cfRule type="expression" dxfId="139" priority="99">
      <formula>H3905&lt;&gt;""</formula>
    </cfRule>
  </conditionalFormatting>
  <conditionalFormatting sqref="I3905:I3909">
    <cfRule type="expression" dxfId="138" priority="98">
      <formula>B3913&lt;&gt;""</formula>
    </cfRule>
  </conditionalFormatting>
  <conditionalFormatting sqref="B3905:B3909">
    <cfRule type="expression" dxfId="137" priority="97">
      <formula>B3905&lt;&gt;""</formula>
    </cfRule>
  </conditionalFormatting>
  <conditionalFormatting sqref="B3905">
    <cfRule type="expression" dxfId="136" priority="96">
      <formula>B3905&lt;&gt;""</formula>
    </cfRule>
  </conditionalFormatting>
  <conditionalFormatting sqref="B3909">
    <cfRule type="expression" dxfId="135" priority="95">
      <formula>B3905&lt;&gt;""</formula>
    </cfRule>
  </conditionalFormatting>
  <conditionalFormatting sqref="F3905:F3909">
    <cfRule type="expression" dxfId="134" priority="94">
      <formula>F3905&lt;&gt;""</formula>
    </cfRule>
  </conditionalFormatting>
  <conditionalFormatting sqref="F3905">
    <cfRule type="expression" dxfId="133" priority="93">
      <formula>F3905&lt;&gt;""</formula>
    </cfRule>
  </conditionalFormatting>
  <conditionalFormatting sqref="F3909">
    <cfRule type="expression" dxfId="132" priority="92">
      <formula>F3905&lt;&gt;""</formula>
    </cfRule>
  </conditionalFormatting>
  <conditionalFormatting sqref="H3905:H3909">
    <cfRule type="expression" dxfId="131" priority="91">
      <formula>H3905&lt;&gt;""</formula>
    </cfRule>
  </conditionalFormatting>
  <conditionalFormatting sqref="H3905">
    <cfRule type="expression" dxfId="130" priority="90">
      <formula>H3905&lt;&gt;""</formula>
    </cfRule>
  </conditionalFormatting>
  <conditionalFormatting sqref="H3909">
    <cfRule type="expression" dxfId="129" priority="89">
      <formula>H3905&lt;&gt;""</formula>
    </cfRule>
  </conditionalFormatting>
  <conditionalFormatting sqref="F3897:F3901">
    <cfRule type="expression" dxfId="128" priority="88">
      <formula>F3897&lt;&gt;""</formula>
    </cfRule>
  </conditionalFormatting>
  <conditionalFormatting sqref="F3897">
    <cfRule type="expression" dxfId="127" priority="87">
      <formula>F3897&lt;&gt;""</formula>
    </cfRule>
  </conditionalFormatting>
  <conditionalFormatting sqref="F3901">
    <cfRule type="expression" dxfId="126" priority="86">
      <formula>F3897&lt;&gt;""</formula>
    </cfRule>
  </conditionalFormatting>
  <conditionalFormatting sqref="E3897:E3901">
    <cfRule type="expression" dxfId="125" priority="85">
      <formula>F3897&lt;&gt;""</formula>
    </cfRule>
  </conditionalFormatting>
  <conditionalFormatting sqref="G3897:G3901">
    <cfRule type="expression" dxfId="124" priority="84">
      <formula>H3897&lt;&gt;""</formula>
    </cfRule>
  </conditionalFormatting>
  <conditionalFormatting sqref="I3897:I3901">
    <cfRule type="expression" dxfId="123" priority="83">
      <formula>B3905&lt;&gt;""</formula>
    </cfRule>
  </conditionalFormatting>
  <conditionalFormatting sqref="H3897:H3901">
    <cfRule type="expression" dxfId="122" priority="82">
      <formula>H3897&lt;&gt;""</formula>
    </cfRule>
  </conditionalFormatting>
  <conditionalFormatting sqref="H3897">
    <cfRule type="expression" dxfId="121" priority="81">
      <formula>H3897&lt;&gt;""</formula>
    </cfRule>
  </conditionalFormatting>
  <conditionalFormatting sqref="H3901">
    <cfRule type="expression" dxfId="120" priority="80">
      <formula>H3897&lt;&gt;""</formula>
    </cfRule>
  </conditionalFormatting>
  <conditionalFormatting sqref="B3913:B3917">
    <cfRule type="expression" dxfId="119" priority="79">
      <formula>B3913&lt;&gt;""</formula>
    </cfRule>
  </conditionalFormatting>
  <conditionalFormatting sqref="B3913">
    <cfRule type="expression" dxfId="118" priority="78">
      <formula>B3913&lt;&gt;""</formula>
    </cfRule>
  </conditionalFormatting>
  <conditionalFormatting sqref="B3917">
    <cfRule type="expression" dxfId="117" priority="77">
      <formula>B3913&lt;&gt;""</formula>
    </cfRule>
  </conditionalFormatting>
  <conditionalFormatting sqref="F3913:F3917">
    <cfRule type="expression" dxfId="116" priority="76">
      <formula>F3913&lt;&gt;""</formula>
    </cfRule>
  </conditionalFormatting>
  <conditionalFormatting sqref="F3913">
    <cfRule type="expression" dxfId="115" priority="75">
      <formula>F3913&lt;&gt;""</formula>
    </cfRule>
  </conditionalFormatting>
  <conditionalFormatting sqref="F3917">
    <cfRule type="expression" dxfId="114" priority="74">
      <formula>F3913&lt;&gt;""</formula>
    </cfRule>
  </conditionalFormatting>
  <conditionalFormatting sqref="C3913:C3917">
    <cfRule type="expression" dxfId="113" priority="73">
      <formula>D3913&lt;&gt;""</formula>
    </cfRule>
  </conditionalFormatting>
  <conditionalFormatting sqref="E3913:E3917">
    <cfRule type="expression" dxfId="112" priority="72">
      <formula>F3913&lt;&gt;""</formula>
    </cfRule>
  </conditionalFormatting>
  <conditionalFormatting sqref="G3913:G3917">
    <cfRule type="expression" dxfId="111" priority="71">
      <formula>H3913&lt;&gt;""</formula>
    </cfRule>
  </conditionalFormatting>
  <conditionalFormatting sqref="H3913:H3917">
    <cfRule type="expression" dxfId="110" priority="70">
      <formula>H3913&lt;&gt;""</formula>
    </cfRule>
  </conditionalFormatting>
  <conditionalFormatting sqref="H3913">
    <cfRule type="expression" dxfId="109" priority="69">
      <formula>H3913&lt;&gt;""</formula>
    </cfRule>
  </conditionalFormatting>
  <conditionalFormatting sqref="H3917">
    <cfRule type="expression" dxfId="108" priority="68">
      <formula>H3913&lt;&gt;""</formula>
    </cfRule>
  </conditionalFormatting>
  <conditionalFormatting sqref="B3897:B3901">
    <cfRule type="expression" dxfId="107" priority="67">
      <formula>B3897&lt;&gt;""</formula>
    </cfRule>
  </conditionalFormatting>
  <conditionalFormatting sqref="B3903:B3904 C3903:I3903 I3902">
    <cfRule type="expression" dxfId="106" priority="66">
      <formula>$B3905&lt;&gt;""</formula>
    </cfRule>
  </conditionalFormatting>
  <conditionalFormatting sqref="B3911:B3912 C3911:I3911 I3910">
    <cfRule type="expression" dxfId="105" priority="65">
      <formula>$B3913&lt;&gt;""</formula>
    </cfRule>
  </conditionalFormatting>
  <conditionalFormatting sqref="D3941:D3945">
    <cfRule type="expression" dxfId="104" priority="64">
      <formula>D3941&lt;&gt;""</formula>
    </cfRule>
  </conditionalFormatting>
  <conditionalFormatting sqref="D3941">
    <cfRule type="expression" dxfId="103" priority="63">
      <formula>D3941&lt;&gt;""</formula>
    </cfRule>
  </conditionalFormatting>
  <conditionalFormatting sqref="D3945">
    <cfRule type="expression" dxfId="102" priority="62">
      <formula>D3941&lt;&gt;""</formula>
    </cfRule>
  </conditionalFormatting>
  <conditionalFormatting sqref="D3933:D3937">
    <cfRule type="expression" dxfId="101" priority="61">
      <formula>D3933&lt;&gt;""</formula>
    </cfRule>
  </conditionalFormatting>
  <conditionalFormatting sqref="D3933">
    <cfRule type="expression" dxfId="100" priority="60">
      <formula>D3933&lt;&gt;""</formula>
    </cfRule>
  </conditionalFormatting>
  <conditionalFormatting sqref="D3937">
    <cfRule type="expression" dxfId="99" priority="59">
      <formula>D3933&lt;&gt;""</formula>
    </cfRule>
  </conditionalFormatting>
  <conditionalFormatting sqref="C3933:C3937">
    <cfRule type="expression" dxfId="98" priority="58">
      <formula>D3933&lt;&gt;""</formula>
    </cfRule>
  </conditionalFormatting>
  <conditionalFormatting sqref="E3933:E3937">
    <cfRule type="expression" dxfId="97" priority="57">
      <formula>F3933&lt;&gt;""</formula>
    </cfRule>
  </conditionalFormatting>
  <conditionalFormatting sqref="G3933:G3937">
    <cfRule type="expression" dxfId="96" priority="56">
      <formula>H3933&lt;&gt;""</formula>
    </cfRule>
  </conditionalFormatting>
  <conditionalFormatting sqref="I3933:I3937">
    <cfRule type="expression" dxfId="95" priority="55">
      <formula>B3941&lt;&gt;""</formula>
    </cfRule>
  </conditionalFormatting>
  <conditionalFormatting sqref="B3933:B3937">
    <cfRule type="expression" dxfId="94" priority="54">
      <formula>B3933&lt;&gt;""</formula>
    </cfRule>
  </conditionalFormatting>
  <conditionalFormatting sqref="B3933">
    <cfRule type="expression" dxfId="93" priority="53">
      <formula>B3933&lt;&gt;""</formula>
    </cfRule>
  </conditionalFormatting>
  <conditionalFormatting sqref="B3937">
    <cfRule type="expression" dxfId="92" priority="52">
      <formula>B3933&lt;&gt;""</formula>
    </cfRule>
  </conditionalFormatting>
  <conditionalFormatting sqref="F3933:F3937">
    <cfRule type="expression" dxfId="91" priority="51">
      <formula>F3933&lt;&gt;""</formula>
    </cfRule>
  </conditionalFormatting>
  <conditionalFormatting sqref="F3933">
    <cfRule type="expression" dxfId="90" priority="50">
      <formula>F3933&lt;&gt;""</formula>
    </cfRule>
  </conditionalFormatting>
  <conditionalFormatting sqref="F3937">
    <cfRule type="expression" dxfId="89" priority="49">
      <formula>F3933&lt;&gt;""</formula>
    </cfRule>
  </conditionalFormatting>
  <conditionalFormatting sqref="H3933:H3937">
    <cfRule type="expression" dxfId="88" priority="48">
      <formula>H3933&lt;&gt;""</formula>
    </cfRule>
  </conditionalFormatting>
  <conditionalFormatting sqref="H3933">
    <cfRule type="expression" dxfId="87" priority="47">
      <formula>H3933&lt;&gt;""</formula>
    </cfRule>
  </conditionalFormatting>
  <conditionalFormatting sqref="H3937">
    <cfRule type="expression" dxfId="86" priority="46">
      <formula>H3933&lt;&gt;""</formula>
    </cfRule>
  </conditionalFormatting>
  <conditionalFormatting sqref="F3925:F3929">
    <cfRule type="expression" dxfId="85" priority="45">
      <formula>F3925&lt;&gt;""</formula>
    </cfRule>
  </conditionalFormatting>
  <conditionalFormatting sqref="F3925">
    <cfRule type="expression" dxfId="84" priority="44">
      <formula>F3925&lt;&gt;""</formula>
    </cfRule>
  </conditionalFormatting>
  <conditionalFormatting sqref="F3929">
    <cfRule type="expression" dxfId="83" priority="43">
      <formula>F3925&lt;&gt;""</formula>
    </cfRule>
  </conditionalFormatting>
  <conditionalFormatting sqref="E3925:E3929">
    <cfRule type="expression" dxfId="82" priority="42">
      <formula>F3925&lt;&gt;""</formula>
    </cfRule>
  </conditionalFormatting>
  <conditionalFormatting sqref="G3925:G3929">
    <cfRule type="expression" dxfId="81" priority="41">
      <formula>H3925&lt;&gt;""</formula>
    </cfRule>
  </conditionalFormatting>
  <conditionalFormatting sqref="I3925:I3929">
    <cfRule type="expression" dxfId="80" priority="40">
      <formula>B3933&lt;&gt;""</formula>
    </cfRule>
  </conditionalFormatting>
  <conditionalFormatting sqref="H3925:H3929">
    <cfRule type="expression" dxfId="79" priority="39">
      <formula>H3925&lt;&gt;""</formula>
    </cfRule>
  </conditionalFormatting>
  <conditionalFormatting sqref="H3925">
    <cfRule type="expression" dxfId="78" priority="38">
      <formula>H3925&lt;&gt;""</formula>
    </cfRule>
  </conditionalFormatting>
  <conditionalFormatting sqref="H3929">
    <cfRule type="expression" dxfId="77" priority="37">
      <formula>H3925&lt;&gt;""</formula>
    </cfRule>
  </conditionalFormatting>
  <conditionalFormatting sqref="B3941:B3945">
    <cfRule type="expression" dxfId="76" priority="36">
      <formula>B3941&lt;&gt;""</formula>
    </cfRule>
  </conditionalFormatting>
  <conditionalFormatting sqref="B3941">
    <cfRule type="expression" dxfId="75" priority="35">
      <formula>B3941&lt;&gt;""</formula>
    </cfRule>
  </conditionalFormatting>
  <conditionalFormatting sqref="B3945">
    <cfRule type="expression" dxfId="74" priority="34">
      <formula>B3941&lt;&gt;""</formula>
    </cfRule>
  </conditionalFormatting>
  <conditionalFormatting sqref="F3941:F3945">
    <cfRule type="expression" dxfId="73" priority="33">
      <formula>F3941&lt;&gt;""</formula>
    </cfRule>
  </conditionalFormatting>
  <conditionalFormatting sqref="F3941">
    <cfRule type="expression" dxfId="72" priority="32">
      <formula>F3941&lt;&gt;""</formula>
    </cfRule>
  </conditionalFormatting>
  <conditionalFormatting sqref="F3945">
    <cfRule type="expression" dxfId="71" priority="31">
      <formula>F3941&lt;&gt;""</formula>
    </cfRule>
  </conditionalFormatting>
  <conditionalFormatting sqref="C3941:C3945">
    <cfRule type="expression" dxfId="70" priority="30">
      <formula>D3941&lt;&gt;""</formula>
    </cfRule>
  </conditionalFormatting>
  <conditionalFormatting sqref="E3941:E3945">
    <cfRule type="expression" dxfId="69" priority="29">
      <formula>F3941&lt;&gt;""</formula>
    </cfRule>
  </conditionalFormatting>
  <conditionalFormatting sqref="G3941:G3945">
    <cfRule type="expression" dxfId="68" priority="28">
      <formula>H3941&lt;&gt;""</formula>
    </cfRule>
  </conditionalFormatting>
  <conditionalFormatting sqref="H3941:H3945">
    <cfRule type="expression" dxfId="67" priority="27">
      <formula>H3941&lt;&gt;""</formula>
    </cfRule>
  </conditionalFormatting>
  <conditionalFormatting sqref="H3941">
    <cfRule type="expression" dxfId="66" priority="26">
      <formula>H3941&lt;&gt;""</formula>
    </cfRule>
  </conditionalFormatting>
  <conditionalFormatting sqref="H3945">
    <cfRule type="expression" dxfId="65" priority="25">
      <formula>H3941&lt;&gt;""</formula>
    </cfRule>
  </conditionalFormatting>
  <conditionalFormatting sqref="B3925:B3929">
    <cfRule type="expression" dxfId="64" priority="24">
      <formula>B3925&lt;&gt;""</formula>
    </cfRule>
  </conditionalFormatting>
  <conditionalFormatting sqref="B3931:B3932 C3931:I3931 I3930">
    <cfRule type="expression" dxfId="63" priority="23">
      <formula>$B3933&lt;&gt;""</formula>
    </cfRule>
  </conditionalFormatting>
  <conditionalFormatting sqref="B3939:B3940 C3939:I3939 I3938">
    <cfRule type="expression" dxfId="62" priority="22">
      <formula>$B3941&lt;&gt;""</formula>
    </cfRule>
  </conditionalFormatting>
  <conditionalFormatting sqref="B3869:B3873">
    <cfRule type="expression" dxfId="61" priority="21">
      <formula>B3869&lt;&gt;""</formula>
    </cfRule>
  </conditionalFormatting>
  <conditionalFormatting sqref="B3869">
    <cfRule type="expression" dxfId="60" priority="20">
      <formula>B3869&lt;&gt;""</formula>
    </cfRule>
  </conditionalFormatting>
  <conditionalFormatting sqref="B3873">
    <cfRule type="expression" dxfId="59" priority="19">
      <formula>B3869&lt;&gt;""</formula>
    </cfRule>
  </conditionalFormatting>
  <conditionalFormatting sqref="C3869:C3873">
    <cfRule type="expression" dxfId="58" priority="18">
      <formula>D3869&lt;&gt;""</formula>
    </cfRule>
  </conditionalFormatting>
  <conditionalFormatting sqref="D3869:D3873">
    <cfRule type="expression" dxfId="57" priority="17">
      <formula>D3869&lt;&gt;""</formula>
    </cfRule>
  </conditionalFormatting>
  <conditionalFormatting sqref="D3869">
    <cfRule type="expression" dxfId="56" priority="16">
      <formula>D3869&lt;&gt;""</formula>
    </cfRule>
  </conditionalFormatting>
  <conditionalFormatting sqref="D3873">
    <cfRule type="expression" dxfId="55" priority="15">
      <formula>D3869&lt;&gt;""</formula>
    </cfRule>
  </conditionalFormatting>
  <conditionalFormatting sqref="B3897">
    <cfRule type="expression" dxfId="54" priority="14">
      <formula>B3897&lt;&gt;""</formula>
    </cfRule>
  </conditionalFormatting>
  <conditionalFormatting sqref="B3901">
    <cfRule type="expression" dxfId="53" priority="13">
      <formula>B3897&lt;&gt;""</formula>
    </cfRule>
  </conditionalFormatting>
  <conditionalFormatting sqref="C3897:C3901">
    <cfRule type="expression" dxfId="52" priority="12">
      <formula>D3897&lt;&gt;""</formula>
    </cfRule>
  </conditionalFormatting>
  <conditionalFormatting sqref="D3897:D3901">
    <cfRule type="expression" dxfId="51" priority="11">
      <formula>D3897&lt;&gt;""</formula>
    </cfRule>
  </conditionalFormatting>
  <conditionalFormatting sqref="D3897">
    <cfRule type="expression" dxfId="50" priority="10">
      <formula>D3897&lt;&gt;""</formula>
    </cfRule>
  </conditionalFormatting>
  <conditionalFormatting sqref="D3901">
    <cfRule type="expression" dxfId="49" priority="9">
      <formula>D3897&lt;&gt;""</formula>
    </cfRule>
  </conditionalFormatting>
  <conditionalFormatting sqref="B3925">
    <cfRule type="expression" dxfId="48" priority="8">
      <formula>B3925&lt;&gt;""</formula>
    </cfRule>
  </conditionalFormatting>
  <conditionalFormatting sqref="B3929">
    <cfRule type="expression" dxfId="47" priority="7">
      <formula>B3925&lt;&gt;""</formula>
    </cfRule>
  </conditionalFormatting>
  <conditionalFormatting sqref="C3925:C3929">
    <cfRule type="expression" dxfId="46" priority="6">
      <formula>D3925&lt;&gt;""</formula>
    </cfRule>
  </conditionalFormatting>
  <conditionalFormatting sqref="D3925:D3929">
    <cfRule type="expression" dxfId="45" priority="5">
      <formula>D3925&lt;&gt;""</formula>
    </cfRule>
  </conditionalFormatting>
  <conditionalFormatting sqref="D3925">
    <cfRule type="expression" dxfId="44" priority="4">
      <formula>D3925&lt;&gt;""</formula>
    </cfRule>
  </conditionalFormatting>
  <conditionalFormatting sqref="D3929">
    <cfRule type="expression" dxfId="43" priority="3">
      <formula>D3925&lt;&gt;""</formula>
    </cfRule>
  </conditionalFormatting>
  <conditionalFormatting sqref="B3883:B3884 C3883:I3883 I3882">
    <cfRule type="expression" dxfId="42" priority="2">
      <formula>$B3885&lt;&gt;""</formula>
    </cfRule>
  </conditionalFormatting>
  <conditionalFormatting sqref="B3875:B3876 C3875:I3875 I3874">
    <cfRule type="expression" dxfId="41" priority="1">
      <formula>$B3877&lt;&gt;""</formula>
    </cfRule>
  </conditionalFormatting>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sheetPr codeName="Tabelle3"/>
  <dimension ref="A1:BP165"/>
  <sheetViews>
    <sheetView workbookViewId="0">
      <selection activeCell="C23" sqref="C23"/>
    </sheetView>
  </sheetViews>
  <sheetFormatPr baseColWidth="10" defaultRowHeight="15"/>
  <cols>
    <col min="1" max="1" width="19.7109375" customWidth="1"/>
    <col min="2" max="2" width="24.42578125" customWidth="1"/>
    <col min="3" max="3" width="39.7109375" customWidth="1"/>
    <col min="8" max="8" width="27.7109375" customWidth="1"/>
    <col min="12" max="12" width="13.28515625" customWidth="1"/>
    <col min="13" max="13" width="26.42578125" customWidth="1"/>
    <col min="18" max="18" width="18.85546875" customWidth="1"/>
    <col min="67" max="67" width="64" customWidth="1"/>
    <col min="68" max="68" width="65.42578125" bestFit="1" customWidth="1"/>
  </cols>
  <sheetData>
    <row r="1" spans="1:68" ht="31.5">
      <c r="C1" s="7" t="s">
        <v>1032</v>
      </c>
    </row>
    <row r="2" spans="1:68">
      <c r="A2" s="3" t="s">
        <v>27</v>
      </c>
      <c r="B2" s="3" t="s">
        <v>28</v>
      </c>
      <c r="C2" s="3" t="s">
        <v>29</v>
      </c>
      <c r="D2" s="3" t="s">
        <v>30</v>
      </c>
      <c r="E2" s="3" t="s">
        <v>31</v>
      </c>
      <c r="F2" s="3" t="s">
        <v>32</v>
      </c>
      <c r="G2" s="9" t="s">
        <v>33</v>
      </c>
      <c r="H2" s="9" t="s">
        <v>34</v>
      </c>
      <c r="I2" s="9" t="s">
        <v>35</v>
      </c>
      <c r="J2" s="9" t="s">
        <v>36</v>
      </c>
      <c r="K2" s="9" t="s">
        <v>37</v>
      </c>
      <c r="L2" s="2" t="s">
        <v>38</v>
      </c>
      <c r="M2" s="2" t="s">
        <v>39</v>
      </c>
      <c r="N2" s="2" t="s">
        <v>40</v>
      </c>
      <c r="O2" s="2" t="s">
        <v>41</v>
      </c>
      <c r="P2" s="2" t="s">
        <v>42</v>
      </c>
      <c r="Q2" s="5" t="s">
        <v>43</v>
      </c>
      <c r="R2" s="5" t="s">
        <v>44</v>
      </c>
      <c r="S2" s="5" t="s">
        <v>45</v>
      </c>
      <c r="T2" s="5" t="s">
        <v>46</v>
      </c>
      <c r="U2" s="5" t="s">
        <v>47</v>
      </c>
      <c r="V2" s="6" t="s">
        <v>48</v>
      </c>
      <c r="W2" s="6" t="s">
        <v>49</v>
      </c>
      <c r="X2" s="6" t="s">
        <v>50</v>
      </c>
      <c r="Y2" s="6" t="s">
        <v>51</v>
      </c>
      <c r="Z2" s="6" t="s">
        <v>52</v>
      </c>
      <c r="AA2" t="s">
        <v>53</v>
      </c>
      <c r="AB2" t="s">
        <v>54</v>
      </c>
      <c r="AC2" t="s">
        <v>55</v>
      </c>
      <c r="AD2" t="s">
        <v>56</v>
      </c>
      <c r="AE2" t="s">
        <v>57</v>
      </c>
      <c r="AF2" s="6" t="s">
        <v>58</v>
      </c>
      <c r="AG2" s="6" t="s">
        <v>59</v>
      </c>
      <c r="AH2" s="6" t="s">
        <v>60</v>
      </c>
      <c r="AI2" s="6" t="s">
        <v>61</v>
      </c>
      <c r="AJ2" s="6" t="s">
        <v>62</v>
      </c>
      <c r="AK2" t="s">
        <v>63</v>
      </c>
      <c r="AL2" t="s">
        <v>64</v>
      </c>
      <c r="AM2" t="s">
        <v>65</v>
      </c>
      <c r="AN2" t="s">
        <v>66</v>
      </c>
      <c r="AO2" t="s">
        <v>67</v>
      </c>
      <c r="AP2" s="6" t="s">
        <v>68</v>
      </c>
      <c r="AQ2" s="6" t="s">
        <v>69</v>
      </c>
      <c r="AR2" s="6" t="s">
        <v>70</v>
      </c>
      <c r="AS2" s="6" t="s">
        <v>71</v>
      </c>
      <c r="AT2" s="6" t="s">
        <v>72</v>
      </c>
      <c r="AU2" t="s">
        <v>73</v>
      </c>
      <c r="AV2" t="s">
        <v>74</v>
      </c>
      <c r="AW2" t="s">
        <v>75</v>
      </c>
      <c r="AX2" t="s">
        <v>76</v>
      </c>
      <c r="AY2" t="s">
        <v>77</v>
      </c>
      <c r="AZ2" s="6" t="s">
        <v>78</v>
      </c>
      <c r="BA2" s="6" t="s">
        <v>79</v>
      </c>
      <c r="BB2" s="6" t="s">
        <v>80</v>
      </c>
      <c r="BC2" s="6" t="s">
        <v>81</v>
      </c>
      <c r="BD2" s="6" t="s">
        <v>82</v>
      </c>
      <c r="BE2" t="s">
        <v>83</v>
      </c>
      <c r="BF2" t="s">
        <v>84</v>
      </c>
      <c r="BG2" t="s">
        <v>85</v>
      </c>
      <c r="BH2" t="s">
        <v>86</v>
      </c>
      <c r="BI2" t="s">
        <v>87</v>
      </c>
      <c r="BJ2" s="6" t="s">
        <v>88</v>
      </c>
      <c r="BK2" s="6" t="s">
        <v>89</v>
      </c>
      <c r="BL2" s="6" t="s">
        <v>90</v>
      </c>
      <c r="BM2" s="6" t="s">
        <v>91</v>
      </c>
      <c r="BN2" s="6" t="s">
        <v>92</v>
      </c>
      <c r="BO2" s="10" t="s">
        <v>93</v>
      </c>
      <c r="BP2" s="12" t="s">
        <v>98</v>
      </c>
    </row>
    <row r="3" spans="1:68">
      <c r="A3" s="3" t="s">
        <v>1033</v>
      </c>
      <c r="B3" s="3" t="s">
        <v>1034</v>
      </c>
      <c r="C3" s="3" t="s">
        <v>1035</v>
      </c>
      <c r="D3" s="3"/>
      <c r="E3" s="3"/>
      <c r="F3" s="3"/>
      <c r="G3" s="9" t="s">
        <v>3</v>
      </c>
      <c r="H3" s="9"/>
      <c r="I3" s="9"/>
      <c r="J3" s="9"/>
      <c r="K3" s="9"/>
      <c r="L3" s="2" t="s">
        <v>8</v>
      </c>
      <c r="M3" s="2"/>
      <c r="N3" s="2"/>
      <c r="O3" s="2"/>
      <c r="P3" s="2"/>
      <c r="Q3" s="5" t="s">
        <v>94</v>
      </c>
      <c r="R3" s="5"/>
      <c r="S3" s="5"/>
      <c r="T3" s="5"/>
      <c r="U3" s="5"/>
      <c r="V3" s="6" t="s">
        <v>95</v>
      </c>
      <c r="W3" s="6"/>
      <c r="X3" s="6"/>
      <c r="Y3" s="6"/>
      <c r="Z3" s="6"/>
      <c r="AA3" t="s">
        <v>102</v>
      </c>
      <c r="AF3" s="6" t="s">
        <v>10</v>
      </c>
      <c r="AG3" s="6"/>
      <c r="AH3" s="6"/>
      <c r="AI3" s="6"/>
      <c r="AJ3" s="6"/>
      <c r="AK3" t="s">
        <v>11</v>
      </c>
      <c r="AP3" s="6" t="s">
        <v>12</v>
      </c>
      <c r="AQ3" s="6"/>
      <c r="AR3" s="6"/>
      <c r="AS3" s="6"/>
      <c r="AT3" s="6"/>
      <c r="AU3" t="s">
        <v>13</v>
      </c>
      <c r="AZ3" s="6" t="s">
        <v>14</v>
      </c>
      <c r="BA3" s="6"/>
      <c r="BB3" s="6"/>
      <c r="BC3" s="6"/>
      <c r="BD3" s="6"/>
      <c r="BE3" t="s">
        <v>15</v>
      </c>
      <c r="BJ3" s="6" t="s">
        <v>16</v>
      </c>
      <c r="BK3" s="6"/>
      <c r="BL3" s="6"/>
      <c r="BM3" s="6"/>
      <c r="BN3" s="6"/>
      <c r="BO3" s="10" t="s">
        <v>96</v>
      </c>
      <c r="BP3" s="11" t="s">
        <v>97</v>
      </c>
    </row>
    <row r="4" spans="1:68">
      <c r="A4" s="3"/>
      <c r="B4" s="3"/>
      <c r="C4" s="3"/>
      <c r="D4" s="3" t="s">
        <v>7</v>
      </c>
      <c r="E4" s="3" t="s">
        <v>1</v>
      </c>
      <c r="F4" s="3" t="s">
        <v>2</v>
      </c>
      <c r="G4" s="9" t="s">
        <v>9</v>
      </c>
      <c r="H4" s="9" t="s">
        <v>0</v>
      </c>
      <c r="I4" s="9" t="s">
        <v>4</v>
      </c>
      <c r="J4" s="9" t="s">
        <v>1</v>
      </c>
      <c r="K4" s="9" t="s">
        <v>2</v>
      </c>
      <c r="L4" s="2" t="s">
        <v>9</v>
      </c>
      <c r="M4" s="2" t="s">
        <v>0</v>
      </c>
      <c r="N4" s="2" t="s">
        <v>4</v>
      </c>
      <c r="O4" s="2" t="s">
        <v>1</v>
      </c>
      <c r="P4" s="2" t="s">
        <v>2</v>
      </c>
      <c r="Q4" s="5" t="s">
        <v>9</v>
      </c>
      <c r="R4" s="5" t="s">
        <v>0</v>
      </c>
      <c r="S4" s="5" t="s">
        <v>4</v>
      </c>
      <c r="T4" s="5" t="s">
        <v>1</v>
      </c>
      <c r="U4" s="5" t="s">
        <v>2</v>
      </c>
      <c r="V4" s="6" t="s">
        <v>9</v>
      </c>
      <c r="W4" s="6" t="s">
        <v>0</v>
      </c>
      <c r="X4" s="6" t="s">
        <v>4</v>
      </c>
      <c r="Y4" s="6" t="s">
        <v>1</v>
      </c>
      <c r="Z4" s="6" t="s">
        <v>2</v>
      </c>
      <c r="AA4" t="s">
        <v>9</v>
      </c>
      <c r="AB4" t="s">
        <v>0</v>
      </c>
      <c r="AC4" t="s">
        <v>4</v>
      </c>
      <c r="AD4" t="s">
        <v>1</v>
      </c>
      <c r="AE4" t="s">
        <v>2</v>
      </c>
      <c r="AF4" s="6" t="s">
        <v>9</v>
      </c>
      <c r="AG4" s="6" t="s">
        <v>0</v>
      </c>
      <c r="AH4" s="6" t="s">
        <v>4</v>
      </c>
      <c r="AI4" s="6" t="s">
        <v>1</v>
      </c>
      <c r="AJ4" s="6" t="s">
        <v>2</v>
      </c>
      <c r="AK4" t="s">
        <v>9</v>
      </c>
      <c r="AL4" t="s">
        <v>0</v>
      </c>
      <c r="AM4" t="s">
        <v>4</v>
      </c>
      <c r="AN4" t="s">
        <v>1</v>
      </c>
      <c r="AO4" t="s">
        <v>2</v>
      </c>
      <c r="AP4" s="6" t="s">
        <v>9</v>
      </c>
      <c r="AQ4" s="6" t="s">
        <v>0</v>
      </c>
      <c r="AR4" s="6" t="s">
        <v>4</v>
      </c>
      <c r="AS4" s="6" t="s">
        <v>1</v>
      </c>
      <c r="AT4" s="6" t="s">
        <v>2</v>
      </c>
      <c r="AU4" t="s">
        <v>9</v>
      </c>
      <c r="AV4" t="s">
        <v>0</v>
      </c>
      <c r="AW4" t="s">
        <v>4</v>
      </c>
      <c r="AX4" t="s">
        <v>1</v>
      </c>
      <c r="AY4" t="s">
        <v>2</v>
      </c>
      <c r="AZ4" s="6" t="s">
        <v>9</v>
      </c>
      <c r="BA4" s="6" t="s">
        <v>0</v>
      </c>
      <c r="BB4" s="6" t="s">
        <v>4</v>
      </c>
      <c r="BC4" s="6" t="s">
        <v>1</v>
      </c>
      <c r="BD4" s="6" t="s">
        <v>2</v>
      </c>
      <c r="BE4" t="s">
        <v>9</v>
      </c>
      <c r="BF4" t="s">
        <v>0</v>
      </c>
      <c r="BG4" t="s">
        <v>4</v>
      </c>
      <c r="BH4" t="s">
        <v>1</v>
      </c>
      <c r="BI4" t="s">
        <v>2</v>
      </c>
      <c r="BJ4" s="6" t="s">
        <v>9</v>
      </c>
      <c r="BK4" s="6" t="s">
        <v>0</v>
      </c>
      <c r="BL4" s="6" t="s">
        <v>4</v>
      </c>
      <c r="BM4" s="6" t="s">
        <v>1</v>
      </c>
      <c r="BN4" s="6" t="s">
        <v>2</v>
      </c>
      <c r="BO4" s="10"/>
      <c r="BP4" s="11"/>
    </row>
    <row r="5" spans="1:68">
      <c r="A5" t="s">
        <v>103</v>
      </c>
      <c r="B5" t="s">
        <v>104</v>
      </c>
      <c r="C5" t="s">
        <v>270</v>
      </c>
      <c r="D5" t="s">
        <v>108</v>
      </c>
      <c r="E5" t="s">
        <v>109</v>
      </c>
      <c r="F5">
        <v>6.9999999999999996E-10</v>
      </c>
      <c r="G5" t="s">
        <v>106</v>
      </c>
      <c r="H5" t="s">
        <v>107</v>
      </c>
      <c r="I5" t="s">
        <v>5</v>
      </c>
      <c r="J5" t="s">
        <v>110</v>
      </c>
      <c r="K5">
        <v>4.29E-8</v>
      </c>
      <c r="L5" t="s">
        <v>111</v>
      </c>
      <c r="M5" t="s">
        <v>112</v>
      </c>
      <c r="N5" t="s">
        <v>6</v>
      </c>
      <c r="O5" t="s">
        <v>121</v>
      </c>
      <c r="P5">
        <v>2.4699999999999999E-8</v>
      </c>
      <c r="S5" t="s">
        <v>17</v>
      </c>
      <c r="U5">
        <v>4.1899999999999998E-9</v>
      </c>
      <c r="X5" t="s">
        <v>18</v>
      </c>
      <c r="AC5" t="s">
        <v>19</v>
      </c>
      <c r="AE5">
        <v>4.1899999999999998E-9</v>
      </c>
      <c r="AH5" t="s">
        <v>20</v>
      </c>
      <c r="AM5" t="s">
        <v>21</v>
      </c>
      <c r="AR5" t="s">
        <v>22</v>
      </c>
      <c r="AW5" t="s">
        <v>23</v>
      </c>
      <c r="BB5" t="s">
        <v>24</v>
      </c>
      <c r="BG5" t="s">
        <v>25</v>
      </c>
      <c r="BL5" t="s">
        <v>26</v>
      </c>
      <c r="BO5" t="str">
        <f>CONCATENATE(A5,B5,C5)</f>
        <v>Firma Test1. test10.0 test0 (E+A)</v>
      </c>
      <c r="BP5" t="str">
        <f>CONCATENATE(A5,B5)</f>
        <v>Firma Test1. test1</v>
      </c>
    </row>
    <row r="6" spans="1:68">
      <c r="A6" t="s">
        <v>103</v>
      </c>
      <c r="B6" t="s">
        <v>104</v>
      </c>
      <c r="C6" t="s">
        <v>262</v>
      </c>
      <c r="D6" t="s">
        <v>263</v>
      </c>
      <c r="E6" t="s">
        <v>264</v>
      </c>
      <c r="F6">
        <v>2.7000000000000002E-9</v>
      </c>
      <c r="G6" t="s">
        <v>265</v>
      </c>
      <c r="H6" t="s">
        <v>266</v>
      </c>
      <c r="I6" t="s">
        <v>5</v>
      </c>
      <c r="J6" t="s">
        <v>267</v>
      </c>
      <c r="K6">
        <v>2.8999999999999999E-9</v>
      </c>
      <c r="L6" t="s">
        <v>268</v>
      </c>
      <c r="M6" t="s">
        <v>269</v>
      </c>
      <c r="N6" t="s">
        <v>6</v>
      </c>
      <c r="O6" t="s">
        <v>356</v>
      </c>
      <c r="P6">
        <v>2.4699999999999999E-8</v>
      </c>
      <c r="Q6" t="s">
        <v>716</v>
      </c>
      <c r="R6" t="s">
        <v>756</v>
      </c>
      <c r="S6" t="s">
        <v>17</v>
      </c>
      <c r="T6" t="s">
        <v>776</v>
      </c>
      <c r="U6">
        <v>2.1980000000000001E-9</v>
      </c>
      <c r="AC6" t="s">
        <v>20</v>
      </c>
      <c r="BO6" t="str">
        <f>CONCATENATE(A6,B6,C6)</f>
        <v>Firma Test1. test11.1 test1 (E+1L+A)</v>
      </c>
      <c r="BP6" t="str">
        <f>CONCATENATE(A6,B6)</f>
        <v>Firma Test1. test1</v>
      </c>
    </row>
    <row r="7" spans="1:68">
      <c r="A7" t="s">
        <v>103</v>
      </c>
      <c r="B7" t="s">
        <v>104</v>
      </c>
      <c r="C7" t="s">
        <v>128</v>
      </c>
      <c r="D7" t="s">
        <v>137</v>
      </c>
      <c r="E7" t="s">
        <v>146</v>
      </c>
      <c r="F7">
        <v>2.7000000000000002E-9</v>
      </c>
      <c r="G7" t="s">
        <v>155</v>
      </c>
      <c r="H7" t="s">
        <v>164</v>
      </c>
      <c r="I7" t="s">
        <v>5</v>
      </c>
      <c r="J7" t="s">
        <v>173</v>
      </c>
      <c r="K7">
        <v>2.8999999999999999E-9</v>
      </c>
      <c r="L7" t="s">
        <v>182</v>
      </c>
      <c r="M7" t="s">
        <v>113</v>
      </c>
      <c r="N7" t="s">
        <v>6</v>
      </c>
      <c r="O7" t="s">
        <v>357</v>
      </c>
      <c r="P7">
        <v>2.4699999999999999E-8</v>
      </c>
      <c r="Q7" t="s">
        <v>717</v>
      </c>
      <c r="R7" t="s">
        <v>757</v>
      </c>
      <c r="S7" t="s">
        <v>17</v>
      </c>
      <c r="T7" t="s">
        <v>777</v>
      </c>
      <c r="U7">
        <v>2.1980000000000001E-9</v>
      </c>
      <c r="V7" t="s">
        <v>366</v>
      </c>
      <c r="W7" t="s">
        <v>191</v>
      </c>
      <c r="X7" t="s">
        <v>18</v>
      </c>
      <c r="Y7" t="s">
        <v>258</v>
      </c>
      <c r="Z7">
        <v>4.1899999999999998E-9</v>
      </c>
      <c r="AC7" t="s">
        <v>19</v>
      </c>
      <c r="AE7">
        <v>4.1899999999999998E-9</v>
      </c>
      <c r="AH7" t="s">
        <v>20</v>
      </c>
      <c r="AM7" t="s">
        <v>21</v>
      </c>
      <c r="AR7" t="s">
        <v>22</v>
      </c>
      <c r="AW7" t="s">
        <v>23</v>
      </c>
      <c r="BB7" t="s">
        <v>24</v>
      </c>
      <c r="BG7" t="s">
        <v>25</v>
      </c>
      <c r="BL7" t="s">
        <v>26</v>
      </c>
      <c r="BO7" t="str">
        <f>CONCATENATE(A7,B7,C7)</f>
        <v>Firma Test1. test11.2 test1 (E+2L+A)</v>
      </c>
      <c r="BP7" t="str">
        <f>CONCATENATE(A7,B7)</f>
        <v>Firma Test1. test1</v>
      </c>
    </row>
    <row r="8" spans="1:68">
      <c r="A8" t="s">
        <v>103</v>
      </c>
      <c r="B8" t="s">
        <v>104</v>
      </c>
      <c r="C8" t="s">
        <v>129</v>
      </c>
      <c r="D8" t="s">
        <v>138</v>
      </c>
      <c r="E8" t="s">
        <v>147</v>
      </c>
      <c r="F8">
        <v>3.7E-9</v>
      </c>
      <c r="G8" t="s">
        <v>156</v>
      </c>
      <c r="H8" t="s">
        <v>165</v>
      </c>
      <c r="I8" t="s">
        <v>5</v>
      </c>
      <c r="J8" t="s">
        <v>174</v>
      </c>
      <c r="K8">
        <v>3.9000000000000002E-9</v>
      </c>
      <c r="L8" t="s">
        <v>183</v>
      </c>
      <c r="M8" t="s">
        <v>114</v>
      </c>
      <c r="N8" t="s">
        <v>6</v>
      </c>
      <c r="O8" t="s">
        <v>358</v>
      </c>
      <c r="P8">
        <v>3.47E-8</v>
      </c>
      <c r="Q8" t="s">
        <v>718</v>
      </c>
      <c r="R8" t="s">
        <v>758</v>
      </c>
      <c r="S8" t="s">
        <v>17</v>
      </c>
      <c r="T8" t="s">
        <v>778</v>
      </c>
      <c r="U8">
        <v>3.1979999999999999E-9</v>
      </c>
      <c r="V8" t="s">
        <v>367</v>
      </c>
      <c r="W8" t="s">
        <v>192</v>
      </c>
      <c r="X8" t="s">
        <v>18</v>
      </c>
      <c r="Y8" t="s">
        <v>226</v>
      </c>
      <c r="Z8">
        <v>4.1949999999999997E-9</v>
      </c>
      <c r="AA8" t="s">
        <v>375</v>
      </c>
      <c r="AB8" t="s">
        <v>192</v>
      </c>
      <c r="AC8" t="s">
        <v>19</v>
      </c>
      <c r="AD8" t="s">
        <v>200</v>
      </c>
      <c r="AE8">
        <v>4.1899999999999998E-9</v>
      </c>
      <c r="AH8" t="s">
        <v>20</v>
      </c>
      <c r="AJ8">
        <v>4.1899999999999998E-9</v>
      </c>
      <c r="AM8" t="s">
        <v>21</v>
      </c>
      <c r="AO8">
        <v>4.1899999999999998E-9</v>
      </c>
      <c r="AR8" t="s">
        <v>22</v>
      </c>
      <c r="AT8">
        <v>4.1899999999999998E-9</v>
      </c>
      <c r="AW8" t="s">
        <v>23</v>
      </c>
      <c r="AY8">
        <v>4.1899999999999998E-9</v>
      </c>
      <c r="BB8" t="s">
        <v>24</v>
      </c>
      <c r="BG8" t="s">
        <v>25</v>
      </c>
      <c r="BL8" t="s">
        <v>26</v>
      </c>
      <c r="BO8" t="str">
        <f>CONCATENATE(A8,B8,C8)</f>
        <v>Firma Test1. test11.3 test1 (E+3L+A)</v>
      </c>
      <c r="BP8" t="str">
        <f>CONCATENATE(A8,B8)</f>
        <v>Firma Test1. test1</v>
      </c>
    </row>
    <row r="9" spans="1:68">
      <c r="A9" t="s">
        <v>103</v>
      </c>
      <c r="B9" t="s">
        <v>104</v>
      </c>
      <c r="C9" t="s">
        <v>130</v>
      </c>
      <c r="D9" t="s">
        <v>139</v>
      </c>
      <c r="E9" t="s">
        <v>148</v>
      </c>
      <c r="F9">
        <v>4.7000000000000003E-10</v>
      </c>
      <c r="G9" t="s">
        <v>157</v>
      </c>
      <c r="H9" t="s">
        <v>166</v>
      </c>
      <c r="I9" t="s">
        <v>5</v>
      </c>
      <c r="J9" t="s">
        <v>175</v>
      </c>
      <c r="K9">
        <v>4.9E-9</v>
      </c>
      <c r="L9" t="s">
        <v>184</v>
      </c>
      <c r="M9" t="s">
        <v>115</v>
      </c>
      <c r="N9" t="s">
        <v>6</v>
      </c>
      <c r="O9" t="s">
        <v>359</v>
      </c>
      <c r="P9">
        <v>4.4700000000000003E-8</v>
      </c>
      <c r="Q9" t="s">
        <v>719</v>
      </c>
      <c r="R9" t="s">
        <v>759</v>
      </c>
      <c r="S9" t="s">
        <v>17</v>
      </c>
      <c r="T9" t="s">
        <v>779</v>
      </c>
      <c r="U9">
        <v>4.1979999999999998E-9</v>
      </c>
      <c r="V9" t="s">
        <v>368</v>
      </c>
      <c r="W9" t="s">
        <v>193</v>
      </c>
      <c r="X9" t="s">
        <v>18</v>
      </c>
      <c r="Y9" t="s">
        <v>227</v>
      </c>
      <c r="Z9">
        <v>4.1949999999999997E-9</v>
      </c>
      <c r="AA9" t="s">
        <v>376</v>
      </c>
      <c r="AB9" t="s">
        <v>193</v>
      </c>
      <c r="AC9" t="s">
        <v>19</v>
      </c>
      <c r="AD9" t="s">
        <v>201</v>
      </c>
      <c r="AE9">
        <v>4.1899999999999998E-9</v>
      </c>
      <c r="AF9" t="s">
        <v>383</v>
      </c>
      <c r="AG9" t="s">
        <v>193</v>
      </c>
      <c r="AH9" t="s">
        <v>20</v>
      </c>
      <c r="AI9" t="s">
        <v>201</v>
      </c>
      <c r="AJ9">
        <v>4.1899999999999998E-9</v>
      </c>
      <c r="AM9" t="s">
        <v>21</v>
      </c>
      <c r="AO9">
        <v>4.1899999999999998E-9</v>
      </c>
      <c r="AR9" t="s">
        <v>22</v>
      </c>
      <c r="AT9">
        <v>4.1899999999999998E-9</v>
      </c>
      <c r="AW9" t="s">
        <v>23</v>
      </c>
      <c r="AY9">
        <v>4.1899999999999998E-9</v>
      </c>
      <c r="BB9" t="s">
        <v>24</v>
      </c>
      <c r="BD9">
        <v>4.1899999999999998E-9</v>
      </c>
      <c r="BG9" t="s">
        <v>25</v>
      </c>
      <c r="BI9">
        <v>4.1899999999999998E-9</v>
      </c>
      <c r="BL9" t="s">
        <v>26</v>
      </c>
      <c r="BO9" t="str">
        <f>CONCATENATE(A9,B9,C9)</f>
        <v>Firma Test1. test11.4 test1 (E+4L+A)</v>
      </c>
      <c r="BP9" t="str">
        <f>CONCATENATE(A9,B9)</f>
        <v>Firma Test1. test1</v>
      </c>
    </row>
    <row r="10" spans="1:68">
      <c r="A10" t="s">
        <v>103</v>
      </c>
      <c r="B10" t="s">
        <v>104</v>
      </c>
      <c r="C10" t="s">
        <v>131</v>
      </c>
      <c r="D10" t="s">
        <v>140</v>
      </c>
      <c r="E10" t="s">
        <v>149</v>
      </c>
      <c r="F10">
        <v>5.7E-10</v>
      </c>
      <c r="G10" t="s">
        <v>158</v>
      </c>
      <c r="H10" t="s">
        <v>167</v>
      </c>
      <c r="I10" t="s">
        <v>5</v>
      </c>
      <c r="J10" t="s">
        <v>176</v>
      </c>
      <c r="K10">
        <v>5.8999999999999999E-9</v>
      </c>
      <c r="L10" t="s">
        <v>185</v>
      </c>
      <c r="M10" t="s">
        <v>116</v>
      </c>
      <c r="N10" t="s">
        <v>6</v>
      </c>
      <c r="O10" t="s">
        <v>360</v>
      </c>
      <c r="P10">
        <v>5.47E-8</v>
      </c>
      <c r="Q10" t="s">
        <v>720</v>
      </c>
      <c r="R10" t="s">
        <v>760</v>
      </c>
      <c r="S10" t="s">
        <v>17</v>
      </c>
      <c r="T10" t="s">
        <v>780</v>
      </c>
      <c r="U10">
        <v>5.1979999999999996E-9</v>
      </c>
      <c r="V10" t="s">
        <v>369</v>
      </c>
      <c r="W10" t="s">
        <v>194</v>
      </c>
      <c r="X10" t="s">
        <v>18</v>
      </c>
      <c r="Y10" t="s">
        <v>228</v>
      </c>
      <c r="Z10">
        <v>4.1949999999999997E-9</v>
      </c>
      <c r="AA10" t="s">
        <v>377</v>
      </c>
      <c r="AB10" t="s">
        <v>194</v>
      </c>
      <c r="AC10" t="s">
        <v>19</v>
      </c>
      <c r="AD10" t="s">
        <v>202</v>
      </c>
      <c r="AE10">
        <v>4.1899999999999998E-9</v>
      </c>
      <c r="AF10" t="s">
        <v>384</v>
      </c>
      <c r="AG10" t="s">
        <v>194</v>
      </c>
      <c r="AH10" t="s">
        <v>20</v>
      </c>
      <c r="AI10" t="s">
        <v>202</v>
      </c>
      <c r="AJ10">
        <v>4.1899999999999998E-9</v>
      </c>
      <c r="AK10" t="s">
        <v>390</v>
      </c>
      <c r="AL10" t="s">
        <v>194</v>
      </c>
      <c r="AM10" t="s">
        <v>21</v>
      </c>
      <c r="AN10" t="s">
        <v>202</v>
      </c>
      <c r="AO10">
        <v>4.1899999999999998E-9</v>
      </c>
      <c r="AR10" t="s">
        <v>22</v>
      </c>
      <c r="AT10">
        <v>4.1899999999999998E-9</v>
      </c>
      <c r="AW10" t="s">
        <v>23</v>
      </c>
      <c r="AY10">
        <v>4.1899999999999998E-9</v>
      </c>
      <c r="BB10" t="s">
        <v>24</v>
      </c>
      <c r="BD10">
        <v>4.1899999999999998E-9</v>
      </c>
      <c r="BG10" t="s">
        <v>25</v>
      </c>
      <c r="BI10">
        <v>4.1899999999999998E-9</v>
      </c>
      <c r="BL10" t="s">
        <v>26</v>
      </c>
      <c r="BO10" t="str">
        <f t="shared" ref="BO10:BO16" si="0">CONCATENATE(A10,B10,C10)</f>
        <v>Firma Test1. test11.5 test1 (E+5L+A)</v>
      </c>
      <c r="BP10" t="str">
        <f t="shared" ref="BP10:BP16" si="1">CONCATENATE(A10,B10)</f>
        <v>Firma Test1. test1</v>
      </c>
    </row>
    <row r="11" spans="1:68">
      <c r="A11" t="s">
        <v>103</v>
      </c>
      <c r="B11" t="s">
        <v>104</v>
      </c>
      <c r="C11" t="s">
        <v>132</v>
      </c>
      <c r="D11" t="s">
        <v>141</v>
      </c>
      <c r="E11" t="s">
        <v>150</v>
      </c>
      <c r="F11">
        <v>6.6999999999999996E-10</v>
      </c>
      <c r="G11" t="s">
        <v>159</v>
      </c>
      <c r="H11" t="s">
        <v>168</v>
      </c>
      <c r="I11" t="s">
        <v>5</v>
      </c>
      <c r="J11" t="s">
        <v>177</v>
      </c>
      <c r="K11">
        <v>6.8999999999999997E-9</v>
      </c>
      <c r="L11" t="s">
        <v>186</v>
      </c>
      <c r="M11" t="s">
        <v>117</v>
      </c>
      <c r="N11" t="s">
        <v>6</v>
      </c>
      <c r="O11" t="s">
        <v>361</v>
      </c>
      <c r="P11">
        <v>6.4700000000000004E-8</v>
      </c>
      <c r="Q11" t="s">
        <v>721</v>
      </c>
      <c r="R11" t="s">
        <v>761</v>
      </c>
      <c r="S11" t="s">
        <v>17</v>
      </c>
      <c r="T11" t="s">
        <v>781</v>
      </c>
      <c r="U11">
        <v>6.1980000000000003E-9</v>
      </c>
      <c r="V11" t="s">
        <v>370</v>
      </c>
      <c r="W11" t="s">
        <v>195</v>
      </c>
      <c r="X11" t="s">
        <v>18</v>
      </c>
      <c r="Y11" t="s">
        <v>229</v>
      </c>
      <c r="Z11">
        <v>4.1949999999999997E-9</v>
      </c>
      <c r="AA11" t="s">
        <v>378</v>
      </c>
      <c r="AB11" t="s">
        <v>195</v>
      </c>
      <c r="AC11" t="s">
        <v>19</v>
      </c>
      <c r="AD11" t="s">
        <v>203</v>
      </c>
      <c r="AE11">
        <v>4.1899999999999998E-9</v>
      </c>
      <c r="AF11" t="s">
        <v>385</v>
      </c>
      <c r="AG11" t="s">
        <v>195</v>
      </c>
      <c r="AH11" t="s">
        <v>20</v>
      </c>
      <c r="AI11" t="s">
        <v>203</v>
      </c>
      <c r="AJ11">
        <v>4.1899999999999998E-9</v>
      </c>
      <c r="AK11" t="s">
        <v>391</v>
      </c>
      <c r="AL11" t="s">
        <v>195</v>
      </c>
      <c r="AM11" t="s">
        <v>21</v>
      </c>
      <c r="AN11" t="s">
        <v>203</v>
      </c>
      <c r="AO11">
        <v>4.1899999999999998E-9</v>
      </c>
      <c r="AP11" t="s">
        <v>531</v>
      </c>
      <c r="AQ11" t="s">
        <v>195</v>
      </c>
      <c r="AR11" t="s">
        <v>22</v>
      </c>
      <c r="AS11" t="s">
        <v>203</v>
      </c>
      <c r="AT11">
        <v>4.1899999999999998E-9</v>
      </c>
      <c r="AW11" t="s">
        <v>23</v>
      </c>
      <c r="AY11">
        <v>4.1899999999999998E-9</v>
      </c>
      <c r="BB11" t="s">
        <v>24</v>
      </c>
      <c r="BD11">
        <v>4.1899999999999998E-9</v>
      </c>
      <c r="BG11" t="s">
        <v>25</v>
      </c>
      <c r="BI11">
        <v>4.1899999999999998E-9</v>
      </c>
      <c r="BL11" t="s">
        <v>26</v>
      </c>
      <c r="BO11" t="str">
        <f t="shared" si="0"/>
        <v>Firma Test1. test11.6 test1 (E+6L+A)</v>
      </c>
      <c r="BP11" t="str">
        <f t="shared" si="1"/>
        <v>Firma Test1. test1</v>
      </c>
    </row>
    <row r="12" spans="1:68">
      <c r="A12" t="s">
        <v>103</v>
      </c>
      <c r="B12" t="s">
        <v>104</v>
      </c>
      <c r="C12" t="s">
        <v>133</v>
      </c>
      <c r="D12" t="s">
        <v>142</v>
      </c>
      <c r="E12" t="s">
        <v>151</v>
      </c>
      <c r="F12">
        <v>7.7000000000000003E-10</v>
      </c>
      <c r="G12" t="s">
        <v>160</v>
      </c>
      <c r="H12" t="s">
        <v>169</v>
      </c>
      <c r="I12" t="s">
        <v>5</v>
      </c>
      <c r="J12" t="s">
        <v>178</v>
      </c>
      <c r="K12">
        <v>7.8999999999999996E-9</v>
      </c>
      <c r="L12" t="s">
        <v>187</v>
      </c>
      <c r="M12" t="s">
        <v>118</v>
      </c>
      <c r="N12" t="s">
        <v>6</v>
      </c>
      <c r="O12" t="s">
        <v>362</v>
      </c>
      <c r="P12">
        <v>7.4700000000000001E-8</v>
      </c>
      <c r="Q12" t="s">
        <v>722</v>
      </c>
      <c r="R12" t="s">
        <v>762</v>
      </c>
      <c r="S12" t="s">
        <v>17</v>
      </c>
      <c r="T12" t="s">
        <v>782</v>
      </c>
      <c r="U12">
        <v>7.1980000000000002E-9</v>
      </c>
      <c r="V12" t="s">
        <v>371</v>
      </c>
      <c r="W12" t="s">
        <v>196</v>
      </c>
      <c r="X12" t="s">
        <v>18</v>
      </c>
      <c r="Y12" t="s">
        <v>230</v>
      </c>
      <c r="Z12">
        <v>4.1949999999999997E-9</v>
      </c>
      <c r="AA12" t="s">
        <v>379</v>
      </c>
      <c r="AB12" t="s">
        <v>196</v>
      </c>
      <c r="AC12" t="s">
        <v>19</v>
      </c>
      <c r="AD12" t="s">
        <v>204</v>
      </c>
      <c r="AE12">
        <v>4.1899999999999998E-9</v>
      </c>
      <c r="AF12" t="s">
        <v>386</v>
      </c>
      <c r="AG12" t="s">
        <v>196</v>
      </c>
      <c r="AH12" t="s">
        <v>20</v>
      </c>
      <c r="AI12" t="s">
        <v>204</v>
      </c>
      <c r="AJ12">
        <v>4.1899999999999998E-9</v>
      </c>
      <c r="AK12" t="s">
        <v>392</v>
      </c>
      <c r="AL12" t="s">
        <v>196</v>
      </c>
      <c r="AM12" t="s">
        <v>21</v>
      </c>
      <c r="AN12" t="s">
        <v>204</v>
      </c>
      <c r="AO12">
        <v>4.1899999999999998E-9</v>
      </c>
      <c r="AP12" t="s">
        <v>532</v>
      </c>
      <c r="AQ12" t="s">
        <v>196</v>
      </c>
      <c r="AR12" t="s">
        <v>22</v>
      </c>
      <c r="AS12" t="s">
        <v>204</v>
      </c>
      <c r="AT12">
        <v>4.1899999999999998E-9</v>
      </c>
      <c r="AU12" t="s">
        <v>527</v>
      </c>
      <c r="AV12" t="s">
        <v>196</v>
      </c>
      <c r="AW12" t="s">
        <v>23</v>
      </c>
      <c r="AX12" t="s">
        <v>204</v>
      </c>
      <c r="AY12">
        <v>4.1899999999999998E-9</v>
      </c>
      <c r="BB12" t="s">
        <v>24</v>
      </c>
      <c r="BD12">
        <v>4.1899999999999998E-9</v>
      </c>
      <c r="BG12" t="s">
        <v>25</v>
      </c>
      <c r="BI12">
        <v>4.1899999999999998E-9</v>
      </c>
      <c r="BL12" t="s">
        <v>26</v>
      </c>
      <c r="BO12" t="str">
        <f t="shared" si="0"/>
        <v>Firma Test1. test11.7 test1 (E+7L+A)</v>
      </c>
      <c r="BP12" t="str">
        <f t="shared" si="1"/>
        <v>Firma Test1. test1</v>
      </c>
    </row>
    <row r="13" spans="1:68">
      <c r="A13" t="s">
        <v>103</v>
      </c>
      <c r="B13" t="s">
        <v>104</v>
      </c>
      <c r="C13" t="s">
        <v>134</v>
      </c>
      <c r="D13" t="s">
        <v>143</v>
      </c>
      <c r="E13" t="s">
        <v>152</v>
      </c>
      <c r="F13">
        <v>8.6999999999999999E-10</v>
      </c>
      <c r="G13" t="s">
        <v>161</v>
      </c>
      <c r="H13" t="s">
        <v>170</v>
      </c>
      <c r="I13" t="s">
        <v>5</v>
      </c>
      <c r="J13" t="s">
        <v>179</v>
      </c>
      <c r="K13">
        <v>8.9000000000000003E-9</v>
      </c>
      <c r="L13" t="s">
        <v>188</v>
      </c>
      <c r="M13" t="s">
        <v>119</v>
      </c>
      <c r="N13" t="s">
        <v>6</v>
      </c>
      <c r="O13" t="s">
        <v>363</v>
      </c>
      <c r="P13">
        <v>8.4699999999999997E-8</v>
      </c>
      <c r="Q13" t="s">
        <v>723</v>
      </c>
      <c r="R13" t="s">
        <v>763</v>
      </c>
      <c r="S13" t="s">
        <v>17</v>
      </c>
      <c r="T13" t="s">
        <v>783</v>
      </c>
      <c r="U13">
        <v>8.198E-9</v>
      </c>
      <c r="V13" t="s">
        <v>372</v>
      </c>
      <c r="W13" t="s">
        <v>197</v>
      </c>
      <c r="X13" t="s">
        <v>18</v>
      </c>
      <c r="Y13" t="s">
        <v>231</v>
      </c>
      <c r="Z13">
        <v>4.1949999999999997E-9</v>
      </c>
      <c r="AA13" t="s">
        <v>380</v>
      </c>
      <c r="AB13" t="s">
        <v>197</v>
      </c>
      <c r="AC13" t="s">
        <v>19</v>
      </c>
      <c r="AD13" t="s">
        <v>205</v>
      </c>
      <c r="AE13">
        <v>4.1899999999999998E-9</v>
      </c>
      <c r="AF13" t="s">
        <v>387</v>
      </c>
      <c r="AG13" t="s">
        <v>197</v>
      </c>
      <c r="AH13" t="s">
        <v>20</v>
      </c>
      <c r="AI13" t="s">
        <v>205</v>
      </c>
      <c r="AJ13">
        <v>4.1899999999999998E-9</v>
      </c>
      <c r="AK13" t="s">
        <v>393</v>
      </c>
      <c r="AL13" t="s">
        <v>197</v>
      </c>
      <c r="AM13" t="s">
        <v>21</v>
      </c>
      <c r="AN13" t="s">
        <v>205</v>
      </c>
      <c r="AO13">
        <v>4.1899999999999998E-9</v>
      </c>
      <c r="AP13" t="s">
        <v>533</v>
      </c>
      <c r="AQ13" t="s">
        <v>197</v>
      </c>
      <c r="AR13" t="s">
        <v>22</v>
      </c>
      <c r="AS13" t="s">
        <v>205</v>
      </c>
      <c r="AT13">
        <v>4.1899999999999998E-9</v>
      </c>
      <c r="AU13" t="s">
        <v>528</v>
      </c>
      <c r="AV13" t="s">
        <v>197</v>
      </c>
      <c r="AW13" t="s">
        <v>23</v>
      </c>
      <c r="AX13" t="s">
        <v>205</v>
      </c>
      <c r="AY13">
        <v>4.1899999999999998E-9</v>
      </c>
      <c r="AZ13" t="s">
        <v>524</v>
      </c>
      <c r="BA13" t="s">
        <v>197</v>
      </c>
      <c r="BB13" t="s">
        <v>24</v>
      </c>
      <c r="BC13" t="s">
        <v>205</v>
      </c>
      <c r="BD13">
        <v>4.1899999999999998E-9</v>
      </c>
      <c r="BG13" t="s">
        <v>25</v>
      </c>
      <c r="BI13">
        <v>4.1899999999999998E-9</v>
      </c>
      <c r="BL13" t="s">
        <v>26</v>
      </c>
      <c r="BO13" t="str">
        <f t="shared" si="0"/>
        <v>Firma Test1. test11.8 test1 (E+8L+A)</v>
      </c>
      <c r="BP13" t="str">
        <f t="shared" si="1"/>
        <v>Firma Test1. test1</v>
      </c>
    </row>
    <row r="14" spans="1:68">
      <c r="A14" t="s">
        <v>103</v>
      </c>
      <c r="B14" t="s">
        <v>104</v>
      </c>
      <c r="C14" t="s">
        <v>135</v>
      </c>
      <c r="D14" t="s">
        <v>144</v>
      </c>
      <c r="E14" t="s">
        <v>153</v>
      </c>
      <c r="F14">
        <v>9.6999999999999996E-10</v>
      </c>
      <c r="G14" t="s">
        <v>162</v>
      </c>
      <c r="H14" t="s">
        <v>171</v>
      </c>
      <c r="I14" t="s">
        <v>5</v>
      </c>
      <c r="J14" t="s">
        <v>180</v>
      </c>
      <c r="K14">
        <v>9.8999999999999993E-9</v>
      </c>
      <c r="L14" t="s">
        <v>189</v>
      </c>
      <c r="M14" t="s">
        <v>120</v>
      </c>
      <c r="N14" t="s">
        <v>6</v>
      </c>
      <c r="O14" t="s">
        <v>364</v>
      </c>
      <c r="P14">
        <v>9.4699999999999994E-8</v>
      </c>
      <c r="Q14" t="s">
        <v>724</v>
      </c>
      <c r="R14" t="s">
        <v>764</v>
      </c>
      <c r="S14" t="s">
        <v>17</v>
      </c>
      <c r="T14" t="s">
        <v>784</v>
      </c>
      <c r="U14">
        <v>9.1980000000000007E-9</v>
      </c>
      <c r="V14" t="s">
        <v>373</v>
      </c>
      <c r="W14" t="s">
        <v>198</v>
      </c>
      <c r="X14" t="s">
        <v>18</v>
      </c>
      <c r="Y14" t="s">
        <v>232</v>
      </c>
      <c r="Z14">
        <v>4.1949999999999997E-9</v>
      </c>
      <c r="AA14" t="s">
        <v>381</v>
      </c>
      <c r="AB14" t="s">
        <v>198</v>
      </c>
      <c r="AC14" t="s">
        <v>19</v>
      </c>
      <c r="AD14" t="s">
        <v>206</v>
      </c>
      <c r="AE14">
        <v>4.1899999999999998E-9</v>
      </c>
      <c r="AF14" t="s">
        <v>388</v>
      </c>
      <c r="AG14" t="s">
        <v>198</v>
      </c>
      <c r="AH14" t="s">
        <v>20</v>
      </c>
      <c r="AI14" t="s">
        <v>206</v>
      </c>
      <c r="AJ14">
        <v>4.1899999999999998E-9</v>
      </c>
      <c r="AK14" t="s">
        <v>394</v>
      </c>
      <c r="AL14" t="s">
        <v>198</v>
      </c>
      <c r="AM14" t="s">
        <v>21</v>
      </c>
      <c r="AN14" t="s">
        <v>206</v>
      </c>
      <c r="AO14">
        <v>4.1899999999999998E-9</v>
      </c>
      <c r="AP14" t="s">
        <v>534</v>
      </c>
      <c r="AQ14" t="s">
        <v>198</v>
      </c>
      <c r="AR14" t="s">
        <v>22</v>
      </c>
      <c r="AS14" t="s">
        <v>206</v>
      </c>
      <c r="AT14">
        <v>4.1899999999999998E-9</v>
      </c>
      <c r="AU14" t="s">
        <v>529</v>
      </c>
      <c r="AV14" t="s">
        <v>198</v>
      </c>
      <c r="AW14" t="s">
        <v>23</v>
      </c>
      <c r="AX14" t="s">
        <v>206</v>
      </c>
      <c r="AY14">
        <v>4.1899999999999998E-9</v>
      </c>
      <c r="AZ14" t="s">
        <v>525</v>
      </c>
      <c r="BA14" t="s">
        <v>198</v>
      </c>
      <c r="BB14" t="s">
        <v>24</v>
      </c>
      <c r="BC14" t="s">
        <v>206</v>
      </c>
      <c r="BD14">
        <v>4.1899999999999998E-9</v>
      </c>
      <c r="BE14" t="s">
        <v>396</v>
      </c>
      <c r="BF14" t="s">
        <v>198</v>
      </c>
      <c r="BG14" t="s">
        <v>25</v>
      </c>
      <c r="BH14" t="s">
        <v>206</v>
      </c>
      <c r="BI14">
        <v>4.1899999999999998E-9</v>
      </c>
      <c r="BL14" t="s">
        <v>26</v>
      </c>
      <c r="BO14" t="str">
        <f t="shared" si="0"/>
        <v>Firma Test1. test11.9 test1 (E+9L+A)</v>
      </c>
      <c r="BP14" t="str">
        <f t="shared" si="1"/>
        <v>Firma Test1. test1</v>
      </c>
    </row>
    <row r="15" spans="1:68">
      <c r="A15" t="s">
        <v>103</v>
      </c>
      <c r="B15" t="s">
        <v>104</v>
      </c>
      <c r="C15" t="s">
        <v>136</v>
      </c>
      <c r="D15" t="s">
        <v>145</v>
      </c>
      <c r="E15" t="s">
        <v>154</v>
      </c>
      <c r="F15">
        <v>1.0700000000000001E-10</v>
      </c>
      <c r="G15" t="s">
        <v>163</v>
      </c>
      <c r="H15" t="s">
        <v>172</v>
      </c>
      <c r="I15" t="s">
        <v>5</v>
      </c>
      <c r="J15" t="s">
        <v>181</v>
      </c>
      <c r="K15">
        <v>1.09E-8</v>
      </c>
      <c r="L15" t="s">
        <v>190</v>
      </c>
      <c r="M15" t="s">
        <v>122</v>
      </c>
      <c r="N15" t="s">
        <v>6</v>
      </c>
      <c r="O15" t="s">
        <v>365</v>
      </c>
      <c r="P15">
        <v>1.047E-8</v>
      </c>
      <c r="Q15" t="s">
        <v>725</v>
      </c>
      <c r="R15" t="s">
        <v>765</v>
      </c>
      <c r="S15" t="s">
        <v>17</v>
      </c>
      <c r="T15" t="s">
        <v>785</v>
      </c>
      <c r="U15">
        <v>1.0197999999999999E-9</v>
      </c>
      <c r="V15" t="s">
        <v>374</v>
      </c>
      <c r="W15" t="s">
        <v>199</v>
      </c>
      <c r="X15" t="s">
        <v>18</v>
      </c>
      <c r="Y15" t="s">
        <v>233</v>
      </c>
      <c r="Z15">
        <v>4.1949999999999997E-9</v>
      </c>
      <c r="AA15" t="s">
        <v>382</v>
      </c>
      <c r="AB15" t="s">
        <v>199</v>
      </c>
      <c r="AC15" t="s">
        <v>19</v>
      </c>
      <c r="AD15" t="s">
        <v>207</v>
      </c>
      <c r="AE15">
        <v>4.1899999999999998E-9</v>
      </c>
      <c r="AF15" t="s">
        <v>389</v>
      </c>
      <c r="AG15" t="s">
        <v>199</v>
      </c>
      <c r="AH15" t="s">
        <v>20</v>
      </c>
      <c r="AI15" t="s">
        <v>207</v>
      </c>
      <c r="AJ15">
        <v>4.1899999999999998E-9</v>
      </c>
      <c r="AK15" t="s">
        <v>395</v>
      </c>
      <c r="AL15" t="s">
        <v>199</v>
      </c>
      <c r="AM15" t="s">
        <v>21</v>
      </c>
      <c r="AN15" t="s">
        <v>207</v>
      </c>
      <c r="AO15">
        <v>4.1899999999999998E-9</v>
      </c>
      <c r="AP15" t="s">
        <v>535</v>
      </c>
      <c r="AQ15" t="s">
        <v>199</v>
      </c>
      <c r="AR15" t="s">
        <v>22</v>
      </c>
      <c r="AS15" t="s">
        <v>207</v>
      </c>
      <c r="AT15">
        <v>4.1899999999999998E-9</v>
      </c>
      <c r="AU15" t="s">
        <v>530</v>
      </c>
      <c r="AV15" t="s">
        <v>199</v>
      </c>
      <c r="AW15" t="s">
        <v>23</v>
      </c>
      <c r="AX15" t="s">
        <v>207</v>
      </c>
      <c r="AY15">
        <v>4.1899999999999998E-9</v>
      </c>
      <c r="AZ15" t="s">
        <v>526</v>
      </c>
      <c r="BA15" t="s">
        <v>199</v>
      </c>
      <c r="BB15" t="s">
        <v>24</v>
      </c>
      <c r="BC15" t="s">
        <v>207</v>
      </c>
      <c r="BD15">
        <v>4.1899999999999998E-9</v>
      </c>
      <c r="BE15" t="s">
        <v>397</v>
      </c>
      <c r="BF15" t="s">
        <v>199</v>
      </c>
      <c r="BG15" t="s">
        <v>25</v>
      </c>
      <c r="BH15" t="s">
        <v>207</v>
      </c>
      <c r="BI15">
        <v>4.1899999999999998E-9</v>
      </c>
      <c r="BJ15" t="s">
        <v>398</v>
      </c>
      <c r="BK15" t="s">
        <v>399</v>
      </c>
      <c r="BL15" t="s">
        <v>26</v>
      </c>
      <c r="BM15" t="s">
        <v>261</v>
      </c>
      <c r="BN15">
        <v>4.1899999999999998E-9</v>
      </c>
      <c r="BO15" t="str">
        <f t="shared" si="0"/>
        <v>Firma Test1. test11.10 test1 (E+10L+A)</v>
      </c>
      <c r="BP15" t="str">
        <f t="shared" si="1"/>
        <v>Firma Test1. test1</v>
      </c>
    </row>
    <row r="16" spans="1:68">
      <c r="A16" t="s">
        <v>103</v>
      </c>
      <c r="B16" t="s">
        <v>105</v>
      </c>
      <c r="C16" t="s">
        <v>123</v>
      </c>
      <c r="D16" t="s">
        <v>276</v>
      </c>
      <c r="E16" t="s">
        <v>286</v>
      </c>
      <c r="F16">
        <v>7.17E-8</v>
      </c>
      <c r="G16" t="s">
        <v>296</v>
      </c>
      <c r="H16" t="s">
        <v>306</v>
      </c>
      <c r="I16" t="s">
        <v>5</v>
      </c>
      <c r="J16" t="s">
        <v>316</v>
      </c>
      <c r="K16">
        <v>4.29E-8</v>
      </c>
      <c r="L16" t="s">
        <v>326</v>
      </c>
      <c r="M16" t="s">
        <v>336</v>
      </c>
      <c r="N16" t="s">
        <v>6</v>
      </c>
      <c r="O16" t="s">
        <v>346</v>
      </c>
      <c r="P16">
        <v>2.4699999999999999E-8</v>
      </c>
      <c r="Q16" t="s">
        <v>726</v>
      </c>
      <c r="R16" t="s">
        <v>766</v>
      </c>
      <c r="S16" t="s">
        <v>17</v>
      </c>
      <c r="T16" t="s">
        <v>786</v>
      </c>
      <c r="U16">
        <v>4.1899999999999998E-9</v>
      </c>
      <c r="X16" t="s">
        <v>18</v>
      </c>
      <c r="Z16">
        <v>4.1899999999999998E-9</v>
      </c>
      <c r="AE16">
        <v>4.1899999999999998E-9</v>
      </c>
      <c r="AH16" t="s">
        <v>20</v>
      </c>
      <c r="AJ16">
        <v>4.1899999999999998E-9</v>
      </c>
      <c r="AM16" t="s">
        <v>21</v>
      </c>
      <c r="AO16">
        <v>4.1899999999999998E-9</v>
      </c>
      <c r="AR16" t="s">
        <v>22</v>
      </c>
      <c r="AT16">
        <v>4.1899999999999998E-9</v>
      </c>
      <c r="AW16" t="s">
        <v>23</v>
      </c>
      <c r="AY16">
        <v>4.1899999999999998E-9</v>
      </c>
      <c r="BB16" t="s">
        <v>24</v>
      </c>
      <c r="BD16">
        <v>4.1899999999999998E-9</v>
      </c>
      <c r="BG16" t="s">
        <v>25</v>
      </c>
      <c r="BI16">
        <v>4.1899999999999998E-9</v>
      </c>
      <c r="BL16" t="s">
        <v>26</v>
      </c>
      <c r="BN16">
        <v>4.1899999999999998E-9</v>
      </c>
      <c r="BO16" t="str">
        <f t="shared" si="0"/>
        <v>Firma Test2. test22.1 test2 (E+1L+A)</v>
      </c>
      <c r="BP16" t="str">
        <f t="shared" si="1"/>
        <v>Firma Test2. test2</v>
      </c>
    </row>
    <row r="17" spans="1:68">
      <c r="A17" t="s">
        <v>103</v>
      </c>
      <c r="B17" t="s">
        <v>105</v>
      </c>
      <c r="C17" t="s">
        <v>124</v>
      </c>
      <c r="D17" t="s">
        <v>277</v>
      </c>
      <c r="E17" t="s">
        <v>287</v>
      </c>
      <c r="F17">
        <v>7.17E-8</v>
      </c>
      <c r="G17" t="s">
        <v>297</v>
      </c>
      <c r="H17" t="s">
        <v>307</v>
      </c>
      <c r="I17" t="s">
        <v>5</v>
      </c>
      <c r="J17" t="s">
        <v>317</v>
      </c>
      <c r="K17">
        <v>4.29E-8</v>
      </c>
      <c r="L17" t="s">
        <v>327</v>
      </c>
      <c r="M17" t="s">
        <v>337</v>
      </c>
      <c r="N17" t="s">
        <v>6</v>
      </c>
      <c r="O17" t="s">
        <v>347</v>
      </c>
      <c r="P17">
        <v>2.4699999999999999E-8</v>
      </c>
      <c r="Q17" t="s">
        <v>727</v>
      </c>
      <c r="R17" t="s">
        <v>767</v>
      </c>
      <c r="S17" t="s">
        <v>17</v>
      </c>
      <c r="T17" t="s">
        <v>258</v>
      </c>
      <c r="U17">
        <v>4.1899999999999998E-9</v>
      </c>
      <c r="V17" t="s">
        <v>208</v>
      </c>
      <c r="W17" t="s">
        <v>216</v>
      </c>
      <c r="X17" t="s">
        <v>18</v>
      </c>
      <c r="Y17" t="s">
        <v>258</v>
      </c>
      <c r="Z17">
        <v>4.1899999999999998E-9</v>
      </c>
      <c r="AE17">
        <v>4.1899999999999998E-9</v>
      </c>
      <c r="AH17" t="s">
        <v>20</v>
      </c>
      <c r="AJ17">
        <v>4.1899999999999998E-9</v>
      </c>
      <c r="AM17" t="s">
        <v>21</v>
      </c>
      <c r="AO17">
        <v>4.1899999999999998E-9</v>
      </c>
      <c r="AR17" t="s">
        <v>22</v>
      </c>
      <c r="AT17">
        <v>4.1899999999999998E-9</v>
      </c>
      <c r="AW17" t="s">
        <v>23</v>
      </c>
      <c r="AY17">
        <v>4.1899999999999998E-9</v>
      </c>
      <c r="BB17" t="s">
        <v>24</v>
      </c>
      <c r="BD17">
        <v>4.1899999999999998E-9</v>
      </c>
      <c r="BG17" t="s">
        <v>25</v>
      </c>
      <c r="BI17">
        <v>4.1899999999999998E-9</v>
      </c>
      <c r="BL17" t="s">
        <v>26</v>
      </c>
      <c r="BN17">
        <v>4.1899999999999998E-9</v>
      </c>
      <c r="BO17" t="str">
        <f t="shared" ref="BO17:BO23" si="2">CONCATENATE(A17,B17,C17)</f>
        <v>Firma Test2. test22.2 test2 (E+2L+A)</v>
      </c>
      <c r="BP17" t="str">
        <f t="shared" ref="BP17:BP23" si="3">CONCATENATE(A17,B17)</f>
        <v>Firma Test2. test2</v>
      </c>
    </row>
    <row r="18" spans="1:68">
      <c r="A18" t="s">
        <v>103</v>
      </c>
      <c r="B18" t="s">
        <v>105</v>
      </c>
      <c r="C18" t="s">
        <v>125</v>
      </c>
      <c r="D18" t="s">
        <v>278</v>
      </c>
      <c r="E18" t="s">
        <v>288</v>
      </c>
      <c r="F18">
        <v>7.17E-8</v>
      </c>
      <c r="G18" t="s">
        <v>298</v>
      </c>
      <c r="H18" t="s">
        <v>308</v>
      </c>
      <c r="I18" t="s">
        <v>5</v>
      </c>
      <c r="J18" t="s">
        <v>318</v>
      </c>
      <c r="K18">
        <v>4.29E-8</v>
      </c>
      <c r="L18" t="s">
        <v>328</v>
      </c>
      <c r="M18" t="s">
        <v>338</v>
      </c>
      <c r="N18" t="s">
        <v>6</v>
      </c>
      <c r="O18" t="s">
        <v>348</v>
      </c>
      <c r="P18">
        <v>2.4699999999999999E-8</v>
      </c>
      <c r="Q18" t="s">
        <v>728</v>
      </c>
      <c r="R18" t="s">
        <v>768</v>
      </c>
      <c r="S18" t="s">
        <v>17</v>
      </c>
      <c r="T18" t="s">
        <v>226</v>
      </c>
      <c r="U18">
        <v>4.1899999999999998E-9</v>
      </c>
      <c r="V18" t="s">
        <v>209</v>
      </c>
      <c r="W18" t="s">
        <v>217</v>
      </c>
      <c r="X18" t="s">
        <v>18</v>
      </c>
      <c r="Y18" t="s">
        <v>226</v>
      </c>
      <c r="Z18">
        <v>4.1899999999999998E-9</v>
      </c>
      <c r="AA18" t="s">
        <v>209</v>
      </c>
      <c r="AB18" t="s">
        <v>217</v>
      </c>
      <c r="AC18" t="s">
        <v>19</v>
      </c>
      <c r="AD18" t="s">
        <v>226</v>
      </c>
      <c r="AE18">
        <v>4.1899999999999998E-9</v>
      </c>
      <c r="AH18" t="s">
        <v>20</v>
      </c>
      <c r="AJ18">
        <v>4.1899999999999998E-9</v>
      </c>
      <c r="AM18" t="s">
        <v>21</v>
      </c>
      <c r="AO18">
        <v>4.1899999999999998E-9</v>
      </c>
      <c r="AR18" t="s">
        <v>22</v>
      </c>
      <c r="AT18">
        <v>4.1899999999999998E-9</v>
      </c>
      <c r="AW18" t="s">
        <v>23</v>
      </c>
      <c r="AY18">
        <v>4.1899999999999998E-9</v>
      </c>
      <c r="BB18" t="s">
        <v>24</v>
      </c>
      <c r="BD18">
        <v>4.1899999999999998E-9</v>
      </c>
      <c r="BG18" t="s">
        <v>25</v>
      </c>
      <c r="BI18">
        <v>4.1899999999999998E-9</v>
      </c>
      <c r="BL18" t="s">
        <v>26</v>
      </c>
      <c r="BN18">
        <v>4.1899999999999998E-9</v>
      </c>
      <c r="BO18" t="str">
        <f t="shared" si="2"/>
        <v>Firma Test2. test22.3 test2 (E+3L+A)</v>
      </c>
      <c r="BP18" t="str">
        <f t="shared" si="3"/>
        <v>Firma Test2. test2</v>
      </c>
    </row>
    <row r="19" spans="1:68">
      <c r="A19" t="s">
        <v>103</v>
      </c>
      <c r="B19" t="s">
        <v>105</v>
      </c>
      <c r="C19" t="s">
        <v>126</v>
      </c>
      <c r="D19" t="s">
        <v>279</v>
      </c>
      <c r="E19" t="s">
        <v>289</v>
      </c>
      <c r="F19">
        <v>7.17E-8</v>
      </c>
      <c r="G19" t="s">
        <v>299</v>
      </c>
      <c r="H19" t="s">
        <v>309</v>
      </c>
      <c r="I19" t="s">
        <v>5</v>
      </c>
      <c r="J19" t="s">
        <v>319</v>
      </c>
      <c r="K19">
        <v>4.29E-8</v>
      </c>
      <c r="L19" t="s">
        <v>329</v>
      </c>
      <c r="M19" t="s">
        <v>339</v>
      </c>
      <c r="N19" t="s">
        <v>6</v>
      </c>
      <c r="O19" t="s">
        <v>349</v>
      </c>
      <c r="P19">
        <v>2.4699999999999999E-8</v>
      </c>
      <c r="Q19" t="s">
        <v>729</v>
      </c>
      <c r="R19" t="s">
        <v>769</v>
      </c>
      <c r="S19" t="s">
        <v>17</v>
      </c>
      <c r="T19" t="s">
        <v>227</v>
      </c>
      <c r="U19">
        <v>4.1899999999999998E-9</v>
      </c>
      <c r="V19" t="s">
        <v>210</v>
      </c>
      <c r="W19" t="s">
        <v>218</v>
      </c>
      <c r="X19" t="s">
        <v>18</v>
      </c>
      <c r="Y19" t="s">
        <v>227</v>
      </c>
      <c r="Z19">
        <v>4.1899999999999998E-9</v>
      </c>
      <c r="AA19" t="s">
        <v>210</v>
      </c>
      <c r="AB19" t="s">
        <v>218</v>
      </c>
      <c r="AC19" t="s">
        <v>19</v>
      </c>
      <c r="AD19" t="s">
        <v>227</v>
      </c>
      <c r="AE19">
        <v>4.1899999999999998E-9</v>
      </c>
      <c r="AF19" t="s">
        <v>210</v>
      </c>
      <c r="AG19" t="s">
        <v>218</v>
      </c>
      <c r="AH19" t="s">
        <v>20</v>
      </c>
      <c r="AI19" t="s">
        <v>227</v>
      </c>
      <c r="AJ19">
        <v>4.1899999999999998E-9</v>
      </c>
      <c r="AM19" t="s">
        <v>21</v>
      </c>
      <c r="AO19">
        <v>4.1899999999999998E-9</v>
      </c>
      <c r="AR19" t="s">
        <v>22</v>
      </c>
      <c r="AT19">
        <v>4.1899999999999998E-9</v>
      </c>
      <c r="AW19" t="s">
        <v>23</v>
      </c>
      <c r="AY19">
        <v>4.1899999999999998E-9</v>
      </c>
      <c r="BB19" t="s">
        <v>24</v>
      </c>
      <c r="BD19">
        <v>4.1899999999999998E-9</v>
      </c>
      <c r="BG19" t="s">
        <v>25</v>
      </c>
      <c r="BI19">
        <v>4.1899999999999998E-9</v>
      </c>
      <c r="BL19" t="s">
        <v>26</v>
      </c>
      <c r="BN19">
        <v>4.1899999999999998E-9</v>
      </c>
      <c r="BO19" t="str">
        <f t="shared" si="2"/>
        <v>Firma Test2. test22.4 test2 (E+4L+A)</v>
      </c>
      <c r="BP19" t="str">
        <f t="shared" si="3"/>
        <v>Firma Test2. test2</v>
      </c>
    </row>
    <row r="20" spans="1:68">
      <c r="A20" t="s">
        <v>103</v>
      </c>
      <c r="B20" t="s">
        <v>105</v>
      </c>
      <c r="C20" t="s">
        <v>127</v>
      </c>
      <c r="D20" t="s">
        <v>280</v>
      </c>
      <c r="E20" t="s">
        <v>290</v>
      </c>
      <c r="F20">
        <v>7.17E-8</v>
      </c>
      <c r="G20" t="s">
        <v>300</v>
      </c>
      <c r="H20" t="s">
        <v>310</v>
      </c>
      <c r="I20" t="s">
        <v>5</v>
      </c>
      <c r="J20" t="s">
        <v>320</v>
      </c>
      <c r="K20">
        <v>4.29E-8</v>
      </c>
      <c r="L20" t="s">
        <v>330</v>
      </c>
      <c r="M20" t="s">
        <v>340</v>
      </c>
      <c r="N20" t="s">
        <v>6</v>
      </c>
      <c r="O20" t="s">
        <v>350</v>
      </c>
      <c r="P20">
        <v>2.4699999999999999E-8</v>
      </c>
      <c r="Q20" t="s">
        <v>730</v>
      </c>
      <c r="R20" t="s">
        <v>770</v>
      </c>
      <c r="S20" t="s">
        <v>17</v>
      </c>
      <c r="T20" t="s">
        <v>228</v>
      </c>
      <c r="U20">
        <v>4.1899999999999998E-9</v>
      </c>
      <c r="V20" t="s">
        <v>211</v>
      </c>
      <c r="W20" t="s">
        <v>219</v>
      </c>
      <c r="X20" t="s">
        <v>18</v>
      </c>
      <c r="Y20" t="s">
        <v>228</v>
      </c>
      <c r="Z20">
        <v>4.1899999999999998E-9</v>
      </c>
      <c r="AA20" t="s">
        <v>211</v>
      </c>
      <c r="AB20" t="s">
        <v>219</v>
      </c>
      <c r="AC20" t="s">
        <v>19</v>
      </c>
      <c r="AD20" t="s">
        <v>228</v>
      </c>
      <c r="AE20">
        <v>4.1899999999999998E-9</v>
      </c>
      <c r="AF20" t="s">
        <v>211</v>
      </c>
      <c r="AG20" t="s">
        <v>219</v>
      </c>
      <c r="AH20" t="s">
        <v>20</v>
      </c>
      <c r="AI20" t="s">
        <v>228</v>
      </c>
      <c r="AJ20">
        <v>4.1899999999999998E-9</v>
      </c>
      <c r="AK20" t="s">
        <v>211</v>
      </c>
      <c r="AL20" t="s">
        <v>219</v>
      </c>
      <c r="AM20" t="s">
        <v>21</v>
      </c>
      <c r="AN20" t="s">
        <v>228</v>
      </c>
      <c r="AO20">
        <v>4.1899999999999998E-9</v>
      </c>
      <c r="AR20" t="s">
        <v>22</v>
      </c>
      <c r="AT20">
        <v>4.1899999999999998E-9</v>
      </c>
      <c r="AW20" t="s">
        <v>23</v>
      </c>
      <c r="AY20">
        <v>4.1899999999999998E-9</v>
      </c>
      <c r="BB20" t="s">
        <v>24</v>
      </c>
      <c r="BD20">
        <v>4.1899999999999998E-9</v>
      </c>
      <c r="BG20" t="s">
        <v>25</v>
      </c>
      <c r="BI20">
        <v>4.1899999999999998E-9</v>
      </c>
      <c r="BL20" t="s">
        <v>26</v>
      </c>
      <c r="BN20">
        <v>4.1899999999999998E-9</v>
      </c>
      <c r="BO20" t="str">
        <f t="shared" si="2"/>
        <v>Firma Test2. test22.5 test2 (E+5L+A)</v>
      </c>
      <c r="BP20" t="str">
        <f t="shared" si="3"/>
        <v>Firma Test2. test2</v>
      </c>
    </row>
    <row r="21" spans="1:68">
      <c r="A21" t="s">
        <v>103</v>
      </c>
      <c r="B21" t="s">
        <v>105</v>
      </c>
      <c r="C21" t="s">
        <v>272</v>
      </c>
      <c r="D21" t="s">
        <v>281</v>
      </c>
      <c r="E21" t="s">
        <v>291</v>
      </c>
      <c r="F21">
        <v>7.17E-8</v>
      </c>
      <c r="G21" t="s">
        <v>301</v>
      </c>
      <c r="H21" t="s">
        <v>311</v>
      </c>
      <c r="I21" t="s">
        <v>5</v>
      </c>
      <c r="J21" t="s">
        <v>321</v>
      </c>
      <c r="K21">
        <v>4.29E-8</v>
      </c>
      <c r="L21" t="s">
        <v>331</v>
      </c>
      <c r="M21" t="s">
        <v>341</v>
      </c>
      <c r="N21" t="s">
        <v>6</v>
      </c>
      <c r="O21" t="s">
        <v>351</v>
      </c>
      <c r="P21">
        <v>2.4699999999999999E-8</v>
      </c>
      <c r="Q21" t="s">
        <v>731</v>
      </c>
      <c r="R21" t="s">
        <v>771</v>
      </c>
      <c r="S21" t="s">
        <v>17</v>
      </c>
      <c r="T21" t="s">
        <v>229</v>
      </c>
      <c r="U21">
        <v>4.1899999999999998E-9</v>
      </c>
      <c r="V21" t="s">
        <v>212</v>
      </c>
      <c r="W21" t="s">
        <v>220</v>
      </c>
      <c r="X21" t="s">
        <v>18</v>
      </c>
      <c r="Y21" t="s">
        <v>229</v>
      </c>
      <c r="Z21">
        <v>4.1899999999999998E-9</v>
      </c>
      <c r="AA21" t="s">
        <v>212</v>
      </c>
      <c r="AB21" t="s">
        <v>220</v>
      </c>
      <c r="AC21" t="s">
        <v>19</v>
      </c>
      <c r="AD21" t="s">
        <v>229</v>
      </c>
      <c r="AE21">
        <v>4.1899999999999998E-9</v>
      </c>
      <c r="AF21" t="s">
        <v>212</v>
      </c>
      <c r="AG21" t="s">
        <v>220</v>
      </c>
      <c r="AH21" t="s">
        <v>20</v>
      </c>
      <c r="AI21" t="s">
        <v>229</v>
      </c>
      <c r="AJ21">
        <v>4.1899999999999998E-9</v>
      </c>
      <c r="AK21" t="s">
        <v>212</v>
      </c>
      <c r="AL21" t="s">
        <v>220</v>
      </c>
      <c r="AM21" t="s">
        <v>21</v>
      </c>
      <c r="AN21" t="s">
        <v>229</v>
      </c>
      <c r="AO21">
        <v>4.1899999999999998E-9</v>
      </c>
      <c r="AP21" t="s">
        <v>412</v>
      </c>
      <c r="AQ21" t="s">
        <v>411</v>
      </c>
      <c r="AR21" t="s">
        <v>22</v>
      </c>
      <c r="AS21" t="s">
        <v>410</v>
      </c>
      <c r="AT21">
        <v>4.1899999999999998E-9</v>
      </c>
      <c r="AW21" t="s">
        <v>23</v>
      </c>
      <c r="AY21">
        <v>4.1899999999999998E-9</v>
      </c>
      <c r="BB21" t="s">
        <v>24</v>
      </c>
      <c r="BD21">
        <v>4.1899999999999998E-9</v>
      </c>
      <c r="BG21" t="s">
        <v>25</v>
      </c>
      <c r="BI21">
        <v>4.1899999999999998E-9</v>
      </c>
      <c r="BL21" t="s">
        <v>26</v>
      </c>
      <c r="BN21">
        <v>4.1899999999999998E-9</v>
      </c>
      <c r="BO21" t="str">
        <f t="shared" si="2"/>
        <v>Firma Test2. test22.6 test2 (E+6L+A)</v>
      </c>
      <c r="BP21" t="str">
        <f t="shared" si="3"/>
        <v>Firma Test2. test2</v>
      </c>
    </row>
    <row r="22" spans="1:68">
      <c r="A22" t="s">
        <v>103</v>
      </c>
      <c r="B22" t="s">
        <v>105</v>
      </c>
      <c r="C22" t="s">
        <v>273</v>
      </c>
      <c r="D22" t="s">
        <v>282</v>
      </c>
      <c r="E22" t="s">
        <v>292</v>
      </c>
      <c r="F22">
        <v>7.17E-8</v>
      </c>
      <c r="G22" t="s">
        <v>302</v>
      </c>
      <c r="H22" t="s">
        <v>312</v>
      </c>
      <c r="I22" t="s">
        <v>5</v>
      </c>
      <c r="J22" t="s">
        <v>322</v>
      </c>
      <c r="K22">
        <v>4.29E-8</v>
      </c>
      <c r="L22" t="s">
        <v>332</v>
      </c>
      <c r="M22" t="s">
        <v>342</v>
      </c>
      <c r="N22" t="s">
        <v>6</v>
      </c>
      <c r="O22" t="s">
        <v>352</v>
      </c>
      <c r="P22">
        <v>2.4699999999999999E-8</v>
      </c>
      <c r="Q22" t="s">
        <v>732</v>
      </c>
      <c r="R22" t="s">
        <v>772</v>
      </c>
      <c r="S22" t="s">
        <v>17</v>
      </c>
      <c r="T22" t="s">
        <v>230</v>
      </c>
      <c r="U22">
        <v>4.1899999999999998E-9</v>
      </c>
      <c r="V22" t="s">
        <v>213</v>
      </c>
      <c r="W22" t="s">
        <v>221</v>
      </c>
      <c r="X22" t="s">
        <v>18</v>
      </c>
      <c r="Y22" t="s">
        <v>230</v>
      </c>
      <c r="Z22">
        <v>4.1899999999999998E-9</v>
      </c>
      <c r="AA22" t="s">
        <v>213</v>
      </c>
      <c r="AB22" t="s">
        <v>221</v>
      </c>
      <c r="AC22" t="s">
        <v>19</v>
      </c>
      <c r="AD22" t="s">
        <v>230</v>
      </c>
      <c r="AE22">
        <v>4.1899999999999998E-9</v>
      </c>
      <c r="AF22" t="s">
        <v>213</v>
      </c>
      <c r="AG22" t="s">
        <v>221</v>
      </c>
      <c r="AH22" t="s">
        <v>20</v>
      </c>
      <c r="AI22" t="s">
        <v>230</v>
      </c>
      <c r="AJ22">
        <v>4.1899999999999998E-9</v>
      </c>
      <c r="AK22" t="s">
        <v>213</v>
      </c>
      <c r="AL22" t="s">
        <v>221</v>
      </c>
      <c r="AM22" t="s">
        <v>21</v>
      </c>
      <c r="AN22" t="s">
        <v>230</v>
      </c>
      <c r="AO22">
        <v>4.1899999999999998E-9</v>
      </c>
      <c r="AP22" t="s">
        <v>408</v>
      </c>
      <c r="AQ22" t="s">
        <v>403</v>
      </c>
      <c r="AR22" t="s">
        <v>22</v>
      </c>
      <c r="AS22" t="s">
        <v>407</v>
      </c>
      <c r="AT22">
        <v>4.1899999999999998E-9</v>
      </c>
      <c r="AU22" t="s">
        <v>408</v>
      </c>
      <c r="AV22" t="s">
        <v>403</v>
      </c>
      <c r="AW22" t="s">
        <v>23</v>
      </c>
      <c r="AX22" t="s">
        <v>407</v>
      </c>
      <c r="AY22">
        <v>4.1899999999999998E-9</v>
      </c>
      <c r="BB22" t="s">
        <v>24</v>
      </c>
      <c r="BD22">
        <v>4.1899999999999998E-9</v>
      </c>
      <c r="BG22" t="s">
        <v>25</v>
      </c>
      <c r="BI22">
        <v>4.1899999999999998E-9</v>
      </c>
      <c r="BL22" t="s">
        <v>26</v>
      </c>
      <c r="BN22">
        <v>4.1899999999999998E-9</v>
      </c>
      <c r="BO22" t="str">
        <f t="shared" si="2"/>
        <v>Firma Test2. test22.7 test2 (E+7L+A)</v>
      </c>
      <c r="BP22" t="str">
        <f t="shared" si="3"/>
        <v>Firma Test2. test2</v>
      </c>
    </row>
    <row r="23" spans="1:68">
      <c r="A23" t="s">
        <v>103</v>
      </c>
      <c r="B23" t="s">
        <v>105</v>
      </c>
      <c r="C23" t="s">
        <v>274</v>
      </c>
      <c r="D23" t="s">
        <v>283</v>
      </c>
      <c r="E23" t="s">
        <v>293</v>
      </c>
      <c r="F23">
        <v>7.17E-8</v>
      </c>
      <c r="G23" t="s">
        <v>303</v>
      </c>
      <c r="H23" t="s">
        <v>313</v>
      </c>
      <c r="I23" t="s">
        <v>5</v>
      </c>
      <c r="J23" t="s">
        <v>323</v>
      </c>
      <c r="K23">
        <v>4.29E-8</v>
      </c>
      <c r="L23" t="s">
        <v>333</v>
      </c>
      <c r="M23" t="s">
        <v>343</v>
      </c>
      <c r="N23" t="s">
        <v>6</v>
      </c>
      <c r="O23" t="s">
        <v>353</v>
      </c>
      <c r="P23">
        <v>2.4699999999999999E-8</v>
      </c>
      <c r="Q23" t="s">
        <v>733</v>
      </c>
      <c r="R23" t="s">
        <v>773</v>
      </c>
      <c r="S23" t="s">
        <v>17</v>
      </c>
      <c r="T23" t="s">
        <v>231</v>
      </c>
      <c r="U23">
        <v>4.1899999999999998E-9</v>
      </c>
      <c r="V23" t="s">
        <v>214</v>
      </c>
      <c r="W23" t="s">
        <v>222</v>
      </c>
      <c r="X23" t="s">
        <v>18</v>
      </c>
      <c r="Y23" t="s">
        <v>231</v>
      </c>
      <c r="Z23">
        <v>4.1899999999999998E-9</v>
      </c>
      <c r="AA23" t="s">
        <v>214</v>
      </c>
      <c r="AB23" t="s">
        <v>222</v>
      </c>
      <c r="AC23" t="s">
        <v>19</v>
      </c>
      <c r="AD23" t="s">
        <v>231</v>
      </c>
      <c r="AE23">
        <v>4.1899999999999998E-9</v>
      </c>
      <c r="AF23" t="s">
        <v>214</v>
      </c>
      <c r="AG23" t="s">
        <v>222</v>
      </c>
      <c r="AH23" t="s">
        <v>20</v>
      </c>
      <c r="AI23" t="s">
        <v>231</v>
      </c>
      <c r="AJ23">
        <v>4.1899999999999998E-9</v>
      </c>
      <c r="AK23" t="s">
        <v>214</v>
      </c>
      <c r="AL23" t="s">
        <v>222</v>
      </c>
      <c r="AM23" t="s">
        <v>22</v>
      </c>
      <c r="AN23" t="s">
        <v>231</v>
      </c>
      <c r="AO23">
        <v>4.1899999999999998E-9</v>
      </c>
      <c r="AP23" t="s">
        <v>409</v>
      </c>
      <c r="AQ23" t="s">
        <v>404</v>
      </c>
      <c r="AR23" t="s">
        <v>22</v>
      </c>
      <c r="AS23" t="s">
        <v>401</v>
      </c>
      <c r="AT23">
        <v>4.1899999999999998E-9</v>
      </c>
      <c r="AU23" t="s">
        <v>409</v>
      </c>
      <c r="AV23" t="s">
        <v>404</v>
      </c>
      <c r="AW23" t="s">
        <v>23</v>
      </c>
      <c r="AX23" t="s">
        <v>401</v>
      </c>
      <c r="AY23">
        <v>4.1899999999999998E-9</v>
      </c>
      <c r="AZ23" t="s">
        <v>518</v>
      </c>
      <c r="BA23" t="s">
        <v>404</v>
      </c>
      <c r="BB23" t="s">
        <v>24</v>
      </c>
      <c r="BC23" t="s">
        <v>401</v>
      </c>
      <c r="BD23">
        <v>4.1899999999999998E-9</v>
      </c>
      <c r="BG23" t="s">
        <v>25</v>
      </c>
      <c r="BI23">
        <v>4.1899999999999998E-9</v>
      </c>
      <c r="BL23" t="s">
        <v>26</v>
      </c>
      <c r="BN23">
        <v>4.1899999999999998E-9</v>
      </c>
      <c r="BO23" t="str">
        <f t="shared" si="2"/>
        <v>Firma Test2. test22.8 test2 (E+8L+A)</v>
      </c>
      <c r="BP23" t="str">
        <f t="shared" si="3"/>
        <v>Firma Test2. test2</v>
      </c>
    </row>
    <row r="24" spans="1:68">
      <c r="A24" t="s">
        <v>103</v>
      </c>
      <c r="B24" t="s">
        <v>105</v>
      </c>
      <c r="C24" t="s">
        <v>275</v>
      </c>
      <c r="D24" t="s">
        <v>284</v>
      </c>
      <c r="E24" t="s">
        <v>294</v>
      </c>
      <c r="F24">
        <v>7.17E-8</v>
      </c>
      <c r="G24" t="s">
        <v>304</v>
      </c>
      <c r="H24" t="s">
        <v>314</v>
      </c>
      <c r="I24" t="s">
        <v>5</v>
      </c>
      <c r="J24" t="s">
        <v>324</v>
      </c>
      <c r="K24">
        <v>4.29E-8</v>
      </c>
      <c r="L24" t="s">
        <v>334</v>
      </c>
      <c r="M24" t="s">
        <v>344</v>
      </c>
      <c r="N24" t="s">
        <v>6</v>
      </c>
      <c r="O24" t="s">
        <v>354</v>
      </c>
      <c r="P24">
        <v>2.4699999999999999E-8</v>
      </c>
      <c r="Q24" t="s">
        <v>734</v>
      </c>
      <c r="R24" t="s">
        <v>774</v>
      </c>
      <c r="S24" t="s">
        <v>17</v>
      </c>
      <c r="T24" t="s">
        <v>232</v>
      </c>
      <c r="U24">
        <v>4.1899999999999998E-9</v>
      </c>
      <c r="V24" t="s">
        <v>215</v>
      </c>
      <c r="W24" t="s">
        <v>223</v>
      </c>
      <c r="X24" t="s">
        <v>18</v>
      </c>
      <c r="Y24" t="s">
        <v>232</v>
      </c>
      <c r="Z24">
        <v>4.1899999999999998E-9</v>
      </c>
      <c r="AA24" t="s">
        <v>215</v>
      </c>
      <c r="AB24" t="s">
        <v>223</v>
      </c>
      <c r="AC24" t="s">
        <v>19</v>
      </c>
      <c r="AD24" t="s">
        <v>232</v>
      </c>
      <c r="AE24">
        <v>4.1899999999999998E-9</v>
      </c>
      <c r="AF24" t="s">
        <v>215</v>
      </c>
      <c r="AG24" t="s">
        <v>223</v>
      </c>
      <c r="AH24" t="s">
        <v>20</v>
      </c>
      <c r="AI24" t="s">
        <v>232</v>
      </c>
      <c r="AJ24">
        <v>4.1899999999999998E-9</v>
      </c>
      <c r="AK24" t="s">
        <v>215</v>
      </c>
      <c r="AL24" t="s">
        <v>223</v>
      </c>
      <c r="AM24" t="s">
        <v>23</v>
      </c>
      <c r="AN24" t="s">
        <v>232</v>
      </c>
      <c r="AO24">
        <v>4.1899999999999998E-9</v>
      </c>
      <c r="AP24" t="s">
        <v>406</v>
      </c>
      <c r="AQ24" t="s">
        <v>405</v>
      </c>
      <c r="AR24" t="s">
        <v>22</v>
      </c>
      <c r="AS24" t="s">
        <v>400</v>
      </c>
      <c r="AT24">
        <v>4.1899999999999998E-9</v>
      </c>
      <c r="AU24" t="s">
        <v>406</v>
      </c>
      <c r="AV24" t="s">
        <v>405</v>
      </c>
      <c r="AW24" t="s">
        <v>23</v>
      </c>
      <c r="AX24" t="s">
        <v>400</v>
      </c>
      <c r="AY24">
        <v>4.1899999999999998E-9</v>
      </c>
      <c r="AZ24" t="s">
        <v>519</v>
      </c>
      <c r="BA24" t="s">
        <v>405</v>
      </c>
      <c r="BB24" t="s">
        <v>24</v>
      </c>
      <c r="BC24" t="s">
        <v>400</v>
      </c>
      <c r="BD24">
        <v>4.1899999999999998E-9</v>
      </c>
      <c r="BE24" t="s">
        <v>406</v>
      </c>
      <c r="BF24" t="s">
        <v>405</v>
      </c>
      <c r="BG24" t="s">
        <v>25</v>
      </c>
      <c r="BH24" t="s">
        <v>400</v>
      </c>
      <c r="BI24">
        <v>4.1899999999999998E-9</v>
      </c>
      <c r="BL24" t="s">
        <v>26</v>
      </c>
      <c r="BN24">
        <v>4.1899999999999998E-9</v>
      </c>
      <c r="BO24" t="str">
        <f t="shared" ref="BO24:BO45" si="4">CONCATENATE(A24,B24,C24)</f>
        <v>Firma Test2. test22.9 test2 (E+9L+A)</v>
      </c>
      <c r="BP24" t="str">
        <f t="shared" ref="BP24:BP45" si="5">CONCATENATE(A24,B24)</f>
        <v>Firma Test2. test2</v>
      </c>
    </row>
    <row r="25" spans="1:68">
      <c r="A25" t="s">
        <v>103</v>
      </c>
      <c r="B25" t="s">
        <v>105</v>
      </c>
      <c r="C25" t="s">
        <v>271</v>
      </c>
      <c r="D25" t="s">
        <v>285</v>
      </c>
      <c r="E25" t="s">
        <v>295</v>
      </c>
      <c r="F25">
        <v>7.17E-8</v>
      </c>
      <c r="G25" t="s">
        <v>305</v>
      </c>
      <c r="H25" t="s">
        <v>315</v>
      </c>
      <c r="I25" t="s">
        <v>5</v>
      </c>
      <c r="J25" t="s">
        <v>325</v>
      </c>
      <c r="K25">
        <v>4.29E-8</v>
      </c>
      <c r="L25" t="s">
        <v>335</v>
      </c>
      <c r="M25" t="s">
        <v>345</v>
      </c>
      <c r="N25" t="s">
        <v>6</v>
      </c>
      <c r="O25" t="s">
        <v>355</v>
      </c>
      <c r="P25">
        <v>2.4699999999999999E-8</v>
      </c>
      <c r="Q25" t="s">
        <v>735</v>
      </c>
      <c r="R25" t="s">
        <v>775</v>
      </c>
      <c r="S25" t="s">
        <v>17</v>
      </c>
      <c r="T25" t="s">
        <v>233</v>
      </c>
      <c r="U25">
        <v>4.1899999999999998E-9</v>
      </c>
      <c r="V25" t="s">
        <v>224</v>
      </c>
      <c r="W25" t="s">
        <v>225</v>
      </c>
      <c r="X25" t="s">
        <v>18</v>
      </c>
      <c r="Y25" t="s">
        <v>233</v>
      </c>
      <c r="Z25">
        <v>4.1899999999999998E-9</v>
      </c>
      <c r="AA25" t="s">
        <v>224</v>
      </c>
      <c r="AB25" t="s">
        <v>225</v>
      </c>
      <c r="AC25" t="s">
        <v>19</v>
      </c>
      <c r="AD25" t="s">
        <v>233</v>
      </c>
      <c r="AE25">
        <v>4.1899999999999998E-9</v>
      </c>
      <c r="AF25" t="s">
        <v>224</v>
      </c>
      <c r="AG25" t="s">
        <v>225</v>
      </c>
      <c r="AH25" t="s">
        <v>20</v>
      </c>
      <c r="AI25" t="s">
        <v>233</v>
      </c>
      <c r="AJ25">
        <v>4.1899999999999998E-9</v>
      </c>
      <c r="AK25" t="s">
        <v>224</v>
      </c>
      <c r="AL25" t="s">
        <v>225</v>
      </c>
      <c r="AM25" t="s">
        <v>24</v>
      </c>
      <c r="AN25" t="s">
        <v>233</v>
      </c>
      <c r="AO25">
        <v>4.1899999999999998E-9</v>
      </c>
      <c r="AP25" t="s">
        <v>224</v>
      </c>
      <c r="AQ25" t="s">
        <v>225</v>
      </c>
      <c r="AR25" t="s">
        <v>22</v>
      </c>
      <c r="AS25" t="s">
        <v>233</v>
      </c>
      <c r="AT25">
        <v>4.1899999999999998E-9</v>
      </c>
      <c r="AU25" t="s">
        <v>224</v>
      </c>
      <c r="AV25" t="s">
        <v>225</v>
      </c>
      <c r="AW25" t="s">
        <v>23</v>
      </c>
      <c r="AX25" t="s">
        <v>233</v>
      </c>
      <c r="AY25">
        <v>4.1899999999999998E-9</v>
      </c>
      <c r="AZ25" t="s">
        <v>520</v>
      </c>
      <c r="BA25" t="s">
        <v>225</v>
      </c>
      <c r="BB25" t="s">
        <v>24</v>
      </c>
      <c r="BC25" t="s">
        <v>233</v>
      </c>
      <c r="BD25">
        <v>4.1899999999999998E-9</v>
      </c>
      <c r="BE25" t="s">
        <v>224</v>
      </c>
      <c r="BF25" t="s">
        <v>225</v>
      </c>
      <c r="BG25" t="s">
        <v>25</v>
      </c>
      <c r="BH25" t="s">
        <v>233</v>
      </c>
      <c r="BI25">
        <v>4.1899999999999998E-9</v>
      </c>
      <c r="BJ25" t="s">
        <v>402</v>
      </c>
      <c r="BK25" t="s">
        <v>225</v>
      </c>
      <c r="BL25" t="s">
        <v>26</v>
      </c>
      <c r="BM25" t="s">
        <v>233</v>
      </c>
      <c r="BN25">
        <v>4.1899999999999998E-9</v>
      </c>
      <c r="BO25" t="str">
        <f t="shared" si="4"/>
        <v>Firma Test2. test22.10 test2 (E+10L+A)</v>
      </c>
      <c r="BP25" t="str">
        <f t="shared" si="5"/>
        <v>Firma Test2. test2</v>
      </c>
    </row>
    <row r="26" spans="1:68">
      <c r="A26" t="s">
        <v>103</v>
      </c>
      <c r="B26" t="s">
        <v>413</v>
      </c>
      <c r="C26" t="s">
        <v>414</v>
      </c>
      <c r="D26" t="s">
        <v>436</v>
      </c>
      <c r="E26" t="s">
        <v>426</v>
      </c>
      <c r="F26">
        <v>7.17E-8</v>
      </c>
      <c r="G26" t="s">
        <v>424</v>
      </c>
      <c r="H26" t="s">
        <v>425</v>
      </c>
      <c r="I26" t="s">
        <v>5</v>
      </c>
      <c r="J26" t="s">
        <v>464</v>
      </c>
      <c r="K26">
        <v>4.29E-8</v>
      </c>
      <c r="L26" t="s">
        <v>474</v>
      </c>
      <c r="M26" t="s">
        <v>484</v>
      </c>
      <c r="N26" t="s">
        <v>6</v>
      </c>
      <c r="O26" t="s">
        <v>494</v>
      </c>
      <c r="P26">
        <v>2.4699999999999999E-8</v>
      </c>
      <c r="Q26" t="s">
        <v>736</v>
      </c>
      <c r="R26" t="s">
        <v>669</v>
      </c>
      <c r="S26" t="s">
        <v>17</v>
      </c>
      <c r="T26" t="s">
        <v>679</v>
      </c>
      <c r="U26">
        <v>4.1899999999999998E-9</v>
      </c>
      <c r="X26" t="s">
        <v>18</v>
      </c>
      <c r="Z26">
        <v>4.1899999999999998E-9</v>
      </c>
      <c r="AE26">
        <v>4.1899999999999998E-9</v>
      </c>
      <c r="AH26" t="s">
        <v>20</v>
      </c>
      <c r="AJ26">
        <v>4.1899999999999998E-9</v>
      </c>
      <c r="AM26" t="s">
        <v>21</v>
      </c>
      <c r="AO26">
        <v>4.1899999999999998E-9</v>
      </c>
      <c r="AR26" t="s">
        <v>22</v>
      </c>
      <c r="AT26">
        <v>4.1899999999999998E-9</v>
      </c>
      <c r="AW26" t="s">
        <v>23</v>
      </c>
      <c r="AY26">
        <v>4.1899999999999998E-9</v>
      </c>
      <c r="BB26" t="s">
        <v>24</v>
      </c>
      <c r="BD26">
        <v>4.1899999999999998E-9</v>
      </c>
      <c r="BG26" t="s">
        <v>25</v>
      </c>
      <c r="BI26">
        <v>4.1899999999999998E-9</v>
      </c>
      <c r="BL26" t="s">
        <v>26</v>
      </c>
      <c r="BN26">
        <v>4.1899999999999998E-9</v>
      </c>
      <c r="BO26" t="str">
        <f t="shared" si="4"/>
        <v>Firma Test3. Test33.1 Test3 (E+1L+A)</v>
      </c>
      <c r="BP26" t="str">
        <f t="shared" si="5"/>
        <v>Firma Test3. Test3</v>
      </c>
    </row>
    <row r="27" spans="1:68">
      <c r="A27" t="s">
        <v>103</v>
      </c>
      <c r="B27" t="s">
        <v>413</v>
      </c>
      <c r="C27" t="s">
        <v>415</v>
      </c>
      <c r="D27" t="s">
        <v>437</v>
      </c>
      <c r="E27" t="s">
        <v>427</v>
      </c>
      <c r="F27">
        <v>7.17E-8</v>
      </c>
      <c r="G27" t="s">
        <v>446</v>
      </c>
      <c r="H27" t="s">
        <v>455</v>
      </c>
      <c r="I27" t="s">
        <v>5</v>
      </c>
      <c r="J27" t="s">
        <v>465</v>
      </c>
      <c r="K27">
        <v>4.29E-8</v>
      </c>
      <c r="L27" t="s">
        <v>475</v>
      </c>
      <c r="M27" t="s">
        <v>485</v>
      </c>
      <c r="N27" t="s">
        <v>6</v>
      </c>
      <c r="O27" t="s">
        <v>495</v>
      </c>
      <c r="P27">
        <v>2.4699999999999999E-8</v>
      </c>
      <c r="Q27" t="s">
        <v>737</v>
      </c>
      <c r="R27" t="s">
        <v>670</v>
      </c>
      <c r="S27" t="s">
        <v>17</v>
      </c>
      <c r="T27" t="s">
        <v>680</v>
      </c>
      <c r="U27">
        <v>4.1899999999999998E-9</v>
      </c>
      <c r="V27" t="s">
        <v>698</v>
      </c>
      <c r="W27" t="s">
        <v>689</v>
      </c>
      <c r="X27" t="s">
        <v>18</v>
      </c>
      <c r="Y27" t="s">
        <v>504</v>
      </c>
      <c r="Z27">
        <v>4.1899999999999998E-9</v>
      </c>
      <c r="AE27">
        <v>4.1899999999999998E-9</v>
      </c>
      <c r="AH27" t="s">
        <v>20</v>
      </c>
      <c r="AJ27">
        <v>4.1899999999999998E-9</v>
      </c>
      <c r="AM27" t="s">
        <v>21</v>
      </c>
      <c r="AO27">
        <v>4.1899999999999998E-9</v>
      </c>
      <c r="AR27" t="s">
        <v>22</v>
      </c>
      <c r="AT27">
        <v>4.1899999999999998E-9</v>
      </c>
      <c r="AW27" t="s">
        <v>23</v>
      </c>
      <c r="AY27">
        <v>4.1899999999999998E-9</v>
      </c>
      <c r="BB27" t="s">
        <v>24</v>
      </c>
      <c r="BD27">
        <v>4.1899999999999998E-9</v>
      </c>
      <c r="BG27" t="s">
        <v>25</v>
      </c>
      <c r="BI27">
        <v>4.1899999999999998E-9</v>
      </c>
      <c r="BL27" t="s">
        <v>26</v>
      </c>
      <c r="BN27">
        <v>4.1899999999999998E-9</v>
      </c>
      <c r="BO27" t="str">
        <f t="shared" si="4"/>
        <v>Firma Test3. Test33.2 Test3 (E+2L+A)</v>
      </c>
      <c r="BP27" t="str">
        <f t="shared" si="5"/>
        <v>Firma Test3. Test3</v>
      </c>
    </row>
    <row r="28" spans="1:68">
      <c r="A28" t="s">
        <v>103</v>
      </c>
      <c r="B28" t="s">
        <v>413</v>
      </c>
      <c r="C28" t="s">
        <v>416</v>
      </c>
      <c r="D28" t="s">
        <v>438</v>
      </c>
      <c r="E28" t="s">
        <v>428</v>
      </c>
      <c r="F28">
        <v>7.17E-8</v>
      </c>
      <c r="G28" t="s">
        <v>447</v>
      </c>
      <c r="H28" t="s">
        <v>456</v>
      </c>
      <c r="I28" t="s">
        <v>5</v>
      </c>
      <c r="J28" t="s">
        <v>466</v>
      </c>
      <c r="K28">
        <v>4.29E-8</v>
      </c>
      <c r="L28" t="s">
        <v>476</v>
      </c>
      <c r="M28" t="s">
        <v>486</v>
      </c>
      <c r="N28" t="s">
        <v>6</v>
      </c>
      <c r="O28" t="s">
        <v>496</v>
      </c>
      <c r="P28">
        <v>2.4699999999999999E-8</v>
      </c>
      <c r="Q28" t="s">
        <v>738</v>
      </c>
      <c r="R28" t="s">
        <v>671</v>
      </c>
      <c r="S28" t="s">
        <v>17</v>
      </c>
      <c r="T28" t="s">
        <v>681</v>
      </c>
      <c r="U28">
        <v>4.1899999999999998E-9</v>
      </c>
      <c r="V28" t="s">
        <v>699</v>
      </c>
      <c r="W28" t="s">
        <v>690</v>
      </c>
      <c r="X28" t="s">
        <v>18</v>
      </c>
      <c r="Y28" t="s">
        <v>250</v>
      </c>
      <c r="Z28">
        <v>4.1899999999999998E-9</v>
      </c>
      <c r="AA28" t="s">
        <v>234</v>
      </c>
      <c r="AB28" t="s">
        <v>242</v>
      </c>
      <c r="AC28" t="s">
        <v>19</v>
      </c>
      <c r="AD28" t="s">
        <v>250</v>
      </c>
      <c r="AE28">
        <v>4.1899999999999998E-9</v>
      </c>
      <c r="AH28" t="s">
        <v>20</v>
      </c>
      <c r="AJ28">
        <v>4.1899999999999998E-9</v>
      </c>
      <c r="AM28" t="s">
        <v>21</v>
      </c>
      <c r="AO28">
        <v>4.1899999999999998E-9</v>
      </c>
      <c r="AR28" t="s">
        <v>22</v>
      </c>
      <c r="AT28">
        <v>4.1899999999999998E-9</v>
      </c>
      <c r="AW28" t="s">
        <v>23</v>
      </c>
      <c r="AY28">
        <v>4.1899999999999998E-9</v>
      </c>
      <c r="BB28" t="s">
        <v>24</v>
      </c>
      <c r="BD28">
        <v>4.1899999999999998E-9</v>
      </c>
      <c r="BG28" t="s">
        <v>25</v>
      </c>
      <c r="BI28">
        <v>4.1899999999999998E-9</v>
      </c>
      <c r="BL28" t="s">
        <v>26</v>
      </c>
      <c r="BN28">
        <v>4.1899999999999998E-9</v>
      </c>
      <c r="BO28" t="str">
        <f t="shared" si="4"/>
        <v>Firma Test3. Test33.3 Test3 (E+3L+A)</v>
      </c>
      <c r="BP28" t="str">
        <f t="shared" si="5"/>
        <v>Firma Test3. Test3</v>
      </c>
    </row>
    <row r="29" spans="1:68">
      <c r="A29" t="s">
        <v>103</v>
      </c>
      <c r="B29" t="s">
        <v>413</v>
      </c>
      <c r="C29" t="s">
        <v>417</v>
      </c>
      <c r="D29" t="s">
        <v>439</v>
      </c>
      <c r="E29" t="s">
        <v>429</v>
      </c>
      <c r="F29">
        <v>7.17E-8</v>
      </c>
      <c r="G29" t="s">
        <v>448</v>
      </c>
      <c r="H29" t="s">
        <v>457</v>
      </c>
      <c r="I29" t="s">
        <v>5</v>
      </c>
      <c r="J29" t="s">
        <v>467</v>
      </c>
      <c r="K29">
        <v>4.29E-8</v>
      </c>
      <c r="L29" t="s">
        <v>477</v>
      </c>
      <c r="M29" t="s">
        <v>487</v>
      </c>
      <c r="N29" t="s">
        <v>6</v>
      </c>
      <c r="O29" t="s">
        <v>497</v>
      </c>
      <c r="P29">
        <v>2.4699999999999999E-8</v>
      </c>
      <c r="Q29" t="s">
        <v>739</v>
      </c>
      <c r="R29" t="s">
        <v>672</v>
      </c>
      <c r="S29" t="s">
        <v>17</v>
      </c>
      <c r="T29" t="s">
        <v>682</v>
      </c>
      <c r="U29">
        <v>4.1899999999999998E-9</v>
      </c>
      <c r="V29" t="s">
        <v>700</v>
      </c>
      <c r="W29" t="s">
        <v>691</v>
      </c>
      <c r="X29" t="s">
        <v>18</v>
      </c>
      <c r="Y29" t="s">
        <v>251</v>
      </c>
      <c r="Z29">
        <v>4.1899999999999998E-9</v>
      </c>
      <c r="AA29" t="s">
        <v>235</v>
      </c>
      <c r="AB29" t="s">
        <v>243</v>
      </c>
      <c r="AC29" t="s">
        <v>19</v>
      </c>
      <c r="AD29" t="s">
        <v>251</v>
      </c>
      <c r="AE29">
        <v>4.1899999999999998E-9</v>
      </c>
      <c r="AF29" t="s">
        <v>647</v>
      </c>
      <c r="AG29" t="s">
        <v>646</v>
      </c>
      <c r="AH29" t="s">
        <v>20</v>
      </c>
      <c r="AI29" t="s">
        <v>644</v>
      </c>
      <c r="AJ29">
        <v>4.1899999999999998E-9</v>
      </c>
      <c r="AM29" t="s">
        <v>21</v>
      </c>
      <c r="AO29">
        <v>4.1899999999999998E-9</v>
      </c>
      <c r="AR29" t="s">
        <v>22</v>
      </c>
      <c r="AT29">
        <v>4.1899999999999998E-9</v>
      </c>
      <c r="AW29" t="s">
        <v>23</v>
      </c>
      <c r="AY29">
        <v>4.1899999999999998E-9</v>
      </c>
      <c r="BB29" t="s">
        <v>24</v>
      </c>
      <c r="BD29">
        <v>4.1899999999999998E-9</v>
      </c>
      <c r="BG29" t="s">
        <v>25</v>
      </c>
      <c r="BI29">
        <v>4.1899999999999998E-9</v>
      </c>
      <c r="BL29" t="s">
        <v>26</v>
      </c>
      <c r="BN29">
        <v>4.1899999999999998E-9</v>
      </c>
      <c r="BO29" t="str">
        <f t="shared" si="4"/>
        <v>Firma Test3. Test33.4 Test3 (E+4L+A)</v>
      </c>
      <c r="BP29" t="str">
        <f t="shared" si="5"/>
        <v>Firma Test3. Test3</v>
      </c>
    </row>
    <row r="30" spans="1:68">
      <c r="A30" t="s">
        <v>103</v>
      </c>
      <c r="B30" t="s">
        <v>413</v>
      </c>
      <c r="C30" t="s">
        <v>418</v>
      </c>
      <c r="D30" t="s">
        <v>440</v>
      </c>
      <c r="E30" t="s">
        <v>430</v>
      </c>
      <c r="F30">
        <v>7.17E-8</v>
      </c>
      <c r="G30" t="s">
        <v>449</v>
      </c>
      <c r="H30" t="s">
        <v>458</v>
      </c>
      <c r="I30" t="s">
        <v>5</v>
      </c>
      <c r="J30" t="s">
        <v>468</v>
      </c>
      <c r="K30">
        <v>4.29E-8</v>
      </c>
      <c r="L30" t="s">
        <v>478</v>
      </c>
      <c r="M30" t="s">
        <v>488</v>
      </c>
      <c r="N30" t="s">
        <v>6</v>
      </c>
      <c r="O30" t="s">
        <v>498</v>
      </c>
      <c r="P30">
        <v>2.4699999999999999E-8</v>
      </c>
      <c r="Q30" t="s">
        <v>740</v>
      </c>
      <c r="R30" t="s">
        <v>673</v>
      </c>
      <c r="S30" t="s">
        <v>17</v>
      </c>
      <c r="T30" t="s">
        <v>683</v>
      </c>
      <c r="U30">
        <v>4.1899999999999998E-9</v>
      </c>
      <c r="V30" t="s">
        <v>701</v>
      </c>
      <c r="W30" t="s">
        <v>692</v>
      </c>
      <c r="X30" t="s">
        <v>18</v>
      </c>
      <c r="Y30" t="s">
        <v>252</v>
      </c>
      <c r="Z30">
        <v>4.1899999999999998E-9</v>
      </c>
      <c r="AA30" t="s">
        <v>236</v>
      </c>
      <c r="AB30" t="s">
        <v>244</v>
      </c>
      <c r="AC30" t="s">
        <v>19</v>
      </c>
      <c r="AD30" t="s">
        <v>252</v>
      </c>
      <c r="AE30">
        <v>4.1899999999999998E-9</v>
      </c>
      <c r="AF30" t="s">
        <v>643</v>
      </c>
      <c r="AG30" t="s">
        <v>642</v>
      </c>
      <c r="AH30" t="s">
        <v>20</v>
      </c>
      <c r="AI30" t="s">
        <v>645</v>
      </c>
      <c r="AJ30">
        <v>4.1899999999999998E-9</v>
      </c>
      <c r="AK30" t="s">
        <v>643</v>
      </c>
      <c r="AL30" t="s">
        <v>642</v>
      </c>
      <c r="AM30" t="s">
        <v>21</v>
      </c>
      <c r="AN30" t="s">
        <v>252</v>
      </c>
      <c r="AO30">
        <v>4.1899999999999998E-9</v>
      </c>
      <c r="AR30" t="s">
        <v>22</v>
      </c>
      <c r="AT30">
        <v>4.1899999999999998E-9</v>
      </c>
      <c r="AW30" t="s">
        <v>23</v>
      </c>
      <c r="AY30">
        <v>4.1899999999999998E-9</v>
      </c>
      <c r="BB30" t="s">
        <v>24</v>
      </c>
      <c r="BD30">
        <v>4.1899999999999998E-9</v>
      </c>
      <c r="BG30" t="s">
        <v>25</v>
      </c>
      <c r="BI30">
        <v>4.1899999999999998E-9</v>
      </c>
      <c r="BL30" t="s">
        <v>26</v>
      </c>
      <c r="BN30">
        <v>4.1899999999999998E-9</v>
      </c>
      <c r="BO30" t="str">
        <f t="shared" si="4"/>
        <v>Firma Test3. Test33.5 Test3 (E+5L+A)</v>
      </c>
      <c r="BP30" t="str">
        <f t="shared" si="5"/>
        <v>Firma Test3. Test3</v>
      </c>
    </row>
    <row r="31" spans="1:68">
      <c r="A31" t="s">
        <v>103</v>
      </c>
      <c r="B31" t="s">
        <v>413</v>
      </c>
      <c r="C31" t="s">
        <v>419</v>
      </c>
      <c r="D31" t="s">
        <v>441</v>
      </c>
      <c r="E31" t="s">
        <v>431</v>
      </c>
      <c r="F31">
        <v>7.17E-8</v>
      </c>
      <c r="G31" t="s">
        <v>450</v>
      </c>
      <c r="H31" t="s">
        <v>459</v>
      </c>
      <c r="I31" t="s">
        <v>5</v>
      </c>
      <c r="J31" t="s">
        <v>469</v>
      </c>
      <c r="K31">
        <v>4.29E-8</v>
      </c>
      <c r="L31" t="s">
        <v>479</v>
      </c>
      <c r="M31" t="s">
        <v>489</v>
      </c>
      <c r="N31" t="s">
        <v>6</v>
      </c>
      <c r="O31" t="s">
        <v>499</v>
      </c>
      <c r="P31">
        <v>2.4699999999999999E-8</v>
      </c>
      <c r="Q31" t="s">
        <v>741</v>
      </c>
      <c r="R31" t="s">
        <v>674</v>
      </c>
      <c r="S31" t="s">
        <v>17</v>
      </c>
      <c r="T31" t="s">
        <v>684</v>
      </c>
      <c r="U31">
        <v>4.1899999999999998E-9</v>
      </c>
      <c r="V31" t="s">
        <v>702</v>
      </c>
      <c r="W31" t="s">
        <v>693</v>
      </c>
      <c r="X31" t="s">
        <v>18</v>
      </c>
      <c r="Y31" t="s">
        <v>253</v>
      </c>
      <c r="Z31">
        <v>4.1899999999999998E-9</v>
      </c>
      <c r="AA31" t="s">
        <v>237</v>
      </c>
      <c r="AB31" t="s">
        <v>245</v>
      </c>
      <c r="AC31" t="s">
        <v>19</v>
      </c>
      <c r="AD31" t="s">
        <v>253</v>
      </c>
      <c r="AE31">
        <v>4.1899999999999998E-9</v>
      </c>
      <c r="AF31" t="s">
        <v>505</v>
      </c>
      <c r="AG31" t="s">
        <v>509</v>
      </c>
      <c r="AH31" t="s">
        <v>20</v>
      </c>
      <c r="AI31" t="s">
        <v>513</v>
      </c>
      <c r="AJ31">
        <v>4.1899999999999998E-9</v>
      </c>
      <c r="AK31" t="s">
        <v>505</v>
      </c>
      <c r="AL31" t="s">
        <v>509</v>
      </c>
      <c r="AM31" t="s">
        <v>21</v>
      </c>
      <c r="AN31" t="s">
        <v>253</v>
      </c>
      <c r="AO31">
        <v>4.1899999999999998E-9</v>
      </c>
      <c r="AP31" t="s">
        <v>505</v>
      </c>
      <c r="AQ31" t="s">
        <v>509</v>
      </c>
      <c r="AR31" t="s">
        <v>22</v>
      </c>
      <c r="AS31" t="s">
        <v>513</v>
      </c>
      <c r="AT31">
        <v>4.1899999999999998E-9</v>
      </c>
      <c r="AW31" t="s">
        <v>23</v>
      </c>
      <c r="AY31">
        <v>4.1899999999999998E-9</v>
      </c>
      <c r="BB31" t="s">
        <v>24</v>
      </c>
      <c r="BD31">
        <v>4.1899999999999998E-9</v>
      </c>
      <c r="BG31" t="s">
        <v>25</v>
      </c>
      <c r="BI31">
        <v>4.1899999999999998E-9</v>
      </c>
      <c r="BL31" t="s">
        <v>26</v>
      </c>
      <c r="BN31">
        <v>4.1899999999999998E-9</v>
      </c>
      <c r="BO31" t="str">
        <f t="shared" si="4"/>
        <v>Firma Test3. Test33.6 Test3 (E+6L+A)</v>
      </c>
      <c r="BP31" t="str">
        <f t="shared" si="5"/>
        <v>Firma Test3. Test3</v>
      </c>
    </row>
    <row r="32" spans="1:68">
      <c r="A32" t="s">
        <v>103</v>
      </c>
      <c r="B32" t="s">
        <v>413</v>
      </c>
      <c r="C32" t="s">
        <v>420</v>
      </c>
      <c r="D32" t="s">
        <v>442</v>
      </c>
      <c r="E32" t="s">
        <v>432</v>
      </c>
      <c r="F32">
        <v>7.17E-8</v>
      </c>
      <c r="G32" t="s">
        <v>451</v>
      </c>
      <c r="H32" t="s">
        <v>460</v>
      </c>
      <c r="I32" t="s">
        <v>5</v>
      </c>
      <c r="J32" t="s">
        <v>470</v>
      </c>
      <c r="K32">
        <v>4.29E-8</v>
      </c>
      <c r="L32" t="s">
        <v>480</v>
      </c>
      <c r="M32" t="s">
        <v>490</v>
      </c>
      <c r="N32" t="s">
        <v>6</v>
      </c>
      <c r="O32" t="s">
        <v>500</v>
      </c>
      <c r="P32">
        <v>2.4699999999999999E-8</v>
      </c>
      <c r="Q32" t="s">
        <v>742</v>
      </c>
      <c r="R32" t="s">
        <v>675</v>
      </c>
      <c r="S32" t="s">
        <v>17</v>
      </c>
      <c r="T32" t="s">
        <v>685</v>
      </c>
      <c r="U32">
        <v>4.1899999999999998E-9</v>
      </c>
      <c r="V32" t="s">
        <v>703</v>
      </c>
      <c r="W32" t="s">
        <v>694</v>
      </c>
      <c r="X32" t="s">
        <v>18</v>
      </c>
      <c r="Y32" t="s">
        <v>254</v>
      </c>
      <c r="Z32">
        <v>4.1899999999999998E-9</v>
      </c>
      <c r="AA32" t="s">
        <v>238</v>
      </c>
      <c r="AB32" t="s">
        <v>246</v>
      </c>
      <c r="AC32" t="s">
        <v>19</v>
      </c>
      <c r="AD32" t="s">
        <v>254</v>
      </c>
      <c r="AE32">
        <v>4.1899999999999998E-9</v>
      </c>
      <c r="AF32" t="s">
        <v>506</v>
      </c>
      <c r="AG32" t="s">
        <v>510</v>
      </c>
      <c r="AH32" t="s">
        <v>20</v>
      </c>
      <c r="AI32" t="s">
        <v>514</v>
      </c>
      <c r="AJ32">
        <v>4.1899999999999998E-9</v>
      </c>
      <c r="AK32" t="s">
        <v>506</v>
      </c>
      <c r="AL32" t="s">
        <v>510</v>
      </c>
      <c r="AM32" t="s">
        <v>21</v>
      </c>
      <c r="AN32" t="s">
        <v>254</v>
      </c>
      <c r="AO32">
        <v>4.1899999999999998E-9</v>
      </c>
      <c r="AP32" t="s">
        <v>506</v>
      </c>
      <c r="AQ32" t="s">
        <v>510</v>
      </c>
      <c r="AR32" t="s">
        <v>22</v>
      </c>
      <c r="AS32" t="s">
        <v>514</v>
      </c>
      <c r="AT32">
        <v>4.1899999999999998E-9</v>
      </c>
      <c r="AU32" t="s">
        <v>506</v>
      </c>
      <c r="AV32" t="s">
        <v>510</v>
      </c>
      <c r="AW32" t="s">
        <v>23</v>
      </c>
      <c r="AX32" t="s">
        <v>514</v>
      </c>
      <c r="AY32">
        <v>4.1899999999999998E-9</v>
      </c>
      <c r="BB32" t="s">
        <v>24</v>
      </c>
      <c r="BD32">
        <v>4.1899999999999998E-9</v>
      </c>
      <c r="BG32" t="s">
        <v>25</v>
      </c>
      <c r="BI32">
        <v>4.1899999999999998E-9</v>
      </c>
      <c r="BL32" t="s">
        <v>26</v>
      </c>
      <c r="BN32">
        <v>4.1899999999999998E-9</v>
      </c>
      <c r="BO32" t="str">
        <f t="shared" si="4"/>
        <v>Firma Test3. Test33.7 Test3 (E+7L+A)</v>
      </c>
      <c r="BP32" t="str">
        <f t="shared" si="5"/>
        <v>Firma Test3. Test3</v>
      </c>
    </row>
    <row r="33" spans="1:68">
      <c r="A33" t="s">
        <v>103</v>
      </c>
      <c r="B33" t="s">
        <v>413</v>
      </c>
      <c r="C33" t="s">
        <v>421</v>
      </c>
      <c r="D33" t="s">
        <v>443</v>
      </c>
      <c r="E33" t="s">
        <v>433</v>
      </c>
      <c r="F33">
        <v>7.17E-8</v>
      </c>
      <c r="G33" t="s">
        <v>452</v>
      </c>
      <c r="H33" t="s">
        <v>461</v>
      </c>
      <c r="I33" t="s">
        <v>5</v>
      </c>
      <c r="J33" t="s">
        <v>471</v>
      </c>
      <c r="K33">
        <v>4.29E-8</v>
      </c>
      <c r="L33" t="s">
        <v>481</v>
      </c>
      <c r="M33" t="s">
        <v>491</v>
      </c>
      <c r="N33" t="s">
        <v>6</v>
      </c>
      <c r="O33" t="s">
        <v>501</v>
      </c>
      <c r="P33">
        <v>2.4699999999999999E-8</v>
      </c>
      <c r="Q33" t="s">
        <v>743</v>
      </c>
      <c r="R33" t="s">
        <v>676</v>
      </c>
      <c r="S33" t="s">
        <v>17</v>
      </c>
      <c r="T33" t="s">
        <v>686</v>
      </c>
      <c r="U33">
        <v>4.1899999999999998E-9</v>
      </c>
      <c r="V33" t="s">
        <v>704</v>
      </c>
      <c r="W33" t="s">
        <v>695</v>
      </c>
      <c r="X33" t="s">
        <v>18</v>
      </c>
      <c r="Y33" t="s">
        <v>255</v>
      </c>
      <c r="Z33">
        <v>4.1899999999999998E-9</v>
      </c>
      <c r="AA33" t="s">
        <v>239</v>
      </c>
      <c r="AB33" t="s">
        <v>247</v>
      </c>
      <c r="AC33" t="s">
        <v>19</v>
      </c>
      <c r="AD33" t="s">
        <v>255</v>
      </c>
      <c r="AE33">
        <v>4.1899999999999998E-9</v>
      </c>
      <c r="AF33" t="s">
        <v>507</v>
      </c>
      <c r="AG33" t="s">
        <v>511</v>
      </c>
      <c r="AH33" t="s">
        <v>20</v>
      </c>
      <c r="AI33" t="s">
        <v>515</v>
      </c>
      <c r="AJ33">
        <v>4.1899999999999998E-9</v>
      </c>
      <c r="AK33" t="s">
        <v>507</v>
      </c>
      <c r="AL33" t="s">
        <v>511</v>
      </c>
      <c r="AM33" t="s">
        <v>22</v>
      </c>
      <c r="AN33" t="s">
        <v>255</v>
      </c>
      <c r="AO33">
        <v>4.1899999999999998E-9</v>
      </c>
      <c r="AP33" t="s">
        <v>507</v>
      </c>
      <c r="AQ33" t="s">
        <v>511</v>
      </c>
      <c r="AR33" t="s">
        <v>22</v>
      </c>
      <c r="AS33" t="s">
        <v>515</v>
      </c>
      <c r="AT33">
        <v>4.1899999999999998E-9</v>
      </c>
      <c r="AU33" t="s">
        <v>507</v>
      </c>
      <c r="AV33" t="s">
        <v>511</v>
      </c>
      <c r="AW33" t="s">
        <v>23</v>
      </c>
      <c r="AX33" t="s">
        <v>515</v>
      </c>
      <c r="AY33">
        <v>4.1899999999999998E-9</v>
      </c>
      <c r="AZ33" t="s">
        <v>521</v>
      </c>
      <c r="BA33" t="s">
        <v>511</v>
      </c>
      <c r="BB33" t="s">
        <v>24</v>
      </c>
      <c r="BC33" t="s">
        <v>515</v>
      </c>
      <c r="BD33">
        <v>4.1899999999999998E-9</v>
      </c>
      <c r="BG33" t="s">
        <v>25</v>
      </c>
      <c r="BI33">
        <v>4.1899999999999998E-9</v>
      </c>
      <c r="BL33" t="s">
        <v>26</v>
      </c>
      <c r="BN33">
        <v>4.1899999999999998E-9</v>
      </c>
      <c r="BO33" t="str">
        <f t="shared" si="4"/>
        <v>Firma Test3. Test33.8 Test3 (E+8L+A)</v>
      </c>
      <c r="BP33" t="str">
        <f t="shared" si="5"/>
        <v>Firma Test3. Test3</v>
      </c>
    </row>
    <row r="34" spans="1:68">
      <c r="A34" t="s">
        <v>103</v>
      </c>
      <c r="B34" t="s">
        <v>413</v>
      </c>
      <c r="C34" t="s">
        <v>422</v>
      </c>
      <c r="D34" t="s">
        <v>444</v>
      </c>
      <c r="E34" t="s">
        <v>434</v>
      </c>
      <c r="F34">
        <v>7.17E-8</v>
      </c>
      <c r="G34" t="s">
        <v>453</v>
      </c>
      <c r="H34" t="s">
        <v>462</v>
      </c>
      <c r="I34" t="s">
        <v>5</v>
      </c>
      <c r="J34" t="s">
        <v>472</v>
      </c>
      <c r="K34">
        <v>4.29E-8</v>
      </c>
      <c r="L34" t="s">
        <v>482</v>
      </c>
      <c r="M34" t="s">
        <v>492</v>
      </c>
      <c r="N34" t="s">
        <v>6</v>
      </c>
      <c r="O34" t="s">
        <v>502</v>
      </c>
      <c r="P34">
        <v>2.4699999999999999E-8</v>
      </c>
      <c r="Q34" t="s">
        <v>744</v>
      </c>
      <c r="R34" t="s">
        <v>677</v>
      </c>
      <c r="S34" t="s">
        <v>17</v>
      </c>
      <c r="T34" t="s">
        <v>687</v>
      </c>
      <c r="U34">
        <v>4.1899999999999998E-9</v>
      </c>
      <c r="V34" t="s">
        <v>705</v>
      </c>
      <c r="W34" t="s">
        <v>696</v>
      </c>
      <c r="X34" t="s">
        <v>18</v>
      </c>
      <c r="Y34" t="s">
        <v>256</v>
      </c>
      <c r="Z34">
        <v>4.1899999999999998E-9</v>
      </c>
      <c r="AA34" t="s">
        <v>240</v>
      </c>
      <c r="AB34" t="s">
        <v>248</v>
      </c>
      <c r="AC34" t="s">
        <v>19</v>
      </c>
      <c r="AD34" t="s">
        <v>256</v>
      </c>
      <c r="AE34">
        <v>4.1899999999999998E-9</v>
      </c>
      <c r="AF34" t="s">
        <v>508</v>
      </c>
      <c r="AG34" t="s">
        <v>512</v>
      </c>
      <c r="AH34" t="s">
        <v>20</v>
      </c>
      <c r="AI34" t="s">
        <v>516</v>
      </c>
      <c r="AJ34">
        <v>4.1899999999999998E-9</v>
      </c>
      <c r="AK34" t="s">
        <v>508</v>
      </c>
      <c r="AL34" t="s">
        <v>512</v>
      </c>
      <c r="AM34" t="s">
        <v>23</v>
      </c>
      <c r="AN34" t="s">
        <v>256</v>
      </c>
      <c r="AO34">
        <v>4.1899999999999998E-9</v>
      </c>
      <c r="AP34" t="s">
        <v>508</v>
      </c>
      <c r="AQ34" t="s">
        <v>512</v>
      </c>
      <c r="AR34" t="s">
        <v>22</v>
      </c>
      <c r="AS34" t="s">
        <v>516</v>
      </c>
      <c r="AT34">
        <v>4.1899999999999998E-9</v>
      </c>
      <c r="AU34" t="s">
        <v>508</v>
      </c>
      <c r="AV34" t="s">
        <v>512</v>
      </c>
      <c r="AW34" t="s">
        <v>23</v>
      </c>
      <c r="AX34" t="s">
        <v>516</v>
      </c>
      <c r="AY34">
        <v>4.1899999999999998E-9</v>
      </c>
      <c r="AZ34" t="s">
        <v>522</v>
      </c>
      <c r="BA34" t="s">
        <v>512</v>
      </c>
      <c r="BB34" t="s">
        <v>24</v>
      </c>
      <c r="BC34" t="s">
        <v>516</v>
      </c>
      <c r="BD34">
        <v>4.1899999999999998E-9</v>
      </c>
      <c r="BE34" t="s">
        <v>508</v>
      </c>
      <c r="BF34" t="s">
        <v>512</v>
      </c>
      <c r="BG34" t="s">
        <v>25</v>
      </c>
      <c r="BH34" t="s">
        <v>516</v>
      </c>
      <c r="BI34">
        <v>4.1899999999999998E-9</v>
      </c>
      <c r="BL34" t="s">
        <v>26</v>
      </c>
      <c r="BN34">
        <v>4.1899999999999998E-9</v>
      </c>
      <c r="BO34" t="str">
        <f t="shared" si="4"/>
        <v>Firma Test3. Test33.9 Test3 (E+9L+A)</v>
      </c>
      <c r="BP34" t="str">
        <f t="shared" si="5"/>
        <v>Firma Test3. Test3</v>
      </c>
    </row>
    <row r="35" spans="1:68">
      <c r="A35" t="s">
        <v>103</v>
      </c>
      <c r="B35" t="s">
        <v>413</v>
      </c>
      <c r="C35" t="s">
        <v>423</v>
      </c>
      <c r="D35" t="s">
        <v>445</v>
      </c>
      <c r="E35" t="s">
        <v>435</v>
      </c>
      <c r="F35">
        <v>7.17E-8</v>
      </c>
      <c r="G35" t="s">
        <v>454</v>
      </c>
      <c r="H35" t="s">
        <v>463</v>
      </c>
      <c r="I35" t="s">
        <v>5</v>
      </c>
      <c r="J35" t="s">
        <v>473</v>
      </c>
      <c r="K35">
        <v>4.29E-8</v>
      </c>
      <c r="L35" t="s">
        <v>483</v>
      </c>
      <c r="M35" t="s">
        <v>493</v>
      </c>
      <c r="N35" t="s">
        <v>6</v>
      </c>
      <c r="O35" t="s">
        <v>503</v>
      </c>
      <c r="P35">
        <v>2.4699999999999999E-8</v>
      </c>
      <c r="Q35" t="s">
        <v>745</v>
      </c>
      <c r="R35" t="s">
        <v>678</v>
      </c>
      <c r="S35" t="s">
        <v>17</v>
      </c>
      <c r="T35" t="s">
        <v>688</v>
      </c>
      <c r="U35">
        <v>4.1899999999999998E-9</v>
      </c>
      <c r="V35" t="s">
        <v>706</v>
      </c>
      <c r="W35" t="s">
        <v>697</v>
      </c>
      <c r="X35" t="s">
        <v>18</v>
      </c>
      <c r="Y35" t="s">
        <v>257</v>
      </c>
      <c r="Z35">
        <v>4.1899999999999998E-9</v>
      </c>
      <c r="AA35" t="s">
        <v>241</v>
      </c>
      <c r="AB35" t="s">
        <v>249</v>
      </c>
      <c r="AC35" t="s">
        <v>19</v>
      </c>
      <c r="AD35" t="s">
        <v>257</v>
      </c>
      <c r="AE35">
        <v>4.1899999999999998E-9</v>
      </c>
      <c r="AF35" t="s">
        <v>241</v>
      </c>
      <c r="AG35" t="s">
        <v>249</v>
      </c>
      <c r="AH35" t="s">
        <v>20</v>
      </c>
      <c r="AI35" t="s">
        <v>257</v>
      </c>
      <c r="AJ35">
        <v>4.1899999999999998E-9</v>
      </c>
      <c r="AK35" t="s">
        <v>241</v>
      </c>
      <c r="AL35" t="s">
        <v>249</v>
      </c>
      <c r="AM35" t="s">
        <v>24</v>
      </c>
      <c r="AN35" t="s">
        <v>257</v>
      </c>
      <c r="AO35">
        <v>4.1899999999999998E-9</v>
      </c>
      <c r="AP35" t="s">
        <v>241</v>
      </c>
      <c r="AQ35" t="s">
        <v>249</v>
      </c>
      <c r="AR35" t="s">
        <v>22</v>
      </c>
      <c r="AS35" t="s">
        <v>257</v>
      </c>
      <c r="AT35">
        <v>4.1899999999999998E-9</v>
      </c>
      <c r="AU35" t="s">
        <v>241</v>
      </c>
      <c r="AV35" t="s">
        <v>249</v>
      </c>
      <c r="AW35" t="s">
        <v>23</v>
      </c>
      <c r="AX35" t="s">
        <v>257</v>
      </c>
      <c r="AY35">
        <v>4.1899999999999998E-9</v>
      </c>
      <c r="AZ35" t="s">
        <v>523</v>
      </c>
      <c r="BA35" t="s">
        <v>249</v>
      </c>
      <c r="BB35" t="s">
        <v>24</v>
      </c>
      <c r="BC35" t="s">
        <v>257</v>
      </c>
      <c r="BD35">
        <v>4.1899999999999998E-9</v>
      </c>
      <c r="BE35" t="s">
        <v>241</v>
      </c>
      <c r="BF35" t="s">
        <v>249</v>
      </c>
      <c r="BG35" t="s">
        <v>25</v>
      </c>
      <c r="BH35" t="s">
        <v>257</v>
      </c>
      <c r="BI35">
        <v>4.1899999999999998E-9</v>
      </c>
      <c r="BJ35" t="s">
        <v>517</v>
      </c>
      <c r="BK35" t="s">
        <v>249</v>
      </c>
      <c r="BL35" t="s">
        <v>26</v>
      </c>
      <c r="BM35" t="s">
        <v>257</v>
      </c>
      <c r="BN35">
        <v>4.1899999999999998E-9</v>
      </c>
      <c r="BO35" t="str">
        <f t="shared" si="4"/>
        <v>Firma Test3. Test33.10 Test3 (E+10L+A)</v>
      </c>
      <c r="BP35" t="str">
        <f t="shared" si="5"/>
        <v>Firma Test3. Test3</v>
      </c>
    </row>
    <row r="36" spans="1:68">
      <c r="A36" t="s">
        <v>103</v>
      </c>
      <c r="B36" t="s">
        <v>537</v>
      </c>
      <c r="C36" t="s">
        <v>538</v>
      </c>
      <c r="D36" t="s">
        <v>548</v>
      </c>
      <c r="E36" t="s">
        <v>558</v>
      </c>
      <c r="F36">
        <v>7.17E-8</v>
      </c>
      <c r="G36" t="s">
        <v>424</v>
      </c>
      <c r="H36" t="s">
        <v>568</v>
      </c>
      <c r="I36" t="s">
        <v>5</v>
      </c>
      <c r="J36" t="s">
        <v>578</v>
      </c>
      <c r="K36">
        <v>4.29E-8</v>
      </c>
      <c r="L36" t="s">
        <v>588</v>
      </c>
      <c r="M36" t="s">
        <v>598</v>
      </c>
      <c r="N36" t="s">
        <v>6</v>
      </c>
      <c r="O36" t="s">
        <v>608</v>
      </c>
      <c r="P36">
        <v>2.4699999999999999E-8</v>
      </c>
      <c r="Q36" t="s">
        <v>746</v>
      </c>
      <c r="R36" t="s">
        <v>650</v>
      </c>
      <c r="S36" t="s">
        <v>17</v>
      </c>
      <c r="T36" t="s">
        <v>659</v>
      </c>
      <c r="U36">
        <v>4.1899999999999998E-9</v>
      </c>
      <c r="X36" t="s">
        <v>18</v>
      </c>
      <c r="Z36">
        <v>4.1899999999999998E-9</v>
      </c>
      <c r="AE36">
        <v>4.1899999999999998E-9</v>
      </c>
      <c r="AH36" t="s">
        <v>20</v>
      </c>
      <c r="AJ36">
        <v>4.1899999999999998E-9</v>
      </c>
      <c r="AM36" t="s">
        <v>21</v>
      </c>
      <c r="AO36">
        <v>4.1899999999999998E-9</v>
      </c>
      <c r="AR36" t="s">
        <v>22</v>
      </c>
      <c r="AT36">
        <v>4.1899999999999998E-9</v>
      </c>
      <c r="AW36" t="s">
        <v>23</v>
      </c>
      <c r="AY36">
        <v>4.1899999999999998E-9</v>
      </c>
      <c r="BB36" t="s">
        <v>24</v>
      </c>
      <c r="BD36">
        <v>4.1899999999999998E-9</v>
      </c>
      <c r="BG36" t="s">
        <v>25</v>
      </c>
      <c r="BI36">
        <v>4.1899999999999998E-9</v>
      </c>
      <c r="BL36" t="s">
        <v>26</v>
      </c>
      <c r="BN36">
        <v>4.1899999999999998E-9</v>
      </c>
      <c r="BO36" t="str">
        <f t="shared" si="4"/>
        <v>Firma Test4. Test44.1 Test4 (E+1L+A)</v>
      </c>
      <c r="BP36" t="str">
        <f t="shared" si="5"/>
        <v>Firma Test4. Test4</v>
      </c>
    </row>
    <row r="37" spans="1:68">
      <c r="A37" t="s">
        <v>103</v>
      </c>
      <c r="B37" t="s">
        <v>537</v>
      </c>
      <c r="C37" t="s">
        <v>539</v>
      </c>
      <c r="D37" t="s">
        <v>549</v>
      </c>
      <c r="E37" t="s">
        <v>559</v>
      </c>
      <c r="F37">
        <v>7.17E-8</v>
      </c>
      <c r="G37" t="s">
        <v>446</v>
      </c>
      <c r="H37" t="s">
        <v>569</v>
      </c>
      <c r="I37" t="s">
        <v>5</v>
      </c>
      <c r="J37" t="s">
        <v>579</v>
      </c>
      <c r="K37">
        <v>4.29E-8</v>
      </c>
      <c r="L37" t="s">
        <v>589</v>
      </c>
      <c r="M37" t="s">
        <v>599</v>
      </c>
      <c r="N37" t="s">
        <v>6</v>
      </c>
      <c r="O37" t="s">
        <v>609</v>
      </c>
      <c r="P37">
        <v>2.4699999999999999E-8</v>
      </c>
      <c r="Q37" t="s">
        <v>747</v>
      </c>
      <c r="R37" t="s">
        <v>651</v>
      </c>
      <c r="S37" t="s">
        <v>17</v>
      </c>
      <c r="T37" t="s">
        <v>660</v>
      </c>
      <c r="U37">
        <v>4.1899999999999998E-9</v>
      </c>
      <c r="V37" t="s">
        <v>707</v>
      </c>
      <c r="W37" t="s">
        <v>626</v>
      </c>
      <c r="X37" t="s">
        <v>18</v>
      </c>
      <c r="Y37" t="s">
        <v>634</v>
      </c>
      <c r="Z37">
        <v>4.1899999999999998E-9</v>
      </c>
      <c r="AE37">
        <v>4.1899999999999998E-9</v>
      </c>
      <c r="AH37" t="s">
        <v>20</v>
      </c>
      <c r="AJ37">
        <v>4.1899999999999998E-9</v>
      </c>
      <c r="AM37" t="s">
        <v>21</v>
      </c>
      <c r="AO37">
        <v>4.1899999999999998E-9</v>
      </c>
      <c r="AR37" t="s">
        <v>22</v>
      </c>
      <c r="AT37">
        <v>4.1899999999999998E-9</v>
      </c>
      <c r="AW37" t="s">
        <v>23</v>
      </c>
      <c r="AY37">
        <v>4.1899999999999998E-9</v>
      </c>
      <c r="BB37" t="s">
        <v>24</v>
      </c>
      <c r="BD37">
        <v>4.1899999999999998E-9</v>
      </c>
      <c r="BG37" t="s">
        <v>25</v>
      </c>
      <c r="BI37">
        <v>4.1899999999999998E-9</v>
      </c>
      <c r="BL37" t="s">
        <v>26</v>
      </c>
      <c r="BN37">
        <v>4.1899999999999998E-9</v>
      </c>
      <c r="BO37" t="str">
        <f t="shared" si="4"/>
        <v>Firma Test4. Test44.2 Test4 (E+2L+A)</v>
      </c>
      <c r="BP37" t="str">
        <f t="shared" si="5"/>
        <v>Firma Test4. Test4</v>
      </c>
    </row>
    <row r="38" spans="1:68">
      <c r="A38" t="s">
        <v>103</v>
      </c>
      <c r="B38" t="s">
        <v>537</v>
      </c>
      <c r="C38" t="s">
        <v>540</v>
      </c>
      <c r="D38" t="s">
        <v>550</v>
      </c>
      <c r="E38" t="s">
        <v>560</v>
      </c>
      <c r="F38">
        <v>7.17E-8</v>
      </c>
      <c r="G38" t="s">
        <v>447</v>
      </c>
      <c r="H38" t="s">
        <v>570</v>
      </c>
      <c r="I38" t="s">
        <v>5</v>
      </c>
      <c r="J38" t="s">
        <v>580</v>
      </c>
      <c r="K38">
        <v>4.29E-8</v>
      </c>
      <c r="L38" t="s">
        <v>590</v>
      </c>
      <c r="M38" t="s">
        <v>600</v>
      </c>
      <c r="N38" t="s">
        <v>6</v>
      </c>
      <c r="O38" t="s">
        <v>610</v>
      </c>
      <c r="P38">
        <v>2.4699999999999999E-8</v>
      </c>
      <c r="Q38" t="s">
        <v>748</v>
      </c>
      <c r="R38" t="s">
        <v>652</v>
      </c>
      <c r="S38" t="s">
        <v>17</v>
      </c>
      <c r="T38" t="s">
        <v>661</v>
      </c>
      <c r="U38">
        <v>4.1899999999999998E-9</v>
      </c>
      <c r="V38" t="s">
        <v>708</v>
      </c>
      <c r="W38" t="s">
        <v>627</v>
      </c>
      <c r="X38" t="s">
        <v>18</v>
      </c>
      <c r="Y38" t="s">
        <v>635</v>
      </c>
      <c r="Z38">
        <v>4.1899999999999998E-9</v>
      </c>
      <c r="AA38" t="s">
        <v>618</v>
      </c>
      <c r="AB38" t="s">
        <v>627</v>
      </c>
      <c r="AC38" t="s">
        <v>19</v>
      </c>
      <c r="AD38" t="s">
        <v>635</v>
      </c>
      <c r="AE38">
        <v>4.1899999999999998E-9</v>
      </c>
      <c r="AH38" t="s">
        <v>20</v>
      </c>
      <c r="AJ38">
        <v>4.1899999999999998E-9</v>
      </c>
      <c r="AM38" t="s">
        <v>21</v>
      </c>
      <c r="AO38">
        <v>4.1899999999999998E-9</v>
      </c>
      <c r="AR38" t="s">
        <v>22</v>
      </c>
      <c r="AT38">
        <v>4.1899999999999998E-9</v>
      </c>
      <c r="AW38" t="s">
        <v>23</v>
      </c>
      <c r="AY38">
        <v>4.1899999999999998E-9</v>
      </c>
      <c r="BB38" t="s">
        <v>24</v>
      </c>
      <c r="BD38">
        <v>4.1899999999999998E-9</v>
      </c>
      <c r="BG38" t="s">
        <v>25</v>
      </c>
      <c r="BI38">
        <v>4.1899999999999998E-9</v>
      </c>
      <c r="BL38" t="s">
        <v>26</v>
      </c>
      <c r="BN38">
        <v>4.1899999999999998E-9</v>
      </c>
      <c r="BO38" t="str">
        <f t="shared" si="4"/>
        <v>Firma Test4. Test44.3 Test4 (E+3L+A)</v>
      </c>
      <c r="BP38" t="str">
        <f t="shared" si="5"/>
        <v>Firma Test4. Test4</v>
      </c>
    </row>
    <row r="39" spans="1:68">
      <c r="A39" t="s">
        <v>103</v>
      </c>
      <c r="B39" t="s">
        <v>537</v>
      </c>
      <c r="C39" t="s">
        <v>541</v>
      </c>
      <c r="D39" t="s">
        <v>551</v>
      </c>
      <c r="E39" t="s">
        <v>561</v>
      </c>
      <c r="F39">
        <v>7.17E-8</v>
      </c>
      <c r="G39" t="s">
        <v>448</v>
      </c>
      <c r="H39" t="s">
        <v>571</v>
      </c>
      <c r="I39" t="s">
        <v>5</v>
      </c>
      <c r="J39" t="s">
        <v>581</v>
      </c>
      <c r="K39">
        <v>4.29E-8</v>
      </c>
      <c r="L39" t="s">
        <v>591</v>
      </c>
      <c r="M39" t="s">
        <v>601</v>
      </c>
      <c r="N39" t="s">
        <v>6</v>
      </c>
      <c r="O39" t="s">
        <v>611</v>
      </c>
      <c r="P39">
        <v>2.4699999999999999E-8</v>
      </c>
      <c r="Q39" t="s">
        <v>749</v>
      </c>
      <c r="R39" t="s">
        <v>653</v>
      </c>
      <c r="S39" t="s">
        <v>17</v>
      </c>
      <c r="T39" t="s">
        <v>662</v>
      </c>
      <c r="U39">
        <v>4.1899999999999998E-9</v>
      </c>
      <c r="V39" t="s">
        <v>709</v>
      </c>
      <c r="W39" t="s">
        <v>628</v>
      </c>
      <c r="X39" t="s">
        <v>18</v>
      </c>
      <c r="Y39" t="s">
        <v>636</v>
      </c>
      <c r="Z39">
        <v>4.1899999999999998E-9</v>
      </c>
      <c r="AA39" t="s">
        <v>619</v>
      </c>
      <c r="AB39" t="s">
        <v>628</v>
      </c>
      <c r="AC39" t="s">
        <v>19</v>
      </c>
      <c r="AD39" t="s">
        <v>636</v>
      </c>
      <c r="AE39">
        <v>4.1899999999999998E-9</v>
      </c>
      <c r="AF39" t="s">
        <v>619</v>
      </c>
      <c r="AG39" t="s">
        <v>628</v>
      </c>
      <c r="AH39" t="s">
        <v>20</v>
      </c>
      <c r="AI39" t="s">
        <v>636</v>
      </c>
      <c r="AJ39">
        <v>4.1899999999999998E-9</v>
      </c>
      <c r="AM39" t="s">
        <v>21</v>
      </c>
      <c r="AO39">
        <v>4.1899999999999998E-9</v>
      </c>
      <c r="AR39" t="s">
        <v>22</v>
      </c>
      <c r="AT39">
        <v>4.1899999999999998E-9</v>
      </c>
      <c r="AW39" t="s">
        <v>23</v>
      </c>
      <c r="AY39">
        <v>4.1899999999999998E-9</v>
      </c>
      <c r="BB39" t="s">
        <v>24</v>
      </c>
      <c r="BD39">
        <v>4.1899999999999998E-9</v>
      </c>
      <c r="BG39" t="s">
        <v>25</v>
      </c>
      <c r="BI39">
        <v>4.1899999999999998E-9</v>
      </c>
      <c r="BL39" t="s">
        <v>26</v>
      </c>
      <c r="BN39">
        <v>4.1899999999999998E-9</v>
      </c>
      <c r="BO39" t="str">
        <f t="shared" si="4"/>
        <v>Firma Test4. Test44.4 Test4 (E+4L+A)</v>
      </c>
      <c r="BP39" t="str">
        <f t="shared" si="5"/>
        <v>Firma Test4. Test4</v>
      </c>
    </row>
    <row r="40" spans="1:68">
      <c r="A40" t="s">
        <v>103</v>
      </c>
      <c r="B40" t="s">
        <v>537</v>
      </c>
      <c r="C40" t="s">
        <v>542</v>
      </c>
      <c r="D40" t="s">
        <v>552</v>
      </c>
      <c r="E40" t="s">
        <v>562</v>
      </c>
      <c r="F40">
        <v>7.17E-8</v>
      </c>
      <c r="G40" t="s">
        <v>449</v>
      </c>
      <c r="H40" t="s">
        <v>572</v>
      </c>
      <c r="I40" t="s">
        <v>5</v>
      </c>
      <c r="J40" t="s">
        <v>582</v>
      </c>
      <c r="K40">
        <v>4.29E-8</v>
      </c>
      <c r="L40" t="s">
        <v>592</v>
      </c>
      <c r="M40" t="s">
        <v>602</v>
      </c>
      <c r="N40" t="s">
        <v>6</v>
      </c>
      <c r="O40" t="s">
        <v>612</v>
      </c>
      <c r="P40">
        <v>2.4699999999999999E-8</v>
      </c>
      <c r="Q40" t="s">
        <v>750</v>
      </c>
      <c r="R40" t="s">
        <v>654</v>
      </c>
      <c r="S40" t="s">
        <v>17</v>
      </c>
      <c r="T40" t="s">
        <v>663</v>
      </c>
      <c r="U40">
        <v>4.1899999999999998E-9</v>
      </c>
      <c r="V40" t="s">
        <v>710</v>
      </c>
      <c r="W40" t="s">
        <v>629</v>
      </c>
      <c r="X40" t="s">
        <v>18</v>
      </c>
      <c r="Y40" t="s">
        <v>637</v>
      </c>
      <c r="Z40">
        <v>4.1899999999999998E-9</v>
      </c>
      <c r="AA40" t="s">
        <v>620</v>
      </c>
      <c r="AB40" t="s">
        <v>629</v>
      </c>
      <c r="AC40" t="s">
        <v>19</v>
      </c>
      <c r="AD40" t="s">
        <v>637</v>
      </c>
      <c r="AE40">
        <v>4.1899999999999998E-9</v>
      </c>
      <c r="AF40" t="s">
        <v>620</v>
      </c>
      <c r="AG40" t="s">
        <v>629</v>
      </c>
      <c r="AH40" t="s">
        <v>20</v>
      </c>
      <c r="AI40" t="s">
        <v>637</v>
      </c>
      <c r="AJ40">
        <v>4.1899999999999998E-9</v>
      </c>
      <c r="AK40" t="s">
        <v>620</v>
      </c>
      <c r="AL40" t="s">
        <v>648</v>
      </c>
      <c r="AM40" t="s">
        <v>21</v>
      </c>
      <c r="AN40" t="s">
        <v>252</v>
      </c>
      <c r="AO40">
        <v>4.1899999999999998E-9</v>
      </c>
      <c r="AR40" t="s">
        <v>22</v>
      </c>
      <c r="AT40">
        <v>4.1899999999999998E-9</v>
      </c>
      <c r="AW40" t="s">
        <v>23</v>
      </c>
      <c r="AY40">
        <v>4.1899999999999998E-9</v>
      </c>
      <c r="BB40" t="s">
        <v>24</v>
      </c>
      <c r="BD40">
        <v>4.1899999999999998E-9</v>
      </c>
      <c r="BG40" t="s">
        <v>25</v>
      </c>
      <c r="BI40">
        <v>4.1899999999999998E-9</v>
      </c>
      <c r="BL40" t="s">
        <v>26</v>
      </c>
      <c r="BN40">
        <v>4.1899999999999998E-9</v>
      </c>
      <c r="BO40" t="str">
        <f t="shared" si="4"/>
        <v>Firma Test4. Test44.5 Test4 (E+5L+A)</v>
      </c>
      <c r="BP40" t="str">
        <f t="shared" si="5"/>
        <v>Firma Test4. Test4</v>
      </c>
    </row>
    <row r="41" spans="1:68">
      <c r="A41" t="s">
        <v>103</v>
      </c>
      <c r="B41" t="s">
        <v>537</v>
      </c>
      <c r="C41" t="s">
        <v>543</v>
      </c>
      <c r="D41" t="s">
        <v>553</v>
      </c>
      <c r="E41" t="s">
        <v>563</v>
      </c>
      <c r="F41">
        <v>7.17E-8</v>
      </c>
      <c r="G41" t="s">
        <v>450</v>
      </c>
      <c r="H41" t="s">
        <v>573</v>
      </c>
      <c r="I41" t="s">
        <v>5</v>
      </c>
      <c r="J41" t="s">
        <v>583</v>
      </c>
      <c r="K41">
        <v>4.29E-8</v>
      </c>
      <c r="L41" t="s">
        <v>593</v>
      </c>
      <c r="M41" t="s">
        <v>603</v>
      </c>
      <c r="N41" t="s">
        <v>6</v>
      </c>
      <c r="O41" t="s">
        <v>613</v>
      </c>
      <c r="P41">
        <v>2.4699999999999999E-8</v>
      </c>
      <c r="Q41" t="s">
        <v>751</v>
      </c>
      <c r="R41" t="s">
        <v>655</v>
      </c>
      <c r="S41" t="s">
        <v>17</v>
      </c>
      <c r="T41" t="s">
        <v>664</v>
      </c>
      <c r="U41">
        <v>4.1899999999999998E-9</v>
      </c>
      <c r="V41" t="s">
        <v>711</v>
      </c>
      <c r="W41" t="s">
        <v>630</v>
      </c>
      <c r="X41" t="s">
        <v>18</v>
      </c>
      <c r="Y41" t="s">
        <v>638</v>
      </c>
      <c r="Z41">
        <v>4.1899999999999998E-9</v>
      </c>
      <c r="AA41" t="s">
        <v>621</v>
      </c>
      <c r="AB41" t="s">
        <v>630</v>
      </c>
      <c r="AC41" t="s">
        <v>19</v>
      </c>
      <c r="AD41" t="s">
        <v>638</v>
      </c>
      <c r="AE41">
        <v>4.1899999999999998E-9</v>
      </c>
      <c r="AF41" t="s">
        <v>621</v>
      </c>
      <c r="AG41" t="s">
        <v>630</v>
      </c>
      <c r="AH41" t="s">
        <v>20</v>
      </c>
      <c r="AI41" t="s">
        <v>638</v>
      </c>
      <c r="AJ41">
        <v>4.1899999999999998E-9</v>
      </c>
      <c r="AK41" t="s">
        <v>621</v>
      </c>
      <c r="AL41" t="s">
        <v>509</v>
      </c>
      <c r="AM41" t="s">
        <v>21</v>
      </c>
      <c r="AN41" t="s">
        <v>253</v>
      </c>
      <c r="AO41">
        <v>4.1899999999999998E-9</v>
      </c>
      <c r="AP41" t="s">
        <v>505</v>
      </c>
      <c r="AQ41" t="s">
        <v>509</v>
      </c>
      <c r="AR41" t="s">
        <v>22</v>
      </c>
      <c r="AS41" t="s">
        <v>513</v>
      </c>
      <c r="AT41">
        <v>4.1899999999999998E-9</v>
      </c>
      <c r="AW41" t="s">
        <v>23</v>
      </c>
      <c r="AY41">
        <v>4.1899999999999998E-9</v>
      </c>
      <c r="BB41" t="s">
        <v>24</v>
      </c>
      <c r="BD41">
        <v>4.1899999999999998E-9</v>
      </c>
      <c r="BG41" t="s">
        <v>25</v>
      </c>
      <c r="BI41">
        <v>4.1899999999999998E-9</v>
      </c>
      <c r="BL41" t="s">
        <v>26</v>
      </c>
      <c r="BN41">
        <v>4.1899999999999998E-9</v>
      </c>
      <c r="BO41" t="str">
        <f t="shared" si="4"/>
        <v>Firma Test4. Test44.6 Test4 (E+6L+A)</v>
      </c>
      <c r="BP41" t="str">
        <f t="shared" si="5"/>
        <v>Firma Test4. Test4</v>
      </c>
    </row>
    <row r="42" spans="1:68">
      <c r="A42" t="s">
        <v>103</v>
      </c>
      <c r="B42" t="s">
        <v>537</v>
      </c>
      <c r="C42" t="s">
        <v>544</v>
      </c>
      <c r="D42" t="s">
        <v>554</v>
      </c>
      <c r="E42" t="s">
        <v>564</v>
      </c>
      <c r="F42">
        <v>7.17E-8</v>
      </c>
      <c r="G42" t="s">
        <v>451</v>
      </c>
      <c r="H42" t="s">
        <v>574</v>
      </c>
      <c r="I42" t="s">
        <v>5</v>
      </c>
      <c r="J42" t="s">
        <v>584</v>
      </c>
      <c r="K42">
        <v>4.29E-8</v>
      </c>
      <c r="L42" t="s">
        <v>594</v>
      </c>
      <c r="M42" t="s">
        <v>604</v>
      </c>
      <c r="N42" t="s">
        <v>6</v>
      </c>
      <c r="O42" t="s">
        <v>614</v>
      </c>
      <c r="P42">
        <v>2.4699999999999999E-8</v>
      </c>
      <c r="Q42" t="s">
        <v>752</v>
      </c>
      <c r="R42" t="s">
        <v>656</v>
      </c>
      <c r="S42" t="s">
        <v>17</v>
      </c>
      <c r="T42" t="s">
        <v>665</v>
      </c>
      <c r="U42">
        <v>4.1899999999999998E-9</v>
      </c>
      <c r="V42" t="s">
        <v>712</v>
      </c>
      <c r="W42" t="s">
        <v>631</v>
      </c>
      <c r="X42" t="s">
        <v>18</v>
      </c>
      <c r="Y42" t="s">
        <v>639</v>
      </c>
      <c r="Z42">
        <v>4.1899999999999998E-9</v>
      </c>
      <c r="AA42" t="s">
        <v>622</v>
      </c>
      <c r="AB42" t="s">
        <v>631</v>
      </c>
      <c r="AC42" t="s">
        <v>19</v>
      </c>
      <c r="AD42" t="s">
        <v>639</v>
      </c>
      <c r="AE42">
        <v>4.1899999999999998E-9</v>
      </c>
      <c r="AF42" t="s">
        <v>622</v>
      </c>
      <c r="AG42" t="s">
        <v>631</v>
      </c>
      <c r="AH42" t="s">
        <v>20</v>
      </c>
      <c r="AI42" t="s">
        <v>639</v>
      </c>
      <c r="AJ42">
        <v>4.1899999999999998E-9</v>
      </c>
      <c r="AK42" t="s">
        <v>622</v>
      </c>
      <c r="AL42" t="s">
        <v>510</v>
      </c>
      <c r="AM42" t="s">
        <v>21</v>
      </c>
      <c r="AN42" t="s">
        <v>254</v>
      </c>
      <c r="AO42">
        <v>4.1899999999999998E-9</v>
      </c>
      <c r="AP42" t="s">
        <v>506</v>
      </c>
      <c r="AQ42" t="s">
        <v>510</v>
      </c>
      <c r="AR42" t="s">
        <v>22</v>
      </c>
      <c r="AS42" t="s">
        <v>514</v>
      </c>
      <c r="AT42">
        <v>4.1899999999999998E-9</v>
      </c>
      <c r="AU42" t="s">
        <v>506</v>
      </c>
      <c r="AV42" t="s">
        <v>510</v>
      </c>
      <c r="AW42" t="s">
        <v>23</v>
      </c>
      <c r="AX42" t="s">
        <v>514</v>
      </c>
      <c r="AY42">
        <v>4.1899999999999998E-9</v>
      </c>
      <c r="BB42" t="s">
        <v>24</v>
      </c>
      <c r="BD42">
        <v>4.1899999999999998E-9</v>
      </c>
      <c r="BG42" t="s">
        <v>25</v>
      </c>
      <c r="BI42">
        <v>4.1899999999999998E-9</v>
      </c>
      <c r="BL42" t="s">
        <v>26</v>
      </c>
      <c r="BN42">
        <v>4.1899999999999998E-9</v>
      </c>
      <c r="BO42" t="str">
        <f t="shared" si="4"/>
        <v>Firma Test4. Test44.7 Test4 (E+7L+A)</v>
      </c>
      <c r="BP42" t="str">
        <f t="shared" si="5"/>
        <v>Firma Test4. Test4</v>
      </c>
    </row>
    <row r="43" spans="1:68">
      <c r="A43" t="s">
        <v>103</v>
      </c>
      <c r="B43" t="s">
        <v>537</v>
      </c>
      <c r="C43" t="s">
        <v>545</v>
      </c>
      <c r="D43" t="s">
        <v>555</v>
      </c>
      <c r="E43" t="s">
        <v>565</v>
      </c>
      <c r="F43">
        <v>7.17E-8</v>
      </c>
      <c r="G43" t="s">
        <v>452</v>
      </c>
      <c r="H43" t="s">
        <v>575</v>
      </c>
      <c r="I43" t="s">
        <v>5</v>
      </c>
      <c r="J43" t="s">
        <v>585</v>
      </c>
      <c r="K43">
        <v>4.29E-8</v>
      </c>
      <c r="L43" t="s">
        <v>595</v>
      </c>
      <c r="M43" t="s">
        <v>605</v>
      </c>
      <c r="N43" t="s">
        <v>6</v>
      </c>
      <c r="O43" t="s">
        <v>615</v>
      </c>
      <c r="P43">
        <v>2.4699999999999999E-8</v>
      </c>
      <c r="Q43" t="s">
        <v>753</v>
      </c>
      <c r="R43" t="s">
        <v>657</v>
      </c>
      <c r="S43" t="s">
        <v>17</v>
      </c>
      <c r="T43" t="s">
        <v>666</v>
      </c>
      <c r="U43">
        <v>4.1899999999999998E-9</v>
      </c>
      <c r="V43" t="s">
        <v>713</v>
      </c>
      <c r="W43" t="s">
        <v>632</v>
      </c>
      <c r="X43" t="s">
        <v>18</v>
      </c>
      <c r="Y43" t="s">
        <v>640</v>
      </c>
      <c r="Z43">
        <v>4.1899999999999998E-9</v>
      </c>
      <c r="AA43" t="s">
        <v>623</v>
      </c>
      <c r="AB43" t="s">
        <v>632</v>
      </c>
      <c r="AC43" t="s">
        <v>19</v>
      </c>
      <c r="AD43" t="s">
        <v>640</v>
      </c>
      <c r="AE43">
        <v>4.1899999999999998E-9</v>
      </c>
      <c r="AF43" t="s">
        <v>623</v>
      </c>
      <c r="AG43" t="s">
        <v>632</v>
      </c>
      <c r="AH43" t="s">
        <v>20</v>
      </c>
      <c r="AI43" t="s">
        <v>640</v>
      </c>
      <c r="AJ43">
        <v>4.1899999999999998E-9</v>
      </c>
      <c r="AK43" t="s">
        <v>623</v>
      </c>
      <c r="AL43" t="s">
        <v>511</v>
      </c>
      <c r="AM43" t="s">
        <v>22</v>
      </c>
      <c r="AN43" t="s">
        <v>255</v>
      </c>
      <c r="AO43">
        <v>4.1899999999999998E-9</v>
      </c>
      <c r="AP43" t="s">
        <v>507</v>
      </c>
      <c r="AQ43" t="s">
        <v>511</v>
      </c>
      <c r="AR43" t="s">
        <v>22</v>
      </c>
      <c r="AS43" t="s">
        <v>515</v>
      </c>
      <c r="AT43">
        <v>4.1899999999999998E-9</v>
      </c>
      <c r="AU43" t="s">
        <v>507</v>
      </c>
      <c r="AV43" t="s">
        <v>511</v>
      </c>
      <c r="AW43" t="s">
        <v>23</v>
      </c>
      <c r="AX43" t="s">
        <v>515</v>
      </c>
      <c r="AY43">
        <v>4.1899999999999998E-9</v>
      </c>
      <c r="AZ43" t="s">
        <v>521</v>
      </c>
      <c r="BA43" t="s">
        <v>511</v>
      </c>
      <c r="BB43" t="s">
        <v>24</v>
      </c>
      <c r="BC43" t="s">
        <v>515</v>
      </c>
      <c r="BD43">
        <v>4.1899999999999998E-9</v>
      </c>
      <c r="BG43" t="s">
        <v>25</v>
      </c>
      <c r="BI43">
        <v>4.1899999999999998E-9</v>
      </c>
      <c r="BL43" t="s">
        <v>26</v>
      </c>
      <c r="BN43">
        <v>4.1899999999999998E-9</v>
      </c>
      <c r="BO43" t="str">
        <f t="shared" si="4"/>
        <v>Firma Test4. Test44.8 Test4 (E+8L+A)</v>
      </c>
      <c r="BP43" t="str">
        <f t="shared" si="5"/>
        <v>Firma Test4. Test4</v>
      </c>
    </row>
    <row r="44" spans="1:68">
      <c r="A44" t="s">
        <v>103</v>
      </c>
      <c r="B44" t="s">
        <v>537</v>
      </c>
      <c r="C44" t="s">
        <v>546</v>
      </c>
      <c r="D44" t="s">
        <v>556</v>
      </c>
      <c r="E44" t="s">
        <v>566</v>
      </c>
      <c r="F44">
        <v>7.17E-8</v>
      </c>
      <c r="G44" t="s">
        <v>453</v>
      </c>
      <c r="H44" t="s">
        <v>576</v>
      </c>
      <c r="I44" t="s">
        <v>5</v>
      </c>
      <c r="J44" t="s">
        <v>586</v>
      </c>
      <c r="K44">
        <v>4.29E-8</v>
      </c>
      <c r="L44" t="s">
        <v>596</v>
      </c>
      <c r="M44" t="s">
        <v>606</v>
      </c>
      <c r="N44" t="s">
        <v>6</v>
      </c>
      <c r="O44" t="s">
        <v>616</v>
      </c>
      <c r="P44">
        <v>2.4699999999999999E-8</v>
      </c>
      <c r="Q44" t="s">
        <v>754</v>
      </c>
      <c r="R44" t="s">
        <v>658</v>
      </c>
      <c r="S44" t="s">
        <v>17</v>
      </c>
      <c r="T44" t="s">
        <v>667</v>
      </c>
      <c r="U44">
        <v>4.1899999999999998E-9</v>
      </c>
      <c r="V44" t="s">
        <v>714</v>
      </c>
      <c r="W44" t="s">
        <v>633</v>
      </c>
      <c r="X44" t="s">
        <v>18</v>
      </c>
      <c r="Y44" t="s">
        <v>641</v>
      </c>
      <c r="Z44">
        <v>4.1899999999999998E-9</v>
      </c>
      <c r="AA44" t="s">
        <v>624</v>
      </c>
      <c r="AB44" t="s">
        <v>633</v>
      </c>
      <c r="AC44" t="s">
        <v>19</v>
      </c>
      <c r="AD44" t="s">
        <v>641</v>
      </c>
      <c r="AE44">
        <v>4.1899999999999998E-9</v>
      </c>
      <c r="AF44" t="s">
        <v>624</v>
      </c>
      <c r="AG44" t="s">
        <v>633</v>
      </c>
      <c r="AH44" t="s">
        <v>20</v>
      </c>
      <c r="AI44" t="s">
        <v>641</v>
      </c>
      <c r="AJ44">
        <v>4.1899999999999998E-9</v>
      </c>
      <c r="AK44" t="s">
        <v>624</v>
      </c>
      <c r="AL44" t="s">
        <v>512</v>
      </c>
      <c r="AM44" t="s">
        <v>23</v>
      </c>
      <c r="AN44" t="s">
        <v>256</v>
      </c>
      <c r="AO44">
        <v>4.1899999999999998E-9</v>
      </c>
      <c r="AP44" t="s">
        <v>508</v>
      </c>
      <c r="AQ44" t="s">
        <v>512</v>
      </c>
      <c r="AR44" t="s">
        <v>22</v>
      </c>
      <c r="AS44" t="s">
        <v>516</v>
      </c>
      <c r="AT44">
        <v>4.1899999999999998E-9</v>
      </c>
      <c r="AU44" t="s">
        <v>508</v>
      </c>
      <c r="AV44" t="s">
        <v>512</v>
      </c>
      <c r="AW44" t="s">
        <v>23</v>
      </c>
      <c r="AX44" t="s">
        <v>516</v>
      </c>
      <c r="AY44">
        <v>4.1899999999999998E-9</v>
      </c>
      <c r="AZ44" t="s">
        <v>522</v>
      </c>
      <c r="BA44" t="s">
        <v>512</v>
      </c>
      <c r="BB44" t="s">
        <v>24</v>
      </c>
      <c r="BC44" t="s">
        <v>516</v>
      </c>
      <c r="BD44">
        <v>4.1899999999999998E-9</v>
      </c>
      <c r="BE44" t="s">
        <v>508</v>
      </c>
      <c r="BF44" t="s">
        <v>512</v>
      </c>
      <c r="BG44" t="s">
        <v>25</v>
      </c>
      <c r="BH44" t="s">
        <v>516</v>
      </c>
      <c r="BI44">
        <v>4.1899999999999998E-9</v>
      </c>
      <c r="BL44" t="s">
        <v>26</v>
      </c>
      <c r="BN44">
        <v>4.1899999999999998E-9</v>
      </c>
      <c r="BO44" t="str">
        <f t="shared" si="4"/>
        <v>Firma Test4. Test44.9 Test4 (E+9L+A)</v>
      </c>
      <c r="BP44" t="str">
        <f t="shared" si="5"/>
        <v>Firma Test4. Test4</v>
      </c>
    </row>
    <row r="45" spans="1:68">
      <c r="A45" t="s">
        <v>103</v>
      </c>
      <c r="B45" t="s">
        <v>537</v>
      </c>
      <c r="C45" t="s">
        <v>547</v>
      </c>
      <c r="D45" t="s">
        <v>557</v>
      </c>
      <c r="E45" t="s">
        <v>567</v>
      </c>
      <c r="F45">
        <v>7.17E-8</v>
      </c>
      <c r="G45" t="s">
        <v>454</v>
      </c>
      <c r="H45" t="s">
        <v>577</v>
      </c>
      <c r="I45" t="s">
        <v>5</v>
      </c>
      <c r="J45" t="s">
        <v>587</v>
      </c>
      <c r="K45">
        <v>4.29E-8</v>
      </c>
      <c r="L45" t="s">
        <v>597</v>
      </c>
      <c r="M45" t="s">
        <v>607</v>
      </c>
      <c r="N45" t="s">
        <v>6</v>
      </c>
      <c r="O45" t="s">
        <v>617</v>
      </c>
      <c r="P45">
        <v>2.4699999999999999E-8</v>
      </c>
      <c r="Q45" t="s">
        <v>755</v>
      </c>
      <c r="R45" t="s">
        <v>649</v>
      </c>
      <c r="S45" t="s">
        <v>17</v>
      </c>
      <c r="T45" t="s">
        <v>668</v>
      </c>
      <c r="U45">
        <v>4.1899999999999998E-9</v>
      </c>
      <c r="V45" t="s">
        <v>715</v>
      </c>
      <c r="W45" t="s">
        <v>259</v>
      </c>
      <c r="X45" t="s">
        <v>18</v>
      </c>
      <c r="Y45" t="s">
        <v>260</v>
      </c>
      <c r="Z45">
        <v>4.1899999999999998E-9</v>
      </c>
      <c r="AA45" t="s">
        <v>625</v>
      </c>
      <c r="AB45" t="s">
        <v>259</v>
      </c>
      <c r="AC45" t="s">
        <v>19</v>
      </c>
      <c r="AD45" t="s">
        <v>260</v>
      </c>
      <c r="AE45">
        <v>4.1899999999999998E-9</v>
      </c>
      <c r="AF45" t="s">
        <v>625</v>
      </c>
      <c r="AG45" t="s">
        <v>259</v>
      </c>
      <c r="AH45" t="s">
        <v>20</v>
      </c>
      <c r="AI45" t="s">
        <v>260</v>
      </c>
      <c r="AJ45">
        <v>4.1899999999999998E-9</v>
      </c>
      <c r="AK45" t="s">
        <v>625</v>
      </c>
      <c r="AL45" t="s">
        <v>249</v>
      </c>
      <c r="AM45" t="s">
        <v>24</v>
      </c>
      <c r="AN45" t="s">
        <v>257</v>
      </c>
      <c r="AO45">
        <v>4.1899999999999998E-9</v>
      </c>
      <c r="AP45" t="s">
        <v>241</v>
      </c>
      <c r="AQ45" t="s">
        <v>249</v>
      </c>
      <c r="AR45" t="s">
        <v>22</v>
      </c>
      <c r="AS45" t="s">
        <v>257</v>
      </c>
      <c r="AT45">
        <v>4.1899999999999998E-9</v>
      </c>
      <c r="AU45" t="s">
        <v>241</v>
      </c>
      <c r="AV45" t="s">
        <v>249</v>
      </c>
      <c r="AW45" t="s">
        <v>23</v>
      </c>
      <c r="AX45" t="s">
        <v>257</v>
      </c>
      <c r="AY45">
        <v>4.1899999999999998E-9</v>
      </c>
      <c r="AZ45" t="s">
        <v>523</v>
      </c>
      <c r="BA45" t="s">
        <v>249</v>
      </c>
      <c r="BB45" t="s">
        <v>24</v>
      </c>
      <c r="BC45" t="s">
        <v>257</v>
      </c>
      <c r="BD45">
        <v>4.1899999999999998E-9</v>
      </c>
      <c r="BE45" t="s">
        <v>241</v>
      </c>
      <c r="BF45" t="s">
        <v>249</v>
      </c>
      <c r="BG45" t="s">
        <v>25</v>
      </c>
      <c r="BH45" t="s">
        <v>257</v>
      </c>
      <c r="BI45">
        <v>4.1899999999999998E-9</v>
      </c>
      <c r="BJ45" t="s">
        <v>517</v>
      </c>
      <c r="BK45" t="s">
        <v>249</v>
      </c>
      <c r="BL45" t="s">
        <v>26</v>
      </c>
      <c r="BM45" t="s">
        <v>257</v>
      </c>
      <c r="BN45">
        <v>4.1899999999999998E-9</v>
      </c>
      <c r="BO45" t="str">
        <f t="shared" si="4"/>
        <v>Firma Test4. Test44.10 Test4 (E+10L+A)</v>
      </c>
      <c r="BP45" t="str">
        <f t="shared" si="5"/>
        <v>Firma Test4. Test4</v>
      </c>
    </row>
    <row r="46" spans="1:68">
      <c r="A46" t="s">
        <v>103</v>
      </c>
      <c r="B46" t="s">
        <v>788</v>
      </c>
      <c r="C46" t="s">
        <v>789</v>
      </c>
      <c r="D46" t="s">
        <v>548</v>
      </c>
      <c r="E46" t="s">
        <v>558</v>
      </c>
      <c r="F46">
        <v>7.17E-8</v>
      </c>
      <c r="G46" t="s">
        <v>424</v>
      </c>
      <c r="H46" t="s">
        <v>568</v>
      </c>
      <c r="I46" t="s">
        <v>5</v>
      </c>
      <c r="J46" t="s">
        <v>578</v>
      </c>
      <c r="K46">
        <v>4.29E-8</v>
      </c>
      <c r="L46" t="s">
        <v>588</v>
      </c>
      <c r="M46" t="s">
        <v>598</v>
      </c>
      <c r="N46" t="s">
        <v>6</v>
      </c>
      <c r="O46" t="s">
        <v>608</v>
      </c>
      <c r="P46">
        <v>2.4699999999999999E-8</v>
      </c>
      <c r="Q46" t="s">
        <v>746</v>
      </c>
      <c r="R46" t="s">
        <v>650</v>
      </c>
      <c r="S46" t="s">
        <v>17</v>
      </c>
      <c r="T46" t="s">
        <v>659</v>
      </c>
      <c r="U46">
        <v>4.1899999999999998E-9</v>
      </c>
      <c r="X46" t="s">
        <v>18</v>
      </c>
      <c r="Z46">
        <v>4.1899999999999998E-9</v>
      </c>
      <c r="AE46">
        <v>4.1899999999999998E-9</v>
      </c>
      <c r="AH46" t="s">
        <v>20</v>
      </c>
      <c r="AJ46">
        <v>4.1899999999999998E-9</v>
      </c>
      <c r="AM46" t="s">
        <v>21</v>
      </c>
      <c r="AO46">
        <v>4.1899999999999998E-9</v>
      </c>
      <c r="AR46" t="s">
        <v>22</v>
      </c>
      <c r="AT46">
        <v>4.1899999999999998E-9</v>
      </c>
      <c r="AW46" t="s">
        <v>23</v>
      </c>
      <c r="AY46">
        <v>4.1899999999999998E-9</v>
      </c>
      <c r="BB46" t="s">
        <v>24</v>
      </c>
      <c r="BD46">
        <v>4.1899999999999998E-9</v>
      </c>
      <c r="BG46" t="s">
        <v>25</v>
      </c>
      <c r="BI46">
        <v>4.1899999999999998E-9</v>
      </c>
      <c r="BL46" t="s">
        <v>26</v>
      </c>
      <c r="BN46">
        <v>4.1899999999999998E-9</v>
      </c>
      <c r="BO46" t="str">
        <f t="shared" ref="BO46:BO77" si="6">CONCATENATE(A46,B46,C46)</f>
        <v>Firma Test5. Test45.1 Test4 (E+1L+A)</v>
      </c>
      <c r="BP46" t="str">
        <f t="shared" ref="BP46:BP77" si="7">CONCATENATE(A46,B46)</f>
        <v>Firma Test5. Test4</v>
      </c>
    </row>
    <row r="47" spans="1:68">
      <c r="A47" t="s">
        <v>103</v>
      </c>
      <c r="B47" t="s">
        <v>788</v>
      </c>
      <c r="C47" t="s">
        <v>790</v>
      </c>
      <c r="D47" t="s">
        <v>549</v>
      </c>
      <c r="E47" t="s">
        <v>559</v>
      </c>
      <c r="F47">
        <v>7.17E-8</v>
      </c>
      <c r="G47" t="s">
        <v>446</v>
      </c>
      <c r="H47" t="s">
        <v>569</v>
      </c>
      <c r="I47" t="s">
        <v>5</v>
      </c>
      <c r="J47" t="s">
        <v>579</v>
      </c>
      <c r="K47">
        <v>4.29E-8</v>
      </c>
      <c r="L47" t="s">
        <v>589</v>
      </c>
      <c r="M47" t="s">
        <v>599</v>
      </c>
      <c r="N47" t="s">
        <v>6</v>
      </c>
      <c r="O47" t="s">
        <v>609</v>
      </c>
      <c r="P47">
        <v>2.4699999999999999E-8</v>
      </c>
      <c r="Q47" t="s">
        <v>747</v>
      </c>
      <c r="R47" t="s">
        <v>651</v>
      </c>
      <c r="S47" t="s">
        <v>17</v>
      </c>
      <c r="T47" t="s">
        <v>660</v>
      </c>
      <c r="U47">
        <v>4.1899999999999998E-9</v>
      </c>
      <c r="V47" t="s">
        <v>707</v>
      </c>
      <c r="W47" t="s">
        <v>626</v>
      </c>
      <c r="X47" t="s">
        <v>18</v>
      </c>
      <c r="Y47" t="s">
        <v>634</v>
      </c>
      <c r="Z47">
        <v>4.1899999999999998E-9</v>
      </c>
      <c r="AE47">
        <v>4.1899999999999998E-9</v>
      </c>
      <c r="AH47" t="s">
        <v>20</v>
      </c>
      <c r="AJ47">
        <v>4.1899999999999998E-9</v>
      </c>
      <c r="AM47" t="s">
        <v>21</v>
      </c>
      <c r="AO47">
        <v>4.1899999999999998E-9</v>
      </c>
      <c r="AR47" t="s">
        <v>22</v>
      </c>
      <c r="AT47">
        <v>4.1899999999999998E-9</v>
      </c>
      <c r="AW47" t="s">
        <v>23</v>
      </c>
      <c r="AY47">
        <v>4.1899999999999998E-9</v>
      </c>
      <c r="BB47" t="s">
        <v>24</v>
      </c>
      <c r="BD47">
        <v>4.1899999999999998E-9</v>
      </c>
      <c r="BG47" t="s">
        <v>25</v>
      </c>
      <c r="BI47">
        <v>4.1899999999999998E-9</v>
      </c>
      <c r="BL47" t="s">
        <v>26</v>
      </c>
      <c r="BN47">
        <v>4.1899999999999998E-9</v>
      </c>
      <c r="BO47" t="str">
        <f t="shared" si="6"/>
        <v>Firma Test5. Test45.2 Test4 (E+2L+A)</v>
      </c>
      <c r="BP47" t="str">
        <f t="shared" si="7"/>
        <v>Firma Test5. Test4</v>
      </c>
    </row>
    <row r="48" spans="1:68">
      <c r="A48" t="s">
        <v>103</v>
      </c>
      <c r="B48" t="s">
        <v>788</v>
      </c>
      <c r="C48" t="s">
        <v>791</v>
      </c>
      <c r="D48" t="s">
        <v>550</v>
      </c>
      <c r="E48" t="s">
        <v>560</v>
      </c>
      <c r="F48">
        <v>7.17E-8</v>
      </c>
      <c r="G48" t="s">
        <v>447</v>
      </c>
      <c r="H48" t="s">
        <v>570</v>
      </c>
      <c r="I48" t="s">
        <v>5</v>
      </c>
      <c r="J48" t="s">
        <v>580</v>
      </c>
      <c r="K48">
        <v>4.29E-8</v>
      </c>
      <c r="L48" t="s">
        <v>590</v>
      </c>
      <c r="M48" t="s">
        <v>600</v>
      </c>
      <c r="N48" t="s">
        <v>6</v>
      </c>
      <c r="O48" t="s">
        <v>610</v>
      </c>
      <c r="P48">
        <v>2.4699999999999999E-8</v>
      </c>
      <c r="Q48" t="s">
        <v>748</v>
      </c>
      <c r="R48" t="s">
        <v>652</v>
      </c>
      <c r="S48" t="s">
        <v>17</v>
      </c>
      <c r="T48" t="s">
        <v>661</v>
      </c>
      <c r="U48">
        <v>4.1899999999999998E-9</v>
      </c>
      <c r="V48" t="s">
        <v>708</v>
      </c>
      <c r="W48" t="s">
        <v>627</v>
      </c>
      <c r="X48" t="s">
        <v>18</v>
      </c>
      <c r="Y48" t="s">
        <v>635</v>
      </c>
      <c r="Z48">
        <v>4.1899999999999998E-9</v>
      </c>
      <c r="AA48" t="s">
        <v>618</v>
      </c>
      <c r="AB48" t="s">
        <v>627</v>
      </c>
      <c r="AC48" t="s">
        <v>19</v>
      </c>
      <c r="AD48" t="s">
        <v>635</v>
      </c>
      <c r="AE48">
        <v>4.1899999999999998E-9</v>
      </c>
      <c r="AH48" t="s">
        <v>20</v>
      </c>
      <c r="AJ48">
        <v>4.1899999999999998E-9</v>
      </c>
      <c r="AM48" t="s">
        <v>21</v>
      </c>
      <c r="AO48">
        <v>4.1899999999999998E-9</v>
      </c>
      <c r="AR48" t="s">
        <v>22</v>
      </c>
      <c r="AT48">
        <v>4.1899999999999998E-9</v>
      </c>
      <c r="AW48" t="s">
        <v>23</v>
      </c>
      <c r="AY48">
        <v>4.1899999999999998E-9</v>
      </c>
      <c r="BB48" t="s">
        <v>24</v>
      </c>
      <c r="BD48">
        <v>4.1899999999999998E-9</v>
      </c>
      <c r="BG48" t="s">
        <v>25</v>
      </c>
      <c r="BI48">
        <v>4.1899999999999998E-9</v>
      </c>
      <c r="BL48" t="s">
        <v>26</v>
      </c>
      <c r="BN48">
        <v>4.1899999999999998E-9</v>
      </c>
      <c r="BO48" t="str">
        <f t="shared" si="6"/>
        <v>Firma Test5. Test45.3 Test4 (E+3L+A)</v>
      </c>
      <c r="BP48" t="str">
        <f t="shared" si="7"/>
        <v>Firma Test5. Test4</v>
      </c>
    </row>
    <row r="49" spans="1:68">
      <c r="A49" t="s">
        <v>103</v>
      </c>
      <c r="B49" t="s">
        <v>788</v>
      </c>
      <c r="C49" t="s">
        <v>792</v>
      </c>
      <c r="D49" t="s">
        <v>551</v>
      </c>
      <c r="E49" t="s">
        <v>561</v>
      </c>
      <c r="F49">
        <v>7.17E-8</v>
      </c>
      <c r="G49" t="s">
        <v>448</v>
      </c>
      <c r="H49" t="s">
        <v>571</v>
      </c>
      <c r="I49" t="s">
        <v>5</v>
      </c>
      <c r="J49" t="s">
        <v>581</v>
      </c>
      <c r="K49">
        <v>4.29E-8</v>
      </c>
      <c r="L49" t="s">
        <v>591</v>
      </c>
      <c r="M49" t="s">
        <v>601</v>
      </c>
      <c r="N49" t="s">
        <v>6</v>
      </c>
      <c r="O49" t="s">
        <v>611</v>
      </c>
      <c r="P49">
        <v>2.4699999999999999E-8</v>
      </c>
      <c r="Q49" t="s">
        <v>749</v>
      </c>
      <c r="R49" t="s">
        <v>653</v>
      </c>
      <c r="S49" t="s">
        <v>17</v>
      </c>
      <c r="T49" t="s">
        <v>662</v>
      </c>
      <c r="U49">
        <v>4.1899999999999998E-9</v>
      </c>
      <c r="V49" t="s">
        <v>709</v>
      </c>
      <c r="W49" t="s">
        <v>628</v>
      </c>
      <c r="X49" t="s">
        <v>18</v>
      </c>
      <c r="Y49" t="s">
        <v>636</v>
      </c>
      <c r="Z49">
        <v>4.1899999999999998E-9</v>
      </c>
      <c r="AA49" t="s">
        <v>619</v>
      </c>
      <c r="AB49" t="s">
        <v>628</v>
      </c>
      <c r="AC49" t="s">
        <v>19</v>
      </c>
      <c r="AD49" t="s">
        <v>636</v>
      </c>
      <c r="AE49">
        <v>4.1899999999999998E-9</v>
      </c>
      <c r="AF49" t="s">
        <v>619</v>
      </c>
      <c r="AG49" t="s">
        <v>628</v>
      </c>
      <c r="AH49" t="s">
        <v>20</v>
      </c>
      <c r="AI49" t="s">
        <v>636</v>
      </c>
      <c r="AJ49">
        <v>4.1899999999999998E-9</v>
      </c>
      <c r="AM49" t="s">
        <v>21</v>
      </c>
      <c r="AO49">
        <v>4.1899999999999998E-9</v>
      </c>
      <c r="AR49" t="s">
        <v>22</v>
      </c>
      <c r="AT49">
        <v>4.1899999999999998E-9</v>
      </c>
      <c r="AW49" t="s">
        <v>23</v>
      </c>
      <c r="AY49">
        <v>4.1899999999999998E-9</v>
      </c>
      <c r="BB49" t="s">
        <v>24</v>
      </c>
      <c r="BD49">
        <v>4.1899999999999998E-9</v>
      </c>
      <c r="BG49" t="s">
        <v>25</v>
      </c>
      <c r="BI49">
        <v>4.1899999999999998E-9</v>
      </c>
      <c r="BL49" t="s">
        <v>26</v>
      </c>
      <c r="BN49">
        <v>4.1899999999999998E-9</v>
      </c>
      <c r="BO49" t="str">
        <f t="shared" si="6"/>
        <v>Firma Test5. Test45.4 Test4 (E+4L+A)</v>
      </c>
      <c r="BP49" t="str">
        <f t="shared" si="7"/>
        <v>Firma Test5. Test4</v>
      </c>
    </row>
    <row r="50" spans="1:68">
      <c r="A50" t="s">
        <v>103</v>
      </c>
      <c r="B50" t="s">
        <v>788</v>
      </c>
      <c r="C50" t="s">
        <v>793</v>
      </c>
      <c r="D50" t="s">
        <v>552</v>
      </c>
      <c r="E50" t="s">
        <v>562</v>
      </c>
      <c r="F50">
        <v>7.17E-8</v>
      </c>
      <c r="G50" t="s">
        <v>449</v>
      </c>
      <c r="H50" t="s">
        <v>572</v>
      </c>
      <c r="I50" t="s">
        <v>5</v>
      </c>
      <c r="J50" t="s">
        <v>582</v>
      </c>
      <c r="K50">
        <v>4.29E-8</v>
      </c>
      <c r="L50" t="s">
        <v>592</v>
      </c>
      <c r="M50" t="s">
        <v>602</v>
      </c>
      <c r="N50" t="s">
        <v>6</v>
      </c>
      <c r="O50" t="s">
        <v>612</v>
      </c>
      <c r="P50">
        <v>2.4699999999999999E-8</v>
      </c>
      <c r="Q50" t="s">
        <v>750</v>
      </c>
      <c r="R50" t="s">
        <v>654</v>
      </c>
      <c r="S50" t="s">
        <v>17</v>
      </c>
      <c r="T50" t="s">
        <v>663</v>
      </c>
      <c r="U50">
        <v>4.1899999999999998E-9</v>
      </c>
      <c r="V50" t="s">
        <v>710</v>
      </c>
      <c r="W50" t="s">
        <v>629</v>
      </c>
      <c r="X50" t="s">
        <v>18</v>
      </c>
      <c r="Y50" t="s">
        <v>637</v>
      </c>
      <c r="Z50">
        <v>4.1899999999999998E-9</v>
      </c>
      <c r="AA50" t="s">
        <v>620</v>
      </c>
      <c r="AB50" t="s">
        <v>629</v>
      </c>
      <c r="AC50" t="s">
        <v>19</v>
      </c>
      <c r="AD50" t="s">
        <v>637</v>
      </c>
      <c r="AE50">
        <v>4.1899999999999998E-9</v>
      </c>
      <c r="AF50" t="s">
        <v>620</v>
      </c>
      <c r="AG50" t="s">
        <v>629</v>
      </c>
      <c r="AH50" t="s">
        <v>20</v>
      </c>
      <c r="AI50" t="s">
        <v>637</v>
      </c>
      <c r="AJ50">
        <v>4.1899999999999998E-9</v>
      </c>
      <c r="AK50" t="s">
        <v>620</v>
      </c>
      <c r="AL50" t="s">
        <v>648</v>
      </c>
      <c r="AM50" t="s">
        <v>21</v>
      </c>
      <c r="AN50" t="s">
        <v>252</v>
      </c>
      <c r="AO50">
        <v>4.1899999999999998E-9</v>
      </c>
      <c r="AR50" t="s">
        <v>22</v>
      </c>
      <c r="AT50">
        <v>4.1899999999999998E-9</v>
      </c>
      <c r="AW50" t="s">
        <v>23</v>
      </c>
      <c r="AY50">
        <v>4.1899999999999998E-9</v>
      </c>
      <c r="BB50" t="s">
        <v>24</v>
      </c>
      <c r="BD50">
        <v>4.1899999999999998E-9</v>
      </c>
      <c r="BG50" t="s">
        <v>25</v>
      </c>
      <c r="BI50">
        <v>4.1899999999999998E-9</v>
      </c>
      <c r="BL50" t="s">
        <v>26</v>
      </c>
      <c r="BN50">
        <v>4.1899999999999998E-9</v>
      </c>
      <c r="BO50" t="str">
        <f t="shared" si="6"/>
        <v>Firma Test5. Test45.5 Test4 (E+5L+A)</v>
      </c>
      <c r="BP50" t="str">
        <f t="shared" si="7"/>
        <v>Firma Test5. Test4</v>
      </c>
    </row>
    <row r="51" spans="1:68">
      <c r="A51" t="s">
        <v>103</v>
      </c>
      <c r="B51" t="s">
        <v>788</v>
      </c>
      <c r="C51" t="s">
        <v>794</v>
      </c>
      <c r="D51" t="s">
        <v>553</v>
      </c>
      <c r="E51" t="s">
        <v>563</v>
      </c>
      <c r="F51">
        <v>7.17E-8</v>
      </c>
      <c r="G51" t="s">
        <v>450</v>
      </c>
      <c r="H51" t="s">
        <v>573</v>
      </c>
      <c r="I51" t="s">
        <v>5</v>
      </c>
      <c r="J51" t="s">
        <v>583</v>
      </c>
      <c r="K51">
        <v>4.29E-8</v>
      </c>
      <c r="L51" t="s">
        <v>593</v>
      </c>
      <c r="M51" t="s">
        <v>603</v>
      </c>
      <c r="N51" t="s">
        <v>6</v>
      </c>
      <c r="O51" t="s">
        <v>613</v>
      </c>
      <c r="P51">
        <v>2.4699999999999999E-8</v>
      </c>
      <c r="Q51" t="s">
        <v>751</v>
      </c>
      <c r="R51" t="s">
        <v>655</v>
      </c>
      <c r="S51" t="s">
        <v>17</v>
      </c>
      <c r="T51" t="s">
        <v>664</v>
      </c>
      <c r="U51">
        <v>4.1899999999999998E-9</v>
      </c>
      <c r="V51" t="s">
        <v>711</v>
      </c>
      <c r="W51" t="s">
        <v>630</v>
      </c>
      <c r="X51" t="s">
        <v>18</v>
      </c>
      <c r="Y51" t="s">
        <v>638</v>
      </c>
      <c r="Z51">
        <v>4.1899999999999998E-9</v>
      </c>
      <c r="AA51" t="s">
        <v>621</v>
      </c>
      <c r="AB51" t="s">
        <v>630</v>
      </c>
      <c r="AC51" t="s">
        <v>19</v>
      </c>
      <c r="AD51" t="s">
        <v>638</v>
      </c>
      <c r="AE51">
        <v>4.1899999999999998E-9</v>
      </c>
      <c r="AF51" t="s">
        <v>621</v>
      </c>
      <c r="AG51" t="s">
        <v>630</v>
      </c>
      <c r="AH51" t="s">
        <v>20</v>
      </c>
      <c r="AI51" t="s">
        <v>638</v>
      </c>
      <c r="AJ51">
        <v>4.1899999999999998E-9</v>
      </c>
      <c r="AK51" t="s">
        <v>621</v>
      </c>
      <c r="AL51" t="s">
        <v>509</v>
      </c>
      <c r="AM51" t="s">
        <v>21</v>
      </c>
      <c r="AN51" t="s">
        <v>253</v>
      </c>
      <c r="AO51">
        <v>4.1899999999999998E-9</v>
      </c>
      <c r="AP51" t="s">
        <v>505</v>
      </c>
      <c r="AQ51" t="s">
        <v>509</v>
      </c>
      <c r="AR51" t="s">
        <v>22</v>
      </c>
      <c r="AS51" t="s">
        <v>513</v>
      </c>
      <c r="AT51">
        <v>4.1899999999999998E-9</v>
      </c>
      <c r="AW51" t="s">
        <v>23</v>
      </c>
      <c r="AY51">
        <v>4.1899999999999998E-9</v>
      </c>
      <c r="BB51" t="s">
        <v>24</v>
      </c>
      <c r="BD51">
        <v>4.1899999999999998E-9</v>
      </c>
      <c r="BG51" t="s">
        <v>25</v>
      </c>
      <c r="BI51">
        <v>4.1899999999999998E-9</v>
      </c>
      <c r="BL51" t="s">
        <v>26</v>
      </c>
      <c r="BN51">
        <v>4.1899999999999998E-9</v>
      </c>
      <c r="BO51" t="str">
        <f t="shared" si="6"/>
        <v>Firma Test5. Test45.6 Test4 (E+6L+A)</v>
      </c>
      <c r="BP51" t="str">
        <f t="shared" si="7"/>
        <v>Firma Test5. Test4</v>
      </c>
    </row>
    <row r="52" spans="1:68">
      <c r="A52" t="s">
        <v>103</v>
      </c>
      <c r="B52" t="s">
        <v>788</v>
      </c>
      <c r="C52" t="s">
        <v>795</v>
      </c>
      <c r="D52" t="s">
        <v>554</v>
      </c>
      <c r="E52" t="s">
        <v>564</v>
      </c>
      <c r="F52">
        <v>7.17E-8</v>
      </c>
      <c r="G52" t="s">
        <v>451</v>
      </c>
      <c r="H52" t="s">
        <v>574</v>
      </c>
      <c r="I52" t="s">
        <v>5</v>
      </c>
      <c r="J52" t="s">
        <v>584</v>
      </c>
      <c r="K52">
        <v>4.29E-8</v>
      </c>
      <c r="L52" t="s">
        <v>594</v>
      </c>
      <c r="M52" t="s">
        <v>604</v>
      </c>
      <c r="N52" t="s">
        <v>6</v>
      </c>
      <c r="O52" t="s">
        <v>614</v>
      </c>
      <c r="P52">
        <v>2.4699999999999999E-8</v>
      </c>
      <c r="Q52" t="s">
        <v>752</v>
      </c>
      <c r="R52" t="s">
        <v>656</v>
      </c>
      <c r="S52" t="s">
        <v>17</v>
      </c>
      <c r="T52" t="s">
        <v>665</v>
      </c>
      <c r="U52">
        <v>4.1899999999999998E-9</v>
      </c>
      <c r="V52" t="s">
        <v>712</v>
      </c>
      <c r="W52" t="s">
        <v>631</v>
      </c>
      <c r="X52" t="s">
        <v>18</v>
      </c>
      <c r="Y52" t="s">
        <v>639</v>
      </c>
      <c r="Z52">
        <v>4.1899999999999998E-9</v>
      </c>
      <c r="AA52" t="s">
        <v>622</v>
      </c>
      <c r="AB52" t="s">
        <v>631</v>
      </c>
      <c r="AC52" t="s">
        <v>19</v>
      </c>
      <c r="AD52" t="s">
        <v>639</v>
      </c>
      <c r="AE52">
        <v>4.1899999999999998E-9</v>
      </c>
      <c r="AF52" t="s">
        <v>622</v>
      </c>
      <c r="AG52" t="s">
        <v>631</v>
      </c>
      <c r="AH52" t="s">
        <v>20</v>
      </c>
      <c r="AI52" t="s">
        <v>639</v>
      </c>
      <c r="AJ52">
        <v>4.1899999999999998E-9</v>
      </c>
      <c r="AK52" t="s">
        <v>622</v>
      </c>
      <c r="AL52" t="s">
        <v>510</v>
      </c>
      <c r="AM52" t="s">
        <v>21</v>
      </c>
      <c r="AN52" t="s">
        <v>254</v>
      </c>
      <c r="AO52">
        <v>4.1899999999999998E-9</v>
      </c>
      <c r="AP52" t="s">
        <v>506</v>
      </c>
      <c r="AQ52" t="s">
        <v>510</v>
      </c>
      <c r="AR52" t="s">
        <v>22</v>
      </c>
      <c r="AS52" t="s">
        <v>514</v>
      </c>
      <c r="AT52">
        <v>4.1899999999999998E-9</v>
      </c>
      <c r="AU52" t="s">
        <v>506</v>
      </c>
      <c r="AV52" t="s">
        <v>510</v>
      </c>
      <c r="AW52" t="s">
        <v>23</v>
      </c>
      <c r="AX52" t="s">
        <v>514</v>
      </c>
      <c r="AY52">
        <v>4.1899999999999998E-9</v>
      </c>
      <c r="BB52" t="s">
        <v>24</v>
      </c>
      <c r="BD52">
        <v>4.1899999999999998E-9</v>
      </c>
      <c r="BG52" t="s">
        <v>25</v>
      </c>
      <c r="BI52">
        <v>4.1899999999999998E-9</v>
      </c>
      <c r="BL52" t="s">
        <v>26</v>
      </c>
      <c r="BN52">
        <v>4.1899999999999998E-9</v>
      </c>
      <c r="BO52" t="str">
        <f t="shared" si="6"/>
        <v>Firma Test5. Test45.7 Test4 (E+7L+A)</v>
      </c>
      <c r="BP52" t="str">
        <f t="shared" si="7"/>
        <v>Firma Test5. Test4</v>
      </c>
    </row>
    <row r="53" spans="1:68">
      <c r="A53" t="s">
        <v>103</v>
      </c>
      <c r="B53" t="s">
        <v>788</v>
      </c>
      <c r="C53" t="s">
        <v>796</v>
      </c>
      <c r="D53" t="s">
        <v>555</v>
      </c>
      <c r="E53" t="s">
        <v>565</v>
      </c>
      <c r="F53">
        <v>7.17E-8</v>
      </c>
      <c r="G53" t="s">
        <v>452</v>
      </c>
      <c r="H53" t="s">
        <v>575</v>
      </c>
      <c r="I53" t="s">
        <v>5</v>
      </c>
      <c r="J53" t="s">
        <v>585</v>
      </c>
      <c r="K53">
        <v>4.29E-8</v>
      </c>
      <c r="L53" t="s">
        <v>595</v>
      </c>
      <c r="M53" t="s">
        <v>605</v>
      </c>
      <c r="N53" t="s">
        <v>6</v>
      </c>
      <c r="O53" t="s">
        <v>615</v>
      </c>
      <c r="P53">
        <v>2.4699999999999999E-8</v>
      </c>
      <c r="Q53" t="s">
        <v>753</v>
      </c>
      <c r="R53" t="s">
        <v>657</v>
      </c>
      <c r="S53" t="s">
        <v>17</v>
      </c>
      <c r="T53" t="s">
        <v>666</v>
      </c>
      <c r="U53">
        <v>4.1899999999999998E-9</v>
      </c>
      <c r="V53" t="s">
        <v>713</v>
      </c>
      <c r="W53" t="s">
        <v>632</v>
      </c>
      <c r="X53" t="s">
        <v>18</v>
      </c>
      <c r="Y53" t="s">
        <v>640</v>
      </c>
      <c r="Z53">
        <v>4.1899999999999998E-9</v>
      </c>
      <c r="AA53" t="s">
        <v>623</v>
      </c>
      <c r="AB53" t="s">
        <v>632</v>
      </c>
      <c r="AC53" t="s">
        <v>19</v>
      </c>
      <c r="AD53" t="s">
        <v>640</v>
      </c>
      <c r="AE53">
        <v>4.1899999999999998E-9</v>
      </c>
      <c r="AF53" t="s">
        <v>623</v>
      </c>
      <c r="AG53" t="s">
        <v>632</v>
      </c>
      <c r="AH53" t="s">
        <v>20</v>
      </c>
      <c r="AI53" t="s">
        <v>640</v>
      </c>
      <c r="AJ53">
        <v>4.1899999999999998E-9</v>
      </c>
      <c r="AK53" t="s">
        <v>623</v>
      </c>
      <c r="AL53" t="s">
        <v>511</v>
      </c>
      <c r="AM53" t="s">
        <v>22</v>
      </c>
      <c r="AN53" t="s">
        <v>255</v>
      </c>
      <c r="AO53">
        <v>4.1899999999999998E-9</v>
      </c>
      <c r="AP53" t="s">
        <v>507</v>
      </c>
      <c r="AQ53" t="s">
        <v>511</v>
      </c>
      <c r="AR53" t="s">
        <v>22</v>
      </c>
      <c r="AS53" t="s">
        <v>515</v>
      </c>
      <c r="AT53">
        <v>4.1899999999999998E-9</v>
      </c>
      <c r="AU53" t="s">
        <v>507</v>
      </c>
      <c r="AV53" t="s">
        <v>511</v>
      </c>
      <c r="AW53" t="s">
        <v>23</v>
      </c>
      <c r="AX53" t="s">
        <v>515</v>
      </c>
      <c r="AY53">
        <v>4.1899999999999998E-9</v>
      </c>
      <c r="AZ53" t="s">
        <v>521</v>
      </c>
      <c r="BA53" t="s">
        <v>511</v>
      </c>
      <c r="BB53" t="s">
        <v>24</v>
      </c>
      <c r="BC53" t="s">
        <v>515</v>
      </c>
      <c r="BD53">
        <v>4.1899999999999998E-9</v>
      </c>
      <c r="BG53" t="s">
        <v>25</v>
      </c>
      <c r="BI53">
        <v>4.1899999999999998E-9</v>
      </c>
      <c r="BL53" t="s">
        <v>26</v>
      </c>
      <c r="BN53">
        <v>4.1899999999999998E-9</v>
      </c>
      <c r="BO53" t="str">
        <f t="shared" si="6"/>
        <v>Firma Test5. Test45.8 Test4 (E+8L+A)</v>
      </c>
      <c r="BP53" t="str">
        <f t="shared" si="7"/>
        <v>Firma Test5. Test4</v>
      </c>
    </row>
    <row r="54" spans="1:68">
      <c r="A54" t="s">
        <v>103</v>
      </c>
      <c r="B54" t="s">
        <v>788</v>
      </c>
      <c r="C54" t="s">
        <v>797</v>
      </c>
      <c r="D54" t="s">
        <v>556</v>
      </c>
      <c r="E54" t="s">
        <v>566</v>
      </c>
      <c r="F54">
        <v>7.17E-8</v>
      </c>
      <c r="G54" t="s">
        <v>453</v>
      </c>
      <c r="H54" t="s">
        <v>576</v>
      </c>
      <c r="I54" t="s">
        <v>5</v>
      </c>
      <c r="J54" t="s">
        <v>586</v>
      </c>
      <c r="K54">
        <v>4.29E-8</v>
      </c>
      <c r="L54" t="s">
        <v>596</v>
      </c>
      <c r="M54" t="s">
        <v>606</v>
      </c>
      <c r="N54" t="s">
        <v>6</v>
      </c>
      <c r="O54" t="s">
        <v>616</v>
      </c>
      <c r="P54">
        <v>2.4699999999999999E-8</v>
      </c>
      <c r="Q54" t="s">
        <v>754</v>
      </c>
      <c r="R54" t="s">
        <v>658</v>
      </c>
      <c r="S54" t="s">
        <v>17</v>
      </c>
      <c r="T54" t="s">
        <v>667</v>
      </c>
      <c r="U54">
        <v>4.1899999999999998E-9</v>
      </c>
      <c r="V54" t="s">
        <v>714</v>
      </c>
      <c r="W54" t="s">
        <v>633</v>
      </c>
      <c r="X54" t="s">
        <v>18</v>
      </c>
      <c r="Y54" t="s">
        <v>641</v>
      </c>
      <c r="Z54">
        <v>4.1899999999999998E-9</v>
      </c>
      <c r="AA54" t="s">
        <v>624</v>
      </c>
      <c r="AB54" t="s">
        <v>633</v>
      </c>
      <c r="AC54" t="s">
        <v>19</v>
      </c>
      <c r="AD54" t="s">
        <v>641</v>
      </c>
      <c r="AE54">
        <v>4.1899999999999998E-9</v>
      </c>
      <c r="AF54" t="s">
        <v>624</v>
      </c>
      <c r="AG54" t="s">
        <v>633</v>
      </c>
      <c r="AH54" t="s">
        <v>20</v>
      </c>
      <c r="AI54" t="s">
        <v>641</v>
      </c>
      <c r="AJ54">
        <v>4.1899999999999998E-9</v>
      </c>
      <c r="AK54" t="s">
        <v>624</v>
      </c>
      <c r="AL54" t="s">
        <v>512</v>
      </c>
      <c r="AM54" t="s">
        <v>23</v>
      </c>
      <c r="AN54" t="s">
        <v>256</v>
      </c>
      <c r="AO54">
        <v>4.1899999999999998E-9</v>
      </c>
      <c r="AP54" t="s">
        <v>508</v>
      </c>
      <c r="AQ54" t="s">
        <v>512</v>
      </c>
      <c r="AR54" t="s">
        <v>22</v>
      </c>
      <c r="AS54" t="s">
        <v>516</v>
      </c>
      <c r="AT54">
        <v>4.1899999999999998E-9</v>
      </c>
      <c r="AU54" t="s">
        <v>508</v>
      </c>
      <c r="AV54" t="s">
        <v>512</v>
      </c>
      <c r="AW54" t="s">
        <v>23</v>
      </c>
      <c r="AX54" t="s">
        <v>516</v>
      </c>
      <c r="AY54">
        <v>4.1899999999999998E-9</v>
      </c>
      <c r="AZ54" t="s">
        <v>522</v>
      </c>
      <c r="BA54" t="s">
        <v>512</v>
      </c>
      <c r="BB54" t="s">
        <v>24</v>
      </c>
      <c r="BC54" t="s">
        <v>516</v>
      </c>
      <c r="BD54">
        <v>4.1899999999999998E-9</v>
      </c>
      <c r="BE54" t="s">
        <v>508</v>
      </c>
      <c r="BF54" t="s">
        <v>512</v>
      </c>
      <c r="BG54" t="s">
        <v>25</v>
      </c>
      <c r="BH54" t="s">
        <v>516</v>
      </c>
      <c r="BI54">
        <v>4.1899999999999998E-9</v>
      </c>
      <c r="BL54" t="s">
        <v>26</v>
      </c>
      <c r="BN54">
        <v>4.1899999999999998E-9</v>
      </c>
      <c r="BO54" t="str">
        <f t="shared" si="6"/>
        <v>Firma Test5. Test45.9 Test4 (E+9L+A)</v>
      </c>
      <c r="BP54" t="str">
        <f t="shared" si="7"/>
        <v>Firma Test5. Test4</v>
      </c>
    </row>
    <row r="55" spans="1:68">
      <c r="A55" t="s">
        <v>103</v>
      </c>
      <c r="B55" t="s">
        <v>788</v>
      </c>
      <c r="C55" t="s">
        <v>798</v>
      </c>
      <c r="D55" t="s">
        <v>557</v>
      </c>
      <c r="E55" t="s">
        <v>567</v>
      </c>
      <c r="F55">
        <v>7.17E-8</v>
      </c>
      <c r="G55" t="s">
        <v>454</v>
      </c>
      <c r="H55" t="s">
        <v>577</v>
      </c>
      <c r="I55" t="s">
        <v>5</v>
      </c>
      <c r="J55" t="s">
        <v>587</v>
      </c>
      <c r="K55">
        <v>4.29E-8</v>
      </c>
      <c r="L55" t="s">
        <v>597</v>
      </c>
      <c r="M55" t="s">
        <v>607</v>
      </c>
      <c r="N55" t="s">
        <v>6</v>
      </c>
      <c r="O55" t="s">
        <v>617</v>
      </c>
      <c r="P55">
        <v>2.4699999999999999E-8</v>
      </c>
      <c r="Q55" t="s">
        <v>755</v>
      </c>
      <c r="R55" t="s">
        <v>649</v>
      </c>
      <c r="S55" t="s">
        <v>17</v>
      </c>
      <c r="T55" t="s">
        <v>668</v>
      </c>
      <c r="U55">
        <v>4.1899999999999998E-9</v>
      </c>
      <c r="V55" t="s">
        <v>715</v>
      </c>
      <c r="W55" t="s">
        <v>259</v>
      </c>
      <c r="X55" t="s">
        <v>18</v>
      </c>
      <c r="Y55" t="s">
        <v>260</v>
      </c>
      <c r="Z55">
        <v>4.1899999999999998E-9</v>
      </c>
      <c r="AA55" t="s">
        <v>625</v>
      </c>
      <c r="AB55" t="s">
        <v>259</v>
      </c>
      <c r="AC55" t="s">
        <v>19</v>
      </c>
      <c r="AD55" t="s">
        <v>260</v>
      </c>
      <c r="AE55">
        <v>4.1899999999999998E-9</v>
      </c>
      <c r="AF55" t="s">
        <v>625</v>
      </c>
      <c r="AG55" t="s">
        <v>259</v>
      </c>
      <c r="AH55" t="s">
        <v>20</v>
      </c>
      <c r="AI55" t="s">
        <v>260</v>
      </c>
      <c r="AJ55">
        <v>4.1899999999999998E-9</v>
      </c>
      <c r="AK55" t="s">
        <v>625</v>
      </c>
      <c r="AL55" t="s">
        <v>249</v>
      </c>
      <c r="AM55" t="s">
        <v>24</v>
      </c>
      <c r="AN55" t="s">
        <v>257</v>
      </c>
      <c r="AO55">
        <v>4.1899999999999998E-9</v>
      </c>
      <c r="AP55" t="s">
        <v>241</v>
      </c>
      <c r="AQ55" t="s">
        <v>249</v>
      </c>
      <c r="AR55" t="s">
        <v>22</v>
      </c>
      <c r="AS55" t="s">
        <v>257</v>
      </c>
      <c r="AT55">
        <v>4.1899999999999998E-9</v>
      </c>
      <c r="AU55" t="s">
        <v>241</v>
      </c>
      <c r="AV55" t="s">
        <v>249</v>
      </c>
      <c r="AW55" t="s">
        <v>23</v>
      </c>
      <c r="AX55" t="s">
        <v>257</v>
      </c>
      <c r="AY55">
        <v>4.1899999999999998E-9</v>
      </c>
      <c r="AZ55" t="s">
        <v>523</v>
      </c>
      <c r="BA55" t="s">
        <v>249</v>
      </c>
      <c r="BB55" t="s">
        <v>24</v>
      </c>
      <c r="BC55" t="s">
        <v>257</v>
      </c>
      <c r="BD55">
        <v>4.1899999999999998E-9</v>
      </c>
      <c r="BE55" t="s">
        <v>241</v>
      </c>
      <c r="BF55" t="s">
        <v>249</v>
      </c>
      <c r="BG55" t="s">
        <v>25</v>
      </c>
      <c r="BH55" t="s">
        <v>257</v>
      </c>
      <c r="BI55">
        <v>4.1899999999999998E-9</v>
      </c>
      <c r="BJ55" t="s">
        <v>517</v>
      </c>
      <c r="BK55" t="s">
        <v>249</v>
      </c>
      <c r="BL55" t="s">
        <v>26</v>
      </c>
      <c r="BM55" t="s">
        <v>257</v>
      </c>
      <c r="BN55">
        <v>4.1899999999999998E-9</v>
      </c>
      <c r="BO55" t="str">
        <f t="shared" si="6"/>
        <v>Firma Test5. Test45.10 Test4 (E+10L+A)</v>
      </c>
      <c r="BP55" t="str">
        <f t="shared" si="7"/>
        <v>Firma Test5. Test4</v>
      </c>
    </row>
    <row r="56" spans="1:68">
      <c r="A56" t="s">
        <v>103</v>
      </c>
      <c r="B56" t="s">
        <v>799</v>
      </c>
      <c r="C56" t="s">
        <v>800</v>
      </c>
      <c r="D56" t="s">
        <v>548</v>
      </c>
      <c r="E56" t="s">
        <v>558</v>
      </c>
      <c r="F56">
        <v>7.17E-8</v>
      </c>
      <c r="G56" t="s">
        <v>424</v>
      </c>
      <c r="H56" t="s">
        <v>568</v>
      </c>
      <c r="I56" t="s">
        <v>5</v>
      </c>
      <c r="J56" t="s">
        <v>578</v>
      </c>
      <c r="K56">
        <v>4.29E-8</v>
      </c>
      <c r="L56" t="s">
        <v>588</v>
      </c>
      <c r="M56" t="s">
        <v>598</v>
      </c>
      <c r="N56" t="s">
        <v>6</v>
      </c>
      <c r="O56" t="s">
        <v>608</v>
      </c>
      <c r="P56">
        <v>2.4699999999999999E-8</v>
      </c>
      <c r="Q56" t="s">
        <v>746</v>
      </c>
      <c r="R56" t="s">
        <v>650</v>
      </c>
      <c r="S56" t="s">
        <v>17</v>
      </c>
      <c r="T56" t="s">
        <v>659</v>
      </c>
      <c r="U56">
        <v>4.1899999999999998E-9</v>
      </c>
      <c r="X56" t="s">
        <v>18</v>
      </c>
      <c r="Z56">
        <v>4.1899999999999998E-9</v>
      </c>
      <c r="AE56">
        <v>4.1899999999999998E-9</v>
      </c>
      <c r="AH56" t="s">
        <v>20</v>
      </c>
      <c r="AJ56">
        <v>4.1899999999999998E-9</v>
      </c>
      <c r="AM56" t="s">
        <v>21</v>
      </c>
      <c r="AO56">
        <v>4.1899999999999998E-9</v>
      </c>
      <c r="AR56" t="s">
        <v>22</v>
      </c>
      <c r="AT56">
        <v>4.1899999999999998E-9</v>
      </c>
      <c r="AW56" t="s">
        <v>23</v>
      </c>
      <c r="AY56">
        <v>4.1899999999999998E-9</v>
      </c>
      <c r="BB56" t="s">
        <v>24</v>
      </c>
      <c r="BD56">
        <v>4.1899999999999998E-9</v>
      </c>
      <c r="BG56" t="s">
        <v>25</v>
      </c>
      <c r="BI56">
        <v>4.1899999999999998E-9</v>
      </c>
      <c r="BL56" t="s">
        <v>26</v>
      </c>
      <c r="BN56">
        <v>4.1899999999999998E-9</v>
      </c>
      <c r="BO56" t="str">
        <f t="shared" si="6"/>
        <v>Firma Test6. Test46.1 Test4 (E+1L+A)</v>
      </c>
      <c r="BP56" t="str">
        <f t="shared" si="7"/>
        <v>Firma Test6. Test4</v>
      </c>
    </row>
    <row r="57" spans="1:68">
      <c r="A57" t="s">
        <v>103</v>
      </c>
      <c r="B57" t="s">
        <v>799</v>
      </c>
      <c r="C57" t="s">
        <v>801</v>
      </c>
      <c r="D57" t="s">
        <v>549</v>
      </c>
      <c r="E57" t="s">
        <v>559</v>
      </c>
      <c r="F57">
        <v>7.17E-8</v>
      </c>
      <c r="G57" t="s">
        <v>446</v>
      </c>
      <c r="H57" t="s">
        <v>569</v>
      </c>
      <c r="I57" t="s">
        <v>5</v>
      </c>
      <c r="J57" t="s">
        <v>579</v>
      </c>
      <c r="K57">
        <v>4.29E-8</v>
      </c>
      <c r="L57" t="s">
        <v>589</v>
      </c>
      <c r="M57" t="s">
        <v>599</v>
      </c>
      <c r="N57" t="s">
        <v>6</v>
      </c>
      <c r="O57" t="s">
        <v>609</v>
      </c>
      <c r="P57">
        <v>2.4699999999999999E-8</v>
      </c>
      <c r="Q57" t="s">
        <v>747</v>
      </c>
      <c r="R57" t="s">
        <v>651</v>
      </c>
      <c r="S57" t="s">
        <v>17</v>
      </c>
      <c r="T57" t="s">
        <v>660</v>
      </c>
      <c r="U57">
        <v>4.1899999999999998E-9</v>
      </c>
      <c r="V57" t="s">
        <v>707</v>
      </c>
      <c r="W57" t="s">
        <v>626</v>
      </c>
      <c r="X57" t="s">
        <v>18</v>
      </c>
      <c r="Y57" t="s">
        <v>634</v>
      </c>
      <c r="Z57">
        <v>4.1899999999999998E-9</v>
      </c>
      <c r="AE57">
        <v>4.1899999999999998E-9</v>
      </c>
      <c r="AH57" t="s">
        <v>20</v>
      </c>
      <c r="AJ57">
        <v>4.1899999999999998E-9</v>
      </c>
      <c r="AM57" t="s">
        <v>21</v>
      </c>
      <c r="AO57">
        <v>4.1899999999999998E-9</v>
      </c>
      <c r="AR57" t="s">
        <v>22</v>
      </c>
      <c r="AT57">
        <v>4.1899999999999998E-9</v>
      </c>
      <c r="AW57" t="s">
        <v>23</v>
      </c>
      <c r="AY57">
        <v>4.1899999999999998E-9</v>
      </c>
      <c r="BB57" t="s">
        <v>24</v>
      </c>
      <c r="BD57">
        <v>4.1899999999999998E-9</v>
      </c>
      <c r="BG57" t="s">
        <v>25</v>
      </c>
      <c r="BI57">
        <v>4.1899999999999998E-9</v>
      </c>
      <c r="BL57" t="s">
        <v>26</v>
      </c>
      <c r="BN57">
        <v>4.1899999999999998E-9</v>
      </c>
      <c r="BO57" t="str">
        <f t="shared" si="6"/>
        <v>Firma Test6. Test46.2 Test4 (E+2L+A)</v>
      </c>
      <c r="BP57" t="str">
        <f t="shared" si="7"/>
        <v>Firma Test6. Test4</v>
      </c>
    </row>
    <row r="58" spans="1:68">
      <c r="A58" t="s">
        <v>103</v>
      </c>
      <c r="B58" t="s">
        <v>799</v>
      </c>
      <c r="C58" t="s">
        <v>802</v>
      </c>
      <c r="D58" t="s">
        <v>550</v>
      </c>
      <c r="E58" t="s">
        <v>560</v>
      </c>
      <c r="F58">
        <v>7.17E-8</v>
      </c>
      <c r="G58" t="s">
        <v>447</v>
      </c>
      <c r="H58" t="s">
        <v>570</v>
      </c>
      <c r="I58" t="s">
        <v>5</v>
      </c>
      <c r="J58" t="s">
        <v>580</v>
      </c>
      <c r="K58">
        <v>4.29E-8</v>
      </c>
      <c r="L58" t="s">
        <v>590</v>
      </c>
      <c r="M58" t="s">
        <v>600</v>
      </c>
      <c r="N58" t="s">
        <v>6</v>
      </c>
      <c r="O58" t="s">
        <v>610</v>
      </c>
      <c r="P58">
        <v>2.4699999999999999E-8</v>
      </c>
      <c r="Q58" t="s">
        <v>748</v>
      </c>
      <c r="R58" t="s">
        <v>652</v>
      </c>
      <c r="S58" t="s">
        <v>17</v>
      </c>
      <c r="T58" t="s">
        <v>661</v>
      </c>
      <c r="U58">
        <v>4.1899999999999998E-9</v>
      </c>
      <c r="V58" t="s">
        <v>708</v>
      </c>
      <c r="W58" t="s">
        <v>627</v>
      </c>
      <c r="X58" t="s">
        <v>18</v>
      </c>
      <c r="Y58" t="s">
        <v>635</v>
      </c>
      <c r="Z58">
        <v>4.1899999999999998E-9</v>
      </c>
      <c r="AA58" t="s">
        <v>618</v>
      </c>
      <c r="AB58" t="s">
        <v>627</v>
      </c>
      <c r="AC58" t="s">
        <v>19</v>
      </c>
      <c r="AD58" t="s">
        <v>635</v>
      </c>
      <c r="AE58">
        <v>4.1899999999999998E-9</v>
      </c>
      <c r="AH58" t="s">
        <v>20</v>
      </c>
      <c r="AJ58">
        <v>4.1899999999999998E-9</v>
      </c>
      <c r="AM58" t="s">
        <v>21</v>
      </c>
      <c r="AO58">
        <v>4.1899999999999998E-9</v>
      </c>
      <c r="AR58" t="s">
        <v>22</v>
      </c>
      <c r="AT58">
        <v>4.1899999999999998E-9</v>
      </c>
      <c r="AW58" t="s">
        <v>23</v>
      </c>
      <c r="AY58">
        <v>4.1899999999999998E-9</v>
      </c>
      <c r="BB58" t="s">
        <v>24</v>
      </c>
      <c r="BD58">
        <v>4.1899999999999998E-9</v>
      </c>
      <c r="BG58" t="s">
        <v>25</v>
      </c>
      <c r="BI58">
        <v>4.1899999999999998E-9</v>
      </c>
      <c r="BL58" t="s">
        <v>26</v>
      </c>
      <c r="BN58">
        <v>4.1899999999999998E-9</v>
      </c>
      <c r="BO58" t="str">
        <f t="shared" si="6"/>
        <v>Firma Test6. Test46.3 Test4 (E+3L+A)</v>
      </c>
      <c r="BP58" t="str">
        <f t="shared" si="7"/>
        <v>Firma Test6. Test4</v>
      </c>
    </row>
    <row r="59" spans="1:68">
      <c r="A59" t="s">
        <v>103</v>
      </c>
      <c r="B59" t="s">
        <v>799</v>
      </c>
      <c r="C59" t="s">
        <v>803</v>
      </c>
      <c r="D59" t="s">
        <v>551</v>
      </c>
      <c r="E59" t="s">
        <v>561</v>
      </c>
      <c r="F59">
        <v>7.17E-8</v>
      </c>
      <c r="G59" t="s">
        <v>448</v>
      </c>
      <c r="H59" t="s">
        <v>571</v>
      </c>
      <c r="I59" t="s">
        <v>5</v>
      </c>
      <c r="J59" t="s">
        <v>581</v>
      </c>
      <c r="K59">
        <v>4.29E-8</v>
      </c>
      <c r="L59" t="s">
        <v>591</v>
      </c>
      <c r="M59" t="s">
        <v>601</v>
      </c>
      <c r="N59" t="s">
        <v>6</v>
      </c>
      <c r="O59" t="s">
        <v>611</v>
      </c>
      <c r="P59">
        <v>2.4699999999999999E-8</v>
      </c>
      <c r="Q59" t="s">
        <v>749</v>
      </c>
      <c r="R59" t="s">
        <v>653</v>
      </c>
      <c r="S59" t="s">
        <v>17</v>
      </c>
      <c r="T59" t="s">
        <v>662</v>
      </c>
      <c r="U59">
        <v>4.1899999999999998E-9</v>
      </c>
      <c r="V59" t="s">
        <v>709</v>
      </c>
      <c r="W59" t="s">
        <v>628</v>
      </c>
      <c r="X59" t="s">
        <v>18</v>
      </c>
      <c r="Y59" t="s">
        <v>636</v>
      </c>
      <c r="Z59">
        <v>4.1899999999999998E-9</v>
      </c>
      <c r="AA59" t="s">
        <v>619</v>
      </c>
      <c r="AB59" t="s">
        <v>628</v>
      </c>
      <c r="AC59" t="s">
        <v>19</v>
      </c>
      <c r="AD59" t="s">
        <v>636</v>
      </c>
      <c r="AE59">
        <v>4.1899999999999998E-9</v>
      </c>
      <c r="AF59" t="s">
        <v>619</v>
      </c>
      <c r="AG59" t="s">
        <v>628</v>
      </c>
      <c r="AH59" t="s">
        <v>20</v>
      </c>
      <c r="AI59" t="s">
        <v>636</v>
      </c>
      <c r="AJ59">
        <v>4.1899999999999998E-9</v>
      </c>
      <c r="AM59" t="s">
        <v>21</v>
      </c>
      <c r="AO59">
        <v>4.1899999999999998E-9</v>
      </c>
      <c r="AR59" t="s">
        <v>22</v>
      </c>
      <c r="AT59">
        <v>4.1899999999999998E-9</v>
      </c>
      <c r="AW59" t="s">
        <v>23</v>
      </c>
      <c r="AY59">
        <v>4.1899999999999998E-9</v>
      </c>
      <c r="BB59" t="s">
        <v>24</v>
      </c>
      <c r="BD59">
        <v>4.1899999999999998E-9</v>
      </c>
      <c r="BG59" t="s">
        <v>25</v>
      </c>
      <c r="BI59">
        <v>4.1899999999999998E-9</v>
      </c>
      <c r="BL59" t="s">
        <v>26</v>
      </c>
      <c r="BN59">
        <v>4.1899999999999998E-9</v>
      </c>
      <c r="BO59" t="str">
        <f t="shared" si="6"/>
        <v>Firma Test6. Test46.4 Test4 (E+4L+A)</v>
      </c>
      <c r="BP59" t="str">
        <f t="shared" si="7"/>
        <v>Firma Test6. Test4</v>
      </c>
    </row>
    <row r="60" spans="1:68">
      <c r="A60" t="s">
        <v>103</v>
      </c>
      <c r="B60" t="s">
        <v>799</v>
      </c>
      <c r="C60" t="s">
        <v>804</v>
      </c>
      <c r="D60" t="s">
        <v>552</v>
      </c>
      <c r="E60" t="s">
        <v>562</v>
      </c>
      <c r="F60">
        <v>7.17E-8</v>
      </c>
      <c r="G60" t="s">
        <v>449</v>
      </c>
      <c r="H60" t="s">
        <v>572</v>
      </c>
      <c r="I60" t="s">
        <v>5</v>
      </c>
      <c r="J60" t="s">
        <v>582</v>
      </c>
      <c r="K60">
        <v>4.29E-8</v>
      </c>
      <c r="L60" t="s">
        <v>592</v>
      </c>
      <c r="M60" t="s">
        <v>602</v>
      </c>
      <c r="N60" t="s">
        <v>6</v>
      </c>
      <c r="O60" t="s">
        <v>612</v>
      </c>
      <c r="P60">
        <v>2.4699999999999999E-8</v>
      </c>
      <c r="Q60" t="s">
        <v>750</v>
      </c>
      <c r="R60" t="s">
        <v>654</v>
      </c>
      <c r="S60" t="s">
        <v>17</v>
      </c>
      <c r="T60" t="s">
        <v>663</v>
      </c>
      <c r="U60">
        <v>4.1899999999999998E-9</v>
      </c>
      <c r="V60" t="s">
        <v>710</v>
      </c>
      <c r="W60" t="s">
        <v>629</v>
      </c>
      <c r="X60" t="s">
        <v>18</v>
      </c>
      <c r="Y60" t="s">
        <v>637</v>
      </c>
      <c r="Z60">
        <v>4.1899999999999998E-9</v>
      </c>
      <c r="AA60" t="s">
        <v>620</v>
      </c>
      <c r="AB60" t="s">
        <v>629</v>
      </c>
      <c r="AC60" t="s">
        <v>19</v>
      </c>
      <c r="AD60" t="s">
        <v>637</v>
      </c>
      <c r="AE60">
        <v>4.1899999999999998E-9</v>
      </c>
      <c r="AF60" t="s">
        <v>620</v>
      </c>
      <c r="AG60" t="s">
        <v>629</v>
      </c>
      <c r="AH60" t="s">
        <v>20</v>
      </c>
      <c r="AI60" t="s">
        <v>637</v>
      </c>
      <c r="AJ60">
        <v>4.1899999999999998E-9</v>
      </c>
      <c r="AK60" t="s">
        <v>620</v>
      </c>
      <c r="AL60" t="s">
        <v>648</v>
      </c>
      <c r="AM60" t="s">
        <v>21</v>
      </c>
      <c r="AN60" t="s">
        <v>252</v>
      </c>
      <c r="AO60">
        <v>4.1899999999999998E-9</v>
      </c>
      <c r="AR60" t="s">
        <v>22</v>
      </c>
      <c r="AT60">
        <v>4.1899999999999998E-9</v>
      </c>
      <c r="AW60" t="s">
        <v>23</v>
      </c>
      <c r="AY60">
        <v>4.1899999999999998E-9</v>
      </c>
      <c r="BB60" t="s">
        <v>24</v>
      </c>
      <c r="BD60">
        <v>4.1899999999999998E-9</v>
      </c>
      <c r="BG60" t="s">
        <v>25</v>
      </c>
      <c r="BI60">
        <v>4.1899999999999998E-9</v>
      </c>
      <c r="BL60" t="s">
        <v>26</v>
      </c>
      <c r="BN60">
        <v>4.1899999999999998E-9</v>
      </c>
      <c r="BO60" t="str">
        <f t="shared" si="6"/>
        <v>Firma Test6. Test46.5 Test4 (E+5L+A)</v>
      </c>
      <c r="BP60" t="str">
        <f t="shared" si="7"/>
        <v>Firma Test6. Test4</v>
      </c>
    </row>
    <row r="61" spans="1:68">
      <c r="A61" t="s">
        <v>103</v>
      </c>
      <c r="B61" t="s">
        <v>799</v>
      </c>
      <c r="C61" t="s">
        <v>805</v>
      </c>
      <c r="D61" t="s">
        <v>553</v>
      </c>
      <c r="E61" t="s">
        <v>563</v>
      </c>
      <c r="F61">
        <v>7.17E-8</v>
      </c>
      <c r="G61" t="s">
        <v>450</v>
      </c>
      <c r="H61" t="s">
        <v>573</v>
      </c>
      <c r="I61" t="s">
        <v>5</v>
      </c>
      <c r="J61" t="s">
        <v>583</v>
      </c>
      <c r="K61">
        <v>4.29E-8</v>
      </c>
      <c r="L61" t="s">
        <v>593</v>
      </c>
      <c r="M61" t="s">
        <v>603</v>
      </c>
      <c r="N61" t="s">
        <v>6</v>
      </c>
      <c r="O61" t="s">
        <v>613</v>
      </c>
      <c r="P61">
        <v>2.4699999999999999E-8</v>
      </c>
      <c r="Q61" t="s">
        <v>751</v>
      </c>
      <c r="R61" t="s">
        <v>655</v>
      </c>
      <c r="S61" t="s">
        <v>17</v>
      </c>
      <c r="T61" t="s">
        <v>664</v>
      </c>
      <c r="U61">
        <v>4.1899999999999998E-9</v>
      </c>
      <c r="V61" t="s">
        <v>711</v>
      </c>
      <c r="W61" t="s">
        <v>630</v>
      </c>
      <c r="X61" t="s">
        <v>18</v>
      </c>
      <c r="Y61" t="s">
        <v>638</v>
      </c>
      <c r="Z61">
        <v>4.1899999999999998E-9</v>
      </c>
      <c r="AA61" t="s">
        <v>621</v>
      </c>
      <c r="AB61" t="s">
        <v>630</v>
      </c>
      <c r="AC61" t="s">
        <v>19</v>
      </c>
      <c r="AD61" t="s">
        <v>638</v>
      </c>
      <c r="AE61">
        <v>4.1899999999999998E-9</v>
      </c>
      <c r="AF61" t="s">
        <v>621</v>
      </c>
      <c r="AG61" t="s">
        <v>630</v>
      </c>
      <c r="AH61" t="s">
        <v>20</v>
      </c>
      <c r="AI61" t="s">
        <v>638</v>
      </c>
      <c r="AJ61">
        <v>4.1899999999999998E-9</v>
      </c>
      <c r="AK61" t="s">
        <v>621</v>
      </c>
      <c r="AL61" t="s">
        <v>509</v>
      </c>
      <c r="AM61" t="s">
        <v>21</v>
      </c>
      <c r="AN61" t="s">
        <v>253</v>
      </c>
      <c r="AO61">
        <v>4.1899999999999998E-9</v>
      </c>
      <c r="AP61" t="s">
        <v>505</v>
      </c>
      <c r="AQ61" t="s">
        <v>509</v>
      </c>
      <c r="AR61" t="s">
        <v>22</v>
      </c>
      <c r="AS61" t="s">
        <v>513</v>
      </c>
      <c r="AT61">
        <v>4.1899999999999998E-9</v>
      </c>
      <c r="AW61" t="s">
        <v>23</v>
      </c>
      <c r="AY61">
        <v>4.1899999999999998E-9</v>
      </c>
      <c r="BB61" t="s">
        <v>24</v>
      </c>
      <c r="BD61">
        <v>4.1899999999999998E-9</v>
      </c>
      <c r="BG61" t="s">
        <v>25</v>
      </c>
      <c r="BI61">
        <v>4.1899999999999998E-9</v>
      </c>
      <c r="BL61" t="s">
        <v>26</v>
      </c>
      <c r="BN61">
        <v>4.1899999999999998E-9</v>
      </c>
      <c r="BO61" t="str">
        <f t="shared" si="6"/>
        <v>Firma Test6. Test46.6 Test4 (E+6L+A)</v>
      </c>
      <c r="BP61" t="str">
        <f t="shared" si="7"/>
        <v>Firma Test6. Test4</v>
      </c>
    </row>
    <row r="62" spans="1:68">
      <c r="A62" t="s">
        <v>103</v>
      </c>
      <c r="B62" t="s">
        <v>799</v>
      </c>
      <c r="C62" t="s">
        <v>806</v>
      </c>
      <c r="D62" t="s">
        <v>554</v>
      </c>
      <c r="E62" t="s">
        <v>564</v>
      </c>
      <c r="F62">
        <v>7.17E-8</v>
      </c>
      <c r="G62" t="s">
        <v>451</v>
      </c>
      <c r="H62" t="s">
        <v>574</v>
      </c>
      <c r="I62" t="s">
        <v>5</v>
      </c>
      <c r="J62" t="s">
        <v>584</v>
      </c>
      <c r="K62">
        <v>4.29E-8</v>
      </c>
      <c r="L62" t="s">
        <v>594</v>
      </c>
      <c r="M62" t="s">
        <v>604</v>
      </c>
      <c r="N62" t="s">
        <v>6</v>
      </c>
      <c r="O62" t="s">
        <v>614</v>
      </c>
      <c r="P62">
        <v>2.4699999999999999E-8</v>
      </c>
      <c r="Q62" t="s">
        <v>752</v>
      </c>
      <c r="R62" t="s">
        <v>656</v>
      </c>
      <c r="S62" t="s">
        <v>17</v>
      </c>
      <c r="T62" t="s">
        <v>665</v>
      </c>
      <c r="U62">
        <v>4.1899999999999998E-9</v>
      </c>
      <c r="V62" t="s">
        <v>712</v>
      </c>
      <c r="W62" t="s">
        <v>631</v>
      </c>
      <c r="X62" t="s">
        <v>18</v>
      </c>
      <c r="Y62" t="s">
        <v>639</v>
      </c>
      <c r="Z62">
        <v>4.1899999999999998E-9</v>
      </c>
      <c r="AA62" t="s">
        <v>622</v>
      </c>
      <c r="AB62" t="s">
        <v>631</v>
      </c>
      <c r="AC62" t="s">
        <v>19</v>
      </c>
      <c r="AD62" t="s">
        <v>639</v>
      </c>
      <c r="AE62">
        <v>4.1899999999999998E-9</v>
      </c>
      <c r="AF62" t="s">
        <v>622</v>
      </c>
      <c r="AG62" t="s">
        <v>631</v>
      </c>
      <c r="AH62" t="s">
        <v>20</v>
      </c>
      <c r="AI62" t="s">
        <v>639</v>
      </c>
      <c r="AJ62">
        <v>4.1899999999999998E-9</v>
      </c>
      <c r="AK62" t="s">
        <v>622</v>
      </c>
      <c r="AL62" t="s">
        <v>510</v>
      </c>
      <c r="AM62" t="s">
        <v>21</v>
      </c>
      <c r="AN62" t="s">
        <v>254</v>
      </c>
      <c r="AO62">
        <v>4.1899999999999998E-9</v>
      </c>
      <c r="AP62" t="s">
        <v>506</v>
      </c>
      <c r="AQ62" t="s">
        <v>510</v>
      </c>
      <c r="AR62" t="s">
        <v>22</v>
      </c>
      <c r="AS62" t="s">
        <v>514</v>
      </c>
      <c r="AT62">
        <v>4.1899999999999998E-9</v>
      </c>
      <c r="AU62" t="s">
        <v>506</v>
      </c>
      <c r="AV62" t="s">
        <v>510</v>
      </c>
      <c r="AW62" t="s">
        <v>23</v>
      </c>
      <c r="AX62" t="s">
        <v>514</v>
      </c>
      <c r="AY62">
        <v>4.1899999999999998E-9</v>
      </c>
      <c r="BB62" t="s">
        <v>24</v>
      </c>
      <c r="BD62">
        <v>4.1899999999999998E-9</v>
      </c>
      <c r="BG62" t="s">
        <v>25</v>
      </c>
      <c r="BI62">
        <v>4.1899999999999998E-9</v>
      </c>
      <c r="BL62" t="s">
        <v>26</v>
      </c>
      <c r="BN62">
        <v>4.1899999999999998E-9</v>
      </c>
      <c r="BO62" t="str">
        <f t="shared" si="6"/>
        <v>Firma Test6. Test46.7 Test4 (E+7L+A)</v>
      </c>
      <c r="BP62" t="str">
        <f t="shared" si="7"/>
        <v>Firma Test6. Test4</v>
      </c>
    </row>
    <row r="63" spans="1:68">
      <c r="A63" t="s">
        <v>103</v>
      </c>
      <c r="B63" t="s">
        <v>799</v>
      </c>
      <c r="C63" t="s">
        <v>807</v>
      </c>
      <c r="D63" t="s">
        <v>555</v>
      </c>
      <c r="E63" t="s">
        <v>565</v>
      </c>
      <c r="F63">
        <v>7.17E-8</v>
      </c>
      <c r="G63" t="s">
        <v>452</v>
      </c>
      <c r="H63" t="s">
        <v>575</v>
      </c>
      <c r="I63" t="s">
        <v>5</v>
      </c>
      <c r="J63" t="s">
        <v>585</v>
      </c>
      <c r="K63">
        <v>4.29E-8</v>
      </c>
      <c r="L63" t="s">
        <v>595</v>
      </c>
      <c r="M63" t="s">
        <v>605</v>
      </c>
      <c r="N63" t="s">
        <v>6</v>
      </c>
      <c r="O63" t="s">
        <v>615</v>
      </c>
      <c r="P63">
        <v>2.4699999999999999E-8</v>
      </c>
      <c r="Q63" t="s">
        <v>753</v>
      </c>
      <c r="R63" t="s">
        <v>657</v>
      </c>
      <c r="S63" t="s">
        <v>17</v>
      </c>
      <c r="T63" t="s">
        <v>666</v>
      </c>
      <c r="U63">
        <v>4.1899999999999998E-9</v>
      </c>
      <c r="V63" t="s">
        <v>713</v>
      </c>
      <c r="W63" t="s">
        <v>632</v>
      </c>
      <c r="X63" t="s">
        <v>18</v>
      </c>
      <c r="Y63" t="s">
        <v>640</v>
      </c>
      <c r="Z63">
        <v>4.1899999999999998E-9</v>
      </c>
      <c r="AA63" t="s">
        <v>623</v>
      </c>
      <c r="AB63" t="s">
        <v>632</v>
      </c>
      <c r="AC63" t="s">
        <v>19</v>
      </c>
      <c r="AD63" t="s">
        <v>640</v>
      </c>
      <c r="AE63">
        <v>4.1899999999999998E-9</v>
      </c>
      <c r="AF63" t="s">
        <v>623</v>
      </c>
      <c r="AG63" t="s">
        <v>632</v>
      </c>
      <c r="AH63" t="s">
        <v>20</v>
      </c>
      <c r="AI63" t="s">
        <v>640</v>
      </c>
      <c r="AJ63">
        <v>4.1899999999999998E-9</v>
      </c>
      <c r="AK63" t="s">
        <v>623</v>
      </c>
      <c r="AL63" t="s">
        <v>511</v>
      </c>
      <c r="AM63" t="s">
        <v>22</v>
      </c>
      <c r="AN63" t="s">
        <v>255</v>
      </c>
      <c r="AO63">
        <v>4.1899999999999998E-9</v>
      </c>
      <c r="AP63" t="s">
        <v>507</v>
      </c>
      <c r="AQ63" t="s">
        <v>511</v>
      </c>
      <c r="AR63" t="s">
        <v>22</v>
      </c>
      <c r="AS63" t="s">
        <v>515</v>
      </c>
      <c r="AT63">
        <v>4.1899999999999998E-9</v>
      </c>
      <c r="AU63" t="s">
        <v>507</v>
      </c>
      <c r="AV63" t="s">
        <v>511</v>
      </c>
      <c r="AW63" t="s">
        <v>23</v>
      </c>
      <c r="AX63" t="s">
        <v>515</v>
      </c>
      <c r="AY63">
        <v>4.1899999999999998E-9</v>
      </c>
      <c r="AZ63" t="s">
        <v>521</v>
      </c>
      <c r="BA63" t="s">
        <v>511</v>
      </c>
      <c r="BB63" t="s">
        <v>24</v>
      </c>
      <c r="BC63" t="s">
        <v>515</v>
      </c>
      <c r="BD63">
        <v>4.1899999999999998E-9</v>
      </c>
      <c r="BG63" t="s">
        <v>25</v>
      </c>
      <c r="BI63">
        <v>4.1899999999999998E-9</v>
      </c>
      <c r="BL63" t="s">
        <v>26</v>
      </c>
      <c r="BN63">
        <v>4.1899999999999998E-9</v>
      </c>
      <c r="BO63" t="str">
        <f t="shared" si="6"/>
        <v>Firma Test6. Test46.8 Test4 (E+8L+A)</v>
      </c>
      <c r="BP63" t="str">
        <f t="shared" si="7"/>
        <v>Firma Test6. Test4</v>
      </c>
    </row>
    <row r="64" spans="1:68">
      <c r="A64" t="s">
        <v>103</v>
      </c>
      <c r="B64" t="s">
        <v>799</v>
      </c>
      <c r="C64" t="s">
        <v>808</v>
      </c>
      <c r="D64" t="s">
        <v>556</v>
      </c>
      <c r="E64" t="s">
        <v>566</v>
      </c>
      <c r="F64">
        <v>7.17E-8</v>
      </c>
      <c r="G64" t="s">
        <v>453</v>
      </c>
      <c r="H64" t="s">
        <v>576</v>
      </c>
      <c r="I64" t="s">
        <v>5</v>
      </c>
      <c r="J64" t="s">
        <v>586</v>
      </c>
      <c r="K64">
        <v>4.29E-8</v>
      </c>
      <c r="L64" t="s">
        <v>596</v>
      </c>
      <c r="M64" t="s">
        <v>606</v>
      </c>
      <c r="N64" t="s">
        <v>6</v>
      </c>
      <c r="O64" t="s">
        <v>616</v>
      </c>
      <c r="P64">
        <v>2.4699999999999999E-8</v>
      </c>
      <c r="Q64" t="s">
        <v>754</v>
      </c>
      <c r="R64" t="s">
        <v>658</v>
      </c>
      <c r="S64" t="s">
        <v>17</v>
      </c>
      <c r="T64" t="s">
        <v>667</v>
      </c>
      <c r="U64">
        <v>4.1899999999999998E-9</v>
      </c>
      <c r="V64" t="s">
        <v>714</v>
      </c>
      <c r="W64" t="s">
        <v>633</v>
      </c>
      <c r="X64" t="s">
        <v>18</v>
      </c>
      <c r="Y64" t="s">
        <v>641</v>
      </c>
      <c r="Z64">
        <v>4.1899999999999998E-9</v>
      </c>
      <c r="AA64" t="s">
        <v>624</v>
      </c>
      <c r="AB64" t="s">
        <v>633</v>
      </c>
      <c r="AC64" t="s">
        <v>19</v>
      </c>
      <c r="AD64" t="s">
        <v>641</v>
      </c>
      <c r="AE64">
        <v>4.1899999999999998E-9</v>
      </c>
      <c r="AF64" t="s">
        <v>624</v>
      </c>
      <c r="AG64" t="s">
        <v>633</v>
      </c>
      <c r="AH64" t="s">
        <v>20</v>
      </c>
      <c r="AI64" t="s">
        <v>641</v>
      </c>
      <c r="AJ64">
        <v>4.1899999999999998E-9</v>
      </c>
      <c r="AK64" t="s">
        <v>624</v>
      </c>
      <c r="AL64" t="s">
        <v>512</v>
      </c>
      <c r="AM64" t="s">
        <v>23</v>
      </c>
      <c r="AN64" t="s">
        <v>256</v>
      </c>
      <c r="AO64">
        <v>4.1899999999999998E-9</v>
      </c>
      <c r="AP64" t="s">
        <v>508</v>
      </c>
      <c r="AQ64" t="s">
        <v>512</v>
      </c>
      <c r="AR64" t="s">
        <v>22</v>
      </c>
      <c r="AS64" t="s">
        <v>516</v>
      </c>
      <c r="AT64">
        <v>4.1899999999999998E-9</v>
      </c>
      <c r="AU64" t="s">
        <v>508</v>
      </c>
      <c r="AV64" t="s">
        <v>512</v>
      </c>
      <c r="AW64" t="s">
        <v>23</v>
      </c>
      <c r="AX64" t="s">
        <v>516</v>
      </c>
      <c r="AY64">
        <v>4.1899999999999998E-9</v>
      </c>
      <c r="AZ64" t="s">
        <v>522</v>
      </c>
      <c r="BA64" t="s">
        <v>512</v>
      </c>
      <c r="BB64" t="s">
        <v>24</v>
      </c>
      <c r="BC64" t="s">
        <v>516</v>
      </c>
      <c r="BD64">
        <v>4.1899999999999998E-9</v>
      </c>
      <c r="BE64" t="s">
        <v>508</v>
      </c>
      <c r="BF64" t="s">
        <v>512</v>
      </c>
      <c r="BG64" t="s">
        <v>25</v>
      </c>
      <c r="BH64" t="s">
        <v>516</v>
      </c>
      <c r="BI64">
        <v>4.1899999999999998E-9</v>
      </c>
      <c r="BL64" t="s">
        <v>26</v>
      </c>
      <c r="BN64">
        <v>4.1899999999999998E-9</v>
      </c>
      <c r="BO64" t="str">
        <f t="shared" si="6"/>
        <v>Firma Test6. Test46.9 Test4 (E+9L+A)</v>
      </c>
      <c r="BP64" t="str">
        <f t="shared" si="7"/>
        <v>Firma Test6. Test4</v>
      </c>
    </row>
    <row r="65" spans="1:68">
      <c r="A65" t="s">
        <v>103</v>
      </c>
      <c r="B65" t="s">
        <v>799</v>
      </c>
      <c r="C65" t="s">
        <v>809</v>
      </c>
      <c r="D65" t="s">
        <v>557</v>
      </c>
      <c r="E65" t="s">
        <v>567</v>
      </c>
      <c r="F65">
        <v>7.17E-8</v>
      </c>
      <c r="G65" t="s">
        <v>454</v>
      </c>
      <c r="H65" t="s">
        <v>577</v>
      </c>
      <c r="I65" t="s">
        <v>5</v>
      </c>
      <c r="J65" t="s">
        <v>587</v>
      </c>
      <c r="K65">
        <v>4.29E-8</v>
      </c>
      <c r="L65" t="s">
        <v>597</v>
      </c>
      <c r="M65" t="s">
        <v>607</v>
      </c>
      <c r="N65" t="s">
        <v>6</v>
      </c>
      <c r="O65" t="s">
        <v>617</v>
      </c>
      <c r="P65">
        <v>2.4699999999999999E-8</v>
      </c>
      <c r="Q65" t="s">
        <v>755</v>
      </c>
      <c r="R65" t="s">
        <v>649</v>
      </c>
      <c r="S65" t="s">
        <v>17</v>
      </c>
      <c r="T65" t="s">
        <v>668</v>
      </c>
      <c r="U65">
        <v>4.1899999999999998E-9</v>
      </c>
      <c r="V65" t="s">
        <v>715</v>
      </c>
      <c r="W65" t="s">
        <v>259</v>
      </c>
      <c r="X65" t="s">
        <v>18</v>
      </c>
      <c r="Y65" t="s">
        <v>260</v>
      </c>
      <c r="Z65">
        <v>4.1899999999999998E-9</v>
      </c>
      <c r="AA65" t="s">
        <v>625</v>
      </c>
      <c r="AB65" t="s">
        <v>259</v>
      </c>
      <c r="AC65" t="s">
        <v>19</v>
      </c>
      <c r="AD65" t="s">
        <v>260</v>
      </c>
      <c r="AE65">
        <v>4.1899999999999998E-9</v>
      </c>
      <c r="AF65" t="s">
        <v>625</v>
      </c>
      <c r="AG65" t="s">
        <v>259</v>
      </c>
      <c r="AH65" t="s">
        <v>20</v>
      </c>
      <c r="AI65" t="s">
        <v>260</v>
      </c>
      <c r="AJ65">
        <v>4.1899999999999998E-9</v>
      </c>
      <c r="AK65" t="s">
        <v>625</v>
      </c>
      <c r="AL65" t="s">
        <v>249</v>
      </c>
      <c r="AM65" t="s">
        <v>24</v>
      </c>
      <c r="AN65" t="s">
        <v>257</v>
      </c>
      <c r="AO65">
        <v>4.1899999999999998E-9</v>
      </c>
      <c r="AP65" t="s">
        <v>241</v>
      </c>
      <c r="AQ65" t="s">
        <v>249</v>
      </c>
      <c r="AR65" t="s">
        <v>22</v>
      </c>
      <c r="AS65" t="s">
        <v>257</v>
      </c>
      <c r="AT65">
        <v>4.1899999999999998E-9</v>
      </c>
      <c r="AU65" t="s">
        <v>241</v>
      </c>
      <c r="AV65" t="s">
        <v>249</v>
      </c>
      <c r="AW65" t="s">
        <v>23</v>
      </c>
      <c r="AX65" t="s">
        <v>257</v>
      </c>
      <c r="AY65">
        <v>4.1899999999999998E-9</v>
      </c>
      <c r="AZ65" t="s">
        <v>523</v>
      </c>
      <c r="BA65" t="s">
        <v>249</v>
      </c>
      <c r="BB65" t="s">
        <v>24</v>
      </c>
      <c r="BC65" t="s">
        <v>257</v>
      </c>
      <c r="BD65">
        <v>4.1899999999999998E-9</v>
      </c>
      <c r="BE65" t="s">
        <v>241</v>
      </c>
      <c r="BF65" t="s">
        <v>249</v>
      </c>
      <c r="BG65" t="s">
        <v>25</v>
      </c>
      <c r="BH65" t="s">
        <v>257</v>
      </c>
      <c r="BI65">
        <v>4.1899999999999998E-9</v>
      </c>
      <c r="BJ65" t="s">
        <v>517</v>
      </c>
      <c r="BK65" t="s">
        <v>249</v>
      </c>
      <c r="BL65" t="s">
        <v>26</v>
      </c>
      <c r="BM65" t="s">
        <v>257</v>
      </c>
      <c r="BN65">
        <v>4.1899999999999998E-9</v>
      </c>
      <c r="BO65" t="str">
        <f t="shared" si="6"/>
        <v>Firma Test6. Test46.10 Test4 (E+10L+A)</v>
      </c>
      <c r="BP65" t="str">
        <f t="shared" si="7"/>
        <v>Firma Test6. Test4</v>
      </c>
    </row>
    <row r="66" spans="1:68">
      <c r="A66" t="s">
        <v>103</v>
      </c>
      <c r="B66" t="s">
        <v>810</v>
      </c>
      <c r="C66" t="s">
        <v>811</v>
      </c>
      <c r="D66" t="s">
        <v>548</v>
      </c>
      <c r="E66" t="s">
        <v>558</v>
      </c>
      <c r="F66">
        <v>7.17E-8</v>
      </c>
      <c r="G66" t="s">
        <v>424</v>
      </c>
      <c r="H66" t="s">
        <v>568</v>
      </c>
      <c r="I66" t="s">
        <v>5</v>
      </c>
      <c r="J66" t="s">
        <v>578</v>
      </c>
      <c r="K66">
        <v>4.29E-8</v>
      </c>
      <c r="L66" t="s">
        <v>588</v>
      </c>
      <c r="M66" t="s">
        <v>598</v>
      </c>
      <c r="N66" t="s">
        <v>6</v>
      </c>
      <c r="O66" t="s">
        <v>608</v>
      </c>
      <c r="P66">
        <v>2.4699999999999999E-8</v>
      </c>
      <c r="Q66" t="s">
        <v>746</v>
      </c>
      <c r="R66" t="s">
        <v>650</v>
      </c>
      <c r="S66" t="s">
        <v>17</v>
      </c>
      <c r="T66" t="s">
        <v>659</v>
      </c>
      <c r="U66">
        <v>4.1899999999999998E-9</v>
      </c>
      <c r="X66" t="s">
        <v>18</v>
      </c>
      <c r="Z66">
        <v>4.1899999999999998E-9</v>
      </c>
      <c r="AE66">
        <v>4.1899999999999998E-9</v>
      </c>
      <c r="AH66" t="s">
        <v>20</v>
      </c>
      <c r="AJ66">
        <v>4.1899999999999998E-9</v>
      </c>
      <c r="AM66" t="s">
        <v>21</v>
      </c>
      <c r="AO66">
        <v>4.1899999999999998E-9</v>
      </c>
      <c r="AR66" t="s">
        <v>22</v>
      </c>
      <c r="AT66">
        <v>4.1899999999999998E-9</v>
      </c>
      <c r="AW66" t="s">
        <v>23</v>
      </c>
      <c r="AY66">
        <v>4.1899999999999998E-9</v>
      </c>
      <c r="BB66" t="s">
        <v>24</v>
      </c>
      <c r="BD66">
        <v>4.1899999999999998E-9</v>
      </c>
      <c r="BG66" t="s">
        <v>25</v>
      </c>
      <c r="BI66">
        <v>4.1899999999999998E-9</v>
      </c>
      <c r="BL66" t="s">
        <v>26</v>
      </c>
      <c r="BN66">
        <v>4.1899999999999998E-9</v>
      </c>
      <c r="BO66" t="str">
        <f t="shared" si="6"/>
        <v>Firma Test7. Test47.1 Test4 (E+1L+A)</v>
      </c>
      <c r="BP66" t="str">
        <f t="shared" si="7"/>
        <v>Firma Test7. Test4</v>
      </c>
    </row>
    <row r="67" spans="1:68">
      <c r="A67" t="s">
        <v>103</v>
      </c>
      <c r="B67" t="s">
        <v>810</v>
      </c>
      <c r="C67" t="s">
        <v>812</v>
      </c>
      <c r="D67" t="s">
        <v>549</v>
      </c>
      <c r="E67" t="s">
        <v>559</v>
      </c>
      <c r="F67">
        <v>7.17E-8</v>
      </c>
      <c r="G67" t="s">
        <v>446</v>
      </c>
      <c r="H67" t="s">
        <v>569</v>
      </c>
      <c r="I67" t="s">
        <v>5</v>
      </c>
      <c r="J67" t="s">
        <v>579</v>
      </c>
      <c r="K67">
        <v>4.29E-8</v>
      </c>
      <c r="L67" t="s">
        <v>589</v>
      </c>
      <c r="M67" t="s">
        <v>599</v>
      </c>
      <c r="N67" t="s">
        <v>6</v>
      </c>
      <c r="O67" t="s">
        <v>609</v>
      </c>
      <c r="P67">
        <v>2.4699999999999999E-8</v>
      </c>
      <c r="Q67" t="s">
        <v>747</v>
      </c>
      <c r="R67" t="s">
        <v>651</v>
      </c>
      <c r="S67" t="s">
        <v>17</v>
      </c>
      <c r="T67" t="s">
        <v>660</v>
      </c>
      <c r="U67">
        <v>4.1899999999999998E-9</v>
      </c>
      <c r="V67" t="s">
        <v>707</v>
      </c>
      <c r="W67" t="s">
        <v>626</v>
      </c>
      <c r="X67" t="s">
        <v>18</v>
      </c>
      <c r="Y67" t="s">
        <v>634</v>
      </c>
      <c r="Z67">
        <v>4.1899999999999998E-9</v>
      </c>
      <c r="AE67">
        <v>4.1899999999999998E-9</v>
      </c>
      <c r="AH67" t="s">
        <v>20</v>
      </c>
      <c r="AJ67">
        <v>4.1899999999999998E-9</v>
      </c>
      <c r="AM67" t="s">
        <v>21</v>
      </c>
      <c r="AO67">
        <v>4.1899999999999998E-9</v>
      </c>
      <c r="AR67" t="s">
        <v>22</v>
      </c>
      <c r="AT67">
        <v>4.1899999999999998E-9</v>
      </c>
      <c r="AW67" t="s">
        <v>23</v>
      </c>
      <c r="AY67">
        <v>4.1899999999999998E-9</v>
      </c>
      <c r="BB67" t="s">
        <v>24</v>
      </c>
      <c r="BD67">
        <v>4.1899999999999998E-9</v>
      </c>
      <c r="BG67" t="s">
        <v>25</v>
      </c>
      <c r="BI67">
        <v>4.1899999999999998E-9</v>
      </c>
      <c r="BL67" t="s">
        <v>26</v>
      </c>
      <c r="BN67">
        <v>4.1899999999999998E-9</v>
      </c>
      <c r="BO67" t="str">
        <f t="shared" si="6"/>
        <v>Firma Test7. Test47.2 Test4 (E+2L+A)</v>
      </c>
      <c r="BP67" t="str">
        <f t="shared" si="7"/>
        <v>Firma Test7. Test4</v>
      </c>
    </row>
    <row r="68" spans="1:68">
      <c r="A68" t="s">
        <v>103</v>
      </c>
      <c r="B68" t="s">
        <v>810</v>
      </c>
      <c r="C68" t="s">
        <v>813</v>
      </c>
      <c r="D68" t="s">
        <v>550</v>
      </c>
      <c r="E68" t="s">
        <v>560</v>
      </c>
      <c r="F68">
        <v>7.17E-8</v>
      </c>
      <c r="G68" t="s">
        <v>447</v>
      </c>
      <c r="H68" t="s">
        <v>570</v>
      </c>
      <c r="I68" t="s">
        <v>5</v>
      </c>
      <c r="J68" t="s">
        <v>580</v>
      </c>
      <c r="K68">
        <v>4.29E-8</v>
      </c>
      <c r="L68" t="s">
        <v>590</v>
      </c>
      <c r="M68" t="s">
        <v>600</v>
      </c>
      <c r="N68" t="s">
        <v>6</v>
      </c>
      <c r="O68" t="s">
        <v>610</v>
      </c>
      <c r="P68">
        <v>2.4699999999999999E-8</v>
      </c>
      <c r="Q68" t="s">
        <v>748</v>
      </c>
      <c r="R68" t="s">
        <v>652</v>
      </c>
      <c r="S68" t="s">
        <v>17</v>
      </c>
      <c r="T68" t="s">
        <v>661</v>
      </c>
      <c r="U68">
        <v>4.1899999999999998E-9</v>
      </c>
      <c r="V68" t="s">
        <v>708</v>
      </c>
      <c r="W68" t="s">
        <v>627</v>
      </c>
      <c r="X68" t="s">
        <v>18</v>
      </c>
      <c r="Y68" t="s">
        <v>635</v>
      </c>
      <c r="Z68">
        <v>4.1899999999999998E-9</v>
      </c>
      <c r="AA68" t="s">
        <v>618</v>
      </c>
      <c r="AB68" t="s">
        <v>627</v>
      </c>
      <c r="AC68" t="s">
        <v>19</v>
      </c>
      <c r="AD68" t="s">
        <v>635</v>
      </c>
      <c r="AE68">
        <v>4.1899999999999998E-9</v>
      </c>
      <c r="AH68" t="s">
        <v>20</v>
      </c>
      <c r="AJ68">
        <v>4.1899999999999998E-9</v>
      </c>
      <c r="AM68" t="s">
        <v>21</v>
      </c>
      <c r="AO68">
        <v>4.1899999999999998E-9</v>
      </c>
      <c r="AR68" t="s">
        <v>22</v>
      </c>
      <c r="AT68">
        <v>4.1899999999999998E-9</v>
      </c>
      <c r="AW68" t="s">
        <v>23</v>
      </c>
      <c r="AY68">
        <v>4.1899999999999998E-9</v>
      </c>
      <c r="BB68" t="s">
        <v>24</v>
      </c>
      <c r="BD68">
        <v>4.1899999999999998E-9</v>
      </c>
      <c r="BG68" t="s">
        <v>25</v>
      </c>
      <c r="BI68">
        <v>4.1899999999999998E-9</v>
      </c>
      <c r="BL68" t="s">
        <v>26</v>
      </c>
      <c r="BN68">
        <v>4.1899999999999998E-9</v>
      </c>
      <c r="BO68" t="str">
        <f t="shared" si="6"/>
        <v>Firma Test7. Test47.3 Test4 (E+3L+A)</v>
      </c>
      <c r="BP68" t="str">
        <f t="shared" si="7"/>
        <v>Firma Test7. Test4</v>
      </c>
    </row>
    <row r="69" spans="1:68">
      <c r="A69" t="s">
        <v>103</v>
      </c>
      <c r="B69" t="s">
        <v>810</v>
      </c>
      <c r="C69" t="s">
        <v>814</v>
      </c>
      <c r="D69" t="s">
        <v>551</v>
      </c>
      <c r="E69" t="s">
        <v>561</v>
      </c>
      <c r="F69">
        <v>7.17E-8</v>
      </c>
      <c r="G69" t="s">
        <v>448</v>
      </c>
      <c r="H69" t="s">
        <v>571</v>
      </c>
      <c r="I69" t="s">
        <v>5</v>
      </c>
      <c r="J69" t="s">
        <v>581</v>
      </c>
      <c r="K69">
        <v>4.29E-8</v>
      </c>
      <c r="L69" t="s">
        <v>591</v>
      </c>
      <c r="M69" t="s">
        <v>601</v>
      </c>
      <c r="N69" t="s">
        <v>6</v>
      </c>
      <c r="O69" t="s">
        <v>611</v>
      </c>
      <c r="P69">
        <v>2.4699999999999999E-8</v>
      </c>
      <c r="Q69" t="s">
        <v>749</v>
      </c>
      <c r="R69" t="s">
        <v>653</v>
      </c>
      <c r="S69" t="s">
        <v>17</v>
      </c>
      <c r="T69" t="s">
        <v>662</v>
      </c>
      <c r="U69">
        <v>4.1899999999999998E-9</v>
      </c>
      <c r="V69" t="s">
        <v>709</v>
      </c>
      <c r="W69" t="s">
        <v>628</v>
      </c>
      <c r="X69" t="s">
        <v>18</v>
      </c>
      <c r="Y69" t="s">
        <v>636</v>
      </c>
      <c r="Z69">
        <v>4.1899999999999998E-9</v>
      </c>
      <c r="AA69" t="s">
        <v>619</v>
      </c>
      <c r="AB69" t="s">
        <v>628</v>
      </c>
      <c r="AC69" t="s">
        <v>19</v>
      </c>
      <c r="AD69" t="s">
        <v>636</v>
      </c>
      <c r="AE69">
        <v>4.1899999999999998E-9</v>
      </c>
      <c r="AF69" t="s">
        <v>619</v>
      </c>
      <c r="AG69" t="s">
        <v>628</v>
      </c>
      <c r="AH69" t="s">
        <v>20</v>
      </c>
      <c r="AI69" t="s">
        <v>636</v>
      </c>
      <c r="AJ69">
        <v>4.1899999999999998E-9</v>
      </c>
      <c r="AM69" t="s">
        <v>21</v>
      </c>
      <c r="AO69">
        <v>4.1899999999999998E-9</v>
      </c>
      <c r="AR69" t="s">
        <v>22</v>
      </c>
      <c r="AT69">
        <v>4.1899999999999998E-9</v>
      </c>
      <c r="AW69" t="s">
        <v>23</v>
      </c>
      <c r="AY69">
        <v>4.1899999999999998E-9</v>
      </c>
      <c r="BB69" t="s">
        <v>24</v>
      </c>
      <c r="BD69">
        <v>4.1899999999999998E-9</v>
      </c>
      <c r="BG69" t="s">
        <v>25</v>
      </c>
      <c r="BI69">
        <v>4.1899999999999998E-9</v>
      </c>
      <c r="BL69" t="s">
        <v>26</v>
      </c>
      <c r="BN69">
        <v>4.1899999999999998E-9</v>
      </c>
      <c r="BO69" t="str">
        <f t="shared" si="6"/>
        <v>Firma Test7. Test47.4 Test4 (E+4L+A)</v>
      </c>
      <c r="BP69" t="str">
        <f t="shared" si="7"/>
        <v>Firma Test7. Test4</v>
      </c>
    </row>
    <row r="70" spans="1:68">
      <c r="A70" t="s">
        <v>103</v>
      </c>
      <c r="B70" t="s">
        <v>810</v>
      </c>
      <c r="C70" t="s">
        <v>815</v>
      </c>
      <c r="D70" t="s">
        <v>552</v>
      </c>
      <c r="E70" t="s">
        <v>562</v>
      </c>
      <c r="F70">
        <v>7.17E-8</v>
      </c>
      <c r="G70" t="s">
        <v>449</v>
      </c>
      <c r="H70" t="s">
        <v>572</v>
      </c>
      <c r="I70" t="s">
        <v>5</v>
      </c>
      <c r="J70" t="s">
        <v>582</v>
      </c>
      <c r="K70">
        <v>4.29E-8</v>
      </c>
      <c r="L70" t="s">
        <v>592</v>
      </c>
      <c r="M70" t="s">
        <v>602</v>
      </c>
      <c r="N70" t="s">
        <v>6</v>
      </c>
      <c r="O70" t="s">
        <v>612</v>
      </c>
      <c r="P70">
        <v>2.4699999999999999E-8</v>
      </c>
      <c r="Q70" t="s">
        <v>750</v>
      </c>
      <c r="R70" t="s">
        <v>654</v>
      </c>
      <c r="S70" t="s">
        <v>17</v>
      </c>
      <c r="T70" t="s">
        <v>663</v>
      </c>
      <c r="U70">
        <v>4.1899999999999998E-9</v>
      </c>
      <c r="V70" t="s">
        <v>710</v>
      </c>
      <c r="W70" t="s">
        <v>629</v>
      </c>
      <c r="X70" t="s">
        <v>18</v>
      </c>
      <c r="Y70" t="s">
        <v>637</v>
      </c>
      <c r="Z70">
        <v>4.1899999999999998E-9</v>
      </c>
      <c r="AA70" t="s">
        <v>620</v>
      </c>
      <c r="AB70" t="s">
        <v>629</v>
      </c>
      <c r="AC70" t="s">
        <v>19</v>
      </c>
      <c r="AD70" t="s">
        <v>637</v>
      </c>
      <c r="AE70">
        <v>4.1899999999999998E-9</v>
      </c>
      <c r="AF70" t="s">
        <v>620</v>
      </c>
      <c r="AG70" t="s">
        <v>629</v>
      </c>
      <c r="AH70" t="s">
        <v>20</v>
      </c>
      <c r="AI70" t="s">
        <v>637</v>
      </c>
      <c r="AJ70">
        <v>4.1899999999999998E-9</v>
      </c>
      <c r="AK70" t="s">
        <v>620</v>
      </c>
      <c r="AL70" t="s">
        <v>648</v>
      </c>
      <c r="AM70" t="s">
        <v>21</v>
      </c>
      <c r="AN70" t="s">
        <v>252</v>
      </c>
      <c r="AO70">
        <v>4.1899999999999998E-9</v>
      </c>
      <c r="AR70" t="s">
        <v>22</v>
      </c>
      <c r="AT70">
        <v>4.1899999999999998E-9</v>
      </c>
      <c r="AW70" t="s">
        <v>23</v>
      </c>
      <c r="AY70">
        <v>4.1899999999999998E-9</v>
      </c>
      <c r="BB70" t="s">
        <v>24</v>
      </c>
      <c r="BD70">
        <v>4.1899999999999998E-9</v>
      </c>
      <c r="BG70" t="s">
        <v>25</v>
      </c>
      <c r="BI70">
        <v>4.1899999999999998E-9</v>
      </c>
      <c r="BL70" t="s">
        <v>26</v>
      </c>
      <c r="BN70">
        <v>4.1899999999999998E-9</v>
      </c>
      <c r="BO70" t="str">
        <f t="shared" si="6"/>
        <v>Firma Test7. Test47.5 Test4 (E+5L+A)</v>
      </c>
      <c r="BP70" t="str">
        <f t="shared" si="7"/>
        <v>Firma Test7. Test4</v>
      </c>
    </row>
    <row r="71" spans="1:68">
      <c r="A71" t="s">
        <v>103</v>
      </c>
      <c r="B71" t="s">
        <v>810</v>
      </c>
      <c r="C71" t="s">
        <v>816</v>
      </c>
      <c r="D71" t="s">
        <v>553</v>
      </c>
      <c r="E71" t="s">
        <v>563</v>
      </c>
      <c r="F71">
        <v>7.17E-8</v>
      </c>
      <c r="G71" t="s">
        <v>450</v>
      </c>
      <c r="H71" t="s">
        <v>573</v>
      </c>
      <c r="I71" t="s">
        <v>5</v>
      </c>
      <c r="J71" t="s">
        <v>583</v>
      </c>
      <c r="K71">
        <v>4.29E-8</v>
      </c>
      <c r="L71" t="s">
        <v>593</v>
      </c>
      <c r="M71" t="s">
        <v>603</v>
      </c>
      <c r="N71" t="s">
        <v>6</v>
      </c>
      <c r="O71" t="s">
        <v>613</v>
      </c>
      <c r="P71">
        <v>2.4699999999999999E-8</v>
      </c>
      <c r="Q71" t="s">
        <v>751</v>
      </c>
      <c r="R71" t="s">
        <v>655</v>
      </c>
      <c r="S71" t="s">
        <v>17</v>
      </c>
      <c r="T71" t="s">
        <v>664</v>
      </c>
      <c r="U71">
        <v>4.1899999999999998E-9</v>
      </c>
      <c r="V71" t="s">
        <v>711</v>
      </c>
      <c r="W71" t="s">
        <v>630</v>
      </c>
      <c r="X71" t="s">
        <v>18</v>
      </c>
      <c r="Y71" t="s">
        <v>638</v>
      </c>
      <c r="Z71">
        <v>4.1899999999999998E-9</v>
      </c>
      <c r="AA71" t="s">
        <v>621</v>
      </c>
      <c r="AB71" t="s">
        <v>630</v>
      </c>
      <c r="AC71" t="s">
        <v>19</v>
      </c>
      <c r="AD71" t="s">
        <v>638</v>
      </c>
      <c r="AE71">
        <v>4.1899999999999998E-9</v>
      </c>
      <c r="AF71" t="s">
        <v>621</v>
      </c>
      <c r="AG71" t="s">
        <v>630</v>
      </c>
      <c r="AH71" t="s">
        <v>20</v>
      </c>
      <c r="AI71" t="s">
        <v>638</v>
      </c>
      <c r="AJ71">
        <v>4.1899999999999998E-9</v>
      </c>
      <c r="AK71" t="s">
        <v>621</v>
      </c>
      <c r="AL71" t="s">
        <v>509</v>
      </c>
      <c r="AM71" t="s">
        <v>21</v>
      </c>
      <c r="AN71" t="s">
        <v>253</v>
      </c>
      <c r="AO71">
        <v>4.1899999999999998E-9</v>
      </c>
      <c r="AP71" t="s">
        <v>505</v>
      </c>
      <c r="AQ71" t="s">
        <v>509</v>
      </c>
      <c r="AR71" t="s">
        <v>22</v>
      </c>
      <c r="AS71" t="s">
        <v>513</v>
      </c>
      <c r="AT71">
        <v>4.1899999999999998E-9</v>
      </c>
      <c r="AW71" t="s">
        <v>23</v>
      </c>
      <c r="AY71">
        <v>4.1899999999999998E-9</v>
      </c>
      <c r="BB71" t="s">
        <v>24</v>
      </c>
      <c r="BD71">
        <v>4.1899999999999998E-9</v>
      </c>
      <c r="BG71" t="s">
        <v>25</v>
      </c>
      <c r="BI71">
        <v>4.1899999999999998E-9</v>
      </c>
      <c r="BL71" t="s">
        <v>26</v>
      </c>
      <c r="BN71">
        <v>4.1899999999999998E-9</v>
      </c>
      <c r="BO71" t="str">
        <f t="shared" si="6"/>
        <v>Firma Test7. Test47.6 Test4 (E+6L+A)</v>
      </c>
      <c r="BP71" t="str">
        <f t="shared" si="7"/>
        <v>Firma Test7. Test4</v>
      </c>
    </row>
    <row r="72" spans="1:68">
      <c r="A72" t="s">
        <v>103</v>
      </c>
      <c r="B72" t="s">
        <v>810</v>
      </c>
      <c r="C72" t="s">
        <v>817</v>
      </c>
      <c r="D72" t="s">
        <v>554</v>
      </c>
      <c r="E72" t="s">
        <v>564</v>
      </c>
      <c r="F72">
        <v>7.17E-8</v>
      </c>
      <c r="G72" t="s">
        <v>451</v>
      </c>
      <c r="H72" t="s">
        <v>574</v>
      </c>
      <c r="I72" t="s">
        <v>5</v>
      </c>
      <c r="J72" t="s">
        <v>584</v>
      </c>
      <c r="K72">
        <v>4.29E-8</v>
      </c>
      <c r="L72" t="s">
        <v>594</v>
      </c>
      <c r="M72" t="s">
        <v>604</v>
      </c>
      <c r="N72" t="s">
        <v>6</v>
      </c>
      <c r="O72" t="s">
        <v>614</v>
      </c>
      <c r="P72">
        <v>2.4699999999999999E-8</v>
      </c>
      <c r="Q72" t="s">
        <v>752</v>
      </c>
      <c r="R72" t="s">
        <v>656</v>
      </c>
      <c r="S72" t="s">
        <v>17</v>
      </c>
      <c r="T72" t="s">
        <v>665</v>
      </c>
      <c r="U72">
        <v>4.1899999999999998E-9</v>
      </c>
      <c r="V72" t="s">
        <v>712</v>
      </c>
      <c r="W72" t="s">
        <v>631</v>
      </c>
      <c r="X72" t="s">
        <v>18</v>
      </c>
      <c r="Y72" t="s">
        <v>639</v>
      </c>
      <c r="Z72">
        <v>4.1899999999999998E-9</v>
      </c>
      <c r="AA72" t="s">
        <v>622</v>
      </c>
      <c r="AB72" t="s">
        <v>631</v>
      </c>
      <c r="AC72" t="s">
        <v>19</v>
      </c>
      <c r="AD72" t="s">
        <v>639</v>
      </c>
      <c r="AE72">
        <v>4.1899999999999998E-9</v>
      </c>
      <c r="AF72" t="s">
        <v>622</v>
      </c>
      <c r="AG72" t="s">
        <v>631</v>
      </c>
      <c r="AH72" t="s">
        <v>20</v>
      </c>
      <c r="AI72" t="s">
        <v>639</v>
      </c>
      <c r="AJ72">
        <v>4.1899999999999998E-9</v>
      </c>
      <c r="AK72" t="s">
        <v>622</v>
      </c>
      <c r="AL72" t="s">
        <v>510</v>
      </c>
      <c r="AM72" t="s">
        <v>21</v>
      </c>
      <c r="AN72" t="s">
        <v>254</v>
      </c>
      <c r="AO72">
        <v>4.1899999999999998E-9</v>
      </c>
      <c r="AP72" t="s">
        <v>506</v>
      </c>
      <c r="AQ72" t="s">
        <v>510</v>
      </c>
      <c r="AR72" t="s">
        <v>22</v>
      </c>
      <c r="AS72" t="s">
        <v>514</v>
      </c>
      <c r="AT72">
        <v>4.1899999999999998E-9</v>
      </c>
      <c r="AU72" t="s">
        <v>506</v>
      </c>
      <c r="AV72" t="s">
        <v>510</v>
      </c>
      <c r="AW72" t="s">
        <v>23</v>
      </c>
      <c r="AX72" t="s">
        <v>514</v>
      </c>
      <c r="AY72">
        <v>4.1899999999999998E-9</v>
      </c>
      <c r="BB72" t="s">
        <v>24</v>
      </c>
      <c r="BD72">
        <v>4.1899999999999998E-9</v>
      </c>
      <c r="BG72" t="s">
        <v>25</v>
      </c>
      <c r="BI72">
        <v>4.1899999999999998E-9</v>
      </c>
      <c r="BL72" t="s">
        <v>26</v>
      </c>
      <c r="BN72">
        <v>4.1899999999999998E-9</v>
      </c>
      <c r="BO72" t="str">
        <f t="shared" si="6"/>
        <v>Firma Test7. Test47.7 Test4 (E+7L+A)</v>
      </c>
      <c r="BP72" t="str">
        <f t="shared" si="7"/>
        <v>Firma Test7. Test4</v>
      </c>
    </row>
    <row r="73" spans="1:68">
      <c r="A73" t="s">
        <v>103</v>
      </c>
      <c r="B73" t="s">
        <v>810</v>
      </c>
      <c r="C73" t="s">
        <v>818</v>
      </c>
      <c r="D73" t="s">
        <v>555</v>
      </c>
      <c r="E73" t="s">
        <v>565</v>
      </c>
      <c r="F73">
        <v>7.17E-8</v>
      </c>
      <c r="G73" t="s">
        <v>452</v>
      </c>
      <c r="H73" t="s">
        <v>575</v>
      </c>
      <c r="I73" t="s">
        <v>5</v>
      </c>
      <c r="J73" t="s">
        <v>585</v>
      </c>
      <c r="K73">
        <v>4.29E-8</v>
      </c>
      <c r="L73" t="s">
        <v>595</v>
      </c>
      <c r="M73" t="s">
        <v>605</v>
      </c>
      <c r="N73" t="s">
        <v>6</v>
      </c>
      <c r="O73" t="s">
        <v>615</v>
      </c>
      <c r="P73">
        <v>2.4699999999999999E-8</v>
      </c>
      <c r="Q73" t="s">
        <v>753</v>
      </c>
      <c r="R73" t="s">
        <v>657</v>
      </c>
      <c r="S73" t="s">
        <v>17</v>
      </c>
      <c r="T73" t="s">
        <v>666</v>
      </c>
      <c r="U73">
        <v>4.1899999999999998E-9</v>
      </c>
      <c r="V73" t="s">
        <v>713</v>
      </c>
      <c r="W73" t="s">
        <v>632</v>
      </c>
      <c r="X73" t="s">
        <v>18</v>
      </c>
      <c r="Y73" t="s">
        <v>640</v>
      </c>
      <c r="Z73">
        <v>4.1899999999999998E-9</v>
      </c>
      <c r="AA73" t="s">
        <v>623</v>
      </c>
      <c r="AB73" t="s">
        <v>632</v>
      </c>
      <c r="AC73" t="s">
        <v>19</v>
      </c>
      <c r="AD73" t="s">
        <v>640</v>
      </c>
      <c r="AE73">
        <v>4.1899999999999998E-9</v>
      </c>
      <c r="AF73" t="s">
        <v>623</v>
      </c>
      <c r="AG73" t="s">
        <v>632</v>
      </c>
      <c r="AH73" t="s">
        <v>20</v>
      </c>
      <c r="AI73" t="s">
        <v>640</v>
      </c>
      <c r="AJ73">
        <v>4.1899999999999998E-9</v>
      </c>
      <c r="AK73" t="s">
        <v>623</v>
      </c>
      <c r="AL73" t="s">
        <v>511</v>
      </c>
      <c r="AM73" t="s">
        <v>22</v>
      </c>
      <c r="AN73" t="s">
        <v>255</v>
      </c>
      <c r="AO73">
        <v>4.1899999999999998E-9</v>
      </c>
      <c r="AP73" t="s">
        <v>507</v>
      </c>
      <c r="AQ73" t="s">
        <v>511</v>
      </c>
      <c r="AR73" t="s">
        <v>22</v>
      </c>
      <c r="AS73" t="s">
        <v>515</v>
      </c>
      <c r="AT73">
        <v>4.1899999999999998E-9</v>
      </c>
      <c r="AU73" t="s">
        <v>507</v>
      </c>
      <c r="AV73" t="s">
        <v>511</v>
      </c>
      <c r="AW73" t="s">
        <v>23</v>
      </c>
      <c r="AX73" t="s">
        <v>515</v>
      </c>
      <c r="AY73">
        <v>4.1899999999999998E-9</v>
      </c>
      <c r="AZ73" t="s">
        <v>521</v>
      </c>
      <c r="BA73" t="s">
        <v>511</v>
      </c>
      <c r="BB73" t="s">
        <v>24</v>
      </c>
      <c r="BC73" t="s">
        <v>515</v>
      </c>
      <c r="BD73">
        <v>4.1899999999999998E-9</v>
      </c>
      <c r="BG73" t="s">
        <v>25</v>
      </c>
      <c r="BI73">
        <v>4.1899999999999998E-9</v>
      </c>
      <c r="BL73" t="s">
        <v>26</v>
      </c>
      <c r="BN73">
        <v>4.1899999999999998E-9</v>
      </c>
      <c r="BO73" t="str">
        <f t="shared" si="6"/>
        <v>Firma Test7. Test47.8 Test4 (E+8L+A)</v>
      </c>
      <c r="BP73" t="str">
        <f t="shared" si="7"/>
        <v>Firma Test7. Test4</v>
      </c>
    </row>
    <row r="74" spans="1:68">
      <c r="A74" t="s">
        <v>103</v>
      </c>
      <c r="B74" t="s">
        <v>810</v>
      </c>
      <c r="C74" t="s">
        <v>819</v>
      </c>
      <c r="D74" t="s">
        <v>556</v>
      </c>
      <c r="E74" t="s">
        <v>566</v>
      </c>
      <c r="F74">
        <v>7.17E-8</v>
      </c>
      <c r="G74" t="s">
        <v>453</v>
      </c>
      <c r="H74" t="s">
        <v>576</v>
      </c>
      <c r="I74" t="s">
        <v>5</v>
      </c>
      <c r="J74" t="s">
        <v>586</v>
      </c>
      <c r="K74">
        <v>4.29E-8</v>
      </c>
      <c r="L74" t="s">
        <v>596</v>
      </c>
      <c r="M74" t="s">
        <v>606</v>
      </c>
      <c r="N74" t="s">
        <v>6</v>
      </c>
      <c r="O74" t="s">
        <v>616</v>
      </c>
      <c r="P74">
        <v>2.4699999999999999E-8</v>
      </c>
      <c r="Q74" t="s">
        <v>754</v>
      </c>
      <c r="R74" t="s">
        <v>658</v>
      </c>
      <c r="S74" t="s">
        <v>17</v>
      </c>
      <c r="T74" t="s">
        <v>667</v>
      </c>
      <c r="U74">
        <v>4.1899999999999998E-9</v>
      </c>
      <c r="V74" t="s">
        <v>714</v>
      </c>
      <c r="W74" t="s">
        <v>633</v>
      </c>
      <c r="X74" t="s">
        <v>18</v>
      </c>
      <c r="Y74" t="s">
        <v>641</v>
      </c>
      <c r="Z74">
        <v>4.1899999999999998E-9</v>
      </c>
      <c r="AA74" t="s">
        <v>624</v>
      </c>
      <c r="AB74" t="s">
        <v>633</v>
      </c>
      <c r="AC74" t="s">
        <v>19</v>
      </c>
      <c r="AD74" t="s">
        <v>641</v>
      </c>
      <c r="AE74">
        <v>4.1899999999999998E-9</v>
      </c>
      <c r="AF74" t="s">
        <v>624</v>
      </c>
      <c r="AG74" t="s">
        <v>633</v>
      </c>
      <c r="AH74" t="s">
        <v>20</v>
      </c>
      <c r="AI74" t="s">
        <v>641</v>
      </c>
      <c r="AJ74">
        <v>4.1899999999999998E-9</v>
      </c>
      <c r="AK74" t="s">
        <v>624</v>
      </c>
      <c r="AL74" t="s">
        <v>512</v>
      </c>
      <c r="AM74" t="s">
        <v>23</v>
      </c>
      <c r="AN74" t="s">
        <v>256</v>
      </c>
      <c r="AO74">
        <v>4.1899999999999998E-9</v>
      </c>
      <c r="AP74" t="s">
        <v>508</v>
      </c>
      <c r="AQ74" t="s">
        <v>512</v>
      </c>
      <c r="AR74" t="s">
        <v>22</v>
      </c>
      <c r="AS74" t="s">
        <v>516</v>
      </c>
      <c r="AT74">
        <v>4.1899999999999998E-9</v>
      </c>
      <c r="AU74" t="s">
        <v>508</v>
      </c>
      <c r="AV74" t="s">
        <v>512</v>
      </c>
      <c r="AW74" t="s">
        <v>23</v>
      </c>
      <c r="AX74" t="s">
        <v>516</v>
      </c>
      <c r="AY74">
        <v>4.1899999999999998E-9</v>
      </c>
      <c r="AZ74" t="s">
        <v>522</v>
      </c>
      <c r="BA74" t="s">
        <v>512</v>
      </c>
      <c r="BB74" t="s">
        <v>24</v>
      </c>
      <c r="BC74" t="s">
        <v>516</v>
      </c>
      <c r="BD74">
        <v>4.1899999999999998E-9</v>
      </c>
      <c r="BE74" t="s">
        <v>508</v>
      </c>
      <c r="BF74" t="s">
        <v>512</v>
      </c>
      <c r="BG74" t="s">
        <v>25</v>
      </c>
      <c r="BH74" t="s">
        <v>516</v>
      </c>
      <c r="BI74">
        <v>4.1899999999999998E-9</v>
      </c>
      <c r="BL74" t="s">
        <v>26</v>
      </c>
      <c r="BN74">
        <v>4.1899999999999998E-9</v>
      </c>
      <c r="BO74" t="str">
        <f t="shared" si="6"/>
        <v>Firma Test7. Test47.9 Test4 (E+9L+A)</v>
      </c>
      <c r="BP74" t="str">
        <f t="shared" si="7"/>
        <v>Firma Test7. Test4</v>
      </c>
    </row>
    <row r="75" spans="1:68">
      <c r="A75" t="s">
        <v>103</v>
      </c>
      <c r="B75" t="s">
        <v>810</v>
      </c>
      <c r="C75" t="s">
        <v>820</v>
      </c>
      <c r="D75" t="s">
        <v>557</v>
      </c>
      <c r="E75" t="s">
        <v>567</v>
      </c>
      <c r="F75">
        <v>7.17E-8</v>
      </c>
      <c r="G75" t="s">
        <v>454</v>
      </c>
      <c r="H75" t="s">
        <v>577</v>
      </c>
      <c r="I75" t="s">
        <v>5</v>
      </c>
      <c r="J75" t="s">
        <v>587</v>
      </c>
      <c r="K75">
        <v>4.29E-8</v>
      </c>
      <c r="L75" t="s">
        <v>597</v>
      </c>
      <c r="M75" t="s">
        <v>607</v>
      </c>
      <c r="N75" t="s">
        <v>6</v>
      </c>
      <c r="O75" t="s">
        <v>617</v>
      </c>
      <c r="P75">
        <v>2.4699999999999999E-8</v>
      </c>
      <c r="Q75" t="s">
        <v>755</v>
      </c>
      <c r="R75" t="s">
        <v>649</v>
      </c>
      <c r="S75" t="s">
        <v>17</v>
      </c>
      <c r="T75" t="s">
        <v>668</v>
      </c>
      <c r="U75">
        <v>4.1899999999999998E-9</v>
      </c>
      <c r="V75" t="s">
        <v>715</v>
      </c>
      <c r="W75" t="s">
        <v>259</v>
      </c>
      <c r="X75" t="s">
        <v>18</v>
      </c>
      <c r="Y75" t="s">
        <v>260</v>
      </c>
      <c r="Z75">
        <v>4.1899999999999998E-9</v>
      </c>
      <c r="AA75" t="s">
        <v>625</v>
      </c>
      <c r="AB75" t="s">
        <v>259</v>
      </c>
      <c r="AC75" t="s">
        <v>19</v>
      </c>
      <c r="AD75" t="s">
        <v>260</v>
      </c>
      <c r="AE75">
        <v>4.1899999999999998E-9</v>
      </c>
      <c r="AF75" t="s">
        <v>625</v>
      </c>
      <c r="AG75" t="s">
        <v>259</v>
      </c>
      <c r="AH75" t="s">
        <v>20</v>
      </c>
      <c r="AI75" t="s">
        <v>260</v>
      </c>
      <c r="AJ75">
        <v>4.1899999999999998E-9</v>
      </c>
      <c r="AK75" t="s">
        <v>625</v>
      </c>
      <c r="AL75" t="s">
        <v>249</v>
      </c>
      <c r="AM75" t="s">
        <v>24</v>
      </c>
      <c r="AN75" t="s">
        <v>257</v>
      </c>
      <c r="AO75">
        <v>4.1899999999999998E-9</v>
      </c>
      <c r="AP75" t="s">
        <v>241</v>
      </c>
      <c r="AQ75" t="s">
        <v>249</v>
      </c>
      <c r="AR75" t="s">
        <v>22</v>
      </c>
      <c r="AS75" t="s">
        <v>257</v>
      </c>
      <c r="AT75">
        <v>4.1899999999999998E-9</v>
      </c>
      <c r="AU75" t="s">
        <v>241</v>
      </c>
      <c r="AV75" t="s">
        <v>249</v>
      </c>
      <c r="AW75" t="s">
        <v>23</v>
      </c>
      <c r="AX75" t="s">
        <v>257</v>
      </c>
      <c r="AY75">
        <v>4.1899999999999998E-9</v>
      </c>
      <c r="AZ75" t="s">
        <v>523</v>
      </c>
      <c r="BA75" t="s">
        <v>249</v>
      </c>
      <c r="BB75" t="s">
        <v>24</v>
      </c>
      <c r="BC75" t="s">
        <v>257</v>
      </c>
      <c r="BD75">
        <v>4.1899999999999998E-9</v>
      </c>
      <c r="BE75" t="s">
        <v>241</v>
      </c>
      <c r="BF75" t="s">
        <v>249</v>
      </c>
      <c r="BG75" t="s">
        <v>25</v>
      </c>
      <c r="BH75" t="s">
        <v>257</v>
      </c>
      <c r="BI75">
        <v>4.1899999999999998E-9</v>
      </c>
      <c r="BJ75" t="s">
        <v>517</v>
      </c>
      <c r="BK75" t="s">
        <v>249</v>
      </c>
      <c r="BL75" t="s">
        <v>26</v>
      </c>
      <c r="BM75" t="s">
        <v>257</v>
      </c>
      <c r="BN75">
        <v>4.1899999999999998E-9</v>
      </c>
      <c r="BO75" t="str">
        <f t="shared" si="6"/>
        <v>Firma Test7. Test47.10 Test4 (E+10L+A)</v>
      </c>
      <c r="BP75" t="str">
        <f t="shared" si="7"/>
        <v>Firma Test7. Test4</v>
      </c>
    </row>
    <row r="76" spans="1:68">
      <c r="A76" t="s">
        <v>103</v>
      </c>
      <c r="B76" t="s">
        <v>821</v>
      </c>
      <c r="C76" t="s">
        <v>822</v>
      </c>
      <c r="D76" t="s">
        <v>548</v>
      </c>
      <c r="E76" t="s">
        <v>558</v>
      </c>
      <c r="F76">
        <v>7.17E-8</v>
      </c>
      <c r="G76" t="s">
        <v>424</v>
      </c>
      <c r="H76" t="s">
        <v>568</v>
      </c>
      <c r="I76" t="s">
        <v>5</v>
      </c>
      <c r="J76" t="s">
        <v>578</v>
      </c>
      <c r="K76">
        <v>4.29E-8</v>
      </c>
      <c r="L76" t="s">
        <v>588</v>
      </c>
      <c r="M76" t="s">
        <v>598</v>
      </c>
      <c r="N76" t="s">
        <v>6</v>
      </c>
      <c r="O76" t="s">
        <v>608</v>
      </c>
      <c r="P76">
        <v>2.4699999999999999E-8</v>
      </c>
      <c r="Q76" t="s">
        <v>746</v>
      </c>
      <c r="R76" t="s">
        <v>650</v>
      </c>
      <c r="S76" t="s">
        <v>17</v>
      </c>
      <c r="T76" t="s">
        <v>659</v>
      </c>
      <c r="U76">
        <v>4.1899999999999998E-9</v>
      </c>
      <c r="X76" t="s">
        <v>18</v>
      </c>
      <c r="Z76">
        <v>4.1899999999999998E-9</v>
      </c>
      <c r="AE76">
        <v>4.1899999999999998E-9</v>
      </c>
      <c r="AH76" t="s">
        <v>20</v>
      </c>
      <c r="AJ76">
        <v>4.1899999999999998E-9</v>
      </c>
      <c r="AM76" t="s">
        <v>21</v>
      </c>
      <c r="AO76">
        <v>4.1899999999999998E-9</v>
      </c>
      <c r="AR76" t="s">
        <v>22</v>
      </c>
      <c r="AT76">
        <v>4.1899999999999998E-9</v>
      </c>
      <c r="AW76" t="s">
        <v>23</v>
      </c>
      <c r="AY76">
        <v>4.1899999999999998E-9</v>
      </c>
      <c r="BB76" t="s">
        <v>24</v>
      </c>
      <c r="BD76">
        <v>4.1899999999999998E-9</v>
      </c>
      <c r="BG76" t="s">
        <v>25</v>
      </c>
      <c r="BI76">
        <v>4.1899999999999998E-9</v>
      </c>
      <c r="BL76" t="s">
        <v>26</v>
      </c>
      <c r="BN76">
        <v>4.1899999999999998E-9</v>
      </c>
      <c r="BO76" t="str">
        <f t="shared" si="6"/>
        <v>Firma Test8. Test088.1 Test08 (E+1L+A)</v>
      </c>
      <c r="BP76" t="str">
        <f t="shared" si="7"/>
        <v>Firma Test8. Test08</v>
      </c>
    </row>
    <row r="77" spans="1:68">
      <c r="A77" t="s">
        <v>103</v>
      </c>
      <c r="B77" t="s">
        <v>821</v>
      </c>
      <c r="C77" t="s">
        <v>823</v>
      </c>
      <c r="D77" t="s">
        <v>549</v>
      </c>
      <c r="E77" t="s">
        <v>559</v>
      </c>
      <c r="F77">
        <v>7.17E-8</v>
      </c>
      <c r="G77" t="s">
        <v>446</v>
      </c>
      <c r="H77" t="s">
        <v>569</v>
      </c>
      <c r="I77" t="s">
        <v>5</v>
      </c>
      <c r="J77" t="s">
        <v>579</v>
      </c>
      <c r="K77">
        <v>4.29E-8</v>
      </c>
      <c r="L77" t="s">
        <v>589</v>
      </c>
      <c r="M77" t="s">
        <v>599</v>
      </c>
      <c r="N77" t="s">
        <v>6</v>
      </c>
      <c r="O77" t="s">
        <v>609</v>
      </c>
      <c r="P77">
        <v>2.4699999999999999E-8</v>
      </c>
      <c r="Q77" t="s">
        <v>747</v>
      </c>
      <c r="R77" t="s">
        <v>651</v>
      </c>
      <c r="S77" t="s">
        <v>17</v>
      </c>
      <c r="T77" t="s">
        <v>660</v>
      </c>
      <c r="U77">
        <v>4.1899999999999998E-9</v>
      </c>
      <c r="V77" t="s">
        <v>707</v>
      </c>
      <c r="W77" t="s">
        <v>626</v>
      </c>
      <c r="X77" t="s">
        <v>18</v>
      </c>
      <c r="Y77" t="s">
        <v>634</v>
      </c>
      <c r="Z77">
        <v>4.1899999999999998E-9</v>
      </c>
      <c r="AE77">
        <v>4.1899999999999998E-9</v>
      </c>
      <c r="AH77" t="s">
        <v>20</v>
      </c>
      <c r="AJ77">
        <v>4.1899999999999998E-9</v>
      </c>
      <c r="AM77" t="s">
        <v>21</v>
      </c>
      <c r="AO77">
        <v>4.1899999999999998E-9</v>
      </c>
      <c r="AR77" t="s">
        <v>22</v>
      </c>
      <c r="AT77">
        <v>4.1899999999999998E-9</v>
      </c>
      <c r="AW77" t="s">
        <v>23</v>
      </c>
      <c r="AY77">
        <v>4.1899999999999998E-9</v>
      </c>
      <c r="BB77" t="s">
        <v>24</v>
      </c>
      <c r="BD77">
        <v>4.1899999999999998E-9</v>
      </c>
      <c r="BG77" t="s">
        <v>25</v>
      </c>
      <c r="BI77">
        <v>4.1899999999999998E-9</v>
      </c>
      <c r="BL77" t="s">
        <v>26</v>
      </c>
      <c r="BN77">
        <v>4.1899999999999998E-9</v>
      </c>
      <c r="BO77" t="str">
        <f t="shared" si="6"/>
        <v>Firma Test8. Test088.2 Test08 (E+2L+A)</v>
      </c>
      <c r="BP77" t="str">
        <f t="shared" si="7"/>
        <v>Firma Test8. Test08</v>
      </c>
    </row>
    <row r="78" spans="1:68">
      <c r="A78" t="s">
        <v>103</v>
      </c>
      <c r="B78" t="s">
        <v>821</v>
      </c>
      <c r="C78" t="s">
        <v>824</v>
      </c>
      <c r="D78" t="s">
        <v>550</v>
      </c>
      <c r="E78" t="s">
        <v>560</v>
      </c>
      <c r="F78">
        <v>7.17E-8</v>
      </c>
      <c r="G78" t="s">
        <v>447</v>
      </c>
      <c r="H78" t="s">
        <v>570</v>
      </c>
      <c r="I78" t="s">
        <v>5</v>
      </c>
      <c r="J78" t="s">
        <v>580</v>
      </c>
      <c r="K78">
        <v>4.29E-8</v>
      </c>
      <c r="L78" t="s">
        <v>590</v>
      </c>
      <c r="M78" t="s">
        <v>600</v>
      </c>
      <c r="N78" t="s">
        <v>6</v>
      </c>
      <c r="O78" t="s">
        <v>610</v>
      </c>
      <c r="P78">
        <v>2.4699999999999999E-8</v>
      </c>
      <c r="Q78" t="s">
        <v>748</v>
      </c>
      <c r="R78" t="s">
        <v>652</v>
      </c>
      <c r="S78" t="s">
        <v>17</v>
      </c>
      <c r="T78" t="s">
        <v>661</v>
      </c>
      <c r="U78">
        <v>4.1899999999999998E-9</v>
      </c>
      <c r="V78" t="s">
        <v>708</v>
      </c>
      <c r="W78" t="s">
        <v>627</v>
      </c>
      <c r="X78" t="s">
        <v>18</v>
      </c>
      <c r="Y78" t="s">
        <v>635</v>
      </c>
      <c r="Z78">
        <v>4.1899999999999998E-9</v>
      </c>
      <c r="AA78" t="s">
        <v>618</v>
      </c>
      <c r="AB78" t="s">
        <v>627</v>
      </c>
      <c r="AC78" t="s">
        <v>19</v>
      </c>
      <c r="AD78" t="s">
        <v>635</v>
      </c>
      <c r="AE78">
        <v>4.1899999999999998E-9</v>
      </c>
      <c r="AH78" t="s">
        <v>20</v>
      </c>
      <c r="AJ78">
        <v>4.1899999999999998E-9</v>
      </c>
      <c r="AM78" t="s">
        <v>21</v>
      </c>
      <c r="AO78">
        <v>4.1899999999999998E-9</v>
      </c>
      <c r="AR78" t="s">
        <v>22</v>
      </c>
      <c r="AT78">
        <v>4.1899999999999998E-9</v>
      </c>
      <c r="AW78" t="s">
        <v>23</v>
      </c>
      <c r="AY78">
        <v>4.1899999999999998E-9</v>
      </c>
      <c r="BB78" t="s">
        <v>24</v>
      </c>
      <c r="BD78">
        <v>4.1899999999999998E-9</v>
      </c>
      <c r="BG78" t="s">
        <v>25</v>
      </c>
      <c r="BI78">
        <v>4.1899999999999998E-9</v>
      </c>
      <c r="BL78" t="s">
        <v>26</v>
      </c>
      <c r="BN78">
        <v>4.1899999999999998E-9</v>
      </c>
      <c r="BO78" t="str">
        <f t="shared" ref="BO78:BO109" si="8">CONCATENATE(A78,B78,C78)</f>
        <v>Firma Test8. Test088.3 Test08 (E+3L+A)</v>
      </c>
      <c r="BP78" t="str">
        <f t="shared" ref="BP78:BP109" si="9">CONCATENATE(A78,B78)</f>
        <v>Firma Test8. Test08</v>
      </c>
    </row>
    <row r="79" spans="1:68">
      <c r="A79" t="s">
        <v>103</v>
      </c>
      <c r="B79" t="s">
        <v>821</v>
      </c>
      <c r="C79" t="s">
        <v>825</v>
      </c>
      <c r="D79" t="s">
        <v>551</v>
      </c>
      <c r="E79" t="s">
        <v>561</v>
      </c>
      <c r="F79">
        <v>7.17E-8</v>
      </c>
      <c r="G79" t="s">
        <v>448</v>
      </c>
      <c r="H79" t="s">
        <v>571</v>
      </c>
      <c r="I79" t="s">
        <v>5</v>
      </c>
      <c r="J79" t="s">
        <v>581</v>
      </c>
      <c r="K79">
        <v>4.29E-8</v>
      </c>
      <c r="L79" t="s">
        <v>591</v>
      </c>
      <c r="M79" t="s">
        <v>601</v>
      </c>
      <c r="N79" t="s">
        <v>6</v>
      </c>
      <c r="O79" t="s">
        <v>611</v>
      </c>
      <c r="P79">
        <v>2.4699999999999999E-8</v>
      </c>
      <c r="Q79" t="s">
        <v>749</v>
      </c>
      <c r="R79" t="s">
        <v>653</v>
      </c>
      <c r="S79" t="s">
        <v>17</v>
      </c>
      <c r="T79" t="s">
        <v>662</v>
      </c>
      <c r="U79">
        <v>4.1899999999999998E-9</v>
      </c>
      <c r="V79" t="s">
        <v>709</v>
      </c>
      <c r="W79" t="s">
        <v>628</v>
      </c>
      <c r="X79" t="s">
        <v>18</v>
      </c>
      <c r="Y79" t="s">
        <v>636</v>
      </c>
      <c r="Z79">
        <v>4.1899999999999998E-9</v>
      </c>
      <c r="AA79" t="s">
        <v>619</v>
      </c>
      <c r="AB79" t="s">
        <v>628</v>
      </c>
      <c r="AC79" t="s">
        <v>19</v>
      </c>
      <c r="AD79" t="s">
        <v>636</v>
      </c>
      <c r="AE79">
        <v>4.1899999999999998E-9</v>
      </c>
      <c r="AF79" t="s">
        <v>619</v>
      </c>
      <c r="AG79" t="s">
        <v>628</v>
      </c>
      <c r="AH79" t="s">
        <v>20</v>
      </c>
      <c r="AI79" t="s">
        <v>636</v>
      </c>
      <c r="AJ79">
        <v>4.1899999999999998E-9</v>
      </c>
      <c r="AM79" t="s">
        <v>21</v>
      </c>
      <c r="AO79">
        <v>4.1899999999999998E-9</v>
      </c>
      <c r="AR79" t="s">
        <v>22</v>
      </c>
      <c r="AT79">
        <v>4.1899999999999998E-9</v>
      </c>
      <c r="AW79" t="s">
        <v>23</v>
      </c>
      <c r="AY79">
        <v>4.1899999999999998E-9</v>
      </c>
      <c r="BB79" t="s">
        <v>24</v>
      </c>
      <c r="BD79">
        <v>4.1899999999999998E-9</v>
      </c>
      <c r="BG79" t="s">
        <v>25</v>
      </c>
      <c r="BI79">
        <v>4.1899999999999998E-9</v>
      </c>
      <c r="BL79" t="s">
        <v>26</v>
      </c>
      <c r="BN79">
        <v>4.1899999999999998E-9</v>
      </c>
      <c r="BO79" t="str">
        <f t="shared" si="8"/>
        <v>Firma Test8. Test088.4 Test08 (E+4L+A)</v>
      </c>
      <c r="BP79" t="str">
        <f t="shared" si="9"/>
        <v>Firma Test8. Test08</v>
      </c>
    </row>
    <row r="80" spans="1:68">
      <c r="A80" t="s">
        <v>103</v>
      </c>
      <c r="B80" t="s">
        <v>821</v>
      </c>
      <c r="C80" t="s">
        <v>826</v>
      </c>
      <c r="D80" t="s">
        <v>552</v>
      </c>
      <c r="E80" t="s">
        <v>562</v>
      </c>
      <c r="F80">
        <v>7.17E-8</v>
      </c>
      <c r="G80" t="s">
        <v>449</v>
      </c>
      <c r="H80" t="s">
        <v>572</v>
      </c>
      <c r="I80" t="s">
        <v>5</v>
      </c>
      <c r="J80" t="s">
        <v>582</v>
      </c>
      <c r="K80">
        <v>4.29E-8</v>
      </c>
      <c r="L80" t="s">
        <v>592</v>
      </c>
      <c r="M80" t="s">
        <v>602</v>
      </c>
      <c r="N80" t="s">
        <v>6</v>
      </c>
      <c r="O80" t="s">
        <v>612</v>
      </c>
      <c r="P80">
        <v>2.4699999999999999E-8</v>
      </c>
      <c r="Q80" t="s">
        <v>750</v>
      </c>
      <c r="R80" t="s">
        <v>654</v>
      </c>
      <c r="S80" t="s">
        <v>17</v>
      </c>
      <c r="T80" t="s">
        <v>663</v>
      </c>
      <c r="U80">
        <v>4.1899999999999998E-9</v>
      </c>
      <c r="V80" t="s">
        <v>710</v>
      </c>
      <c r="W80" t="s">
        <v>629</v>
      </c>
      <c r="X80" t="s">
        <v>18</v>
      </c>
      <c r="Y80" t="s">
        <v>637</v>
      </c>
      <c r="Z80">
        <v>4.1899999999999998E-9</v>
      </c>
      <c r="AA80" t="s">
        <v>620</v>
      </c>
      <c r="AB80" t="s">
        <v>629</v>
      </c>
      <c r="AC80" t="s">
        <v>19</v>
      </c>
      <c r="AD80" t="s">
        <v>637</v>
      </c>
      <c r="AE80">
        <v>4.1899999999999998E-9</v>
      </c>
      <c r="AF80" t="s">
        <v>620</v>
      </c>
      <c r="AG80" t="s">
        <v>629</v>
      </c>
      <c r="AH80" t="s">
        <v>20</v>
      </c>
      <c r="AI80" t="s">
        <v>637</v>
      </c>
      <c r="AJ80">
        <v>4.1899999999999998E-9</v>
      </c>
      <c r="AK80" t="s">
        <v>620</v>
      </c>
      <c r="AL80" t="s">
        <v>648</v>
      </c>
      <c r="AM80" t="s">
        <v>21</v>
      </c>
      <c r="AN80" t="s">
        <v>252</v>
      </c>
      <c r="AO80">
        <v>4.1899999999999998E-9</v>
      </c>
      <c r="AR80" t="s">
        <v>22</v>
      </c>
      <c r="AT80">
        <v>4.1899999999999998E-9</v>
      </c>
      <c r="AW80" t="s">
        <v>23</v>
      </c>
      <c r="AY80">
        <v>4.1899999999999998E-9</v>
      </c>
      <c r="BB80" t="s">
        <v>24</v>
      </c>
      <c r="BD80">
        <v>4.1899999999999998E-9</v>
      </c>
      <c r="BG80" t="s">
        <v>25</v>
      </c>
      <c r="BI80">
        <v>4.1899999999999998E-9</v>
      </c>
      <c r="BL80" t="s">
        <v>26</v>
      </c>
      <c r="BN80">
        <v>4.1899999999999998E-9</v>
      </c>
      <c r="BO80" t="str">
        <f t="shared" si="8"/>
        <v>Firma Test8. Test088.5 Test08 (E+5L+A)</v>
      </c>
      <c r="BP80" t="str">
        <f t="shared" si="9"/>
        <v>Firma Test8. Test08</v>
      </c>
    </row>
    <row r="81" spans="1:68">
      <c r="A81" t="s">
        <v>103</v>
      </c>
      <c r="B81" t="s">
        <v>821</v>
      </c>
      <c r="C81" t="s">
        <v>827</v>
      </c>
      <c r="D81" t="s">
        <v>553</v>
      </c>
      <c r="E81" t="s">
        <v>563</v>
      </c>
      <c r="F81">
        <v>7.17E-8</v>
      </c>
      <c r="G81" t="s">
        <v>450</v>
      </c>
      <c r="H81" t="s">
        <v>573</v>
      </c>
      <c r="I81" t="s">
        <v>5</v>
      </c>
      <c r="J81" t="s">
        <v>583</v>
      </c>
      <c r="K81">
        <v>4.29E-8</v>
      </c>
      <c r="L81" t="s">
        <v>593</v>
      </c>
      <c r="M81" t="s">
        <v>603</v>
      </c>
      <c r="N81" t="s">
        <v>6</v>
      </c>
      <c r="O81" t="s">
        <v>613</v>
      </c>
      <c r="P81">
        <v>2.4699999999999999E-8</v>
      </c>
      <c r="Q81" t="s">
        <v>751</v>
      </c>
      <c r="R81" t="s">
        <v>655</v>
      </c>
      <c r="S81" t="s">
        <v>17</v>
      </c>
      <c r="T81" t="s">
        <v>664</v>
      </c>
      <c r="U81">
        <v>4.1899999999999998E-9</v>
      </c>
      <c r="V81" t="s">
        <v>711</v>
      </c>
      <c r="W81" t="s">
        <v>630</v>
      </c>
      <c r="X81" t="s">
        <v>18</v>
      </c>
      <c r="Y81" t="s">
        <v>638</v>
      </c>
      <c r="Z81">
        <v>4.1899999999999998E-9</v>
      </c>
      <c r="AA81" t="s">
        <v>621</v>
      </c>
      <c r="AB81" t="s">
        <v>630</v>
      </c>
      <c r="AC81" t="s">
        <v>19</v>
      </c>
      <c r="AD81" t="s">
        <v>638</v>
      </c>
      <c r="AE81">
        <v>4.1899999999999998E-9</v>
      </c>
      <c r="AF81" t="s">
        <v>621</v>
      </c>
      <c r="AG81" t="s">
        <v>630</v>
      </c>
      <c r="AH81" t="s">
        <v>20</v>
      </c>
      <c r="AI81" t="s">
        <v>638</v>
      </c>
      <c r="AJ81">
        <v>4.1899999999999998E-9</v>
      </c>
      <c r="AK81" t="s">
        <v>621</v>
      </c>
      <c r="AL81" t="s">
        <v>509</v>
      </c>
      <c r="AM81" t="s">
        <v>21</v>
      </c>
      <c r="AN81" t="s">
        <v>253</v>
      </c>
      <c r="AO81">
        <v>4.1899999999999998E-9</v>
      </c>
      <c r="AP81" t="s">
        <v>505</v>
      </c>
      <c r="AQ81" t="s">
        <v>509</v>
      </c>
      <c r="AR81" t="s">
        <v>22</v>
      </c>
      <c r="AS81" t="s">
        <v>513</v>
      </c>
      <c r="AT81">
        <v>4.1899999999999998E-9</v>
      </c>
      <c r="AW81" t="s">
        <v>23</v>
      </c>
      <c r="AY81">
        <v>4.1899999999999998E-9</v>
      </c>
      <c r="BB81" t="s">
        <v>24</v>
      </c>
      <c r="BD81">
        <v>4.1899999999999998E-9</v>
      </c>
      <c r="BG81" t="s">
        <v>25</v>
      </c>
      <c r="BI81">
        <v>4.1899999999999998E-9</v>
      </c>
      <c r="BL81" t="s">
        <v>26</v>
      </c>
      <c r="BN81">
        <v>4.1899999999999998E-9</v>
      </c>
      <c r="BO81" t="str">
        <f t="shared" si="8"/>
        <v>Firma Test8. Test088.6 Test08 (E+6L+A)</v>
      </c>
      <c r="BP81" t="str">
        <f t="shared" si="9"/>
        <v>Firma Test8. Test08</v>
      </c>
    </row>
    <row r="82" spans="1:68">
      <c r="A82" t="s">
        <v>103</v>
      </c>
      <c r="B82" t="s">
        <v>821</v>
      </c>
      <c r="C82" t="s">
        <v>828</v>
      </c>
      <c r="D82" t="s">
        <v>554</v>
      </c>
      <c r="E82" t="s">
        <v>564</v>
      </c>
      <c r="F82">
        <v>7.17E-8</v>
      </c>
      <c r="G82" t="s">
        <v>451</v>
      </c>
      <c r="H82" t="s">
        <v>574</v>
      </c>
      <c r="I82" t="s">
        <v>5</v>
      </c>
      <c r="J82" t="s">
        <v>584</v>
      </c>
      <c r="K82">
        <v>4.29E-8</v>
      </c>
      <c r="L82" t="s">
        <v>594</v>
      </c>
      <c r="M82" t="s">
        <v>604</v>
      </c>
      <c r="N82" t="s">
        <v>6</v>
      </c>
      <c r="O82" t="s">
        <v>614</v>
      </c>
      <c r="P82">
        <v>2.4699999999999999E-8</v>
      </c>
      <c r="Q82" t="s">
        <v>752</v>
      </c>
      <c r="R82" t="s">
        <v>656</v>
      </c>
      <c r="S82" t="s">
        <v>17</v>
      </c>
      <c r="T82" t="s">
        <v>665</v>
      </c>
      <c r="U82">
        <v>4.1899999999999998E-9</v>
      </c>
      <c r="V82" t="s">
        <v>712</v>
      </c>
      <c r="W82" t="s">
        <v>631</v>
      </c>
      <c r="X82" t="s">
        <v>18</v>
      </c>
      <c r="Y82" t="s">
        <v>639</v>
      </c>
      <c r="Z82">
        <v>4.1899999999999998E-9</v>
      </c>
      <c r="AA82" t="s">
        <v>622</v>
      </c>
      <c r="AB82" t="s">
        <v>631</v>
      </c>
      <c r="AC82" t="s">
        <v>19</v>
      </c>
      <c r="AD82" t="s">
        <v>639</v>
      </c>
      <c r="AE82">
        <v>4.1899999999999998E-9</v>
      </c>
      <c r="AF82" t="s">
        <v>622</v>
      </c>
      <c r="AG82" t="s">
        <v>631</v>
      </c>
      <c r="AH82" t="s">
        <v>20</v>
      </c>
      <c r="AI82" t="s">
        <v>639</v>
      </c>
      <c r="AJ82">
        <v>4.1899999999999998E-9</v>
      </c>
      <c r="AK82" t="s">
        <v>622</v>
      </c>
      <c r="AL82" t="s">
        <v>510</v>
      </c>
      <c r="AM82" t="s">
        <v>21</v>
      </c>
      <c r="AN82" t="s">
        <v>254</v>
      </c>
      <c r="AO82">
        <v>4.1899999999999998E-9</v>
      </c>
      <c r="AP82" t="s">
        <v>506</v>
      </c>
      <c r="AQ82" t="s">
        <v>510</v>
      </c>
      <c r="AR82" t="s">
        <v>22</v>
      </c>
      <c r="AS82" t="s">
        <v>514</v>
      </c>
      <c r="AT82">
        <v>4.1899999999999998E-9</v>
      </c>
      <c r="AU82" t="s">
        <v>506</v>
      </c>
      <c r="AV82" t="s">
        <v>510</v>
      </c>
      <c r="AW82" t="s">
        <v>23</v>
      </c>
      <c r="AX82" t="s">
        <v>514</v>
      </c>
      <c r="AY82">
        <v>4.1899999999999998E-9</v>
      </c>
      <c r="BB82" t="s">
        <v>24</v>
      </c>
      <c r="BD82">
        <v>4.1899999999999998E-9</v>
      </c>
      <c r="BG82" t="s">
        <v>25</v>
      </c>
      <c r="BI82">
        <v>4.1899999999999998E-9</v>
      </c>
      <c r="BL82" t="s">
        <v>26</v>
      </c>
      <c r="BN82">
        <v>4.1899999999999998E-9</v>
      </c>
      <c r="BO82" t="str">
        <f t="shared" si="8"/>
        <v>Firma Test8. Test088.7 Test08 (E+7L+A)</v>
      </c>
      <c r="BP82" t="str">
        <f t="shared" si="9"/>
        <v>Firma Test8. Test08</v>
      </c>
    </row>
    <row r="83" spans="1:68">
      <c r="A83" t="s">
        <v>103</v>
      </c>
      <c r="B83" t="s">
        <v>821</v>
      </c>
      <c r="C83" t="s">
        <v>829</v>
      </c>
      <c r="D83" t="s">
        <v>555</v>
      </c>
      <c r="E83" t="s">
        <v>565</v>
      </c>
      <c r="F83">
        <v>7.17E-8</v>
      </c>
      <c r="G83" t="s">
        <v>452</v>
      </c>
      <c r="H83" t="s">
        <v>575</v>
      </c>
      <c r="I83" t="s">
        <v>5</v>
      </c>
      <c r="J83" t="s">
        <v>585</v>
      </c>
      <c r="K83">
        <v>4.29E-8</v>
      </c>
      <c r="L83" t="s">
        <v>595</v>
      </c>
      <c r="M83" t="s">
        <v>605</v>
      </c>
      <c r="N83" t="s">
        <v>6</v>
      </c>
      <c r="O83" t="s">
        <v>615</v>
      </c>
      <c r="P83">
        <v>2.4699999999999999E-8</v>
      </c>
      <c r="Q83" t="s">
        <v>753</v>
      </c>
      <c r="R83" t="s">
        <v>657</v>
      </c>
      <c r="S83" t="s">
        <v>17</v>
      </c>
      <c r="T83" t="s">
        <v>666</v>
      </c>
      <c r="U83">
        <v>4.1899999999999998E-9</v>
      </c>
      <c r="V83" t="s">
        <v>713</v>
      </c>
      <c r="W83" t="s">
        <v>632</v>
      </c>
      <c r="X83" t="s">
        <v>18</v>
      </c>
      <c r="Y83" t="s">
        <v>640</v>
      </c>
      <c r="Z83">
        <v>4.1899999999999998E-9</v>
      </c>
      <c r="AA83" t="s">
        <v>623</v>
      </c>
      <c r="AB83" t="s">
        <v>632</v>
      </c>
      <c r="AC83" t="s">
        <v>19</v>
      </c>
      <c r="AD83" t="s">
        <v>640</v>
      </c>
      <c r="AE83">
        <v>4.1899999999999998E-9</v>
      </c>
      <c r="AF83" t="s">
        <v>623</v>
      </c>
      <c r="AG83" t="s">
        <v>632</v>
      </c>
      <c r="AH83" t="s">
        <v>20</v>
      </c>
      <c r="AI83" t="s">
        <v>640</v>
      </c>
      <c r="AJ83">
        <v>4.1899999999999998E-9</v>
      </c>
      <c r="AK83" t="s">
        <v>623</v>
      </c>
      <c r="AL83" t="s">
        <v>511</v>
      </c>
      <c r="AM83" t="s">
        <v>22</v>
      </c>
      <c r="AN83" t="s">
        <v>255</v>
      </c>
      <c r="AO83">
        <v>4.1899999999999998E-9</v>
      </c>
      <c r="AP83" t="s">
        <v>507</v>
      </c>
      <c r="AQ83" t="s">
        <v>511</v>
      </c>
      <c r="AR83" t="s">
        <v>22</v>
      </c>
      <c r="AS83" t="s">
        <v>515</v>
      </c>
      <c r="AT83">
        <v>4.1899999999999998E-9</v>
      </c>
      <c r="AU83" t="s">
        <v>507</v>
      </c>
      <c r="AV83" t="s">
        <v>511</v>
      </c>
      <c r="AW83" t="s">
        <v>23</v>
      </c>
      <c r="AX83" t="s">
        <v>515</v>
      </c>
      <c r="AY83">
        <v>4.1899999999999998E-9</v>
      </c>
      <c r="AZ83" t="s">
        <v>521</v>
      </c>
      <c r="BA83" t="s">
        <v>511</v>
      </c>
      <c r="BB83" t="s">
        <v>24</v>
      </c>
      <c r="BC83" t="s">
        <v>515</v>
      </c>
      <c r="BD83">
        <v>4.1899999999999998E-9</v>
      </c>
      <c r="BG83" t="s">
        <v>25</v>
      </c>
      <c r="BI83">
        <v>4.1899999999999998E-9</v>
      </c>
      <c r="BL83" t="s">
        <v>26</v>
      </c>
      <c r="BN83">
        <v>4.1899999999999998E-9</v>
      </c>
      <c r="BO83" t="str">
        <f t="shared" si="8"/>
        <v>Firma Test8. Test088.8 Test08 (E+8L+A)</v>
      </c>
      <c r="BP83" t="str">
        <f t="shared" si="9"/>
        <v>Firma Test8. Test08</v>
      </c>
    </row>
    <row r="84" spans="1:68">
      <c r="A84" t="s">
        <v>103</v>
      </c>
      <c r="B84" t="s">
        <v>821</v>
      </c>
      <c r="C84" t="s">
        <v>830</v>
      </c>
      <c r="D84" t="s">
        <v>556</v>
      </c>
      <c r="E84" t="s">
        <v>566</v>
      </c>
      <c r="F84">
        <v>7.17E-8</v>
      </c>
      <c r="G84" t="s">
        <v>453</v>
      </c>
      <c r="H84" t="s">
        <v>576</v>
      </c>
      <c r="I84" t="s">
        <v>5</v>
      </c>
      <c r="J84" t="s">
        <v>586</v>
      </c>
      <c r="K84">
        <v>4.29E-8</v>
      </c>
      <c r="L84" t="s">
        <v>596</v>
      </c>
      <c r="M84" t="s">
        <v>606</v>
      </c>
      <c r="N84" t="s">
        <v>6</v>
      </c>
      <c r="O84" t="s">
        <v>616</v>
      </c>
      <c r="P84">
        <v>2.4699999999999999E-8</v>
      </c>
      <c r="Q84" t="s">
        <v>754</v>
      </c>
      <c r="R84" t="s">
        <v>658</v>
      </c>
      <c r="S84" t="s">
        <v>17</v>
      </c>
      <c r="T84" t="s">
        <v>667</v>
      </c>
      <c r="U84">
        <v>4.1899999999999998E-9</v>
      </c>
      <c r="V84" t="s">
        <v>714</v>
      </c>
      <c r="W84" t="s">
        <v>633</v>
      </c>
      <c r="X84" t="s">
        <v>18</v>
      </c>
      <c r="Y84" t="s">
        <v>641</v>
      </c>
      <c r="Z84">
        <v>4.1899999999999998E-9</v>
      </c>
      <c r="AA84" t="s">
        <v>624</v>
      </c>
      <c r="AB84" t="s">
        <v>633</v>
      </c>
      <c r="AC84" t="s">
        <v>19</v>
      </c>
      <c r="AD84" t="s">
        <v>641</v>
      </c>
      <c r="AE84">
        <v>4.1899999999999998E-9</v>
      </c>
      <c r="AF84" t="s">
        <v>624</v>
      </c>
      <c r="AG84" t="s">
        <v>633</v>
      </c>
      <c r="AH84" t="s">
        <v>20</v>
      </c>
      <c r="AI84" t="s">
        <v>641</v>
      </c>
      <c r="AJ84">
        <v>4.1899999999999998E-9</v>
      </c>
      <c r="AK84" t="s">
        <v>624</v>
      </c>
      <c r="AL84" t="s">
        <v>512</v>
      </c>
      <c r="AM84" t="s">
        <v>23</v>
      </c>
      <c r="AN84" t="s">
        <v>256</v>
      </c>
      <c r="AO84">
        <v>4.1899999999999998E-9</v>
      </c>
      <c r="AP84" t="s">
        <v>508</v>
      </c>
      <c r="AQ84" t="s">
        <v>512</v>
      </c>
      <c r="AR84" t="s">
        <v>22</v>
      </c>
      <c r="AS84" t="s">
        <v>516</v>
      </c>
      <c r="AT84">
        <v>4.1899999999999998E-9</v>
      </c>
      <c r="AU84" t="s">
        <v>508</v>
      </c>
      <c r="AV84" t="s">
        <v>512</v>
      </c>
      <c r="AW84" t="s">
        <v>23</v>
      </c>
      <c r="AX84" t="s">
        <v>516</v>
      </c>
      <c r="AY84">
        <v>4.1899999999999998E-9</v>
      </c>
      <c r="AZ84" t="s">
        <v>522</v>
      </c>
      <c r="BA84" t="s">
        <v>512</v>
      </c>
      <c r="BB84" t="s">
        <v>24</v>
      </c>
      <c r="BC84" t="s">
        <v>516</v>
      </c>
      <c r="BD84">
        <v>4.1899999999999998E-9</v>
      </c>
      <c r="BE84" t="s">
        <v>508</v>
      </c>
      <c r="BF84" t="s">
        <v>512</v>
      </c>
      <c r="BG84" t="s">
        <v>25</v>
      </c>
      <c r="BH84" t="s">
        <v>516</v>
      </c>
      <c r="BI84">
        <v>4.1899999999999998E-9</v>
      </c>
      <c r="BL84" t="s">
        <v>26</v>
      </c>
      <c r="BN84">
        <v>4.1899999999999998E-9</v>
      </c>
      <c r="BO84" t="str">
        <f t="shared" si="8"/>
        <v>Firma Test8. Test088.9 Test08 (E+9L+A)</v>
      </c>
      <c r="BP84" t="str">
        <f t="shared" si="9"/>
        <v>Firma Test8. Test08</v>
      </c>
    </row>
    <row r="85" spans="1:68">
      <c r="A85" t="s">
        <v>103</v>
      </c>
      <c r="B85" t="s">
        <v>821</v>
      </c>
      <c r="C85" t="s">
        <v>831</v>
      </c>
      <c r="D85" t="s">
        <v>557</v>
      </c>
      <c r="E85" t="s">
        <v>567</v>
      </c>
      <c r="F85">
        <v>7.17E-8</v>
      </c>
      <c r="G85" t="s">
        <v>454</v>
      </c>
      <c r="H85" t="s">
        <v>577</v>
      </c>
      <c r="I85" t="s">
        <v>5</v>
      </c>
      <c r="J85" t="s">
        <v>587</v>
      </c>
      <c r="K85">
        <v>4.29E-8</v>
      </c>
      <c r="L85" t="s">
        <v>597</v>
      </c>
      <c r="M85" t="s">
        <v>607</v>
      </c>
      <c r="N85" t="s">
        <v>6</v>
      </c>
      <c r="O85" t="s">
        <v>617</v>
      </c>
      <c r="P85">
        <v>2.4699999999999999E-8</v>
      </c>
      <c r="Q85" t="s">
        <v>755</v>
      </c>
      <c r="R85" t="s">
        <v>649</v>
      </c>
      <c r="S85" t="s">
        <v>17</v>
      </c>
      <c r="T85" t="s">
        <v>668</v>
      </c>
      <c r="U85">
        <v>4.1899999999999998E-9</v>
      </c>
      <c r="V85" t="s">
        <v>715</v>
      </c>
      <c r="W85" t="s">
        <v>259</v>
      </c>
      <c r="X85" t="s">
        <v>18</v>
      </c>
      <c r="Y85" t="s">
        <v>260</v>
      </c>
      <c r="Z85">
        <v>4.1899999999999998E-9</v>
      </c>
      <c r="AA85" t="s">
        <v>625</v>
      </c>
      <c r="AB85" t="s">
        <v>259</v>
      </c>
      <c r="AC85" t="s">
        <v>19</v>
      </c>
      <c r="AD85" t="s">
        <v>260</v>
      </c>
      <c r="AE85">
        <v>4.1899999999999998E-9</v>
      </c>
      <c r="AF85" t="s">
        <v>625</v>
      </c>
      <c r="AG85" t="s">
        <v>259</v>
      </c>
      <c r="AH85" t="s">
        <v>20</v>
      </c>
      <c r="AI85" t="s">
        <v>260</v>
      </c>
      <c r="AJ85">
        <v>4.1899999999999998E-9</v>
      </c>
      <c r="AK85" t="s">
        <v>625</v>
      </c>
      <c r="AL85" t="s">
        <v>249</v>
      </c>
      <c r="AM85" t="s">
        <v>24</v>
      </c>
      <c r="AN85" t="s">
        <v>257</v>
      </c>
      <c r="AO85">
        <v>4.1899999999999998E-9</v>
      </c>
      <c r="AP85" t="s">
        <v>241</v>
      </c>
      <c r="AQ85" t="s">
        <v>249</v>
      </c>
      <c r="AR85" t="s">
        <v>22</v>
      </c>
      <c r="AS85" t="s">
        <v>257</v>
      </c>
      <c r="AT85">
        <v>4.1899999999999998E-9</v>
      </c>
      <c r="AU85" t="s">
        <v>241</v>
      </c>
      <c r="AV85" t="s">
        <v>249</v>
      </c>
      <c r="AW85" t="s">
        <v>23</v>
      </c>
      <c r="AX85" t="s">
        <v>257</v>
      </c>
      <c r="AY85">
        <v>4.1899999999999998E-9</v>
      </c>
      <c r="AZ85" t="s">
        <v>523</v>
      </c>
      <c r="BA85" t="s">
        <v>249</v>
      </c>
      <c r="BB85" t="s">
        <v>24</v>
      </c>
      <c r="BC85" t="s">
        <v>257</v>
      </c>
      <c r="BD85">
        <v>4.1899999999999998E-9</v>
      </c>
      <c r="BE85" t="s">
        <v>241</v>
      </c>
      <c r="BF85" t="s">
        <v>249</v>
      </c>
      <c r="BG85" t="s">
        <v>25</v>
      </c>
      <c r="BH85" t="s">
        <v>257</v>
      </c>
      <c r="BI85">
        <v>4.1899999999999998E-9</v>
      </c>
      <c r="BJ85" t="s">
        <v>517</v>
      </c>
      <c r="BK85" t="s">
        <v>249</v>
      </c>
      <c r="BL85" t="s">
        <v>26</v>
      </c>
      <c r="BM85" t="s">
        <v>257</v>
      </c>
      <c r="BN85">
        <v>4.1899999999999998E-9</v>
      </c>
      <c r="BO85" t="str">
        <f t="shared" si="8"/>
        <v>Firma Test8. Test088.10 Test08 (E+10L+A)</v>
      </c>
      <c r="BP85" t="str">
        <f t="shared" si="9"/>
        <v>Firma Test8. Test08</v>
      </c>
    </row>
    <row r="86" spans="1:68">
      <c r="A86" t="s">
        <v>103</v>
      </c>
      <c r="B86" t="s">
        <v>832</v>
      </c>
      <c r="C86" t="s">
        <v>833</v>
      </c>
      <c r="D86" t="s">
        <v>548</v>
      </c>
      <c r="E86" t="s">
        <v>558</v>
      </c>
      <c r="F86">
        <v>7.17E-8</v>
      </c>
      <c r="G86" t="s">
        <v>424</v>
      </c>
      <c r="H86" t="s">
        <v>568</v>
      </c>
      <c r="I86" t="s">
        <v>5</v>
      </c>
      <c r="J86" t="s">
        <v>578</v>
      </c>
      <c r="K86">
        <v>4.29E-8</v>
      </c>
      <c r="L86" t="s">
        <v>588</v>
      </c>
      <c r="M86" t="s">
        <v>598</v>
      </c>
      <c r="N86" t="s">
        <v>6</v>
      </c>
      <c r="O86" t="s">
        <v>608</v>
      </c>
      <c r="P86">
        <v>2.4699999999999999E-8</v>
      </c>
      <c r="Q86" t="s">
        <v>746</v>
      </c>
      <c r="R86" t="s">
        <v>650</v>
      </c>
      <c r="S86" t="s">
        <v>17</v>
      </c>
      <c r="T86" t="s">
        <v>659</v>
      </c>
      <c r="U86">
        <v>4.1899999999999998E-9</v>
      </c>
      <c r="X86" t="s">
        <v>18</v>
      </c>
      <c r="Z86">
        <v>4.1899999999999998E-9</v>
      </c>
      <c r="AE86">
        <v>4.1899999999999998E-9</v>
      </c>
      <c r="AH86" t="s">
        <v>20</v>
      </c>
      <c r="AJ86">
        <v>4.1899999999999998E-9</v>
      </c>
      <c r="AM86" t="s">
        <v>21</v>
      </c>
      <c r="AO86">
        <v>4.1899999999999998E-9</v>
      </c>
      <c r="AR86" t="s">
        <v>22</v>
      </c>
      <c r="AT86">
        <v>4.1899999999999998E-9</v>
      </c>
      <c r="AW86" t="s">
        <v>23</v>
      </c>
      <c r="AY86">
        <v>4.1899999999999998E-9</v>
      </c>
      <c r="BB86" t="s">
        <v>24</v>
      </c>
      <c r="BD86">
        <v>4.1899999999999998E-9</v>
      </c>
      <c r="BG86" t="s">
        <v>25</v>
      </c>
      <c r="BI86">
        <v>4.1899999999999998E-9</v>
      </c>
      <c r="BL86" t="s">
        <v>26</v>
      </c>
      <c r="BN86">
        <v>4.1899999999999998E-9</v>
      </c>
      <c r="BO86" t="str">
        <f t="shared" si="8"/>
        <v>Firma Test9. Test099.1 Test09 (E+1L+A)</v>
      </c>
      <c r="BP86" t="str">
        <f t="shared" si="9"/>
        <v>Firma Test9. Test09</v>
      </c>
    </row>
    <row r="87" spans="1:68">
      <c r="A87" t="s">
        <v>103</v>
      </c>
      <c r="B87" t="s">
        <v>832</v>
      </c>
      <c r="C87" t="s">
        <v>834</v>
      </c>
      <c r="D87" t="s">
        <v>549</v>
      </c>
      <c r="E87" t="s">
        <v>559</v>
      </c>
      <c r="F87">
        <v>7.17E-8</v>
      </c>
      <c r="G87" t="s">
        <v>446</v>
      </c>
      <c r="H87" t="s">
        <v>569</v>
      </c>
      <c r="I87" t="s">
        <v>5</v>
      </c>
      <c r="J87" t="s">
        <v>579</v>
      </c>
      <c r="K87">
        <v>4.29E-8</v>
      </c>
      <c r="L87" t="s">
        <v>589</v>
      </c>
      <c r="M87" t="s">
        <v>599</v>
      </c>
      <c r="N87" t="s">
        <v>6</v>
      </c>
      <c r="O87" t="s">
        <v>609</v>
      </c>
      <c r="P87">
        <v>2.4699999999999999E-8</v>
      </c>
      <c r="Q87" t="s">
        <v>747</v>
      </c>
      <c r="R87" t="s">
        <v>651</v>
      </c>
      <c r="S87" t="s">
        <v>17</v>
      </c>
      <c r="T87" t="s">
        <v>660</v>
      </c>
      <c r="U87">
        <v>4.1899999999999998E-9</v>
      </c>
      <c r="V87" t="s">
        <v>707</v>
      </c>
      <c r="W87" t="s">
        <v>626</v>
      </c>
      <c r="X87" t="s">
        <v>18</v>
      </c>
      <c r="Y87" t="s">
        <v>634</v>
      </c>
      <c r="Z87">
        <v>4.1899999999999998E-9</v>
      </c>
      <c r="AE87">
        <v>4.1899999999999998E-9</v>
      </c>
      <c r="AH87" t="s">
        <v>20</v>
      </c>
      <c r="AJ87">
        <v>4.1899999999999998E-9</v>
      </c>
      <c r="AM87" t="s">
        <v>21</v>
      </c>
      <c r="AO87">
        <v>4.1899999999999998E-9</v>
      </c>
      <c r="AR87" t="s">
        <v>22</v>
      </c>
      <c r="AT87">
        <v>4.1899999999999998E-9</v>
      </c>
      <c r="AW87" t="s">
        <v>23</v>
      </c>
      <c r="AY87">
        <v>4.1899999999999998E-9</v>
      </c>
      <c r="BB87" t="s">
        <v>24</v>
      </c>
      <c r="BD87">
        <v>4.1899999999999998E-9</v>
      </c>
      <c r="BG87" t="s">
        <v>25</v>
      </c>
      <c r="BI87">
        <v>4.1899999999999998E-9</v>
      </c>
      <c r="BL87" t="s">
        <v>26</v>
      </c>
      <c r="BN87">
        <v>4.1899999999999998E-9</v>
      </c>
      <c r="BO87" t="str">
        <f t="shared" si="8"/>
        <v>Firma Test9. Test099.2 Test09 (E+2L+A)</v>
      </c>
      <c r="BP87" t="str">
        <f t="shared" si="9"/>
        <v>Firma Test9. Test09</v>
      </c>
    </row>
    <row r="88" spans="1:68">
      <c r="A88" t="s">
        <v>103</v>
      </c>
      <c r="B88" t="s">
        <v>832</v>
      </c>
      <c r="C88" t="s">
        <v>835</v>
      </c>
      <c r="D88" t="s">
        <v>550</v>
      </c>
      <c r="E88" t="s">
        <v>560</v>
      </c>
      <c r="F88">
        <v>7.17E-8</v>
      </c>
      <c r="G88" t="s">
        <v>447</v>
      </c>
      <c r="H88" t="s">
        <v>570</v>
      </c>
      <c r="I88" t="s">
        <v>5</v>
      </c>
      <c r="J88" t="s">
        <v>580</v>
      </c>
      <c r="K88">
        <v>4.29E-8</v>
      </c>
      <c r="L88" t="s">
        <v>590</v>
      </c>
      <c r="M88" t="s">
        <v>600</v>
      </c>
      <c r="N88" t="s">
        <v>6</v>
      </c>
      <c r="O88" t="s">
        <v>610</v>
      </c>
      <c r="P88">
        <v>2.4699999999999999E-8</v>
      </c>
      <c r="Q88" t="s">
        <v>748</v>
      </c>
      <c r="R88" t="s">
        <v>652</v>
      </c>
      <c r="S88" t="s">
        <v>17</v>
      </c>
      <c r="T88" t="s">
        <v>661</v>
      </c>
      <c r="U88">
        <v>4.1899999999999998E-9</v>
      </c>
      <c r="V88" t="s">
        <v>708</v>
      </c>
      <c r="W88" t="s">
        <v>627</v>
      </c>
      <c r="X88" t="s">
        <v>18</v>
      </c>
      <c r="Y88" t="s">
        <v>635</v>
      </c>
      <c r="Z88">
        <v>4.1899999999999998E-9</v>
      </c>
      <c r="AA88" t="s">
        <v>618</v>
      </c>
      <c r="AB88" t="s">
        <v>627</v>
      </c>
      <c r="AC88" t="s">
        <v>19</v>
      </c>
      <c r="AD88" t="s">
        <v>635</v>
      </c>
      <c r="AE88">
        <v>4.1899999999999998E-9</v>
      </c>
      <c r="AH88" t="s">
        <v>20</v>
      </c>
      <c r="AJ88">
        <v>4.1899999999999998E-9</v>
      </c>
      <c r="AM88" t="s">
        <v>21</v>
      </c>
      <c r="AO88">
        <v>4.1899999999999998E-9</v>
      </c>
      <c r="AR88" t="s">
        <v>22</v>
      </c>
      <c r="AT88">
        <v>4.1899999999999998E-9</v>
      </c>
      <c r="AW88" t="s">
        <v>23</v>
      </c>
      <c r="AY88">
        <v>4.1899999999999998E-9</v>
      </c>
      <c r="BB88" t="s">
        <v>24</v>
      </c>
      <c r="BD88">
        <v>4.1899999999999998E-9</v>
      </c>
      <c r="BG88" t="s">
        <v>25</v>
      </c>
      <c r="BI88">
        <v>4.1899999999999998E-9</v>
      </c>
      <c r="BL88" t="s">
        <v>26</v>
      </c>
      <c r="BN88">
        <v>4.1899999999999998E-9</v>
      </c>
      <c r="BO88" t="str">
        <f t="shared" si="8"/>
        <v>Firma Test9. Test099.3 Test09 (E+3L+A)</v>
      </c>
      <c r="BP88" t="str">
        <f t="shared" si="9"/>
        <v>Firma Test9. Test09</v>
      </c>
    </row>
    <row r="89" spans="1:68">
      <c r="A89" t="s">
        <v>103</v>
      </c>
      <c r="B89" t="s">
        <v>832</v>
      </c>
      <c r="C89" t="s">
        <v>836</v>
      </c>
      <c r="D89" t="s">
        <v>551</v>
      </c>
      <c r="E89" t="s">
        <v>561</v>
      </c>
      <c r="F89">
        <v>7.17E-8</v>
      </c>
      <c r="G89" t="s">
        <v>448</v>
      </c>
      <c r="H89" t="s">
        <v>571</v>
      </c>
      <c r="I89" t="s">
        <v>5</v>
      </c>
      <c r="J89" t="s">
        <v>581</v>
      </c>
      <c r="K89">
        <v>4.29E-8</v>
      </c>
      <c r="L89" t="s">
        <v>591</v>
      </c>
      <c r="M89" t="s">
        <v>601</v>
      </c>
      <c r="N89" t="s">
        <v>6</v>
      </c>
      <c r="O89" t="s">
        <v>611</v>
      </c>
      <c r="P89">
        <v>2.4699999999999999E-8</v>
      </c>
      <c r="Q89" t="s">
        <v>749</v>
      </c>
      <c r="R89" t="s">
        <v>653</v>
      </c>
      <c r="S89" t="s">
        <v>17</v>
      </c>
      <c r="T89" t="s">
        <v>662</v>
      </c>
      <c r="U89">
        <v>4.1899999999999998E-9</v>
      </c>
      <c r="V89" t="s">
        <v>709</v>
      </c>
      <c r="W89" t="s">
        <v>628</v>
      </c>
      <c r="X89" t="s">
        <v>18</v>
      </c>
      <c r="Y89" t="s">
        <v>636</v>
      </c>
      <c r="Z89">
        <v>4.1899999999999998E-9</v>
      </c>
      <c r="AA89" t="s">
        <v>619</v>
      </c>
      <c r="AB89" t="s">
        <v>628</v>
      </c>
      <c r="AC89" t="s">
        <v>19</v>
      </c>
      <c r="AD89" t="s">
        <v>636</v>
      </c>
      <c r="AE89">
        <v>4.1899999999999998E-9</v>
      </c>
      <c r="AF89" t="s">
        <v>619</v>
      </c>
      <c r="AG89" t="s">
        <v>628</v>
      </c>
      <c r="AH89" t="s">
        <v>20</v>
      </c>
      <c r="AI89" t="s">
        <v>636</v>
      </c>
      <c r="AJ89">
        <v>4.1899999999999998E-9</v>
      </c>
      <c r="AM89" t="s">
        <v>21</v>
      </c>
      <c r="AO89">
        <v>4.1899999999999998E-9</v>
      </c>
      <c r="AR89" t="s">
        <v>22</v>
      </c>
      <c r="AT89">
        <v>4.1899999999999998E-9</v>
      </c>
      <c r="AW89" t="s">
        <v>23</v>
      </c>
      <c r="AY89">
        <v>4.1899999999999998E-9</v>
      </c>
      <c r="BB89" t="s">
        <v>24</v>
      </c>
      <c r="BD89">
        <v>4.1899999999999998E-9</v>
      </c>
      <c r="BG89" t="s">
        <v>25</v>
      </c>
      <c r="BI89">
        <v>4.1899999999999998E-9</v>
      </c>
      <c r="BL89" t="s">
        <v>26</v>
      </c>
      <c r="BN89">
        <v>4.1899999999999998E-9</v>
      </c>
      <c r="BO89" t="str">
        <f t="shared" si="8"/>
        <v>Firma Test9. Test099.4 Test09 (E+4L+A)</v>
      </c>
      <c r="BP89" t="str">
        <f t="shared" si="9"/>
        <v>Firma Test9. Test09</v>
      </c>
    </row>
    <row r="90" spans="1:68">
      <c r="A90" t="s">
        <v>103</v>
      </c>
      <c r="B90" t="s">
        <v>832</v>
      </c>
      <c r="C90" t="s">
        <v>837</v>
      </c>
      <c r="D90" t="s">
        <v>552</v>
      </c>
      <c r="E90" t="s">
        <v>562</v>
      </c>
      <c r="F90">
        <v>7.17E-8</v>
      </c>
      <c r="G90" t="s">
        <v>449</v>
      </c>
      <c r="H90" t="s">
        <v>572</v>
      </c>
      <c r="I90" t="s">
        <v>5</v>
      </c>
      <c r="J90" t="s">
        <v>582</v>
      </c>
      <c r="K90">
        <v>4.29E-8</v>
      </c>
      <c r="L90" t="s">
        <v>592</v>
      </c>
      <c r="M90" t="s">
        <v>602</v>
      </c>
      <c r="N90" t="s">
        <v>6</v>
      </c>
      <c r="O90" t="s">
        <v>612</v>
      </c>
      <c r="P90">
        <v>2.4699999999999999E-8</v>
      </c>
      <c r="Q90" t="s">
        <v>750</v>
      </c>
      <c r="R90" t="s">
        <v>654</v>
      </c>
      <c r="S90" t="s">
        <v>17</v>
      </c>
      <c r="T90" t="s">
        <v>663</v>
      </c>
      <c r="U90">
        <v>4.1899999999999998E-9</v>
      </c>
      <c r="V90" t="s">
        <v>710</v>
      </c>
      <c r="W90" t="s">
        <v>629</v>
      </c>
      <c r="X90" t="s">
        <v>18</v>
      </c>
      <c r="Y90" t="s">
        <v>637</v>
      </c>
      <c r="Z90">
        <v>4.1899999999999998E-9</v>
      </c>
      <c r="AA90" t="s">
        <v>620</v>
      </c>
      <c r="AB90" t="s">
        <v>629</v>
      </c>
      <c r="AC90" t="s">
        <v>19</v>
      </c>
      <c r="AD90" t="s">
        <v>637</v>
      </c>
      <c r="AE90">
        <v>4.1899999999999998E-9</v>
      </c>
      <c r="AF90" t="s">
        <v>620</v>
      </c>
      <c r="AG90" t="s">
        <v>629</v>
      </c>
      <c r="AH90" t="s">
        <v>20</v>
      </c>
      <c r="AI90" t="s">
        <v>637</v>
      </c>
      <c r="AJ90">
        <v>4.1899999999999998E-9</v>
      </c>
      <c r="AK90" t="s">
        <v>620</v>
      </c>
      <c r="AL90" t="s">
        <v>648</v>
      </c>
      <c r="AM90" t="s">
        <v>21</v>
      </c>
      <c r="AN90" t="s">
        <v>252</v>
      </c>
      <c r="AO90">
        <v>4.1899999999999998E-9</v>
      </c>
      <c r="AR90" t="s">
        <v>22</v>
      </c>
      <c r="AT90">
        <v>4.1899999999999998E-9</v>
      </c>
      <c r="AW90" t="s">
        <v>23</v>
      </c>
      <c r="AY90">
        <v>4.1899999999999998E-9</v>
      </c>
      <c r="BB90" t="s">
        <v>24</v>
      </c>
      <c r="BD90">
        <v>4.1899999999999998E-9</v>
      </c>
      <c r="BG90" t="s">
        <v>25</v>
      </c>
      <c r="BI90">
        <v>4.1899999999999998E-9</v>
      </c>
      <c r="BL90" t="s">
        <v>26</v>
      </c>
      <c r="BN90">
        <v>4.1899999999999998E-9</v>
      </c>
      <c r="BO90" t="str">
        <f t="shared" si="8"/>
        <v>Firma Test9. Test099.5 Test09 (E+5L+A)</v>
      </c>
      <c r="BP90" t="str">
        <f t="shared" si="9"/>
        <v>Firma Test9. Test09</v>
      </c>
    </row>
    <row r="91" spans="1:68">
      <c r="A91" t="s">
        <v>103</v>
      </c>
      <c r="B91" t="s">
        <v>832</v>
      </c>
      <c r="C91" t="s">
        <v>838</v>
      </c>
      <c r="D91" t="s">
        <v>553</v>
      </c>
      <c r="E91" t="s">
        <v>563</v>
      </c>
      <c r="F91">
        <v>7.17E-8</v>
      </c>
      <c r="G91" t="s">
        <v>450</v>
      </c>
      <c r="H91" t="s">
        <v>573</v>
      </c>
      <c r="I91" t="s">
        <v>5</v>
      </c>
      <c r="J91" t="s">
        <v>583</v>
      </c>
      <c r="K91">
        <v>4.29E-8</v>
      </c>
      <c r="L91" t="s">
        <v>593</v>
      </c>
      <c r="M91" t="s">
        <v>603</v>
      </c>
      <c r="N91" t="s">
        <v>6</v>
      </c>
      <c r="O91" t="s">
        <v>613</v>
      </c>
      <c r="P91">
        <v>2.4699999999999999E-8</v>
      </c>
      <c r="Q91" t="s">
        <v>751</v>
      </c>
      <c r="R91" t="s">
        <v>655</v>
      </c>
      <c r="S91" t="s">
        <v>17</v>
      </c>
      <c r="T91" t="s">
        <v>664</v>
      </c>
      <c r="U91">
        <v>4.1899999999999998E-9</v>
      </c>
      <c r="V91" t="s">
        <v>711</v>
      </c>
      <c r="W91" t="s">
        <v>630</v>
      </c>
      <c r="X91" t="s">
        <v>18</v>
      </c>
      <c r="Y91" t="s">
        <v>638</v>
      </c>
      <c r="Z91">
        <v>4.1899999999999998E-9</v>
      </c>
      <c r="AA91" t="s">
        <v>621</v>
      </c>
      <c r="AB91" t="s">
        <v>630</v>
      </c>
      <c r="AC91" t="s">
        <v>19</v>
      </c>
      <c r="AD91" t="s">
        <v>638</v>
      </c>
      <c r="AE91">
        <v>4.1899999999999998E-9</v>
      </c>
      <c r="AF91" t="s">
        <v>621</v>
      </c>
      <c r="AG91" t="s">
        <v>630</v>
      </c>
      <c r="AH91" t="s">
        <v>20</v>
      </c>
      <c r="AI91" t="s">
        <v>638</v>
      </c>
      <c r="AJ91">
        <v>4.1899999999999998E-9</v>
      </c>
      <c r="AK91" t="s">
        <v>621</v>
      </c>
      <c r="AL91" t="s">
        <v>509</v>
      </c>
      <c r="AM91" t="s">
        <v>21</v>
      </c>
      <c r="AN91" t="s">
        <v>253</v>
      </c>
      <c r="AO91">
        <v>4.1899999999999998E-9</v>
      </c>
      <c r="AP91" t="s">
        <v>505</v>
      </c>
      <c r="AQ91" t="s">
        <v>509</v>
      </c>
      <c r="AR91" t="s">
        <v>22</v>
      </c>
      <c r="AS91" t="s">
        <v>513</v>
      </c>
      <c r="AT91">
        <v>4.1899999999999998E-9</v>
      </c>
      <c r="AW91" t="s">
        <v>23</v>
      </c>
      <c r="AY91">
        <v>4.1899999999999998E-9</v>
      </c>
      <c r="BB91" t="s">
        <v>24</v>
      </c>
      <c r="BD91">
        <v>4.1899999999999998E-9</v>
      </c>
      <c r="BG91" t="s">
        <v>25</v>
      </c>
      <c r="BI91">
        <v>4.1899999999999998E-9</v>
      </c>
      <c r="BL91" t="s">
        <v>26</v>
      </c>
      <c r="BN91">
        <v>4.1899999999999998E-9</v>
      </c>
      <c r="BO91" t="str">
        <f t="shared" si="8"/>
        <v>Firma Test9. Test099.6 Test09 (E+6L+A)</v>
      </c>
      <c r="BP91" t="str">
        <f t="shared" si="9"/>
        <v>Firma Test9. Test09</v>
      </c>
    </row>
    <row r="92" spans="1:68">
      <c r="A92" t="s">
        <v>103</v>
      </c>
      <c r="B92" t="s">
        <v>832</v>
      </c>
      <c r="C92" t="s">
        <v>839</v>
      </c>
      <c r="D92" t="s">
        <v>554</v>
      </c>
      <c r="E92" t="s">
        <v>564</v>
      </c>
      <c r="F92">
        <v>7.17E-8</v>
      </c>
      <c r="G92" t="s">
        <v>451</v>
      </c>
      <c r="H92" t="s">
        <v>574</v>
      </c>
      <c r="I92" t="s">
        <v>5</v>
      </c>
      <c r="J92" t="s">
        <v>584</v>
      </c>
      <c r="K92">
        <v>4.29E-8</v>
      </c>
      <c r="L92" t="s">
        <v>594</v>
      </c>
      <c r="M92" t="s">
        <v>604</v>
      </c>
      <c r="N92" t="s">
        <v>6</v>
      </c>
      <c r="O92" t="s">
        <v>614</v>
      </c>
      <c r="P92">
        <v>2.4699999999999999E-8</v>
      </c>
      <c r="Q92" t="s">
        <v>752</v>
      </c>
      <c r="R92" t="s">
        <v>656</v>
      </c>
      <c r="S92" t="s">
        <v>17</v>
      </c>
      <c r="T92" t="s">
        <v>665</v>
      </c>
      <c r="U92">
        <v>4.1899999999999998E-9</v>
      </c>
      <c r="V92" t="s">
        <v>712</v>
      </c>
      <c r="W92" t="s">
        <v>631</v>
      </c>
      <c r="X92" t="s">
        <v>18</v>
      </c>
      <c r="Y92" t="s">
        <v>639</v>
      </c>
      <c r="Z92">
        <v>4.1899999999999998E-9</v>
      </c>
      <c r="AA92" t="s">
        <v>622</v>
      </c>
      <c r="AB92" t="s">
        <v>631</v>
      </c>
      <c r="AC92" t="s">
        <v>19</v>
      </c>
      <c r="AD92" t="s">
        <v>639</v>
      </c>
      <c r="AE92">
        <v>4.1899999999999998E-9</v>
      </c>
      <c r="AF92" t="s">
        <v>622</v>
      </c>
      <c r="AG92" t="s">
        <v>631</v>
      </c>
      <c r="AH92" t="s">
        <v>20</v>
      </c>
      <c r="AI92" t="s">
        <v>639</v>
      </c>
      <c r="AJ92">
        <v>4.1899999999999998E-9</v>
      </c>
      <c r="AK92" t="s">
        <v>622</v>
      </c>
      <c r="AL92" t="s">
        <v>510</v>
      </c>
      <c r="AM92" t="s">
        <v>21</v>
      </c>
      <c r="AN92" t="s">
        <v>254</v>
      </c>
      <c r="AO92">
        <v>4.1899999999999998E-9</v>
      </c>
      <c r="AP92" t="s">
        <v>506</v>
      </c>
      <c r="AQ92" t="s">
        <v>510</v>
      </c>
      <c r="AR92" t="s">
        <v>22</v>
      </c>
      <c r="AS92" t="s">
        <v>514</v>
      </c>
      <c r="AT92">
        <v>4.1899999999999998E-9</v>
      </c>
      <c r="AU92" t="s">
        <v>506</v>
      </c>
      <c r="AV92" t="s">
        <v>510</v>
      </c>
      <c r="AW92" t="s">
        <v>23</v>
      </c>
      <c r="AX92" t="s">
        <v>514</v>
      </c>
      <c r="AY92">
        <v>4.1899999999999998E-9</v>
      </c>
      <c r="BB92" t="s">
        <v>24</v>
      </c>
      <c r="BD92">
        <v>4.1899999999999998E-9</v>
      </c>
      <c r="BG92" t="s">
        <v>25</v>
      </c>
      <c r="BI92">
        <v>4.1899999999999998E-9</v>
      </c>
      <c r="BL92" t="s">
        <v>26</v>
      </c>
      <c r="BN92">
        <v>4.1899999999999998E-9</v>
      </c>
      <c r="BO92" t="str">
        <f t="shared" si="8"/>
        <v>Firma Test9. Test099.7 Test09 (E+7L+A)</v>
      </c>
      <c r="BP92" t="str">
        <f t="shared" si="9"/>
        <v>Firma Test9. Test09</v>
      </c>
    </row>
    <row r="93" spans="1:68">
      <c r="A93" t="s">
        <v>103</v>
      </c>
      <c r="B93" t="s">
        <v>832</v>
      </c>
      <c r="C93" t="s">
        <v>840</v>
      </c>
      <c r="D93" t="s">
        <v>555</v>
      </c>
      <c r="E93" t="s">
        <v>565</v>
      </c>
      <c r="F93">
        <v>7.17E-8</v>
      </c>
      <c r="G93" t="s">
        <v>452</v>
      </c>
      <c r="H93" t="s">
        <v>575</v>
      </c>
      <c r="I93" t="s">
        <v>5</v>
      </c>
      <c r="J93" t="s">
        <v>585</v>
      </c>
      <c r="K93">
        <v>4.29E-8</v>
      </c>
      <c r="L93" t="s">
        <v>595</v>
      </c>
      <c r="M93" t="s">
        <v>605</v>
      </c>
      <c r="N93" t="s">
        <v>6</v>
      </c>
      <c r="O93" t="s">
        <v>615</v>
      </c>
      <c r="P93">
        <v>2.4699999999999999E-8</v>
      </c>
      <c r="Q93" t="s">
        <v>753</v>
      </c>
      <c r="R93" t="s">
        <v>657</v>
      </c>
      <c r="S93" t="s">
        <v>17</v>
      </c>
      <c r="T93" t="s">
        <v>666</v>
      </c>
      <c r="U93">
        <v>4.1899999999999998E-9</v>
      </c>
      <c r="V93" t="s">
        <v>713</v>
      </c>
      <c r="W93" t="s">
        <v>632</v>
      </c>
      <c r="X93" t="s">
        <v>18</v>
      </c>
      <c r="Y93" t="s">
        <v>640</v>
      </c>
      <c r="Z93">
        <v>4.1899999999999998E-9</v>
      </c>
      <c r="AA93" t="s">
        <v>623</v>
      </c>
      <c r="AB93" t="s">
        <v>632</v>
      </c>
      <c r="AC93" t="s">
        <v>19</v>
      </c>
      <c r="AD93" t="s">
        <v>640</v>
      </c>
      <c r="AE93">
        <v>4.1899999999999998E-9</v>
      </c>
      <c r="AF93" t="s">
        <v>623</v>
      </c>
      <c r="AG93" t="s">
        <v>632</v>
      </c>
      <c r="AH93" t="s">
        <v>20</v>
      </c>
      <c r="AI93" t="s">
        <v>640</v>
      </c>
      <c r="AJ93">
        <v>4.1899999999999998E-9</v>
      </c>
      <c r="AK93" t="s">
        <v>623</v>
      </c>
      <c r="AL93" t="s">
        <v>511</v>
      </c>
      <c r="AM93" t="s">
        <v>22</v>
      </c>
      <c r="AN93" t="s">
        <v>255</v>
      </c>
      <c r="AO93">
        <v>4.1899999999999998E-9</v>
      </c>
      <c r="AP93" t="s">
        <v>507</v>
      </c>
      <c r="AQ93" t="s">
        <v>511</v>
      </c>
      <c r="AR93" t="s">
        <v>22</v>
      </c>
      <c r="AS93" t="s">
        <v>515</v>
      </c>
      <c r="AT93">
        <v>4.1899999999999998E-9</v>
      </c>
      <c r="AU93" t="s">
        <v>507</v>
      </c>
      <c r="AV93" t="s">
        <v>511</v>
      </c>
      <c r="AW93" t="s">
        <v>23</v>
      </c>
      <c r="AX93" t="s">
        <v>515</v>
      </c>
      <c r="AY93">
        <v>4.1899999999999998E-9</v>
      </c>
      <c r="AZ93" t="s">
        <v>521</v>
      </c>
      <c r="BA93" t="s">
        <v>511</v>
      </c>
      <c r="BB93" t="s">
        <v>24</v>
      </c>
      <c r="BC93" t="s">
        <v>515</v>
      </c>
      <c r="BD93">
        <v>4.1899999999999998E-9</v>
      </c>
      <c r="BG93" t="s">
        <v>25</v>
      </c>
      <c r="BI93">
        <v>4.1899999999999998E-9</v>
      </c>
      <c r="BL93" t="s">
        <v>26</v>
      </c>
      <c r="BN93">
        <v>4.1899999999999998E-9</v>
      </c>
      <c r="BO93" t="str">
        <f t="shared" si="8"/>
        <v>Firma Test9. Test099.8 Test09 (E+8L+A)</v>
      </c>
      <c r="BP93" t="str">
        <f t="shared" si="9"/>
        <v>Firma Test9. Test09</v>
      </c>
    </row>
    <row r="94" spans="1:68">
      <c r="A94" t="s">
        <v>103</v>
      </c>
      <c r="B94" t="s">
        <v>832</v>
      </c>
      <c r="C94" t="s">
        <v>841</v>
      </c>
      <c r="D94" t="s">
        <v>556</v>
      </c>
      <c r="E94" t="s">
        <v>566</v>
      </c>
      <c r="F94">
        <v>7.17E-8</v>
      </c>
      <c r="G94" t="s">
        <v>453</v>
      </c>
      <c r="H94" t="s">
        <v>576</v>
      </c>
      <c r="I94" t="s">
        <v>5</v>
      </c>
      <c r="J94" t="s">
        <v>586</v>
      </c>
      <c r="K94">
        <v>4.29E-8</v>
      </c>
      <c r="L94" t="s">
        <v>596</v>
      </c>
      <c r="M94" t="s">
        <v>606</v>
      </c>
      <c r="N94" t="s">
        <v>6</v>
      </c>
      <c r="O94" t="s">
        <v>616</v>
      </c>
      <c r="P94">
        <v>2.4699999999999999E-8</v>
      </c>
      <c r="Q94" t="s">
        <v>754</v>
      </c>
      <c r="R94" t="s">
        <v>658</v>
      </c>
      <c r="S94" t="s">
        <v>17</v>
      </c>
      <c r="T94" t="s">
        <v>667</v>
      </c>
      <c r="U94">
        <v>4.1899999999999998E-9</v>
      </c>
      <c r="V94" t="s">
        <v>714</v>
      </c>
      <c r="W94" t="s">
        <v>633</v>
      </c>
      <c r="X94" t="s">
        <v>18</v>
      </c>
      <c r="Y94" t="s">
        <v>641</v>
      </c>
      <c r="Z94">
        <v>4.1899999999999998E-9</v>
      </c>
      <c r="AA94" t="s">
        <v>624</v>
      </c>
      <c r="AB94" t="s">
        <v>633</v>
      </c>
      <c r="AC94" t="s">
        <v>19</v>
      </c>
      <c r="AD94" t="s">
        <v>641</v>
      </c>
      <c r="AE94">
        <v>4.1899999999999998E-9</v>
      </c>
      <c r="AF94" t="s">
        <v>624</v>
      </c>
      <c r="AG94" t="s">
        <v>633</v>
      </c>
      <c r="AH94" t="s">
        <v>20</v>
      </c>
      <c r="AI94" t="s">
        <v>641</v>
      </c>
      <c r="AJ94">
        <v>4.1899999999999998E-9</v>
      </c>
      <c r="AK94" t="s">
        <v>624</v>
      </c>
      <c r="AL94" t="s">
        <v>512</v>
      </c>
      <c r="AM94" t="s">
        <v>23</v>
      </c>
      <c r="AN94" t="s">
        <v>256</v>
      </c>
      <c r="AO94">
        <v>4.1899999999999998E-9</v>
      </c>
      <c r="AP94" t="s">
        <v>508</v>
      </c>
      <c r="AQ94" t="s">
        <v>512</v>
      </c>
      <c r="AR94" t="s">
        <v>22</v>
      </c>
      <c r="AS94" t="s">
        <v>516</v>
      </c>
      <c r="AT94">
        <v>4.1899999999999998E-9</v>
      </c>
      <c r="AU94" t="s">
        <v>508</v>
      </c>
      <c r="AV94" t="s">
        <v>512</v>
      </c>
      <c r="AW94" t="s">
        <v>23</v>
      </c>
      <c r="AX94" t="s">
        <v>516</v>
      </c>
      <c r="AY94">
        <v>4.1899999999999998E-9</v>
      </c>
      <c r="AZ94" t="s">
        <v>522</v>
      </c>
      <c r="BA94" t="s">
        <v>512</v>
      </c>
      <c r="BB94" t="s">
        <v>24</v>
      </c>
      <c r="BC94" t="s">
        <v>516</v>
      </c>
      <c r="BD94">
        <v>4.1899999999999998E-9</v>
      </c>
      <c r="BE94" t="s">
        <v>508</v>
      </c>
      <c r="BF94" t="s">
        <v>512</v>
      </c>
      <c r="BG94" t="s">
        <v>25</v>
      </c>
      <c r="BH94" t="s">
        <v>516</v>
      </c>
      <c r="BI94">
        <v>4.1899999999999998E-9</v>
      </c>
      <c r="BL94" t="s">
        <v>26</v>
      </c>
      <c r="BN94">
        <v>4.1899999999999998E-9</v>
      </c>
      <c r="BO94" t="str">
        <f t="shared" si="8"/>
        <v>Firma Test9. Test099.9 Test09 (E+9L+A)</v>
      </c>
      <c r="BP94" t="str">
        <f t="shared" si="9"/>
        <v>Firma Test9. Test09</v>
      </c>
    </row>
    <row r="95" spans="1:68">
      <c r="A95" t="s">
        <v>103</v>
      </c>
      <c r="B95" t="s">
        <v>832</v>
      </c>
      <c r="C95" t="s">
        <v>842</v>
      </c>
      <c r="D95" t="s">
        <v>557</v>
      </c>
      <c r="E95" t="s">
        <v>567</v>
      </c>
      <c r="F95">
        <v>7.17E-8</v>
      </c>
      <c r="G95" t="s">
        <v>454</v>
      </c>
      <c r="H95" t="s">
        <v>577</v>
      </c>
      <c r="I95" t="s">
        <v>5</v>
      </c>
      <c r="J95" t="s">
        <v>587</v>
      </c>
      <c r="K95">
        <v>4.29E-8</v>
      </c>
      <c r="L95" t="s">
        <v>597</v>
      </c>
      <c r="M95" t="s">
        <v>607</v>
      </c>
      <c r="N95" t="s">
        <v>6</v>
      </c>
      <c r="O95" t="s">
        <v>617</v>
      </c>
      <c r="P95">
        <v>2.4699999999999999E-8</v>
      </c>
      <c r="Q95" t="s">
        <v>755</v>
      </c>
      <c r="R95" t="s">
        <v>649</v>
      </c>
      <c r="S95" t="s">
        <v>17</v>
      </c>
      <c r="T95" t="s">
        <v>668</v>
      </c>
      <c r="U95">
        <v>4.1899999999999998E-9</v>
      </c>
      <c r="V95" t="s">
        <v>715</v>
      </c>
      <c r="W95" t="s">
        <v>259</v>
      </c>
      <c r="X95" t="s">
        <v>18</v>
      </c>
      <c r="Y95" t="s">
        <v>260</v>
      </c>
      <c r="Z95">
        <v>4.1899999999999998E-9</v>
      </c>
      <c r="AA95" t="s">
        <v>625</v>
      </c>
      <c r="AB95" t="s">
        <v>259</v>
      </c>
      <c r="AC95" t="s">
        <v>19</v>
      </c>
      <c r="AD95" t="s">
        <v>260</v>
      </c>
      <c r="AE95">
        <v>4.1899999999999998E-9</v>
      </c>
      <c r="AF95" t="s">
        <v>625</v>
      </c>
      <c r="AG95" t="s">
        <v>259</v>
      </c>
      <c r="AH95" t="s">
        <v>20</v>
      </c>
      <c r="AI95" t="s">
        <v>260</v>
      </c>
      <c r="AJ95">
        <v>4.1899999999999998E-9</v>
      </c>
      <c r="AK95" t="s">
        <v>625</v>
      </c>
      <c r="AL95" t="s">
        <v>249</v>
      </c>
      <c r="AM95" t="s">
        <v>24</v>
      </c>
      <c r="AN95" t="s">
        <v>257</v>
      </c>
      <c r="AO95">
        <v>4.1899999999999998E-9</v>
      </c>
      <c r="AP95" t="s">
        <v>241</v>
      </c>
      <c r="AQ95" t="s">
        <v>249</v>
      </c>
      <c r="AR95" t="s">
        <v>22</v>
      </c>
      <c r="AS95" t="s">
        <v>257</v>
      </c>
      <c r="AT95">
        <v>4.1899999999999998E-9</v>
      </c>
      <c r="AU95" t="s">
        <v>241</v>
      </c>
      <c r="AV95" t="s">
        <v>249</v>
      </c>
      <c r="AW95" t="s">
        <v>23</v>
      </c>
      <c r="AX95" t="s">
        <v>257</v>
      </c>
      <c r="AY95">
        <v>4.1899999999999998E-9</v>
      </c>
      <c r="AZ95" t="s">
        <v>523</v>
      </c>
      <c r="BA95" t="s">
        <v>249</v>
      </c>
      <c r="BB95" t="s">
        <v>24</v>
      </c>
      <c r="BC95" t="s">
        <v>257</v>
      </c>
      <c r="BD95">
        <v>4.1899999999999998E-9</v>
      </c>
      <c r="BE95" t="s">
        <v>241</v>
      </c>
      <c r="BF95" t="s">
        <v>249</v>
      </c>
      <c r="BG95" t="s">
        <v>25</v>
      </c>
      <c r="BH95" t="s">
        <v>257</v>
      </c>
      <c r="BI95">
        <v>4.1899999999999998E-9</v>
      </c>
      <c r="BJ95" t="s">
        <v>517</v>
      </c>
      <c r="BK95" t="s">
        <v>249</v>
      </c>
      <c r="BL95" t="s">
        <v>26</v>
      </c>
      <c r="BM95" t="s">
        <v>257</v>
      </c>
      <c r="BN95">
        <v>4.1899999999999998E-9</v>
      </c>
      <c r="BO95" t="str">
        <f t="shared" si="8"/>
        <v>Firma Test9. Test099.10 Test09 (E+10L+A)</v>
      </c>
      <c r="BP95" t="str">
        <f t="shared" si="9"/>
        <v>Firma Test9. Test09</v>
      </c>
    </row>
    <row r="96" spans="1:68">
      <c r="A96" t="s">
        <v>103</v>
      </c>
      <c r="B96" t="s">
        <v>843</v>
      </c>
      <c r="C96" t="s">
        <v>844</v>
      </c>
      <c r="D96" t="s">
        <v>548</v>
      </c>
      <c r="E96" t="s">
        <v>558</v>
      </c>
      <c r="F96">
        <v>7.17E-8</v>
      </c>
      <c r="G96" t="s">
        <v>424</v>
      </c>
      <c r="H96" t="s">
        <v>568</v>
      </c>
      <c r="I96" t="s">
        <v>5</v>
      </c>
      <c r="J96" t="s">
        <v>578</v>
      </c>
      <c r="K96">
        <v>4.29E-8</v>
      </c>
      <c r="L96" t="s">
        <v>588</v>
      </c>
      <c r="M96" t="s">
        <v>598</v>
      </c>
      <c r="N96" t="s">
        <v>6</v>
      </c>
      <c r="O96" t="s">
        <v>608</v>
      </c>
      <c r="P96">
        <v>2.4699999999999999E-8</v>
      </c>
      <c r="Q96" t="s">
        <v>746</v>
      </c>
      <c r="R96" t="s">
        <v>650</v>
      </c>
      <c r="S96" t="s">
        <v>17</v>
      </c>
      <c r="T96" t="s">
        <v>659</v>
      </c>
      <c r="U96">
        <v>4.1899999999999998E-9</v>
      </c>
      <c r="X96" t="s">
        <v>18</v>
      </c>
      <c r="Z96">
        <v>4.1899999999999998E-9</v>
      </c>
      <c r="AE96">
        <v>4.1899999999999998E-9</v>
      </c>
      <c r="AH96" t="s">
        <v>20</v>
      </c>
      <c r="AJ96">
        <v>4.1899999999999998E-9</v>
      </c>
      <c r="AM96" t="s">
        <v>21</v>
      </c>
      <c r="AO96">
        <v>4.1899999999999998E-9</v>
      </c>
      <c r="AR96" t="s">
        <v>22</v>
      </c>
      <c r="AT96">
        <v>4.1899999999999998E-9</v>
      </c>
      <c r="AW96" t="s">
        <v>23</v>
      </c>
      <c r="AY96">
        <v>4.1899999999999998E-9</v>
      </c>
      <c r="BB96" t="s">
        <v>24</v>
      </c>
      <c r="BD96">
        <v>4.1899999999999998E-9</v>
      </c>
      <c r="BG96" t="s">
        <v>25</v>
      </c>
      <c r="BI96">
        <v>4.1899999999999998E-9</v>
      </c>
      <c r="BL96" t="s">
        <v>26</v>
      </c>
      <c r="BN96">
        <v>4.1899999999999998E-9</v>
      </c>
      <c r="BO96" t="str">
        <f t="shared" si="8"/>
        <v>Firma Test10. Test1010.1 Test10 (E+1L+A)</v>
      </c>
      <c r="BP96" t="str">
        <f t="shared" si="9"/>
        <v>Firma Test10. Test10</v>
      </c>
    </row>
    <row r="97" spans="1:68">
      <c r="A97" t="s">
        <v>103</v>
      </c>
      <c r="B97" t="s">
        <v>843</v>
      </c>
      <c r="C97" t="s">
        <v>845</v>
      </c>
      <c r="D97" t="s">
        <v>549</v>
      </c>
      <c r="E97" t="s">
        <v>559</v>
      </c>
      <c r="F97">
        <v>7.17E-8</v>
      </c>
      <c r="G97" t="s">
        <v>446</v>
      </c>
      <c r="H97" t="s">
        <v>569</v>
      </c>
      <c r="I97" t="s">
        <v>5</v>
      </c>
      <c r="J97" t="s">
        <v>579</v>
      </c>
      <c r="K97">
        <v>4.29E-8</v>
      </c>
      <c r="L97" t="s">
        <v>589</v>
      </c>
      <c r="M97" t="s">
        <v>599</v>
      </c>
      <c r="N97" t="s">
        <v>6</v>
      </c>
      <c r="O97" t="s">
        <v>609</v>
      </c>
      <c r="P97">
        <v>2.4699999999999999E-8</v>
      </c>
      <c r="Q97" t="s">
        <v>747</v>
      </c>
      <c r="R97" t="s">
        <v>651</v>
      </c>
      <c r="S97" t="s">
        <v>17</v>
      </c>
      <c r="T97" t="s">
        <v>660</v>
      </c>
      <c r="U97">
        <v>4.1899999999999998E-9</v>
      </c>
      <c r="V97" t="s">
        <v>707</v>
      </c>
      <c r="W97" t="s">
        <v>626</v>
      </c>
      <c r="X97" t="s">
        <v>18</v>
      </c>
      <c r="Y97" t="s">
        <v>634</v>
      </c>
      <c r="Z97">
        <v>4.1899999999999998E-9</v>
      </c>
      <c r="AE97">
        <v>4.1899999999999998E-9</v>
      </c>
      <c r="AH97" t="s">
        <v>20</v>
      </c>
      <c r="AJ97">
        <v>4.1899999999999998E-9</v>
      </c>
      <c r="AM97" t="s">
        <v>21</v>
      </c>
      <c r="AO97">
        <v>4.1899999999999998E-9</v>
      </c>
      <c r="AR97" t="s">
        <v>22</v>
      </c>
      <c r="AT97">
        <v>4.1899999999999998E-9</v>
      </c>
      <c r="AW97" t="s">
        <v>23</v>
      </c>
      <c r="AY97">
        <v>4.1899999999999998E-9</v>
      </c>
      <c r="BB97" t="s">
        <v>24</v>
      </c>
      <c r="BD97">
        <v>4.1899999999999998E-9</v>
      </c>
      <c r="BG97" t="s">
        <v>25</v>
      </c>
      <c r="BI97">
        <v>4.1899999999999998E-9</v>
      </c>
      <c r="BL97" t="s">
        <v>26</v>
      </c>
      <c r="BN97">
        <v>4.1899999999999998E-9</v>
      </c>
      <c r="BO97" t="str">
        <f t="shared" si="8"/>
        <v>Firma Test10. Test1010.2 Test10 (E+2L+A)</v>
      </c>
      <c r="BP97" t="str">
        <f t="shared" si="9"/>
        <v>Firma Test10. Test10</v>
      </c>
    </row>
    <row r="98" spans="1:68">
      <c r="A98" t="s">
        <v>103</v>
      </c>
      <c r="B98" t="s">
        <v>843</v>
      </c>
      <c r="C98" t="s">
        <v>846</v>
      </c>
      <c r="D98" t="s">
        <v>550</v>
      </c>
      <c r="E98" t="s">
        <v>560</v>
      </c>
      <c r="F98">
        <v>7.17E-8</v>
      </c>
      <c r="G98" t="s">
        <v>447</v>
      </c>
      <c r="H98" t="s">
        <v>570</v>
      </c>
      <c r="I98" t="s">
        <v>5</v>
      </c>
      <c r="J98" t="s">
        <v>580</v>
      </c>
      <c r="K98">
        <v>4.29E-8</v>
      </c>
      <c r="L98" t="s">
        <v>590</v>
      </c>
      <c r="M98" t="s">
        <v>600</v>
      </c>
      <c r="N98" t="s">
        <v>6</v>
      </c>
      <c r="O98" t="s">
        <v>610</v>
      </c>
      <c r="P98">
        <v>2.4699999999999999E-8</v>
      </c>
      <c r="Q98" t="s">
        <v>748</v>
      </c>
      <c r="R98" t="s">
        <v>652</v>
      </c>
      <c r="S98" t="s">
        <v>17</v>
      </c>
      <c r="T98" t="s">
        <v>661</v>
      </c>
      <c r="U98">
        <v>4.1899999999999998E-9</v>
      </c>
      <c r="V98" t="s">
        <v>708</v>
      </c>
      <c r="W98" t="s">
        <v>627</v>
      </c>
      <c r="X98" t="s">
        <v>18</v>
      </c>
      <c r="Y98" t="s">
        <v>635</v>
      </c>
      <c r="Z98">
        <v>4.1899999999999998E-9</v>
      </c>
      <c r="AA98" t="s">
        <v>618</v>
      </c>
      <c r="AB98" t="s">
        <v>627</v>
      </c>
      <c r="AC98" t="s">
        <v>19</v>
      </c>
      <c r="AD98" t="s">
        <v>635</v>
      </c>
      <c r="AE98">
        <v>4.1899999999999998E-9</v>
      </c>
      <c r="AH98" t="s">
        <v>20</v>
      </c>
      <c r="AJ98">
        <v>4.1899999999999998E-9</v>
      </c>
      <c r="AM98" t="s">
        <v>21</v>
      </c>
      <c r="AO98">
        <v>4.1899999999999998E-9</v>
      </c>
      <c r="AR98" t="s">
        <v>22</v>
      </c>
      <c r="AT98">
        <v>4.1899999999999998E-9</v>
      </c>
      <c r="AW98" t="s">
        <v>23</v>
      </c>
      <c r="AY98">
        <v>4.1899999999999998E-9</v>
      </c>
      <c r="BB98" t="s">
        <v>24</v>
      </c>
      <c r="BD98">
        <v>4.1899999999999998E-9</v>
      </c>
      <c r="BG98" t="s">
        <v>25</v>
      </c>
      <c r="BI98">
        <v>4.1899999999999998E-9</v>
      </c>
      <c r="BL98" t="s">
        <v>26</v>
      </c>
      <c r="BN98">
        <v>4.1899999999999998E-9</v>
      </c>
      <c r="BO98" t="str">
        <f t="shared" si="8"/>
        <v>Firma Test10. Test1010.3 Test10 (E+3L+A)</v>
      </c>
      <c r="BP98" t="str">
        <f t="shared" si="9"/>
        <v>Firma Test10. Test10</v>
      </c>
    </row>
    <row r="99" spans="1:68">
      <c r="A99" t="s">
        <v>103</v>
      </c>
      <c r="B99" t="s">
        <v>843</v>
      </c>
      <c r="C99" t="s">
        <v>847</v>
      </c>
      <c r="D99" t="s">
        <v>551</v>
      </c>
      <c r="E99" t="s">
        <v>561</v>
      </c>
      <c r="F99">
        <v>7.17E-8</v>
      </c>
      <c r="G99" t="s">
        <v>448</v>
      </c>
      <c r="H99" t="s">
        <v>571</v>
      </c>
      <c r="I99" t="s">
        <v>5</v>
      </c>
      <c r="J99" t="s">
        <v>581</v>
      </c>
      <c r="K99">
        <v>4.29E-8</v>
      </c>
      <c r="L99" t="s">
        <v>591</v>
      </c>
      <c r="M99" t="s">
        <v>601</v>
      </c>
      <c r="N99" t="s">
        <v>6</v>
      </c>
      <c r="O99" t="s">
        <v>611</v>
      </c>
      <c r="P99">
        <v>2.4699999999999999E-8</v>
      </c>
      <c r="Q99" t="s">
        <v>749</v>
      </c>
      <c r="R99" t="s">
        <v>653</v>
      </c>
      <c r="S99" t="s">
        <v>17</v>
      </c>
      <c r="T99" t="s">
        <v>662</v>
      </c>
      <c r="U99">
        <v>4.1899999999999998E-9</v>
      </c>
      <c r="V99" t="s">
        <v>709</v>
      </c>
      <c r="W99" t="s">
        <v>628</v>
      </c>
      <c r="X99" t="s">
        <v>18</v>
      </c>
      <c r="Y99" t="s">
        <v>636</v>
      </c>
      <c r="Z99">
        <v>4.1899999999999998E-9</v>
      </c>
      <c r="AA99" t="s">
        <v>619</v>
      </c>
      <c r="AB99" t="s">
        <v>628</v>
      </c>
      <c r="AC99" t="s">
        <v>19</v>
      </c>
      <c r="AD99" t="s">
        <v>636</v>
      </c>
      <c r="AE99">
        <v>4.1899999999999998E-9</v>
      </c>
      <c r="AF99" t="s">
        <v>619</v>
      </c>
      <c r="AG99" t="s">
        <v>628</v>
      </c>
      <c r="AH99" t="s">
        <v>20</v>
      </c>
      <c r="AI99" t="s">
        <v>636</v>
      </c>
      <c r="AJ99">
        <v>4.1899999999999998E-9</v>
      </c>
      <c r="AM99" t="s">
        <v>21</v>
      </c>
      <c r="AO99">
        <v>4.1899999999999998E-9</v>
      </c>
      <c r="AR99" t="s">
        <v>22</v>
      </c>
      <c r="AT99">
        <v>4.1899999999999998E-9</v>
      </c>
      <c r="AW99" t="s">
        <v>23</v>
      </c>
      <c r="AY99">
        <v>4.1899999999999998E-9</v>
      </c>
      <c r="BB99" t="s">
        <v>24</v>
      </c>
      <c r="BD99">
        <v>4.1899999999999998E-9</v>
      </c>
      <c r="BG99" t="s">
        <v>25</v>
      </c>
      <c r="BI99">
        <v>4.1899999999999998E-9</v>
      </c>
      <c r="BL99" t="s">
        <v>26</v>
      </c>
      <c r="BN99">
        <v>4.1899999999999998E-9</v>
      </c>
      <c r="BO99" t="str">
        <f t="shared" si="8"/>
        <v>Firma Test10. Test1010.4 Test10 (E+4L+A)</v>
      </c>
      <c r="BP99" t="str">
        <f t="shared" si="9"/>
        <v>Firma Test10. Test10</v>
      </c>
    </row>
    <row r="100" spans="1:68">
      <c r="A100" t="s">
        <v>103</v>
      </c>
      <c r="B100" t="s">
        <v>843</v>
      </c>
      <c r="C100" t="s">
        <v>848</v>
      </c>
      <c r="D100" t="s">
        <v>552</v>
      </c>
      <c r="E100" t="s">
        <v>562</v>
      </c>
      <c r="F100">
        <v>7.17E-8</v>
      </c>
      <c r="G100" t="s">
        <v>449</v>
      </c>
      <c r="H100" t="s">
        <v>572</v>
      </c>
      <c r="I100" t="s">
        <v>5</v>
      </c>
      <c r="J100" t="s">
        <v>582</v>
      </c>
      <c r="K100">
        <v>4.29E-8</v>
      </c>
      <c r="L100" t="s">
        <v>592</v>
      </c>
      <c r="M100" t="s">
        <v>602</v>
      </c>
      <c r="N100" t="s">
        <v>6</v>
      </c>
      <c r="O100" t="s">
        <v>612</v>
      </c>
      <c r="P100">
        <v>2.4699999999999999E-8</v>
      </c>
      <c r="Q100" t="s">
        <v>750</v>
      </c>
      <c r="R100" t="s">
        <v>654</v>
      </c>
      <c r="S100" t="s">
        <v>17</v>
      </c>
      <c r="T100" t="s">
        <v>663</v>
      </c>
      <c r="U100">
        <v>4.1899999999999998E-9</v>
      </c>
      <c r="V100" t="s">
        <v>710</v>
      </c>
      <c r="W100" t="s">
        <v>629</v>
      </c>
      <c r="X100" t="s">
        <v>18</v>
      </c>
      <c r="Y100" t="s">
        <v>637</v>
      </c>
      <c r="Z100">
        <v>4.1899999999999998E-9</v>
      </c>
      <c r="AA100" t="s">
        <v>620</v>
      </c>
      <c r="AB100" t="s">
        <v>629</v>
      </c>
      <c r="AC100" t="s">
        <v>19</v>
      </c>
      <c r="AD100" t="s">
        <v>637</v>
      </c>
      <c r="AE100">
        <v>4.1899999999999998E-9</v>
      </c>
      <c r="AF100" t="s">
        <v>620</v>
      </c>
      <c r="AG100" t="s">
        <v>629</v>
      </c>
      <c r="AH100" t="s">
        <v>20</v>
      </c>
      <c r="AI100" t="s">
        <v>637</v>
      </c>
      <c r="AJ100">
        <v>4.1899999999999998E-9</v>
      </c>
      <c r="AK100" t="s">
        <v>620</v>
      </c>
      <c r="AL100" t="s">
        <v>648</v>
      </c>
      <c r="AM100" t="s">
        <v>21</v>
      </c>
      <c r="AN100" t="s">
        <v>252</v>
      </c>
      <c r="AO100">
        <v>4.1899999999999998E-9</v>
      </c>
      <c r="AR100" t="s">
        <v>22</v>
      </c>
      <c r="AT100">
        <v>4.1899999999999998E-9</v>
      </c>
      <c r="AW100" t="s">
        <v>23</v>
      </c>
      <c r="AY100">
        <v>4.1899999999999998E-9</v>
      </c>
      <c r="BB100" t="s">
        <v>24</v>
      </c>
      <c r="BD100">
        <v>4.1899999999999998E-9</v>
      </c>
      <c r="BG100" t="s">
        <v>25</v>
      </c>
      <c r="BI100">
        <v>4.1899999999999998E-9</v>
      </c>
      <c r="BL100" t="s">
        <v>26</v>
      </c>
      <c r="BN100">
        <v>4.1899999999999998E-9</v>
      </c>
      <c r="BO100" t="str">
        <f t="shared" si="8"/>
        <v>Firma Test10. Test1010.5 Test10 (E+5L+A)</v>
      </c>
      <c r="BP100" t="str">
        <f t="shared" si="9"/>
        <v>Firma Test10. Test10</v>
      </c>
    </row>
    <row r="101" spans="1:68">
      <c r="A101" t="s">
        <v>103</v>
      </c>
      <c r="B101" t="s">
        <v>843</v>
      </c>
      <c r="C101" t="s">
        <v>849</v>
      </c>
      <c r="D101" t="s">
        <v>553</v>
      </c>
      <c r="E101" t="s">
        <v>563</v>
      </c>
      <c r="F101">
        <v>7.17E-8</v>
      </c>
      <c r="G101" t="s">
        <v>450</v>
      </c>
      <c r="H101" t="s">
        <v>573</v>
      </c>
      <c r="I101" t="s">
        <v>5</v>
      </c>
      <c r="J101" t="s">
        <v>583</v>
      </c>
      <c r="K101">
        <v>4.29E-8</v>
      </c>
      <c r="L101" t="s">
        <v>593</v>
      </c>
      <c r="M101" t="s">
        <v>603</v>
      </c>
      <c r="N101" t="s">
        <v>6</v>
      </c>
      <c r="O101" t="s">
        <v>613</v>
      </c>
      <c r="P101">
        <v>2.4699999999999999E-8</v>
      </c>
      <c r="Q101" t="s">
        <v>751</v>
      </c>
      <c r="R101" t="s">
        <v>655</v>
      </c>
      <c r="S101" t="s">
        <v>17</v>
      </c>
      <c r="T101" t="s">
        <v>664</v>
      </c>
      <c r="U101">
        <v>4.1899999999999998E-9</v>
      </c>
      <c r="V101" t="s">
        <v>711</v>
      </c>
      <c r="W101" t="s">
        <v>630</v>
      </c>
      <c r="X101" t="s">
        <v>18</v>
      </c>
      <c r="Y101" t="s">
        <v>638</v>
      </c>
      <c r="Z101">
        <v>4.1899999999999998E-9</v>
      </c>
      <c r="AA101" t="s">
        <v>621</v>
      </c>
      <c r="AB101" t="s">
        <v>630</v>
      </c>
      <c r="AC101" t="s">
        <v>19</v>
      </c>
      <c r="AD101" t="s">
        <v>638</v>
      </c>
      <c r="AE101">
        <v>4.1899999999999998E-9</v>
      </c>
      <c r="AF101" t="s">
        <v>621</v>
      </c>
      <c r="AG101" t="s">
        <v>630</v>
      </c>
      <c r="AH101" t="s">
        <v>20</v>
      </c>
      <c r="AI101" t="s">
        <v>638</v>
      </c>
      <c r="AJ101">
        <v>4.1899999999999998E-9</v>
      </c>
      <c r="AK101" t="s">
        <v>621</v>
      </c>
      <c r="AL101" t="s">
        <v>509</v>
      </c>
      <c r="AM101" t="s">
        <v>21</v>
      </c>
      <c r="AN101" t="s">
        <v>253</v>
      </c>
      <c r="AO101">
        <v>4.1899999999999998E-9</v>
      </c>
      <c r="AP101" t="s">
        <v>505</v>
      </c>
      <c r="AQ101" t="s">
        <v>509</v>
      </c>
      <c r="AR101" t="s">
        <v>22</v>
      </c>
      <c r="AS101" t="s">
        <v>513</v>
      </c>
      <c r="AT101">
        <v>4.1899999999999998E-9</v>
      </c>
      <c r="AW101" t="s">
        <v>23</v>
      </c>
      <c r="AY101">
        <v>4.1899999999999998E-9</v>
      </c>
      <c r="BB101" t="s">
        <v>24</v>
      </c>
      <c r="BD101">
        <v>4.1899999999999998E-9</v>
      </c>
      <c r="BG101" t="s">
        <v>25</v>
      </c>
      <c r="BI101">
        <v>4.1899999999999998E-9</v>
      </c>
      <c r="BL101" t="s">
        <v>26</v>
      </c>
      <c r="BN101">
        <v>4.1899999999999998E-9</v>
      </c>
      <c r="BO101" t="str">
        <f t="shared" si="8"/>
        <v>Firma Test10. Test1010.6 Test10 (E+6L+A)</v>
      </c>
      <c r="BP101" t="str">
        <f t="shared" si="9"/>
        <v>Firma Test10. Test10</v>
      </c>
    </row>
    <row r="102" spans="1:68">
      <c r="A102" t="s">
        <v>103</v>
      </c>
      <c r="B102" t="s">
        <v>843</v>
      </c>
      <c r="C102" t="s">
        <v>850</v>
      </c>
      <c r="D102" t="s">
        <v>554</v>
      </c>
      <c r="E102" t="s">
        <v>564</v>
      </c>
      <c r="F102">
        <v>7.17E-8</v>
      </c>
      <c r="G102" t="s">
        <v>451</v>
      </c>
      <c r="H102" t="s">
        <v>574</v>
      </c>
      <c r="I102" t="s">
        <v>5</v>
      </c>
      <c r="J102" t="s">
        <v>584</v>
      </c>
      <c r="K102">
        <v>4.29E-8</v>
      </c>
      <c r="L102" t="s">
        <v>594</v>
      </c>
      <c r="M102" t="s">
        <v>604</v>
      </c>
      <c r="N102" t="s">
        <v>6</v>
      </c>
      <c r="O102" t="s">
        <v>614</v>
      </c>
      <c r="P102">
        <v>2.4699999999999999E-8</v>
      </c>
      <c r="Q102" t="s">
        <v>752</v>
      </c>
      <c r="R102" t="s">
        <v>656</v>
      </c>
      <c r="S102" t="s">
        <v>17</v>
      </c>
      <c r="T102" t="s">
        <v>665</v>
      </c>
      <c r="U102">
        <v>4.1899999999999998E-9</v>
      </c>
      <c r="V102" t="s">
        <v>712</v>
      </c>
      <c r="W102" t="s">
        <v>631</v>
      </c>
      <c r="X102" t="s">
        <v>18</v>
      </c>
      <c r="Y102" t="s">
        <v>639</v>
      </c>
      <c r="Z102">
        <v>4.1899999999999998E-9</v>
      </c>
      <c r="AA102" t="s">
        <v>622</v>
      </c>
      <c r="AB102" t="s">
        <v>631</v>
      </c>
      <c r="AC102" t="s">
        <v>19</v>
      </c>
      <c r="AD102" t="s">
        <v>639</v>
      </c>
      <c r="AE102">
        <v>4.1899999999999998E-9</v>
      </c>
      <c r="AF102" t="s">
        <v>622</v>
      </c>
      <c r="AG102" t="s">
        <v>631</v>
      </c>
      <c r="AH102" t="s">
        <v>20</v>
      </c>
      <c r="AI102" t="s">
        <v>639</v>
      </c>
      <c r="AJ102">
        <v>4.1899999999999998E-9</v>
      </c>
      <c r="AK102" t="s">
        <v>622</v>
      </c>
      <c r="AL102" t="s">
        <v>510</v>
      </c>
      <c r="AM102" t="s">
        <v>21</v>
      </c>
      <c r="AN102" t="s">
        <v>254</v>
      </c>
      <c r="AO102">
        <v>4.1899999999999998E-9</v>
      </c>
      <c r="AP102" t="s">
        <v>506</v>
      </c>
      <c r="AQ102" t="s">
        <v>510</v>
      </c>
      <c r="AR102" t="s">
        <v>22</v>
      </c>
      <c r="AS102" t="s">
        <v>514</v>
      </c>
      <c r="AT102">
        <v>4.1899999999999998E-9</v>
      </c>
      <c r="AU102" t="s">
        <v>506</v>
      </c>
      <c r="AV102" t="s">
        <v>510</v>
      </c>
      <c r="AW102" t="s">
        <v>23</v>
      </c>
      <c r="AX102" t="s">
        <v>514</v>
      </c>
      <c r="AY102">
        <v>4.1899999999999998E-9</v>
      </c>
      <c r="BB102" t="s">
        <v>24</v>
      </c>
      <c r="BD102">
        <v>4.1899999999999998E-9</v>
      </c>
      <c r="BG102" t="s">
        <v>25</v>
      </c>
      <c r="BI102">
        <v>4.1899999999999998E-9</v>
      </c>
      <c r="BL102" t="s">
        <v>26</v>
      </c>
      <c r="BN102">
        <v>4.1899999999999998E-9</v>
      </c>
      <c r="BO102" t="str">
        <f t="shared" si="8"/>
        <v>Firma Test10. Test1010.7 Test10 (E+7L+A)</v>
      </c>
      <c r="BP102" t="str">
        <f t="shared" si="9"/>
        <v>Firma Test10. Test10</v>
      </c>
    </row>
    <row r="103" spans="1:68">
      <c r="A103" t="s">
        <v>103</v>
      </c>
      <c r="B103" t="s">
        <v>843</v>
      </c>
      <c r="C103" t="s">
        <v>851</v>
      </c>
      <c r="D103" t="s">
        <v>555</v>
      </c>
      <c r="E103" t="s">
        <v>565</v>
      </c>
      <c r="F103">
        <v>7.17E-8</v>
      </c>
      <c r="G103" t="s">
        <v>452</v>
      </c>
      <c r="H103" t="s">
        <v>575</v>
      </c>
      <c r="I103" t="s">
        <v>5</v>
      </c>
      <c r="J103" t="s">
        <v>585</v>
      </c>
      <c r="K103">
        <v>4.29E-8</v>
      </c>
      <c r="L103" t="s">
        <v>595</v>
      </c>
      <c r="M103" t="s">
        <v>605</v>
      </c>
      <c r="N103" t="s">
        <v>6</v>
      </c>
      <c r="O103" t="s">
        <v>615</v>
      </c>
      <c r="P103">
        <v>2.4699999999999999E-8</v>
      </c>
      <c r="Q103" t="s">
        <v>753</v>
      </c>
      <c r="R103" t="s">
        <v>657</v>
      </c>
      <c r="S103" t="s">
        <v>17</v>
      </c>
      <c r="T103" t="s">
        <v>666</v>
      </c>
      <c r="U103">
        <v>4.1899999999999998E-9</v>
      </c>
      <c r="V103" t="s">
        <v>713</v>
      </c>
      <c r="W103" t="s">
        <v>632</v>
      </c>
      <c r="X103" t="s">
        <v>18</v>
      </c>
      <c r="Y103" t="s">
        <v>640</v>
      </c>
      <c r="Z103">
        <v>4.1899999999999998E-9</v>
      </c>
      <c r="AA103" t="s">
        <v>623</v>
      </c>
      <c r="AB103" t="s">
        <v>632</v>
      </c>
      <c r="AC103" t="s">
        <v>19</v>
      </c>
      <c r="AD103" t="s">
        <v>640</v>
      </c>
      <c r="AE103">
        <v>4.1899999999999998E-9</v>
      </c>
      <c r="AF103" t="s">
        <v>623</v>
      </c>
      <c r="AG103" t="s">
        <v>632</v>
      </c>
      <c r="AH103" t="s">
        <v>20</v>
      </c>
      <c r="AI103" t="s">
        <v>640</v>
      </c>
      <c r="AJ103">
        <v>4.1899999999999998E-9</v>
      </c>
      <c r="AK103" t="s">
        <v>623</v>
      </c>
      <c r="AL103" t="s">
        <v>511</v>
      </c>
      <c r="AM103" t="s">
        <v>22</v>
      </c>
      <c r="AN103" t="s">
        <v>255</v>
      </c>
      <c r="AO103">
        <v>4.1899999999999998E-9</v>
      </c>
      <c r="AP103" t="s">
        <v>507</v>
      </c>
      <c r="AQ103" t="s">
        <v>511</v>
      </c>
      <c r="AR103" t="s">
        <v>22</v>
      </c>
      <c r="AS103" t="s">
        <v>515</v>
      </c>
      <c r="AT103">
        <v>4.1899999999999998E-9</v>
      </c>
      <c r="AU103" t="s">
        <v>507</v>
      </c>
      <c r="AV103" t="s">
        <v>511</v>
      </c>
      <c r="AW103" t="s">
        <v>23</v>
      </c>
      <c r="AX103" t="s">
        <v>515</v>
      </c>
      <c r="AY103">
        <v>4.1899999999999998E-9</v>
      </c>
      <c r="AZ103" t="s">
        <v>521</v>
      </c>
      <c r="BA103" t="s">
        <v>511</v>
      </c>
      <c r="BB103" t="s">
        <v>24</v>
      </c>
      <c r="BC103" t="s">
        <v>515</v>
      </c>
      <c r="BD103">
        <v>4.1899999999999998E-9</v>
      </c>
      <c r="BG103" t="s">
        <v>25</v>
      </c>
      <c r="BI103">
        <v>4.1899999999999998E-9</v>
      </c>
      <c r="BL103" t="s">
        <v>26</v>
      </c>
      <c r="BN103">
        <v>4.1899999999999998E-9</v>
      </c>
      <c r="BO103" t="str">
        <f t="shared" si="8"/>
        <v>Firma Test10. Test1010.8 Test10 (E+8L+A)</v>
      </c>
      <c r="BP103" t="str">
        <f t="shared" si="9"/>
        <v>Firma Test10. Test10</v>
      </c>
    </row>
    <row r="104" spans="1:68">
      <c r="A104" t="s">
        <v>103</v>
      </c>
      <c r="B104" t="s">
        <v>843</v>
      </c>
      <c r="C104" t="s">
        <v>852</v>
      </c>
      <c r="D104" t="s">
        <v>556</v>
      </c>
      <c r="E104" t="s">
        <v>566</v>
      </c>
      <c r="F104">
        <v>7.17E-8</v>
      </c>
      <c r="G104" t="s">
        <v>453</v>
      </c>
      <c r="H104" t="s">
        <v>576</v>
      </c>
      <c r="I104" t="s">
        <v>5</v>
      </c>
      <c r="J104" t="s">
        <v>586</v>
      </c>
      <c r="K104">
        <v>4.29E-8</v>
      </c>
      <c r="L104" t="s">
        <v>596</v>
      </c>
      <c r="M104" t="s">
        <v>606</v>
      </c>
      <c r="N104" t="s">
        <v>6</v>
      </c>
      <c r="O104" t="s">
        <v>616</v>
      </c>
      <c r="P104">
        <v>2.4699999999999999E-8</v>
      </c>
      <c r="Q104" t="s">
        <v>754</v>
      </c>
      <c r="R104" t="s">
        <v>658</v>
      </c>
      <c r="S104" t="s">
        <v>17</v>
      </c>
      <c r="T104" t="s">
        <v>667</v>
      </c>
      <c r="U104">
        <v>4.1899999999999998E-9</v>
      </c>
      <c r="V104" t="s">
        <v>714</v>
      </c>
      <c r="W104" t="s">
        <v>633</v>
      </c>
      <c r="X104" t="s">
        <v>18</v>
      </c>
      <c r="Y104" t="s">
        <v>641</v>
      </c>
      <c r="Z104">
        <v>4.1899999999999998E-9</v>
      </c>
      <c r="AA104" t="s">
        <v>624</v>
      </c>
      <c r="AB104" t="s">
        <v>633</v>
      </c>
      <c r="AC104" t="s">
        <v>19</v>
      </c>
      <c r="AD104" t="s">
        <v>641</v>
      </c>
      <c r="AE104">
        <v>4.1899999999999998E-9</v>
      </c>
      <c r="AF104" t="s">
        <v>624</v>
      </c>
      <c r="AG104" t="s">
        <v>633</v>
      </c>
      <c r="AH104" t="s">
        <v>20</v>
      </c>
      <c r="AI104" t="s">
        <v>641</v>
      </c>
      <c r="AJ104">
        <v>4.1899999999999998E-9</v>
      </c>
      <c r="AK104" t="s">
        <v>624</v>
      </c>
      <c r="AL104" t="s">
        <v>512</v>
      </c>
      <c r="AM104" t="s">
        <v>23</v>
      </c>
      <c r="AN104" t="s">
        <v>256</v>
      </c>
      <c r="AO104">
        <v>4.1899999999999998E-9</v>
      </c>
      <c r="AP104" t="s">
        <v>508</v>
      </c>
      <c r="AQ104" t="s">
        <v>512</v>
      </c>
      <c r="AR104" t="s">
        <v>22</v>
      </c>
      <c r="AS104" t="s">
        <v>516</v>
      </c>
      <c r="AT104">
        <v>4.1899999999999998E-9</v>
      </c>
      <c r="AU104" t="s">
        <v>508</v>
      </c>
      <c r="AV104" t="s">
        <v>512</v>
      </c>
      <c r="AW104" t="s">
        <v>23</v>
      </c>
      <c r="AX104" t="s">
        <v>516</v>
      </c>
      <c r="AY104">
        <v>4.1899999999999998E-9</v>
      </c>
      <c r="AZ104" t="s">
        <v>522</v>
      </c>
      <c r="BA104" t="s">
        <v>512</v>
      </c>
      <c r="BB104" t="s">
        <v>24</v>
      </c>
      <c r="BC104" t="s">
        <v>516</v>
      </c>
      <c r="BD104">
        <v>4.1899999999999998E-9</v>
      </c>
      <c r="BE104" t="s">
        <v>508</v>
      </c>
      <c r="BF104" t="s">
        <v>512</v>
      </c>
      <c r="BG104" t="s">
        <v>25</v>
      </c>
      <c r="BH104" t="s">
        <v>516</v>
      </c>
      <c r="BI104">
        <v>4.1899999999999998E-9</v>
      </c>
      <c r="BL104" t="s">
        <v>26</v>
      </c>
      <c r="BN104">
        <v>4.1899999999999998E-9</v>
      </c>
      <c r="BO104" t="str">
        <f t="shared" si="8"/>
        <v>Firma Test10. Test1010.9 Test10 (E+9L+A)</v>
      </c>
      <c r="BP104" t="str">
        <f t="shared" si="9"/>
        <v>Firma Test10. Test10</v>
      </c>
    </row>
    <row r="105" spans="1:68">
      <c r="A105" t="s">
        <v>103</v>
      </c>
      <c r="B105" t="s">
        <v>843</v>
      </c>
      <c r="C105" t="s">
        <v>853</v>
      </c>
      <c r="D105" t="s">
        <v>557</v>
      </c>
      <c r="E105" t="s">
        <v>567</v>
      </c>
      <c r="F105">
        <v>7.17E-8</v>
      </c>
      <c r="G105" t="s">
        <v>454</v>
      </c>
      <c r="H105" t="s">
        <v>577</v>
      </c>
      <c r="I105" t="s">
        <v>5</v>
      </c>
      <c r="J105" t="s">
        <v>587</v>
      </c>
      <c r="K105">
        <v>4.29E-8</v>
      </c>
      <c r="L105" t="s">
        <v>597</v>
      </c>
      <c r="M105" t="s">
        <v>607</v>
      </c>
      <c r="N105" t="s">
        <v>6</v>
      </c>
      <c r="O105" t="s">
        <v>617</v>
      </c>
      <c r="P105">
        <v>2.4699999999999999E-8</v>
      </c>
      <c r="Q105" t="s">
        <v>755</v>
      </c>
      <c r="R105" t="s">
        <v>649</v>
      </c>
      <c r="S105" t="s">
        <v>17</v>
      </c>
      <c r="T105" t="s">
        <v>668</v>
      </c>
      <c r="U105">
        <v>4.1899999999999998E-9</v>
      </c>
      <c r="V105" t="s">
        <v>715</v>
      </c>
      <c r="W105" t="s">
        <v>259</v>
      </c>
      <c r="X105" t="s">
        <v>18</v>
      </c>
      <c r="Y105" t="s">
        <v>260</v>
      </c>
      <c r="Z105">
        <v>4.1899999999999998E-9</v>
      </c>
      <c r="AA105" t="s">
        <v>625</v>
      </c>
      <c r="AB105" t="s">
        <v>259</v>
      </c>
      <c r="AC105" t="s">
        <v>19</v>
      </c>
      <c r="AD105" t="s">
        <v>260</v>
      </c>
      <c r="AE105">
        <v>4.1899999999999998E-9</v>
      </c>
      <c r="AF105" t="s">
        <v>625</v>
      </c>
      <c r="AG105" t="s">
        <v>259</v>
      </c>
      <c r="AH105" t="s">
        <v>20</v>
      </c>
      <c r="AI105" t="s">
        <v>260</v>
      </c>
      <c r="AJ105">
        <v>4.1899999999999998E-9</v>
      </c>
      <c r="AK105" t="s">
        <v>625</v>
      </c>
      <c r="AL105" t="s">
        <v>249</v>
      </c>
      <c r="AM105" t="s">
        <v>24</v>
      </c>
      <c r="AN105" t="s">
        <v>257</v>
      </c>
      <c r="AO105">
        <v>4.1899999999999998E-9</v>
      </c>
      <c r="AP105" t="s">
        <v>241</v>
      </c>
      <c r="AQ105" t="s">
        <v>249</v>
      </c>
      <c r="AR105" t="s">
        <v>22</v>
      </c>
      <c r="AS105" t="s">
        <v>257</v>
      </c>
      <c r="AT105">
        <v>4.1899999999999998E-9</v>
      </c>
      <c r="AU105" t="s">
        <v>241</v>
      </c>
      <c r="AV105" t="s">
        <v>249</v>
      </c>
      <c r="AW105" t="s">
        <v>23</v>
      </c>
      <c r="AX105" t="s">
        <v>257</v>
      </c>
      <c r="AY105">
        <v>4.1899999999999998E-9</v>
      </c>
      <c r="AZ105" t="s">
        <v>523</v>
      </c>
      <c r="BA105" t="s">
        <v>249</v>
      </c>
      <c r="BB105" t="s">
        <v>24</v>
      </c>
      <c r="BC105" t="s">
        <v>257</v>
      </c>
      <c r="BD105">
        <v>4.1899999999999998E-9</v>
      </c>
      <c r="BE105" t="s">
        <v>241</v>
      </c>
      <c r="BF105" t="s">
        <v>249</v>
      </c>
      <c r="BG105" t="s">
        <v>25</v>
      </c>
      <c r="BH105" t="s">
        <v>257</v>
      </c>
      <c r="BI105">
        <v>4.1899999999999998E-9</v>
      </c>
      <c r="BJ105" t="s">
        <v>517</v>
      </c>
      <c r="BK105" t="s">
        <v>249</v>
      </c>
      <c r="BL105" t="s">
        <v>26</v>
      </c>
      <c r="BM105" t="s">
        <v>257</v>
      </c>
      <c r="BN105">
        <v>4.1899999999999998E-9</v>
      </c>
      <c r="BO105" t="str">
        <f t="shared" si="8"/>
        <v>Firma Test10. Test1010.10 Test10 (E+10L+A)</v>
      </c>
      <c r="BP105" t="str">
        <f t="shared" si="9"/>
        <v>Firma Test10. Test10</v>
      </c>
    </row>
    <row r="106" spans="1:68">
      <c r="A106" t="s">
        <v>103</v>
      </c>
      <c r="B106" t="s">
        <v>854</v>
      </c>
      <c r="C106" t="s">
        <v>855</v>
      </c>
      <c r="D106" t="s">
        <v>548</v>
      </c>
      <c r="E106" t="s">
        <v>558</v>
      </c>
      <c r="F106">
        <v>7.17E-8</v>
      </c>
      <c r="G106" t="s">
        <v>424</v>
      </c>
      <c r="H106" t="s">
        <v>568</v>
      </c>
      <c r="I106" t="s">
        <v>5</v>
      </c>
      <c r="J106" t="s">
        <v>578</v>
      </c>
      <c r="K106">
        <v>4.29E-8</v>
      </c>
      <c r="L106" t="s">
        <v>588</v>
      </c>
      <c r="M106" t="s">
        <v>598</v>
      </c>
      <c r="N106" t="s">
        <v>6</v>
      </c>
      <c r="O106" t="s">
        <v>608</v>
      </c>
      <c r="P106">
        <v>2.4699999999999999E-8</v>
      </c>
      <c r="Q106" t="s">
        <v>746</v>
      </c>
      <c r="R106" t="s">
        <v>650</v>
      </c>
      <c r="S106" t="s">
        <v>17</v>
      </c>
      <c r="T106" t="s">
        <v>659</v>
      </c>
      <c r="U106">
        <v>4.1899999999999998E-9</v>
      </c>
      <c r="X106" t="s">
        <v>18</v>
      </c>
      <c r="Z106">
        <v>4.1899999999999998E-9</v>
      </c>
      <c r="AE106">
        <v>4.1899999999999998E-9</v>
      </c>
      <c r="AH106" t="s">
        <v>20</v>
      </c>
      <c r="AJ106">
        <v>4.1899999999999998E-9</v>
      </c>
      <c r="AM106" t="s">
        <v>21</v>
      </c>
      <c r="AO106">
        <v>4.1899999999999998E-9</v>
      </c>
      <c r="AR106" t="s">
        <v>22</v>
      </c>
      <c r="AT106">
        <v>4.1899999999999998E-9</v>
      </c>
      <c r="AW106" t="s">
        <v>23</v>
      </c>
      <c r="AY106">
        <v>4.1899999999999998E-9</v>
      </c>
      <c r="BB106" t="s">
        <v>24</v>
      </c>
      <c r="BD106">
        <v>4.1899999999999998E-9</v>
      </c>
      <c r="BG106" t="s">
        <v>25</v>
      </c>
      <c r="BI106">
        <v>4.1899999999999998E-9</v>
      </c>
      <c r="BL106" t="s">
        <v>26</v>
      </c>
      <c r="BN106">
        <v>4.1899999999999998E-9</v>
      </c>
      <c r="BO106" t="str">
        <f t="shared" si="8"/>
        <v>Firma Test11. Test1111.1 Test11 (E+1L+A)</v>
      </c>
      <c r="BP106" t="str">
        <f t="shared" si="9"/>
        <v>Firma Test11. Test11</v>
      </c>
    </row>
    <row r="107" spans="1:68">
      <c r="A107" t="s">
        <v>103</v>
      </c>
      <c r="B107" t="s">
        <v>854</v>
      </c>
      <c r="C107" t="s">
        <v>856</v>
      </c>
      <c r="D107" t="s">
        <v>549</v>
      </c>
      <c r="E107" t="s">
        <v>559</v>
      </c>
      <c r="F107">
        <v>7.17E-8</v>
      </c>
      <c r="G107" t="s">
        <v>446</v>
      </c>
      <c r="H107" t="s">
        <v>569</v>
      </c>
      <c r="I107" t="s">
        <v>5</v>
      </c>
      <c r="J107" t="s">
        <v>579</v>
      </c>
      <c r="K107">
        <v>4.29E-8</v>
      </c>
      <c r="L107" t="s">
        <v>589</v>
      </c>
      <c r="M107" t="s">
        <v>599</v>
      </c>
      <c r="N107" t="s">
        <v>6</v>
      </c>
      <c r="O107" t="s">
        <v>609</v>
      </c>
      <c r="P107">
        <v>2.4699999999999999E-8</v>
      </c>
      <c r="Q107" t="s">
        <v>747</v>
      </c>
      <c r="R107" t="s">
        <v>651</v>
      </c>
      <c r="S107" t="s">
        <v>17</v>
      </c>
      <c r="T107" t="s">
        <v>660</v>
      </c>
      <c r="U107">
        <v>4.1899999999999998E-9</v>
      </c>
      <c r="V107" t="s">
        <v>707</v>
      </c>
      <c r="W107" t="s">
        <v>626</v>
      </c>
      <c r="X107" t="s">
        <v>18</v>
      </c>
      <c r="Y107" t="s">
        <v>634</v>
      </c>
      <c r="Z107">
        <v>4.1899999999999998E-9</v>
      </c>
      <c r="AE107">
        <v>4.1899999999999998E-9</v>
      </c>
      <c r="AH107" t="s">
        <v>20</v>
      </c>
      <c r="AJ107">
        <v>4.1899999999999998E-9</v>
      </c>
      <c r="AM107" t="s">
        <v>21</v>
      </c>
      <c r="AO107">
        <v>4.1899999999999998E-9</v>
      </c>
      <c r="AR107" t="s">
        <v>22</v>
      </c>
      <c r="AT107">
        <v>4.1899999999999998E-9</v>
      </c>
      <c r="AW107" t="s">
        <v>23</v>
      </c>
      <c r="AY107">
        <v>4.1899999999999998E-9</v>
      </c>
      <c r="BB107" t="s">
        <v>24</v>
      </c>
      <c r="BD107">
        <v>4.1899999999999998E-9</v>
      </c>
      <c r="BG107" t="s">
        <v>25</v>
      </c>
      <c r="BI107">
        <v>4.1899999999999998E-9</v>
      </c>
      <c r="BL107" t="s">
        <v>26</v>
      </c>
      <c r="BN107">
        <v>4.1899999999999998E-9</v>
      </c>
      <c r="BO107" t="str">
        <f t="shared" si="8"/>
        <v>Firma Test11. Test1111.2 Test11 (E+2L+A)</v>
      </c>
      <c r="BP107" t="str">
        <f t="shared" si="9"/>
        <v>Firma Test11. Test11</v>
      </c>
    </row>
    <row r="108" spans="1:68">
      <c r="A108" t="s">
        <v>103</v>
      </c>
      <c r="B108" t="s">
        <v>854</v>
      </c>
      <c r="C108" t="s">
        <v>857</v>
      </c>
      <c r="D108" t="s">
        <v>550</v>
      </c>
      <c r="E108" t="s">
        <v>560</v>
      </c>
      <c r="F108">
        <v>7.17E-8</v>
      </c>
      <c r="G108" t="s">
        <v>447</v>
      </c>
      <c r="H108" t="s">
        <v>570</v>
      </c>
      <c r="I108" t="s">
        <v>5</v>
      </c>
      <c r="J108" t="s">
        <v>580</v>
      </c>
      <c r="K108">
        <v>4.29E-8</v>
      </c>
      <c r="L108" t="s">
        <v>590</v>
      </c>
      <c r="M108" t="s">
        <v>600</v>
      </c>
      <c r="N108" t="s">
        <v>6</v>
      </c>
      <c r="O108" t="s">
        <v>610</v>
      </c>
      <c r="P108">
        <v>2.4699999999999999E-8</v>
      </c>
      <c r="Q108" t="s">
        <v>748</v>
      </c>
      <c r="R108" t="s">
        <v>652</v>
      </c>
      <c r="S108" t="s">
        <v>17</v>
      </c>
      <c r="T108" t="s">
        <v>661</v>
      </c>
      <c r="U108">
        <v>4.1899999999999998E-9</v>
      </c>
      <c r="V108" t="s">
        <v>708</v>
      </c>
      <c r="W108" t="s">
        <v>627</v>
      </c>
      <c r="X108" t="s">
        <v>18</v>
      </c>
      <c r="Y108" t="s">
        <v>635</v>
      </c>
      <c r="Z108">
        <v>4.1899999999999998E-9</v>
      </c>
      <c r="AA108" t="s">
        <v>618</v>
      </c>
      <c r="AB108" t="s">
        <v>627</v>
      </c>
      <c r="AC108" t="s">
        <v>19</v>
      </c>
      <c r="AD108" t="s">
        <v>635</v>
      </c>
      <c r="AE108">
        <v>4.1899999999999998E-9</v>
      </c>
      <c r="AH108" t="s">
        <v>20</v>
      </c>
      <c r="AJ108">
        <v>4.1899999999999998E-9</v>
      </c>
      <c r="AM108" t="s">
        <v>21</v>
      </c>
      <c r="AO108">
        <v>4.1899999999999998E-9</v>
      </c>
      <c r="AR108" t="s">
        <v>22</v>
      </c>
      <c r="AT108">
        <v>4.1899999999999998E-9</v>
      </c>
      <c r="AW108" t="s">
        <v>23</v>
      </c>
      <c r="AY108">
        <v>4.1899999999999998E-9</v>
      </c>
      <c r="BB108" t="s">
        <v>24</v>
      </c>
      <c r="BD108">
        <v>4.1899999999999998E-9</v>
      </c>
      <c r="BG108" t="s">
        <v>25</v>
      </c>
      <c r="BI108">
        <v>4.1899999999999998E-9</v>
      </c>
      <c r="BL108" t="s">
        <v>26</v>
      </c>
      <c r="BN108">
        <v>4.1899999999999998E-9</v>
      </c>
      <c r="BO108" t="str">
        <f t="shared" si="8"/>
        <v>Firma Test11. Test1111.3 Test11 (E+3L+A)</v>
      </c>
      <c r="BP108" t="str">
        <f t="shared" si="9"/>
        <v>Firma Test11. Test11</v>
      </c>
    </row>
    <row r="109" spans="1:68">
      <c r="A109" t="s">
        <v>103</v>
      </c>
      <c r="B109" t="s">
        <v>854</v>
      </c>
      <c r="C109" t="s">
        <v>858</v>
      </c>
      <c r="D109" t="s">
        <v>551</v>
      </c>
      <c r="E109" t="s">
        <v>561</v>
      </c>
      <c r="F109">
        <v>7.17E-8</v>
      </c>
      <c r="G109" t="s">
        <v>448</v>
      </c>
      <c r="H109" t="s">
        <v>571</v>
      </c>
      <c r="I109" t="s">
        <v>5</v>
      </c>
      <c r="J109" t="s">
        <v>581</v>
      </c>
      <c r="K109">
        <v>4.29E-8</v>
      </c>
      <c r="L109" t="s">
        <v>591</v>
      </c>
      <c r="M109" t="s">
        <v>601</v>
      </c>
      <c r="N109" t="s">
        <v>6</v>
      </c>
      <c r="O109" t="s">
        <v>611</v>
      </c>
      <c r="P109">
        <v>2.4699999999999999E-8</v>
      </c>
      <c r="Q109" t="s">
        <v>749</v>
      </c>
      <c r="R109" t="s">
        <v>653</v>
      </c>
      <c r="S109" t="s">
        <v>17</v>
      </c>
      <c r="T109" t="s">
        <v>662</v>
      </c>
      <c r="U109">
        <v>4.1899999999999998E-9</v>
      </c>
      <c r="V109" t="s">
        <v>709</v>
      </c>
      <c r="W109" t="s">
        <v>628</v>
      </c>
      <c r="X109" t="s">
        <v>18</v>
      </c>
      <c r="Y109" t="s">
        <v>636</v>
      </c>
      <c r="Z109">
        <v>4.1899999999999998E-9</v>
      </c>
      <c r="AA109" t="s">
        <v>619</v>
      </c>
      <c r="AB109" t="s">
        <v>628</v>
      </c>
      <c r="AC109" t="s">
        <v>19</v>
      </c>
      <c r="AD109" t="s">
        <v>636</v>
      </c>
      <c r="AE109">
        <v>4.1899999999999998E-9</v>
      </c>
      <c r="AF109" t="s">
        <v>619</v>
      </c>
      <c r="AG109" t="s">
        <v>628</v>
      </c>
      <c r="AH109" t="s">
        <v>20</v>
      </c>
      <c r="AI109" t="s">
        <v>636</v>
      </c>
      <c r="AJ109">
        <v>4.1899999999999998E-9</v>
      </c>
      <c r="AM109" t="s">
        <v>21</v>
      </c>
      <c r="AO109">
        <v>4.1899999999999998E-9</v>
      </c>
      <c r="AR109" t="s">
        <v>22</v>
      </c>
      <c r="AT109">
        <v>4.1899999999999998E-9</v>
      </c>
      <c r="AW109" t="s">
        <v>23</v>
      </c>
      <c r="AY109">
        <v>4.1899999999999998E-9</v>
      </c>
      <c r="BB109" t="s">
        <v>24</v>
      </c>
      <c r="BD109">
        <v>4.1899999999999998E-9</v>
      </c>
      <c r="BG109" t="s">
        <v>25</v>
      </c>
      <c r="BI109">
        <v>4.1899999999999998E-9</v>
      </c>
      <c r="BL109" t="s">
        <v>26</v>
      </c>
      <c r="BN109">
        <v>4.1899999999999998E-9</v>
      </c>
      <c r="BO109" t="str">
        <f t="shared" si="8"/>
        <v>Firma Test11. Test1111.4 Test11 (E+4L+A)</v>
      </c>
      <c r="BP109" t="str">
        <f t="shared" si="9"/>
        <v>Firma Test11. Test11</v>
      </c>
    </row>
    <row r="110" spans="1:68">
      <c r="A110" t="s">
        <v>103</v>
      </c>
      <c r="B110" t="s">
        <v>854</v>
      </c>
      <c r="C110" t="s">
        <v>859</v>
      </c>
      <c r="D110" t="s">
        <v>552</v>
      </c>
      <c r="E110" t="s">
        <v>562</v>
      </c>
      <c r="F110">
        <v>7.17E-8</v>
      </c>
      <c r="G110" t="s">
        <v>449</v>
      </c>
      <c r="H110" t="s">
        <v>572</v>
      </c>
      <c r="I110" t="s">
        <v>5</v>
      </c>
      <c r="J110" t="s">
        <v>582</v>
      </c>
      <c r="K110">
        <v>4.29E-8</v>
      </c>
      <c r="L110" t="s">
        <v>592</v>
      </c>
      <c r="M110" t="s">
        <v>602</v>
      </c>
      <c r="N110" t="s">
        <v>6</v>
      </c>
      <c r="O110" t="s">
        <v>612</v>
      </c>
      <c r="P110">
        <v>2.4699999999999999E-8</v>
      </c>
      <c r="Q110" t="s">
        <v>750</v>
      </c>
      <c r="R110" t="s">
        <v>654</v>
      </c>
      <c r="S110" t="s">
        <v>17</v>
      </c>
      <c r="T110" t="s">
        <v>663</v>
      </c>
      <c r="U110">
        <v>4.1899999999999998E-9</v>
      </c>
      <c r="V110" t="s">
        <v>710</v>
      </c>
      <c r="W110" t="s">
        <v>629</v>
      </c>
      <c r="X110" t="s">
        <v>18</v>
      </c>
      <c r="Y110" t="s">
        <v>637</v>
      </c>
      <c r="Z110">
        <v>4.1899999999999998E-9</v>
      </c>
      <c r="AA110" t="s">
        <v>620</v>
      </c>
      <c r="AB110" t="s">
        <v>629</v>
      </c>
      <c r="AC110" t="s">
        <v>19</v>
      </c>
      <c r="AD110" t="s">
        <v>637</v>
      </c>
      <c r="AE110">
        <v>4.1899999999999998E-9</v>
      </c>
      <c r="AF110" t="s">
        <v>620</v>
      </c>
      <c r="AG110" t="s">
        <v>629</v>
      </c>
      <c r="AH110" t="s">
        <v>20</v>
      </c>
      <c r="AI110" t="s">
        <v>637</v>
      </c>
      <c r="AJ110">
        <v>4.1899999999999998E-9</v>
      </c>
      <c r="AK110" t="s">
        <v>620</v>
      </c>
      <c r="AL110" t="s">
        <v>648</v>
      </c>
      <c r="AM110" t="s">
        <v>21</v>
      </c>
      <c r="AN110" t="s">
        <v>252</v>
      </c>
      <c r="AO110">
        <v>4.1899999999999998E-9</v>
      </c>
      <c r="AR110" t="s">
        <v>22</v>
      </c>
      <c r="AT110">
        <v>4.1899999999999998E-9</v>
      </c>
      <c r="AW110" t="s">
        <v>23</v>
      </c>
      <c r="AY110">
        <v>4.1899999999999998E-9</v>
      </c>
      <c r="BB110" t="s">
        <v>24</v>
      </c>
      <c r="BD110">
        <v>4.1899999999999998E-9</v>
      </c>
      <c r="BG110" t="s">
        <v>25</v>
      </c>
      <c r="BI110">
        <v>4.1899999999999998E-9</v>
      </c>
      <c r="BL110" t="s">
        <v>26</v>
      </c>
      <c r="BN110">
        <v>4.1899999999999998E-9</v>
      </c>
      <c r="BO110" t="str">
        <f t="shared" ref="BO110:BO141" si="10">CONCATENATE(A110,B110,C110)</f>
        <v>Firma Test11. Test1111.5 Test11 (E+5L+A)</v>
      </c>
      <c r="BP110" t="str">
        <f t="shared" ref="BP110:BP141" si="11">CONCATENATE(A110,B110)</f>
        <v>Firma Test11. Test11</v>
      </c>
    </row>
    <row r="111" spans="1:68">
      <c r="A111" t="s">
        <v>103</v>
      </c>
      <c r="B111" t="s">
        <v>854</v>
      </c>
      <c r="C111" t="s">
        <v>860</v>
      </c>
      <c r="D111" t="s">
        <v>553</v>
      </c>
      <c r="E111" t="s">
        <v>563</v>
      </c>
      <c r="F111">
        <v>7.17E-8</v>
      </c>
      <c r="G111" t="s">
        <v>450</v>
      </c>
      <c r="H111" t="s">
        <v>573</v>
      </c>
      <c r="I111" t="s">
        <v>5</v>
      </c>
      <c r="J111" t="s">
        <v>583</v>
      </c>
      <c r="K111">
        <v>4.29E-8</v>
      </c>
      <c r="L111" t="s">
        <v>593</v>
      </c>
      <c r="M111" t="s">
        <v>603</v>
      </c>
      <c r="N111" t="s">
        <v>6</v>
      </c>
      <c r="O111" t="s">
        <v>613</v>
      </c>
      <c r="P111">
        <v>2.4699999999999999E-8</v>
      </c>
      <c r="Q111" t="s">
        <v>751</v>
      </c>
      <c r="R111" t="s">
        <v>655</v>
      </c>
      <c r="S111" t="s">
        <v>17</v>
      </c>
      <c r="T111" t="s">
        <v>664</v>
      </c>
      <c r="U111">
        <v>4.1899999999999998E-9</v>
      </c>
      <c r="V111" t="s">
        <v>711</v>
      </c>
      <c r="W111" t="s">
        <v>630</v>
      </c>
      <c r="X111" t="s">
        <v>18</v>
      </c>
      <c r="Y111" t="s">
        <v>638</v>
      </c>
      <c r="Z111">
        <v>4.1899999999999998E-9</v>
      </c>
      <c r="AA111" t="s">
        <v>621</v>
      </c>
      <c r="AB111" t="s">
        <v>630</v>
      </c>
      <c r="AC111" t="s">
        <v>19</v>
      </c>
      <c r="AD111" t="s">
        <v>638</v>
      </c>
      <c r="AE111">
        <v>4.1899999999999998E-9</v>
      </c>
      <c r="AF111" t="s">
        <v>621</v>
      </c>
      <c r="AG111" t="s">
        <v>630</v>
      </c>
      <c r="AH111" t="s">
        <v>20</v>
      </c>
      <c r="AI111" t="s">
        <v>638</v>
      </c>
      <c r="AJ111">
        <v>4.1899999999999998E-9</v>
      </c>
      <c r="AK111" t="s">
        <v>621</v>
      </c>
      <c r="AL111" t="s">
        <v>509</v>
      </c>
      <c r="AM111" t="s">
        <v>21</v>
      </c>
      <c r="AN111" t="s">
        <v>253</v>
      </c>
      <c r="AO111">
        <v>4.1899999999999998E-9</v>
      </c>
      <c r="AP111" t="s">
        <v>505</v>
      </c>
      <c r="AQ111" t="s">
        <v>509</v>
      </c>
      <c r="AR111" t="s">
        <v>22</v>
      </c>
      <c r="AS111" t="s">
        <v>513</v>
      </c>
      <c r="AT111">
        <v>4.1899999999999998E-9</v>
      </c>
      <c r="AW111" t="s">
        <v>23</v>
      </c>
      <c r="AY111">
        <v>4.1899999999999998E-9</v>
      </c>
      <c r="BB111" t="s">
        <v>24</v>
      </c>
      <c r="BD111">
        <v>4.1899999999999998E-9</v>
      </c>
      <c r="BG111" t="s">
        <v>25</v>
      </c>
      <c r="BI111">
        <v>4.1899999999999998E-9</v>
      </c>
      <c r="BL111" t="s">
        <v>26</v>
      </c>
      <c r="BN111">
        <v>4.1899999999999998E-9</v>
      </c>
      <c r="BO111" t="str">
        <f t="shared" si="10"/>
        <v>Firma Test11. Test1111.6 Test11 (E+6L+A)</v>
      </c>
      <c r="BP111" t="str">
        <f t="shared" si="11"/>
        <v>Firma Test11. Test11</v>
      </c>
    </row>
    <row r="112" spans="1:68">
      <c r="A112" t="s">
        <v>103</v>
      </c>
      <c r="B112" t="s">
        <v>854</v>
      </c>
      <c r="C112" t="s">
        <v>861</v>
      </c>
      <c r="D112" t="s">
        <v>554</v>
      </c>
      <c r="E112" t="s">
        <v>564</v>
      </c>
      <c r="F112">
        <v>7.17E-8</v>
      </c>
      <c r="G112" t="s">
        <v>451</v>
      </c>
      <c r="H112" t="s">
        <v>574</v>
      </c>
      <c r="I112" t="s">
        <v>5</v>
      </c>
      <c r="J112" t="s">
        <v>584</v>
      </c>
      <c r="K112">
        <v>4.29E-8</v>
      </c>
      <c r="L112" t="s">
        <v>594</v>
      </c>
      <c r="M112" t="s">
        <v>604</v>
      </c>
      <c r="N112" t="s">
        <v>6</v>
      </c>
      <c r="O112" t="s">
        <v>614</v>
      </c>
      <c r="P112">
        <v>2.4699999999999999E-8</v>
      </c>
      <c r="Q112" t="s">
        <v>752</v>
      </c>
      <c r="R112" t="s">
        <v>656</v>
      </c>
      <c r="S112" t="s">
        <v>17</v>
      </c>
      <c r="T112" t="s">
        <v>665</v>
      </c>
      <c r="U112">
        <v>4.1899999999999998E-9</v>
      </c>
      <c r="V112" t="s">
        <v>712</v>
      </c>
      <c r="W112" t="s">
        <v>631</v>
      </c>
      <c r="X112" t="s">
        <v>18</v>
      </c>
      <c r="Y112" t="s">
        <v>639</v>
      </c>
      <c r="Z112">
        <v>4.1899999999999998E-9</v>
      </c>
      <c r="AA112" t="s">
        <v>622</v>
      </c>
      <c r="AB112" t="s">
        <v>631</v>
      </c>
      <c r="AC112" t="s">
        <v>19</v>
      </c>
      <c r="AD112" t="s">
        <v>639</v>
      </c>
      <c r="AE112">
        <v>4.1899999999999998E-9</v>
      </c>
      <c r="AF112" t="s">
        <v>622</v>
      </c>
      <c r="AG112" t="s">
        <v>631</v>
      </c>
      <c r="AH112" t="s">
        <v>20</v>
      </c>
      <c r="AI112" t="s">
        <v>639</v>
      </c>
      <c r="AJ112">
        <v>4.1899999999999998E-9</v>
      </c>
      <c r="AK112" t="s">
        <v>622</v>
      </c>
      <c r="AL112" t="s">
        <v>510</v>
      </c>
      <c r="AM112" t="s">
        <v>21</v>
      </c>
      <c r="AN112" t="s">
        <v>254</v>
      </c>
      <c r="AO112">
        <v>4.1899999999999998E-9</v>
      </c>
      <c r="AP112" t="s">
        <v>506</v>
      </c>
      <c r="AQ112" t="s">
        <v>510</v>
      </c>
      <c r="AR112" t="s">
        <v>22</v>
      </c>
      <c r="AS112" t="s">
        <v>514</v>
      </c>
      <c r="AT112">
        <v>4.1899999999999998E-9</v>
      </c>
      <c r="AU112" t="s">
        <v>506</v>
      </c>
      <c r="AV112" t="s">
        <v>510</v>
      </c>
      <c r="AW112" t="s">
        <v>23</v>
      </c>
      <c r="AX112" t="s">
        <v>514</v>
      </c>
      <c r="AY112">
        <v>4.1899999999999998E-9</v>
      </c>
      <c r="BB112" t="s">
        <v>24</v>
      </c>
      <c r="BD112">
        <v>4.1899999999999998E-9</v>
      </c>
      <c r="BG112" t="s">
        <v>25</v>
      </c>
      <c r="BI112">
        <v>4.1899999999999998E-9</v>
      </c>
      <c r="BL112" t="s">
        <v>26</v>
      </c>
      <c r="BN112">
        <v>4.1899999999999998E-9</v>
      </c>
      <c r="BO112" t="str">
        <f t="shared" si="10"/>
        <v>Firma Test11. Test1111.7 Test11 (E+7L+A)</v>
      </c>
      <c r="BP112" t="str">
        <f t="shared" si="11"/>
        <v>Firma Test11. Test11</v>
      </c>
    </row>
    <row r="113" spans="1:68">
      <c r="A113" t="s">
        <v>103</v>
      </c>
      <c r="B113" t="s">
        <v>854</v>
      </c>
      <c r="C113" t="s">
        <v>862</v>
      </c>
      <c r="D113" t="s">
        <v>555</v>
      </c>
      <c r="E113" t="s">
        <v>565</v>
      </c>
      <c r="F113">
        <v>7.17E-8</v>
      </c>
      <c r="G113" t="s">
        <v>452</v>
      </c>
      <c r="H113" t="s">
        <v>575</v>
      </c>
      <c r="I113" t="s">
        <v>5</v>
      </c>
      <c r="J113" t="s">
        <v>585</v>
      </c>
      <c r="K113">
        <v>4.29E-8</v>
      </c>
      <c r="L113" t="s">
        <v>595</v>
      </c>
      <c r="M113" t="s">
        <v>605</v>
      </c>
      <c r="N113" t="s">
        <v>6</v>
      </c>
      <c r="O113" t="s">
        <v>615</v>
      </c>
      <c r="P113">
        <v>2.4699999999999999E-8</v>
      </c>
      <c r="Q113" t="s">
        <v>753</v>
      </c>
      <c r="R113" t="s">
        <v>657</v>
      </c>
      <c r="S113" t="s">
        <v>17</v>
      </c>
      <c r="T113" t="s">
        <v>666</v>
      </c>
      <c r="U113">
        <v>4.1899999999999998E-9</v>
      </c>
      <c r="V113" t="s">
        <v>713</v>
      </c>
      <c r="W113" t="s">
        <v>632</v>
      </c>
      <c r="X113" t="s">
        <v>18</v>
      </c>
      <c r="Y113" t="s">
        <v>640</v>
      </c>
      <c r="Z113">
        <v>4.1899999999999998E-9</v>
      </c>
      <c r="AA113" t="s">
        <v>623</v>
      </c>
      <c r="AB113" t="s">
        <v>632</v>
      </c>
      <c r="AC113" t="s">
        <v>19</v>
      </c>
      <c r="AD113" t="s">
        <v>640</v>
      </c>
      <c r="AE113">
        <v>4.1899999999999998E-9</v>
      </c>
      <c r="AF113" t="s">
        <v>623</v>
      </c>
      <c r="AG113" t="s">
        <v>632</v>
      </c>
      <c r="AH113" t="s">
        <v>20</v>
      </c>
      <c r="AI113" t="s">
        <v>640</v>
      </c>
      <c r="AJ113">
        <v>4.1899999999999998E-9</v>
      </c>
      <c r="AK113" t="s">
        <v>623</v>
      </c>
      <c r="AL113" t="s">
        <v>511</v>
      </c>
      <c r="AM113" t="s">
        <v>22</v>
      </c>
      <c r="AN113" t="s">
        <v>255</v>
      </c>
      <c r="AO113">
        <v>4.1899999999999998E-9</v>
      </c>
      <c r="AP113" t="s">
        <v>507</v>
      </c>
      <c r="AQ113" t="s">
        <v>511</v>
      </c>
      <c r="AR113" t="s">
        <v>22</v>
      </c>
      <c r="AS113" t="s">
        <v>515</v>
      </c>
      <c r="AT113">
        <v>4.1899999999999998E-9</v>
      </c>
      <c r="AU113" t="s">
        <v>507</v>
      </c>
      <c r="AV113" t="s">
        <v>511</v>
      </c>
      <c r="AW113" t="s">
        <v>23</v>
      </c>
      <c r="AX113" t="s">
        <v>515</v>
      </c>
      <c r="AY113">
        <v>4.1899999999999998E-9</v>
      </c>
      <c r="AZ113" t="s">
        <v>521</v>
      </c>
      <c r="BA113" t="s">
        <v>511</v>
      </c>
      <c r="BB113" t="s">
        <v>24</v>
      </c>
      <c r="BC113" t="s">
        <v>515</v>
      </c>
      <c r="BD113">
        <v>4.1899999999999998E-9</v>
      </c>
      <c r="BG113" t="s">
        <v>25</v>
      </c>
      <c r="BI113">
        <v>4.1899999999999998E-9</v>
      </c>
      <c r="BL113" t="s">
        <v>26</v>
      </c>
      <c r="BN113">
        <v>4.1899999999999998E-9</v>
      </c>
      <c r="BO113" t="str">
        <f t="shared" si="10"/>
        <v>Firma Test11. Test1111.8 Test11 (E+8L+A)</v>
      </c>
      <c r="BP113" t="str">
        <f t="shared" si="11"/>
        <v>Firma Test11. Test11</v>
      </c>
    </row>
    <row r="114" spans="1:68">
      <c r="A114" t="s">
        <v>103</v>
      </c>
      <c r="B114" t="s">
        <v>854</v>
      </c>
      <c r="C114" t="s">
        <v>863</v>
      </c>
      <c r="D114" t="s">
        <v>556</v>
      </c>
      <c r="E114" t="s">
        <v>566</v>
      </c>
      <c r="F114">
        <v>7.17E-8</v>
      </c>
      <c r="G114" t="s">
        <v>453</v>
      </c>
      <c r="H114" t="s">
        <v>576</v>
      </c>
      <c r="I114" t="s">
        <v>5</v>
      </c>
      <c r="J114" t="s">
        <v>586</v>
      </c>
      <c r="K114">
        <v>4.29E-8</v>
      </c>
      <c r="L114" t="s">
        <v>596</v>
      </c>
      <c r="M114" t="s">
        <v>606</v>
      </c>
      <c r="N114" t="s">
        <v>6</v>
      </c>
      <c r="O114" t="s">
        <v>616</v>
      </c>
      <c r="P114">
        <v>2.4699999999999999E-8</v>
      </c>
      <c r="Q114" t="s">
        <v>754</v>
      </c>
      <c r="R114" t="s">
        <v>658</v>
      </c>
      <c r="S114" t="s">
        <v>17</v>
      </c>
      <c r="T114" t="s">
        <v>667</v>
      </c>
      <c r="U114">
        <v>4.1899999999999998E-9</v>
      </c>
      <c r="V114" t="s">
        <v>714</v>
      </c>
      <c r="W114" t="s">
        <v>633</v>
      </c>
      <c r="X114" t="s">
        <v>18</v>
      </c>
      <c r="Y114" t="s">
        <v>641</v>
      </c>
      <c r="Z114">
        <v>4.1899999999999998E-9</v>
      </c>
      <c r="AA114" t="s">
        <v>624</v>
      </c>
      <c r="AB114" t="s">
        <v>633</v>
      </c>
      <c r="AC114" t="s">
        <v>19</v>
      </c>
      <c r="AD114" t="s">
        <v>641</v>
      </c>
      <c r="AE114">
        <v>4.1899999999999998E-9</v>
      </c>
      <c r="AF114" t="s">
        <v>624</v>
      </c>
      <c r="AG114" t="s">
        <v>633</v>
      </c>
      <c r="AH114" t="s">
        <v>20</v>
      </c>
      <c r="AI114" t="s">
        <v>641</v>
      </c>
      <c r="AJ114">
        <v>4.1899999999999998E-9</v>
      </c>
      <c r="AK114" t="s">
        <v>624</v>
      </c>
      <c r="AL114" t="s">
        <v>512</v>
      </c>
      <c r="AM114" t="s">
        <v>23</v>
      </c>
      <c r="AN114" t="s">
        <v>256</v>
      </c>
      <c r="AO114">
        <v>4.1899999999999998E-9</v>
      </c>
      <c r="AP114" t="s">
        <v>508</v>
      </c>
      <c r="AQ114" t="s">
        <v>512</v>
      </c>
      <c r="AR114" t="s">
        <v>22</v>
      </c>
      <c r="AS114" t="s">
        <v>516</v>
      </c>
      <c r="AT114">
        <v>4.1899999999999998E-9</v>
      </c>
      <c r="AU114" t="s">
        <v>508</v>
      </c>
      <c r="AV114" t="s">
        <v>512</v>
      </c>
      <c r="AW114" t="s">
        <v>23</v>
      </c>
      <c r="AX114" t="s">
        <v>516</v>
      </c>
      <c r="AY114">
        <v>4.1899999999999998E-9</v>
      </c>
      <c r="AZ114" t="s">
        <v>522</v>
      </c>
      <c r="BA114" t="s">
        <v>512</v>
      </c>
      <c r="BB114" t="s">
        <v>24</v>
      </c>
      <c r="BC114" t="s">
        <v>516</v>
      </c>
      <c r="BD114">
        <v>4.1899999999999998E-9</v>
      </c>
      <c r="BE114" t="s">
        <v>508</v>
      </c>
      <c r="BF114" t="s">
        <v>512</v>
      </c>
      <c r="BG114" t="s">
        <v>25</v>
      </c>
      <c r="BH114" t="s">
        <v>516</v>
      </c>
      <c r="BI114">
        <v>4.1899999999999998E-9</v>
      </c>
      <c r="BL114" t="s">
        <v>26</v>
      </c>
      <c r="BN114">
        <v>4.1899999999999998E-9</v>
      </c>
      <c r="BO114" t="str">
        <f t="shared" si="10"/>
        <v>Firma Test11. Test1111.9 Test11 (E+9L+A)</v>
      </c>
      <c r="BP114" t="str">
        <f t="shared" si="11"/>
        <v>Firma Test11. Test11</v>
      </c>
    </row>
    <row r="115" spans="1:68">
      <c r="A115" t="s">
        <v>103</v>
      </c>
      <c r="B115" t="s">
        <v>854</v>
      </c>
      <c r="C115" t="s">
        <v>864</v>
      </c>
      <c r="D115" t="s">
        <v>557</v>
      </c>
      <c r="E115" t="s">
        <v>567</v>
      </c>
      <c r="F115">
        <v>7.17E-8</v>
      </c>
      <c r="G115" t="s">
        <v>454</v>
      </c>
      <c r="H115" t="s">
        <v>577</v>
      </c>
      <c r="I115" t="s">
        <v>5</v>
      </c>
      <c r="J115" t="s">
        <v>587</v>
      </c>
      <c r="K115">
        <v>4.29E-8</v>
      </c>
      <c r="L115" t="s">
        <v>597</v>
      </c>
      <c r="M115" t="s">
        <v>607</v>
      </c>
      <c r="N115" t="s">
        <v>6</v>
      </c>
      <c r="O115" t="s">
        <v>617</v>
      </c>
      <c r="P115">
        <v>2.4699999999999999E-8</v>
      </c>
      <c r="Q115" t="s">
        <v>755</v>
      </c>
      <c r="R115" t="s">
        <v>649</v>
      </c>
      <c r="S115" t="s">
        <v>17</v>
      </c>
      <c r="T115" t="s">
        <v>668</v>
      </c>
      <c r="U115">
        <v>4.1899999999999998E-9</v>
      </c>
      <c r="V115" t="s">
        <v>715</v>
      </c>
      <c r="W115" t="s">
        <v>259</v>
      </c>
      <c r="X115" t="s">
        <v>18</v>
      </c>
      <c r="Y115" t="s">
        <v>260</v>
      </c>
      <c r="Z115">
        <v>4.1899999999999998E-9</v>
      </c>
      <c r="AA115" t="s">
        <v>625</v>
      </c>
      <c r="AB115" t="s">
        <v>259</v>
      </c>
      <c r="AC115" t="s">
        <v>19</v>
      </c>
      <c r="AD115" t="s">
        <v>260</v>
      </c>
      <c r="AE115">
        <v>4.1899999999999998E-9</v>
      </c>
      <c r="AF115" t="s">
        <v>625</v>
      </c>
      <c r="AG115" t="s">
        <v>259</v>
      </c>
      <c r="AH115" t="s">
        <v>20</v>
      </c>
      <c r="AI115" t="s">
        <v>260</v>
      </c>
      <c r="AJ115">
        <v>4.1899999999999998E-9</v>
      </c>
      <c r="AK115" t="s">
        <v>625</v>
      </c>
      <c r="AL115" t="s">
        <v>249</v>
      </c>
      <c r="AM115" t="s">
        <v>24</v>
      </c>
      <c r="AN115" t="s">
        <v>257</v>
      </c>
      <c r="AO115">
        <v>4.1899999999999998E-9</v>
      </c>
      <c r="AP115" t="s">
        <v>241</v>
      </c>
      <c r="AQ115" t="s">
        <v>249</v>
      </c>
      <c r="AR115" t="s">
        <v>22</v>
      </c>
      <c r="AS115" t="s">
        <v>257</v>
      </c>
      <c r="AT115">
        <v>4.1899999999999998E-9</v>
      </c>
      <c r="AU115" t="s">
        <v>241</v>
      </c>
      <c r="AV115" t="s">
        <v>249</v>
      </c>
      <c r="AW115" t="s">
        <v>23</v>
      </c>
      <c r="AX115" t="s">
        <v>257</v>
      </c>
      <c r="AY115">
        <v>4.1899999999999998E-9</v>
      </c>
      <c r="AZ115" t="s">
        <v>523</v>
      </c>
      <c r="BA115" t="s">
        <v>249</v>
      </c>
      <c r="BB115" t="s">
        <v>24</v>
      </c>
      <c r="BC115" t="s">
        <v>257</v>
      </c>
      <c r="BD115">
        <v>4.1899999999999998E-9</v>
      </c>
      <c r="BE115" t="s">
        <v>241</v>
      </c>
      <c r="BF115" t="s">
        <v>249</v>
      </c>
      <c r="BG115" t="s">
        <v>25</v>
      </c>
      <c r="BH115" t="s">
        <v>257</v>
      </c>
      <c r="BI115">
        <v>4.1899999999999998E-9</v>
      </c>
      <c r="BJ115" t="s">
        <v>517</v>
      </c>
      <c r="BK115" t="s">
        <v>249</v>
      </c>
      <c r="BL115" t="s">
        <v>26</v>
      </c>
      <c r="BM115" t="s">
        <v>257</v>
      </c>
      <c r="BN115">
        <v>4.1899999999999998E-9</v>
      </c>
      <c r="BO115" t="str">
        <f t="shared" si="10"/>
        <v>Firma Test11. Test1111.10 Test11 (E+10L+A)</v>
      </c>
      <c r="BP115" t="str">
        <f t="shared" si="11"/>
        <v>Firma Test11. Test11</v>
      </c>
    </row>
    <row r="116" spans="1:68">
      <c r="A116" t="s">
        <v>103</v>
      </c>
      <c r="B116" t="s">
        <v>876</v>
      </c>
      <c r="C116" t="s">
        <v>877</v>
      </c>
      <c r="D116" t="s">
        <v>548</v>
      </c>
      <c r="E116" t="s">
        <v>558</v>
      </c>
      <c r="F116">
        <v>7.17E-8</v>
      </c>
      <c r="G116" t="s">
        <v>424</v>
      </c>
      <c r="H116" t="s">
        <v>568</v>
      </c>
      <c r="I116" t="s">
        <v>5</v>
      </c>
      <c r="J116" t="s">
        <v>578</v>
      </c>
      <c r="K116">
        <v>4.29E-8</v>
      </c>
      <c r="L116" t="s">
        <v>588</v>
      </c>
      <c r="M116" t="s">
        <v>598</v>
      </c>
      <c r="N116" t="s">
        <v>6</v>
      </c>
      <c r="O116" t="s">
        <v>608</v>
      </c>
      <c r="P116">
        <v>2.4699999999999999E-8</v>
      </c>
      <c r="Q116" t="s">
        <v>746</v>
      </c>
      <c r="R116" t="s">
        <v>650</v>
      </c>
      <c r="S116" t="s">
        <v>17</v>
      </c>
      <c r="T116" t="s">
        <v>659</v>
      </c>
      <c r="U116">
        <v>4.1899999999999998E-9</v>
      </c>
      <c r="X116" t="s">
        <v>18</v>
      </c>
      <c r="Z116">
        <v>4.1899999999999998E-9</v>
      </c>
      <c r="AE116">
        <v>4.1899999999999998E-9</v>
      </c>
      <c r="AH116" t="s">
        <v>20</v>
      </c>
      <c r="AJ116">
        <v>4.1899999999999998E-9</v>
      </c>
      <c r="AM116" t="s">
        <v>21</v>
      </c>
      <c r="AO116">
        <v>4.1899999999999998E-9</v>
      </c>
      <c r="AR116" t="s">
        <v>22</v>
      </c>
      <c r="AT116">
        <v>4.1899999999999998E-9</v>
      </c>
      <c r="AW116" t="s">
        <v>23</v>
      </c>
      <c r="AY116">
        <v>4.1899999999999998E-9</v>
      </c>
      <c r="BB116" t="s">
        <v>24</v>
      </c>
      <c r="BD116">
        <v>4.1899999999999998E-9</v>
      </c>
      <c r="BG116" t="s">
        <v>25</v>
      </c>
      <c r="BI116">
        <v>4.1899999999999998E-9</v>
      </c>
      <c r="BL116" t="s">
        <v>26</v>
      </c>
      <c r="BN116">
        <v>4.1899999999999998E-9</v>
      </c>
      <c r="BO116" t="str">
        <f t="shared" si="10"/>
        <v>Firma Test12. Test1212.1 Test12 (E+1L+A)</v>
      </c>
      <c r="BP116" t="str">
        <f t="shared" si="11"/>
        <v>Firma Test12. Test12</v>
      </c>
    </row>
    <row r="117" spans="1:68">
      <c r="A117" t="s">
        <v>103</v>
      </c>
      <c r="B117" t="s">
        <v>876</v>
      </c>
      <c r="C117" t="s">
        <v>878</v>
      </c>
      <c r="D117" t="s">
        <v>549</v>
      </c>
      <c r="E117" t="s">
        <v>559</v>
      </c>
      <c r="F117">
        <v>7.17E-8</v>
      </c>
      <c r="G117" t="s">
        <v>446</v>
      </c>
      <c r="H117" t="s">
        <v>569</v>
      </c>
      <c r="I117" t="s">
        <v>5</v>
      </c>
      <c r="J117" t="s">
        <v>579</v>
      </c>
      <c r="K117">
        <v>4.29E-8</v>
      </c>
      <c r="L117" t="s">
        <v>589</v>
      </c>
      <c r="M117" t="s">
        <v>599</v>
      </c>
      <c r="N117" t="s">
        <v>6</v>
      </c>
      <c r="O117" t="s">
        <v>609</v>
      </c>
      <c r="P117">
        <v>2.4699999999999999E-8</v>
      </c>
      <c r="Q117" t="s">
        <v>747</v>
      </c>
      <c r="R117" t="s">
        <v>651</v>
      </c>
      <c r="S117" t="s">
        <v>17</v>
      </c>
      <c r="T117" t="s">
        <v>660</v>
      </c>
      <c r="U117">
        <v>4.1899999999999998E-9</v>
      </c>
      <c r="V117" t="s">
        <v>707</v>
      </c>
      <c r="W117" t="s">
        <v>626</v>
      </c>
      <c r="X117" t="s">
        <v>18</v>
      </c>
      <c r="Y117" t="s">
        <v>634</v>
      </c>
      <c r="Z117">
        <v>4.1899999999999998E-9</v>
      </c>
      <c r="AE117">
        <v>4.1899999999999998E-9</v>
      </c>
      <c r="AH117" t="s">
        <v>20</v>
      </c>
      <c r="AJ117">
        <v>4.1899999999999998E-9</v>
      </c>
      <c r="AM117" t="s">
        <v>21</v>
      </c>
      <c r="AO117">
        <v>4.1899999999999998E-9</v>
      </c>
      <c r="AR117" t="s">
        <v>22</v>
      </c>
      <c r="AT117">
        <v>4.1899999999999998E-9</v>
      </c>
      <c r="AW117" t="s">
        <v>23</v>
      </c>
      <c r="AY117">
        <v>4.1899999999999998E-9</v>
      </c>
      <c r="BB117" t="s">
        <v>24</v>
      </c>
      <c r="BD117">
        <v>4.1899999999999998E-9</v>
      </c>
      <c r="BG117" t="s">
        <v>25</v>
      </c>
      <c r="BI117">
        <v>4.1899999999999998E-9</v>
      </c>
      <c r="BL117" t="s">
        <v>26</v>
      </c>
      <c r="BN117">
        <v>4.1899999999999998E-9</v>
      </c>
      <c r="BO117" t="str">
        <f t="shared" si="10"/>
        <v>Firma Test12. Test1212.2 Test12 (E+2L+A)</v>
      </c>
      <c r="BP117" t="str">
        <f t="shared" si="11"/>
        <v>Firma Test12. Test12</v>
      </c>
    </row>
    <row r="118" spans="1:68">
      <c r="A118" t="s">
        <v>103</v>
      </c>
      <c r="B118" t="s">
        <v>876</v>
      </c>
      <c r="C118" t="s">
        <v>879</v>
      </c>
      <c r="D118" t="s">
        <v>550</v>
      </c>
      <c r="E118" t="s">
        <v>560</v>
      </c>
      <c r="F118">
        <v>7.17E-8</v>
      </c>
      <c r="G118" t="s">
        <v>447</v>
      </c>
      <c r="H118" t="s">
        <v>570</v>
      </c>
      <c r="I118" t="s">
        <v>5</v>
      </c>
      <c r="J118" t="s">
        <v>580</v>
      </c>
      <c r="K118">
        <v>4.29E-8</v>
      </c>
      <c r="L118" t="s">
        <v>590</v>
      </c>
      <c r="M118" t="s">
        <v>600</v>
      </c>
      <c r="N118" t="s">
        <v>6</v>
      </c>
      <c r="O118" t="s">
        <v>610</v>
      </c>
      <c r="P118">
        <v>2.4699999999999999E-8</v>
      </c>
      <c r="Q118" t="s">
        <v>748</v>
      </c>
      <c r="R118" t="s">
        <v>652</v>
      </c>
      <c r="S118" t="s">
        <v>17</v>
      </c>
      <c r="T118" t="s">
        <v>661</v>
      </c>
      <c r="U118">
        <v>4.1899999999999998E-9</v>
      </c>
      <c r="V118" t="s">
        <v>708</v>
      </c>
      <c r="W118" t="s">
        <v>627</v>
      </c>
      <c r="X118" t="s">
        <v>18</v>
      </c>
      <c r="Y118" t="s">
        <v>635</v>
      </c>
      <c r="Z118">
        <v>4.1899999999999998E-9</v>
      </c>
      <c r="AA118" t="s">
        <v>618</v>
      </c>
      <c r="AB118" t="s">
        <v>627</v>
      </c>
      <c r="AC118" t="s">
        <v>19</v>
      </c>
      <c r="AD118" t="s">
        <v>635</v>
      </c>
      <c r="AE118">
        <v>4.1899999999999998E-9</v>
      </c>
      <c r="AH118" t="s">
        <v>20</v>
      </c>
      <c r="AJ118">
        <v>4.1899999999999998E-9</v>
      </c>
      <c r="AM118" t="s">
        <v>21</v>
      </c>
      <c r="AO118">
        <v>4.1899999999999998E-9</v>
      </c>
      <c r="AR118" t="s">
        <v>22</v>
      </c>
      <c r="AT118">
        <v>4.1899999999999998E-9</v>
      </c>
      <c r="AW118" t="s">
        <v>23</v>
      </c>
      <c r="AY118">
        <v>4.1899999999999998E-9</v>
      </c>
      <c r="BB118" t="s">
        <v>24</v>
      </c>
      <c r="BD118">
        <v>4.1899999999999998E-9</v>
      </c>
      <c r="BG118" t="s">
        <v>25</v>
      </c>
      <c r="BI118">
        <v>4.1899999999999998E-9</v>
      </c>
      <c r="BL118" t="s">
        <v>26</v>
      </c>
      <c r="BN118">
        <v>4.1899999999999998E-9</v>
      </c>
      <c r="BO118" t="str">
        <f t="shared" si="10"/>
        <v>Firma Test12. Test1212.3 Test12 (E+3L+A)</v>
      </c>
      <c r="BP118" t="str">
        <f t="shared" si="11"/>
        <v>Firma Test12. Test12</v>
      </c>
    </row>
    <row r="119" spans="1:68">
      <c r="A119" t="s">
        <v>103</v>
      </c>
      <c r="B119" t="s">
        <v>876</v>
      </c>
      <c r="C119" t="s">
        <v>880</v>
      </c>
      <c r="D119" t="s">
        <v>551</v>
      </c>
      <c r="E119" t="s">
        <v>561</v>
      </c>
      <c r="F119">
        <v>7.17E-8</v>
      </c>
      <c r="G119" t="s">
        <v>448</v>
      </c>
      <c r="H119" t="s">
        <v>571</v>
      </c>
      <c r="I119" t="s">
        <v>5</v>
      </c>
      <c r="J119" t="s">
        <v>581</v>
      </c>
      <c r="K119">
        <v>4.29E-8</v>
      </c>
      <c r="L119" t="s">
        <v>591</v>
      </c>
      <c r="M119" t="s">
        <v>601</v>
      </c>
      <c r="N119" t="s">
        <v>6</v>
      </c>
      <c r="O119" t="s">
        <v>611</v>
      </c>
      <c r="P119">
        <v>2.4699999999999999E-8</v>
      </c>
      <c r="Q119" t="s">
        <v>749</v>
      </c>
      <c r="R119" t="s">
        <v>653</v>
      </c>
      <c r="S119" t="s">
        <v>17</v>
      </c>
      <c r="T119" t="s">
        <v>662</v>
      </c>
      <c r="U119">
        <v>4.1899999999999998E-9</v>
      </c>
      <c r="V119" t="s">
        <v>709</v>
      </c>
      <c r="W119" t="s">
        <v>628</v>
      </c>
      <c r="X119" t="s">
        <v>18</v>
      </c>
      <c r="Y119" t="s">
        <v>636</v>
      </c>
      <c r="Z119">
        <v>4.1899999999999998E-9</v>
      </c>
      <c r="AA119" t="s">
        <v>619</v>
      </c>
      <c r="AB119" t="s">
        <v>628</v>
      </c>
      <c r="AC119" t="s">
        <v>19</v>
      </c>
      <c r="AD119" t="s">
        <v>636</v>
      </c>
      <c r="AE119">
        <v>4.1899999999999998E-9</v>
      </c>
      <c r="AF119" t="s">
        <v>619</v>
      </c>
      <c r="AG119" t="s">
        <v>628</v>
      </c>
      <c r="AH119" t="s">
        <v>20</v>
      </c>
      <c r="AI119" t="s">
        <v>636</v>
      </c>
      <c r="AJ119">
        <v>4.1899999999999998E-9</v>
      </c>
      <c r="AM119" t="s">
        <v>21</v>
      </c>
      <c r="AO119">
        <v>4.1899999999999998E-9</v>
      </c>
      <c r="AR119" t="s">
        <v>22</v>
      </c>
      <c r="AT119">
        <v>4.1899999999999998E-9</v>
      </c>
      <c r="AW119" t="s">
        <v>23</v>
      </c>
      <c r="AY119">
        <v>4.1899999999999998E-9</v>
      </c>
      <c r="BB119" t="s">
        <v>24</v>
      </c>
      <c r="BD119">
        <v>4.1899999999999998E-9</v>
      </c>
      <c r="BG119" t="s">
        <v>25</v>
      </c>
      <c r="BI119">
        <v>4.1899999999999998E-9</v>
      </c>
      <c r="BL119" t="s">
        <v>26</v>
      </c>
      <c r="BN119">
        <v>4.1899999999999998E-9</v>
      </c>
      <c r="BO119" t="str">
        <f t="shared" si="10"/>
        <v>Firma Test12. Test1212.4 Test12 (E+4L+A)</v>
      </c>
      <c r="BP119" t="str">
        <f t="shared" si="11"/>
        <v>Firma Test12. Test12</v>
      </c>
    </row>
    <row r="120" spans="1:68">
      <c r="A120" t="s">
        <v>103</v>
      </c>
      <c r="B120" t="s">
        <v>876</v>
      </c>
      <c r="C120" t="s">
        <v>881</v>
      </c>
      <c r="D120" t="s">
        <v>552</v>
      </c>
      <c r="E120" t="s">
        <v>562</v>
      </c>
      <c r="F120">
        <v>7.17E-8</v>
      </c>
      <c r="G120" t="s">
        <v>449</v>
      </c>
      <c r="H120" t="s">
        <v>572</v>
      </c>
      <c r="I120" t="s">
        <v>5</v>
      </c>
      <c r="J120" t="s">
        <v>582</v>
      </c>
      <c r="K120">
        <v>4.29E-8</v>
      </c>
      <c r="L120" t="s">
        <v>592</v>
      </c>
      <c r="M120" t="s">
        <v>602</v>
      </c>
      <c r="N120" t="s">
        <v>6</v>
      </c>
      <c r="O120" t="s">
        <v>612</v>
      </c>
      <c r="P120">
        <v>2.4699999999999999E-8</v>
      </c>
      <c r="Q120" t="s">
        <v>750</v>
      </c>
      <c r="R120" t="s">
        <v>654</v>
      </c>
      <c r="S120" t="s">
        <v>17</v>
      </c>
      <c r="T120" t="s">
        <v>663</v>
      </c>
      <c r="U120">
        <v>4.1899999999999998E-9</v>
      </c>
      <c r="V120" t="s">
        <v>710</v>
      </c>
      <c r="W120" t="s">
        <v>629</v>
      </c>
      <c r="X120" t="s">
        <v>18</v>
      </c>
      <c r="Y120" t="s">
        <v>637</v>
      </c>
      <c r="Z120">
        <v>4.1899999999999998E-9</v>
      </c>
      <c r="AA120" t="s">
        <v>620</v>
      </c>
      <c r="AB120" t="s">
        <v>629</v>
      </c>
      <c r="AC120" t="s">
        <v>19</v>
      </c>
      <c r="AD120" t="s">
        <v>637</v>
      </c>
      <c r="AE120">
        <v>4.1899999999999998E-9</v>
      </c>
      <c r="AF120" t="s">
        <v>620</v>
      </c>
      <c r="AG120" t="s">
        <v>629</v>
      </c>
      <c r="AH120" t="s">
        <v>20</v>
      </c>
      <c r="AI120" t="s">
        <v>637</v>
      </c>
      <c r="AJ120">
        <v>4.1899999999999998E-9</v>
      </c>
      <c r="AK120" t="s">
        <v>620</v>
      </c>
      <c r="AL120" t="s">
        <v>648</v>
      </c>
      <c r="AM120" t="s">
        <v>21</v>
      </c>
      <c r="AN120" t="s">
        <v>252</v>
      </c>
      <c r="AO120">
        <v>4.1899999999999998E-9</v>
      </c>
      <c r="AR120" t="s">
        <v>22</v>
      </c>
      <c r="AT120">
        <v>4.1899999999999998E-9</v>
      </c>
      <c r="AW120" t="s">
        <v>23</v>
      </c>
      <c r="AY120">
        <v>4.1899999999999998E-9</v>
      </c>
      <c r="BB120" t="s">
        <v>24</v>
      </c>
      <c r="BD120">
        <v>4.1899999999999998E-9</v>
      </c>
      <c r="BG120" t="s">
        <v>25</v>
      </c>
      <c r="BI120">
        <v>4.1899999999999998E-9</v>
      </c>
      <c r="BL120" t="s">
        <v>26</v>
      </c>
      <c r="BN120">
        <v>4.1899999999999998E-9</v>
      </c>
      <c r="BO120" t="str">
        <f t="shared" si="10"/>
        <v>Firma Test12. Test1212.5 Test12 (E+5L+A)</v>
      </c>
      <c r="BP120" t="str">
        <f t="shared" si="11"/>
        <v>Firma Test12. Test12</v>
      </c>
    </row>
    <row r="121" spans="1:68">
      <c r="A121" t="s">
        <v>103</v>
      </c>
      <c r="B121" t="s">
        <v>876</v>
      </c>
      <c r="C121" t="s">
        <v>882</v>
      </c>
      <c r="D121" t="s">
        <v>553</v>
      </c>
      <c r="E121" t="s">
        <v>563</v>
      </c>
      <c r="F121">
        <v>7.17E-8</v>
      </c>
      <c r="G121" t="s">
        <v>450</v>
      </c>
      <c r="H121" t="s">
        <v>573</v>
      </c>
      <c r="I121" t="s">
        <v>5</v>
      </c>
      <c r="J121" t="s">
        <v>583</v>
      </c>
      <c r="K121">
        <v>4.29E-8</v>
      </c>
      <c r="L121" t="s">
        <v>593</v>
      </c>
      <c r="M121" t="s">
        <v>603</v>
      </c>
      <c r="N121" t="s">
        <v>6</v>
      </c>
      <c r="O121" t="s">
        <v>613</v>
      </c>
      <c r="P121">
        <v>2.4699999999999999E-8</v>
      </c>
      <c r="Q121" t="s">
        <v>751</v>
      </c>
      <c r="R121" t="s">
        <v>655</v>
      </c>
      <c r="S121" t="s">
        <v>17</v>
      </c>
      <c r="T121" t="s">
        <v>664</v>
      </c>
      <c r="U121">
        <v>4.1899999999999998E-9</v>
      </c>
      <c r="V121" t="s">
        <v>711</v>
      </c>
      <c r="W121" t="s">
        <v>630</v>
      </c>
      <c r="X121" t="s">
        <v>18</v>
      </c>
      <c r="Y121" t="s">
        <v>638</v>
      </c>
      <c r="Z121">
        <v>4.1899999999999998E-9</v>
      </c>
      <c r="AA121" t="s">
        <v>621</v>
      </c>
      <c r="AB121" t="s">
        <v>630</v>
      </c>
      <c r="AC121" t="s">
        <v>19</v>
      </c>
      <c r="AD121" t="s">
        <v>638</v>
      </c>
      <c r="AE121">
        <v>4.1899999999999998E-9</v>
      </c>
      <c r="AF121" t="s">
        <v>621</v>
      </c>
      <c r="AG121" t="s">
        <v>630</v>
      </c>
      <c r="AH121" t="s">
        <v>20</v>
      </c>
      <c r="AI121" t="s">
        <v>638</v>
      </c>
      <c r="AJ121">
        <v>4.1899999999999998E-9</v>
      </c>
      <c r="AK121" t="s">
        <v>621</v>
      </c>
      <c r="AL121" t="s">
        <v>509</v>
      </c>
      <c r="AM121" t="s">
        <v>21</v>
      </c>
      <c r="AN121" t="s">
        <v>253</v>
      </c>
      <c r="AO121">
        <v>4.1899999999999998E-9</v>
      </c>
      <c r="AP121" t="s">
        <v>505</v>
      </c>
      <c r="AQ121" t="s">
        <v>509</v>
      </c>
      <c r="AR121" t="s">
        <v>22</v>
      </c>
      <c r="AS121" t="s">
        <v>513</v>
      </c>
      <c r="AT121">
        <v>4.1899999999999998E-9</v>
      </c>
      <c r="AW121" t="s">
        <v>23</v>
      </c>
      <c r="AY121">
        <v>4.1899999999999998E-9</v>
      </c>
      <c r="BB121" t="s">
        <v>24</v>
      </c>
      <c r="BD121">
        <v>4.1899999999999998E-9</v>
      </c>
      <c r="BG121" t="s">
        <v>25</v>
      </c>
      <c r="BI121">
        <v>4.1899999999999998E-9</v>
      </c>
      <c r="BL121" t="s">
        <v>26</v>
      </c>
      <c r="BN121">
        <v>4.1899999999999998E-9</v>
      </c>
      <c r="BO121" t="str">
        <f t="shared" si="10"/>
        <v>Firma Test12. Test1212.6 Test12 (E+6L+A)</v>
      </c>
      <c r="BP121" t="str">
        <f t="shared" si="11"/>
        <v>Firma Test12. Test12</v>
      </c>
    </row>
    <row r="122" spans="1:68">
      <c r="A122" t="s">
        <v>103</v>
      </c>
      <c r="B122" t="s">
        <v>876</v>
      </c>
      <c r="C122" t="s">
        <v>883</v>
      </c>
      <c r="D122" t="s">
        <v>554</v>
      </c>
      <c r="E122" t="s">
        <v>564</v>
      </c>
      <c r="F122">
        <v>7.17E-8</v>
      </c>
      <c r="G122" t="s">
        <v>451</v>
      </c>
      <c r="H122" t="s">
        <v>574</v>
      </c>
      <c r="I122" t="s">
        <v>5</v>
      </c>
      <c r="J122" t="s">
        <v>584</v>
      </c>
      <c r="K122">
        <v>4.29E-8</v>
      </c>
      <c r="L122" t="s">
        <v>594</v>
      </c>
      <c r="M122" t="s">
        <v>604</v>
      </c>
      <c r="N122" t="s">
        <v>6</v>
      </c>
      <c r="O122" t="s">
        <v>614</v>
      </c>
      <c r="P122">
        <v>2.4699999999999999E-8</v>
      </c>
      <c r="Q122" t="s">
        <v>752</v>
      </c>
      <c r="R122" t="s">
        <v>656</v>
      </c>
      <c r="S122" t="s">
        <v>17</v>
      </c>
      <c r="T122" t="s">
        <v>665</v>
      </c>
      <c r="U122">
        <v>4.1899999999999998E-9</v>
      </c>
      <c r="V122" t="s">
        <v>712</v>
      </c>
      <c r="W122" t="s">
        <v>631</v>
      </c>
      <c r="X122" t="s">
        <v>18</v>
      </c>
      <c r="Y122" t="s">
        <v>639</v>
      </c>
      <c r="Z122">
        <v>4.1899999999999998E-9</v>
      </c>
      <c r="AA122" t="s">
        <v>622</v>
      </c>
      <c r="AB122" t="s">
        <v>631</v>
      </c>
      <c r="AC122" t="s">
        <v>19</v>
      </c>
      <c r="AD122" t="s">
        <v>639</v>
      </c>
      <c r="AE122">
        <v>4.1899999999999998E-9</v>
      </c>
      <c r="AF122" t="s">
        <v>622</v>
      </c>
      <c r="AG122" t="s">
        <v>631</v>
      </c>
      <c r="AH122" t="s">
        <v>20</v>
      </c>
      <c r="AI122" t="s">
        <v>639</v>
      </c>
      <c r="AJ122">
        <v>4.1899999999999998E-9</v>
      </c>
      <c r="AK122" t="s">
        <v>622</v>
      </c>
      <c r="AL122" t="s">
        <v>510</v>
      </c>
      <c r="AM122" t="s">
        <v>21</v>
      </c>
      <c r="AN122" t="s">
        <v>254</v>
      </c>
      <c r="AO122">
        <v>4.1899999999999998E-9</v>
      </c>
      <c r="AP122" t="s">
        <v>506</v>
      </c>
      <c r="AQ122" t="s">
        <v>510</v>
      </c>
      <c r="AR122" t="s">
        <v>22</v>
      </c>
      <c r="AS122" t="s">
        <v>514</v>
      </c>
      <c r="AT122">
        <v>4.1899999999999998E-9</v>
      </c>
      <c r="AU122" t="s">
        <v>506</v>
      </c>
      <c r="AV122" t="s">
        <v>510</v>
      </c>
      <c r="AW122" t="s">
        <v>23</v>
      </c>
      <c r="AX122" t="s">
        <v>514</v>
      </c>
      <c r="AY122">
        <v>4.1899999999999998E-9</v>
      </c>
      <c r="BB122" t="s">
        <v>24</v>
      </c>
      <c r="BD122">
        <v>4.1899999999999998E-9</v>
      </c>
      <c r="BG122" t="s">
        <v>25</v>
      </c>
      <c r="BI122">
        <v>4.1899999999999998E-9</v>
      </c>
      <c r="BL122" t="s">
        <v>26</v>
      </c>
      <c r="BN122">
        <v>4.1899999999999998E-9</v>
      </c>
      <c r="BO122" t="str">
        <f t="shared" si="10"/>
        <v>Firma Test12. Test1212.7 Test12 (E+7L+A)</v>
      </c>
      <c r="BP122" t="str">
        <f t="shared" si="11"/>
        <v>Firma Test12. Test12</v>
      </c>
    </row>
    <row r="123" spans="1:68">
      <c r="A123" t="s">
        <v>103</v>
      </c>
      <c r="B123" t="s">
        <v>876</v>
      </c>
      <c r="C123" t="s">
        <v>884</v>
      </c>
      <c r="D123" t="s">
        <v>555</v>
      </c>
      <c r="E123" t="s">
        <v>565</v>
      </c>
      <c r="F123">
        <v>7.17E-8</v>
      </c>
      <c r="G123" t="s">
        <v>452</v>
      </c>
      <c r="H123" t="s">
        <v>575</v>
      </c>
      <c r="I123" t="s">
        <v>5</v>
      </c>
      <c r="J123" t="s">
        <v>585</v>
      </c>
      <c r="K123">
        <v>4.29E-8</v>
      </c>
      <c r="L123" t="s">
        <v>595</v>
      </c>
      <c r="M123" t="s">
        <v>605</v>
      </c>
      <c r="N123" t="s">
        <v>6</v>
      </c>
      <c r="O123" t="s">
        <v>615</v>
      </c>
      <c r="P123">
        <v>2.4699999999999999E-8</v>
      </c>
      <c r="Q123" t="s">
        <v>753</v>
      </c>
      <c r="R123" t="s">
        <v>657</v>
      </c>
      <c r="S123" t="s">
        <v>17</v>
      </c>
      <c r="T123" t="s">
        <v>666</v>
      </c>
      <c r="U123">
        <v>4.1899999999999998E-9</v>
      </c>
      <c r="V123" t="s">
        <v>713</v>
      </c>
      <c r="W123" t="s">
        <v>632</v>
      </c>
      <c r="X123" t="s">
        <v>18</v>
      </c>
      <c r="Y123" t="s">
        <v>640</v>
      </c>
      <c r="Z123">
        <v>4.1899999999999998E-9</v>
      </c>
      <c r="AA123" t="s">
        <v>623</v>
      </c>
      <c r="AB123" t="s">
        <v>632</v>
      </c>
      <c r="AC123" t="s">
        <v>19</v>
      </c>
      <c r="AD123" t="s">
        <v>640</v>
      </c>
      <c r="AE123">
        <v>4.1899999999999998E-9</v>
      </c>
      <c r="AF123" t="s">
        <v>623</v>
      </c>
      <c r="AG123" t="s">
        <v>632</v>
      </c>
      <c r="AH123" t="s">
        <v>20</v>
      </c>
      <c r="AI123" t="s">
        <v>640</v>
      </c>
      <c r="AJ123">
        <v>4.1899999999999998E-9</v>
      </c>
      <c r="AK123" t="s">
        <v>623</v>
      </c>
      <c r="AL123" t="s">
        <v>511</v>
      </c>
      <c r="AM123" t="s">
        <v>22</v>
      </c>
      <c r="AN123" t="s">
        <v>255</v>
      </c>
      <c r="AO123">
        <v>4.1899999999999998E-9</v>
      </c>
      <c r="AP123" t="s">
        <v>507</v>
      </c>
      <c r="AQ123" t="s">
        <v>511</v>
      </c>
      <c r="AR123" t="s">
        <v>22</v>
      </c>
      <c r="AS123" t="s">
        <v>515</v>
      </c>
      <c r="AT123">
        <v>4.1899999999999998E-9</v>
      </c>
      <c r="AU123" t="s">
        <v>507</v>
      </c>
      <c r="AV123" t="s">
        <v>511</v>
      </c>
      <c r="AW123" t="s">
        <v>23</v>
      </c>
      <c r="AX123" t="s">
        <v>515</v>
      </c>
      <c r="AY123">
        <v>4.1899999999999998E-9</v>
      </c>
      <c r="AZ123" t="s">
        <v>521</v>
      </c>
      <c r="BA123" t="s">
        <v>511</v>
      </c>
      <c r="BB123" t="s">
        <v>24</v>
      </c>
      <c r="BC123" t="s">
        <v>515</v>
      </c>
      <c r="BD123">
        <v>4.1899999999999998E-9</v>
      </c>
      <c r="BG123" t="s">
        <v>25</v>
      </c>
      <c r="BI123">
        <v>4.1899999999999998E-9</v>
      </c>
      <c r="BL123" t="s">
        <v>26</v>
      </c>
      <c r="BN123">
        <v>4.1899999999999998E-9</v>
      </c>
      <c r="BO123" t="str">
        <f t="shared" si="10"/>
        <v>Firma Test12. Test1212.8 Test12 (E+8L+A)</v>
      </c>
      <c r="BP123" t="str">
        <f t="shared" si="11"/>
        <v>Firma Test12. Test12</v>
      </c>
    </row>
    <row r="124" spans="1:68">
      <c r="A124" t="s">
        <v>103</v>
      </c>
      <c r="B124" t="s">
        <v>876</v>
      </c>
      <c r="C124" t="s">
        <v>885</v>
      </c>
      <c r="D124" t="s">
        <v>556</v>
      </c>
      <c r="E124" t="s">
        <v>566</v>
      </c>
      <c r="F124">
        <v>7.17E-8</v>
      </c>
      <c r="G124" t="s">
        <v>453</v>
      </c>
      <c r="H124" t="s">
        <v>576</v>
      </c>
      <c r="I124" t="s">
        <v>5</v>
      </c>
      <c r="J124" t="s">
        <v>586</v>
      </c>
      <c r="K124">
        <v>4.29E-8</v>
      </c>
      <c r="L124" t="s">
        <v>596</v>
      </c>
      <c r="M124" t="s">
        <v>606</v>
      </c>
      <c r="N124" t="s">
        <v>6</v>
      </c>
      <c r="O124" t="s">
        <v>616</v>
      </c>
      <c r="P124">
        <v>2.4699999999999999E-8</v>
      </c>
      <c r="Q124" t="s">
        <v>754</v>
      </c>
      <c r="R124" t="s">
        <v>658</v>
      </c>
      <c r="S124" t="s">
        <v>17</v>
      </c>
      <c r="T124" t="s">
        <v>667</v>
      </c>
      <c r="U124">
        <v>4.1899999999999998E-9</v>
      </c>
      <c r="V124" t="s">
        <v>714</v>
      </c>
      <c r="W124" t="s">
        <v>633</v>
      </c>
      <c r="X124" t="s">
        <v>18</v>
      </c>
      <c r="Y124" t="s">
        <v>641</v>
      </c>
      <c r="Z124">
        <v>4.1899999999999998E-9</v>
      </c>
      <c r="AA124" t="s">
        <v>624</v>
      </c>
      <c r="AB124" t="s">
        <v>633</v>
      </c>
      <c r="AC124" t="s">
        <v>19</v>
      </c>
      <c r="AD124" t="s">
        <v>641</v>
      </c>
      <c r="AE124">
        <v>4.1899999999999998E-9</v>
      </c>
      <c r="AF124" t="s">
        <v>624</v>
      </c>
      <c r="AG124" t="s">
        <v>633</v>
      </c>
      <c r="AH124" t="s">
        <v>20</v>
      </c>
      <c r="AI124" t="s">
        <v>641</v>
      </c>
      <c r="AJ124">
        <v>4.1899999999999998E-9</v>
      </c>
      <c r="AK124" t="s">
        <v>624</v>
      </c>
      <c r="AL124" t="s">
        <v>512</v>
      </c>
      <c r="AM124" t="s">
        <v>23</v>
      </c>
      <c r="AN124" t="s">
        <v>256</v>
      </c>
      <c r="AO124">
        <v>4.1899999999999998E-9</v>
      </c>
      <c r="AP124" t="s">
        <v>508</v>
      </c>
      <c r="AQ124" t="s">
        <v>512</v>
      </c>
      <c r="AR124" t="s">
        <v>22</v>
      </c>
      <c r="AS124" t="s">
        <v>516</v>
      </c>
      <c r="AT124">
        <v>4.1899999999999998E-9</v>
      </c>
      <c r="AU124" t="s">
        <v>508</v>
      </c>
      <c r="AV124" t="s">
        <v>512</v>
      </c>
      <c r="AW124" t="s">
        <v>23</v>
      </c>
      <c r="AX124" t="s">
        <v>516</v>
      </c>
      <c r="AY124">
        <v>4.1899999999999998E-9</v>
      </c>
      <c r="AZ124" t="s">
        <v>522</v>
      </c>
      <c r="BA124" t="s">
        <v>512</v>
      </c>
      <c r="BB124" t="s">
        <v>24</v>
      </c>
      <c r="BC124" t="s">
        <v>516</v>
      </c>
      <c r="BD124">
        <v>4.1899999999999998E-9</v>
      </c>
      <c r="BE124" t="s">
        <v>508</v>
      </c>
      <c r="BF124" t="s">
        <v>512</v>
      </c>
      <c r="BG124" t="s">
        <v>25</v>
      </c>
      <c r="BH124" t="s">
        <v>516</v>
      </c>
      <c r="BI124">
        <v>4.1899999999999998E-9</v>
      </c>
      <c r="BL124" t="s">
        <v>26</v>
      </c>
      <c r="BN124">
        <v>4.1899999999999998E-9</v>
      </c>
      <c r="BO124" t="str">
        <f t="shared" si="10"/>
        <v>Firma Test12. Test1212.9 Test12 (E+9L+A)</v>
      </c>
      <c r="BP124" t="str">
        <f t="shared" si="11"/>
        <v>Firma Test12. Test12</v>
      </c>
    </row>
    <row r="125" spans="1:68">
      <c r="A125" t="s">
        <v>103</v>
      </c>
      <c r="B125" t="s">
        <v>876</v>
      </c>
      <c r="C125" t="s">
        <v>886</v>
      </c>
      <c r="D125" t="s">
        <v>557</v>
      </c>
      <c r="E125" t="s">
        <v>567</v>
      </c>
      <c r="F125">
        <v>7.17E-8</v>
      </c>
      <c r="G125" t="s">
        <v>454</v>
      </c>
      <c r="H125" t="s">
        <v>577</v>
      </c>
      <c r="I125" t="s">
        <v>5</v>
      </c>
      <c r="J125" t="s">
        <v>587</v>
      </c>
      <c r="K125">
        <v>4.29E-8</v>
      </c>
      <c r="L125" t="s">
        <v>597</v>
      </c>
      <c r="M125" t="s">
        <v>607</v>
      </c>
      <c r="N125" t="s">
        <v>6</v>
      </c>
      <c r="O125" t="s">
        <v>617</v>
      </c>
      <c r="P125">
        <v>2.4699999999999999E-8</v>
      </c>
      <c r="Q125" t="s">
        <v>755</v>
      </c>
      <c r="R125" t="s">
        <v>649</v>
      </c>
      <c r="S125" t="s">
        <v>17</v>
      </c>
      <c r="T125" t="s">
        <v>668</v>
      </c>
      <c r="U125">
        <v>4.1899999999999998E-9</v>
      </c>
      <c r="V125" t="s">
        <v>715</v>
      </c>
      <c r="W125" t="s">
        <v>259</v>
      </c>
      <c r="X125" t="s">
        <v>18</v>
      </c>
      <c r="Y125" t="s">
        <v>260</v>
      </c>
      <c r="Z125">
        <v>4.1899999999999998E-9</v>
      </c>
      <c r="AA125" t="s">
        <v>625</v>
      </c>
      <c r="AB125" t="s">
        <v>259</v>
      </c>
      <c r="AC125" t="s">
        <v>19</v>
      </c>
      <c r="AD125" t="s">
        <v>260</v>
      </c>
      <c r="AE125">
        <v>4.1899999999999998E-9</v>
      </c>
      <c r="AF125" t="s">
        <v>625</v>
      </c>
      <c r="AG125" t="s">
        <v>259</v>
      </c>
      <c r="AH125" t="s">
        <v>20</v>
      </c>
      <c r="AI125" t="s">
        <v>260</v>
      </c>
      <c r="AJ125">
        <v>4.1899999999999998E-9</v>
      </c>
      <c r="AK125" t="s">
        <v>625</v>
      </c>
      <c r="AL125" t="s">
        <v>249</v>
      </c>
      <c r="AM125" t="s">
        <v>24</v>
      </c>
      <c r="AN125" t="s">
        <v>257</v>
      </c>
      <c r="AO125">
        <v>4.1899999999999998E-9</v>
      </c>
      <c r="AP125" t="s">
        <v>241</v>
      </c>
      <c r="AQ125" t="s">
        <v>249</v>
      </c>
      <c r="AR125" t="s">
        <v>22</v>
      </c>
      <c r="AS125" t="s">
        <v>257</v>
      </c>
      <c r="AT125">
        <v>4.1899999999999998E-9</v>
      </c>
      <c r="AU125" t="s">
        <v>241</v>
      </c>
      <c r="AV125" t="s">
        <v>249</v>
      </c>
      <c r="AW125" t="s">
        <v>23</v>
      </c>
      <c r="AX125" t="s">
        <v>257</v>
      </c>
      <c r="AY125">
        <v>4.1899999999999998E-9</v>
      </c>
      <c r="AZ125" t="s">
        <v>523</v>
      </c>
      <c r="BA125" t="s">
        <v>249</v>
      </c>
      <c r="BB125" t="s">
        <v>24</v>
      </c>
      <c r="BC125" t="s">
        <v>257</v>
      </c>
      <c r="BD125">
        <v>4.1899999999999998E-9</v>
      </c>
      <c r="BE125" t="s">
        <v>241</v>
      </c>
      <c r="BF125" t="s">
        <v>249</v>
      </c>
      <c r="BG125" t="s">
        <v>25</v>
      </c>
      <c r="BH125" t="s">
        <v>257</v>
      </c>
      <c r="BI125">
        <v>4.1899999999999998E-9</v>
      </c>
      <c r="BJ125" t="s">
        <v>517</v>
      </c>
      <c r="BK125" t="s">
        <v>249</v>
      </c>
      <c r="BL125" t="s">
        <v>26</v>
      </c>
      <c r="BM125" t="s">
        <v>257</v>
      </c>
      <c r="BN125">
        <v>4.1899999999999998E-9</v>
      </c>
      <c r="BO125" t="str">
        <f t="shared" si="10"/>
        <v>Firma Test12. Test1212.10 Test12 (E+10L+A)</v>
      </c>
      <c r="BP125" t="str">
        <f t="shared" si="11"/>
        <v>Firma Test12. Test12</v>
      </c>
    </row>
    <row r="126" spans="1:68">
      <c r="A126" t="s">
        <v>103</v>
      </c>
      <c r="B126" t="s">
        <v>865</v>
      </c>
      <c r="C126" t="s">
        <v>866</v>
      </c>
      <c r="D126" t="s">
        <v>548</v>
      </c>
      <c r="E126" t="s">
        <v>558</v>
      </c>
      <c r="F126">
        <v>7.17E-8</v>
      </c>
      <c r="G126" t="s">
        <v>424</v>
      </c>
      <c r="H126" t="s">
        <v>568</v>
      </c>
      <c r="I126" t="s">
        <v>5</v>
      </c>
      <c r="J126" t="s">
        <v>578</v>
      </c>
      <c r="K126">
        <v>4.29E-8</v>
      </c>
      <c r="L126" t="s">
        <v>588</v>
      </c>
      <c r="M126" t="s">
        <v>598</v>
      </c>
      <c r="N126" t="s">
        <v>6</v>
      </c>
      <c r="O126" t="s">
        <v>608</v>
      </c>
      <c r="P126">
        <v>2.4699999999999999E-8</v>
      </c>
      <c r="Q126" t="s">
        <v>746</v>
      </c>
      <c r="R126" t="s">
        <v>650</v>
      </c>
      <c r="S126" t="s">
        <v>17</v>
      </c>
      <c r="T126" t="s">
        <v>659</v>
      </c>
      <c r="U126">
        <v>4.1899999999999998E-9</v>
      </c>
      <c r="X126" t="s">
        <v>18</v>
      </c>
      <c r="Z126">
        <v>4.1899999999999998E-9</v>
      </c>
      <c r="AE126">
        <v>4.1899999999999998E-9</v>
      </c>
      <c r="AH126" t="s">
        <v>20</v>
      </c>
      <c r="AJ126">
        <v>4.1899999999999998E-9</v>
      </c>
      <c r="AM126" t="s">
        <v>21</v>
      </c>
      <c r="AO126">
        <v>4.1899999999999998E-9</v>
      </c>
      <c r="AR126" t="s">
        <v>22</v>
      </c>
      <c r="AT126">
        <v>4.1899999999999998E-9</v>
      </c>
      <c r="AW126" t="s">
        <v>23</v>
      </c>
      <c r="AY126">
        <v>4.1899999999999998E-9</v>
      </c>
      <c r="BB126" t="s">
        <v>24</v>
      </c>
      <c r="BD126">
        <v>4.1899999999999998E-9</v>
      </c>
      <c r="BG126" t="s">
        <v>25</v>
      </c>
      <c r="BI126">
        <v>4.1899999999999998E-9</v>
      </c>
      <c r="BL126" t="s">
        <v>26</v>
      </c>
      <c r="BN126">
        <v>4.1899999999999998E-9</v>
      </c>
      <c r="BO126" t="str">
        <f t="shared" si="10"/>
        <v>Firma Test13. Test1313.1 Test13 (E+1L+A)</v>
      </c>
      <c r="BP126" t="str">
        <f t="shared" si="11"/>
        <v>Firma Test13. Test13</v>
      </c>
    </row>
    <row r="127" spans="1:68">
      <c r="A127" t="s">
        <v>103</v>
      </c>
      <c r="B127" t="s">
        <v>865</v>
      </c>
      <c r="C127" t="s">
        <v>867</v>
      </c>
      <c r="D127" t="s">
        <v>549</v>
      </c>
      <c r="E127" t="s">
        <v>559</v>
      </c>
      <c r="F127">
        <v>7.17E-8</v>
      </c>
      <c r="G127" t="s">
        <v>446</v>
      </c>
      <c r="H127" t="s">
        <v>569</v>
      </c>
      <c r="I127" t="s">
        <v>5</v>
      </c>
      <c r="J127" t="s">
        <v>579</v>
      </c>
      <c r="K127">
        <v>4.29E-8</v>
      </c>
      <c r="L127" t="s">
        <v>589</v>
      </c>
      <c r="M127" t="s">
        <v>599</v>
      </c>
      <c r="N127" t="s">
        <v>6</v>
      </c>
      <c r="O127" t="s">
        <v>609</v>
      </c>
      <c r="P127">
        <v>2.4699999999999999E-8</v>
      </c>
      <c r="Q127" t="s">
        <v>747</v>
      </c>
      <c r="R127" t="s">
        <v>651</v>
      </c>
      <c r="S127" t="s">
        <v>17</v>
      </c>
      <c r="T127" t="s">
        <v>660</v>
      </c>
      <c r="U127">
        <v>4.1899999999999998E-9</v>
      </c>
      <c r="V127" t="s">
        <v>707</v>
      </c>
      <c r="W127" t="s">
        <v>626</v>
      </c>
      <c r="X127" t="s">
        <v>18</v>
      </c>
      <c r="Y127" t="s">
        <v>634</v>
      </c>
      <c r="Z127">
        <v>4.1899999999999998E-9</v>
      </c>
      <c r="AE127">
        <v>4.1899999999999998E-9</v>
      </c>
      <c r="AH127" t="s">
        <v>20</v>
      </c>
      <c r="AJ127">
        <v>4.1899999999999998E-9</v>
      </c>
      <c r="AM127" t="s">
        <v>21</v>
      </c>
      <c r="AO127">
        <v>4.1899999999999998E-9</v>
      </c>
      <c r="AR127" t="s">
        <v>22</v>
      </c>
      <c r="AT127">
        <v>4.1899999999999998E-9</v>
      </c>
      <c r="AW127" t="s">
        <v>23</v>
      </c>
      <c r="AY127">
        <v>4.1899999999999998E-9</v>
      </c>
      <c r="BB127" t="s">
        <v>24</v>
      </c>
      <c r="BD127">
        <v>4.1899999999999998E-9</v>
      </c>
      <c r="BG127" t="s">
        <v>25</v>
      </c>
      <c r="BI127">
        <v>4.1899999999999998E-9</v>
      </c>
      <c r="BL127" t="s">
        <v>26</v>
      </c>
      <c r="BN127">
        <v>4.1899999999999998E-9</v>
      </c>
      <c r="BO127" t="str">
        <f t="shared" si="10"/>
        <v>Firma Test13. Test1313.2 Test13 (E+2L+A)</v>
      </c>
      <c r="BP127" t="str">
        <f t="shared" si="11"/>
        <v>Firma Test13. Test13</v>
      </c>
    </row>
    <row r="128" spans="1:68">
      <c r="A128" t="s">
        <v>103</v>
      </c>
      <c r="B128" t="s">
        <v>865</v>
      </c>
      <c r="C128" t="s">
        <v>868</v>
      </c>
      <c r="D128" t="s">
        <v>550</v>
      </c>
      <c r="E128" t="s">
        <v>560</v>
      </c>
      <c r="F128">
        <v>7.17E-8</v>
      </c>
      <c r="G128" t="s">
        <v>447</v>
      </c>
      <c r="H128" t="s">
        <v>570</v>
      </c>
      <c r="I128" t="s">
        <v>5</v>
      </c>
      <c r="J128" t="s">
        <v>580</v>
      </c>
      <c r="K128">
        <v>4.29E-8</v>
      </c>
      <c r="L128" t="s">
        <v>590</v>
      </c>
      <c r="M128" t="s">
        <v>600</v>
      </c>
      <c r="N128" t="s">
        <v>6</v>
      </c>
      <c r="O128" t="s">
        <v>610</v>
      </c>
      <c r="P128">
        <v>2.4699999999999999E-8</v>
      </c>
      <c r="Q128" t="s">
        <v>748</v>
      </c>
      <c r="R128" t="s">
        <v>652</v>
      </c>
      <c r="S128" t="s">
        <v>17</v>
      </c>
      <c r="T128" t="s">
        <v>661</v>
      </c>
      <c r="U128">
        <v>4.1899999999999998E-9</v>
      </c>
      <c r="V128" t="s">
        <v>708</v>
      </c>
      <c r="W128" t="s">
        <v>627</v>
      </c>
      <c r="X128" t="s">
        <v>18</v>
      </c>
      <c r="Y128" t="s">
        <v>635</v>
      </c>
      <c r="Z128">
        <v>4.1899999999999998E-9</v>
      </c>
      <c r="AA128" t="s">
        <v>618</v>
      </c>
      <c r="AB128" t="s">
        <v>627</v>
      </c>
      <c r="AC128" t="s">
        <v>19</v>
      </c>
      <c r="AD128" t="s">
        <v>635</v>
      </c>
      <c r="AE128">
        <v>4.1899999999999998E-9</v>
      </c>
      <c r="AH128" t="s">
        <v>20</v>
      </c>
      <c r="AJ128">
        <v>4.1899999999999998E-9</v>
      </c>
      <c r="AM128" t="s">
        <v>21</v>
      </c>
      <c r="AO128">
        <v>4.1899999999999998E-9</v>
      </c>
      <c r="AR128" t="s">
        <v>22</v>
      </c>
      <c r="AT128">
        <v>4.1899999999999998E-9</v>
      </c>
      <c r="AW128" t="s">
        <v>23</v>
      </c>
      <c r="AY128">
        <v>4.1899999999999998E-9</v>
      </c>
      <c r="BB128" t="s">
        <v>24</v>
      </c>
      <c r="BD128">
        <v>4.1899999999999998E-9</v>
      </c>
      <c r="BG128" t="s">
        <v>25</v>
      </c>
      <c r="BI128">
        <v>4.1899999999999998E-9</v>
      </c>
      <c r="BL128" t="s">
        <v>26</v>
      </c>
      <c r="BN128">
        <v>4.1899999999999998E-9</v>
      </c>
      <c r="BO128" t="str">
        <f t="shared" si="10"/>
        <v>Firma Test13. Test1313.3 Test13 (E+3L+A)</v>
      </c>
      <c r="BP128" t="str">
        <f t="shared" si="11"/>
        <v>Firma Test13. Test13</v>
      </c>
    </row>
    <row r="129" spans="1:68">
      <c r="A129" t="s">
        <v>103</v>
      </c>
      <c r="B129" t="s">
        <v>865</v>
      </c>
      <c r="C129" t="s">
        <v>869</v>
      </c>
      <c r="D129" t="s">
        <v>551</v>
      </c>
      <c r="E129" t="s">
        <v>561</v>
      </c>
      <c r="F129">
        <v>7.17E-8</v>
      </c>
      <c r="G129" t="s">
        <v>448</v>
      </c>
      <c r="H129" t="s">
        <v>571</v>
      </c>
      <c r="I129" t="s">
        <v>5</v>
      </c>
      <c r="J129" t="s">
        <v>581</v>
      </c>
      <c r="K129">
        <v>4.29E-8</v>
      </c>
      <c r="L129" t="s">
        <v>591</v>
      </c>
      <c r="M129" t="s">
        <v>601</v>
      </c>
      <c r="N129" t="s">
        <v>6</v>
      </c>
      <c r="O129" t="s">
        <v>611</v>
      </c>
      <c r="P129">
        <v>2.4699999999999999E-8</v>
      </c>
      <c r="Q129" t="s">
        <v>749</v>
      </c>
      <c r="R129" t="s">
        <v>653</v>
      </c>
      <c r="S129" t="s">
        <v>17</v>
      </c>
      <c r="T129" t="s">
        <v>662</v>
      </c>
      <c r="U129">
        <v>4.1899999999999998E-9</v>
      </c>
      <c r="V129" t="s">
        <v>709</v>
      </c>
      <c r="W129" t="s">
        <v>628</v>
      </c>
      <c r="X129" t="s">
        <v>18</v>
      </c>
      <c r="Y129" t="s">
        <v>636</v>
      </c>
      <c r="Z129">
        <v>4.1899999999999998E-9</v>
      </c>
      <c r="AA129" t="s">
        <v>619</v>
      </c>
      <c r="AB129" t="s">
        <v>628</v>
      </c>
      <c r="AC129" t="s">
        <v>19</v>
      </c>
      <c r="AD129" t="s">
        <v>636</v>
      </c>
      <c r="AE129">
        <v>4.1899999999999998E-9</v>
      </c>
      <c r="AF129" t="s">
        <v>619</v>
      </c>
      <c r="AG129" t="s">
        <v>628</v>
      </c>
      <c r="AH129" t="s">
        <v>20</v>
      </c>
      <c r="AI129" t="s">
        <v>636</v>
      </c>
      <c r="AJ129">
        <v>4.1899999999999998E-9</v>
      </c>
      <c r="AM129" t="s">
        <v>21</v>
      </c>
      <c r="AO129">
        <v>4.1899999999999998E-9</v>
      </c>
      <c r="AR129" t="s">
        <v>22</v>
      </c>
      <c r="AT129">
        <v>4.1899999999999998E-9</v>
      </c>
      <c r="AW129" t="s">
        <v>23</v>
      </c>
      <c r="AY129">
        <v>4.1899999999999998E-9</v>
      </c>
      <c r="BB129" t="s">
        <v>24</v>
      </c>
      <c r="BD129">
        <v>4.1899999999999998E-9</v>
      </c>
      <c r="BG129" t="s">
        <v>25</v>
      </c>
      <c r="BI129">
        <v>4.1899999999999998E-9</v>
      </c>
      <c r="BL129" t="s">
        <v>26</v>
      </c>
      <c r="BN129">
        <v>4.1899999999999998E-9</v>
      </c>
      <c r="BO129" t="str">
        <f t="shared" si="10"/>
        <v>Firma Test13. Test1313.4 Test13 (E+4L+A)</v>
      </c>
      <c r="BP129" t="str">
        <f t="shared" si="11"/>
        <v>Firma Test13. Test13</v>
      </c>
    </row>
    <row r="130" spans="1:68">
      <c r="A130" t="s">
        <v>103</v>
      </c>
      <c r="B130" t="s">
        <v>865</v>
      </c>
      <c r="C130" t="s">
        <v>870</v>
      </c>
      <c r="D130" t="s">
        <v>552</v>
      </c>
      <c r="E130" t="s">
        <v>562</v>
      </c>
      <c r="F130">
        <v>7.17E-8</v>
      </c>
      <c r="G130" t="s">
        <v>449</v>
      </c>
      <c r="H130" t="s">
        <v>572</v>
      </c>
      <c r="I130" t="s">
        <v>5</v>
      </c>
      <c r="J130" t="s">
        <v>582</v>
      </c>
      <c r="K130">
        <v>4.29E-8</v>
      </c>
      <c r="L130" t="s">
        <v>592</v>
      </c>
      <c r="M130" t="s">
        <v>602</v>
      </c>
      <c r="N130" t="s">
        <v>6</v>
      </c>
      <c r="O130" t="s">
        <v>612</v>
      </c>
      <c r="P130">
        <v>2.4699999999999999E-8</v>
      </c>
      <c r="Q130" t="s">
        <v>750</v>
      </c>
      <c r="R130" t="s">
        <v>654</v>
      </c>
      <c r="S130" t="s">
        <v>17</v>
      </c>
      <c r="T130" t="s">
        <v>663</v>
      </c>
      <c r="U130">
        <v>4.1899999999999998E-9</v>
      </c>
      <c r="V130" t="s">
        <v>710</v>
      </c>
      <c r="W130" t="s">
        <v>629</v>
      </c>
      <c r="X130" t="s">
        <v>18</v>
      </c>
      <c r="Y130" t="s">
        <v>637</v>
      </c>
      <c r="Z130">
        <v>4.1899999999999998E-9</v>
      </c>
      <c r="AA130" t="s">
        <v>620</v>
      </c>
      <c r="AB130" t="s">
        <v>629</v>
      </c>
      <c r="AC130" t="s">
        <v>19</v>
      </c>
      <c r="AD130" t="s">
        <v>637</v>
      </c>
      <c r="AE130">
        <v>4.1899999999999998E-9</v>
      </c>
      <c r="AF130" t="s">
        <v>620</v>
      </c>
      <c r="AG130" t="s">
        <v>629</v>
      </c>
      <c r="AH130" t="s">
        <v>20</v>
      </c>
      <c r="AI130" t="s">
        <v>637</v>
      </c>
      <c r="AJ130">
        <v>4.1899999999999998E-9</v>
      </c>
      <c r="AK130" t="s">
        <v>620</v>
      </c>
      <c r="AL130" t="s">
        <v>648</v>
      </c>
      <c r="AM130" t="s">
        <v>21</v>
      </c>
      <c r="AN130" t="s">
        <v>252</v>
      </c>
      <c r="AO130">
        <v>4.1899999999999998E-9</v>
      </c>
      <c r="AR130" t="s">
        <v>22</v>
      </c>
      <c r="AT130">
        <v>4.1899999999999998E-9</v>
      </c>
      <c r="AW130" t="s">
        <v>23</v>
      </c>
      <c r="AY130">
        <v>4.1899999999999998E-9</v>
      </c>
      <c r="BB130" t="s">
        <v>24</v>
      </c>
      <c r="BD130">
        <v>4.1899999999999998E-9</v>
      </c>
      <c r="BG130" t="s">
        <v>25</v>
      </c>
      <c r="BI130">
        <v>4.1899999999999998E-9</v>
      </c>
      <c r="BL130" t="s">
        <v>26</v>
      </c>
      <c r="BN130">
        <v>4.1899999999999998E-9</v>
      </c>
      <c r="BO130" t="str">
        <f t="shared" si="10"/>
        <v>Firma Test13. Test1313.5 Test13 (E+5L+A)</v>
      </c>
      <c r="BP130" t="str">
        <f t="shared" si="11"/>
        <v>Firma Test13. Test13</v>
      </c>
    </row>
    <row r="131" spans="1:68">
      <c r="A131" t="s">
        <v>103</v>
      </c>
      <c r="B131" t="s">
        <v>865</v>
      </c>
      <c r="C131" t="s">
        <v>871</v>
      </c>
      <c r="D131" t="s">
        <v>553</v>
      </c>
      <c r="E131" t="s">
        <v>563</v>
      </c>
      <c r="F131">
        <v>7.17E-8</v>
      </c>
      <c r="G131" t="s">
        <v>450</v>
      </c>
      <c r="H131" t="s">
        <v>573</v>
      </c>
      <c r="I131" t="s">
        <v>5</v>
      </c>
      <c r="J131" t="s">
        <v>583</v>
      </c>
      <c r="K131">
        <v>4.29E-8</v>
      </c>
      <c r="L131" t="s">
        <v>593</v>
      </c>
      <c r="M131" t="s">
        <v>603</v>
      </c>
      <c r="N131" t="s">
        <v>6</v>
      </c>
      <c r="O131" t="s">
        <v>613</v>
      </c>
      <c r="P131">
        <v>2.4699999999999999E-8</v>
      </c>
      <c r="Q131" t="s">
        <v>751</v>
      </c>
      <c r="R131" t="s">
        <v>655</v>
      </c>
      <c r="S131" t="s">
        <v>17</v>
      </c>
      <c r="T131" t="s">
        <v>664</v>
      </c>
      <c r="U131">
        <v>4.1899999999999998E-9</v>
      </c>
      <c r="V131" t="s">
        <v>711</v>
      </c>
      <c r="W131" t="s">
        <v>630</v>
      </c>
      <c r="X131" t="s">
        <v>18</v>
      </c>
      <c r="Y131" t="s">
        <v>638</v>
      </c>
      <c r="Z131">
        <v>4.1899999999999998E-9</v>
      </c>
      <c r="AA131" t="s">
        <v>621</v>
      </c>
      <c r="AB131" t="s">
        <v>630</v>
      </c>
      <c r="AC131" t="s">
        <v>19</v>
      </c>
      <c r="AD131" t="s">
        <v>638</v>
      </c>
      <c r="AE131">
        <v>4.1899999999999998E-9</v>
      </c>
      <c r="AF131" t="s">
        <v>621</v>
      </c>
      <c r="AG131" t="s">
        <v>630</v>
      </c>
      <c r="AH131" t="s">
        <v>20</v>
      </c>
      <c r="AI131" t="s">
        <v>638</v>
      </c>
      <c r="AJ131">
        <v>4.1899999999999998E-9</v>
      </c>
      <c r="AK131" t="s">
        <v>621</v>
      </c>
      <c r="AL131" t="s">
        <v>509</v>
      </c>
      <c r="AM131" t="s">
        <v>21</v>
      </c>
      <c r="AN131" t="s">
        <v>253</v>
      </c>
      <c r="AO131">
        <v>4.1899999999999998E-9</v>
      </c>
      <c r="AP131" t="s">
        <v>505</v>
      </c>
      <c r="AQ131" t="s">
        <v>509</v>
      </c>
      <c r="AR131" t="s">
        <v>22</v>
      </c>
      <c r="AS131" t="s">
        <v>513</v>
      </c>
      <c r="AT131">
        <v>4.1899999999999998E-9</v>
      </c>
      <c r="AW131" t="s">
        <v>23</v>
      </c>
      <c r="AY131">
        <v>4.1899999999999998E-9</v>
      </c>
      <c r="BB131" t="s">
        <v>24</v>
      </c>
      <c r="BD131">
        <v>4.1899999999999998E-9</v>
      </c>
      <c r="BG131" t="s">
        <v>25</v>
      </c>
      <c r="BI131">
        <v>4.1899999999999998E-9</v>
      </c>
      <c r="BL131" t="s">
        <v>26</v>
      </c>
      <c r="BN131">
        <v>4.1899999999999998E-9</v>
      </c>
      <c r="BO131" t="str">
        <f t="shared" si="10"/>
        <v>Firma Test13. Test1313.6 Test13 (E+6L+A)</v>
      </c>
      <c r="BP131" t="str">
        <f t="shared" si="11"/>
        <v>Firma Test13. Test13</v>
      </c>
    </row>
    <row r="132" spans="1:68">
      <c r="A132" t="s">
        <v>103</v>
      </c>
      <c r="B132" t="s">
        <v>865</v>
      </c>
      <c r="C132" t="s">
        <v>872</v>
      </c>
      <c r="D132" t="s">
        <v>554</v>
      </c>
      <c r="E132" t="s">
        <v>564</v>
      </c>
      <c r="F132">
        <v>7.17E-8</v>
      </c>
      <c r="G132" t="s">
        <v>451</v>
      </c>
      <c r="H132" t="s">
        <v>574</v>
      </c>
      <c r="I132" t="s">
        <v>5</v>
      </c>
      <c r="J132" t="s">
        <v>584</v>
      </c>
      <c r="K132">
        <v>4.29E-8</v>
      </c>
      <c r="L132" t="s">
        <v>594</v>
      </c>
      <c r="M132" t="s">
        <v>604</v>
      </c>
      <c r="N132" t="s">
        <v>6</v>
      </c>
      <c r="O132" t="s">
        <v>614</v>
      </c>
      <c r="P132">
        <v>2.4699999999999999E-8</v>
      </c>
      <c r="Q132" t="s">
        <v>752</v>
      </c>
      <c r="R132" t="s">
        <v>656</v>
      </c>
      <c r="S132" t="s">
        <v>17</v>
      </c>
      <c r="T132" t="s">
        <v>665</v>
      </c>
      <c r="U132">
        <v>4.1899999999999998E-9</v>
      </c>
      <c r="V132" t="s">
        <v>712</v>
      </c>
      <c r="W132" t="s">
        <v>631</v>
      </c>
      <c r="X132" t="s">
        <v>18</v>
      </c>
      <c r="Y132" t="s">
        <v>639</v>
      </c>
      <c r="Z132">
        <v>4.1899999999999998E-9</v>
      </c>
      <c r="AA132" t="s">
        <v>622</v>
      </c>
      <c r="AB132" t="s">
        <v>631</v>
      </c>
      <c r="AC132" t="s">
        <v>19</v>
      </c>
      <c r="AD132" t="s">
        <v>639</v>
      </c>
      <c r="AE132">
        <v>4.1899999999999998E-9</v>
      </c>
      <c r="AF132" t="s">
        <v>622</v>
      </c>
      <c r="AG132" t="s">
        <v>631</v>
      </c>
      <c r="AH132" t="s">
        <v>20</v>
      </c>
      <c r="AI132" t="s">
        <v>639</v>
      </c>
      <c r="AJ132">
        <v>4.1899999999999998E-9</v>
      </c>
      <c r="AK132" t="s">
        <v>622</v>
      </c>
      <c r="AL132" t="s">
        <v>510</v>
      </c>
      <c r="AM132" t="s">
        <v>21</v>
      </c>
      <c r="AN132" t="s">
        <v>254</v>
      </c>
      <c r="AO132">
        <v>4.1899999999999998E-9</v>
      </c>
      <c r="AP132" t="s">
        <v>506</v>
      </c>
      <c r="AQ132" t="s">
        <v>510</v>
      </c>
      <c r="AR132" t="s">
        <v>22</v>
      </c>
      <c r="AS132" t="s">
        <v>514</v>
      </c>
      <c r="AT132">
        <v>4.1899999999999998E-9</v>
      </c>
      <c r="AU132" t="s">
        <v>506</v>
      </c>
      <c r="AV132" t="s">
        <v>510</v>
      </c>
      <c r="AW132" t="s">
        <v>23</v>
      </c>
      <c r="AX132" t="s">
        <v>514</v>
      </c>
      <c r="AY132">
        <v>4.1899999999999998E-9</v>
      </c>
      <c r="BB132" t="s">
        <v>24</v>
      </c>
      <c r="BD132">
        <v>4.1899999999999998E-9</v>
      </c>
      <c r="BG132" t="s">
        <v>25</v>
      </c>
      <c r="BI132">
        <v>4.1899999999999998E-9</v>
      </c>
      <c r="BL132" t="s">
        <v>26</v>
      </c>
      <c r="BN132">
        <v>4.1899999999999998E-9</v>
      </c>
      <c r="BO132" t="str">
        <f t="shared" si="10"/>
        <v>Firma Test13. Test1313.7 Test13 (E+7L+A)</v>
      </c>
      <c r="BP132" t="str">
        <f t="shared" si="11"/>
        <v>Firma Test13. Test13</v>
      </c>
    </row>
    <row r="133" spans="1:68">
      <c r="A133" t="s">
        <v>103</v>
      </c>
      <c r="B133" t="s">
        <v>865</v>
      </c>
      <c r="C133" t="s">
        <v>873</v>
      </c>
      <c r="D133" t="s">
        <v>555</v>
      </c>
      <c r="E133" t="s">
        <v>565</v>
      </c>
      <c r="F133">
        <v>7.17E-8</v>
      </c>
      <c r="G133" t="s">
        <v>452</v>
      </c>
      <c r="H133" t="s">
        <v>575</v>
      </c>
      <c r="I133" t="s">
        <v>5</v>
      </c>
      <c r="J133" t="s">
        <v>585</v>
      </c>
      <c r="K133">
        <v>4.29E-8</v>
      </c>
      <c r="L133" t="s">
        <v>595</v>
      </c>
      <c r="M133" t="s">
        <v>605</v>
      </c>
      <c r="N133" t="s">
        <v>6</v>
      </c>
      <c r="O133" t="s">
        <v>615</v>
      </c>
      <c r="P133">
        <v>2.4699999999999999E-8</v>
      </c>
      <c r="Q133" t="s">
        <v>753</v>
      </c>
      <c r="R133" t="s">
        <v>657</v>
      </c>
      <c r="S133" t="s">
        <v>17</v>
      </c>
      <c r="T133" t="s">
        <v>666</v>
      </c>
      <c r="U133">
        <v>4.1899999999999998E-9</v>
      </c>
      <c r="V133" t="s">
        <v>713</v>
      </c>
      <c r="W133" t="s">
        <v>632</v>
      </c>
      <c r="X133" t="s">
        <v>18</v>
      </c>
      <c r="Y133" t="s">
        <v>640</v>
      </c>
      <c r="Z133">
        <v>4.1899999999999998E-9</v>
      </c>
      <c r="AA133" t="s">
        <v>623</v>
      </c>
      <c r="AB133" t="s">
        <v>632</v>
      </c>
      <c r="AC133" t="s">
        <v>19</v>
      </c>
      <c r="AD133" t="s">
        <v>640</v>
      </c>
      <c r="AE133">
        <v>4.1899999999999998E-9</v>
      </c>
      <c r="AF133" t="s">
        <v>623</v>
      </c>
      <c r="AG133" t="s">
        <v>632</v>
      </c>
      <c r="AH133" t="s">
        <v>20</v>
      </c>
      <c r="AI133" t="s">
        <v>640</v>
      </c>
      <c r="AJ133">
        <v>4.1899999999999998E-9</v>
      </c>
      <c r="AK133" t="s">
        <v>623</v>
      </c>
      <c r="AL133" t="s">
        <v>511</v>
      </c>
      <c r="AM133" t="s">
        <v>22</v>
      </c>
      <c r="AN133" t="s">
        <v>255</v>
      </c>
      <c r="AO133">
        <v>4.1899999999999998E-9</v>
      </c>
      <c r="AP133" t="s">
        <v>507</v>
      </c>
      <c r="AQ133" t="s">
        <v>511</v>
      </c>
      <c r="AR133" t="s">
        <v>22</v>
      </c>
      <c r="AS133" t="s">
        <v>515</v>
      </c>
      <c r="AT133">
        <v>4.1899999999999998E-9</v>
      </c>
      <c r="AU133" t="s">
        <v>507</v>
      </c>
      <c r="AV133" t="s">
        <v>511</v>
      </c>
      <c r="AW133" t="s">
        <v>23</v>
      </c>
      <c r="AX133" t="s">
        <v>515</v>
      </c>
      <c r="AY133">
        <v>4.1899999999999998E-9</v>
      </c>
      <c r="AZ133" t="s">
        <v>521</v>
      </c>
      <c r="BA133" t="s">
        <v>511</v>
      </c>
      <c r="BB133" t="s">
        <v>24</v>
      </c>
      <c r="BC133" t="s">
        <v>515</v>
      </c>
      <c r="BD133">
        <v>4.1899999999999998E-9</v>
      </c>
      <c r="BG133" t="s">
        <v>25</v>
      </c>
      <c r="BI133">
        <v>4.1899999999999998E-9</v>
      </c>
      <c r="BL133" t="s">
        <v>26</v>
      </c>
      <c r="BN133">
        <v>4.1899999999999998E-9</v>
      </c>
      <c r="BO133" t="str">
        <f t="shared" si="10"/>
        <v>Firma Test13. Test1313.8 Test13 (E+8L+A)</v>
      </c>
      <c r="BP133" t="str">
        <f t="shared" si="11"/>
        <v>Firma Test13. Test13</v>
      </c>
    </row>
    <row r="134" spans="1:68">
      <c r="A134" t="s">
        <v>103</v>
      </c>
      <c r="B134" t="s">
        <v>865</v>
      </c>
      <c r="C134" t="s">
        <v>874</v>
      </c>
      <c r="D134" t="s">
        <v>556</v>
      </c>
      <c r="E134" t="s">
        <v>566</v>
      </c>
      <c r="F134">
        <v>7.17E-8</v>
      </c>
      <c r="G134" t="s">
        <v>453</v>
      </c>
      <c r="H134" t="s">
        <v>576</v>
      </c>
      <c r="I134" t="s">
        <v>5</v>
      </c>
      <c r="J134" t="s">
        <v>586</v>
      </c>
      <c r="K134">
        <v>4.29E-8</v>
      </c>
      <c r="L134" t="s">
        <v>596</v>
      </c>
      <c r="M134" t="s">
        <v>606</v>
      </c>
      <c r="N134" t="s">
        <v>6</v>
      </c>
      <c r="O134" t="s">
        <v>616</v>
      </c>
      <c r="P134">
        <v>2.4699999999999999E-8</v>
      </c>
      <c r="Q134" t="s">
        <v>754</v>
      </c>
      <c r="R134" t="s">
        <v>658</v>
      </c>
      <c r="S134" t="s">
        <v>17</v>
      </c>
      <c r="T134" t="s">
        <v>667</v>
      </c>
      <c r="U134">
        <v>4.1899999999999998E-9</v>
      </c>
      <c r="V134" t="s">
        <v>714</v>
      </c>
      <c r="W134" t="s">
        <v>633</v>
      </c>
      <c r="X134" t="s">
        <v>18</v>
      </c>
      <c r="Y134" t="s">
        <v>641</v>
      </c>
      <c r="Z134">
        <v>4.1899999999999998E-9</v>
      </c>
      <c r="AA134" t="s">
        <v>624</v>
      </c>
      <c r="AB134" t="s">
        <v>633</v>
      </c>
      <c r="AC134" t="s">
        <v>19</v>
      </c>
      <c r="AD134" t="s">
        <v>641</v>
      </c>
      <c r="AE134">
        <v>4.1899999999999998E-9</v>
      </c>
      <c r="AF134" t="s">
        <v>624</v>
      </c>
      <c r="AG134" t="s">
        <v>633</v>
      </c>
      <c r="AH134" t="s">
        <v>20</v>
      </c>
      <c r="AI134" t="s">
        <v>641</v>
      </c>
      <c r="AJ134">
        <v>4.1899999999999998E-9</v>
      </c>
      <c r="AK134" t="s">
        <v>624</v>
      </c>
      <c r="AL134" t="s">
        <v>512</v>
      </c>
      <c r="AM134" t="s">
        <v>23</v>
      </c>
      <c r="AN134" t="s">
        <v>256</v>
      </c>
      <c r="AO134">
        <v>4.1899999999999998E-9</v>
      </c>
      <c r="AP134" t="s">
        <v>508</v>
      </c>
      <c r="AQ134" t="s">
        <v>512</v>
      </c>
      <c r="AR134" t="s">
        <v>22</v>
      </c>
      <c r="AS134" t="s">
        <v>516</v>
      </c>
      <c r="AT134">
        <v>4.1899999999999998E-9</v>
      </c>
      <c r="AU134" t="s">
        <v>508</v>
      </c>
      <c r="AV134" t="s">
        <v>512</v>
      </c>
      <c r="AW134" t="s">
        <v>23</v>
      </c>
      <c r="AX134" t="s">
        <v>516</v>
      </c>
      <c r="AY134">
        <v>4.1899999999999998E-9</v>
      </c>
      <c r="AZ134" t="s">
        <v>522</v>
      </c>
      <c r="BA134" t="s">
        <v>512</v>
      </c>
      <c r="BB134" t="s">
        <v>24</v>
      </c>
      <c r="BC134" t="s">
        <v>516</v>
      </c>
      <c r="BD134">
        <v>4.1899999999999998E-9</v>
      </c>
      <c r="BE134" t="s">
        <v>508</v>
      </c>
      <c r="BF134" t="s">
        <v>512</v>
      </c>
      <c r="BG134" t="s">
        <v>25</v>
      </c>
      <c r="BH134" t="s">
        <v>516</v>
      </c>
      <c r="BI134">
        <v>4.1899999999999998E-9</v>
      </c>
      <c r="BL134" t="s">
        <v>26</v>
      </c>
      <c r="BN134">
        <v>4.1899999999999998E-9</v>
      </c>
      <c r="BO134" t="str">
        <f t="shared" si="10"/>
        <v>Firma Test13. Test1313.9 Test13 (E+9L+A)</v>
      </c>
      <c r="BP134" t="str">
        <f t="shared" si="11"/>
        <v>Firma Test13. Test13</v>
      </c>
    </row>
    <row r="135" spans="1:68">
      <c r="A135" t="s">
        <v>103</v>
      </c>
      <c r="B135" t="s">
        <v>865</v>
      </c>
      <c r="C135" t="s">
        <v>875</v>
      </c>
      <c r="D135" t="s">
        <v>557</v>
      </c>
      <c r="E135" t="s">
        <v>567</v>
      </c>
      <c r="F135">
        <v>7.17E-8</v>
      </c>
      <c r="G135" t="s">
        <v>454</v>
      </c>
      <c r="H135" t="s">
        <v>577</v>
      </c>
      <c r="I135" t="s">
        <v>5</v>
      </c>
      <c r="J135" t="s">
        <v>587</v>
      </c>
      <c r="K135">
        <v>4.29E-8</v>
      </c>
      <c r="L135" t="s">
        <v>597</v>
      </c>
      <c r="M135" t="s">
        <v>607</v>
      </c>
      <c r="N135" t="s">
        <v>6</v>
      </c>
      <c r="O135" t="s">
        <v>617</v>
      </c>
      <c r="P135">
        <v>2.4699999999999999E-8</v>
      </c>
      <c r="Q135" t="s">
        <v>755</v>
      </c>
      <c r="R135" t="s">
        <v>649</v>
      </c>
      <c r="S135" t="s">
        <v>17</v>
      </c>
      <c r="T135" t="s">
        <v>668</v>
      </c>
      <c r="U135">
        <v>4.1899999999999998E-9</v>
      </c>
      <c r="V135" t="s">
        <v>715</v>
      </c>
      <c r="W135" t="s">
        <v>259</v>
      </c>
      <c r="X135" t="s">
        <v>18</v>
      </c>
      <c r="Y135" t="s">
        <v>260</v>
      </c>
      <c r="Z135">
        <v>4.1899999999999998E-9</v>
      </c>
      <c r="AA135" t="s">
        <v>625</v>
      </c>
      <c r="AB135" t="s">
        <v>259</v>
      </c>
      <c r="AC135" t="s">
        <v>19</v>
      </c>
      <c r="AD135" t="s">
        <v>260</v>
      </c>
      <c r="AE135">
        <v>4.1899999999999998E-9</v>
      </c>
      <c r="AF135" t="s">
        <v>625</v>
      </c>
      <c r="AG135" t="s">
        <v>259</v>
      </c>
      <c r="AH135" t="s">
        <v>20</v>
      </c>
      <c r="AI135" t="s">
        <v>260</v>
      </c>
      <c r="AJ135">
        <v>4.1899999999999998E-9</v>
      </c>
      <c r="AK135" t="s">
        <v>625</v>
      </c>
      <c r="AL135" t="s">
        <v>249</v>
      </c>
      <c r="AM135" t="s">
        <v>24</v>
      </c>
      <c r="AN135" t="s">
        <v>257</v>
      </c>
      <c r="AO135">
        <v>4.1899999999999998E-9</v>
      </c>
      <c r="AP135" t="s">
        <v>241</v>
      </c>
      <c r="AQ135" t="s">
        <v>249</v>
      </c>
      <c r="AR135" t="s">
        <v>22</v>
      </c>
      <c r="AS135" t="s">
        <v>257</v>
      </c>
      <c r="AT135">
        <v>4.1899999999999998E-9</v>
      </c>
      <c r="AU135" t="s">
        <v>241</v>
      </c>
      <c r="AV135" t="s">
        <v>249</v>
      </c>
      <c r="AW135" t="s">
        <v>23</v>
      </c>
      <c r="AX135" t="s">
        <v>257</v>
      </c>
      <c r="AY135">
        <v>4.1899999999999998E-9</v>
      </c>
      <c r="AZ135" t="s">
        <v>523</v>
      </c>
      <c r="BA135" t="s">
        <v>249</v>
      </c>
      <c r="BB135" t="s">
        <v>24</v>
      </c>
      <c r="BC135" t="s">
        <v>257</v>
      </c>
      <c r="BD135">
        <v>4.1899999999999998E-9</v>
      </c>
      <c r="BE135" t="s">
        <v>241</v>
      </c>
      <c r="BF135" t="s">
        <v>249</v>
      </c>
      <c r="BG135" t="s">
        <v>25</v>
      </c>
      <c r="BH135" t="s">
        <v>257</v>
      </c>
      <c r="BI135">
        <v>4.1899999999999998E-9</v>
      </c>
      <c r="BJ135" t="s">
        <v>517</v>
      </c>
      <c r="BK135" t="s">
        <v>249</v>
      </c>
      <c r="BL135" t="s">
        <v>26</v>
      </c>
      <c r="BM135" t="s">
        <v>257</v>
      </c>
      <c r="BN135">
        <v>4.1899999999999998E-9</v>
      </c>
      <c r="BO135" t="str">
        <f t="shared" si="10"/>
        <v>Firma Test13. Test1313.10 Test13 (E+10L+A)</v>
      </c>
      <c r="BP135" t="str">
        <f t="shared" si="11"/>
        <v>Firma Test13. Test13</v>
      </c>
    </row>
    <row r="136" spans="1:68">
      <c r="A136" t="s">
        <v>103</v>
      </c>
      <c r="B136" t="s">
        <v>887</v>
      </c>
      <c r="C136" t="s">
        <v>888</v>
      </c>
      <c r="D136" t="s">
        <v>548</v>
      </c>
      <c r="E136" t="s">
        <v>558</v>
      </c>
      <c r="F136">
        <v>7.17E-8</v>
      </c>
      <c r="G136" t="s">
        <v>424</v>
      </c>
      <c r="H136" t="s">
        <v>568</v>
      </c>
      <c r="I136" t="s">
        <v>5</v>
      </c>
      <c r="J136" t="s">
        <v>578</v>
      </c>
      <c r="K136">
        <v>4.29E-8</v>
      </c>
      <c r="L136" t="s">
        <v>588</v>
      </c>
      <c r="M136" t="s">
        <v>598</v>
      </c>
      <c r="N136" t="s">
        <v>6</v>
      </c>
      <c r="O136" t="s">
        <v>608</v>
      </c>
      <c r="P136">
        <v>2.4699999999999999E-8</v>
      </c>
      <c r="Q136" t="s">
        <v>746</v>
      </c>
      <c r="R136" t="s">
        <v>650</v>
      </c>
      <c r="S136" t="s">
        <v>17</v>
      </c>
      <c r="T136" t="s">
        <v>659</v>
      </c>
      <c r="U136">
        <v>4.1899999999999998E-9</v>
      </c>
      <c r="X136" t="s">
        <v>18</v>
      </c>
      <c r="Z136">
        <v>4.1899999999999998E-9</v>
      </c>
      <c r="AE136">
        <v>4.1899999999999998E-9</v>
      </c>
      <c r="AH136" t="s">
        <v>20</v>
      </c>
      <c r="AJ136">
        <v>4.1899999999999998E-9</v>
      </c>
      <c r="AM136" t="s">
        <v>21</v>
      </c>
      <c r="AO136">
        <v>4.1899999999999998E-9</v>
      </c>
      <c r="AR136" t="s">
        <v>22</v>
      </c>
      <c r="AT136">
        <v>4.1899999999999998E-9</v>
      </c>
      <c r="AW136" t="s">
        <v>23</v>
      </c>
      <c r="AY136">
        <v>4.1899999999999998E-9</v>
      </c>
      <c r="BB136" t="s">
        <v>24</v>
      </c>
      <c r="BD136">
        <v>4.1899999999999998E-9</v>
      </c>
      <c r="BG136" t="s">
        <v>25</v>
      </c>
      <c r="BI136">
        <v>4.1899999999999998E-9</v>
      </c>
      <c r="BL136" t="s">
        <v>26</v>
      </c>
      <c r="BN136">
        <v>4.1899999999999998E-9</v>
      </c>
      <c r="BO136" t="str">
        <f t="shared" si="10"/>
        <v>Firma Test14. Test1414.1 Test14 (E+1L+A)</v>
      </c>
      <c r="BP136" t="str">
        <f t="shared" si="11"/>
        <v>Firma Test14. Test14</v>
      </c>
    </row>
    <row r="137" spans="1:68">
      <c r="A137" t="s">
        <v>103</v>
      </c>
      <c r="B137" t="s">
        <v>887</v>
      </c>
      <c r="C137" t="s">
        <v>889</v>
      </c>
      <c r="D137" t="s">
        <v>549</v>
      </c>
      <c r="E137" t="s">
        <v>559</v>
      </c>
      <c r="F137">
        <v>7.17E-8</v>
      </c>
      <c r="G137" t="s">
        <v>446</v>
      </c>
      <c r="H137" t="s">
        <v>569</v>
      </c>
      <c r="I137" t="s">
        <v>5</v>
      </c>
      <c r="J137" t="s">
        <v>579</v>
      </c>
      <c r="K137">
        <v>4.29E-8</v>
      </c>
      <c r="L137" t="s">
        <v>589</v>
      </c>
      <c r="M137" t="s">
        <v>599</v>
      </c>
      <c r="N137" t="s">
        <v>6</v>
      </c>
      <c r="O137" t="s">
        <v>609</v>
      </c>
      <c r="P137">
        <v>2.4699999999999999E-8</v>
      </c>
      <c r="Q137" t="s">
        <v>747</v>
      </c>
      <c r="R137" t="s">
        <v>651</v>
      </c>
      <c r="S137" t="s">
        <v>17</v>
      </c>
      <c r="T137" t="s">
        <v>660</v>
      </c>
      <c r="U137">
        <v>4.1899999999999998E-9</v>
      </c>
      <c r="V137" t="s">
        <v>707</v>
      </c>
      <c r="W137" t="s">
        <v>626</v>
      </c>
      <c r="X137" t="s">
        <v>18</v>
      </c>
      <c r="Y137" t="s">
        <v>634</v>
      </c>
      <c r="Z137">
        <v>4.1899999999999998E-9</v>
      </c>
      <c r="AE137">
        <v>4.1899999999999998E-9</v>
      </c>
      <c r="AH137" t="s">
        <v>20</v>
      </c>
      <c r="AJ137">
        <v>4.1899999999999998E-9</v>
      </c>
      <c r="AM137" t="s">
        <v>21</v>
      </c>
      <c r="AO137">
        <v>4.1899999999999998E-9</v>
      </c>
      <c r="AR137" t="s">
        <v>22</v>
      </c>
      <c r="AT137">
        <v>4.1899999999999998E-9</v>
      </c>
      <c r="AW137" t="s">
        <v>23</v>
      </c>
      <c r="AY137">
        <v>4.1899999999999998E-9</v>
      </c>
      <c r="BB137" t="s">
        <v>24</v>
      </c>
      <c r="BD137">
        <v>4.1899999999999998E-9</v>
      </c>
      <c r="BG137" t="s">
        <v>25</v>
      </c>
      <c r="BI137">
        <v>4.1899999999999998E-9</v>
      </c>
      <c r="BL137" t="s">
        <v>26</v>
      </c>
      <c r="BN137">
        <v>4.1899999999999998E-9</v>
      </c>
      <c r="BO137" t="str">
        <f t="shared" si="10"/>
        <v>Firma Test14. Test1414.2 Test14 (E+2L+A)</v>
      </c>
      <c r="BP137" t="str">
        <f t="shared" si="11"/>
        <v>Firma Test14. Test14</v>
      </c>
    </row>
    <row r="138" spans="1:68">
      <c r="A138" t="s">
        <v>103</v>
      </c>
      <c r="B138" t="s">
        <v>887</v>
      </c>
      <c r="C138" t="s">
        <v>890</v>
      </c>
      <c r="D138" t="s">
        <v>550</v>
      </c>
      <c r="E138" t="s">
        <v>560</v>
      </c>
      <c r="F138">
        <v>7.17E-8</v>
      </c>
      <c r="G138" t="s">
        <v>447</v>
      </c>
      <c r="H138" t="s">
        <v>570</v>
      </c>
      <c r="I138" t="s">
        <v>5</v>
      </c>
      <c r="J138" t="s">
        <v>580</v>
      </c>
      <c r="K138">
        <v>4.29E-8</v>
      </c>
      <c r="L138" t="s">
        <v>590</v>
      </c>
      <c r="M138" t="s">
        <v>600</v>
      </c>
      <c r="N138" t="s">
        <v>6</v>
      </c>
      <c r="O138" t="s">
        <v>610</v>
      </c>
      <c r="P138">
        <v>2.4699999999999999E-8</v>
      </c>
      <c r="Q138" t="s">
        <v>748</v>
      </c>
      <c r="R138" t="s">
        <v>652</v>
      </c>
      <c r="S138" t="s">
        <v>17</v>
      </c>
      <c r="T138" t="s">
        <v>661</v>
      </c>
      <c r="U138">
        <v>4.1899999999999998E-9</v>
      </c>
      <c r="V138" t="s">
        <v>708</v>
      </c>
      <c r="W138" t="s">
        <v>627</v>
      </c>
      <c r="X138" t="s">
        <v>18</v>
      </c>
      <c r="Y138" t="s">
        <v>635</v>
      </c>
      <c r="Z138">
        <v>4.1899999999999998E-9</v>
      </c>
      <c r="AA138" t="s">
        <v>618</v>
      </c>
      <c r="AB138" t="s">
        <v>627</v>
      </c>
      <c r="AC138" t="s">
        <v>19</v>
      </c>
      <c r="AD138" t="s">
        <v>635</v>
      </c>
      <c r="AE138">
        <v>4.1899999999999998E-9</v>
      </c>
      <c r="AH138" t="s">
        <v>20</v>
      </c>
      <c r="AJ138">
        <v>4.1899999999999998E-9</v>
      </c>
      <c r="AM138" t="s">
        <v>21</v>
      </c>
      <c r="AO138">
        <v>4.1899999999999998E-9</v>
      </c>
      <c r="AR138" t="s">
        <v>22</v>
      </c>
      <c r="AT138">
        <v>4.1899999999999998E-9</v>
      </c>
      <c r="AW138" t="s">
        <v>23</v>
      </c>
      <c r="AY138">
        <v>4.1899999999999998E-9</v>
      </c>
      <c r="BB138" t="s">
        <v>24</v>
      </c>
      <c r="BD138">
        <v>4.1899999999999998E-9</v>
      </c>
      <c r="BG138" t="s">
        <v>25</v>
      </c>
      <c r="BI138">
        <v>4.1899999999999998E-9</v>
      </c>
      <c r="BL138" t="s">
        <v>26</v>
      </c>
      <c r="BN138">
        <v>4.1899999999999998E-9</v>
      </c>
      <c r="BO138" t="str">
        <f t="shared" si="10"/>
        <v>Firma Test14. Test1414.3 Test14 (E+3L+A)</v>
      </c>
      <c r="BP138" t="str">
        <f t="shared" si="11"/>
        <v>Firma Test14. Test14</v>
      </c>
    </row>
    <row r="139" spans="1:68">
      <c r="A139" t="s">
        <v>103</v>
      </c>
      <c r="B139" t="s">
        <v>887</v>
      </c>
      <c r="C139" t="s">
        <v>891</v>
      </c>
      <c r="D139" t="s">
        <v>551</v>
      </c>
      <c r="E139" t="s">
        <v>561</v>
      </c>
      <c r="F139">
        <v>7.17E-8</v>
      </c>
      <c r="G139" t="s">
        <v>448</v>
      </c>
      <c r="H139" t="s">
        <v>571</v>
      </c>
      <c r="I139" t="s">
        <v>5</v>
      </c>
      <c r="J139" t="s">
        <v>581</v>
      </c>
      <c r="K139">
        <v>4.29E-8</v>
      </c>
      <c r="L139" t="s">
        <v>591</v>
      </c>
      <c r="M139" t="s">
        <v>601</v>
      </c>
      <c r="N139" t="s">
        <v>6</v>
      </c>
      <c r="O139" t="s">
        <v>611</v>
      </c>
      <c r="P139">
        <v>2.4699999999999999E-8</v>
      </c>
      <c r="Q139" t="s">
        <v>749</v>
      </c>
      <c r="R139" t="s">
        <v>653</v>
      </c>
      <c r="S139" t="s">
        <v>17</v>
      </c>
      <c r="T139" t="s">
        <v>662</v>
      </c>
      <c r="U139">
        <v>4.1899999999999998E-9</v>
      </c>
      <c r="V139" t="s">
        <v>709</v>
      </c>
      <c r="W139" t="s">
        <v>628</v>
      </c>
      <c r="X139" t="s">
        <v>18</v>
      </c>
      <c r="Y139" t="s">
        <v>636</v>
      </c>
      <c r="Z139">
        <v>4.1899999999999998E-9</v>
      </c>
      <c r="AA139" t="s">
        <v>619</v>
      </c>
      <c r="AB139" t="s">
        <v>628</v>
      </c>
      <c r="AC139" t="s">
        <v>19</v>
      </c>
      <c r="AD139" t="s">
        <v>636</v>
      </c>
      <c r="AE139">
        <v>4.1899999999999998E-9</v>
      </c>
      <c r="AF139" t="s">
        <v>619</v>
      </c>
      <c r="AG139" t="s">
        <v>628</v>
      </c>
      <c r="AH139" t="s">
        <v>20</v>
      </c>
      <c r="AI139" t="s">
        <v>636</v>
      </c>
      <c r="AJ139">
        <v>4.1899999999999998E-9</v>
      </c>
      <c r="AM139" t="s">
        <v>21</v>
      </c>
      <c r="AO139">
        <v>4.1899999999999998E-9</v>
      </c>
      <c r="AR139" t="s">
        <v>22</v>
      </c>
      <c r="AT139">
        <v>4.1899999999999998E-9</v>
      </c>
      <c r="AW139" t="s">
        <v>23</v>
      </c>
      <c r="AY139">
        <v>4.1899999999999998E-9</v>
      </c>
      <c r="BB139" t="s">
        <v>24</v>
      </c>
      <c r="BD139">
        <v>4.1899999999999998E-9</v>
      </c>
      <c r="BG139" t="s">
        <v>25</v>
      </c>
      <c r="BI139">
        <v>4.1899999999999998E-9</v>
      </c>
      <c r="BL139" t="s">
        <v>26</v>
      </c>
      <c r="BN139">
        <v>4.1899999999999998E-9</v>
      </c>
      <c r="BO139" t="str">
        <f t="shared" si="10"/>
        <v>Firma Test14. Test1414.4 Test14 (E+4L+A)</v>
      </c>
      <c r="BP139" t="str">
        <f t="shared" si="11"/>
        <v>Firma Test14. Test14</v>
      </c>
    </row>
    <row r="140" spans="1:68">
      <c r="A140" t="s">
        <v>103</v>
      </c>
      <c r="B140" t="s">
        <v>887</v>
      </c>
      <c r="C140" t="s">
        <v>892</v>
      </c>
      <c r="D140" t="s">
        <v>552</v>
      </c>
      <c r="E140" t="s">
        <v>562</v>
      </c>
      <c r="F140">
        <v>7.17E-8</v>
      </c>
      <c r="G140" t="s">
        <v>449</v>
      </c>
      <c r="H140" t="s">
        <v>572</v>
      </c>
      <c r="I140" t="s">
        <v>5</v>
      </c>
      <c r="J140" t="s">
        <v>582</v>
      </c>
      <c r="K140">
        <v>4.29E-8</v>
      </c>
      <c r="L140" t="s">
        <v>592</v>
      </c>
      <c r="M140" t="s">
        <v>602</v>
      </c>
      <c r="N140" t="s">
        <v>6</v>
      </c>
      <c r="O140" t="s">
        <v>612</v>
      </c>
      <c r="P140">
        <v>2.4699999999999999E-8</v>
      </c>
      <c r="Q140" t="s">
        <v>750</v>
      </c>
      <c r="R140" t="s">
        <v>654</v>
      </c>
      <c r="S140" t="s">
        <v>17</v>
      </c>
      <c r="T140" t="s">
        <v>663</v>
      </c>
      <c r="U140">
        <v>4.1899999999999998E-9</v>
      </c>
      <c r="V140" t="s">
        <v>710</v>
      </c>
      <c r="W140" t="s">
        <v>629</v>
      </c>
      <c r="X140" t="s">
        <v>18</v>
      </c>
      <c r="Y140" t="s">
        <v>637</v>
      </c>
      <c r="Z140">
        <v>4.1899999999999998E-9</v>
      </c>
      <c r="AA140" t="s">
        <v>620</v>
      </c>
      <c r="AB140" t="s">
        <v>629</v>
      </c>
      <c r="AC140" t="s">
        <v>19</v>
      </c>
      <c r="AD140" t="s">
        <v>637</v>
      </c>
      <c r="AE140">
        <v>4.1899999999999998E-9</v>
      </c>
      <c r="AF140" t="s">
        <v>620</v>
      </c>
      <c r="AG140" t="s">
        <v>629</v>
      </c>
      <c r="AH140" t="s">
        <v>20</v>
      </c>
      <c r="AI140" t="s">
        <v>637</v>
      </c>
      <c r="AJ140">
        <v>4.1899999999999998E-9</v>
      </c>
      <c r="AK140" t="s">
        <v>620</v>
      </c>
      <c r="AL140" t="s">
        <v>648</v>
      </c>
      <c r="AM140" t="s">
        <v>21</v>
      </c>
      <c r="AN140" t="s">
        <v>252</v>
      </c>
      <c r="AO140">
        <v>4.1899999999999998E-9</v>
      </c>
      <c r="AR140" t="s">
        <v>22</v>
      </c>
      <c r="AT140">
        <v>4.1899999999999998E-9</v>
      </c>
      <c r="AW140" t="s">
        <v>23</v>
      </c>
      <c r="AY140">
        <v>4.1899999999999998E-9</v>
      </c>
      <c r="BB140" t="s">
        <v>24</v>
      </c>
      <c r="BD140">
        <v>4.1899999999999998E-9</v>
      </c>
      <c r="BG140" t="s">
        <v>25</v>
      </c>
      <c r="BI140">
        <v>4.1899999999999998E-9</v>
      </c>
      <c r="BL140" t="s">
        <v>26</v>
      </c>
      <c r="BN140">
        <v>4.1899999999999998E-9</v>
      </c>
      <c r="BO140" t="str">
        <f t="shared" si="10"/>
        <v>Firma Test14. Test1414.5 Test14 (E+5L+A)</v>
      </c>
      <c r="BP140" t="str">
        <f t="shared" si="11"/>
        <v>Firma Test14. Test14</v>
      </c>
    </row>
    <row r="141" spans="1:68">
      <c r="A141" t="s">
        <v>103</v>
      </c>
      <c r="B141" t="s">
        <v>887</v>
      </c>
      <c r="C141" t="s">
        <v>893</v>
      </c>
      <c r="D141" t="s">
        <v>553</v>
      </c>
      <c r="E141" t="s">
        <v>563</v>
      </c>
      <c r="F141">
        <v>7.17E-8</v>
      </c>
      <c r="G141" t="s">
        <v>450</v>
      </c>
      <c r="H141" t="s">
        <v>573</v>
      </c>
      <c r="I141" t="s">
        <v>5</v>
      </c>
      <c r="J141" t="s">
        <v>583</v>
      </c>
      <c r="K141">
        <v>4.29E-8</v>
      </c>
      <c r="L141" t="s">
        <v>593</v>
      </c>
      <c r="M141" t="s">
        <v>603</v>
      </c>
      <c r="N141" t="s">
        <v>6</v>
      </c>
      <c r="O141" t="s">
        <v>613</v>
      </c>
      <c r="P141">
        <v>2.4699999999999999E-8</v>
      </c>
      <c r="Q141" t="s">
        <v>751</v>
      </c>
      <c r="R141" t="s">
        <v>655</v>
      </c>
      <c r="S141" t="s">
        <v>17</v>
      </c>
      <c r="T141" t="s">
        <v>664</v>
      </c>
      <c r="U141">
        <v>4.1899999999999998E-9</v>
      </c>
      <c r="V141" t="s">
        <v>711</v>
      </c>
      <c r="W141" t="s">
        <v>630</v>
      </c>
      <c r="X141" t="s">
        <v>18</v>
      </c>
      <c r="Y141" t="s">
        <v>638</v>
      </c>
      <c r="Z141">
        <v>4.1899999999999998E-9</v>
      </c>
      <c r="AA141" t="s">
        <v>621</v>
      </c>
      <c r="AB141" t="s">
        <v>630</v>
      </c>
      <c r="AC141" t="s">
        <v>19</v>
      </c>
      <c r="AD141" t="s">
        <v>638</v>
      </c>
      <c r="AE141">
        <v>4.1899999999999998E-9</v>
      </c>
      <c r="AF141" t="s">
        <v>621</v>
      </c>
      <c r="AG141" t="s">
        <v>630</v>
      </c>
      <c r="AH141" t="s">
        <v>20</v>
      </c>
      <c r="AI141" t="s">
        <v>638</v>
      </c>
      <c r="AJ141">
        <v>4.1899999999999998E-9</v>
      </c>
      <c r="AK141" t="s">
        <v>621</v>
      </c>
      <c r="AL141" t="s">
        <v>509</v>
      </c>
      <c r="AM141" t="s">
        <v>21</v>
      </c>
      <c r="AN141" t="s">
        <v>253</v>
      </c>
      <c r="AO141">
        <v>4.1899999999999998E-9</v>
      </c>
      <c r="AP141" t="s">
        <v>505</v>
      </c>
      <c r="AQ141" t="s">
        <v>509</v>
      </c>
      <c r="AR141" t="s">
        <v>22</v>
      </c>
      <c r="AS141" t="s">
        <v>513</v>
      </c>
      <c r="AT141">
        <v>4.1899999999999998E-9</v>
      </c>
      <c r="AW141" t="s">
        <v>23</v>
      </c>
      <c r="AY141">
        <v>4.1899999999999998E-9</v>
      </c>
      <c r="BB141" t="s">
        <v>24</v>
      </c>
      <c r="BD141">
        <v>4.1899999999999998E-9</v>
      </c>
      <c r="BG141" t="s">
        <v>25</v>
      </c>
      <c r="BI141">
        <v>4.1899999999999998E-9</v>
      </c>
      <c r="BL141" t="s">
        <v>26</v>
      </c>
      <c r="BN141">
        <v>4.1899999999999998E-9</v>
      </c>
      <c r="BO141" t="str">
        <f t="shared" si="10"/>
        <v>Firma Test14. Test1414.6 Test14 (E+6L+A)</v>
      </c>
      <c r="BP141" t="str">
        <f t="shared" si="11"/>
        <v>Firma Test14. Test14</v>
      </c>
    </row>
    <row r="142" spans="1:68">
      <c r="A142" t="s">
        <v>103</v>
      </c>
      <c r="B142" t="s">
        <v>887</v>
      </c>
      <c r="C142" t="s">
        <v>894</v>
      </c>
      <c r="D142" t="s">
        <v>554</v>
      </c>
      <c r="E142" t="s">
        <v>564</v>
      </c>
      <c r="F142">
        <v>7.17E-8</v>
      </c>
      <c r="G142" t="s">
        <v>451</v>
      </c>
      <c r="H142" t="s">
        <v>574</v>
      </c>
      <c r="I142" t="s">
        <v>5</v>
      </c>
      <c r="J142" t="s">
        <v>584</v>
      </c>
      <c r="K142">
        <v>4.29E-8</v>
      </c>
      <c r="L142" t="s">
        <v>594</v>
      </c>
      <c r="M142" t="s">
        <v>604</v>
      </c>
      <c r="N142" t="s">
        <v>6</v>
      </c>
      <c r="O142" t="s">
        <v>614</v>
      </c>
      <c r="P142">
        <v>2.4699999999999999E-8</v>
      </c>
      <c r="Q142" t="s">
        <v>752</v>
      </c>
      <c r="R142" t="s">
        <v>656</v>
      </c>
      <c r="S142" t="s">
        <v>17</v>
      </c>
      <c r="T142" t="s">
        <v>665</v>
      </c>
      <c r="U142">
        <v>4.1899999999999998E-9</v>
      </c>
      <c r="V142" t="s">
        <v>712</v>
      </c>
      <c r="W142" t="s">
        <v>631</v>
      </c>
      <c r="X142" t="s">
        <v>18</v>
      </c>
      <c r="Y142" t="s">
        <v>639</v>
      </c>
      <c r="Z142">
        <v>4.1899999999999998E-9</v>
      </c>
      <c r="AA142" t="s">
        <v>622</v>
      </c>
      <c r="AB142" t="s">
        <v>631</v>
      </c>
      <c r="AC142" t="s">
        <v>19</v>
      </c>
      <c r="AD142" t="s">
        <v>639</v>
      </c>
      <c r="AE142">
        <v>4.1899999999999998E-9</v>
      </c>
      <c r="AF142" t="s">
        <v>622</v>
      </c>
      <c r="AG142" t="s">
        <v>631</v>
      </c>
      <c r="AH142" t="s">
        <v>20</v>
      </c>
      <c r="AI142" t="s">
        <v>639</v>
      </c>
      <c r="AJ142">
        <v>4.1899999999999998E-9</v>
      </c>
      <c r="AK142" t="s">
        <v>622</v>
      </c>
      <c r="AL142" t="s">
        <v>510</v>
      </c>
      <c r="AM142" t="s">
        <v>21</v>
      </c>
      <c r="AN142" t="s">
        <v>254</v>
      </c>
      <c r="AO142">
        <v>4.1899999999999998E-9</v>
      </c>
      <c r="AP142" t="s">
        <v>506</v>
      </c>
      <c r="AQ142" t="s">
        <v>510</v>
      </c>
      <c r="AR142" t="s">
        <v>22</v>
      </c>
      <c r="AS142" t="s">
        <v>514</v>
      </c>
      <c r="AT142">
        <v>4.1899999999999998E-9</v>
      </c>
      <c r="AU142" t="s">
        <v>506</v>
      </c>
      <c r="AV142" t="s">
        <v>510</v>
      </c>
      <c r="AW142" t="s">
        <v>23</v>
      </c>
      <c r="AX142" t="s">
        <v>514</v>
      </c>
      <c r="AY142">
        <v>4.1899999999999998E-9</v>
      </c>
      <c r="BB142" t="s">
        <v>24</v>
      </c>
      <c r="BD142">
        <v>4.1899999999999998E-9</v>
      </c>
      <c r="BG142" t="s">
        <v>25</v>
      </c>
      <c r="BI142">
        <v>4.1899999999999998E-9</v>
      </c>
      <c r="BL142" t="s">
        <v>26</v>
      </c>
      <c r="BN142">
        <v>4.1899999999999998E-9</v>
      </c>
      <c r="BO142" t="str">
        <f t="shared" ref="BO142:BO165" si="12">CONCATENATE(A142,B142,C142)</f>
        <v>Firma Test14. Test1414.7 Test14 (E+7L+A)</v>
      </c>
      <c r="BP142" t="str">
        <f t="shared" ref="BP142:BP165" si="13">CONCATENATE(A142,B142)</f>
        <v>Firma Test14. Test14</v>
      </c>
    </row>
    <row r="143" spans="1:68">
      <c r="A143" t="s">
        <v>103</v>
      </c>
      <c r="B143" t="s">
        <v>887</v>
      </c>
      <c r="C143" t="s">
        <v>895</v>
      </c>
      <c r="D143" t="s">
        <v>555</v>
      </c>
      <c r="E143" t="s">
        <v>565</v>
      </c>
      <c r="F143">
        <v>7.17E-8</v>
      </c>
      <c r="G143" t="s">
        <v>452</v>
      </c>
      <c r="H143" t="s">
        <v>575</v>
      </c>
      <c r="I143" t="s">
        <v>5</v>
      </c>
      <c r="J143" t="s">
        <v>585</v>
      </c>
      <c r="K143">
        <v>4.29E-8</v>
      </c>
      <c r="L143" t="s">
        <v>595</v>
      </c>
      <c r="M143" t="s">
        <v>605</v>
      </c>
      <c r="N143" t="s">
        <v>6</v>
      </c>
      <c r="O143" t="s">
        <v>615</v>
      </c>
      <c r="P143">
        <v>2.4699999999999999E-8</v>
      </c>
      <c r="Q143" t="s">
        <v>753</v>
      </c>
      <c r="R143" t="s">
        <v>657</v>
      </c>
      <c r="S143" t="s">
        <v>17</v>
      </c>
      <c r="T143" t="s">
        <v>666</v>
      </c>
      <c r="U143">
        <v>4.1899999999999998E-9</v>
      </c>
      <c r="V143" t="s">
        <v>713</v>
      </c>
      <c r="W143" t="s">
        <v>632</v>
      </c>
      <c r="X143" t="s">
        <v>18</v>
      </c>
      <c r="Y143" t="s">
        <v>640</v>
      </c>
      <c r="Z143">
        <v>4.1899999999999998E-9</v>
      </c>
      <c r="AA143" t="s">
        <v>623</v>
      </c>
      <c r="AB143" t="s">
        <v>632</v>
      </c>
      <c r="AC143" t="s">
        <v>19</v>
      </c>
      <c r="AD143" t="s">
        <v>640</v>
      </c>
      <c r="AE143">
        <v>4.1899999999999998E-9</v>
      </c>
      <c r="AF143" t="s">
        <v>623</v>
      </c>
      <c r="AG143" t="s">
        <v>632</v>
      </c>
      <c r="AH143" t="s">
        <v>20</v>
      </c>
      <c r="AI143" t="s">
        <v>640</v>
      </c>
      <c r="AJ143">
        <v>4.1899999999999998E-9</v>
      </c>
      <c r="AK143" t="s">
        <v>623</v>
      </c>
      <c r="AL143" t="s">
        <v>511</v>
      </c>
      <c r="AM143" t="s">
        <v>22</v>
      </c>
      <c r="AN143" t="s">
        <v>255</v>
      </c>
      <c r="AO143">
        <v>4.1899999999999998E-9</v>
      </c>
      <c r="AP143" t="s">
        <v>507</v>
      </c>
      <c r="AQ143" t="s">
        <v>511</v>
      </c>
      <c r="AR143" t="s">
        <v>22</v>
      </c>
      <c r="AS143" t="s">
        <v>515</v>
      </c>
      <c r="AT143">
        <v>4.1899999999999998E-9</v>
      </c>
      <c r="AU143" t="s">
        <v>507</v>
      </c>
      <c r="AV143" t="s">
        <v>511</v>
      </c>
      <c r="AW143" t="s">
        <v>23</v>
      </c>
      <c r="AX143" t="s">
        <v>515</v>
      </c>
      <c r="AY143">
        <v>4.1899999999999998E-9</v>
      </c>
      <c r="AZ143" t="s">
        <v>521</v>
      </c>
      <c r="BA143" t="s">
        <v>511</v>
      </c>
      <c r="BB143" t="s">
        <v>24</v>
      </c>
      <c r="BC143" t="s">
        <v>515</v>
      </c>
      <c r="BD143">
        <v>4.1899999999999998E-9</v>
      </c>
      <c r="BG143" t="s">
        <v>25</v>
      </c>
      <c r="BI143">
        <v>4.1899999999999998E-9</v>
      </c>
      <c r="BL143" t="s">
        <v>26</v>
      </c>
      <c r="BN143">
        <v>4.1899999999999998E-9</v>
      </c>
      <c r="BO143" t="str">
        <f t="shared" si="12"/>
        <v>Firma Test14. Test1414.8 Test14 (E+8L+A)</v>
      </c>
      <c r="BP143" t="str">
        <f t="shared" si="13"/>
        <v>Firma Test14. Test14</v>
      </c>
    </row>
    <row r="144" spans="1:68">
      <c r="A144" t="s">
        <v>103</v>
      </c>
      <c r="B144" t="s">
        <v>887</v>
      </c>
      <c r="C144" t="s">
        <v>896</v>
      </c>
      <c r="D144" t="s">
        <v>556</v>
      </c>
      <c r="E144" t="s">
        <v>566</v>
      </c>
      <c r="F144">
        <v>7.17E-8</v>
      </c>
      <c r="G144" t="s">
        <v>453</v>
      </c>
      <c r="H144" t="s">
        <v>576</v>
      </c>
      <c r="I144" t="s">
        <v>5</v>
      </c>
      <c r="J144" t="s">
        <v>586</v>
      </c>
      <c r="K144">
        <v>4.29E-8</v>
      </c>
      <c r="L144" t="s">
        <v>596</v>
      </c>
      <c r="M144" t="s">
        <v>606</v>
      </c>
      <c r="N144" t="s">
        <v>6</v>
      </c>
      <c r="O144" t="s">
        <v>616</v>
      </c>
      <c r="P144">
        <v>2.4699999999999999E-8</v>
      </c>
      <c r="Q144" t="s">
        <v>754</v>
      </c>
      <c r="R144" t="s">
        <v>658</v>
      </c>
      <c r="S144" t="s">
        <v>17</v>
      </c>
      <c r="T144" t="s">
        <v>667</v>
      </c>
      <c r="U144">
        <v>4.1899999999999998E-9</v>
      </c>
      <c r="V144" t="s">
        <v>714</v>
      </c>
      <c r="W144" t="s">
        <v>633</v>
      </c>
      <c r="X144" t="s">
        <v>18</v>
      </c>
      <c r="Y144" t="s">
        <v>641</v>
      </c>
      <c r="Z144">
        <v>4.1899999999999998E-9</v>
      </c>
      <c r="AA144" t="s">
        <v>624</v>
      </c>
      <c r="AB144" t="s">
        <v>633</v>
      </c>
      <c r="AC144" t="s">
        <v>19</v>
      </c>
      <c r="AD144" t="s">
        <v>641</v>
      </c>
      <c r="AE144">
        <v>4.1899999999999998E-9</v>
      </c>
      <c r="AF144" t="s">
        <v>624</v>
      </c>
      <c r="AG144" t="s">
        <v>633</v>
      </c>
      <c r="AH144" t="s">
        <v>20</v>
      </c>
      <c r="AI144" t="s">
        <v>641</v>
      </c>
      <c r="AJ144">
        <v>4.1899999999999998E-9</v>
      </c>
      <c r="AK144" t="s">
        <v>624</v>
      </c>
      <c r="AL144" t="s">
        <v>512</v>
      </c>
      <c r="AM144" t="s">
        <v>23</v>
      </c>
      <c r="AN144" t="s">
        <v>256</v>
      </c>
      <c r="AO144">
        <v>4.1899999999999998E-9</v>
      </c>
      <c r="AP144" t="s">
        <v>508</v>
      </c>
      <c r="AQ144" t="s">
        <v>512</v>
      </c>
      <c r="AR144" t="s">
        <v>22</v>
      </c>
      <c r="AS144" t="s">
        <v>516</v>
      </c>
      <c r="AT144">
        <v>4.1899999999999998E-9</v>
      </c>
      <c r="AU144" t="s">
        <v>508</v>
      </c>
      <c r="AV144" t="s">
        <v>512</v>
      </c>
      <c r="AW144" t="s">
        <v>23</v>
      </c>
      <c r="AX144" t="s">
        <v>516</v>
      </c>
      <c r="AY144">
        <v>4.1899999999999998E-9</v>
      </c>
      <c r="AZ144" t="s">
        <v>522</v>
      </c>
      <c r="BA144" t="s">
        <v>512</v>
      </c>
      <c r="BB144" t="s">
        <v>24</v>
      </c>
      <c r="BC144" t="s">
        <v>516</v>
      </c>
      <c r="BD144">
        <v>4.1899999999999998E-9</v>
      </c>
      <c r="BE144" t="s">
        <v>508</v>
      </c>
      <c r="BF144" t="s">
        <v>512</v>
      </c>
      <c r="BG144" t="s">
        <v>25</v>
      </c>
      <c r="BH144" t="s">
        <v>516</v>
      </c>
      <c r="BI144">
        <v>4.1899999999999998E-9</v>
      </c>
      <c r="BL144" t="s">
        <v>26</v>
      </c>
      <c r="BN144">
        <v>4.1899999999999998E-9</v>
      </c>
      <c r="BO144" t="str">
        <f t="shared" si="12"/>
        <v>Firma Test14. Test1414.9 Test14 (E+9L+A)</v>
      </c>
      <c r="BP144" t="str">
        <f t="shared" si="13"/>
        <v>Firma Test14. Test14</v>
      </c>
    </row>
    <row r="145" spans="1:68">
      <c r="A145" t="s">
        <v>103</v>
      </c>
      <c r="B145" t="s">
        <v>887</v>
      </c>
      <c r="C145" t="s">
        <v>897</v>
      </c>
      <c r="D145" t="s">
        <v>557</v>
      </c>
      <c r="E145" t="s">
        <v>567</v>
      </c>
      <c r="F145">
        <v>7.17E-8</v>
      </c>
      <c r="G145" t="s">
        <v>454</v>
      </c>
      <c r="H145" t="s">
        <v>577</v>
      </c>
      <c r="I145" t="s">
        <v>5</v>
      </c>
      <c r="J145" t="s">
        <v>587</v>
      </c>
      <c r="K145">
        <v>4.29E-8</v>
      </c>
      <c r="L145" t="s">
        <v>597</v>
      </c>
      <c r="M145" t="s">
        <v>607</v>
      </c>
      <c r="N145" t="s">
        <v>6</v>
      </c>
      <c r="O145" t="s">
        <v>617</v>
      </c>
      <c r="P145">
        <v>2.4699999999999999E-8</v>
      </c>
      <c r="Q145" t="s">
        <v>755</v>
      </c>
      <c r="R145" t="s">
        <v>649</v>
      </c>
      <c r="S145" t="s">
        <v>17</v>
      </c>
      <c r="T145" t="s">
        <v>668</v>
      </c>
      <c r="U145">
        <v>4.1899999999999998E-9</v>
      </c>
      <c r="V145" t="s">
        <v>715</v>
      </c>
      <c r="W145" t="s">
        <v>259</v>
      </c>
      <c r="X145" t="s">
        <v>18</v>
      </c>
      <c r="Y145" t="s">
        <v>260</v>
      </c>
      <c r="Z145">
        <v>4.1899999999999998E-9</v>
      </c>
      <c r="AA145" t="s">
        <v>625</v>
      </c>
      <c r="AB145" t="s">
        <v>259</v>
      </c>
      <c r="AC145" t="s">
        <v>19</v>
      </c>
      <c r="AD145" t="s">
        <v>260</v>
      </c>
      <c r="AE145">
        <v>4.1899999999999998E-9</v>
      </c>
      <c r="AF145" t="s">
        <v>625</v>
      </c>
      <c r="AG145" t="s">
        <v>259</v>
      </c>
      <c r="AH145" t="s">
        <v>20</v>
      </c>
      <c r="AI145" t="s">
        <v>260</v>
      </c>
      <c r="AJ145">
        <v>4.1899999999999998E-9</v>
      </c>
      <c r="AK145" t="s">
        <v>625</v>
      </c>
      <c r="AL145" t="s">
        <v>249</v>
      </c>
      <c r="AM145" t="s">
        <v>24</v>
      </c>
      <c r="AN145" t="s">
        <v>257</v>
      </c>
      <c r="AO145">
        <v>4.1899999999999998E-9</v>
      </c>
      <c r="AP145" t="s">
        <v>241</v>
      </c>
      <c r="AQ145" t="s">
        <v>249</v>
      </c>
      <c r="AR145" t="s">
        <v>22</v>
      </c>
      <c r="AS145" t="s">
        <v>257</v>
      </c>
      <c r="AT145">
        <v>4.1899999999999998E-9</v>
      </c>
      <c r="AU145" t="s">
        <v>241</v>
      </c>
      <c r="AV145" t="s">
        <v>249</v>
      </c>
      <c r="AW145" t="s">
        <v>23</v>
      </c>
      <c r="AX145" t="s">
        <v>257</v>
      </c>
      <c r="AY145">
        <v>4.1899999999999998E-9</v>
      </c>
      <c r="AZ145" t="s">
        <v>523</v>
      </c>
      <c r="BA145" t="s">
        <v>249</v>
      </c>
      <c r="BB145" t="s">
        <v>24</v>
      </c>
      <c r="BC145" t="s">
        <v>257</v>
      </c>
      <c r="BD145">
        <v>4.1899999999999998E-9</v>
      </c>
      <c r="BE145" t="s">
        <v>241</v>
      </c>
      <c r="BF145" t="s">
        <v>249</v>
      </c>
      <c r="BG145" t="s">
        <v>25</v>
      </c>
      <c r="BH145" t="s">
        <v>257</v>
      </c>
      <c r="BI145">
        <v>4.1899999999999998E-9</v>
      </c>
      <c r="BJ145" t="s">
        <v>517</v>
      </c>
      <c r="BK145" t="s">
        <v>249</v>
      </c>
      <c r="BL145" t="s">
        <v>26</v>
      </c>
      <c r="BM145" t="s">
        <v>257</v>
      </c>
      <c r="BN145">
        <v>4.1899999999999998E-9</v>
      </c>
      <c r="BO145" t="str">
        <f t="shared" si="12"/>
        <v>Firma Test14. Test1414.10 Test14 (E+10L+A)</v>
      </c>
      <c r="BP145" t="str">
        <f t="shared" si="13"/>
        <v>Firma Test14. Test14</v>
      </c>
    </row>
    <row r="146" spans="1:68">
      <c r="A146" t="s">
        <v>103</v>
      </c>
      <c r="B146" t="s">
        <v>898</v>
      </c>
      <c r="C146" t="s">
        <v>899</v>
      </c>
      <c r="D146" t="s">
        <v>548</v>
      </c>
      <c r="E146" t="s">
        <v>558</v>
      </c>
      <c r="F146">
        <v>7.17E-8</v>
      </c>
      <c r="G146" t="s">
        <v>424</v>
      </c>
      <c r="H146" t="s">
        <v>568</v>
      </c>
      <c r="I146" t="s">
        <v>5</v>
      </c>
      <c r="J146" t="s">
        <v>578</v>
      </c>
      <c r="K146">
        <v>4.29E-8</v>
      </c>
      <c r="L146" t="s">
        <v>588</v>
      </c>
      <c r="M146" t="s">
        <v>598</v>
      </c>
      <c r="N146" t="s">
        <v>6</v>
      </c>
      <c r="O146" t="s">
        <v>608</v>
      </c>
      <c r="P146">
        <v>2.4699999999999999E-8</v>
      </c>
      <c r="Q146" t="s">
        <v>746</v>
      </c>
      <c r="R146" t="s">
        <v>650</v>
      </c>
      <c r="S146" t="s">
        <v>17</v>
      </c>
      <c r="T146" t="s">
        <v>659</v>
      </c>
      <c r="U146">
        <v>4.1899999999999998E-9</v>
      </c>
      <c r="X146" t="s">
        <v>18</v>
      </c>
      <c r="Z146">
        <v>4.1899999999999998E-9</v>
      </c>
      <c r="AE146">
        <v>4.1899999999999998E-9</v>
      </c>
      <c r="AH146" t="s">
        <v>20</v>
      </c>
      <c r="AJ146">
        <v>4.1899999999999998E-9</v>
      </c>
      <c r="AM146" t="s">
        <v>21</v>
      </c>
      <c r="AO146">
        <v>4.1899999999999998E-9</v>
      </c>
      <c r="AR146" t="s">
        <v>22</v>
      </c>
      <c r="AT146">
        <v>4.1899999999999998E-9</v>
      </c>
      <c r="AW146" t="s">
        <v>23</v>
      </c>
      <c r="AY146">
        <v>4.1899999999999998E-9</v>
      </c>
      <c r="BB146" t="s">
        <v>24</v>
      </c>
      <c r="BD146">
        <v>4.1899999999999998E-9</v>
      </c>
      <c r="BG146" t="s">
        <v>25</v>
      </c>
      <c r="BI146">
        <v>4.1899999999999998E-9</v>
      </c>
      <c r="BL146" t="s">
        <v>26</v>
      </c>
      <c r="BN146">
        <v>4.1899999999999998E-9</v>
      </c>
      <c r="BO146" t="str">
        <f t="shared" si="12"/>
        <v>Firma Test15. Test1515.1 Test15 (E+1L+A)</v>
      </c>
      <c r="BP146" t="str">
        <f t="shared" si="13"/>
        <v>Firma Test15. Test15</v>
      </c>
    </row>
    <row r="147" spans="1:68">
      <c r="A147" t="s">
        <v>103</v>
      </c>
      <c r="B147" t="s">
        <v>898</v>
      </c>
      <c r="C147" t="s">
        <v>900</v>
      </c>
      <c r="D147" t="s">
        <v>549</v>
      </c>
      <c r="E147" t="s">
        <v>559</v>
      </c>
      <c r="F147">
        <v>7.17E-8</v>
      </c>
      <c r="G147" t="s">
        <v>446</v>
      </c>
      <c r="H147" t="s">
        <v>569</v>
      </c>
      <c r="I147" t="s">
        <v>5</v>
      </c>
      <c r="J147" t="s">
        <v>579</v>
      </c>
      <c r="K147">
        <v>4.29E-8</v>
      </c>
      <c r="L147" t="s">
        <v>589</v>
      </c>
      <c r="M147" t="s">
        <v>599</v>
      </c>
      <c r="N147" t="s">
        <v>6</v>
      </c>
      <c r="O147" t="s">
        <v>609</v>
      </c>
      <c r="P147">
        <v>2.4699999999999999E-8</v>
      </c>
      <c r="Q147" t="s">
        <v>747</v>
      </c>
      <c r="R147" t="s">
        <v>651</v>
      </c>
      <c r="S147" t="s">
        <v>17</v>
      </c>
      <c r="T147" t="s">
        <v>660</v>
      </c>
      <c r="U147">
        <v>4.1899999999999998E-9</v>
      </c>
      <c r="V147" t="s">
        <v>707</v>
      </c>
      <c r="W147" t="s">
        <v>626</v>
      </c>
      <c r="X147" t="s">
        <v>18</v>
      </c>
      <c r="Y147" t="s">
        <v>634</v>
      </c>
      <c r="Z147">
        <v>4.1899999999999998E-9</v>
      </c>
      <c r="AE147">
        <v>4.1899999999999998E-9</v>
      </c>
      <c r="AH147" t="s">
        <v>20</v>
      </c>
      <c r="AJ147">
        <v>4.1899999999999998E-9</v>
      </c>
      <c r="AM147" t="s">
        <v>21</v>
      </c>
      <c r="AO147">
        <v>4.1899999999999998E-9</v>
      </c>
      <c r="AR147" t="s">
        <v>22</v>
      </c>
      <c r="AT147">
        <v>4.1899999999999998E-9</v>
      </c>
      <c r="AW147" t="s">
        <v>23</v>
      </c>
      <c r="AY147">
        <v>4.1899999999999998E-9</v>
      </c>
      <c r="BB147" t="s">
        <v>24</v>
      </c>
      <c r="BD147">
        <v>4.1899999999999998E-9</v>
      </c>
      <c r="BG147" t="s">
        <v>25</v>
      </c>
      <c r="BI147">
        <v>4.1899999999999998E-9</v>
      </c>
      <c r="BL147" t="s">
        <v>26</v>
      </c>
      <c r="BN147">
        <v>4.1899999999999998E-9</v>
      </c>
      <c r="BO147" t="str">
        <f t="shared" si="12"/>
        <v>Firma Test15. Test1515.2 Test15 (E+2L+A)</v>
      </c>
      <c r="BP147" t="str">
        <f t="shared" si="13"/>
        <v>Firma Test15. Test15</v>
      </c>
    </row>
    <row r="148" spans="1:68">
      <c r="A148" t="s">
        <v>103</v>
      </c>
      <c r="B148" t="s">
        <v>898</v>
      </c>
      <c r="C148" t="s">
        <v>901</v>
      </c>
      <c r="D148" t="s">
        <v>550</v>
      </c>
      <c r="E148" t="s">
        <v>560</v>
      </c>
      <c r="F148">
        <v>7.17E-8</v>
      </c>
      <c r="G148" t="s">
        <v>447</v>
      </c>
      <c r="H148" t="s">
        <v>570</v>
      </c>
      <c r="I148" t="s">
        <v>5</v>
      </c>
      <c r="J148" t="s">
        <v>580</v>
      </c>
      <c r="K148">
        <v>4.29E-8</v>
      </c>
      <c r="L148" t="s">
        <v>590</v>
      </c>
      <c r="M148" t="s">
        <v>600</v>
      </c>
      <c r="N148" t="s">
        <v>6</v>
      </c>
      <c r="O148" t="s">
        <v>610</v>
      </c>
      <c r="P148">
        <v>2.4699999999999999E-8</v>
      </c>
      <c r="Q148" t="s">
        <v>748</v>
      </c>
      <c r="R148" t="s">
        <v>652</v>
      </c>
      <c r="S148" t="s">
        <v>17</v>
      </c>
      <c r="T148" t="s">
        <v>661</v>
      </c>
      <c r="U148">
        <v>4.1899999999999998E-9</v>
      </c>
      <c r="V148" t="s">
        <v>708</v>
      </c>
      <c r="W148" t="s">
        <v>627</v>
      </c>
      <c r="X148" t="s">
        <v>18</v>
      </c>
      <c r="Y148" t="s">
        <v>635</v>
      </c>
      <c r="Z148">
        <v>4.1899999999999998E-9</v>
      </c>
      <c r="AA148" t="s">
        <v>618</v>
      </c>
      <c r="AB148" t="s">
        <v>627</v>
      </c>
      <c r="AC148" t="s">
        <v>19</v>
      </c>
      <c r="AD148" t="s">
        <v>635</v>
      </c>
      <c r="AE148">
        <v>4.1899999999999998E-9</v>
      </c>
      <c r="AH148" t="s">
        <v>20</v>
      </c>
      <c r="AJ148">
        <v>4.1899999999999998E-9</v>
      </c>
      <c r="AM148" t="s">
        <v>21</v>
      </c>
      <c r="AO148">
        <v>4.1899999999999998E-9</v>
      </c>
      <c r="AR148" t="s">
        <v>22</v>
      </c>
      <c r="AT148">
        <v>4.1899999999999998E-9</v>
      </c>
      <c r="AW148" t="s">
        <v>23</v>
      </c>
      <c r="AY148">
        <v>4.1899999999999998E-9</v>
      </c>
      <c r="BB148" t="s">
        <v>24</v>
      </c>
      <c r="BD148">
        <v>4.1899999999999998E-9</v>
      </c>
      <c r="BG148" t="s">
        <v>25</v>
      </c>
      <c r="BI148">
        <v>4.1899999999999998E-9</v>
      </c>
      <c r="BL148" t="s">
        <v>26</v>
      </c>
      <c r="BN148">
        <v>4.1899999999999998E-9</v>
      </c>
      <c r="BO148" t="str">
        <f t="shared" si="12"/>
        <v>Firma Test15. Test1515.3 Test15 (E+3L+A)</v>
      </c>
      <c r="BP148" t="str">
        <f t="shared" si="13"/>
        <v>Firma Test15. Test15</v>
      </c>
    </row>
    <row r="149" spans="1:68">
      <c r="A149" t="s">
        <v>103</v>
      </c>
      <c r="B149" t="s">
        <v>898</v>
      </c>
      <c r="C149" t="s">
        <v>902</v>
      </c>
      <c r="D149" t="s">
        <v>551</v>
      </c>
      <c r="E149" t="s">
        <v>561</v>
      </c>
      <c r="F149">
        <v>7.17E-8</v>
      </c>
      <c r="G149" t="s">
        <v>448</v>
      </c>
      <c r="H149" t="s">
        <v>571</v>
      </c>
      <c r="I149" t="s">
        <v>5</v>
      </c>
      <c r="J149" t="s">
        <v>581</v>
      </c>
      <c r="K149">
        <v>4.29E-8</v>
      </c>
      <c r="L149" t="s">
        <v>591</v>
      </c>
      <c r="M149" t="s">
        <v>601</v>
      </c>
      <c r="N149" t="s">
        <v>6</v>
      </c>
      <c r="O149" t="s">
        <v>611</v>
      </c>
      <c r="P149">
        <v>2.4699999999999999E-8</v>
      </c>
      <c r="Q149" t="s">
        <v>749</v>
      </c>
      <c r="R149" t="s">
        <v>653</v>
      </c>
      <c r="S149" t="s">
        <v>17</v>
      </c>
      <c r="T149" t="s">
        <v>662</v>
      </c>
      <c r="U149">
        <v>4.1899999999999998E-9</v>
      </c>
      <c r="V149" t="s">
        <v>709</v>
      </c>
      <c r="W149" t="s">
        <v>628</v>
      </c>
      <c r="X149" t="s">
        <v>18</v>
      </c>
      <c r="Y149" t="s">
        <v>636</v>
      </c>
      <c r="Z149">
        <v>4.1899999999999998E-9</v>
      </c>
      <c r="AA149" t="s">
        <v>619</v>
      </c>
      <c r="AB149" t="s">
        <v>628</v>
      </c>
      <c r="AC149" t="s">
        <v>19</v>
      </c>
      <c r="AD149" t="s">
        <v>636</v>
      </c>
      <c r="AE149">
        <v>4.1899999999999998E-9</v>
      </c>
      <c r="AF149" t="s">
        <v>619</v>
      </c>
      <c r="AG149" t="s">
        <v>628</v>
      </c>
      <c r="AH149" t="s">
        <v>20</v>
      </c>
      <c r="AI149" t="s">
        <v>636</v>
      </c>
      <c r="AJ149">
        <v>4.1899999999999998E-9</v>
      </c>
      <c r="AM149" t="s">
        <v>21</v>
      </c>
      <c r="AO149">
        <v>4.1899999999999998E-9</v>
      </c>
      <c r="AR149" t="s">
        <v>22</v>
      </c>
      <c r="AT149">
        <v>4.1899999999999998E-9</v>
      </c>
      <c r="AW149" t="s">
        <v>23</v>
      </c>
      <c r="AY149">
        <v>4.1899999999999998E-9</v>
      </c>
      <c r="BB149" t="s">
        <v>24</v>
      </c>
      <c r="BD149">
        <v>4.1899999999999998E-9</v>
      </c>
      <c r="BG149" t="s">
        <v>25</v>
      </c>
      <c r="BI149">
        <v>4.1899999999999998E-9</v>
      </c>
      <c r="BL149" t="s">
        <v>26</v>
      </c>
      <c r="BN149">
        <v>4.1899999999999998E-9</v>
      </c>
      <c r="BO149" t="str">
        <f t="shared" si="12"/>
        <v>Firma Test15. Test1515.4 Test15 (E+4L+A)</v>
      </c>
      <c r="BP149" t="str">
        <f t="shared" si="13"/>
        <v>Firma Test15. Test15</v>
      </c>
    </row>
    <row r="150" spans="1:68">
      <c r="A150" t="s">
        <v>103</v>
      </c>
      <c r="B150" t="s">
        <v>898</v>
      </c>
      <c r="C150" t="s">
        <v>903</v>
      </c>
      <c r="D150" t="s">
        <v>552</v>
      </c>
      <c r="E150" t="s">
        <v>562</v>
      </c>
      <c r="F150">
        <v>7.17E-8</v>
      </c>
      <c r="G150" t="s">
        <v>449</v>
      </c>
      <c r="H150" t="s">
        <v>572</v>
      </c>
      <c r="I150" t="s">
        <v>5</v>
      </c>
      <c r="J150" t="s">
        <v>582</v>
      </c>
      <c r="K150">
        <v>4.29E-8</v>
      </c>
      <c r="L150" t="s">
        <v>592</v>
      </c>
      <c r="M150" t="s">
        <v>602</v>
      </c>
      <c r="N150" t="s">
        <v>6</v>
      </c>
      <c r="O150" t="s">
        <v>612</v>
      </c>
      <c r="P150">
        <v>2.4699999999999999E-8</v>
      </c>
      <c r="Q150" t="s">
        <v>750</v>
      </c>
      <c r="R150" t="s">
        <v>654</v>
      </c>
      <c r="S150" t="s">
        <v>17</v>
      </c>
      <c r="T150" t="s">
        <v>663</v>
      </c>
      <c r="U150">
        <v>4.1899999999999998E-9</v>
      </c>
      <c r="V150" t="s">
        <v>710</v>
      </c>
      <c r="W150" t="s">
        <v>629</v>
      </c>
      <c r="X150" t="s">
        <v>18</v>
      </c>
      <c r="Y150" t="s">
        <v>637</v>
      </c>
      <c r="Z150">
        <v>4.1899999999999998E-9</v>
      </c>
      <c r="AA150" t="s">
        <v>620</v>
      </c>
      <c r="AB150" t="s">
        <v>629</v>
      </c>
      <c r="AC150" t="s">
        <v>19</v>
      </c>
      <c r="AD150" t="s">
        <v>637</v>
      </c>
      <c r="AE150">
        <v>4.1899999999999998E-9</v>
      </c>
      <c r="AF150" t="s">
        <v>620</v>
      </c>
      <c r="AG150" t="s">
        <v>629</v>
      </c>
      <c r="AH150" t="s">
        <v>20</v>
      </c>
      <c r="AI150" t="s">
        <v>637</v>
      </c>
      <c r="AJ150">
        <v>4.1899999999999998E-9</v>
      </c>
      <c r="AK150" t="s">
        <v>620</v>
      </c>
      <c r="AL150" t="s">
        <v>648</v>
      </c>
      <c r="AM150" t="s">
        <v>21</v>
      </c>
      <c r="AN150" t="s">
        <v>252</v>
      </c>
      <c r="AO150">
        <v>4.1899999999999998E-9</v>
      </c>
      <c r="AR150" t="s">
        <v>22</v>
      </c>
      <c r="AT150">
        <v>4.1899999999999998E-9</v>
      </c>
      <c r="AW150" t="s">
        <v>23</v>
      </c>
      <c r="AY150">
        <v>4.1899999999999998E-9</v>
      </c>
      <c r="BB150" t="s">
        <v>24</v>
      </c>
      <c r="BD150">
        <v>4.1899999999999998E-9</v>
      </c>
      <c r="BG150" t="s">
        <v>25</v>
      </c>
      <c r="BI150">
        <v>4.1899999999999998E-9</v>
      </c>
      <c r="BL150" t="s">
        <v>26</v>
      </c>
      <c r="BN150">
        <v>4.1899999999999998E-9</v>
      </c>
      <c r="BO150" t="str">
        <f t="shared" si="12"/>
        <v>Firma Test15. Test1515.5 Test15 (E+5L+A)</v>
      </c>
      <c r="BP150" t="str">
        <f t="shared" si="13"/>
        <v>Firma Test15. Test15</v>
      </c>
    </row>
    <row r="151" spans="1:68">
      <c r="A151" t="s">
        <v>103</v>
      </c>
      <c r="B151" t="s">
        <v>898</v>
      </c>
      <c r="C151" t="s">
        <v>904</v>
      </c>
      <c r="D151" t="s">
        <v>553</v>
      </c>
      <c r="E151" t="s">
        <v>563</v>
      </c>
      <c r="F151">
        <v>7.17E-8</v>
      </c>
      <c r="G151" t="s">
        <v>450</v>
      </c>
      <c r="H151" t="s">
        <v>573</v>
      </c>
      <c r="I151" t="s">
        <v>5</v>
      </c>
      <c r="J151" t="s">
        <v>583</v>
      </c>
      <c r="K151">
        <v>4.29E-8</v>
      </c>
      <c r="L151" t="s">
        <v>593</v>
      </c>
      <c r="M151" t="s">
        <v>603</v>
      </c>
      <c r="N151" t="s">
        <v>6</v>
      </c>
      <c r="O151" t="s">
        <v>613</v>
      </c>
      <c r="P151">
        <v>2.4699999999999999E-8</v>
      </c>
      <c r="Q151" t="s">
        <v>751</v>
      </c>
      <c r="R151" t="s">
        <v>655</v>
      </c>
      <c r="S151" t="s">
        <v>17</v>
      </c>
      <c r="T151" t="s">
        <v>664</v>
      </c>
      <c r="U151">
        <v>4.1899999999999998E-9</v>
      </c>
      <c r="V151" t="s">
        <v>711</v>
      </c>
      <c r="W151" t="s">
        <v>630</v>
      </c>
      <c r="X151" t="s">
        <v>18</v>
      </c>
      <c r="Y151" t="s">
        <v>638</v>
      </c>
      <c r="Z151">
        <v>4.1899999999999998E-9</v>
      </c>
      <c r="AA151" t="s">
        <v>621</v>
      </c>
      <c r="AB151" t="s">
        <v>630</v>
      </c>
      <c r="AC151" t="s">
        <v>19</v>
      </c>
      <c r="AD151" t="s">
        <v>638</v>
      </c>
      <c r="AE151">
        <v>4.1899999999999998E-9</v>
      </c>
      <c r="AF151" t="s">
        <v>621</v>
      </c>
      <c r="AG151" t="s">
        <v>630</v>
      </c>
      <c r="AH151" t="s">
        <v>20</v>
      </c>
      <c r="AI151" t="s">
        <v>638</v>
      </c>
      <c r="AJ151">
        <v>4.1899999999999998E-9</v>
      </c>
      <c r="AK151" t="s">
        <v>621</v>
      </c>
      <c r="AL151" t="s">
        <v>509</v>
      </c>
      <c r="AM151" t="s">
        <v>21</v>
      </c>
      <c r="AN151" t="s">
        <v>253</v>
      </c>
      <c r="AO151">
        <v>4.1899999999999998E-9</v>
      </c>
      <c r="AP151" t="s">
        <v>505</v>
      </c>
      <c r="AQ151" t="s">
        <v>509</v>
      </c>
      <c r="AR151" t="s">
        <v>22</v>
      </c>
      <c r="AS151" t="s">
        <v>513</v>
      </c>
      <c r="AT151">
        <v>4.1899999999999998E-9</v>
      </c>
      <c r="AW151" t="s">
        <v>23</v>
      </c>
      <c r="AY151">
        <v>4.1899999999999998E-9</v>
      </c>
      <c r="BB151" t="s">
        <v>24</v>
      </c>
      <c r="BD151">
        <v>4.1899999999999998E-9</v>
      </c>
      <c r="BG151" t="s">
        <v>25</v>
      </c>
      <c r="BI151">
        <v>4.1899999999999998E-9</v>
      </c>
      <c r="BL151" t="s">
        <v>26</v>
      </c>
      <c r="BN151">
        <v>4.1899999999999998E-9</v>
      </c>
      <c r="BO151" t="str">
        <f t="shared" si="12"/>
        <v>Firma Test15. Test1515.6 Test15 (E+6L+A)</v>
      </c>
      <c r="BP151" t="str">
        <f t="shared" si="13"/>
        <v>Firma Test15. Test15</v>
      </c>
    </row>
    <row r="152" spans="1:68">
      <c r="A152" t="s">
        <v>103</v>
      </c>
      <c r="B152" t="s">
        <v>898</v>
      </c>
      <c r="C152" t="s">
        <v>905</v>
      </c>
      <c r="D152" t="s">
        <v>554</v>
      </c>
      <c r="E152" t="s">
        <v>564</v>
      </c>
      <c r="F152">
        <v>7.17E-8</v>
      </c>
      <c r="G152" t="s">
        <v>451</v>
      </c>
      <c r="H152" t="s">
        <v>574</v>
      </c>
      <c r="I152" t="s">
        <v>5</v>
      </c>
      <c r="J152" t="s">
        <v>584</v>
      </c>
      <c r="K152">
        <v>4.29E-8</v>
      </c>
      <c r="L152" t="s">
        <v>594</v>
      </c>
      <c r="M152" t="s">
        <v>604</v>
      </c>
      <c r="N152" t="s">
        <v>6</v>
      </c>
      <c r="O152" t="s">
        <v>614</v>
      </c>
      <c r="P152">
        <v>2.4699999999999999E-8</v>
      </c>
      <c r="Q152" t="s">
        <v>752</v>
      </c>
      <c r="R152" t="s">
        <v>656</v>
      </c>
      <c r="S152" t="s">
        <v>17</v>
      </c>
      <c r="T152" t="s">
        <v>665</v>
      </c>
      <c r="U152">
        <v>4.1899999999999998E-9</v>
      </c>
      <c r="V152" t="s">
        <v>712</v>
      </c>
      <c r="W152" t="s">
        <v>631</v>
      </c>
      <c r="X152" t="s">
        <v>18</v>
      </c>
      <c r="Y152" t="s">
        <v>639</v>
      </c>
      <c r="Z152">
        <v>4.1899999999999998E-9</v>
      </c>
      <c r="AA152" t="s">
        <v>622</v>
      </c>
      <c r="AB152" t="s">
        <v>631</v>
      </c>
      <c r="AC152" t="s">
        <v>19</v>
      </c>
      <c r="AD152" t="s">
        <v>639</v>
      </c>
      <c r="AE152">
        <v>4.1899999999999998E-9</v>
      </c>
      <c r="AF152" t="s">
        <v>622</v>
      </c>
      <c r="AG152" t="s">
        <v>631</v>
      </c>
      <c r="AH152" t="s">
        <v>20</v>
      </c>
      <c r="AI152" t="s">
        <v>639</v>
      </c>
      <c r="AJ152">
        <v>4.1899999999999998E-9</v>
      </c>
      <c r="AK152" t="s">
        <v>622</v>
      </c>
      <c r="AL152" t="s">
        <v>510</v>
      </c>
      <c r="AM152" t="s">
        <v>21</v>
      </c>
      <c r="AN152" t="s">
        <v>254</v>
      </c>
      <c r="AO152">
        <v>4.1899999999999998E-9</v>
      </c>
      <c r="AP152" t="s">
        <v>506</v>
      </c>
      <c r="AQ152" t="s">
        <v>510</v>
      </c>
      <c r="AR152" t="s">
        <v>22</v>
      </c>
      <c r="AS152" t="s">
        <v>514</v>
      </c>
      <c r="AT152">
        <v>4.1899999999999998E-9</v>
      </c>
      <c r="AU152" t="s">
        <v>506</v>
      </c>
      <c r="AV152" t="s">
        <v>510</v>
      </c>
      <c r="AW152" t="s">
        <v>23</v>
      </c>
      <c r="AX152" t="s">
        <v>514</v>
      </c>
      <c r="AY152">
        <v>4.1899999999999998E-9</v>
      </c>
      <c r="BB152" t="s">
        <v>24</v>
      </c>
      <c r="BD152">
        <v>4.1899999999999998E-9</v>
      </c>
      <c r="BG152" t="s">
        <v>25</v>
      </c>
      <c r="BI152">
        <v>4.1899999999999998E-9</v>
      </c>
      <c r="BL152" t="s">
        <v>26</v>
      </c>
      <c r="BN152">
        <v>4.1899999999999998E-9</v>
      </c>
      <c r="BO152" t="str">
        <f t="shared" si="12"/>
        <v>Firma Test15. Test1515.7 Test15 (E+7L+A)</v>
      </c>
      <c r="BP152" t="str">
        <f t="shared" si="13"/>
        <v>Firma Test15. Test15</v>
      </c>
    </row>
    <row r="153" spans="1:68">
      <c r="A153" t="s">
        <v>103</v>
      </c>
      <c r="B153" t="s">
        <v>898</v>
      </c>
      <c r="C153" t="s">
        <v>906</v>
      </c>
      <c r="D153" t="s">
        <v>555</v>
      </c>
      <c r="E153" t="s">
        <v>565</v>
      </c>
      <c r="F153">
        <v>7.17E-8</v>
      </c>
      <c r="G153" t="s">
        <v>452</v>
      </c>
      <c r="H153" t="s">
        <v>575</v>
      </c>
      <c r="I153" t="s">
        <v>5</v>
      </c>
      <c r="J153" t="s">
        <v>585</v>
      </c>
      <c r="K153">
        <v>4.29E-8</v>
      </c>
      <c r="L153" t="s">
        <v>595</v>
      </c>
      <c r="M153" t="s">
        <v>605</v>
      </c>
      <c r="N153" t="s">
        <v>6</v>
      </c>
      <c r="O153" t="s">
        <v>615</v>
      </c>
      <c r="P153">
        <v>2.4699999999999999E-8</v>
      </c>
      <c r="Q153" t="s">
        <v>753</v>
      </c>
      <c r="R153" t="s">
        <v>657</v>
      </c>
      <c r="S153" t="s">
        <v>17</v>
      </c>
      <c r="T153" t="s">
        <v>666</v>
      </c>
      <c r="U153">
        <v>4.1899999999999998E-9</v>
      </c>
      <c r="V153" t="s">
        <v>713</v>
      </c>
      <c r="W153" t="s">
        <v>632</v>
      </c>
      <c r="X153" t="s">
        <v>18</v>
      </c>
      <c r="Y153" t="s">
        <v>640</v>
      </c>
      <c r="Z153">
        <v>4.1899999999999998E-9</v>
      </c>
      <c r="AA153" t="s">
        <v>623</v>
      </c>
      <c r="AB153" t="s">
        <v>632</v>
      </c>
      <c r="AC153" t="s">
        <v>19</v>
      </c>
      <c r="AD153" t="s">
        <v>640</v>
      </c>
      <c r="AE153">
        <v>4.1899999999999998E-9</v>
      </c>
      <c r="AF153" t="s">
        <v>623</v>
      </c>
      <c r="AG153" t="s">
        <v>632</v>
      </c>
      <c r="AH153" t="s">
        <v>20</v>
      </c>
      <c r="AI153" t="s">
        <v>640</v>
      </c>
      <c r="AJ153">
        <v>4.1899999999999998E-9</v>
      </c>
      <c r="AK153" t="s">
        <v>623</v>
      </c>
      <c r="AL153" t="s">
        <v>511</v>
      </c>
      <c r="AM153" t="s">
        <v>22</v>
      </c>
      <c r="AN153" t="s">
        <v>255</v>
      </c>
      <c r="AO153">
        <v>4.1899999999999998E-9</v>
      </c>
      <c r="AP153" t="s">
        <v>507</v>
      </c>
      <c r="AQ153" t="s">
        <v>511</v>
      </c>
      <c r="AR153" t="s">
        <v>22</v>
      </c>
      <c r="AS153" t="s">
        <v>515</v>
      </c>
      <c r="AT153">
        <v>4.1899999999999998E-9</v>
      </c>
      <c r="AU153" t="s">
        <v>507</v>
      </c>
      <c r="AV153" t="s">
        <v>511</v>
      </c>
      <c r="AW153" t="s">
        <v>23</v>
      </c>
      <c r="AX153" t="s">
        <v>515</v>
      </c>
      <c r="AY153">
        <v>4.1899999999999998E-9</v>
      </c>
      <c r="AZ153" t="s">
        <v>521</v>
      </c>
      <c r="BA153" t="s">
        <v>511</v>
      </c>
      <c r="BB153" t="s">
        <v>24</v>
      </c>
      <c r="BC153" t="s">
        <v>515</v>
      </c>
      <c r="BD153">
        <v>4.1899999999999998E-9</v>
      </c>
      <c r="BG153" t="s">
        <v>25</v>
      </c>
      <c r="BI153">
        <v>4.1899999999999998E-9</v>
      </c>
      <c r="BL153" t="s">
        <v>26</v>
      </c>
      <c r="BN153">
        <v>4.1899999999999998E-9</v>
      </c>
      <c r="BO153" t="str">
        <f t="shared" si="12"/>
        <v>Firma Test15. Test1515.8 Test15 (E+8L+A)</v>
      </c>
      <c r="BP153" t="str">
        <f t="shared" si="13"/>
        <v>Firma Test15. Test15</v>
      </c>
    </row>
    <row r="154" spans="1:68">
      <c r="A154" t="s">
        <v>103</v>
      </c>
      <c r="B154" t="s">
        <v>898</v>
      </c>
      <c r="C154" t="s">
        <v>907</v>
      </c>
      <c r="D154" t="s">
        <v>556</v>
      </c>
      <c r="E154" t="s">
        <v>566</v>
      </c>
      <c r="F154">
        <v>7.17E-8</v>
      </c>
      <c r="G154" t="s">
        <v>453</v>
      </c>
      <c r="H154" t="s">
        <v>576</v>
      </c>
      <c r="I154" t="s">
        <v>5</v>
      </c>
      <c r="J154" t="s">
        <v>586</v>
      </c>
      <c r="K154">
        <v>4.29E-8</v>
      </c>
      <c r="L154" t="s">
        <v>596</v>
      </c>
      <c r="M154" t="s">
        <v>606</v>
      </c>
      <c r="N154" t="s">
        <v>6</v>
      </c>
      <c r="O154" t="s">
        <v>616</v>
      </c>
      <c r="P154">
        <v>2.4699999999999999E-8</v>
      </c>
      <c r="Q154" t="s">
        <v>754</v>
      </c>
      <c r="R154" t="s">
        <v>658</v>
      </c>
      <c r="S154" t="s">
        <v>17</v>
      </c>
      <c r="T154" t="s">
        <v>667</v>
      </c>
      <c r="U154">
        <v>4.1899999999999998E-9</v>
      </c>
      <c r="V154" t="s">
        <v>714</v>
      </c>
      <c r="W154" t="s">
        <v>633</v>
      </c>
      <c r="X154" t="s">
        <v>18</v>
      </c>
      <c r="Y154" t="s">
        <v>641</v>
      </c>
      <c r="Z154">
        <v>4.1899999999999998E-9</v>
      </c>
      <c r="AA154" t="s">
        <v>624</v>
      </c>
      <c r="AB154" t="s">
        <v>633</v>
      </c>
      <c r="AC154" t="s">
        <v>19</v>
      </c>
      <c r="AD154" t="s">
        <v>641</v>
      </c>
      <c r="AE154">
        <v>4.1899999999999998E-9</v>
      </c>
      <c r="AF154" t="s">
        <v>624</v>
      </c>
      <c r="AG154" t="s">
        <v>633</v>
      </c>
      <c r="AH154" t="s">
        <v>20</v>
      </c>
      <c r="AI154" t="s">
        <v>641</v>
      </c>
      <c r="AJ154">
        <v>4.1899999999999998E-9</v>
      </c>
      <c r="AK154" t="s">
        <v>624</v>
      </c>
      <c r="AL154" t="s">
        <v>512</v>
      </c>
      <c r="AM154" t="s">
        <v>23</v>
      </c>
      <c r="AN154" t="s">
        <v>256</v>
      </c>
      <c r="AO154">
        <v>4.1899999999999998E-9</v>
      </c>
      <c r="AP154" t="s">
        <v>508</v>
      </c>
      <c r="AQ154" t="s">
        <v>512</v>
      </c>
      <c r="AR154" t="s">
        <v>22</v>
      </c>
      <c r="AS154" t="s">
        <v>516</v>
      </c>
      <c r="AT154">
        <v>4.1899999999999998E-9</v>
      </c>
      <c r="AU154" t="s">
        <v>508</v>
      </c>
      <c r="AV154" t="s">
        <v>512</v>
      </c>
      <c r="AW154" t="s">
        <v>23</v>
      </c>
      <c r="AX154" t="s">
        <v>516</v>
      </c>
      <c r="AY154">
        <v>4.1899999999999998E-9</v>
      </c>
      <c r="AZ154" t="s">
        <v>522</v>
      </c>
      <c r="BA154" t="s">
        <v>512</v>
      </c>
      <c r="BB154" t="s">
        <v>24</v>
      </c>
      <c r="BC154" t="s">
        <v>516</v>
      </c>
      <c r="BD154">
        <v>4.1899999999999998E-9</v>
      </c>
      <c r="BE154" t="s">
        <v>508</v>
      </c>
      <c r="BF154" t="s">
        <v>512</v>
      </c>
      <c r="BG154" t="s">
        <v>25</v>
      </c>
      <c r="BH154" t="s">
        <v>516</v>
      </c>
      <c r="BI154">
        <v>4.1899999999999998E-9</v>
      </c>
      <c r="BL154" t="s">
        <v>26</v>
      </c>
      <c r="BN154">
        <v>4.1899999999999998E-9</v>
      </c>
      <c r="BO154" t="str">
        <f t="shared" si="12"/>
        <v>Firma Test15. Test1515.9 Test15 (E+9L+A)</v>
      </c>
      <c r="BP154" t="str">
        <f t="shared" si="13"/>
        <v>Firma Test15. Test15</v>
      </c>
    </row>
    <row r="155" spans="1:68">
      <c r="A155" t="s">
        <v>103</v>
      </c>
      <c r="B155" t="s">
        <v>898</v>
      </c>
      <c r="C155" t="s">
        <v>908</v>
      </c>
      <c r="D155" t="s">
        <v>557</v>
      </c>
      <c r="E155" t="s">
        <v>567</v>
      </c>
      <c r="F155">
        <v>7.17E-8</v>
      </c>
      <c r="G155" t="s">
        <v>454</v>
      </c>
      <c r="H155" t="s">
        <v>577</v>
      </c>
      <c r="I155" t="s">
        <v>5</v>
      </c>
      <c r="J155" t="s">
        <v>587</v>
      </c>
      <c r="K155">
        <v>4.29E-8</v>
      </c>
      <c r="L155" t="s">
        <v>597</v>
      </c>
      <c r="M155" t="s">
        <v>607</v>
      </c>
      <c r="N155" t="s">
        <v>6</v>
      </c>
      <c r="O155" t="s">
        <v>617</v>
      </c>
      <c r="P155">
        <v>2.4699999999999999E-8</v>
      </c>
      <c r="Q155" t="s">
        <v>755</v>
      </c>
      <c r="R155" t="s">
        <v>649</v>
      </c>
      <c r="S155" t="s">
        <v>17</v>
      </c>
      <c r="T155" t="s">
        <v>668</v>
      </c>
      <c r="U155">
        <v>4.1899999999999998E-9</v>
      </c>
      <c r="V155" t="s">
        <v>715</v>
      </c>
      <c r="W155" t="s">
        <v>259</v>
      </c>
      <c r="X155" t="s">
        <v>18</v>
      </c>
      <c r="Y155" t="s">
        <v>260</v>
      </c>
      <c r="Z155">
        <v>4.1899999999999998E-9</v>
      </c>
      <c r="AA155" t="s">
        <v>625</v>
      </c>
      <c r="AB155" t="s">
        <v>259</v>
      </c>
      <c r="AC155" t="s">
        <v>19</v>
      </c>
      <c r="AD155" t="s">
        <v>260</v>
      </c>
      <c r="AE155">
        <v>4.1899999999999998E-9</v>
      </c>
      <c r="AF155" t="s">
        <v>625</v>
      </c>
      <c r="AG155" t="s">
        <v>259</v>
      </c>
      <c r="AH155" t="s">
        <v>20</v>
      </c>
      <c r="AI155" t="s">
        <v>260</v>
      </c>
      <c r="AJ155">
        <v>4.1899999999999998E-9</v>
      </c>
      <c r="AK155" t="s">
        <v>625</v>
      </c>
      <c r="AL155" t="s">
        <v>249</v>
      </c>
      <c r="AM155" t="s">
        <v>24</v>
      </c>
      <c r="AN155" t="s">
        <v>257</v>
      </c>
      <c r="AO155">
        <v>4.1899999999999998E-9</v>
      </c>
      <c r="AP155" t="s">
        <v>241</v>
      </c>
      <c r="AQ155" t="s">
        <v>249</v>
      </c>
      <c r="AR155" t="s">
        <v>22</v>
      </c>
      <c r="AS155" t="s">
        <v>257</v>
      </c>
      <c r="AT155">
        <v>4.1899999999999998E-9</v>
      </c>
      <c r="AU155" t="s">
        <v>241</v>
      </c>
      <c r="AV155" t="s">
        <v>249</v>
      </c>
      <c r="AW155" t="s">
        <v>23</v>
      </c>
      <c r="AX155" t="s">
        <v>257</v>
      </c>
      <c r="AY155">
        <v>4.1899999999999998E-9</v>
      </c>
      <c r="AZ155" t="s">
        <v>523</v>
      </c>
      <c r="BA155" t="s">
        <v>249</v>
      </c>
      <c r="BB155" t="s">
        <v>24</v>
      </c>
      <c r="BC155" t="s">
        <v>257</v>
      </c>
      <c r="BD155">
        <v>4.1899999999999998E-9</v>
      </c>
      <c r="BE155" t="s">
        <v>241</v>
      </c>
      <c r="BF155" t="s">
        <v>249</v>
      </c>
      <c r="BG155" t="s">
        <v>25</v>
      </c>
      <c r="BH155" t="s">
        <v>257</v>
      </c>
      <c r="BI155">
        <v>4.1899999999999998E-9</v>
      </c>
      <c r="BJ155" t="s">
        <v>517</v>
      </c>
      <c r="BK155" t="s">
        <v>249</v>
      </c>
      <c r="BL155" t="s">
        <v>26</v>
      </c>
      <c r="BM155" t="s">
        <v>257</v>
      </c>
      <c r="BN155">
        <v>4.1899999999999998E-9</v>
      </c>
      <c r="BO155" t="str">
        <f t="shared" si="12"/>
        <v>Firma Test15. Test1515.10 Test15 (E+10L+A)</v>
      </c>
      <c r="BP155" t="str">
        <f t="shared" si="13"/>
        <v>Firma Test15. Test15</v>
      </c>
    </row>
    <row r="156" spans="1:68">
      <c r="A156" t="s">
        <v>103</v>
      </c>
      <c r="B156" t="s">
        <v>909</v>
      </c>
      <c r="C156" t="s">
        <v>910</v>
      </c>
      <c r="D156" t="s">
        <v>548</v>
      </c>
      <c r="E156" t="s">
        <v>558</v>
      </c>
      <c r="F156">
        <v>7.17E-8</v>
      </c>
      <c r="G156" t="s">
        <v>424</v>
      </c>
      <c r="H156" t="s">
        <v>568</v>
      </c>
      <c r="I156" t="s">
        <v>5</v>
      </c>
      <c r="J156" t="s">
        <v>578</v>
      </c>
      <c r="K156">
        <v>4.29E-8</v>
      </c>
      <c r="L156" t="s">
        <v>588</v>
      </c>
      <c r="M156" t="s">
        <v>598</v>
      </c>
      <c r="N156" t="s">
        <v>6</v>
      </c>
      <c r="O156" t="s">
        <v>608</v>
      </c>
      <c r="P156">
        <v>2.4699999999999999E-8</v>
      </c>
      <c r="Q156" t="s">
        <v>746</v>
      </c>
      <c r="R156" t="s">
        <v>650</v>
      </c>
      <c r="S156" t="s">
        <v>17</v>
      </c>
      <c r="T156" t="s">
        <v>659</v>
      </c>
      <c r="U156">
        <v>4.1899999999999998E-9</v>
      </c>
      <c r="X156" t="s">
        <v>18</v>
      </c>
      <c r="Z156">
        <v>4.1899999999999998E-9</v>
      </c>
      <c r="AE156">
        <v>4.1899999999999998E-9</v>
      </c>
      <c r="AH156" t="s">
        <v>20</v>
      </c>
      <c r="AJ156">
        <v>4.1899999999999998E-9</v>
      </c>
      <c r="AM156" t="s">
        <v>21</v>
      </c>
      <c r="AO156">
        <v>4.1899999999999998E-9</v>
      </c>
      <c r="AR156" t="s">
        <v>22</v>
      </c>
      <c r="AT156">
        <v>4.1899999999999998E-9</v>
      </c>
      <c r="AW156" t="s">
        <v>23</v>
      </c>
      <c r="AY156">
        <v>4.1899999999999998E-9</v>
      </c>
      <c r="BB156" t="s">
        <v>24</v>
      </c>
      <c r="BD156">
        <v>4.1899999999999998E-9</v>
      </c>
      <c r="BG156" t="s">
        <v>25</v>
      </c>
      <c r="BI156">
        <v>4.1899999999999998E-9</v>
      </c>
      <c r="BL156" t="s">
        <v>26</v>
      </c>
      <c r="BN156">
        <v>4.1899999999999998E-9</v>
      </c>
      <c r="BO156" t="str">
        <f t="shared" si="12"/>
        <v>Firma Test16. Test1616.1 Test16 (E+1L+A)</v>
      </c>
      <c r="BP156" t="str">
        <f t="shared" si="13"/>
        <v>Firma Test16. Test16</v>
      </c>
    </row>
    <row r="157" spans="1:68">
      <c r="A157" t="s">
        <v>103</v>
      </c>
      <c r="B157" t="s">
        <v>909</v>
      </c>
      <c r="C157" t="s">
        <v>911</v>
      </c>
      <c r="D157" t="s">
        <v>549</v>
      </c>
      <c r="E157" t="s">
        <v>559</v>
      </c>
      <c r="F157">
        <v>7.17E-8</v>
      </c>
      <c r="G157" t="s">
        <v>446</v>
      </c>
      <c r="H157" t="s">
        <v>569</v>
      </c>
      <c r="I157" t="s">
        <v>5</v>
      </c>
      <c r="J157" t="s">
        <v>579</v>
      </c>
      <c r="K157">
        <v>4.29E-8</v>
      </c>
      <c r="L157" t="s">
        <v>589</v>
      </c>
      <c r="M157" t="s">
        <v>599</v>
      </c>
      <c r="N157" t="s">
        <v>6</v>
      </c>
      <c r="O157" t="s">
        <v>609</v>
      </c>
      <c r="P157">
        <v>2.4699999999999999E-8</v>
      </c>
      <c r="Q157" t="s">
        <v>747</v>
      </c>
      <c r="R157" t="s">
        <v>651</v>
      </c>
      <c r="S157" t="s">
        <v>17</v>
      </c>
      <c r="T157" t="s">
        <v>660</v>
      </c>
      <c r="U157">
        <v>4.1899999999999998E-9</v>
      </c>
      <c r="V157" t="s">
        <v>707</v>
      </c>
      <c r="W157" t="s">
        <v>626</v>
      </c>
      <c r="X157" t="s">
        <v>18</v>
      </c>
      <c r="Y157" t="s">
        <v>634</v>
      </c>
      <c r="Z157">
        <v>4.1899999999999998E-9</v>
      </c>
      <c r="AE157">
        <v>4.1899999999999998E-9</v>
      </c>
      <c r="AH157" t="s">
        <v>20</v>
      </c>
      <c r="AJ157">
        <v>4.1899999999999998E-9</v>
      </c>
      <c r="AM157" t="s">
        <v>21</v>
      </c>
      <c r="AO157">
        <v>4.1899999999999998E-9</v>
      </c>
      <c r="AR157" t="s">
        <v>22</v>
      </c>
      <c r="AT157">
        <v>4.1899999999999998E-9</v>
      </c>
      <c r="AW157" t="s">
        <v>23</v>
      </c>
      <c r="AY157">
        <v>4.1899999999999998E-9</v>
      </c>
      <c r="BB157" t="s">
        <v>24</v>
      </c>
      <c r="BD157">
        <v>4.1899999999999998E-9</v>
      </c>
      <c r="BG157" t="s">
        <v>25</v>
      </c>
      <c r="BI157">
        <v>4.1899999999999998E-9</v>
      </c>
      <c r="BL157" t="s">
        <v>26</v>
      </c>
      <c r="BN157">
        <v>4.1899999999999998E-9</v>
      </c>
      <c r="BO157" t="str">
        <f t="shared" si="12"/>
        <v>Firma Test16. Test1616.2 Test16 (E+2L+A)</v>
      </c>
      <c r="BP157" t="str">
        <f t="shared" si="13"/>
        <v>Firma Test16. Test16</v>
      </c>
    </row>
    <row r="158" spans="1:68">
      <c r="A158" t="s">
        <v>103</v>
      </c>
      <c r="B158" t="s">
        <v>909</v>
      </c>
      <c r="C158" t="s">
        <v>912</v>
      </c>
      <c r="D158" t="s">
        <v>550</v>
      </c>
      <c r="E158" t="s">
        <v>560</v>
      </c>
      <c r="F158">
        <v>7.17E-8</v>
      </c>
      <c r="G158" t="s">
        <v>447</v>
      </c>
      <c r="H158" t="s">
        <v>570</v>
      </c>
      <c r="I158" t="s">
        <v>5</v>
      </c>
      <c r="J158" t="s">
        <v>580</v>
      </c>
      <c r="K158">
        <v>4.29E-8</v>
      </c>
      <c r="L158" t="s">
        <v>590</v>
      </c>
      <c r="M158" t="s">
        <v>600</v>
      </c>
      <c r="N158" t="s">
        <v>6</v>
      </c>
      <c r="O158" t="s">
        <v>610</v>
      </c>
      <c r="P158">
        <v>2.4699999999999999E-8</v>
      </c>
      <c r="Q158" t="s">
        <v>748</v>
      </c>
      <c r="R158" t="s">
        <v>652</v>
      </c>
      <c r="S158" t="s">
        <v>17</v>
      </c>
      <c r="T158" t="s">
        <v>661</v>
      </c>
      <c r="U158">
        <v>4.1899999999999998E-9</v>
      </c>
      <c r="V158" t="s">
        <v>708</v>
      </c>
      <c r="W158" t="s">
        <v>627</v>
      </c>
      <c r="X158" t="s">
        <v>18</v>
      </c>
      <c r="Y158" t="s">
        <v>635</v>
      </c>
      <c r="Z158">
        <v>4.1899999999999998E-9</v>
      </c>
      <c r="AA158" t="s">
        <v>618</v>
      </c>
      <c r="AB158" t="s">
        <v>627</v>
      </c>
      <c r="AC158" t="s">
        <v>19</v>
      </c>
      <c r="AD158" t="s">
        <v>635</v>
      </c>
      <c r="AE158">
        <v>4.1899999999999998E-9</v>
      </c>
      <c r="AH158" t="s">
        <v>20</v>
      </c>
      <c r="AJ158">
        <v>4.1899999999999998E-9</v>
      </c>
      <c r="AM158" t="s">
        <v>21</v>
      </c>
      <c r="AO158">
        <v>4.1899999999999998E-9</v>
      </c>
      <c r="AR158" t="s">
        <v>22</v>
      </c>
      <c r="AT158">
        <v>4.1899999999999998E-9</v>
      </c>
      <c r="AW158" t="s">
        <v>23</v>
      </c>
      <c r="AY158">
        <v>4.1899999999999998E-9</v>
      </c>
      <c r="BB158" t="s">
        <v>24</v>
      </c>
      <c r="BD158">
        <v>4.1899999999999998E-9</v>
      </c>
      <c r="BG158" t="s">
        <v>25</v>
      </c>
      <c r="BI158">
        <v>4.1899999999999998E-9</v>
      </c>
      <c r="BL158" t="s">
        <v>26</v>
      </c>
      <c r="BN158">
        <v>4.1899999999999998E-9</v>
      </c>
      <c r="BO158" t="str">
        <f t="shared" si="12"/>
        <v>Firma Test16. Test1616.3 Test16 (E+3L+A)</v>
      </c>
      <c r="BP158" t="str">
        <f t="shared" si="13"/>
        <v>Firma Test16. Test16</v>
      </c>
    </row>
    <row r="159" spans="1:68">
      <c r="A159" t="s">
        <v>103</v>
      </c>
      <c r="B159" t="s">
        <v>909</v>
      </c>
      <c r="C159" t="s">
        <v>913</v>
      </c>
      <c r="D159" t="s">
        <v>551</v>
      </c>
      <c r="E159" t="s">
        <v>561</v>
      </c>
      <c r="F159">
        <v>7.17E-8</v>
      </c>
      <c r="G159" t="s">
        <v>448</v>
      </c>
      <c r="H159" t="s">
        <v>571</v>
      </c>
      <c r="I159" t="s">
        <v>5</v>
      </c>
      <c r="J159" t="s">
        <v>581</v>
      </c>
      <c r="K159">
        <v>4.29E-8</v>
      </c>
      <c r="L159" t="s">
        <v>591</v>
      </c>
      <c r="M159" t="s">
        <v>601</v>
      </c>
      <c r="N159" t="s">
        <v>6</v>
      </c>
      <c r="O159" t="s">
        <v>611</v>
      </c>
      <c r="P159">
        <v>2.4699999999999999E-8</v>
      </c>
      <c r="Q159" t="s">
        <v>749</v>
      </c>
      <c r="R159" t="s">
        <v>653</v>
      </c>
      <c r="S159" t="s">
        <v>17</v>
      </c>
      <c r="T159" t="s">
        <v>662</v>
      </c>
      <c r="U159">
        <v>4.1899999999999998E-9</v>
      </c>
      <c r="V159" t="s">
        <v>709</v>
      </c>
      <c r="W159" t="s">
        <v>628</v>
      </c>
      <c r="X159" t="s">
        <v>18</v>
      </c>
      <c r="Y159" t="s">
        <v>636</v>
      </c>
      <c r="Z159">
        <v>4.1899999999999998E-9</v>
      </c>
      <c r="AA159" t="s">
        <v>619</v>
      </c>
      <c r="AB159" t="s">
        <v>628</v>
      </c>
      <c r="AC159" t="s">
        <v>19</v>
      </c>
      <c r="AD159" t="s">
        <v>636</v>
      </c>
      <c r="AE159">
        <v>4.1899999999999998E-9</v>
      </c>
      <c r="AF159" t="s">
        <v>619</v>
      </c>
      <c r="AG159" t="s">
        <v>628</v>
      </c>
      <c r="AH159" t="s">
        <v>20</v>
      </c>
      <c r="AI159" t="s">
        <v>636</v>
      </c>
      <c r="AJ159">
        <v>4.1899999999999998E-9</v>
      </c>
      <c r="AM159" t="s">
        <v>21</v>
      </c>
      <c r="AO159">
        <v>4.1899999999999998E-9</v>
      </c>
      <c r="AR159" t="s">
        <v>22</v>
      </c>
      <c r="AT159">
        <v>4.1899999999999998E-9</v>
      </c>
      <c r="AW159" t="s">
        <v>23</v>
      </c>
      <c r="AY159">
        <v>4.1899999999999998E-9</v>
      </c>
      <c r="BB159" t="s">
        <v>24</v>
      </c>
      <c r="BD159">
        <v>4.1899999999999998E-9</v>
      </c>
      <c r="BG159" t="s">
        <v>25</v>
      </c>
      <c r="BI159">
        <v>4.1899999999999998E-9</v>
      </c>
      <c r="BL159" t="s">
        <v>26</v>
      </c>
      <c r="BN159">
        <v>4.1899999999999998E-9</v>
      </c>
      <c r="BO159" t="str">
        <f t="shared" si="12"/>
        <v>Firma Test16. Test1616.4 Test16 (E+4L+A)</v>
      </c>
      <c r="BP159" t="str">
        <f t="shared" si="13"/>
        <v>Firma Test16. Test16</v>
      </c>
    </row>
    <row r="160" spans="1:68">
      <c r="A160" t="s">
        <v>103</v>
      </c>
      <c r="B160" t="s">
        <v>909</v>
      </c>
      <c r="C160" t="s">
        <v>914</v>
      </c>
      <c r="D160" t="s">
        <v>552</v>
      </c>
      <c r="E160" t="s">
        <v>562</v>
      </c>
      <c r="F160">
        <v>7.17E-8</v>
      </c>
      <c r="G160" t="s">
        <v>449</v>
      </c>
      <c r="H160" t="s">
        <v>572</v>
      </c>
      <c r="I160" t="s">
        <v>5</v>
      </c>
      <c r="J160" t="s">
        <v>582</v>
      </c>
      <c r="K160">
        <v>4.29E-8</v>
      </c>
      <c r="L160" t="s">
        <v>592</v>
      </c>
      <c r="M160" t="s">
        <v>602</v>
      </c>
      <c r="N160" t="s">
        <v>6</v>
      </c>
      <c r="O160" t="s">
        <v>612</v>
      </c>
      <c r="P160">
        <v>2.4699999999999999E-8</v>
      </c>
      <c r="Q160" t="s">
        <v>750</v>
      </c>
      <c r="R160" t="s">
        <v>654</v>
      </c>
      <c r="S160" t="s">
        <v>17</v>
      </c>
      <c r="T160" t="s">
        <v>663</v>
      </c>
      <c r="U160">
        <v>4.1899999999999998E-9</v>
      </c>
      <c r="V160" t="s">
        <v>710</v>
      </c>
      <c r="W160" t="s">
        <v>629</v>
      </c>
      <c r="X160" t="s">
        <v>18</v>
      </c>
      <c r="Y160" t="s">
        <v>637</v>
      </c>
      <c r="Z160">
        <v>4.1899999999999998E-9</v>
      </c>
      <c r="AA160" t="s">
        <v>620</v>
      </c>
      <c r="AB160" t="s">
        <v>629</v>
      </c>
      <c r="AC160" t="s">
        <v>19</v>
      </c>
      <c r="AD160" t="s">
        <v>637</v>
      </c>
      <c r="AE160">
        <v>4.1899999999999998E-9</v>
      </c>
      <c r="AF160" t="s">
        <v>620</v>
      </c>
      <c r="AG160" t="s">
        <v>629</v>
      </c>
      <c r="AH160" t="s">
        <v>20</v>
      </c>
      <c r="AI160" t="s">
        <v>637</v>
      </c>
      <c r="AJ160">
        <v>4.1899999999999998E-9</v>
      </c>
      <c r="AK160" t="s">
        <v>620</v>
      </c>
      <c r="AL160" t="s">
        <v>648</v>
      </c>
      <c r="AM160" t="s">
        <v>21</v>
      </c>
      <c r="AN160" t="s">
        <v>252</v>
      </c>
      <c r="AO160">
        <v>4.1899999999999998E-9</v>
      </c>
      <c r="AR160" t="s">
        <v>22</v>
      </c>
      <c r="AT160">
        <v>4.1899999999999998E-9</v>
      </c>
      <c r="AW160" t="s">
        <v>23</v>
      </c>
      <c r="AY160">
        <v>4.1899999999999998E-9</v>
      </c>
      <c r="BB160" t="s">
        <v>24</v>
      </c>
      <c r="BD160">
        <v>4.1899999999999998E-9</v>
      </c>
      <c r="BG160" t="s">
        <v>25</v>
      </c>
      <c r="BI160">
        <v>4.1899999999999998E-9</v>
      </c>
      <c r="BL160" t="s">
        <v>26</v>
      </c>
      <c r="BN160">
        <v>4.1899999999999998E-9</v>
      </c>
      <c r="BO160" t="str">
        <f t="shared" si="12"/>
        <v>Firma Test16. Test1616.5 Test16 (E+5L+A)</v>
      </c>
      <c r="BP160" t="str">
        <f t="shared" si="13"/>
        <v>Firma Test16. Test16</v>
      </c>
    </row>
    <row r="161" spans="1:68">
      <c r="A161" t="s">
        <v>103</v>
      </c>
      <c r="B161" t="s">
        <v>909</v>
      </c>
      <c r="C161" t="s">
        <v>915</v>
      </c>
      <c r="D161" t="s">
        <v>553</v>
      </c>
      <c r="E161" t="s">
        <v>563</v>
      </c>
      <c r="F161">
        <v>7.17E-8</v>
      </c>
      <c r="G161" t="s">
        <v>450</v>
      </c>
      <c r="H161" t="s">
        <v>573</v>
      </c>
      <c r="I161" t="s">
        <v>5</v>
      </c>
      <c r="J161" t="s">
        <v>583</v>
      </c>
      <c r="K161">
        <v>4.29E-8</v>
      </c>
      <c r="L161" t="s">
        <v>593</v>
      </c>
      <c r="M161" t="s">
        <v>603</v>
      </c>
      <c r="N161" t="s">
        <v>6</v>
      </c>
      <c r="O161" t="s">
        <v>613</v>
      </c>
      <c r="P161">
        <v>2.4699999999999999E-8</v>
      </c>
      <c r="Q161" t="s">
        <v>751</v>
      </c>
      <c r="R161" t="s">
        <v>655</v>
      </c>
      <c r="S161" t="s">
        <v>17</v>
      </c>
      <c r="T161" t="s">
        <v>664</v>
      </c>
      <c r="U161">
        <v>4.1899999999999998E-9</v>
      </c>
      <c r="V161" t="s">
        <v>711</v>
      </c>
      <c r="W161" t="s">
        <v>630</v>
      </c>
      <c r="X161" t="s">
        <v>18</v>
      </c>
      <c r="Y161" t="s">
        <v>638</v>
      </c>
      <c r="Z161">
        <v>4.1899999999999998E-9</v>
      </c>
      <c r="AA161" t="s">
        <v>621</v>
      </c>
      <c r="AB161" t="s">
        <v>630</v>
      </c>
      <c r="AC161" t="s">
        <v>19</v>
      </c>
      <c r="AD161" t="s">
        <v>638</v>
      </c>
      <c r="AE161">
        <v>4.1899999999999998E-9</v>
      </c>
      <c r="AF161" t="s">
        <v>621</v>
      </c>
      <c r="AG161" t="s">
        <v>630</v>
      </c>
      <c r="AH161" t="s">
        <v>20</v>
      </c>
      <c r="AI161" t="s">
        <v>638</v>
      </c>
      <c r="AJ161">
        <v>4.1899999999999998E-9</v>
      </c>
      <c r="AK161" t="s">
        <v>621</v>
      </c>
      <c r="AL161" t="s">
        <v>509</v>
      </c>
      <c r="AM161" t="s">
        <v>21</v>
      </c>
      <c r="AN161" t="s">
        <v>253</v>
      </c>
      <c r="AO161">
        <v>4.1899999999999998E-9</v>
      </c>
      <c r="AP161" t="s">
        <v>505</v>
      </c>
      <c r="AQ161" t="s">
        <v>509</v>
      </c>
      <c r="AR161" t="s">
        <v>22</v>
      </c>
      <c r="AS161" t="s">
        <v>513</v>
      </c>
      <c r="AT161">
        <v>4.1899999999999998E-9</v>
      </c>
      <c r="AW161" t="s">
        <v>23</v>
      </c>
      <c r="AY161">
        <v>4.1899999999999998E-9</v>
      </c>
      <c r="BB161" t="s">
        <v>24</v>
      </c>
      <c r="BD161">
        <v>4.1899999999999998E-9</v>
      </c>
      <c r="BG161" t="s">
        <v>25</v>
      </c>
      <c r="BI161">
        <v>4.1899999999999998E-9</v>
      </c>
      <c r="BL161" t="s">
        <v>26</v>
      </c>
      <c r="BN161">
        <v>4.1899999999999998E-9</v>
      </c>
      <c r="BO161" t="str">
        <f t="shared" si="12"/>
        <v>Firma Test16. Test1616.6 Test16 (E+6L+A)</v>
      </c>
      <c r="BP161" t="str">
        <f t="shared" si="13"/>
        <v>Firma Test16. Test16</v>
      </c>
    </row>
    <row r="162" spans="1:68">
      <c r="A162" t="s">
        <v>103</v>
      </c>
      <c r="B162" t="s">
        <v>909</v>
      </c>
      <c r="C162" t="s">
        <v>916</v>
      </c>
      <c r="D162" t="s">
        <v>554</v>
      </c>
      <c r="E162" t="s">
        <v>564</v>
      </c>
      <c r="F162">
        <v>7.17E-8</v>
      </c>
      <c r="G162" t="s">
        <v>451</v>
      </c>
      <c r="H162" t="s">
        <v>574</v>
      </c>
      <c r="I162" t="s">
        <v>5</v>
      </c>
      <c r="J162" t="s">
        <v>584</v>
      </c>
      <c r="K162">
        <v>4.29E-8</v>
      </c>
      <c r="L162" t="s">
        <v>594</v>
      </c>
      <c r="M162" t="s">
        <v>604</v>
      </c>
      <c r="N162" t="s">
        <v>6</v>
      </c>
      <c r="O162" t="s">
        <v>614</v>
      </c>
      <c r="P162">
        <v>2.4699999999999999E-8</v>
      </c>
      <c r="Q162" t="s">
        <v>752</v>
      </c>
      <c r="R162" t="s">
        <v>656</v>
      </c>
      <c r="S162" t="s">
        <v>17</v>
      </c>
      <c r="T162" t="s">
        <v>665</v>
      </c>
      <c r="U162">
        <v>4.1899999999999998E-9</v>
      </c>
      <c r="V162" t="s">
        <v>712</v>
      </c>
      <c r="W162" t="s">
        <v>631</v>
      </c>
      <c r="X162" t="s">
        <v>18</v>
      </c>
      <c r="Y162" t="s">
        <v>639</v>
      </c>
      <c r="Z162">
        <v>4.1899999999999998E-9</v>
      </c>
      <c r="AA162" t="s">
        <v>622</v>
      </c>
      <c r="AB162" t="s">
        <v>631</v>
      </c>
      <c r="AC162" t="s">
        <v>19</v>
      </c>
      <c r="AD162" t="s">
        <v>639</v>
      </c>
      <c r="AE162">
        <v>4.1899999999999998E-9</v>
      </c>
      <c r="AF162" t="s">
        <v>622</v>
      </c>
      <c r="AG162" t="s">
        <v>631</v>
      </c>
      <c r="AH162" t="s">
        <v>20</v>
      </c>
      <c r="AI162" t="s">
        <v>639</v>
      </c>
      <c r="AJ162">
        <v>4.1899999999999998E-9</v>
      </c>
      <c r="AK162" t="s">
        <v>622</v>
      </c>
      <c r="AL162" t="s">
        <v>510</v>
      </c>
      <c r="AM162" t="s">
        <v>21</v>
      </c>
      <c r="AN162" t="s">
        <v>254</v>
      </c>
      <c r="AO162">
        <v>4.1899999999999998E-9</v>
      </c>
      <c r="AP162" t="s">
        <v>506</v>
      </c>
      <c r="AQ162" t="s">
        <v>510</v>
      </c>
      <c r="AR162" t="s">
        <v>22</v>
      </c>
      <c r="AS162" t="s">
        <v>514</v>
      </c>
      <c r="AT162">
        <v>4.1899999999999998E-9</v>
      </c>
      <c r="AU162" t="s">
        <v>506</v>
      </c>
      <c r="AV162" t="s">
        <v>510</v>
      </c>
      <c r="AW162" t="s">
        <v>23</v>
      </c>
      <c r="AX162" t="s">
        <v>514</v>
      </c>
      <c r="AY162">
        <v>4.1899999999999998E-9</v>
      </c>
      <c r="BB162" t="s">
        <v>24</v>
      </c>
      <c r="BD162">
        <v>4.1899999999999998E-9</v>
      </c>
      <c r="BG162" t="s">
        <v>25</v>
      </c>
      <c r="BI162">
        <v>4.1899999999999998E-9</v>
      </c>
      <c r="BL162" t="s">
        <v>26</v>
      </c>
      <c r="BN162">
        <v>4.1899999999999998E-9</v>
      </c>
      <c r="BO162" t="str">
        <f t="shared" si="12"/>
        <v>Firma Test16. Test1616.7 Test16 (E+7L+A)</v>
      </c>
      <c r="BP162" t="str">
        <f t="shared" si="13"/>
        <v>Firma Test16. Test16</v>
      </c>
    </row>
    <row r="163" spans="1:68">
      <c r="A163" t="s">
        <v>103</v>
      </c>
      <c r="B163" t="s">
        <v>909</v>
      </c>
      <c r="C163" t="s">
        <v>917</v>
      </c>
      <c r="D163" t="s">
        <v>555</v>
      </c>
      <c r="E163" t="s">
        <v>565</v>
      </c>
      <c r="F163">
        <v>7.17E-8</v>
      </c>
      <c r="G163" t="s">
        <v>452</v>
      </c>
      <c r="H163" t="s">
        <v>575</v>
      </c>
      <c r="I163" t="s">
        <v>5</v>
      </c>
      <c r="J163" t="s">
        <v>585</v>
      </c>
      <c r="K163">
        <v>4.29E-8</v>
      </c>
      <c r="L163" t="s">
        <v>595</v>
      </c>
      <c r="M163" t="s">
        <v>605</v>
      </c>
      <c r="N163" t="s">
        <v>6</v>
      </c>
      <c r="O163" t="s">
        <v>615</v>
      </c>
      <c r="P163">
        <v>2.4699999999999999E-8</v>
      </c>
      <c r="Q163" t="s">
        <v>753</v>
      </c>
      <c r="R163" t="s">
        <v>657</v>
      </c>
      <c r="S163" t="s">
        <v>17</v>
      </c>
      <c r="T163" t="s">
        <v>666</v>
      </c>
      <c r="U163">
        <v>4.1899999999999998E-9</v>
      </c>
      <c r="V163" t="s">
        <v>713</v>
      </c>
      <c r="W163" t="s">
        <v>632</v>
      </c>
      <c r="X163" t="s">
        <v>18</v>
      </c>
      <c r="Y163" t="s">
        <v>640</v>
      </c>
      <c r="Z163">
        <v>4.1899999999999998E-9</v>
      </c>
      <c r="AA163" t="s">
        <v>623</v>
      </c>
      <c r="AB163" t="s">
        <v>632</v>
      </c>
      <c r="AC163" t="s">
        <v>19</v>
      </c>
      <c r="AD163" t="s">
        <v>640</v>
      </c>
      <c r="AE163">
        <v>4.1899999999999998E-9</v>
      </c>
      <c r="AF163" t="s">
        <v>623</v>
      </c>
      <c r="AG163" t="s">
        <v>632</v>
      </c>
      <c r="AH163" t="s">
        <v>20</v>
      </c>
      <c r="AI163" t="s">
        <v>640</v>
      </c>
      <c r="AJ163">
        <v>4.1899999999999998E-9</v>
      </c>
      <c r="AK163" t="s">
        <v>623</v>
      </c>
      <c r="AL163" t="s">
        <v>511</v>
      </c>
      <c r="AM163" t="s">
        <v>22</v>
      </c>
      <c r="AN163" t="s">
        <v>255</v>
      </c>
      <c r="AO163">
        <v>4.1899999999999998E-9</v>
      </c>
      <c r="AP163" t="s">
        <v>507</v>
      </c>
      <c r="AQ163" t="s">
        <v>511</v>
      </c>
      <c r="AR163" t="s">
        <v>22</v>
      </c>
      <c r="AS163" t="s">
        <v>515</v>
      </c>
      <c r="AT163">
        <v>4.1899999999999998E-9</v>
      </c>
      <c r="AU163" t="s">
        <v>507</v>
      </c>
      <c r="AV163" t="s">
        <v>511</v>
      </c>
      <c r="AW163" t="s">
        <v>23</v>
      </c>
      <c r="AX163" t="s">
        <v>515</v>
      </c>
      <c r="AY163">
        <v>4.1899999999999998E-9</v>
      </c>
      <c r="AZ163" t="s">
        <v>521</v>
      </c>
      <c r="BA163" t="s">
        <v>511</v>
      </c>
      <c r="BB163" t="s">
        <v>24</v>
      </c>
      <c r="BC163" t="s">
        <v>515</v>
      </c>
      <c r="BD163">
        <v>4.1899999999999998E-9</v>
      </c>
      <c r="BG163" t="s">
        <v>25</v>
      </c>
      <c r="BI163">
        <v>4.1899999999999998E-9</v>
      </c>
      <c r="BL163" t="s">
        <v>26</v>
      </c>
      <c r="BN163">
        <v>4.1899999999999998E-9</v>
      </c>
      <c r="BO163" t="str">
        <f t="shared" si="12"/>
        <v>Firma Test16. Test1616.8 Test16 (E+8L+A)</v>
      </c>
      <c r="BP163" t="str">
        <f t="shared" si="13"/>
        <v>Firma Test16. Test16</v>
      </c>
    </row>
    <row r="164" spans="1:68">
      <c r="A164" t="s">
        <v>103</v>
      </c>
      <c r="B164" t="s">
        <v>909</v>
      </c>
      <c r="C164" t="s">
        <v>918</v>
      </c>
      <c r="D164" t="s">
        <v>556</v>
      </c>
      <c r="E164" t="s">
        <v>566</v>
      </c>
      <c r="F164">
        <v>7.17E-8</v>
      </c>
      <c r="G164" t="s">
        <v>453</v>
      </c>
      <c r="H164" t="s">
        <v>576</v>
      </c>
      <c r="I164" t="s">
        <v>5</v>
      </c>
      <c r="J164" t="s">
        <v>586</v>
      </c>
      <c r="K164">
        <v>4.29E-8</v>
      </c>
      <c r="L164" t="s">
        <v>596</v>
      </c>
      <c r="M164" t="s">
        <v>606</v>
      </c>
      <c r="N164" t="s">
        <v>6</v>
      </c>
      <c r="O164" t="s">
        <v>616</v>
      </c>
      <c r="P164">
        <v>2.4699999999999999E-8</v>
      </c>
      <c r="Q164" t="s">
        <v>754</v>
      </c>
      <c r="R164" t="s">
        <v>658</v>
      </c>
      <c r="S164" t="s">
        <v>17</v>
      </c>
      <c r="T164" t="s">
        <v>667</v>
      </c>
      <c r="U164">
        <v>4.1899999999999998E-9</v>
      </c>
      <c r="V164" t="s">
        <v>714</v>
      </c>
      <c r="W164" t="s">
        <v>633</v>
      </c>
      <c r="X164" t="s">
        <v>18</v>
      </c>
      <c r="Y164" t="s">
        <v>641</v>
      </c>
      <c r="Z164">
        <v>4.1899999999999998E-9</v>
      </c>
      <c r="AA164" t="s">
        <v>624</v>
      </c>
      <c r="AB164" t="s">
        <v>633</v>
      </c>
      <c r="AC164" t="s">
        <v>19</v>
      </c>
      <c r="AD164" t="s">
        <v>641</v>
      </c>
      <c r="AE164">
        <v>4.1899999999999998E-9</v>
      </c>
      <c r="AF164" t="s">
        <v>624</v>
      </c>
      <c r="AG164" t="s">
        <v>633</v>
      </c>
      <c r="AH164" t="s">
        <v>20</v>
      </c>
      <c r="AI164" t="s">
        <v>641</v>
      </c>
      <c r="AJ164">
        <v>4.1899999999999998E-9</v>
      </c>
      <c r="AK164" t="s">
        <v>624</v>
      </c>
      <c r="AL164" t="s">
        <v>512</v>
      </c>
      <c r="AM164" t="s">
        <v>23</v>
      </c>
      <c r="AN164" t="s">
        <v>256</v>
      </c>
      <c r="AO164">
        <v>4.1899999999999998E-9</v>
      </c>
      <c r="AP164" t="s">
        <v>508</v>
      </c>
      <c r="AQ164" t="s">
        <v>512</v>
      </c>
      <c r="AR164" t="s">
        <v>22</v>
      </c>
      <c r="AS164" t="s">
        <v>516</v>
      </c>
      <c r="AT164">
        <v>4.1899999999999998E-9</v>
      </c>
      <c r="AU164" t="s">
        <v>508</v>
      </c>
      <c r="AV164" t="s">
        <v>512</v>
      </c>
      <c r="AW164" t="s">
        <v>23</v>
      </c>
      <c r="AX164" t="s">
        <v>516</v>
      </c>
      <c r="AY164">
        <v>4.1899999999999998E-9</v>
      </c>
      <c r="AZ164" t="s">
        <v>522</v>
      </c>
      <c r="BA164" t="s">
        <v>512</v>
      </c>
      <c r="BB164" t="s">
        <v>24</v>
      </c>
      <c r="BC164" t="s">
        <v>516</v>
      </c>
      <c r="BD164">
        <v>4.1899999999999998E-9</v>
      </c>
      <c r="BE164" t="s">
        <v>508</v>
      </c>
      <c r="BF164" t="s">
        <v>512</v>
      </c>
      <c r="BG164" t="s">
        <v>25</v>
      </c>
      <c r="BH164" t="s">
        <v>516</v>
      </c>
      <c r="BI164">
        <v>4.1899999999999998E-9</v>
      </c>
      <c r="BL164" t="s">
        <v>26</v>
      </c>
      <c r="BN164">
        <v>4.1899999999999998E-9</v>
      </c>
      <c r="BO164" t="str">
        <f t="shared" si="12"/>
        <v>Firma Test16. Test1616.9 Test16 (E+9L+A)</v>
      </c>
      <c r="BP164" t="str">
        <f t="shared" si="13"/>
        <v>Firma Test16. Test16</v>
      </c>
    </row>
    <row r="165" spans="1:68">
      <c r="A165" t="s">
        <v>103</v>
      </c>
      <c r="B165" t="s">
        <v>909</v>
      </c>
      <c r="C165" t="s">
        <v>919</v>
      </c>
      <c r="D165" t="s">
        <v>557</v>
      </c>
      <c r="E165" t="s">
        <v>567</v>
      </c>
      <c r="F165">
        <v>7.17E-8</v>
      </c>
      <c r="G165" t="s">
        <v>454</v>
      </c>
      <c r="H165" t="s">
        <v>577</v>
      </c>
      <c r="I165" t="s">
        <v>5</v>
      </c>
      <c r="J165" t="s">
        <v>587</v>
      </c>
      <c r="K165">
        <v>4.29E-8</v>
      </c>
      <c r="L165" t="s">
        <v>597</v>
      </c>
      <c r="M165" t="s">
        <v>607</v>
      </c>
      <c r="N165" t="s">
        <v>6</v>
      </c>
      <c r="O165" t="s">
        <v>617</v>
      </c>
      <c r="P165">
        <v>2.4699999999999999E-8</v>
      </c>
      <c r="Q165" t="s">
        <v>755</v>
      </c>
      <c r="R165" t="s">
        <v>649</v>
      </c>
      <c r="S165" t="s">
        <v>17</v>
      </c>
      <c r="T165" t="s">
        <v>668</v>
      </c>
      <c r="U165">
        <v>4.1899999999999998E-9</v>
      </c>
      <c r="V165" t="s">
        <v>715</v>
      </c>
      <c r="W165" t="s">
        <v>259</v>
      </c>
      <c r="X165" t="s">
        <v>18</v>
      </c>
      <c r="Y165" t="s">
        <v>260</v>
      </c>
      <c r="Z165">
        <v>4.1899999999999998E-9</v>
      </c>
      <c r="AA165" t="s">
        <v>625</v>
      </c>
      <c r="AB165" t="s">
        <v>259</v>
      </c>
      <c r="AC165" t="s">
        <v>19</v>
      </c>
      <c r="AD165" t="s">
        <v>260</v>
      </c>
      <c r="AE165">
        <v>4.1899999999999998E-9</v>
      </c>
      <c r="AF165" t="s">
        <v>625</v>
      </c>
      <c r="AG165" t="s">
        <v>259</v>
      </c>
      <c r="AH165" t="s">
        <v>20</v>
      </c>
      <c r="AI165" t="s">
        <v>260</v>
      </c>
      <c r="AJ165">
        <v>4.1899999999999998E-9</v>
      </c>
      <c r="AK165" t="s">
        <v>625</v>
      </c>
      <c r="AL165" t="s">
        <v>249</v>
      </c>
      <c r="AM165" t="s">
        <v>24</v>
      </c>
      <c r="AN165" t="s">
        <v>257</v>
      </c>
      <c r="AO165">
        <v>4.1899999999999998E-9</v>
      </c>
      <c r="AP165" t="s">
        <v>241</v>
      </c>
      <c r="AQ165" t="s">
        <v>249</v>
      </c>
      <c r="AR165" t="s">
        <v>22</v>
      </c>
      <c r="AS165" t="s">
        <v>257</v>
      </c>
      <c r="AT165">
        <v>4.1899999999999998E-9</v>
      </c>
      <c r="AU165" t="s">
        <v>241</v>
      </c>
      <c r="AV165" t="s">
        <v>249</v>
      </c>
      <c r="AW165" t="s">
        <v>23</v>
      </c>
      <c r="AX165" t="s">
        <v>257</v>
      </c>
      <c r="AY165">
        <v>4.1899999999999998E-9</v>
      </c>
      <c r="AZ165" t="s">
        <v>523</v>
      </c>
      <c r="BA165" t="s">
        <v>249</v>
      </c>
      <c r="BB165" t="s">
        <v>24</v>
      </c>
      <c r="BC165" t="s">
        <v>257</v>
      </c>
      <c r="BD165">
        <v>4.1899999999999998E-9</v>
      </c>
      <c r="BE165" t="s">
        <v>241</v>
      </c>
      <c r="BF165" t="s">
        <v>249</v>
      </c>
      <c r="BG165" t="s">
        <v>25</v>
      </c>
      <c r="BH165" t="s">
        <v>257</v>
      </c>
      <c r="BI165">
        <v>4.1899999999999998E-9</v>
      </c>
      <c r="BJ165" t="s">
        <v>517</v>
      </c>
      <c r="BK165" t="s">
        <v>249</v>
      </c>
      <c r="BL165" t="s">
        <v>26</v>
      </c>
      <c r="BM165" t="s">
        <v>257</v>
      </c>
      <c r="BN165">
        <v>4.1899999999999998E-9</v>
      </c>
      <c r="BO165" t="str">
        <f t="shared" si="12"/>
        <v>Firma Test16. Test1616.10 Test16 (E+10L+A)</v>
      </c>
      <c r="BP165" t="str">
        <f t="shared" si="13"/>
        <v>Firma Test16. Test16</v>
      </c>
    </row>
  </sheetData>
  <pageMargins left="0.7" right="0.7" top="0.78740157499999996" bottom="0.78740157499999996"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sheetPr codeName="Tabelle4"/>
  <dimension ref="A1:F1002"/>
  <sheetViews>
    <sheetView workbookViewId="0">
      <selection activeCell="C25" sqref="C25"/>
    </sheetView>
  </sheetViews>
  <sheetFormatPr baseColWidth="10" defaultRowHeight="15"/>
  <cols>
    <col min="1" max="1" width="56.42578125" bestFit="1" customWidth="1"/>
    <col min="2" max="2" width="56.42578125" customWidth="1"/>
    <col min="3" max="3" width="55.7109375" bestFit="1" customWidth="1"/>
    <col min="4" max="4" width="55.7109375" customWidth="1"/>
    <col min="5" max="5" width="73.5703125" bestFit="1" customWidth="1"/>
    <col min="6" max="6" width="27.28515625" bestFit="1" customWidth="1"/>
  </cols>
  <sheetData>
    <row r="1" spans="1:6">
      <c r="A1" s="4" t="s">
        <v>787</v>
      </c>
      <c r="B1" s="4" t="s">
        <v>536</v>
      </c>
      <c r="C1" s="8" t="s">
        <v>920</v>
      </c>
      <c r="D1" s="8" t="s">
        <v>921</v>
      </c>
      <c r="E1" s="6" t="s">
        <v>922</v>
      </c>
      <c r="F1" s="6" t="s">
        <v>99</v>
      </c>
    </row>
    <row r="2" spans="1:6">
      <c r="A2" s="13" t="str">
        <f t="array" aca="1" ref="A2" ca="1">IFERROR(INDEX(Projektname,SMALL(IF(FREQUENCY(IF(Projektname&lt;&gt;"",MATCH(Projektname,Projektname,0)),ROW(Projektname)-ROW(Data!$A$4)+1),ROW(Projektname)-ROW(Data!$A$4)+1),ROWS(A$2:A2))),"")</f>
        <v>Firma Test</v>
      </c>
      <c r="B2" s="13" t="str">
        <f t="array" aca="1" ref="B2" ca="1">IFERROR(INDEX(Projektname_ODW,MATCH(SMALL(COUNTIF(Projektname_ODW, "&lt;" &amp; Projektname_ODW),ROW(1:1)),COUNTIF(Projektname_ODW, "&lt;" &amp; Projektname_ODW),0)),"")</f>
        <v/>
      </c>
      <c r="C2" s="14">
        <v>1</v>
      </c>
      <c r="D2" s="8"/>
      <c r="E2" s="15">
        <v>1</v>
      </c>
      <c r="F2" s="15">
        <v>1</v>
      </c>
    </row>
    <row r="3" spans="1:6">
      <c r="A3" s="13" t="str">
        <f t="array" aca="1" ref="A3" ca="1">IFERROR(INDEX(Projektname,SMALL(IF(FREQUENCY(IF(Projektname&lt;&gt;"",MATCH(Projektname,Projektname,0)),ROW(Projektname)-ROW(Data!$A$4)+1),ROW(Projektname)-ROW(Data!$A$4)+1),ROWS(A$2:A3))),"")</f>
        <v/>
      </c>
      <c r="B3" s="13" t="str">
        <f t="array" aca="1" ref="B3" ca="1">IFERROR(INDEX(Projektname_ODW,MATCH(SMALL(COUNTIF(Projektname_ODW, "&lt;" &amp; Projektname_ODW),ROW(2:2)),COUNTIF(Projektname_ODW, "&lt;" &amp; Projektname_ODW),0)),"")</f>
        <v/>
      </c>
      <c r="C3" s="9" t="str">
        <f ca="1">OFFSET(Liste!$A$1,$C$2,0)</f>
        <v>Firma Test</v>
      </c>
      <c r="D3" s="8"/>
      <c r="E3" s="2" t="str">
        <f ca="1">OFFSET(Liste!$D$3,$E$2,0)</f>
        <v>1. test1</v>
      </c>
      <c r="F3" s="2" t="str">
        <f ca="1">OFFSET(Liste!$E$3,$F$2,0)</f>
        <v>0.0 test0 (E+A)</v>
      </c>
    </row>
    <row r="4" spans="1:6">
      <c r="A4" s="13" t="str">
        <f t="array" aca="1" ref="A4" ca="1">IFERROR(INDEX(Projektname,SMALL(IF(FREQUENCY(IF(Projektname&lt;&gt;"",MATCH(Projektname,Projektname,0)),ROW(Projektname)-ROW(Data!$A$4)+1),ROW(Projektname)-ROW(Data!$A$4)+1),ROWS(A$2:A4))),"")</f>
        <v/>
      </c>
      <c r="B4" s="13" t="str">
        <f t="array" aca="1" ref="B4" ca="1">IFERROR(INDEX(Projektname_ODW,MATCH(SMALL(COUNTIF(Projektname_ODW, "&lt;" &amp; Projektname_ODW),ROW(3:3)),COUNTIF(Projektname_ODW, "&lt;" &amp; Projektname_ODW),0)),"")</f>
        <v/>
      </c>
      <c r="C4" s="13" t="str">
        <f ca="1">IFERROR(IF(ROW(A4)-3&gt;COUNTIF(Data!$A:$A,Liste!$C$3),"",IF(INDEX(Tab_DaBa[],MATCH($C$3,Data!$A:$A,0)-2,2)="","",INDEX(Tab_DaBa[],MATCH($C$3,Data!$A:$A,0)-2,2))),"")</f>
        <v>1. test1</v>
      </c>
      <c r="D4" s="13" t="str">
        <f t="array" aca="1" ref="D4" ca="1">IFERROR(INDEX($C$4:$C$200,SMALL(IF(FREQUENCY(IF($C$4:$C$200&lt;&gt;"",MATCH($C$4:$C$200,$C$4:$C$200,0)),ROW($C$4:$C$200)-ROW($C$4)+1),ROW($C$4:$C$200)-ROW($C$4)+1),ROWS(D$2:D2))),"")</f>
        <v>1. test1</v>
      </c>
      <c r="E4" s="13" t="str">
        <f ca="1">IFERROR(IF(ROW(A4)-3&gt;COUNTIF(Data!$BP:$BP,CONCATENATE(Liste!$C$3,$E$3)),"",INDEX(Tab_DaBa[],MATCH(CONCATENATE($C$3,$E$3),Data!$BP:$BP,0)-2,3)),"")</f>
        <v>0.0 test0 (E+A)</v>
      </c>
      <c r="F4" s="13"/>
    </row>
    <row r="5" spans="1:6">
      <c r="A5" s="13" t="str">
        <f t="array" aca="1" ref="A5" ca="1">IFERROR(INDEX(Projektname,SMALL(IF(FREQUENCY(IF(Projektname&lt;&gt;"",MATCH(Projektname,Projektname,0)),ROW(Projektname)-ROW(Data!$A$4)+1),ROW(Projektname)-ROW(Data!$A$4)+1),ROWS(A$2:A5))),"")</f>
        <v/>
      </c>
      <c r="B5" s="13" t="str">
        <f t="array" aca="1" ref="B5" ca="1">IFERROR(INDEX(Projektname_ODW,MATCH(SMALL(COUNTIF(Projektname_ODW, "&lt;" &amp; Projektname_ODW),ROW(4:4)),COUNTIF(Projektname_ODW, "&lt;" &amp; Projektname_ODW),0)),"")</f>
        <v/>
      </c>
      <c r="C5" s="13" t="str">
        <f ca="1">IFERROR(IF(ROW(A5)-3&gt;COUNTIF(Data!$A:$A,Liste!$C$3),"",IF(INDEX(Tab_DaBa[],MATCH($C$3,Data!$A:$A,0)-1,2)="","",INDEX(Tab_DaBa[],MATCH($C$3,Data!$A:$A,0)-1,2))),"")</f>
        <v>1. test1</v>
      </c>
      <c r="D5" s="13" t="str">
        <f t="array" aca="1" ref="D5" ca="1">IFERROR(INDEX($C$4:$C$200,SMALL(IF(FREQUENCY(IF($C$4:$C$200&lt;&gt;"",MATCH($C$4:$C$200,$C$4:$C$200,0)),ROW($C$4:$C$200)-ROW($C$4)+1),ROW($C$4:$C$200)-ROW($C$4)+1),ROWS(D$2:D3))),"")</f>
        <v>2. test2</v>
      </c>
      <c r="E5" s="13" t="str">
        <f ca="1">IFERROR(IF(ROW(A5)-3&gt;COUNTIF(Data!$BP:$BP,CONCATENATE(Liste!$C$3,$E$3)),"",INDEX(Tab_DaBa[],MATCH(CONCATENATE($C$3,$E$3),Data!$BP:$BP,0)-1,3)),"")</f>
        <v>1.1 test1 (E+1L+A)</v>
      </c>
      <c r="F5" s="13"/>
    </row>
    <row r="6" spans="1:6">
      <c r="A6" s="13" t="str">
        <f t="array" aca="1" ref="A6" ca="1">IFERROR(INDEX(Projektname,SMALL(IF(FREQUENCY(IF(Projektname&lt;&gt;"",MATCH(Projektname,Projektname,0)),ROW(Projektname)-ROW(Data!$A$4)+1),ROW(Projektname)-ROW(Data!$A$4)+1),ROWS(A$2:A6))),"")</f>
        <v/>
      </c>
      <c r="B6" s="13" t="str">
        <f t="array" aca="1" ref="B6" ca="1">IFERROR(INDEX(Projektname_ODW,MATCH(SMALL(COUNTIF(Projektname_ODW, "&lt;" &amp; Projektname_ODW),ROW(5:5)),COUNTIF(Projektname_ODW, "&lt;" &amp; Projektname_ODW),0)),"")</f>
        <v/>
      </c>
      <c r="C6" s="13" t="str">
        <f ca="1">IFERROR(IF(ROW(A6)-3&gt;COUNTIF(Data!$A:$A,Liste!$C$3),"",IF(INDEX(Tab_DaBa[],MATCH($C$3,Data!$A:$A,0),2)="","",INDEX(Tab_DaBa[],MATCH($C$3,Data!$A:$A,0),2))),"")</f>
        <v>1. test1</v>
      </c>
      <c r="D6" s="13" t="str">
        <f t="array" aca="1" ref="D6" ca="1">IFERROR(INDEX($C$4:$C$200,SMALL(IF(FREQUENCY(IF($C$4:$C$200&lt;&gt;"",MATCH($C$4:$C$200,$C$4:$C$200,0)),ROW($C$4:$C$200)-ROW($C$4)+1),ROW($C$4:$C$200)-ROW($C$4)+1),ROWS(D$2:D4))),"")</f>
        <v>3. Test3</v>
      </c>
      <c r="E6" s="13" t="str">
        <f ca="1">IFERROR(IF(ROW(A6)-3&gt;COUNTIF(Data!$BP:$BP,CONCATENATE(Liste!$C$3,$E$3)),"",INDEX(Tab_DaBa[],MATCH(CONCATENATE($C$3,$E$3),Data!$BP:$BP,0),3)),"")</f>
        <v>1.2 test1 (E+2L+A)</v>
      </c>
      <c r="F6" s="13"/>
    </row>
    <row r="7" spans="1:6">
      <c r="A7" s="13" t="str">
        <f t="array" aca="1" ref="A7" ca="1">IFERROR(INDEX(Projektname,SMALL(IF(FREQUENCY(IF(Projektname&lt;&gt;"",MATCH(Projektname,Projektname,0)),ROW(Projektname)-ROW(Data!$A$4)+1),ROW(Projektname)-ROW(Data!$A$4)+1),ROWS(A$2:A7))),"")</f>
        <v/>
      </c>
      <c r="B7" s="13" t="str">
        <f t="array" aca="1" ref="B7" ca="1">IFERROR(INDEX(Projektname_ODW,MATCH(SMALL(COUNTIF(Projektname_ODW, "&lt;" &amp; Projektname_ODW),ROW(6:6)),COUNTIF(Projektname_ODW, "&lt;" &amp; Projektname_ODW),0)),"")</f>
        <v/>
      </c>
      <c r="C7" s="13" t="str">
        <f ca="1">IFERROR(IF(ROW(A7)-3&gt;COUNTIF(Data!$A:$A,Liste!$C$3),"",IF(INDEX(Tab_DaBa[],MATCH($C$3,Data!$A:$A,0)+1,2)="","",INDEX(Tab_DaBa[],MATCH($C$3,Data!$A:$A,0)+1,2))),"")</f>
        <v>1. test1</v>
      </c>
      <c r="D7" s="13" t="str">
        <f t="array" aca="1" ref="D7" ca="1">IFERROR(INDEX($C$4:$C$200,SMALL(IF(FREQUENCY(IF($C$4:$C$200&lt;&gt;"",MATCH($C$4:$C$200,$C$4:$C$200,0)),ROW($C$4:$C$200)-ROW($C$4)+1),ROW($C$4:$C$200)-ROW($C$4)+1),ROWS(D$2:D5))),"")</f>
        <v>4. Test4</v>
      </c>
      <c r="E7" s="13" t="str">
        <f ca="1">IFERROR(IF(ROW(A7)-3&gt;COUNTIF(Data!$BP:$BP,CONCATENATE(Liste!$C$3,$E$3)),"",INDEX(Tab_DaBa[],MATCH(CONCATENATE($C$3,$E$3),Data!$BP:$BP,0)+1,3)),"")</f>
        <v>1.3 test1 (E+3L+A)</v>
      </c>
      <c r="F7" s="13"/>
    </row>
    <row r="8" spans="1:6">
      <c r="A8" s="13" t="str">
        <f t="array" aca="1" ref="A8" ca="1">IFERROR(INDEX(Projektname,SMALL(IF(FREQUENCY(IF(Projektname&lt;&gt;"",MATCH(Projektname,Projektname,0)),ROW(Projektname)-ROW(Data!$A$4)+1),ROW(Projektname)-ROW(Data!$A$4)+1),ROWS(A$2:A8))),"")</f>
        <v/>
      </c>
      <c r="B8" s="13" t="str">
        <f t="array" aca="1" ref="B8" ca="1">IFERROR(INDEX(Projektname_ODW,MATCH(SMALL(COUNTIF(Projektname_ODW, "&lt;" &amp; Projektname_ODW),ROW(7:7)),COUNTIF(Projektname_ODW, "&lt;" &amp; Projektname_ODW),0)),"")</f>
        <v/>
      </c>
      <c r="C8" s="13" t="str">
        <f ca="1">IFERROR(IF(ROW(A8)-3&gt;COUNTIF(Data!$A:$A,Liste!$C$3),"",IF(INDEX(Tab_DaBa[],MATCH($C$3,Data!$A:$A,0)+2,2)="","",INDEX(Tab_DaBa[],MATCH($C$3,Data!$A:$A,0)+2,2))),"")</f>
        <v>1. test1</v>
      </c>
      <c r="D8" s="13" t="str">
        <f t="array" aca="1" ref="D8" ca="1">IFERROR(INDEX($C$4:$C$200,SMALL(IF(FREQUENCY(IF($C$4:$C$200&lt;&gt;"",MATCH($C$4:$C$200,$C$4:$C$200,0)),ROW($C$4:$C$200)-ROW($C$4)+1),ROW($C$4:$C$200)-ROW($C$4)+1),ROWS(D$2:D6))),"")</f>
        <v>5. Test4</v>
      </c>
      <c r="E8" s="13" t="str">
        <f ca="1">IFERROR(IF(ROW(A8)-3&gt;COUNTIF(Data!$BP:$BP,CONCATENATE(Liste!$C$3,$E$3)),"",INDEX(Tab_DaBa[],MATCH(CONCATENATE($C$3,$E$3),Data!$BP:$BP,0)+2,3)),"")</f>
        <v>1.4 test1 (E+4L+A)</v>
      </c>
      <c r="F8" s="13"/>
    </row>
    <row r="9" spans="1:6">
      <c r="A9" s="13" t="str">
        <f t="array" aca="1" ref="A9" ca="1">IFERROR(INDEX(Projektname,SMALL(IF(FREQUENCY(IF(Projektname&lt;&gt;"",MATCH(Projektname,Projektname,0)),ROW(Projektname)-ROW(Data!$A$4)+1),ROW(Projektname)-ROW(Data!$A$4)+1),ROWS(A$2:A9))),"")</f>
        <v/>
      </c>
      <c r="B9" s="13" t="str">
        <f t="array" aca="1" ref="B9" ca="1">IFERROR(INDEX(Projektname_ODW,MATCH(SMALL(COUNTIF(Projektname_ODW, "&lt;" &amp; Projektname_ODW),ROW(8:8)),COUNTIF(Projektname_ODW, "&lt;" &amp; Projektname_ODW),0)),"")</f>
        <v/>
      </c>
      <c r="C9" s="13" t="str">
        <f ca="1">IFERROR(IF(ROW(A9)-3&gt;COUNTIF(Data!$A:$A,Liste!$C$3),"",IF(INDEX(Tab_DaBa[],MATCH($C$3,Data!$A:$A,0)+3,2)="","",INDEX(Tab_DaBa[],MATCH($C$3,Data!$A:$A,0)+3,2))),"")</f>
        <v>1. test1</v>
      </c>
      <c r="D9" s="13" t="str">
        <f t="array" aca="1" ref="D9" ca="1">IFERROR(INDEX($C$4:$C$200,SMALL(IF(FREQUENCY(IF($C$4:$C$200&lt;&gt;"",MATCH($C$4:$C$200,$C$4:$C$200,0)),ROW($C$4:$C$200)-ROW($C$4)+1),ROW($C$4:$C$200)-ROW($C$4)+1),ROWS(D$2:D7))),"")</f>
        <v>6. Test4</v>
      </c>
      <c r="E9" s="13" t="str">
        <f ca="1">IFERROR(IF(ROW(A9)-3&gt;COUNTIF(Data!$BP:$BP,CONCATENATE(Liste!$C$3,$E$3)),"",INDEX(Tab_DaBa[],MATCH(CONCATENATE($C$3,$E$3),Data!$BP:$BP,0)+3,3)),"")</f>
        <v>1.5 test1 (E+5L+A)</v>
      </c>
      <c r="F9" s="13"/>
    </row>
    <row r="10" spans="1:6">
      <c r="A10" s="13" t="str">
        <f t="array" aca="1" ref="A10" ca="1">IFERROR(INDEX(Projektname,SMALL(IF(FREQUENCY(IF(Projektname&lt;&gt;"",MATCH(Projektname,Projektname,0)),ROW(Projektname)-ROW(Data!$A$4)+1),ROW(Projektname)-ROW(Data!$A$4)+1),ROWS(A$2:A10))),"")</f>
        <v/>
      </c>
      <c r="B10" s="13" t="str">
        <f t="array" aca="1" ref="B10" ca="1">IFERROR(INDEX(Projektname_ODW,MATCH(SMALL(COUNTIF(Projektname_ODW, "&lt;" &amp; Projektname_ODW),ROW(9:9)),COUNTIF(Projektname_ODW, "&lt;" &amp; Projektname_ODW),0)),"")</f>
        <v/>
      </c>
      <c r="C10" s="13" t="str">
        <f ca="1">IFERROR(IF(ROW(A10)-3&gt;COUNTIF(Data!$A:$A,Liste!$C$3),"",IF(INDEX(Tab_DaBa[],MATCH($C$3,Data!$A:$A,0)+4,2)="","",INDEX(Tab_DaBa[],MATCH($C$3,Data!$A:$A,0)+4,2))),"")</f>
        <v>1. test1</v>
      </c>
      <c r="D10" s="13" t="str">
        <f t="array" aca="1" ref="D10" ca="1">IFERROR(INDEX($C$4:$C$200,SMALL(IF(FREQUENCY(IF($C$4:$C$200&lt;&gt;"",MATCH($C$4:$C$200,$C$4:$C$200,0)),ROW($C$4:$C$200)-ROW($C$4)+1),ROW($C$4:$C$200)-ROW($C$4)+1),ROWS(D$2:D8))),"")</f>
        <v>7. Test4</v>
      </c>
      <c r="E10" s="13" t="str">
        <f ca="1">IFERROR(IF(ROW(A10)-3&gt;COUNTIF(Data!$BP:$BP,CONCATENATE(Liste!$C$3,$E$3)),"",INDEX(Tab_DaBa[],MATCH(CONCATENATE($C$3,$E$3),Data!$BP:$BP,0)+4,3)),"")</f>
        <v>1.6 test1 (E+6L+A)</v>
      </c>
      <c r="F10" s="13"/>
    </row>
    <row r="11" spans="1:6">
      <c r="A11" s="13" t="str">
        <f t="array" aca="1" ref="A11" ca="1">IFERROR(INDEX(Projektname,SMALL(IF(FREQUENCY(IF(Projektname&lt;&gt;"",MATCH(Projektname,Projektname,0)),ROW(Projektname)-ROW(Data!$A$4)+1),ROW(Projektname)-ROW(Data!$A$4)+1),ROWS(A$2:A11))),"")</f>
        <v/>
      </c>
      <c r="B11" s="13" t="str">
        <f t="array" aca="1" ref="B11" ca="1">IFERROR(INDEX(Projektname_ODW,MATCH(SMALL(COUNTIF(Projektname_ODW, "&lt;" &amp; Projektname_ODW),ROW(10:10)),COUNTIF(Projektname_ODW, "&lt;" &amp; Projektname_ODW),0)),"")</f>
        <v/>
      </c>
      <c r="C11" s="13" t="str">
        <f ca="1">IFERROR(IF(ROW(A11)-3&gt;COUNTIF(Data!$A:$A,Liste!$C$3),"",IF(INDEX(Tab_DaBa[],MATCH($C$3,Data!$A:$A,0)+5,2)="","",INDEX(Tab_DaBa[],MATCH($C$3,Data!$A:$A,0)+5,2))),"")</f>
        <v>1. test1</v>
      </c>
      <c r="D11" s="13" t="str">
        <f t="array" aca="1" ref="D11" ca="1">IFERROR(INDEX($C$4:$C$200,SMALL(IF(FREQUENCY(IF($C$4:$C$200&lt;&gt;"",MATCH($C$4:$C$200,$C$4:$C$200,0)),ROW($C$4:$C$200)-ROW($C$4)+1),ROW($C$4:$C$200)-ROW($C$4)+1),ROWS(D$2:D9))),"")</f>
        <v>8. Test08</v>
      </c>
      <c r="E11" s="13" t="str">
        <f ca="1">IFERROR(IF(ROW(A11)-3&gt;COUNTIF(Data!$BP:$BP,CONCATENATE(Liste!$C$3,$E$3)),"",INDEX(Tab_DaBa[],MATCH(CONCATENATE($C$3,$E$3),Data!$BP:$BP,0)+5,3)),"")</f>
        <v>1.7 test1 (E+7L+A)</v>
      </c>
      <c r="F11" s="13"/>
    </row>
    <row r="12" spans="1:6">
      <c r="A12" s="13" t="str">
        <f t="array" aca="1" ref="A12" ca="1">IFERROR(INDEX(Projektname,SMALL(IF(FREQUENCY(IF(Projektname&lt;&gt;"",MATCH(Projektname,Projektname,0)),ROW(Projektname)-ROW(Data!$A$4)+1),ROW(Projektname)-ROW(Data!$A$4)+1),ROWS(A$2:A12))),"")</f>
        <v/>
      </c>
      <c r="B12" s="13" t="str">
        <f t="array" aca="1" ref="B12" ca="1">IFERROR(INDEX(Projektname_ODW,MATCH(SMALL(COUNTIF(Projektname_ODW, "&lt;" &amp; Projektname_ODW),ROW(11:11)),COUNTIF(Projektname_ODW, "&lt;" &amp; Projektname_ODW),0)),"")</f>
        <v/>
      </c>
      <c r="C12" s="13" t="str">
        <f ca="1">IFERROR(IF(ROW(A12)-3&gt;COUNTIF(Data!$A:$A,Liste!$C$3),"",IF(INDEX(Tab_DaBa[],MATCH($C$3,Data!$A:$A,0)+6,2)="","",INDEX(Tab_DaBa[],MATCH($C$3,Data!$A:$A,0)+6,2))),"")</f>
        <v>1. test1</v>
      </c>
      <c r="D12" s="13" t="str">
        <f t="array" aca="1" ref="D12" ca="1">IFERROR(INDEX($C$4:$C$200,SMALL(IF(FREQUENCY(IF($C$4:$C$200&lt;&gt;"",MATCH($C$4:$C$200,$C$4:$C$200,0)),ROW($C$4:$C$200)-ROW($C$4)+1),ROW($C$4:$C$200)-ROW($C$4)+1),ROWS(D$2:D10))),"")</f>
        <v>9. Test09</v>
      </c>
      <c r="E12" s="13" t="str">
        <f ca="1">IFERROR(IF(ROW(A12)-3&gt;COUNTIF(Data!$BP:$BP,CONCATENATE(Liste!$C$3,$E$3)),"",INDEX(Tab_DaBa[],MATCH(CONCATENATE($C$3,$E$3),Data!$BP:$BP,0)+6,3)),"")</f>
        <v>1.8 test1 (E+8L+A)</v>
      </c>
      <c r="F12" s="13"/>
    </row>
    <row r="13" spans="1:6">
      <c r="A13" s="13" t="str">
        <f t="array" aca="1" ref="A13" ca="1">IFERROR(INDEX(Projektname,SMALL(IF(FREQUENCY(IF(Projektname&lt;&gt;"",MATCH(Projektname,Projektname,0)),ROW(Projektname)-ROW(Data!$A$4)+1),ROW(Projektname)-ROW(Data!$A$4)+1),ROWS(A$2:A13))),"")</f>
        <v/>
      </c>
      <c r="B13" s="13" t="str">
        <f t="array" aca="1" ref="B13" ca="1">IFERROR(INDEX(Projektname_ODW,MATCH(SMALL(COUNTIF(Projektname_ODW, "&lt;" &amp; Projektname_ODW),ROW(12:12)),COUNTIF(Projektname_ODW, "&lt;" &amp; Projektname_ODW),0)),"")</f>
        <v/>
      </c>
      <c r="C13" s="13" t="str">
        <f ca="1">IFERROR(IF(ROW(A13)-3&gt;COUNTIF(Data!$A:$A,Liste!$C$3),"",IF(INDEX(Tab_DaBa[],MATCH($C$3,Data!$A:$A,0)+7,2)="","",INDEX(Tab_DaBa[],MATCH($C$3,Data!$A:$A,0)+7,2))),"")</f>
        <v>1. test1</v>
      </c>
      <c r="D13" s="13" t="str">
        <f t="array" aca="1" ref="D13" ca="1">IFERROR(INDEX($C$4:$C$200,SMALL(IF(FREQUENCY(IF($C$4:$C$200&lt;&gt;"",MATCH($C$4:$C$200,$C$4:$C$200,0)),ROW($C$4:$C$200)-ROW($C$4)+1),ROW($C$4:$C$200)-ROW($C$4)+1),ROWS(D$2:D11))),"")</f>
        <v>10. Test10</v>
      </c>
      <c r="E13" s="13" t="str">
        <f ca="1">IFERROR(IF(ROW(A13)-3&gt;COUNTIF(Data!$BP:$BP,CONCATENATE(Liste!$C$3,$E$3)),"",INDEX(Tab_DaBa[],MATCH(CONCATENATE($C$3,$E$3),Data!$BP:$BP,0)+7,3)),"")</f>
        <v>1.9 test1 (E+9L+A)</v>
      </c>
      <c r="F13" s="13"/>
    </row>
    <row r="14" spans="1:6">
      <c r="A14" s="13" t="str">
        <f t="array" aca="1" ref="A14" ca="1">IFERROR(INDEX(Projektname,SMALL(IF(FREQUENCY(IF(Projektname&lt;&gt;"",MATCH(Projektname,Projektname,0)),ROW(Projektname)-ROW(Data!$A$4)+1),ROW(Projektname)-ROW(Data!$A$4)+1),ROWS(A$2:A14))),"")</f>
        <v/>
      </c>
      <c r="B14" s="13" t="str">
        <f t="array" aca="1" ref="B14" ca="1">IFERROR(INDEX(Projektname_ODW,MATCH(SMALL(COUNTIF(Projektname_ODW, "&lt;" &amp; Projektname_ODW),ROW(13:13)),COUNTIF(Projektname_ODW, "&lt;" &amp; Projektname_ODW),0)),"")</f>
        <v/>
      </c>
      <c r="C14" s="13" t="str">
        <f ca="1">IFERROR(IF(ROW(A14)-3&gt;COUNTIF(Data!$A:$A,Liste!$C$3),"",IF(INDEX(Tab_DaBa[],MATCH($C$3,Data!$A:$A,0)+8,2)="","",INDEX(Tab_DaBa[],MATCH($C$3,Data!$A:$A,0)+8,2))),"")</f>
        <v>1. test1</v>
      </c>
      <c r="D14" s="13" t="str">
        <f t="array" aca="1" ref="D14" ca="1">IFERROR(INDEX($C$4:$C$200,SMALL(IF(FREQUENCY(IF($C$4:$C$200&lt;&gt;"",MATCH($C$4:$C$200,$C$4:$C$200,0)),ROW($C$4:$C$200)-ROW($C$4)+1),ROW($C$4:$C$200)-ROW($C$4)+1),ROWS(D$2:D12))),"")</f>
        <v>11. Test11</v>
      </c>
      <c r="E14" s="13" t="str">
        <f ca="1">IFERROR(IF(ROW(A14)-3&gt;COUNTIF(Data!$BP:$BP,CONCATENATE(Liste!$C$3,$E$3)),"",INDEX(Tab_DaBa[],MATCH(CONCATENATE($C$3,$E$3),Data!$BP:$BP,0)+8,3)),"")</f>
        <v>1.10 test1 (E+10L+A)</v>
      </c>
      <c r="F14" s="13"/>
    </row>
    <row r="15" spans="1:6">
      <c r="A15" s="13" t="str">
        <f t="array" aca="1" ref="A15" ca="1">IFERROR(INDEX(Projektname,SMALL(IF(FREQUENCY(IF(Projektname&lt;&gt;"",MATCH(Projektname,Projektname,0)),ROW(Projektname)-ROW(Data!$A$4)+1),ROW(Projektname)-ROW(Data!$A$4)+1),ROWS(A$2:A15))),"")</f>
        <v/>
      </c>
      <c r="B15" s="13" t="str">
        <f t="array" aca="1" ref="B15" ca="1">IFERROR(INDEX(Projektname_ODW,MATCH(SMALL(COUNTIF(Projektname_ODW, "&lt;" &amp; Projektname_ODW),ROW(14:14)),COUNTIF(Projektname_ODW, "&lt;" &amp; Projektname_ODW),0)),"")</f>
        <v/>
      </c>
      <c r="C15" s="13" t="str">
        <f ca="1">IFERROR(IF(ROW(A15)-3&gt;COUNTIF(Data!$A:$A,Liste!$C$3),"",IF(INDEX(Tab_DaBa[],MATCH($C$3,Data!$A:$A,0)+9,2)="","",INDEX(Tab_DaBa[],MATCH($C$3,Data!$A:$A,0)+9,2))),"")</f>
        <v>2. test2</v>
      </c>
      <c r="D15" s="13" t="str">
        <f t="array" aca="1" ref="D15" ca="1">IFERROR(INDEX($C$4:$C$200,SMALL(IF(FREQUENCY(IF($C$4:$C$200&lt;&gt;"",MATCH($C$4:$C$200,$C$4:$C$200,0)),ROW($C$4:$C$200)-ROW($C$4)+1),ROW($C$4:$C$200)-ROW($C$4)+1),ROWS(D$2:D13))),"")</f>
        <v>12. Test12</v>
      </c>
      <c r="E15" s="13" t="str">
        <f ca="1">IFERROR(IF(ROW(A15)-3&gt;COUNTIF(Data!$BP:$BP,CONCATENATE(Liste!$C$3,$E$3)),"",INDEX(Tab_DaBa[],MATCH(CONCATENATE($C$3,$E$3),Data!$BP:$BP,0)+9,3)),"")</f>
        <v/>
      </c>
      <c r="F15" s="13"/>
    </row>
    <row r="16" spans="1:6">
      <c r="A16" s="13" t="str">
        <f t="array" aca="1" ref="A16" ca="1">IFERROR(INDEX(Projektname,SMALL(IF(FREQUENCY(IF(Projektname&lt;&gt;"",MATCH(Projektname,Projektname,0)),ROW(Projektname)-ROW(Data!$A$4)+1),ROW(Projektname)-ROW(Data!$A$4)+1),ROWS(A$2:A16))),"")</f>
        <v/>
      </c>
      <c r="B16" s="13" t="str">
        <f t="array" aca="1" ref="B16" ca="1">IFERROR(INDEX(Projektname_ODW,MATCH(SMALL(COUNTIF(Projektname_ODW, "&lt;" &amp; Projektname_ODW),ROW(15:15)),COUNTIF(Projektname_ODW, "&lt;" &amp; Projektname_ODW),0)),"")</f>
        <v/>
      </c>
      <c r="C16" s="13" t="str">
        <f ca="1">IFERROR(IF(ROW(A16)-3&gt;COUNTIF(Data!$A:$A,Liste!$C$3),"",IF(INDEX(Tab_DaBa[],MATCH($C$3,Data!$A:$A,0)+10,2)="","",INDEX(Tab_DaBa[],MATCH($C$3,Data!$A:$A,0)+10,2))),"")</f>
        <v>2. test2</v>
      </c>
      <c r="D16" s="13" t="str">
        <f t="array" aca="1" ref="D16" ca="1">IFERROR(INDEX($C$4:$C$200,SMALL(IF(FREQUENCY(IF($C$4:$C$200&lt;&gt;"",MATCH($C$4:$C$200,$C$4:$C$200,0)),ROW($C$4:$C$200)-ROW($C$4)+1),ROW($C$4:$C$200)-ROW($C$4)+1),ROWS(D$2:D14))),"")</f>
        <v>13. Test13</v>
      </c>
      <c r="E16" s="13" t="str">
        <f ca="1">IFERROR(IF(ROW(A16)-3&gt;COUNTIF(Data!$BP:$BP,CONCATENATE(Liste!$C$3,$E$3)),"",INDEX(Tab_DaBa[],MATCH(CONCATENATE($C$3,$E$3),Data!$BP:$BP,0)+10,3)),"")</f>
        <v/>
      </c>
      <c r="F16" s="13"/>
    </row>
    <row r="17" spans="1:6">
      <c r="A17" s="13" t="str">
        <f t="array" aca="1" ref="A17" ca="1">IFERROR(INDEX(Projektname,SMALL(IF(FREQUENCY(IF(Projektname&lt;&gt;"",MATCH(Projektname,Projektname,0)),ROW(Projektname)-ROW(Data!$A$4)+1),ROW(Projektname)-ROW(Data!$A$4)+1),ROWS(A$2:A17))),"")</f>
        <v/>
      </c>
      <c r="B17" s="13" t="str">
        <f t="array" aca="1" ref="B17" ca="1">IFERROR(INDEX(Projektname_ODW,MATCH(SMALL(COUNTIF(Projektname_ODW, "&lt;" &amp; Projektname_ODW),ROW(16:16)),COUNTIF(Projektname_ODW, "&lt;" &amp; Projektname_ODW),0)),"")</f>
        <v/>
      </c>
      <c r="C17" s="13" t="str">
        <f ca="1">IFERROR(IF(ROW(A17)-3&gt;COUNTIF(Data!$A:$A,Liste!$C$3),"",IF(INDEX(Tab_DaBa[],MATCH($C$3,Data!$A:$A,0)+11,2)="","",INDEX(Tab_DaBa[],MATCH($C$3,Data!$A:$A,0)+11,2))),"")</f>
        <v>2. test2</v>
      </c>
      <c r="D17" s="13" t="str">
        <f t="array" aca="1" ref="D17" ca="1">IFERROR(INDEX($C$4:$C$200,SMALL(IF(FREQUENCY(IF($C$4:$C$200&lt;&gt;"",MATCH($C$4:$C$200,$C$4:$C$200,0)),ROW($C$4:$C$200)-ROW($C$4)+1),ROW($C$4:$C$200)-ROW($C$4)+1),ROWS(D$2:D15))),"")</f>
        <v>14. Test14</v>
      </c>
      <c r="E17" s="13" t="str">
        <f ca="1">IFERROR(IF(ROW(A17)-3&gt;COUNTIF(Data!$BP:$BP,CONCATENATE(Liste!$C$3,$E$3)),"",INDEX(Tab_DaBa[],MATCH(CONCATENATE($C$3,$E$3),Data!$BP:$BP,0)+11,3)),"")</f>
        <v/>
      </c>
      <c r="F17" s="13"/>
    </row>
    <row r="18" spans="1:6">
      <c r="A18" s="13" t="str">
        <f t="array" aca="1" ref="A18" ca="1">IFERROR(INDEX(Projektname,SMALL(IF(FREQUENCY(IF(Projektname&lt;&gt;"",MATCH(Projektname,Projektname,0)),ROW(Projektname)-ROW(Data!$A$4)+1),ROW(Projektname)-ROW(Data!$A$4)+1),ROWS(A$2:A18))),"")</f>
        <v/>
      </c>
      <c r="B18" s="13" t="str">
        <f t="array" aca="1" ref="B18" ca="1">IFERROR(INDEX(Projektname_ODW,MATCH(SMALL(COUNTIF(Projektname_ODW, "&lt;" &amp; Projektname_ODW),ROW(17:17)),COUNTIF(Projektname_ODW, "&lt;" &amp; Projektname_ODW),0)),"")</f>
        <v/>
      </c>
      <c r="C18" s="13" t="str">
        <f ca="1">IFERROR(IF(ROW(A18)-3&gt;COUNTIF(Data!$A:$A,Liste!$C$3),"",IF(INDEX(Tab_DaBa[],MATCH($C$3,Data!$A:$A,0)+12,2)="","",INDEX(Tab_DaBa[],MATCH($C$3,Data!$A:$A,0)+12,2))),"")</f>
        <v>2. test2</v>
      </c>
      <c r="D18" s="13" t="str">
        <f t="array" aca="1" ref="D18" ca="1">IFERROR(INDEX($C$4:$C$200,SMALL(IF(FREQUENCY(IF($C$4:$C$200&lt;&gt;"",MATCH($C$4:$C$200,$C$4:$C$200,0)),ROW($C$4:$C$200)-ROW($C$4)+1),ROW($C$4:$C$200)-ROW($C$4)+1),ROWS(D$2:D16))),"")</f>
        <v>15. Test15</v>
      </c>
      <c r="E18" s="13" t="str">
        <f ca="1">IFERROR(IF(ROW(A18)-3&gt;COUNTIF(Data!$BP:$BP,CONCATENATE(Liste!$C$3,$E$3)),"",INDEX(Tab_DaBa[],MATCH(CONCATENATE($C$3,$E$3),Data!$BP:$BP,0)+12,3)),"")</f>
        <v/>
      </c>
      <c r="F18" s="13"/>
    </row>
    <row r="19" spans="1:6">
      <c r="A19" s="13" t="str">
        <f t="array" aca="1" ref="A19" ca="1">IFERROR(INDEX(Projektname,SMALL(IF(FREQUENCY(IF(Projektname&lt;&gt;"",MATCH(Projektname,Projektname,0)),ROW(Projektname)-ROW(Data!$A$4)+1),ROW(Projektname)-ROW(Data!$A$4)+1),ROWS(A$2:A19))),"")</f>
        <v/>
      </c>
      <c r="B19" s="13" t="str">
        <f t="array" aca="1" ref="B19" ca="1">IFERROR(INDEX(Projektname_ODW,MATCH(SMALL(COUNTIF(Projektname_ODW, "&lt;" &amp; Projektname_ODW),ROW(18:18)),COUNTIF(Projektname_ODW, "&lt;" &amp; Projektname_ODW),0)),"")</f>
        <v/>
      </c>
      <c r="C19" s="13" t="str">
        <f ca="1">IFERROR(IF(ROW(A19)-3&gt;COUNTIF(Data!$A:$A,Liste!$C$3),"",IF(INDEX(Tab_DaBa[],MATCH($C$3,Data!$A:$A,0)+13,2)="","",INDEX(Tab_DaBa[],MATCH($C$3,Data!$A:$A,0)+13,2))),"")</f>
        <v>2. test2</v>
      </c>
      <c r="D19" s="13" t="str">
        <f t="array" aca="1" ref="D19" ca="1">IFERROR(INDEX($C$4:$C$200,SMALL(IF(FREQUENCY(IF($C$4:$C$200&lt;&gt;"",MATCH($C$4:$C$200,$C$4:$C$200,0)),ROW($C$4:$C$200)-ROW($C$4)+1),ROW($C$4:$C$200)-ROW($C$4)+1),ROWS(D$2:D17))),"")</f>
        <v>16. Test16</v>
      </c>
      <c r="E19" s="13" t="str">
        <f ca="1">IFERROR(IF(ROW(A19)-3&gt;COUNTIF(Data!$BP:$BP,CONCATENATE(Liste!$C$3,$E$3)),"",INDEX(Tab_DaBa[],MATCH(CONCATENATE($C$3,$E$3),Data!$BP:$BP,0)+13,3)),"")</f>
        <v/>
      </c>
      <c r="F19" s="13"/>
    </row>
    <row r="20" spans="1:6">
      <c r="A20" s="13" t="str">
        <f t="array" aca="1" ref="A20" ca="1">IFERROR(INDEX(Projektname,SMALL(IF(FREQUENCY(IF(Projektname&lt;&gt;"",MATCH(Projektname,Projektname,0)),ROW(Projektname)-ROW(Data!$A$4)+1),ROW(Projektname)-ROW(Data!$A$4)+1),ROWS(A$2:A20))),"")</f>
        <v/>
      </c>
      <c r="B20" s="13" t="str">
        <f t="array" aca="1" ref="B20" ca="1">IFERROR(INDEX(Projektname_ODW,MATCH(SMALL(COUNTIF(Projektname_ODW, "&lt;" &amp; Projektname_ODW),ROW(19:19)),COUNTIF(Projektname_ODW, "&lt;" &amp; Projektname_ODW),0)),"")</f>
        <v/>
      </c>
      <c r="C20" s="13" t="str">
        <f ca="1">IFERROR(IF(ROW(A20)-3&gt;COUNTIF(Data!$A:$A,Liste!$C$3),"",IF(INDEX(Tab_DaBa[],MATCH($C$3,Data!$A:$A,0)+14,2)="","",INDEX(Tab_DaBa[],MATCH($C$3,Data!$A:$A,0)+14,2))),"")</f>
        <v>2. test2</v>
      </c>
      <c r="D20" s="13" t="str">
        <f t="array" aca="1" ref="D20" ca="1">IFERROR(INDEX($C$4:$C$200,SMALL(IF(FREQUENCY(IF($C$4:$C$200&lt;&gt;"",MATCH($C$4:$C$200,$C$4:$C$200,0)),ROW($C$4:$C$200)-ROW($C$4)+1),ROW($C$4:$C$200)-ROW($C$4)+1),ROWS(D$2:D18))),"")</f>
        <v/>
      </c>
      <c r="E20" s="13" t="str">
        <f ca="1">IFERROR(IF(ROW(A20)-3&gt;COUNTIF(Data!$BP:$BP,CONCATENATE(Liste!$C$3,$E$3)),"",INDEX(Tab_DaBa[],MATCH(CONCATENATE($C$3,$E$3),Data!$BP:$BP,0)+14,3)),"")</f>
        <v/>
      </c>
      <c r="F20" s="13"/>
    </row>
    <row r="21" spans="1:6">
      <c r="A21" s="13" t="str">
        <f t="array" aca="1" ref="A21" ca="1">IFERROR(INDEX(Projektname,SMALL(IF(FREQUENCY(IF(Projektname&lt;&gt;"",MATCH(Projektname,Projektname,0)),ROW(Projektname)-ROW(Data!$A$4)+1),ROW(Projektname)-ROW(Data!$A$4)+1),ROWS(A$2:A21))),"")</f>
        <v/>
      </c>
      <c r="B21" s="13" t="str">
        <f t="array" aca="1" ref="B21" ca="1">IFERROR(INDEX(Projektname_ODW,MATCH(SMALL(COUNTIF(Projektname_ODW, "&lt;" &amp; Projektname_ODW),ROW(20:20)),COUNTIF(Projektname_ODW, "&lt;" &amp; Projektname_ODW),0)),"")</f>
        <v/>
      </c>
      <c r="C21" s="13" t="str">
        <f ca="1">IFERROR(IF(ROW(A21)-3&gt;COUNTIF(Data!$A:$A,Liste!$C$3),"",IF(INDEX(Tab_DaBa[],MATCH($C$3,Data!$A:$A,0)+15,2)="","",INDEX(Tab_DaBa[],MATCH($C$3,Data!$A:$A,0)+15,2))),"")</f>
        <v>2. test2</v>
      </c>
      <c r="D21" s="13" t="str">
        <f t="array" aca="1" ref="D21" ca="1">IFERROR(INDEX($C$4:$C$200,SMALL(IF(FREQUENCY(IF($C$4:$C$200&lt;&gt;"",MATCH($C$4:$C$200,$C$4:$C$200,0)),ROW($C$4:$C$200)-ROW($C$4)+1),ROW($C$4:$C$200)-ROW($C$4)+1),ROWS(D$2:D19))),"")</f>
        <v/>
      </c>
      <c r="E21" s="13" t="str">
        <f ca="1">IFERROR(IF(ROW(A21)-3&gt;COUNTIF(Data!$BP:$BP,CONCATENATE(Liste!$C$3,$E$3)),"",INDEX(Tab_DaBa[],MATCH(CONCATENATE($C$3,$E$3),Data!$BP:$BP,0)+15,3)),"")</f>
        <v/>
      </c>
      <c r="F21" s="13"/>
    </row>
    <row r="22" spans="1:6">
      <c r="A22" s="13" t="str">
        <f t="array" aca="1" ref="A22" ca="1">IFERROR(INDEX(Projektname,SMALL(IF(FREQUENCY(IF(Projektname&lt;&gt;"",MATCH(Projektname,Projektname,0)),ROW(Projektname)-ROW(Data!$A$4)+1),ROW(Projektname)-ROW(Data!$A$4)+1),ROWS(A$2:A22))),"")</f>
        <v/>
      </c>
      <c r="B22" s="13" t="str">
        <f t="array" aca="1" ref="B22" ca="1">IFERROR(INDEX(Projektname_ODW,MATCH(SMALL(COUNTIF(Projektname_ODW, "&lt;" &amp; Projektname_ODW),ROW(21:21)),COUNTIF(Projektname_ODW, "&lt;" &amp; Projektname_ODW),0)),"")</f>
        <v/>
      </c>
      <c r="C22" s="13" t="str">
        <f ca="1">IFERROR(IF(ROW(A22)-3&gt;COUNTIF(Data!$A:$A,Liste!$C$3),"",IF(INDEX(Tab_DaBa[],MATCH($C$3,Data!$A:$A,0)+16,2)="","",INDEX(Tab_DaBa[],MATCH($C$3,Data!$A:$A,0)+16,2))),"")</f>
        <v>2. test2</v>
      </c>
      <c r="D22" s="13" t="str">
        <f t="array" aca="1" ref="D22" ca="1">IFERROR(INDEX($C$4:$C$200,SMALL(IF(FREQUENCY(IF($C$4:$C$200&lt;&gt;"",MATCH($C$4:$C$200,$C$4:$C$200,0)),ROW($C$4:$C$200)-ROW($C$4)+1),ROW($C$4:$C$200)-ROW($C$4)+1),ROWS(D$2:D20))),"")</f>
        <v/>
      </c>
      <c r="E22" s="13" t="str">
        <f ca="1">IFERROR(IF(ROW(A22)-3&gt;COUNTIF(Data!$BP:$BP,CONCATENATE(Liste!$C$3,$E$3)),"",INDEX(Tab_DaBa[],MATCH(CONCATENATE($C$3,$E$3),Data!$BP:$BP,0)+16,3)),"")</f>
        <v/>
      </c>
      <c r="F22" s="13"/>
    </row>
    <row r="23" spans="1:6">
      <c r="A23" s="13" t="str">
        <f t="array" aca="1" ref="A23" ca="1">IFERROR(INDEX(Projektname,SMALL(IF(FREQUENCY(IF(Projektname&lt;&gt;"",MATCH(Projektname,Projektname,0)),ROW(Projektname)-ROW(Data!$A$4)+1),ROW(Projektname)-ROW(Data!$A$4)+1),ROWS(A$2:A23))),"")</f>
        <v/>
      </c>
      <c r="B23" s="13" t="str">
        <f t="array" aca="1" ref="B23" ca="1">IFERROR(INDEX(Projektname_ODW,MATCH(SMALL(COUNTIF(Projektname_ODW, "&lt;" &amp; Projektname_ODW),ROW(22:22)),COUNTIF(Projektname_ODW, "&lt;" &amp; Projektname_ODW),0)),"")</f>
        <v/>
      </c>
      <c r="C23" s="13" t="str">
        <f ca="1">IFERROR(IF(ROW(A23)-3&gt;COUNTIF(Data!$A:$A,Liste!$C$3),"",IF(INDEX(Tab_DaBa[],MATCH($C$3,Data!$A:$A,0)+17,2)="","",INDEX(Tab_DaBa[],MATCH($C$3,Data!$A:$A,0)+17,2))),"")</f>
        <v>2. test2</v>
      </c>
      <c r="D23" s="13" t="str">
        <f t="array" aca="1" ref="D23" ca="1">IFERROR(INDEX($C$4:$C$200,SMALL(IF(FREQUENCY(IF($C$4:$C$200&lt;&gt;"",MATCH($C$4:$C$200,$C$4:$C$200,0)),ROW($C$4:$C$200)-ROW($C$4)+1),ROW($C$4:$C$200)-ROW($C$4)+1),ROWS(D$2:D21))),"")</f>
        <v/>
      </c>
      <c r="E23" s="13" t="str">
        <f ca="1">IFERROR(IF(ROW(A23)-3&gt;COUNTIF(Data!$BP:$BP,CONCATENATE(Liste!$C$3,$E$3)),"",INDEX(Tab_DaBa[],MATCH(CONCATENATE($C$3,$E$3),Data!$BP:$BP,0)+17,3)),"")</f>
        <v/>
      </c>
      <c r="F23" s="13"/>
    </row>
    <row r="24" spans="1:6">
      <c r="A24" s="13" t="str">
        <f t="array" aca="1" ref="A24" ca="1">IFERROR(INDEX(Projektname,SMALL(IF(FREQUENCY(IF(Projektname&lt;&gt;"",MATCH(Projektname,Projektname,0)),ROW(Projektname)-ROW(Data!$A$4)+1),ROW(Projektname)-ROW(Data!$A$4)+1),ROWS(A$2:A24))),"")</f>
        <v/>
      </c>
      <c r="B24" s="13" t="str">
        <f t="array" aca="1" ref="B24" ca="1">IFERROR(INDEX(Projektname_ODW,MATCH(SMALL(COUNTIF(Projektname_ODW, "&lt;" &amp; Projektname_ODW),ROW(23:23)),COUNTIF(Projektname_ODW, "&lt;" &amp; Projektname_ODW),0)),"")</f>
        <v/>
      </c>
      <c r="C24" s="13" t="str">
        <f ca="1">IFERROR(IF(ROW(A24)-3&gt;COUNTIF(Data!$A:$A,Liste!$C$3),"",IF(INDEX(Tab_DaBa[],MATCH($C$3,Data!$A:$A,0)+18,2)="","",INDEX(Tab_DaBa[],MATCH($C$3,Data!$A:$A,0)+18,2))),"")</f>
        <v>2. test2</v>
      </c>
      <c r="D24" s="13" t="str">
        <f t="array" aca="1" ref="D24" ca="1">IFERROR(INDEX($C$4:$C$200,SMALL(IF(FREQUENCY(IF($C$4:$C$200&lt;&gt;"",MATCH($C$4:$C$200,$C$4:$C$200,0)),ROW($C$4:$C$200)-ROW($C$4)+1),ROW($C$4:$C$200)-ROW($C$4)+1),ROWS(D$2:D22))),"")</f>
        <v/>
      </c>
      <c r="E24" s="13" t="str">
        <f ca="1">IFERROR(IF(ROW(A24)-3&gt;COUNTIF(Data!$BP:$BP,CONCATENATE(Liste!$C$3,$E$3)),"",INDEX(Tab_DaBa[],MATCH(CONCATENATE($C$3,$E$3),Data!$BP:$BP,0)+18,3)),"")</f>
        <v/>
      </c>
      <c r="F24" s="13"/>
    </row>
    <row r="25" spans="1:6">
      <c r="A25" s="13" t="str">
        <f t="array" aca="1" ref="A25" ca="1">IFERROR(INDEX(Projektname,SMALL(IF(FREQUENCY(IF(Projektname&lt;&gt;"",MATCH(Projektname,Projektname,0)),ROW(Projektname)-ROW(Data!$A$4)+1),ROW(Projektname)-ROW(Data!$A$4)+1),ROWS(A$2:A25))),"")</f>
        <v/>
      </c>
      <c r="B25" s="13" t="str">
        <f t="array" aca="1" ref="B25" ca="1">IFERROR(INDEX(Projektname_ODW,MATCH(SMALL(COUNTIF(Projektname_ODW, "&lt;" &amp; Projektname_ODW),ROW(24:24)),COUNTIF(Projektname_ODW, "&lt;" &amp; Projektname_ODW),0)),"")</f>
        <v/>
      </c>
      <c r="C25" s="13" t="str">
        <f ca="1">IFERROR(IF(ROW(A25)-3&gt;COUNTIF(Data!$A:$A,Liste!$C$3),"",IF(INDEX(Tab_DaBa[],MATCH($C$3,Data!$A:$A,0)+19,2)="","",INDEX(Tab_DaBa[],MATCH($C$3,Data!$A:$A,0)+19,2))),"")</f>
        <v>3. Test3</v>
      </c>
      <c r="D25" s="13" t="str">
        <f t="array" aca="1" ref="D25" ca="1">IFERROR(INDEX($C$4:$C$200,SMALL(IF(FREQUENCY(IF($C$4:$C$200&lt;&gt;"",MATCH($C$4:$C$200,$C$4:$C$200,0)),ROW($C$4:$C$200)-ROW($C$4)+1),ROW($C$4:$C$200)-ROW($C$4)+1),ROWS(D$2:D23))),"")</f>
        <v/>
      </c>
      <c r="E25" s="13" t="str">
        <f ca="1">IFERROR(IF(ROW(A25)-3&gt;COUNTIF(Data!$BP:$BP,CONCATENATE(Liste!$C$3,$E$3)),"",INDEX(Tab_DaBa[],MATCH(CONCATENATE($C$3,$E$3),Data!$BP:$BP,0)+19,3)),"")</f>
        <v/>
      </c>
      <c r="F25" s="13"/>
    </row>
    <row r="26" spans="1:6">
      <c r="A26" s="13" t="str">
        <f t="array" aca="1" ref="A26" ca="1">IFERROR(INDEX(Projektname,SMALL(IF(FREQUENCY(IF(Projektname&lt;&gt;"",MATCH(Projektname,Projektname,0)),ROW(Projektname)-ROW(Data!$A$4)+1),ROW(Projektname)-ROW(Data!$A$4)+1),ROWS(A$2:A26))),"")</f>
        <v/>
      </c>
      <c r="B26" s="13" t="str">
        <f t="array" aca="1" ref="B26" ca="1">IFERROR(INDEX(Projektname_ODW,MATCH(SMALL(COUNTIF(Projektname_ODW, "&lt;" &amp; Projektname_ODW),ROW(25:25)),COUNTIF(Projektname_ODW, "&lt;" &amp; Projektname_ODW),0)),"")</f>
        <v/>
      </c>
      <c r="C26" s="13" t="str">
        <f ca="1">IFERROR(IF(ROW(A26)-3&gt;COUNTIF(Data!$A:$A,Liste!$C$3),"",IF(INDEX(Tab_DaBa[],MATCH($C$3,Data!$A:$A,0)+20,2)="","",INDEX(Tab_DaBa[],MATCH($C$3,Data!$A:$A,0)+20,2))),"")</f>
        <v>3. Test3</v>
      </c>
      <c r="D26" s="13" t="str">
        <f t="array" aca="1" ref="D26" ca="1">IFERROR(INDEX($C$4:$C$200,SMALL(IF(FREQUENCY(IF($C$4:$C$200&lt;&gt;"",MATCH($C$4:$C$200,$C$4:$C$200,0)),ROW($C$4:$C$200)-ROW($C$4)+1),ROW($C$4:$C$200)-ROW($C$4)+1),ROWS(D$2:D24))),"")</f>
        <v/>
      </c>
      <c r="E26" s="13" t="str">
        <f ca="1">IFERROR(IF(ROW(A26)-3&gt;COUNTIF(Data!$BP:$BP,CONCATENATE(Liste!$C$3,$E$3)),"",INDEX(Tab_DaBa[],MATCH(CONCATENATE($C$3,$E$3),Data!$BP:$BP,0)+20,3)),"")</f>
        <v/>
      </c>
      <c r="F26" s="13"/>
    </row>
    <row r="27" spans="1:6">
      <c r="A27" s="13" t="str">
        <f t="array" aca="1" ref="A27" ca="1">IFERROR(INDEX(Projektname,SMALL(IF(FREQUENCY(IF(Projektname&lt;&gt;"",MATCH(Projektname,Projektname,0)),ROW(Projektname)-ROW(Data!$A$4)+1),ROW(Projektname)-ROW(Data!$A$4)+1),ROWS(A$2:A27))),"")</f>
        <v/>
      </c>
      <c r="B27" s="13" t="str">
        <f t="array" aca="1" ref="B27" ca="1">IFERROR(INDEX(Projektname_ODW,MATCH(SMALL(COUNTIF(Projektname_ODW, "&lt;" &amp; Projektname_ODW),ROW(26:26)),COUNTIF(Projektname_ODW, "&lt;" &amp; Projektname_ODW),0)),"")</f>
        <v/>
      </c>
      <c r="C27" s="13" t="str">
        <f ca="1">IFERROR(IF(ROW(A27)-3&gt;COUNTIF(Data!$A:$A,Liste!$C$3),"",IF(INDEX(Tab_DaBa[],MATCH($C$3,Data!$A:$A,0)+21,2)="","",INDEX(Tab_DaBa[],MATCH($C$3,Data!$A:$A,0)+21,2))),"")</f>
        <v>3. Test3</v>
      </c>
      <c r="D27" s="13" t="str">
        <f t="array" aca="1" ref="D27" ca="1">IFERROR(INDEX($C$4:$C$200,SMALL(IF(FREQUENCY(IF($C$4:$C$200&lt;&gt;"",MATCH($C$4:$C$200,$C$4:$C$200,0)),ROW($C$4:$C$200)-ROW($C$4)+1),ROW($C$4:$C$200)-ROW($C$4)+1),ROWS(D$2:D25))),"")</f>
        <v/>
      </c>
      <c r="E27" s="13" t="str">
        <f ca="1">IFERROR(IF(ROW(A27)-3&gt;COUNTIF(Data!$BP:$BP,CONCATENATE(Liste!$C$3,$E$3)),"",INDEX(Tab_DaBa[],MATCH(CONCATENATE($C$3,$E$3),Data!$BP:$BP,0)+21,3)),"")</f>
        <v/>
      </c>
      <c r="F27" s="13"/>
    </row>
    <row r="28" spans="1:6">
      <c r="A28" s="13" t="str">
        <f t="array" aca="1" ref="A28" ca="1">IFERROR(INDEX(Projektname,SMALL(IF(FREQUENCY(IF(Projektname&lt;&gt;"",MATCH(Projektname,Projektname,0)),ROW(Projektname)-ROW(Data!$A$4)+1),ROW(Projektname)-ROW(Data!$A$4)+1),ROWS(A$2:A28))),"")</f>
        <v/>
      </c>
      <c r="B28" s="13" t="str">
        <f t="array" aca="1" ref="B28" ca="1">IFERROR(INDEX(Projektname_ODW,MATCH(SMALL(COUNTIF(Projektname_ODW, "&lt;" &amp; Projektname_ODW),ROW(27:27)),COUNTIF(Projektname_ODW, "&lt;" &amp; Projektname_ODW),0)),"")</f>
        <v/>
      </c>
      <c r="C28" s="13" t="str">
        <f ca="1">IFERROR(IF(ROW(A28)-3&gt;COUNTIF(Data!$A:$A,Liste!$C$3),"",IF(INDEX(Tab_DaBa[],MATCH($C$3,Data!$A:$A,0)+22,2)="","",INDEX(Tab_DaBa[],MATCH($C$3,Data!$A:$A,0)+22,2))),"")</f>
        <v>3. Test3</v>
      </c>
      <c r="D28" s="13" t="str">
        <f t="array" aca="1" ref="D28" ca="1">IFERROR(INDEX($C$4:$C$200,SMALL(IF(FREQUENCY(IF($C$4:$C$200&lt;&gt;"",MATCH($C$4:$C$200,$C$4:$C$200,0)),ROW($C$4:$C$200)-ROW($C$4)+1),ROW($C$4:$C$200)-ROW($C$4)+1),ROWS(D$2:D26))),"")</f>
        <v/>
      </c>
      <c r="E28" s="13" t="str">
        <f ca="1">IFERROR(IF(ROW(A28)-3&gt;COUNTIF(Data!$BP:$BP,CONCATENATE(Liste!$C$3,$E$3)),"",INDEX(Tab_DaBa[],MATCH(CONCATENATE($C$3,$E$3),Data!$BP:$BP,0)+22,3)),"")</f>
        <v/>
      </c>
      <c r="F28" s="13"/>
    </row>
    <row r="29" spans="1:6">
      <c r="A29" s="13" t="str">
        <f t="array" aca="1" ref="A29" ca="1">IFERROR(INDEX(Projektname,SMALL(IF(FREQUENCY(IF(Projektname&lt;&gt;"",MATCH(Projektname,Projektname,0)),ROW(Projektname)-ROW(Data!$A$4)+1),ROW(Projektname)-ROW(Data!$A$4)+1),ROWS(A$2:A29))),"")</f>
        <v/>
      </c>
      <c r="B29" s="13" t="str">
        <f t="array" aca="1" ref="B29" ca="1">IFERROR(INDEX(Projektname_ODW,MATCH(SMALL(COUNTIF(Projektname_ODW, "&lt;" &amp; Projektname_ODW),ROW(28:28)),COUNTIF(Projektname_ODW, "&lt;" &amp; Projektname_ODW),0)),"")</f>
        <v/>
      </c>
      <c r="C29" s="13" t="str">
        <f ca="1">IFERROR(IF(ROW(A29)-3&gt;COUNTIF(Data!$A:$A,Liste!$C$3),"",IF(INDEX(Tab_DaBa[],MATCH($C$3,Data!$A:$A,0)+23,2)="","",INDEX(Tab_DaBa[],MATCH($C$3,Data!$A:$A,0)+23,2))),"")</f>
        <v>3. Test3</v>
      </c>
      <c r="D29" s="13" t="str">
        <f t="array" aca="1" ref="D29" ca="1">IFERROR(INDEX($C$4:$C$200,SMALL(IF(FREQUENCY(IF($C$4:$C$200&lt;&gt;"",MATCH($C$4:$C$200,$C$4:$C$200,0)),ROW($C$4:$C$200)-ROW($C$4)+1),ROW($C$4:$C$200)-ROW($C$4)+1),ROWS(D$2:D27))),"")</f>
        <v/>
      </c>
      <c r="E29" s="13" t="str">
        <f ca="1">IFERROR(IF(ROW(#REF!)-3&gt;COUNTIF(Data!$BP:$BP,CONCATENATE(Liste!$C$3,$E$3)),"",INDEX(Tab_DaBa[],MATCH(CONCATENATE($C$3,$E$3),Data!$BP:$BP,0)+23,3)),"")</f>
        <v/>
      </c>
      <c r="F29" s="13"/>
    </row>
    <row r="30" spans="1:6">
      <c r="A30" s="13" t="str">
        <f t="array" aca="1" ref="A30" ca="1">IFERROR(INDEX(Projektname,SMALL(IF(FREQUENCY(IF(Projektname&lt;&gt;"",MATCH(Projektname,Projektname,0)),ROW(Projektname)-ROW(Data!$A$4)+1),ROW(Projektname)-ROW(Data!$A$4)+1),ROWS(A$2:A30))),"")</f>
        <v/>
      </c>
      <c r="B30" s="13" t="str">
        <f t="array" aca="1" ref="B30" ca="1">IFERROR(INDEX(Projektname_ODW,MATCH(SMALL(COUNTIF(Projektname_ODW, "&lt;" &amp; Projektname_ODW),ROW(29:29)),COUNTIF(Projektname_ODW, "&lt;" &amp; Projektname_ODW),0)),"")</f>
        <v/>
      </c>
      <c r="C30" s="13" t="str">
        <f ca="1">IFERROR(IF(ROW(A30)-3&gt;COUNTIF(Data!$A:$A,Liste!$C$3),"",IF(INDEX(Tab_DaBa[],MATCH($C$3,Data!$A:$A,0)+24,2)="","",INDEX(Tab_DaBa[],MATCH($C$3,Data!$A:$A,0)+24,2))),"")</f>
        <v>3. Test3</v>
      </c>
      <c r="D30" s="1"/>
      <c r="E30" s="1"/>
      <c r="F30" s="1"/>
    </row>
    <row r="31" spans="1:6">
      <c r="A31" s="13" t="str">
        <f t="array" aca="1" ref="A31" ca="1">IFERROR(INDEX(Projektname,SMALL(IF(FREQUENCY(IF(Projektname&lt;&gt;"",MATCH(Projektname,Projektname,0)),ROW(Projektname)-ROW(Data!$A$4)+1),ROW(Projektname)-ROW(Data!$A$4)+1),ROWS(A$2:A31))),"")</f>
        <v/>
      </c>
      <c r="B31" s="13" t="str">
        <f t="array" aca="1" ref="B31" ca="1">IFERROR(INDEX(Projektname_ODW,MATCH(SMALL(COUNTIF(Projektname_ODW, "&lt;" &amp; Projektname_ODW),ROW(30:30)),COUNTIF(Projektname_ODW, "&lt;" &amp; Projektname_ODW),0)),"")</f>
        <v/>
      </c>
      <c r="C31" s="13" t="str">
        <f ca="1">IFERROR(IF(ROW(A31)-3&gt;COUNTIF(Data!$A:$A,Liste!$C$3),"",IF(INDEX(Tab_DaBa[],MATCH($C$3,Data!$A:$A,0)+25,2)="","",INDEX(Tab_DaBa[],MATCH($C$3,Data!$A:$A,0)+25,2))),"")</f>
        <v>3. Test3</v>
      </c>
      <c r="D31" s="1"/>
      <c r="E31" s="1"/>
    </row>
    <row r="32" spans="1:6">
      <c r="A32" s="13" t="str">
        <f t="array" aca="1" ref="A32" ca="1">IFERROR(INDEX(Projektname,SMALL(IF(FREQUENCY(IF(Projektname&lt;&gt;"",MATCH(Projektname,Projektname,0)),ROW(Projektname)-ROW(Data!$A$4)+1),ROW(Projektname)-ROW(Data!$A$4)+1),ROWS(A$2:A32))),"")</f>
        <v/>
      </c>
      <c r="B32" s="13" t="str">
        <f t="array" aca="1" ref="B32" ca="1">IFERROR(INDEX(Projektname_ODW,MATCH(SMALL(COUNTIF(Projektname_ODW, "&lt;" &amp; Projektname_ODW),ROW(31:31)),COUNTIF(Projektname_ODW, "&lt;" &amp; Projektname_ODW),0)),"")</f>
        <v/>
      </c>
      <c r="C32" s="13" t="str">
        <f ca="1">IFERROR(IF(ROW(A32)-3&gt;COUNTIF(Data!$A:$A,Liste!$C$3),"",IF(INDEX(Tab_DaBa[],MATCH($C$3,Data!$A:$A,0)+26,2)="","",INDEX(Tab_DaBa[],MATCH($C$3,Data!$A:$A,0)+26,2))),"")</f>
        <v>3. Test3</v>
      </c>
      <c r="D32" s="1"/>
      <c r="E32" s="1"/>
    </row>
    <row r="33" spans="1:5">
      <c r="A33" s="13" t="str">
        <f t="array" aca="1" ref="A33" ca="1">IFERROR(INDEX(Projektname,SMALL(IF(FREQUENCY(IF(Projektname&lt;&gt;"",MATCH(Projektname,Projektname,0)),ROW(Projektname)-ROW(Data!$A$4)+1),ROW(Projektname)-ROW(Data!$A$4)+1),ROWS(A$2:A33))),"")</f>
        <v/>
      </c>
      <c r="B33" s="13" t="str">
        <f t="array" aca="1" ref="B33" ca="1">IFERROR(INDEX(Projektname_ODW,MATCH(SMALL(COUNTIF(Projektname_ODW, "&lt;" &amp; Projektname_ODW),ROW(32:32)),COUNTIF(Projektname_ODW, "&lt;" &amp; Projektname_ODW),0)),"")</f>
        <v/>
      </c>
      <c r="C33" s="13" t="str">
        <f ca="1">IFERROR(IF(ROW(A33)-3&gt;COUNTIF(Data!$A:$A,Liste!$C$3),"",IF(INDEX(Tab_DaBa[],MATCH($C$3,Data!$A:$A,0)+27,2)="","",INDEX(Tab_DaBa[],MATCH($C$3,Data!$A:$A,0)+27,2))),"")</f>
        <v>3. Test3</v>
      </c>
      <c r="D33" s="1"/>
      <c r="E33" s="1"/>
    </row>
    <row r="34" spans="1:5">
      <c r="A34" s="13" t="str">
        <f t="array" aca="1" ref="A34" ca="1">IFERROR(INDEX(Projektname,SMALL(IF(FREQUENCY(IF(Projektname&lt;&gt;"",MATCH(Projektname,Projektname,0)),ROW(Projektname)-ROW(Data!$A$4)+1),ROW(Projektname)-ROW(Data!$A$4)+1),ROWS(A$2:A34))),"")</f>
        <v/>
      </c>
      <c r="B34" s="13" t="str">
        <f t="array" aca="1" ref="B34" ca="1">IFERROR(INDEX(Projektname_ODW,MATCH(SMALL(COUNTIF(Projektname_ODW, "&lt;" &amp; Projektname_ODW),ROW(33:33)),COUNTIF(Projektname_ODW, "&lt;" &amp; Projektname_ODW),0)),"")</f>
        <v/>
      </c>
      <c r="C34" s="13" t="str">
        <f ca="1">IFERROR(IF(ROW(A34)-3&gt;COUNTIF(Data!$A:$A,Liste!$C$3),"",IF(INDEX(Tab_DaBa[],MATCH($C$3,Data!$A:$A,0)+28,2)="","",INDEX(Tab_DaBa[],MATCH($C$3,Data!$A:$A,0)+28,2))),"")</f>
        <v>3. Test3</v>
      </c>
      <c r="D34" s="1"/>
      <c r="E34" s="1"/>
    </row>
    <row r="35" spans="1:5">
      <c r="A35" s="13" t="str">
        <f t="array" aca="1" ref="A35" ca="1">IFERROR(INDEX(Projektname,SMALL(IF(FREQUENCY(IF(Projektname&lt;&gt;"",MATCH(Projektname,Projektname,0)),ROW(Projektname)-ROW(Data!$A$4)+1),ROW(Projektname)-ROW(Data!$A$4)+1),ROWS(A$2:A35))),"")</f>
        <v/>
      </c>
      <c r="B35" s="13" t="str">
        <f t="array" aca="1" ref="B35" ca="1">IFERROR(INDEX(Projektname_ODW,MATCH(SMALL(COUNTIF(Projektname_ODW, "&lt;" &amp; Projektname_ODW),ROW(34:34)),COUNTIF(Projektname_ODW, "&lt;" &amp; Projektname_ODW),0)),"")</f>
        <v/>
      </c>
      <c r="C35" s="13" t="str">
        <f ca="1">IFERROR(IF(ROW(A35)-3&gt;COUNTIF(Data!$A:$A,Liste!$C$3),"",IF(INDEX(Tab_DaBa[],MATCH($C$3,Data!$A:$A,0)+29,2)="","",INDEX(Tab_DaBa[],MATCH($C$3,Data!$A:$A,0)+29,2))),"")</f>
        <v>4. Test4</v>
      </c>
      <c r="D35" s="1"/>
      <c r="E35" s="1"/>
    </row>
    <row r="36" spans="1:5">
      <c r="A36" s="13" t="str">
        <f t="array" aca="1" ref="A36" ca="1">IFERROR(INDEX(Projektname,SMALL(IF(FREQUENCY(IF(Projektname&lt;&gt;"",MATCH(Projektname,Projektname,0)),ROW(Projektname)-ROW(Data!$A$4)+1),ROW(Projektname)-ROW(Data!$A$4)+1),ROWS(A$2:A36))),"")</f>
        <v/>
      </c>
      <c r="B36" s="13" t="str">
        <f t="array" aca="1" ref="B36" ca="1">IFERROR(INDEX(Projektname_ODW,MATCH(SMALL(COUNTIF(Projektname_ODW, "&lt;" &amp; Projektname_ODW),ROW(35:35)),COUNTIF(Projektname_ODW, "&lt;" &amp; Projektname_ODW),0)),"")</f>
        <v/>
      </c>
      <c r="C36" s="13" t="str">
        <f ca="1">IFERROR(IF(ROW(A36)-3&gt;COUNTIF(Data!$A:$A,Liste!$C$3),"",IF(INDEX(Tab_DaBa[],MATCH($C$3,Data!$A:$A,0)+30,2)="","",INDEX(Tab_DaBa[],MATCH($C$3,Data!$A:$A,0)+30,2))),"")</f>
        <v>4. Test4</v>
      </c>
    </row>
    <row r="37" spans="1:5">
      <c r="A37" s="13" t="str">
        <f t="array" aca="1" ref="A37" ca="1">IFERROR(INDEX(Projektname,SMALL(IF(FREQUENCY(IF(Projektname&lt;&gt;"",MATCH(Projektname,Projektname,0)),ROW(Projektname)-ROW(Data!$A$4)+1),ROW(Projektname)-ROW(Data!$A$4)+1),ROWS(A$2:A37))),"")</f>
        <v/>
      </c>
      <c r="B37" s="13" t="str">
        <f t="array" aca="1" ref="B37" ca="1">IFERROR(INDEX(Projektname_ODW,MATCH(SMALL(COUNTIF(Projektname_ODW, "&lt;" &amp; Projektname_ODW),ROW(36:36)),COUNTIF(Projektname_ODW, "&lt;" &amp; Projektname_ODW),0)),"")</f>
        <v/>
      </c>
      <c r="C37" s="13" t="str">
        <f ca="1">IFERROR(IF(ROW(A37)-3&gt;COUNTIF(Data!$A:$A,Liste!$C$3),"",IF(INDEX(Tab_DaBa[],MATCH($C$3,Data!$A:$A,0)+31,2)="","",INDEX(Tab_DaBa[],MATCH($C$3,Data!$A:$A,0)+31,2))),"")</f>
        <v>4. Test4</v>
      </c>
    </row>
    <row r="38" spans="1:5">
      <c r="A38" s="13" t="str">
        <f t="array" aca="1" ref="A38" ca="1">IFERROR(INDEX(Projektname,SMALL(IF(FREQUENCY(IF(Projektname&lt;&gt;"",MATCH(Projektname,Projektname,0)),ROW(Projektname)-ROW(Data!$A$4)+1),ROW(Projektname)-ROW(Data!$A$4)+1),ROWS(A$2:A38))),"")</f>
        <v/>
      </c>
      <c r="B38" s="13" t="str">
        <f t="array" aca="1" ref="B38" ca="1">IFERROR(INDEX(Projektname_ODW,MATCH(SMALL(COUNTIF(Projektname_ODW, "&lt;" &amp; Projektname_ODW),ROW(37:37)),COUNTIF(Projektname_ODW, "&lt;" &amp; Projektname_ODW),0)),"")</f>
        <v/>
      </c>
      <c r="C38" s="13" t="str">
        <f ca="1">IFERROR(IF(ROW(A38)-3&gt;COUNTIF(Data!$A:$A,Liste!$C$3),"",IF(INDEX(Tab_DaBa[],MATCH($C$3,Data!$A:$A,0)+32,2)="","",INDEX(Tab_DaBa[],MATCH($C$3,Data!$A:$A,0)+32,2))),"")</f>
        <v>4. Test4</v>
      </c>
    </row>
    <row r="39" spans="1:5">
      <c r="A39" s="13" t="str">
        <f t="array" aca="1" ref="A39" ca="1">IFERROR(INDEX(Projektname,SMALL(IF(FREQUENCY(IF(Projektname&lt;&gt;"",MATCH(Projektname,Projektname,0)),ROW(Projektname)-ROW(Data!$A$4)+1),ROW(Projektname)-ROW(Data!$A$4)+1),ROWS(A$2:A39))),"")</f>
        <v/>
      </c>
      <c r="B39" s="13" t="str">
        <f t="array" aca="1" ref="B39" ca="1">IFERROR(INDEX(Projektname_ODW,MATCH(SMALL(COUNTIF(Projektname_ODW, "&lt;" &amp; Projektname_ODW),ROW(38:38)),COUNTIF(Projektname_ODW, "&lt;" &amp; Projektname_ODW),0)),"")</f>
        <v/>
      </c>
      <c r="C39" s="13" t="str">
        <f ca="1">IFERROR(IF(ROW(A39)-3&gt;COUNTIF(Data!$A:$A,Liste!$C$3),"",IF(INDEX(Tab_DaBa[],MATCH($C$3,Data!$A:$A,0)+33,2)="","",INDEX(Tab_DaBa[],MATCH($C$3,Data!$A:$A,0)+33,2))),"")</f>
        <v>4. Test4</v>
      </c>
    </row>
    <row r="40" spans="1:5">
      <c r="A40" s="13" t="str">
        <f t="array" aca="1" ref="A40" ca="1">IFERROR(INDEX(Projektname,SMALL(IF(FREQUENCY(IF(Projektname&lt;&gt;"",MATCH(Projektname,Projektname,0)),ROW(Projektname)-ROW(Data!$A$4)+1),ROW(Projektname)-ROW(Data!$A$4)+1),ROWS(A$2:A40))),"")</f>
        <v/>
      </c>
      <c r="B40" s="13" t="str">
        <f t="array" aca="1" ref="B40" ca="1">IFERROR(INDEX(Projektname_ODW,MATCH(SMALL(COUNTIF(Projektname_ODW, "&lt;" &amp; Projektname_ODW),ROW(39:39)),COUNTIF(Projektname_ODW, "&lt;" &amp; Projektname_ODW),0)),"")</f>
        <v/>
      </c>
      <c r="C40" s="13" t="str">
        <f ca="1">IFERROR(IF(ROW(A40)-3&gt;COUNTIF(Data!$A:$A,Liste!$C$3),"",IF(INDEX(Tab_DaBa[],MATCH($C$3,Data!$A:$A,0)+34,2)="","",INDEX(Tab_DaBa[],MATCH($C$3,Data!$A:$A,0)+34,2))),"")</f>
        <v>4. Test4</v>
      </c>
    </row>
    <row r="41" spans="1:5">
      <c r="A41" s="13" t="str">
        <f t="array" aca="1" ref="A41" ca="1">IFERROR(INDEX(Projektname,SMALL(IF(FREQUENCY(IF(Projektname&lt;&gt;"",MATCH(Projektname,Projektname,0)),ROW(Projektname)-ROW(Data!$A$4)+1),ROW(Projektname)-ROW(Data!$A$4)+1),ROWS(A$2:A41))),"")</f>
        <v/>
      </c>
      <c r="B41" s="13" t="str">
        <f t="array" aca="1" ref="B41" ca="1">IFERROR(INDEX(Projektname_ODW,MATCH(SMALL(COUNTIF(Projektname_ODW, "&lt;" &amp; Projektname_ODW),ROW(40:40)),COUNTIF(Projektname_ODW, "&lt;" &amp; Projektname_ODW),0)),"")</f>
        <v/>
      </c>
      <c r="C41" s="13" t="str">
        <f ca="1">IFERROR(IF(ROW(A41)-3&gt;COUNTIF(Data!$A:$A,Liste!$C$3),"",IF(INDEX(Tab_DaBa[],MATCH($C$3,Data!$A:$A,0)+35,2)="","",INDEX(Tab_DaBa[],MATCH($C$3,Data!$A:$A,0)+35,2))),"")</f>
        <v>4. Test4</v>
      </c>
    </row>
    <row r="42" spans="1:5">
      <c r="A42" s="13" t="str">
        <f t="array" aca="1" ref="A42" ca="1">IFERROR(INDEX(Projektname,SMALL(IF(FREQUENCY(IF(Projektname&lt;&gt;"",MATCH(Projektname,Projektname,0)),ROW(Projektname)-ROW(Data!$A$4)+1),ROW(Projektname)-ROW(Data!$A$4)+1),ROWS(A$2:A42))),"")</f>
        <v/>
      </c>
      <c r="B42" s="13" t="str">
        <f t="array" aca="1" ref="B42" ca="1">IFERROR(INDEX(Projektname_ODW,MATCH(SMALL(COUNTIF(Projektname_ODW, "&lt;" &amp; Projektname_ODW),ROW(41:41)),COUNTIF(Projektname_ODW, "&lt;" &amp; Projektname_ODW),0)),"")</f>
        <v/>
      </c>
      <c r="C42" s="13" t="str">
        <f ca="1">IFERROR(IF(ROW(A42)-3&gt;COUNTIF(Data!$A:$A,Liste!$C$3),"",IF(INDEX(Tab_DaBa[],MATCH($C$3,Data!$A:$A,0)+36,2)="","",INDEX(Tab_DaBa[],MATCH($C$3,Data!$A:$A,0)+36,2))),"")</f>
        <v>4. Test4</v>
      </c>
    </row>
    <row r="43" spans="1:5">
      <c r="A43" s="13" t="str">
        <f t="array" aca="1" ref="A43" ca="1">IFERROR(INDEX(Projektname,SMALL(IF(FREQUENCY(IF(Projektname&lt;&gt;"",MATCH(Projektname,Projektname,0)),ROW(Projektname)-ROW(Data!$A$4)+1),ROW(Projektname)-ROW(Data!$A$4)+1),ROWS(A$2:A43))),"")</f>
        <v/>
      </c>
      <c r="B43" s="13" t="str">
        <f t="array" aca="1" ref="B43" ca="1">IFERROR(INDEX(Projektname_ODW,MATCH(SMALL(COUNTIF(Projektname_ODW, "&lt;" &amp; Projektname_ODW),ROW(42:42)),COUNTIF(Projektname_ODW, "&lt;" &amp; Projektname_ODW),0)),"")</f>
        <v/>
      </c>
      <c r="C43" s="13" t="str">
        <f ca="1">IFERROR(IF(ROW(A43)-3&gt;COUNTIF(Data!$A:$A,Liste!$C$3),"",IF(INDEX(Tab_DaBa[],MATCH($C$3,Data!$A:$A,0)+37,2)="","",INDEX(Tab_DaBa[],MATCH($C$3,Data!$A:$A,0)+37,2))),"")</f>
        <v>4. Test4</v>
      </c>
    </row>
    <row r="44" spans="1:5">
      <c r="A44" s="13" t="str">
        <f t="array" aca="1" ref="A44" ca="1">IFERROR(INDEX(Projektname,SMALL(IF(FREQUENCY(IF(Projektname&lt;&gt;"",MATCH(Projektname,Projektname,0)),ROW(Projektname)-ROW(Data!$A$4)+1),ROW(Projektname)-ROW(Data!$A$4)+1),ROWS(A$2:A44))),"")</f>
        <v/>
      </c>
      <c r="B44" s="13" t="str">
        <f t="array" aca="1" ref="B44" ca="1">IFERROR(INDEX(Projektname_ODW,MATCH(SMALL(COUNTIF(Projektname_ODW, "&lt;" &amp; Projektname_ODW),ROW(43:43)),COUNTIF(Projektname_ODW, "&lt;" &amp; Projektname_ODW),0)),"")</f>
        <v/>
      </c>
      <c r="C44" s="13" t="str">
        <f ca="1">IFERROR(IF(ROW(A44)-3&gt;COUNTIF(Data!$A:$A,Liste!$C$3),"",IF(INDEX(Tab_DaBa[],MATCH($C$3,Data!$A:$A,0)+38,2)="","",INDEX(Tab_DaBa[],MATCH($C$3,Data!$A:$A,0)+38,2))),"")</f>
        <v>4. Test4</v>
      </c>
    </row>
    <row r="45" spans="1:5">
      <c r="A45" s="13" t="str">
        <f t="array" aca="1" ref="A45" ca="1">IFERROR(INDEX(Projektname,SMALL(IF(FREQUENCY(IF(Projektname&lt;&gt;"",MATCH(Projektname,Projektname,0)),ROW(Projektname)-ROW(Data!$A$4)+1),ROW(Projektname)-ROW(Data!$A$4)+1),ROWS(A$2:A45))),"")</f>
        <v/>
      </c>
      <c r="B45" s="13" t="str">
        <f t="array" aca="1" ref="B45" ca="1">IFERROR(INDEX(Projektname_ODW,MATCH(SMALL(COUNTIF(Projektname_ODW, "&lt;" &amp; Projektname_ODW),ROW(44:44)),COUNTIF(Projektname_ODW, "&lt;" &amp; Projektname_ODW),0)),"")</f>
        <v/>
      </c>
      <c r="C45" s="13" t="str">
        <f ca="1">IFERROR(IF(ROW(A45)-3&gt;COUNTIF(Data!$A:$A,Liste!$C$3),"",IF(INDEX(Tab_DaBa[],MATCH($C$3,Data!$A:$A,0)+39,2)="","",INDEX(Tab_DaBa[],MATCH($C$3,Data!$A:$A,0)+39,2))),"")</f>
        <v>5. Test4</v>
      </c>
    </row>
    <row r="46" spans="1:5">
      <c r="A46" s="13" t="str">
        <f t="array" aca="1" ref="A46" ca="1">IFERROR(INDEX(Projektname,SMALL(IF(FREQUENCY(IF(Projektname&lt;&gt;"",MATCH(Projektname,Projektname,0)),ROW(Projektname)-ROW(Data!$A$4)+1),ROW(Projektname)-ROW(Data!$A$4)+1),ROWS(A$2:A46))),"")</f>
        <v/>
      </c>
      <c r="B46" s="13" t="str">
        <f t="array" aca="1" ref="B46" ca="1">IFERROR(INDEX(Projektname_ODW,MATCH(SMALL(COUNTIF(Projektname_ODW, "&lt;" &amp; Projektname_ODW),ROW(45:45)),COUNTIF(Projektname_ODW, "&lt;" &amp; Projektname_ODW),0)),"")</f>
        <v/>
      </c>
      <c r="C46" s="13" t="str">
        <f ca="1">IFERROR(IF(ROW(A46)-3&gt;COUNTIF(Data!$A:$A,Liste!$C$3),"",IF(INDEX(Tab_DaBa[],MATCH($C$3,Data!$A:$A,0)+40,2)="","",INDEX(Tab_DaBa[],MATCH($C$3,Data!$A:$A,0)+40,2))),"")</f>
        <v>5. Test4</v>
      </c>
    </row>
    <row r="47" spans="1:5">
      <c r="A47" s="13" t="str">
        <f t="array" aca="1" ref="A47" ca="1">IFERROR(INDEX(Projektname,SMALL(IF(FREQUENCY(IF(Projektname&lt;&gt;"",MATCH(Projektname,Projektname,0)),ROW(Projektname)-ROW(Data!$A$4)+1),ROW(Projektname)-ROW(Data!$A$4)+1),ROWS(A$2:A47))),"")</f>
        <v/>
      </c>
      <c r="B47" s="13" t="str">
        <f t="array" aca="1" ref="B47" ca="1">IFERROR(INDEX(Projektname_ODW,MATCH(SMALL(COUNTIF(Projektname_ODW, "&lt;" &amp; Projektname_ODW),ROW(46:46)),COUNTIF(Projektname_ODW, "&lt;" &amp; Projektname_ODW),0)),"")</f>
        <v/>
      </c>
      <c r="C47" s="13" t="str">
        <f ca="1">IFERROR(IF(ROW(A47)-3&gt;COUNTIF(Data!$A:$A,Liste!$C$3),"",IF(INDEX(Tab_DaBa[],MATCH($C$3,Data!$A:$A,0)+41,2)="","",INDEX(Tab_DaBa[],MATCH($C$3,Data!$A:$A,0)+41,2))),"")</f>
        <v>5. Test4</v>
      </c>
    </row>
    <row r="48" spans="1:5">
      <c r="A48" s="13" t="str">
        <f t="array" aca="1" ref="A48" ca="1">IFERROR(INDEX(Projektname,SMALL(IF(FREQUENCY(IF(Projektname&lt;&gt;"",MATCH(Projektname,Projektname,0)),ROW(Projektname)-ROW(Data!$A$4)+1),ROW(Projektname)-ROW(Data!$A$4)+1),ROWS(A$2:A48))),"")</f>
        <v/>
      </c>
      <c r="B48" s="13" t="str">
        <f t="array" aca="1" ref="B48" ca="1">IFERROR(INDEX(Projektname_ODW,MATCH(SMALL(COUNTIF(Projektname_ODW, "&lt;" &amp; Projektname_ODW),ROW(47:47)),COUNTIF(Projektname_ODW, "&lt;" &amp; Projektname_ODW),0)),"")</f>
        <v/>
      </c>
      <c r="C48" s="13" t="str">
        <f ca="1">IFERROR(IF(ROW(A48)-3&gt;COUNTIF(Data!$A:$A,Liste!$C$3),"",IF(INDEX(Tab_DaBa[],MATCH($C$3,Data!$A:$A,0)+42,2)="","",INDEX(Tab_DaBa[],MATCH($C$3,Data!$A:$A,0)+42,2))),"")</f>
        <v>5. Test4</v>
      </c>
    </row>
    <row r="49" spans="1:3">
      <c r="A49" s="13" t="str">
        <f t="array" aca="1" ref="A49" ca="1">IFERROR(INDEX(Projektname,SMALL(IF(FREQUENCY(IF(Projektname&lt;&gt;"",MATCH(Projektname,Projektname,0)),ROW(Projektname)-ROW(Data!$A$4)+1),ROW(Projektname)-ROW(Data!$A$4)+1),ROWS(A$2:A49))),"")</f>
        <v/>
      </c>
      <c r="B49" s="13" t="str">
        <f t="array" aca="1" ref="B49" ca="1">IFERROR(INDEX(Projektname_ODW,MATCH(SMALL(COUNTIF(Projektname_ODW, "&lt;" &amp; Projektname_ODW),ROW(48:48)),COUNTIF(Projektname_ODW, "&lt;" &amp; Projektname_ODW),0)),"")</f>
        <v/>
      </c>
      <c r="C49" s="13" t="str">
        <f ca="1">IFERROR(IF(ROW(A49)-3&gt;COUNTIF(Data!$A:$A,Liste!$C$3),"",IF(INDEX(Tab_DaBa[],MATCH($C$3,Data!$A:$A,0)+43,2)="","",INDEX(Tab_DaBa[],MATCH($C$3,Data!$A:$A,0)+43,2))),"")</f>
        <v>5. Test4</v>
      </c>
    </row>
    <row r="50" spans="1:3">
      <c r="A50" s="13" t="str">
        <f t="array" aca="1" ref="A50" ca="1">IFERROR(INDEX(Projektname,SMALL(IF(FREQUENCY(IF(Projektname&lt;&gt;"",MATCH(Projektname,Projektname,0)),ROW(Projektname)-ROW(Data!$A$4)+1),ROW(Projektname)-ROW(Data!$A$4)+1),ROWS(A$2:A50))),"")</f>
        <v/>
      </c>
      <c r="B50" s="13" t="str">
        <f t="array" aca="1" ref="B50" ca="1">IFERROR(INDEX(Projektname_ODW,MATCH(SMALL(COUNTIF(Projektname_ODW, "&lt;" &amp; Projektname_ODW),ROW(49:49)),COUNTIF(Projektname_ODW, "&lt;" &amp; Projektname_ODW),0)),"")</f>
        <v/>
      </c>
      <c r="C50" s="13" t="str">
        <f ca="1">IFERROR(IF(ROW(A50)-3&gt;COUNTIF(Data!$A:$A,Liste!$C$3),"",IF(INDEX(Tab_DaBa[],MATCH($C$3,Data!$A:$A,0)+44,2)="","",INDEX(Tab_DaBa[],MATCH($C$3,Data!$A:$A,0)+44,2))),"")</f>
        <v>5. Test4</v>
      </c>
    </row>
    <row r="51" spans="1:3">
      <c r="A51" s="13" t="str">
        <f t="array" aca="1" ref="A51" ca="1">IFERROR(INDEX(Projektname,SMALL(IF(FREQUENCY(IF(Projektname&lt;&gt;"",MATCH(Projektname,Projektname,0)),ROW(Projektname)-ROW(Data!$A$4)+1),ROW(Projektname)-ROW(Data!$A$4)+1),ROWS(A$2:A51))),"")</f>
        <v/>
      </c>
      <c r="B51" s="13" t="str">
        <f t="array" aca="1" ref="B51" ca="1">IFERROR(INDEX(Projektname_ODW,MATCH(SMALL(COUNTIF(Projektname_ODW, "&lt;" &amp; Projektname_ODW),ROW(50:50)),COUNTIF(Projektname_ODW, "&lt;" &amp; Projektname_ODW),0)),"")</f>
        <v/>
      </c>
      <c r="C51" s="13" t="str">
        <f ca="1">IFERROR(IF(ROW(A51)-3&gt;COUNTIF(Data!$A:$A,Liste!$C$3),"",IF(INDEX(Tab_DaBa[],MATCH($C$3,Data!$A:$A,0)+45,2)="","",INDEX(Tab_DaBa[],MATCH($C$3,Data!$A:$A,0)+45,2))),"")</f>
        <v>5. Test4</v>
      </c>
    </row>
    <row r="52" spans="1:3">
      <c r="A52" s="13" t="str">
        <f t="array" aca="1" ref="A52" ca="1">IFERROR(INDEX(Projektname,SMALL(IF(FREQUENCY(IF(Projektname&lt;&gt;"",MATCH(Projektname,Projektname,0)),ROW(Projektname)-ROW(Data!$A$4)+1),ROW(Projektname)-ROW(Data!$A$4)+1),ROWS(A$2:A52))),"")</f>
        <v/>
      </c>
      <c r="B52" s="13" t="str">
        <f t="array" aca="1" ref="B52" ca="1">IFERROR(INDEX(Projektname_ODW,MATCH(SMALL(COUNTIF(Projektname_ODW, "&lt;" &amp; Projektname_ODW),ROW(51:51)),COUNTIF(Projektname_ODW, "&lt;" &amp; Projektname_ODW),0)),"")</f>
        <v/>
      </c>
      <c r="C52" s="13" t="str">
        <f ca="1">IFERROR(IF(ROW(A52)-3&gt;COUNTIF(Data!$A:$A,Liste!$C$3),"",IF(INDEX(Tab_DaBa[],MATCH($C$3,Data!$A:$A,0)+46,2)="","",INDEX(Tab_DaBa[],MATCH($C$3,Data!$A:$A,0)+46,2))),"")</f>
        <v>5. Test4</v>
      </c>
    </row>
    <row r="53" spans="1:3">
      <c r="A53" s="13" t="str">
        <f t="array" aca="1" ref="A53" ca="1">IFERROR(INDEX(Projektname,SMALL(IF(FREQUENCY(IF(Projektname&lt;&gt;"",MATCH(Projektname,Projektname,0)),ROW(Projektname)-ROW(Data!$A$4)+1),ROW(Projektname)-ROW(Data!$A$4)+1),ROWS(A$2:A53))),"")</f>
        <v/>
      </c>
      <c r="B53" s="13" t="str">
        <f t="array" aca="1" ref="B53" ca="1">IFERROR(INDEX(Projektname_ODW,MATCH(SMALL(COUNTIF(Projektname_ODW, "&lt;" &amp; Projektname_ODW),ROW(52:52)),COUNTIF(Projektname_ODW, "&lt;" &amp; Projektname_ODW),0)),"")</f>
        <v/>
      </c>
      <c r="C53" s="13" t="str">
        <f ca="1">IFERROR(IF(ROW(A53)-3&gt;COUNTIF(Data!$A:$A,Liste!$C$3),"",IF(INDEX(Tab_DaBa[],MATCH($C$3,Data!$A:$A,0)+47,2)="","",INDEX(Tab_DaBa[],MATCH($C$3,Data!$A:$A,0)+47,2))),"")</f>
        <v>5. Test4</v>
      </c>
    </row>
    <row r="54" spans="1:3">
      <c r="A54" s="13" t="str">
        <f t="array" aca="1" ref="A54" ca="1">IFERROR(INDEX(Projektname,SMALL(IF(FREQUENCY(IF(Projektname&lt;&gt;"",MATCH(Projektname,Projektname,0)),ROW(Projektname)-ROW(Data!$A$4)+1),ROW(Projektname)-ROW(Data!$A$4)+1),ROWS(A$2:A54))),"")</f>
        <v/>
      </c>
      <c r="B54" s="13" t="str">
        <f t="array" aca="1" ref="B54" ca="1">IFERROR(INDEX(Projektname_ODW,MATCH(SMALL(COUNTIF(Projektname_ODW, "&lt;" &amp; Projektname_ODW),ROW(53:53)),COUNTIF(Projektname_ODW, "&lt;" &amp; Projektname_ODW),0)),"")</f>
        <v/>
      </c>
      <c r="C54" s="13" t="str">
        <f ca="1">IFERROR(IF(ROW(A54)-3&gt;COUNTIF(Data!$A:$A,Liste!$C$3),"",IF(INDEX(Tab_DaBa[],MATCH($C$3,Data!$A:$A,0)+48,2)="","",INDEX(Tab_DaBa[],MATCH($C$3,Data!$A:$A,0)+48,2))),"")</f>
        <v>5. Test4</v>
      </c>
    </row>
    <row r="55" spans="1:3">
      <c r="A55" s="13" t="str">
        <f t="array" aca="1" ref="A55" ca="1">IFERROR(INDEX(Projektname,SMALL(IF(FREQUENCY(IF(Projektname&lt;&gt;"",MATCH(Projektname,Projektname,0)),ROW(Projektname)-ROW(Data!$A$4)+1),ROW(Projektname)-ROW(Data!$A$4)+1),ROWS(A$2:A55))),"")</f>
        <v/>
      </c>
      <c r="B55" s="13" t="str">
        <f t="array" aca="1" ref="B55" ca="1">IFERROR(INDEX(Projektname_ODW,MATCH(SMALL(COUNTIF(Projektname_ODW, "&lt;" &amp; Projektname_ODW),ROW(54:54)),COUNTIF(Projektname_ODW, "&lt;" &amp; Projektname_ODW),0)),"")</f>
        <v/>
      </c>
      <c r="C55" s="13" t="str">
        <f ca="1">IFERROR(IF(ROW(A55)-3&gt;COUNTIF(Data!$A:$A,Liste!$C$3),"",IF(INDEX(Tab_DaBa[],MATCH($C$3,Data!$A:$A,0)+49,2)="","",INDEX(Tab_DaBa[],MATCH($C$3,Data!$A:$A,0)+49,2))),"")</f>
        <v>6. Test4</v>
      </c>
    </row>
    <row r="56" spans="1:3">
      <c r="A56" s="13" t="str">
        <f t="array" aca="1" ref="A56" ca="1">IFERROR(INDEX(Projektname,SMALL(IF(FREQUENCY(IF(Projektname&lt;&gt;"",MATCH(Projektname,Projektname,0)),ROW(Projektname)-ROW(Data!$A$4)+1),ROW(Projektname)-ROW(Data!$A$4)+1),ROWS(A$2:A56))),"")</f>
        <v/>
      </c>
      <c r="B56" s="13" t="str">
        <f t="array" aca="1" ref="B56" ca="1">IFERROR(INDEX(Projektname_ODW,MATCH(SMALL(COUNTIF(Projektname_ODW, "&lt;" &amp; Projektname_ODW),ROW(55:55)),COUNTIF(Projektname_ODW, "&lt;" &amp; Projektname_ODW),0)),"")</f>
        <v/>
      </c>
      <c r="C56" s="13" t="str">
        <f ca="1">IFERROR(IF(ROW(A56)-3&gt;COUNTIF(Data!$A:$A,Liste!$C$3),"",IF(INDEX(Tab_DaBa[],MATCH($C$3,Data!$A:$A,0)+50,2)="","",INDEX(Tab_DaBa[],MATCH($C$3,Data!$A:$A,0)+50,2))),"")</f>
        <v>6. Test4</v>
      </c>
    </row>
    <row r="57" spans="1:3">
      <c r="A57" s="13" t="str">
        <f t="array" aca="1" ref="A57" ca="1">IFERROR(INDEX(Projektname,SMALL(IF(FREQUENCY(IF(Projektname&lt;&gt;"",MATCH(Projektname,Projektname,0)),ROW(Projektname)-ROW(Data!$A$4)+1),ROW(Projektname)-ROW(Data!$A$4)+1),ROWS(A$2:A57))),"")</f>
        <v/>
      </c>
      <c r="B57" s="13" t="str">
        <f t="array" aca="1" ref="B57" ca="1">IFERROR(INDEX(Projektname_ODW,MATCH(SMALL(COUNTIF(Projektname_ODW, "&lt;" &amp; Projektname_ODW),ROW(56:56)),COUNTIF(Projektname_ODW, "&lt;" &amp; Projektname_ODW),0)),"")</f>
        <v/>
      </c>
      <c r="C57" s="13" t="str">
        <f ca="1">IFERROR(IF(ROW(A57)-3&gt;COUNTIF(Data!$A:$A,Liste!$C$3),"",IF(INDEX(Tab_DaBa[],MATCH($C$3,Data!$A:$A,0)+51,2)="","",INDEX(Tab_DaBa[],MATCH($C$3,Data!$A:$A,0)+51,2))),"")</f>
        <v>6. Test4</v>
      </c>
    </row>
    <row r="58" spans="1:3">
      <c r="A58" s="13" t="str">
        <f t="array" aca="1" ref="A58" ca="1">IFERROR(INDEX(Projektname,SMALL(IF(FREQUENCY(IF(Projektname&lt;&gt;"",MATCH(Projektname,Projektname,0)),ROW(Projektname)-ROW(Data!$A$4)+1),ROW(Projektname)-ROW(Data!$A$4)+1),ROWS(A$2:A58))),"")</f>
        <v/>
      </c>
      <c r="B58" s="13" t="str">
        <f t="array" aca="1" ref="B58" ca="1">IFERROR(INDEX(Projektname_ODW,MATCH(SMALL(COUNTIF(Projektname_ODW, "&lt;" &amp; Projektname_ODW),ROW(57:57)),COUNTIF(Projektname_ODW, "&lt;" &amp; Projektname_ODW),0)),"")</f>
        <v/>
      </c>
      <c r="C58" s="13" t="str">
        <f ca="1">IFERROR(IF(ROW(A58)-3&gt;COUNTIF(Data!$A:$A,Liste!$C$3),"",IF(INDEX(Tab_DaBa[],MATCH($C$3,Data!$A:$A,0)+52,2)="","",INDEX(Tab_DaBa[],MATCH($C$3,Data!$A:$A,0)+52,2))),"")</f>
        <v>6. Test4</v>
      </c>
    </row>
    <row r="59" spans="1:3">
      <c r="A59" s="13" t="str">
        <f t="array" aca="1" ref="A59" ca="1">IFERROR(INDEX(Projektname,SMALL(IF(FREQUENCY(IF(Projektname&lt;&gt;"",MATCH(Projektname,Projektname,0)),ROW(Projektname)-ROW(Data!$A$4)+1),ROW(Projektname)-ROW(Data!$A$4)+1),ROWS(A$2:A59))),"")</f>
        <v/>
      </c>
      <c r="B59" s="13" t="str">
        <f t="array" aca="1" ref="B59" ca="1">IFERROR(INDEX(Projektname_ODW,MATCH(SMALL(COUNTIF(Projektname_ODW, "&lt;" &amp; Projektname_ODW),ROW(58:58)),COUNTIF(Projektname_ODW, "&lt;" &amp; Projektname_ODW),0)),"")</f>
        <v/>
      </c>
      <c r="C59" s="13" t="str">
        <f ca="1">IFERROR(IF(ROW(A59)-3&gt;COUNTIF(Data!$A:$A,Liste!$C$3),"",IF(INDEX(Tab_DaBa[],MATCH($C$3,Data!$A:$A,0)+53,2)="","",INDEX(Tab_DaBa[],MATCH($C$3,Data!$A:$A,0)+53,2))),"")</f>
        <v>6. Test4</v>
      </c>
    </row>
    <row r="60" spans="1:3">
      <c r="A60" s="13" t="str">
        <f t="array" aca="1" ref="A60" ca="1">IFERROR(INDEX(Projektname,SMALL(IF(FREQUENCY(IF(Projektname&lt;&gt;"",MATCH(Projektname,Projektname,0)),ROW(Projektname)-ROW(Data!$A$4)+1),ROW(Projektname)-ROW(Data!$A$4)+1),ROWS(A$2:A60))),"")</f>
        <v/>
      </c>
      <c r="B60" s="13" t="str">
        <f t="array" aca="1" ref="B60" ca="1">IFERROR(INDEX(Projektname_ODW,MATCH(SMALL(COUNTIF(Projektname_ODW, "&lt;" &amp; Projektname_ODW),ROW(59:59)),COUNTIF(Projektname_ODW, "&lt;" &amp; Projektname_ODW),0)),"")</f>
        <v/>
      </c>
      <c r="C60" s="13" t="str">
        <f ca="1">IFERROR(IF(ROW(A60)-3&gt;COUNTIF(Data!$A:$A,Liste!$C$3),"",IF(INDEX(Tab_DaBa[],MATCH($C$3,Data!$A:$A,0)+54,2)="","",INDEX(Tab_DaBa[],MATCH($C$3,Data!$A:$A,0)+54,2))),"")</f>
        <v>6. Test4</v>
      </c>
    </row>
    <row r="61" spans="1:3">
      <c r="A61" s="13" t="str">
        <f t="array" aca="1" ref="A61" ca="1">IFERROR(INDEX(Projektname,SMALL(IF(FREQUENCY(IF(Projektname&lt;&gt;"",MATCH(Projektname,Projektname,0)),ROW(Projektname)-ROW(Data!$A$4)+1),ROW(Projektname)-ROW(Data!$A$4)+1),ROWS(A$2:A61))),"")</f>
        <v/>
      </c>
      <c r="B61" s="13" t="str">
        <f t="array" aca="1" ref="B61" ca="1">IFERROR(INDEX(Projektname_ODW,MATCH(SMALL(COUNTIF(Projektname_ODW, "&lt;" &amp; Projektname_ODW),ROW(60:60)),COUNTIF(Projektname_ODW, "&lt;" &amp; Projektname_ODW),0)),"")</f>
        <v/>
      </c>
      <c r="C61" s="13" t="str">
        <f ca="1">IFERROR(IF(ROW(A61)-3&gt;COUNTIF(Data!$A:$A,Liste!$C$3),"",IF(INDEX(Tab_DaBa[],MATCH($C$3,Data!$A:$A,0)+55,2)="","",INDEX(Tab_DaBa[],MATCH($C$3,Data!$A:$A,0)+55,2))),"")</f>
        <v>6. Test4</v>
      </c>
    </row>
    <row r="62" spans="1:3">
      <c r="A62" s="13" t="str">
        <f t="array" aca="1" ref="A62" ca="1">IFERROR(INDEX(Projektname,SMALL(IF(FREQUENCY(IF(Projektname&lt;&gt;"",MATCH(Projektname,Projektname,0)),ROW(Projektname)-ROW(Data!$A$4)+1),ROW(Projektname)-ROW(Data!$A$4)+1),ROWS(A$2:A62))),"")</f>
        <v/>
      </c>
      <c r="B62" s="13" t="str">
        <f t="array" aca="1" ref="B62" ca="1">IFERROR(INDEX(Projektname_ODW,MATCH(SMALL(COUNTIF(Projektname_ODW, "&lt;" &amp; Projektname_ODW),ROW(61:61)),COUNTIF(Projektname_ODW, "&lt;" &amp; Projektname_ODW),0)),"")</f>
        <v/>
      </c>
      <c r="C62" s="13" t="str">
        <f ca="1">IFERROR(IF(ROW(A62)-3&gt;COUNTIF(Data!$A:$A,Liste!$C$3),"",IF(INDEX(Tab_DaBa[],MATCH($C$3,Data!$A:$A,0)+56,2)="","",INDEX(Tab_DaBa[],MATCH($C$3,Data!$A:$A,0)+56,2))),"")</f>
        <v>6. Test4</v>
      </c>
    </row>
    <row r="63" spans="1:3">
      <c r="A63" s="13" t="str">
        <f t="array" aca="1" ref="A63" ca="1">IFERROR(INDEX(Projektname,SMALL(IF(FREQUENCY(IF(Projektname&lt;&gt;"",MATCH(Projektname,Projektname,0)),ROW(Projektname)-ROW(Data!$A$4)+1),ROW(Projektname)-ROW(Data!$A$4)+1),ROWS(A$2:A63))),"")</f>
        <v/>
      </c>
      <c r="B63" s="13" t="str">
        <f t="array" aca="1" ref="B63" ca="1">IFERROR(INDEX(Projektname_ODW,MATCH(SMALL(COUNTIF(Projektname_ODW, "&lt;" &amp; Projektname_ODW),ROW(62:62)),COUNTIF(Projektname_ODW, "&lt;" &amp; Projektname_ODW),0)),"")</f>
        <v/>
      </c>
      <c r="C63" s="13" t="str">
        <f ca="1">IFERROR(IF(ROW(A63)-3&gt;COUNTIF(Data!$A:$A,Liste!$C$3),"",IF(INDEX(Tab_DaBa[],MATCH($C$3,Data!$A:$A,0)+57,2)="","",INDEX(Tab_DaBa[],MATCH($C$3,Data!$A:$A,0)+57,2))),"")</f>
        <v>6. Test4</v>
      </c>
    </row>
    <row r="64" spans="1:3">
      <c r="A64" s="13" t="str">
        <f t="array" aca="1" ref="A64" ca="1">IFERROR(INDEX(Projektname,SMALL(IF(FREQUENCY(IF(Projektname&lt;&gt;"",MATCH(Projektname,Projektname,0)),ROW(Projektname)-ROW(Data!$A$4)+1),ROW(Projektname)-ROW(Data!$A$4)+1),ROWS(A$2:A64))),"")</f>
        <v/>
      </c>
      <c r="B64" s="13" t="str">
        <f t="array" aca="1" ref="B64" ca="1">IFERROR(INDEX(Projektname_ODW,MATCH(SMALL(COUNTIF(Projektname_ODW, "&lt;" &amp; Projektname_ODW),ROW(63:63)),COUNTIF(Projektname_ODW, "&lt;" &amp; Projektname_ODW),0)),"")</f>
        <v/>
      </c>
      <c r="C64" s="13" t="str">
        <f ca="1">IFERROR(IF(ROW(A64)-3&gt;COUNTIF(Data!$A:$A,Liste!$C$3),"",IF(INDEX(Tab_DaBa[],MATCH($C$3,Data!$A:$A,0)+58,2)="","",INDEX(Tab_DaBa[],MATCH($C$3,Data!$A:$A,0)+58,2))),"")</f>
        <v>6. Test4</v>
      </c>
    </row>
    <row r="65" spans="1:3">
      <c r="A65" s="13" t="str">
        <f t="array" aca="1" ref="A65" ca="1">IFERROR(INDEX(Projektname,SMALL(IF(FREQUENCY(IF(Projektname&lt;&gt;"",MATCH(Projektname,Projektname,0)),ROW(Projektname)-ROW(Data!$A$4)+1),ROW(Projektname)-ROW(Data!$A$4)+1),ROWS(A$2:A65))),"")</f>
        <v/>
      </c>
      <c r="B65" s="13" t="str">
        <f t="array" aca="1" ref="B65" ca="1">IFERROR(INDEX(Projektname_ODW,MATCH(SMALL(COUNTIF(Projektname_ODW, "&lt;" &amp; Projektname_ODW),ROW(64:64)),COUNTIF(Projektname_ODW, "&lt;" &amp; Projektname_ODW),0)),"")</f>
        <v/>
      </c>
      <c r="C65" s="13" t="str">
        <f ca="1">IFERROR(IF(ROW(A65)-3&gt;COUNTIF(Data!$A:$A,Liste!$C$3),"",IF(INDEX(Tab_DaBa[],MATCH($C$3,Data!$A:$A,0)+59,2)="","",INDEX(Tab_DaBa[],MATCH($C$3,Data!$A:$A,0)+59,2))),"")</f>
        <v>7. Test4</v>
      </c>
    </row>
    <row r="66" spans="1:3">
      <c r="A66" s="13" t="str">
        <f t="array" aca="1" ref="A66" ca="1">IFERROR(INDEX(Projektname,SMALL(IF(FREQUENCY(IF(Projektname&lt;&gt;"",MATCH(Projektname,Projektname,0)),ROW(Projektname)-ROW(Data!$A$4)+1),ROW(Projektname)-ROW(Data!$A$4)+1),ROWS(A$2:A66))),"")</f>
        <v/>
      </c>
      <c r="B66" s="13" t="str">
        <f t="array" aca="1" ref="B66" ca="1">IFERROR(INDEX(Projektname_ODW,MATCH(SMALL(COUNTIF(Projektname_ODW, "&lt;" &amp; Projektname_ODW),ROW(65:65)),COUNTIF(Projektname_ODW, "&lt;" &amp; Projektname_ODW),0)),"")</f>
        <v/>
      </c>
      <c r="C66" s="13" t="str">
        <f ca="1">IFERROR(IF(ROW(A66)-3&gt;COUNTIF(Data!$A:$A,Liste!$C$3),"",IF(INDEX(Tab_DaBa[],MATCH($C$3,Data!$A:$A,0)+60,2)="","",INDEX(Tab_DaBa[],MATCH($C$3,Data!$A:$A,0)+60,2))),"")</f>
        <v>7. Test4</v>
      </c>
    </row>
    <row r="67" spans="1:3">
      <c r="A67" s="13" t="str">
        <f t="array" aca="1" ref="A67" ca="1">IFERROR(INDEX(Projektname,SMALL(IF(FREQUENCY(IF(Projektname&lt;&gt;"",MATCH(Projektname,Projektname,0)),ROW(Projektname)-ROW(Data!$A$4)+1),ROW(Projektname)-ROW(Data!$A$4)+1),ROWS(A$2:A67))),"")</f>
        <v/>
      </c>
      <c r="B67" s="13" t="str">
        <f t="array" aca="1" ref="B67" ca="1">IFERROR(INDEX(Projektname_ODW,MATCH(SMALL(COUNTIF(Projektname_ODW, "&lt;" &amp; Projektname_ODW),ROW(66:66)),COUNTIF(Projektname_ODW, "&lt;" &amp; Projektname_ODW),0)),"")</f>
        <v/>
      </c>
      <c r="C67" s="13" t="str">
        <f ca="1">IFERROR(IF(ROW(A67)-3&gt;COUNTIF(Data!$A:$A,Liste!$C$3),"",IF(INDEX(Tab_DaBa[],MATCH($C$3,Data!$A:$A,0)+61,2)="","",INDEX(Tab_DaBa[],MATCH($C$3,Data!$A:$A,0)+61,2))),"")</f>
        <v>7. Test4</v>
      </c>
    </row>
    <row r="68" spans="1:3">
      <c r="A68" s="13" t="str">
        <f t="array" aca="1" ref="A68" ca="1">IFERROR(INDEX(Projektname,SMALL(IF(FREQUENCY(IF(Projektname&lt;&gt;"",MATCH(Projektname,Projektname,0)),ROW(Projektname)-ROW(Data!$A$4)+1),ROW(Projektname)-ROW(Data!$A$4)+1),ROWS(A$2:A68))),"")</f>
        <v/>
      </c>
      <c r="B68" s="13" t="str">
        <f t="array" aca="1" ref="B68" ca="1">IFERROR(INDEX(Projektname_ODW,MATCH(SMALL(COUNTIF(Projektname_ODW, "&lt;" &amp; Projektname_ODW),ROW(67:67)),COUNTIF(Projektname_ODW, "&lt;" &amp; Projektname_ODW),0)),"")</f>
        <v/>
      </c>
      <c r="C68" s="13" t="str">
        <f ca="1">IFERROR(IF(ROW(A68)-3&gt;COUNTIF(Data!$A:$A,Liste!$C$3),"",IF(INDEX(Tab_DaBa[],MATCH($C$3,Data!$A:$A,0)+62,2)="","",INDEX(Tab_DaBa[],MATCH($C$3,Data!$A:$A,0)+62,2))),"")</f>
        <v>7. Test4</v>
      </c>
    </row>
    <row r="69" spans="1:3">
      <c r="A69" s="13" t="str">
        <f t="array" aca="1" ref="A69" ca="1">IFERROR(INDEX(Projektname,SMALL(IF(FREQUENCY(IF(Projektname&lt;&gt;"",MATCH(Projektname,Projektname,0)),ROW(Projektname)-ROW(Data!$A$4)+1),ROW(Projektname)-ROW(Data!$A$4)+1),ROWS(A$2:A69))),"")</f>
        <v/>
      </c>
      <c r="B69" s="13" t="str">
        <f t="array" aca="1" ref="B69" ca="1">IFERROR(INDEX(Projektname_ODW,MATCH(SMALL(COUNTIF(Projektname_ODW, "&lt;" &amp; Projektname_ODW),ROW(68:68)),COUNTIF(Projektname_ODW, "&lt;" &amp; Projektname_ODW),0)),"")</f>
        <v/>
      </c>
      <c r="C69" s="13" t="str">
        <f ca="1">IFERROR(IF(ROW(A69)-3&gt;COUNTIF(Data!$A:$A,Liste!$C$3),"",IF(INDEX(Tab_DaBa[],MATCH($C$3,Data!$A:$A,0)+63,2)="","",INDEX(Tab_DaBa[],MATCH($C$3,Data!$A:$A,0)+63,2))),"")</f>
        <v>7. Test4</v>
      </c>
    </row>
    <row r="70" spans="1:3">
      <c r="A70" s="13" t="str">
        <f t="array" aca="1" ref="A70" ca="1">IFERROR(INDEX(Projektname,SMALL(IF(FREQUENCY(IF(Projektname&lt;&gt;"",MATCH(Projektname,Projektname,0)),ROW(Projektname)-ROW(Data!$A$4)+1),ROW(Projektname)-ROW(Data!$A$4)+1),ROWS(A$2:A70))),"")</f>
        <v/>
      </c>
      <c r="B70" s="13" t="str">
        <f t="array" aca="1" ref="B70" ca="1">IFERROR(INDEX(Projektname_ODW,MATCH(SMALL(COUNTIF(Projektname_ODW, "&lt;" &amp; Projektname_ODW),ROW(69:69)),COUNTIF(Projektname_ODW, "&lt;" &amp; Projektname_ODW),0)),"")</f>
        <v/>
      </c>
      <c r="C70" s="13" t="str">
        <f ca="1">IFERROR(IF(ROW(A70)-3&gt;COUNTIF(Data!$A:$A,Liste!$C$3),"",IF(INDEX(Tab_DaBa[],MATCH($C$3,Data!$A:$A,0)+64,2)="","",INDEX(Tab_DaBa[],MATCH($C$3,Data!$A:$A,0)+64,2))),"")</f>
        <v>7. Test4</v>
      </c>
    </row>
    <row r="71" spans="1:3">
      <c r="A71" s="13" t="str">
        <f t="array" aca="1" ref="A71" ca="1">IFERROR(INDEX(Projektname,SMALL(IF(FREQUENCY(IF(Projektname&lt;&gt;"",MATCH(Projektname,Projektname,0)),ROW(Projektname)-ROW(Data!$A$4)+1),ROW(Projektname)-ROW(Data!$A$4)+1),ROWS(A$2:A71))),"")</f>
        <v/>
      </c>
      <c r="B71" s="13" t="str">
        <f t="array" aca="1" ref="B71" ca="1">IFERROR(INDEX(Projektname_ODW,MATCH(SMALL(COUNTIF(Projektname_ODW, "&lt;" &amp; Projektname_ODW),ROW(70:70)),COUNTIF(Projektname_ODW, "&lt;" &amp; Projektname_ODW),0)),"")</f>
        <v/>
      </c>
      <c r="C71" s="13" t="str">
        <f ca="1">IFERROR(IF(ROW(A71)-3&gt;COUNTIF(Data!$A:$A,Liste!$C$3),"",IF(INDEX(Tab_DaBa[],MATCH($C$3,Data!$A:$A,0)+65,2)="","",INDEX(Tab_DaBa[],MATCH($C$3,Data!$A:$A,0)+65,2))),"")</f>
        <v>7. Test4</v>
      </c>
    </row>
    <row r="72" spans="1:3">
      <c r="A72" s="13" t="str">
        <f t="array" aca="1" ref="A72" ca="1">IFERROR(INDEX(Projektname,SMALL(IF(FREQUENCY(IF(Projektname&lt;&gt;"",MATCH(Projektname,Projektname,0)),ROW(Projektname)-ROW(Data!$A$4)+1),ROW(Projektname)-ROW(Data!$A$4)+1),ROWS(A$2:A72))),"")</f>
        <v/>
      </c>
      <c r="B72" s="13" t="str">
        <f t="array" aca="1" ref="B72" ca="1">IFERROR(INDEX(Projektname_ODW,MATCH(SMALL(COUNTIF(Projektname_ODW, "&lt;" &amp; Projektname_ODW),ROW(71:71)),COUNTIF(Projektname_ODW, "&lt;" &amp; Projektname_ODW),0)),"")</f>
        <v/>
      </c>
      <c r="C72" s="13" t="str">
        <f ca="1">IFERROR(IF(ROW(A72)-3&gt;COUNTIF(Data!$A:$A,Liste!$C$3),"",IF(INDEX(Tab_DaBa[],MATCH($C$3,Data!$A:$A,0)+66,2)="","",INDEX(Tab_DaBa[],MATCH($C$3,Data!$A:$A,0)+66,2))),"")</f>
        <v>7. Test4</v>
      </c>
    </row>
    <row r="73" spans="1:3">
      <c r="A73" s="13" t="str">
        <f t="array" aca="1" ref="A73" ca="1">IFERROR(INDEX(Projektname,SMALL(IF(FREQUENCY(IF(Projektname&lt;&gt;"",MATCH(Projektname,Projektname,0)),ROW(Projektname)-ROW(Data!$A$4)+1),ROW(Projektname)-ROW(Data!$A$4)+1),ROWS(A$2:A73))),"")</f>
        <v/>
      </c>
      <c r="B73" s="13" t="str">
        <f t="array" aca="1" ref="B73" ca="1">IFERROR(INDEX(Projektname_ODW,MATCH(SMALL(COUNTIF(Projektname_ODW, "&lt;" &amp; Projektname_ODW),ROW(72:72)),COUNTIF(Projektname_ODW, "&lt;" &amp; Projektname_ODW),0)),"")</f>
        <v/>
      </c>
      <c r="C73" s="13" t="str">
        <f ca="1">IFERROR(IF(ROW(A73)-3&gt;COUNTIF(Data!$A:$A,Liste!$C$3),"",IF(INDEX(Tab_DaBa[],MATCH($C$3,Data!$A:$A,0)+67,2)="","",INDEX(Tab_DaBa[],MATCH($C$3,Data!$A:$A,0)+67,2))),"")</f>
        <v>7. Test4</v>
      </c>
    </row>
    <row r="74" spans="1:3">
      <c r="A74" s="13" t="str">
        <f t="array" aca="1" ref="A74" ca="1">IFERROR(INDEX(Projektname,SMALL(IF(FREQUENCY(IF(Projektname&lt;&gt;"",MATCH(Projektname,Projektname,0)),ROW(Projektname)-ROW(Data!$A$4)+1),ROW(Projektname)-ROW(Data!$A$4)+1),ROWS(A$2:A74))),"")</f>
        <v/>
      </c>
      <c r="B74" s="13" t="str">
        <f t="array" aca="1" ref="B74" ca="1">IFERROR(INDEX(Projektname_ODW,MATCH(SMALL(COUNTIF(Projektname_ODW, "&lt;" &amp; Projektname_ODW),ROW(73:73)),COUNTIF(Projektname_ODW, "&lt;" &amp; Projektname_ODW),0)),"")</f>
        <v/>
      </c>
      <c r="C74" s="13" t="str">
        <f ca="1">IFERROR(IF(ROW(A74)-3&gt;COUNTIF(Data!$A:$A,Liste!$C$3),"",IF(INDEX(Tab_DaBa[],MATCH($C$3,Data!$A:$A,0)+68,2)="","",INDEX(Tab_DaBa[],MATCH($C$3,Data!$A:$A,0)+68,2))),"")</f>
        <v>7. Test4</v>
      </c>
    </row>
    <row r="75" spans="1:3">
      <c r="A75" s="13" t="str">
        <f t="array" aca="1" ref="A75" ca="1">IFERROR(INDEX(Projektname,SMALL(IF(FREQUENCY(IF(Projektname&lt;&gt;"",MATCH(Projektname,Projektname,0)),ROW(Projektname)-ROW(Data!$A$4)+1),ROW(Projektname)-ROW(Data!$A$4)+1),ROWS(A$2:A75))),"")</f>
        <v/>
      </c>
      <c r="B75" s="13" t="str">
        <f t="array" aca="1" ref="B75" ca="1">IFERROR(INDEX(Projektname_ODW,MATCH(SMALL(COUNTIF(Projektname_ODW, "&lt;" &amp; Projektname_ODW),ROW(74:74)),COUNTIF(Projektname_ODW, "&lt;" &amp; Projektname_ODW),0)),"")</f>
        <v/>
      </c>
      <c r="C75" s="13" t="str">
        <f ca="1">IFERROR(IF(ROW(A75)-3&gt;COUNTIF(Data!$A:$A,Liste!$C$3),"",IF(INDEX(Tab_DaBa[],MATCH($C$3,Data!$A:$A,0)+69,2)="","",INDEX(Tab_DaBa[],MATCH($C$3,Data!$A:$A,0)+69,2))),"")</f>
        <v>8. Test08</v>
      </c>
    </row>
    <row r="76" spans="1:3">
      <c r="A76" s="13" t="str">
        <f t="array" aca="1" ref="A76" ca="1">IFERROR(INDEX(Projektname,SMALL(IF(FREQUENCY(IF(Projektname&lt;&gt;"",MATCH(Projektname,Projektname,0)),ROW(Projektname)-ROW(Data!$A$4)+1),ROW(Projektname)-ROW(Data!$A$4)+1),ROWS(A$2:A76))),"")</f>
        <v/>
      </c>
      <c r="B76" s="13" t="str">
        <f t="array" aca="1" ref="B76" ca="1">IFERROR(INDEX(Projektname_ODW,MATCH(SMALL(COUNTIF(Projektname_ODW, "&lt;" &amp; Projektname_ODW),ROW(75:75)),COUNTIF(Projektname_ODW, "&lt;" &amp; Projektname_ODW),0)),"")</f>
        <v/>
      </c>
      <c r="C76" s="13" t="str">
        <f ca="1">IFERROR(IF(ROW(A76)-3&gt;COUNTIF(Data!$A:$A,Liste!$C$3),"",IF(INDEX(Tab_DaBa[],MATCH($C$3,Data!$A:$A,0)+70,2)="","",INDEX(Tab_DaBa[],MATCH($C$3,Data!$A:$A,0)+70,2))),"")</f>
        <v>8. Test08</v>
      </c>
    </row>
    <row r="77" spans="1:3">
      <c r="A77" s="13" t="str">
        <f t="array" aca="1" ref="A77" ca="1">IFERROR(INDEX(Projektname,SMALL(IF(FREQUENCY(IF(Projektname&lt;&gt;"",MATCH(Projektname,Projektname,0)),ROW(Projektname)-ROW(Data!$A$4)+1),ROW(Projektname)-ROW(Data!$A$4)+1),ROWS(A$2:A77))),"")</f>
        <v/>
      </c>
      <c r="B77" s="13" t="str">
        <f t="array" aca="1" ref="B77" ca="1">IFERROR(INDEX(Projektname_ODW,MATCH(SMALL(COUNTIF(Projektname_ODW, "&lt;" &amp; Projektname_ODW),ROW(76:76)),COUNTIF(Projektname_ODW, "&lt;" &amp; Projektname_ODW),0)),"")</f>
        <v/>
      </c>
      <c r="C77" s="13" t="str">
        <f ca="1">IFERROR(IF(ROW(A77)-3&gt;COUNTIF(Data!$A:$A,Liste!$C$3),"",IF(INDEX(Tab_DaBa[],MATCH($C$3,Data!$A:$A,0)+71,2)="","",INDEX(Tab_DaBa[],MATCH($C$3,Data!$A:$A,0)+71,2))),"")</f>
        <v>8. Test08</v>
      </c>
    </row>
    <row r="78" spans="1:3">
      <c r="A78" s="13" t="str">
        <f t="array" aca="1" ref="A78" ca="1">IFERROR(INDEX(Projektname,SMALL(IF(FREQUENCY(IF(Projektname&lt;&gt;"",MATCH(Projektname,Projektname,0)),ROW(Projektname)-ROW(Data!$A$4)+1),ROW(Projektname)-ROW(Data!$A$4)+1),ROWS(A$2:A78))),"")</f>
        <v/>
      </c>
      <c r="B78" s="13" t="str">
        <f t="array" aca="1" ref="B78" ca="1">IFERROR(INDEX(Projektname_ODW,MATCH(SMALL(COUNTIF(Projektname_ODW, "&lt;" &amp; Projektname_ODW),ROW(77:77)),COUNTIF(Projektname_ODW, "&lt;" &amp; Projektname_ODW),0)),"")</f>
        <v/>
      </c>
      <c r="C78" s="13" t="str">
        <f ca="1">IFERROR(IF(ROW(A78)-3&gt;COUNTIF(Data!$A:$A,Liste!$C$3),"",IF(INDEX(Tab_DaBa[],MATCH($C$3,Data!$A:$A,0)+72,2)="","",INDEX(Tab_DaBa[],MATCH($C$3,Data!$A:$A,0)+72,2))),"")</f>
        <v>8. Test08</v>
      </c>
    </row>
    <row r="79" spans="1:3">
      <c r="A79" s="13" t="str">
        <f t="array" aca="1" ref="A79" ca="1">IFERROR(INDEX(Projektname,SMALL(IF(FREQUENCY(IF(Projektname&lt;&gt;"",MATCH(Projektname,Projektname,0)),ROW(Projektname)-ROW(Data!$A$4)+1),ROW(Projektname)-ROW(Data!$A$4)+1),ROWS(A$2:A79))),"")</f>
        <v/>
      </c>
      <c r="B79" s="13" t="str">
        <f t="array" aca="1" ref="B79" ca="1">IFERROR(INDEX(Projektname_ODW,MATCH(SMALL(COUNTIF(Projektname_ODW, "&lt;" &amp; Projektname_ODW),ROW(78:78)),COUNTIF(Projektname_ODW, "&lt;" &amp; Projektname_ODW),0)),"")</f>
        <v/>
      </c>
      <c r="C79" s="13" t="str">
        <f ca="1">IFERROR(IF(ROW(A79)-3&gt;COUNTIF(Data!$A:$A,Liste!$C$3),"",IF(INDEX(Tab_DaBa[],MATCH($C$3,Data!$A:$A,0)+73,2)="","",INDEX(Tab_DaBa[],MATCH($C$3,Data!$A:$A,0)+73,2))),"")</f>
        <v>8. Test08</v>
      </c>
    </row>
    <row r="80" spans="1:3">
      <c r="A80" s="13" t="str">
        <f t="array" aca="1" ref="A80" ca="1">IFERROR(INDEX(Projektname,SMALL(IF(FREQUENCY(IF(Projektname&lt;&gt;"",MATCH(Projektname,Projektname,0)),ROW(Projektname)-ROW(Data!$A$4)+1),ROW(Projektname)-ROW(Data!$A$4)+1),ROWS(A$2:A80))),"")</f>
        <v/>
      </c>
      <c r="B80" s="13" t="str">
        <f t="array" aca="1" ref="B80" ca="1">IFERROR(INDEX(Projektname_ODW,MATCH(SMALL(COUNTIF(Projektname_ODW, "&lt;" &amp; Projektname_ODW),ROW(79:79)),COUNTIF(Projektname_ODW, "&lt;" &amp; Projektname_ODW),0)),"")</f>
        <v/>
      </c>
      <c r="C80" s="13" t="str">
        <f ca="1">IFERROR(IF(ROW(A80)-3&gt;COUNTIF(Data!$A:$A,Liste!$C$3),"",IF(INDEX(Tab_DaBa[],MATCH($C$3,Data!$A:$A,0)+74,2)="","",INDEX(Tab_DaBa[],MATCH($C$3,Data!$A:$A,0)+74,2))),"")</f>
        <v>8. Test08</v>
      </c>
    </row>
    <row r="81" spans="1:3">
      <c r="A81" s="13" t="str">
        <f t="array" aca="1" ref="A81" ca="1">IFERROR(INDEX(Projektname,SMALL(IF(FREQUENCY(IF(Projektname&lt;&gt;"",MATCH(Projektname,Projektname,0)),ROW(Projektname)-ROW(Data!$A$4)+1),ROW(Projektname)-ROW(Data!$A$4)+1),ROWS(A$2:A81))),"")</f>
        <v/>
      </c>
      <c r="B81" s="13" t="str">
        <f t="array" aca="1" ref="B81" ca="1">IFERROR(INDEX(Projektname_ODW,MATCH(SMALL(COUNTIF(Projektname_ODW, "&lt;" &amp; Projektname_ODW),ROW(80:80)),COUNTIF(Projektname_ODW, "&lt;" &amp; Projektname_ODW),0)),"")</f>
        <v/>
      </c>
      <c r="C81" s="13" t="str">
        <f ca="1">IFERROR(IF(ROW(A81)-3&gt;COUNTIF(Data!$A:$A,Liste!$C$3),"",IF(INDEX(Tab_DaBa[],MATCH($C$3,Data!$A:$A,0)+75,2)="","",INDEX(Tab_DaBa[],MATCH($C$3,Data!$A:$A,0)+75,2))),"")</f>
        <v>8. Test08</v>
      </c>
    </row>
    <row r="82" spans="1:3">
      <c r="A82" s="13" t="str">
        <f t="array" aca="1" ref="A82" ca="1">IFERROR(INDEX(Projektname,SMALL(IF(FREQUENCY(IF(Projektname&lt;&gt;"",MATCH(Projektname,Projektname,0)),ROW(Projektname)-ROW(Data!$A$4)+1),ROW(Projektname)-ROW(Data!$A$4)+1),ROWS(A$2:A82))),"")</f>
        <v/>
      </c>
      <c r="B82" s="13" t="str">
        <f t="array" aca="1" ref="B82" ca="1">IFERROR(INDEX(Projektname_ODW,MATCH(SMALL(COUNTIF(Projektname_ODW, "&lt;" &amp; Projektname_ODW),ROW(81:81)),COUNTIF(Projektname_ODW, "&lt;" &amp; Projektname_ODW),0)),"")</f>
        <v/>
      </c>
      <c r="C82" s="13" t="str">
        <f ca="1">IFERROR(IF(ROW(A82)-3&gt;COUNTIF(Data!$A:$A,Liste!$C$3),"",IF(INDEX(Tab_DaBa[],MATCH($C$3,Data!$A:$A,0)+76,2)="","",INDEX(Tab_DaBa[],MATCH($C$3,Data!$A:$A,0)+76,2))),"")</f>
        <v>8. Test08</v>
      </c>
    </row>
    <row r="83" spans="1:3">
      <c r="A83" s="13" t="str">
        <f t="array" aca="1" ref="A83" ca="1">IFERROR(INDEX(Projektname,SMALL(IF(FREQUENCY(IF(Projektname&lt;&gt;"",MATCH(Projektname,Projektname,0)),ROW(Projektname)-ROW(Data!$A$4)+1),ROW(Projektname)-ROW(Data!$A$4)+1),ROWS(A$2:A83))),"")</f>
        <v/>
      </c>
      <c r="B83" s="13" t="str">
        <f t="array" aca="1" ref="B83" ca="1">IFERROR(INDEX(Projektname_ODW,MATCH(SMALL(COUNTIF(Projektname_ODW, "&lt;" &amp; Projektname_ODW),ROW(82:82)),COUNTIF(Projektname_ODW, "&lt;" &amp; Projektname_ODW),0)),"")</f>
        <v/>
      </c>
      <c r="C83" s="13" t="str">
        <f ca="1">IFERROR(IF(ROW(A83)-3&gt;COUNTIF(Data!$A:$A,Liste!$C$3),"",IF(INDEX(Tab_DaBa[],MATCH($C$3,Data!$A:$A,0)+77,2)="","",INDEX(Tab_DaBa[],MATCH($C$3,Data!$A:$A,0)+77,2))),"")</f>
        <v>8. Test08</v>
      </c>
    </row>
    <row r="84" spans="1:3">
      <c r="A84" s="13" t="str">
        <f t="array" aca="1" ref="A84" ca="1">IFERROR(INDEX(Projektname,SMALL(IF(FREQUENCY(IF(Projektname&lt;&gt;"",MATCH(Projektname,Projektname,0)),ROW(Projektname)-ROW(Data!$A$4)+1),ROW(Projektname)-ROW(Data!$A$4)+1),ROWS(A$2:A84))),"")</f>
        <v/>
      </c>
      <c r="B84" s="13" t="str">
        <f t="array" aca="1" ref="B84" ca="1">IFERROR(INDEX(Projektname_ODW,MATCH(SMALL(COUNTIF(Projektname_ODW, "&lt;" &amp; Projektname_ODW),ROW(83:83)),COUNTIF(Projektname_ODW, "&lt;" &amp; Projektname_ODW),0)),"")</f>
        <v/>
      </c>
      <c r="C84" s="13" t="str">
        <f ca="1">IFERROR(IF(ROW(A84)-3&gt;COUNTIF(Data!$A:$A,Liste!$C$3),"",IF(INDEX(Tab_DaBa[],MATCH($C$3,Data!$A:$A,0)+78,2)="","",INDEX(Tab_DaBa[],MATCH($C$3,Data!$A:$A,0)+78,2))),"")</f>
        <v>8. Test08</v>
      </c>
    </row>
    <row r="85" spans="1:3">
      <c r="A85" s="13" t="str">
        <f t="array" aca="1" ref="A85" ca="1">IFERROR(INDEX(Projektname,SMALL(IF(FREQUENCY(IF(Projektname&lt;&gt;"",MATCH(Projektname,Projektname,0)),ROW(Projektname)-ROW(Data!$A$4)+1),ROW(Projektname)-ROW(Data!$A$4)+1),ROWS(A$2:A85))),"")</f>
        <v/>
      </c>
      <c r="B85" s="13" t="str">
        <f t="array" aca="1" ref="B85" ca="1">IFERROR(INDEX(Projektname_ODW,MATCH(SMALL(COUNTIF(Projektname_ODW, "&lt;" &amp; Projektname_ODW),ROW(84:84)),COUNTIF(Projektname_ODW, "&lt;" &amp; Projektname_ODW),0)),"")</f>
        <v/>
      </c>
      <c r="C85" s="13" t="str">
        <f ca="1">IFERROR(IF(ROW(A85)-3&gt;COUNTIF(Data!$A:$A,Liste!$C$3),"",IF(INDEX(Tab_DaBa[],MATCH($C$3,Data!$A:$A,0)+79,2)="","",INDEX(Tab_DaBa[],MATCH($C$3,Data!$A:$A,0)+79,2))),"")</f>
        <v>9. Test09</v>
      </c>
    </row>
    <row r="86" spans="1:3">
      <c r="A86" s="13" t="str">
        <f t="array" aca="1" ref="A86" ca="1">IFERROR(INDEX(Projektname,SMALL(IF(FREQUENCY(IF(Projektname&lt;&gt;"",MATCH(Projektname,Projektname,0)),ROW(Projektname)-ROW(Data!$A$4)+1),ROW(Projektname)-ROW(Data!$A$4)+1),ROWS(A$2:A86))),"")</f>
        <v/>
      </c>
      <c r="B86" s="13" t="str">
        <f t="array" aca="1" ref="B86" ca="1">IFERROR(INDEX(Projektname_ODW,MATCH(SMALL(COUNTIF(Projektname_ODW, "&lt;" &amp; Projektname_ODW),ROW(85:85)),COUNTIF(Projektname_ODW, "&lt;" &amp; Projektname_ODW),0)),"")</f>
        <v/>
      </c>
      <c r="C86" s="13" t="str">
        <f ca="1">IFERROR(IF(ROW(A86)-3&gt;COUNTIF(Data!$A:$A,Liste!$C$3),"",IF(INDEX(Tab_DaBa[],MATCH($C$3,Data!$A:$A,0)+80,2)="","",INDEX(Tab_DaBa[],MATCH($C$3,Data!$A:$A,0)+80,2))),"")</f>
        <v>9. Test09</v>
      </c>
    </row>
    <row r="87" spans="1:3">
      <c r="A87" s="13" t="str">
        <f t="array" aca="1" ref="A87" ca="1">IFERROR(INDEX(Projektname,SMALL(IF(FREQUENCY(IF(Projektname&lt;&gt;"",MATCH(Projektname,Projektname,0)),ROW(Projektname)-ROW(Data!$A$4)+1),ROW(Projektname)-ROW(Data!$A$4)+1),ROWS(A$2:A87))),"")</f>
        <v/>
      </c>
      <c r="B87" s="13" t="str">
        <f t="array" aca="1" ref="B87" ca="1">IFERROR(INDEX(Projektname_ODW,MATCH(SMALL(COUNTIF(Projektname_ODW, "&lt;" &amp; Projektname_ODW),ROW(86:86)),COUNTIF(Projektname_ODW, "&lt;" &amp; Projektname_ODW),0)),"")</f>
        <v/>
      </c>
      <c r="C87" s="13" t="str">
        <f ca="1">IFERROR(IF(ROW(A87)-3&gt;COUNTIF(Data!$A:$A,Liste!$C$3),"",IF(INDEX(Tab_DaBa[],MATCH($C$3,Data!$A:$A,0)+81,2)="","",INDEX(Tab_DaBa[],MATCH($C$3,Data!$A:$A,0)+81,2))),"")</f>
        <v>9. Test09</v>
      </c>
    </row>
    <row r="88" spans="1:3">
      <c r="A88" s="13" t="str">
        <f t="array" aca="1" ref="A88" ca="1">IFERROR(INDEX(Projektname,SMALL(IF(FREQUENCY(IF(Projektname&lt;&gt;"",MATCH(Projektname,Projektname,0)),ROW(Projektname)-ROW(Data!$A$4)+1),ROW(Projektname)-ROW(Data!$A$4)+1),ROWS(A$2:A88))),"")</f>
        <v/>
      </c>
      <c r="B88" s="13" t="str">
        <f t="array" aca="1" ref="B88" ca="1">IFERROR(INDEX(Projektname_ODW,MATCH(SMALL(COUNTIF(Projektname_ODW, "&lt;" &amp; Projektname_ODW),ROW(87:87)),COUNTIF(Projektname_ODW, "&lt;" &amp; Projektname_ODW),0)),"")</f>
        <v/>
      </c>
      <c r="C88" s="13" t="str">
        <f ca="1">IFERROR(IF(ROW(A88)-3&gt;COUNTIF(Data!$A:$A,Liste!$C$3),"",IF(INDEX(Tab_DaBa[],MATCH($C$3,Data!$A:$A,0)+82,2)="","",INDEX(Tab_DaBa[],MATCH($C$3,Data!$A:$A,0)+82,2))),"")</f>
        <v>9. Test09</v>
      </c>
    </row>
    <row r="89" spans="1:3">
      <c r="A89" s="13" t="str">
        <f t="array" aca="1" ref="A89" ca="1">IFERROR(INDEX(Projektname,SMALL(IF(FREQUENCY(IF(Projektname&lt;&gt;"",MATCH(Projektname,Projektname,0)),ROW(Projektname)-ROW(Data!$A$4)+1),ROW(Projektname)-ROW(Data!$A$4)+1),ROWS(A$2:A89))),"")</f>
        <v/>
      </c>
      <c r="B89" s="13" t="str">
        <f t="array" aca="1" ref="B89" ca="1">IFERROR(INDEX(Projektname_ODW,MATCH(SMALL(COUNTIF(Projektname_ODW, "&lt;" &amp; Projektname_ODW),ROW(88:88)),COUNTIF(Projektname_ODW, "&lt;" &amp; Projektname_ODW),0)),"")</f>
        <v/>
      </c>
      <c r="C89" s="13" t="str">
        <f ca="1">IFERROR(IF(ROW(A89)-3&gt;COUNTIF(Data!$A:$A,Liste!$C$3),"",IF(INDEX(Tab_DaBa[],MATCH($C$3,Data!$A:$A,0)+83,2)="","",INDEX(Tab_DaBa[],MATCH($C$3,Data!$A:$A,0)+83,2))),"")</f>
        <v>9. Test09</v>
      </c>
    </row>
    <row r="90" spans="1:3">
      <c r="A90" s="13" t="str">
        <f t="array" aca="1" ref="A90" ca="1">IFERROR(INDEX(Projektname,SMALL(IF(FREQUENCY(IF(Projektname&lt;&gt;"",MATCH(Projektname,Projektname,0)),ROW(Projektname)-ROW(Data!$A$4)+1),ROW(Projektname)-ROW(Data!$A$4)+1),ROWS(A$2:A90))),"")</f>
        <v/>
      </c>
      <c r="B90" s="13" t="str">
        <f t="array" aca="1" ref="B90" ca="1">IFERROR(INDEX(Projektname_ODW,MATCH(SMALL(COUNTIF(Projektname_ODW, "&lt;" &amp; Projektname_ODW),ROW(89:89)),COUNTIF(Projektname_ODW, "&lt;" &amp; Projektname_ODW),0)),"")</f>
        <v/>
      </c>
      <c r="C90" s="13" t="str">
        <f ca="1">IFERROR(IF(ROW(A90)-3&gt;COUNTIF(Data!$A:$A,Liste!$C$3),"",IF(INDEX(Tab_DaBa[],MATCH($C$3,Data!$A:$A,0)+84,2)="","",INDEX(Tab_DaBa[],MATCH($C$3,Data!$A:$A,0)+84,2))),"")</f>
        <v>9. Test09</v>
      </c>
    </row>
    <row r="91" spans="1:3">
      <c r="A91" s="13" t="str">
        <f t="array" aca="1" ref="A91" ca="1">IFERROR(INDEX(Projektname,SMALL(IF(FREQUENCY(IF(Projektname&lt;&gt;"",MATCH(Projektname,Projektname,0)),ROW(Projektname)-ROW(Data!$A$4)+1),ROW(Projektname)-ROW(Data!$A$4)+1),ROWS(A$2:A91))),"")</f>
        <v/>
      </c>
      <c r="B91" s="13" t="str">
        <f t="array" aca="1" ref="B91" ca="1">IFERROR(INDEX(Projektname_ODW,MATCH(SMALL(COUNTIF(Projektname_ODW, "&lt;" &amp; Projektname_ODW),ROW(90:90)),COUNTIF(Projektname_ODW, "&lt;" &amp; Projektname_ODW),0)),"")</f>
        <v/>
      </c>
      <c r="C91" s="13" t="str">
        <f ca="1">IFERROR(IF(ROW(A91)-3&gt;COUNTIF(Data!$A:$A,Liste!$C$3),"",IF(INDEX(Tab_DaBa[],MATCH($C$3,Data!$A:$A,0)+85,2)="","",INDEX(Tab_DaBa[],MATCH($C$3,Data!$A:$A,0)+85,2))),"")</f>
        <v>9. Test09</v>
      </c>
    </row>
    <row r="92" spans="1:3">
      <c r="A92" s="13" t="str">
        <f t="array" aca="1" ref="A92" ca="1">IFERROR(INDEX(Projektname,SMALL(IF(FREQUENCY(IF(Projektname&lt;&gt;"",MATCH(Projektname,Projektname,0)),ROW(Projektname)-ROW(Data!$A$4)+1),ROW(Projektname)-ROW(Data!$A$4)+1),ROWS(A$2:A92))),"")</f>
        <v/>
      </c>
      <c r="B92" s="13" t="str">
        <f t="array" aca="1" ref="B92" ca="1">IFERROR(INDEX(Projektname_ODW,MATCH(SMALL(COUNTIF(Projektname_ODW, "&lt;" &amp; Projektname_ODW),ROW(91:91)),COUNTIF(Projektname_ODW, "&lt;" &amp; Projektname_ODW),0)),"")</f>
        <v/>
      </c>
      <c r="C92" s="13" t="str">
        <f ca="1">IFERROR(IF(ROW(A92)-3&gt;COUNTIF(Data!$A:$A,Liste!$C$3),"",IF(INDEX(Tab_DaBa[],MATCH($C$3,Data!$A:$A,0)+86,2)="","",INDEX(Tab_DaBa[],MATCH($C$3,Data!$A:$A,0)+86,2))),"")</f>
        <v>9. Test09</v>
      </c>
    </row>
    <row r="93" spans="1:3">
      <c r="A93" s="13" t="str">
        <f t="array" aca="1" ref="A93" ca="1">IFERROR(INDEX(Projektname,SMALL(IF(FREQUENCY(IF(Projektname&lt;&gt;"",MATCH(Projektname,Projektname,0)),ROW(Projektname)-ROW(Data!$A$4)+1),ROW(Projektname)-ROW(Data!$A$4)+1),ROWS(A$2:A93))),"")</f>
        <v/>
      </c>
      <c r="B93" s="13" t="str">
        <f t="array" aca="1" ref="B93" ca="1">IFERROR(INDEX(Projektname_ODW,MATCH(SMALL(COUNTIF(Projektname_ODW, "&lt;" &amp; Projektname_ODW),ROW(92:92)),COUNTIF(Projektname_ODW, "&lt;" &amp; Projektname_ODW),0)),"")</f>
        <v/>
      </c>
      <c r="C93" s="13" t="str">
        <f ca="1">IFERROR(IF(ROW(A93)-3&gt;COUNTIF(Data!$A:$A,Liste!$C$3),"",IF(INDEX(Tab_DaBa[],MATCH($C$3,Data!$A:$A,0)+87,2)="","",INDEX(Tab_DaBa[],MATCH($C$3,Data!$A:$A,0)+87,2))),"")</f>
        <v>9. Test09</v>
      </c>
    </row>
    <row r="94" spans="1:3">
      <c r="A94" s="13" t="str">
        <f t="array" aca="1" ref="A94" ca="1">IFERROR(INDEX(Projektname,SMALL(IF(FREQUENCY(IF(Projektname&lt;&gt;"",MATCH(Projektname,Projektname,0)),ROW(Projektname)-ROW(Data!$A$4)+1),ROW(Projektname)-ROW(Data!$A$4)+1),ROWS(A$2:A94))),"")</f>
        <v/>
      </c>
      <c r="B94" s="13" t="str">
        <f t="array" aca="1" ref="B94" ca="1">IFERROR(INDEX(Projektname_ODW,MATCH(SMALL(COUNTIF(Projektname_ODW, "&lt;" &amp; Projektname_ODW),ROW(93:93)),COUNTIF(Projektname_ODW, "&lt;" &amp; Projektname_ODW),0)),"")</f>
        <v/>
      </c>
      <c r="C94" s="13" t="str">
        <f ca="1">IFERROR(IF(ROW(A94)-3&gt;COUNTIF(Data!$A:$A,Liste!$C$3),"",IF(INDEX(Tab_DaBa[],MATCH($C$3,Data!$A:$A,0)+88,2)="","",INDEX(Tab_DaBa[],MATCH($C$3,Data!$A:$A,0)+88,2))),"")</f>
        <v>9. Test09</v>
      </c>
    </row>
    <row r="95" spans="1:3">
      <c r="A95" s="13" t="str">
        <f t="array" aca="1" ref="A95" ca="1">IFERROR(INDEX(Projektname,SMALL(IF(FREQUENCY(IF(Projektname&lt;&gt;"",MATCH(Projektname,Projektname,0)),ROW(Projektname)-ROW(Data!$A$4)+1),ROW(Projektname)-ROW(Data!$A$4)+1),ROWS(A$2:A95))),"")</f>
        <v/>
      </c>
      <c r="B95" s="13" t="str">
        <f t="array" aca="1" ref="B95" ca="1">IFERROR(INDEX(Projektname_ODW,MATCH(SMALL(COUNTIF(Projektname_ODW, "&lt;" &amp; Projektname_ODW),ROW(94:94)),COUNTIF(Projektname_ODW, "&lt;" &amp; Projektname_ODW),0)),"")</f>
        <v/>
      </c>
      <c r="C95" s="13" t="str">
        <f ca="1">IFERROR(IF(ROW(A95)-3&gt;COUNTIF(Data!$A:$A,Liste!$C$3),"",IF(INDEX(Tab_DaBa[],MATCH($C$3,Data!$A:$A,0)+89,2)="","",INDEX(Tab_DaBa[],MATCH($C$3,Data!$A:$A,0)+89,2))),"")</f>
        <v>10. Test10</v>
      </c>
    </row>
    <row r="96" spans="1:3">
      <c r="A96" s="13" t="str">
        <f t="array" aca="1" ref="A96" ca="1">IFERROR(INDEX(Projektname,SMALL(IF(FREQUENCY(IF(Projektname&lt;&gt;"",MATCH(Projektname,Projektname,0)),ROW(Projektname)-ROW(Data!$A$4)+1),ROW(Projektname)-ROW(Data!$A$4)+1),ROWS(A$2:A96))),"")</f>
        <v/>
      </c>
      <c r="B96" s="13" t="str">
        <f t="array" aca="1" ref="B96" ca="1">IFERROR(INDEX(Projektname_ODW,MATCH(SMALL(COUNTIF(Projektname_ODW, "&lt;" &amp; Projektname_ODW),ROW(95:95)),COUNTIF(Projektname_ODW, "&lt;" &amp; Projektname_ODW),0)),"")</f>
        <v/>
      </c>
      <c r="C96" s="13" t="str">
        <f ca="1">IFERROR(IF(ROW(A96)-3&gt;COUNTIF(Data!$A:$A,Liste!$C$3),"",IF(INDEX(Tab_DaBa[],MATCH($C$3,Data!$A:$A,0)+90,2)="","",INDEX(Tab_DaBa[],MATCH($C$3,Data!$A:$A,0)+90,2))),"")</f>
        <v>10. Test10</v>
      </c>
    </row>
    <row r="97" spans="1:3">
      <c r="A97" s="13" t="str">
        <f t="array" aca="1" ref="A97" ca="1">IFERROR(INDEX(Projektname,SMALL(IF(FREQUENCY(IF(Projektname&lt;&gt;"",MATCH(Projektname,Projektname,0)),ROW(Projektname)-ROW(Data!$A$4)+1),ROW(Projektname)-ROW(Data!$A$4)+1),ROWS(A$2:A97))),"")</f>
        <v/>
      </c>
      <c r="B97" s="13" t="str">
        <f t="array" aca="1" ref="B97" ca="1">IFERROR(INDEX(Projektname_ODW,MATCH(SMALL(COUNTIF(Projektname_ODW, "&lt;" &amp; Projektname_ODW),ROW(96:96)),COUNTIF(Projektname_ODW, "&lt;" &amp; Projektname_ODW),0)),"")</f>
        <v/>
      </c>
      <c r="C97" s="13" t="str">
        <f ca="1">IFERROR(IF(ROW(A97)-3&gt;COUNTIF(Data!$A:$A,Liste!$C$3),"",IF(INDEX(Tab_DaBa[],MATCH($C$3,Data!$A:$A,0)+91,2)="","",INDEX(Tab_DaBa[],MATCH($C$3,Data!$A:$A,0)+91,2))),"")</f>
        <v>10. Test10</v>
      </c>
    </row>
    <row r="98" spans="1:3">
      <c r="A98" s="13" t="str">
        <f t="array" aca="1" ref="A98" ca="1">IFERROR(INDEX(Projektname,SMALL(IF(FREQUENCY(IF(Projektname&lt;&gt;"",MATCH(Projektname,Projektname,0)),ROW(Projektname)-ROW(Data!$A$4)+1),ROW(Projektname)-ROW(Data!$A$4)+1),ROWS(A$2:A98))),"")</f>
        <v/>
      </c>
      <c r="B98" s="13" t="str">
        <f t="array" aca="1" ref="B98" ca="1">IFERROR(INDEX(Projektname_ODW,MATCH(SMALL(COUNTIF(Projektname_ODW, "&lt;" &amp; Projektname_ODW),ROW(97:97)),COUNTIF(Projektname_ODW, "&lt;" &amp; Projektname_ODW),0)),"")</f>
        <v/>
      </c>
      <c r="C98" s="13" t="str">
        <f ca="1">IFERROR(IF(ROW(A98)-3&gt;COUNTIF(Data!$A:$A,Liste!$C$3),"",IF(INDEX(Tab_DaBa[],MATCH($C$3,Data!$A:$A,0)+92,2)="","",INDEX(Tab_DaBa[],MATCH($C$3,Data!$A:$A,0)+92,2))),"")</f>
        <v>10. Test10</v>
      </c>
    </row>
    <row r="99" spans="1:3">
      <c r="A99" s="13" t="str">
        <f t="array" aca="1" ref="A99" ca="1">IFERROR(INDEX(Projektname,SMALL(IF(FREQUENCY(IF(Projektname&lt;&gt;"",MATCH(Projektname,Projektname,0)),ROW(Projektname)-ROW(Data!$A$4)+1),ROW(Projektname)-ROW(Data!$A$4)+1),ROWS(A$2:A99))),"")</f>
        <v/>
      </c>
      <c r="B99" s="13" t="str">
        <f t="array" aca="1" ref="B99" ca="1">IFERROR(INDEX(Projektname_ODW,MATCH(SMALL(COUNTIF(Projektname_ODW, "&lt;" &amp; Projektname_ODW),ROW(98:98)),COUNTIF(Projektname_ODW, "&lt;" &amp; Projektname_ODW),0)),"")</f>
        <v/>
      </c>
      <c r="C99" s="13" t="str">
        <f ca="1">IFERROR(IF(ROW(A99)-3&gt;COUNTIF(Data!$A:$A,Liste!$C$3),"",IF(INDEX(Tab_DaBa[],MATCH($C$3,Data!$A:$A,0)+93,2)="","",INDEX(Tab_DaBa[],MATCH($C$3,Data!$A:$A,0)+93,2))),"")</f>
        <v>10. Test10</v>
      </c>
    </row>
    <row r="100" spans="1:3">
      <c r="A100" s="13" t="str">
        <f t="array" aca="1" ref="A100" ca="1">IFERROR(INDEX(Projektname,SMALL(IF(FREQUENCY(IF(Projektname&lt;&gt;"",MATCH(Projektname,Projektname,0)),ROW(Projektname)-ROW(Data!$A$4)+1),ROW(Projektname)-ROW(Data!$A$4)+1),ROWS(A$2:A100))),"")</f>
        <v/>
      </c>
      <c r="B100" s="13" t="str">
        <f t="array" aca="1" ref="B100" ca="1">IFERROR(INDEX(Projektname_ODW,MATCH(SMALL(COUNTIF(Projektname_ODW, "&lt;" &amp; Projektname_ODW),ROW(99:99)),COUNTIF(Projektname_ODW, "&lt;" &amp; Projektname_ODW),0)),"")</f>
        <v/>
      </c>
      <c r="C100" s="13" t="str">
        <f ca="1">IFERROR(IF(ROW(A100)-3&gt;COUNTIF(Data!$A:$A,Liste!$C$3),"",IF(INDEX(Tab_DaBa[],MATCH($C$3,Data!$A:$A,0)+94,2)="","",INDEX(Tab_DaBa[],MATCH($C$3,Data!$A:$A,0)+94,2))),"")</f>
        <v>10. Test10</v>
      </c>
    </row>
    <row r="101" spans="1:3">
      <c r="A101" s="13" t="str">
        <f t="array" aca="1" ref="A101" ca="1">IFERROR(INDEX(Projektname,SMALL(IF(FREQUENCY(IF(Projektname&lt;&gt;"",MATCH(Projektname,Projektname,0)),ROW(Projektname)-ROW(Data!$A$4)+1),ROW(Projektname)-ROW(Data!$A$4)+1),ROWS(A$2:A101))),"")</f>
        <v/>
      </c>
      <c r="B101" s="13" t="str">
        <f t="array" aca="1" ref="B101" ca="1">IFERROR(INDEX(Projektname_ODW,MATCH(SMALL(COUNTIF(Projektname_ODW, "&lt;" &amp; Projektname_ODW),ROW(100:100)),COUNTIF(Projektname_ODW, "&lt;" &amp; Projektname_ODW),0)),"")</f>
        <v/>
      </c>
      <c r="C101" s="13" t="str">
        <f ca="1">IFERROR(IF(ROW(A101)-3&gt;COUNTIF(Data!$A:$A,Liste!$C$3),"",IF(INDEX(Tab_DaBa[],MATCH($C$3,Data!$A:$A,0)+95,2)="","",INDEX(Tab_DaBa[],MATCH($C$3,Data!$A:$A,0)+95,2))),"")</f>
        <v>10. Test10</v>
      </c>
    </row>
    <row r="102" spans="1:3">
      <c r="A102" s="13" t="str">
        <f t="array" aca="1" ref="A102" ca="1">IFERROR(INDEX(Projektname,SMALL(IF(FREQUENCY(IF(Projektname&lt;&gt;"",MATCH(Projektname,Projektname,0)),ROW(Projektname)-ROW(Data!$A$4)+1),ROW(Projektname)-ROW(Data!$A$4)+1),ROWS(A$2:A102))),"")</f>
        <v/>
      </c>
      <c r="B102" s="13" t="str">
        <f t="array" aca="1" ref="B102" ca="1">IFERROR(INDEX(Projektname_ODW,MATCH(SMALL(COUNTIF(Projektname_ODW, "&lt;" &amp; Projektname_ODW),ROW(101:101)),COUNTIF(Projektname_ODW, "&lt;" &amp; Projektname_ODW),0)),"")</f>
        <v/>
      </c>
      <c r="C102" s="13" t="str">
        <f ca="1">IFERROR(IF(ROW(A102)-3&gt;COUNTIF(Data!$A:$A,Liste!$C$3),"",IF(INDEX(Tab_DaBa[],MATCH($C$3,Data!$A:$A,0)+96,2)="","",INDEX(Tab_DaBa[],MATCH($C$3,Data!$A:$A,0)+96,2))),"")</f>
        <v>10. Test10</v>
      </c>
    </row>
    <row r="103" spans="1:3">
      <c r="A103" s="13" t="str">
        <f t="array" aca="1" ref="A103" ca="1">IFERROR(INDEX(Projektname,SMALL(IF(FREQUENCY(IF(Projektname&lt;&gt;"",MATCH(Projektname,Projektname,0)),ROW(Projektname)-ROW(Data!$A$4)+1),ROW(Projektname)-ROW(Data!$A$4)+1),ROWS(A$2:A103))),"")</f>
        <v/>
      </c>
      <c r="B103" s="13" t="str">
        <f t="array" aca="1" ref="B103" ca="1">IFERROR(INDEX(Projektname_ODW,MATCH(SMALL(COUNTIF(Projektname_ODW, "&lt;" &amp; Projektname_ODW),ROW(102:102)),COUNTIF(Projektname_ODW, "&lt;" &amp; Projektname_ODW),0)),"")</f>
        <v/>
      </c>
      <c r="C103" s="13" t="str">
        <f ca="1">IFERROR(IF(ROW(A103)-3&gt;COUNTIF(Data!$A:$A,Liste!$C$3),"",IF(INDEX(Tab_DaBa[],MATCH($C$3,Data!$A:$A,0)+97,2)="","",INDEX(Tab_DaBa[],MATCH($C$3,Data!$A:$A,0)+97,2))),"")</f>
        <v>10. Test10</v>
      </c>
    </row>
    <row r="104" spans="1:3">
      <c r="A104" s="13" t="str">
        <f t="array" aca="1" ref="A104" ca="1">IFERROR(INDEX(Projektname,SMALL(IF(FREQUENCY(IF(Projektname&lt;&gt;"",MATCH(Projektname,Projektname,0)),ROW(Projektname)-ROW(Data!$A$4)+1),ROW(Projektname)-ROW(Data!$A$4)+1),ROWS(A$2:A104))),"")</f>
        <v/>
      </c>
      <c r="B104" s="13" t="str">
        <f t="array" aca="1" ref="B104" ca="1">IFERROR(INDEX(Projektname_ODW,MATCH(SMALL(COUNTIF(Projektname_ODW, "&lt;" &amp; Projektname_ODW),ROW(103:103)),COUNTIF(Projektname_ODW, "&lt;" &amp; Projektname_ODW),0)),"")</f>
        <v/>
      </c>
      <c r="C104" s="13" t="str">
        <f ca="1">IFERROR(IF(ROW(A104)-3&gt;COUNTIF(Data!$A:$A,Liste!$C$3),"",IF(INDEX(Tab_DaBa[],MATCH($C$3,Data!$A:$A,0)+98,2)="","",INDEX(Tab_DaBa[],MATCH($C$3,Data!$A:$A,0)+98,2))),"")</f>
        <v>10. Test10</v>
      </c>
    </row>
    <row r="105" spans="1:3">
      <c r="A105" s="13" t="str">
        <f t="array" aca="1" ref="A105" ca="1">IFERROR(INDEX(Projektname,SMALL(IF(FREQUENCY(IF(Projektname&lt;&gt;"",MATCH(Projektname,Projektname,0)),ROW(Projektname)-ROW(Data!$A$4)+1),ROW(Projektname)-ROW(Data!$A$4)+1),ROWS(A$2:A105))),"")</f>
        <v/>
      </c>
      <c r="B105" s="13" t="str">
        <f t="array" aca="1" ref="B105" ca="1">IFERROR(INDEX(Projektname_ODW,MATCH(SMALL(COUNTIF(Projektname_ODW, "&lt;" &amp; Projektname_ODW),ROW(104:104)),COUNTIF(Projektname_ODW, "&lt;" &amp; Projektname_ODW),0)),"")</f>
        <v/>
      </c>
      <c r="C105" s="13" t="str">
        <f ca="1">IFERROR(IF(ROW(A105)-3&gt;COUNTIF(Data!$A:$A,Liste!$C$3),"",IF(INDEX(Tab_DaBa[],MATCH($C$3,Data!$A:$A,0)+99,2)="","",INDEX(Tab_DaBa[],MATCH($C$3,Data!$A:$A,0)+99,2))),"")</f>
        <v>11. Test11</v>
      </c>
    </row>
    <row r="106" spans="1:3">
      <c r="A106" s="13" t="str">
        <f t="array" aca="1" ref="A106" ca="1">IFERROR(INDEX(Projektname,SMALL(IF(FREQUENCY(IF(Projektname&lt;&gt;"",MATCH(Projektname,Projektname,0)),ROW(Projektname)-ROW(Data!$A$4)+1),ROW(Projektname)-ROW(Data!$A$4)+1),ROWS(A$2:A106))),"")</f>
        <v/>
      </c>
      <c r="B106" s="13" t="str">
        <f t="array" aca="1" ref="B106" ca="1">IFERROR(INDEX(Projektname_ODW,MATCH(SMALL(COUNTIF(Projektname_ODW, "&lt;" &amp; Projektname_ODW),ROW(105:105)),COUNTIF(Projektname_ODW, "&lt;" &amp; Projektname_ODW),0)),"")</f>
        <v/>
      </c>
      <c r="C106" s="13" t="str">
        <f ca="1">IFERROR(IF(ROW(A106)-3&gt;COUNTIF(Data!$A:$A,Liste!$C$3),"",IF(INDEX(Tab_DaBa[],MATCH($C$3,Data!$A:$A,0)+100,2)="","",INDEX(Tab_DaBa[],MATCH($C$3,Data!$A:$A,0)+100,2))),"")</f>
        <v>11. Test11</v>
      </c>
    </row>
    <row r="107" spans="1:3">
      <c r="A107" s="13" t="str">
        <f t="array" aca="1" ref="A107" ca="1">IFERROR(INDEX(Projektname,SMALL(IF(FREQUENCY(IF(Projektname&lt;&gt;"",MATCH(Projektname,Projektname,0)),ROW(Projektname)-ROW(Data!$A$4)+1),ROW(Projektname)-ROW(Data!$A$4)+1),ROWS(A$2:A107))),"")</f>
        <v/>
      </c>
      <c r="B107" s="13" t="str">
        <f t="array" aca="1" ref="B107" ca="1">IFERROR(INDEX(Projektname_ODW,MATCH(SMALL(COUNTIF(Projektname_ODW, "&lt;" &amp; Projektname_ODW),ROW(106:106)),COUNTIF(Projektname_ODW, "&lt;" &amp; Projektname_ODW),0)),"")</f>
        <v/>
      </c>
      <c r="C107" s="13" t="str">
        <f ca="1">IFERROR(IF(ROW(A107)-3&gt;COUNTIF(Data!$A:$A,Liste!$C$3),"",IF(INDEX(Tab_DaBa[],MATCH($C$3,Data!$A:$A,0)+101,2)="","",INDEX(Tab_DaBa[],MATCH($C$3,Data!$A:$A,0)+101,2))),"")</f>
        <v>11. Test11</v>
      </c>
    </row>
    <row r="108" spans="1:3">
      <c r="A108" s="13" t="str">
        <f t="array" aca="1" ref="A108" ca="1">IFERROR(INDEX(Projektname,SMALL(IF(FREQUENCY(IF(Projektname&lt;&gt;"",MATCH(Projektname,Projektname,0)),ROW(Projektname)-ROW(Data!$A$4)+1),ROW(Projektname)-ROW(Data!$A$4)+1),ROWS(A$2:A108))),"")</f>
        <v/>
      </c>
      <c r="B108" s="13" t="str">
        <f t="array" aca="1" ref="B108" ca="1">IFERROR(INDEX(Projektname_ODW,MATCH(SMALL(COUNTIF(Projektname_ODW, "&lt;" &amp; Projektname_ODW),ROW(107:107)),COUNTIF(Projektname_ODW, "&lt;" &amp; Projektname_ODW),0)),"")</f>
        <v/>
      </c>
      <c r="C108" s="13" t="str">
        <f ca="1">IFERROR(IF(ROW(A108)-3&gt;COUNTIF(Data!$A:$A,Liste!$C$3),"",IF(INDEX(Tab_DaBa[],MATCH($C$3,Data!$A:$A,0)+102,2)="","",INDEX(Tab_DaBa[],MATCH($C$3,Data!$A:$A,0)+102,2))),"")</f>
        <v>11. Test11</v>
      </c>
    </row>
    <row r="109" spans="1:3">
      <c r="A109" s="13" t="str">
        <f t="array" aca="1" ref="A109" ca="1">IFERROR(INDEX(Projektname,SMALL(IF(FREQUENCY(IF(Projektname&lt;&gt;"",MATCH(Projektname,Projektname,0)),ROW(Projektname)-ROW(Data!$A$4)+1),ROW(Projektname)-ROW(Data!$A$4)+1),ROWS(A$2:A109))),"")</f>
        <v/>
      </c>
      <c r="B109" s="13" t="str">
        <f t="array" aca="1" ref="B109" ca="1">IFERROR(INDEX(Projektname_ODW,MATCH(SMALL(COUNTIF(Projektname_ODW, "&lt;" &amp; Projektname_ODW),ROW(108:108)),COUNTIF(Projektname_ODW, "&lt;" &amp; Projektname_ODW),0)),"")</f>
        <v/>
      </c>
      <c r="C109" s="13" t="str">
        <f ca="1">IFERROR(IF(ROW(A109)-3&gt;COUNTIF(Data!$A:$A,Liste!$C$3),"",IF(INDEX(Tab_DaBa[],MATCH($C$3,Data!$A:$A,0)+103,2)="","",INDEX(Tab_DaBa[],MATCH($C$3,Data!$A:$A,0)+103,2))),"")</f>
        <v>11. Test11</v>
      </c>
    </row>
    <row r="110" spans="1:3">
      <c r="A110" s="13" t="str">
        <f t="array" aca="1" ref="A110" ca="1">IFERROR(INDEX(Projektname,SMALL(IF(FREQUENCY(IF(Projektname&lt;&gt;"",MATCH(Projektname,Projektname,0)),ROW(Projektname)-ROW(Data!$A$4)+1),ROW(Projektname)-ROW(Data!$A$4)+1),ROWS(A$2:A110))),"")</f>
        <v/>
      </c>
      <c r="B110" s="13" t="str">
        <f t="array" aca="1" ref="B110" ca="1">IFERROR(INDEX(Projektname_ODW,MATCH(SMALL(COUNTIF(Projektname_ODW, "&lt;" &amp; Projektname_ODW),ROW(109:109)),COUNTIF(Projektname_ODW, "&lt;" &amp; Projektname_ODW),0)),"")</f>
        <v/>
      </c>
      <c r="C110" s="13" t="str">
        <f ca="1">IFERROR(IF(ROW(A110)-3&gt;COUNTIF(Data!$A:$A,Liste!$C$3),"",IF(INDEX(Tab_DaBa[],MATCH($C$3,Data!$A:$A,0)+104,2)="","",INDEX(Tab_DaBa[],MATCH($C$3,Data!$A:$A,0)+104,2))),"")</f>
        <v>11. Test11</v>
      </c>
    </row>
    <row r="111" spans="1:3">
      <c r="A111" s="13" t="str">
        <f t="array" aca="1" ref="A111" ca="1">IFERROR(INDEX(Projektname,SMALL(IF(FREQUENCY(IF(Projektname&lt;&gt;"",MATCH(Projektname,Projektname,0)),ROW(Projektname)-ROW(Data!$A$4)+1),ROW(Projektname)-ROW(Data!$A$4)+1),ROWS(A$2:A111))),"")</f>
        <v/>
      </c>
      <c r="B111" s="13" t="str">
        <f t="array" aca="1" ref="B111" ca="1">IFERROR(INDEX(Projektname_ODW,MATCH(SMALL(COUNTIF(Projektname_ODW, "&lt;" &amp; Projektname_ODW),ROW(110:110)),COUNTIF(Projektname_ODW, "&lt;" &amp; Projektname_ODW),0)),"")</f>
        <v/>
      </c>
      <c r="C111" s="13" t="str">
        <f ca="1">IFERROR(IF(ROW(A111)-3&gt;COUNTIF(Data!$A:$A,Liste!$C$3),"",IF(INDEX(Tab_DaBa[],MATCH($C$3,Data!$A:$A,0)+105,2)="","",INDEX(Tab_DaBa[],MATCH($C$3,Data!$A:$A,0)+105,2))),"")</f>
        <v>11. Test11</v>
      </c>
    </row>
    <row r="112" spans="1:3">
      <c r="A112" s="13" t="str">
        <f t="array" aca="1" ref="A112" ca="1">IFERROR(INDEX(Projektname,SMALL(IF(FREQUENCY(IF(Projektname&lt;&gt;"",MATCH(Projektname,Projektname,0)),ROW(Projektname)-ROW(Data!$A$4)+1),ROW(Projektname)-ROW(Data!$A$4)+1),ROWS(A$2:A112))),"")</f>
        <v/>
      </c>
      <c r="B112" s="13" t="str">
        <f t="array" aca="1" ref="B112" ca="1">IFERROR(INDEX(Projektname_ODW,MATCH(SMALL(COUNTIF(Projektname_ODW, "&lt;" &amp; Projektname_ODW),ROW(111:111)),COUNTIF(Projektname_ODW, "&lt;" &amp; Projektname_ODW),0)),"")</f>
        <v/>
      </c>
      <c r="C112" s="13" t="str">
        <f ca="1">IFERROR(IF(ROW(A112)-3&gt;COUNTIF(Data!$A:$A,Liste!$C$3),"",IF(INDEX(Tab_DaBa[],MATCH($C$3,Data!$A:$A,0)+106,2)="","",INDEX(Tab_DaBa[],MATCH($C$3,Data!$A:$A,0)+106,2))),"")</f>
        <v>11. Test11</v>
      </c>
    </row>
    <row r="113" spans="1:3">
      <c r="A113" s="13" t="str">
        <f t="array" aca="1" ref="A113" ca="1">IFERROR(INDEX(Projektname,SMALL(IF(FREQUENCY(IF(Projektname&lt;&gt;"",MATCH(Projektname,Projektname,0)),ROW(Projektname)-ROW(Data!$A$4)+1),ROW(Projektname)-ROW(Data!$A$4)+1),ROWS(A$2:A113))),"")</f>
        <v/>
      </c>
      <c r="B113" s="13" t="str">
        <f t="array" aca="1" ref="B113" ca="1">IFERROR(INDEX(Projektname_ODW,MATCH(SMALL(COUNTIF(Projektname_ODW, "&lt;" &amp; Projektname_ODW),ROW(112:112)),COUNTIF(Projektname_ODW, "&lt;" &amp; Projektname_ODW),0)),"")</f>
        <v/>
      </c>
      <c r="C113" s="13" t="str">
        <f ca="1">IFERROR(IF(ROW(A113)-3&gt;COUNTIF(Data!$A:$A,Liste!$C$3),"",IF(INDEX(Tab_DaBa[],MATCH($C$3,Data!$A:$A,0)+107,2)="","",INDEX(Tab_DaBa[],MATCH($C$3,Data!$A:$A,0)+107,2))),"")</f>
        <v>11. Test11</v>
      </c>
    </row>
    <row r="114" spans="1:3">
      <c r="A114" s="13" t="str">
        <f t="array" aca="1" ref="A114" ca="1">IFERROR(INDEX(Projektname,SMALL(IF(FREQUENCY(IF(Projektname&lt;&gt;"",MATCH(Projektname,Projektname,0)),ROW(Projektname)-ROW(Data!$A$4)+1),ROW(Projektname)-ROW(Data!$A$4)+1),ROWS(A$2:A114))),"")</f>
        <v/>
      </c>
      <c r="B114" s="13" t="str">
        <f t="array" aca="1" ref="B114" ca="1">IFERROR(INDEX(Projektname_ODW,MATCH(SMALL(COUNTIF(Projektname_ODW, "&lt;" &amp; Projektname_ODW),ROW(113:113)),COUNTIF(Projektname_ODW, "&lt;" &amp; Projektname_ODW),0)),"")</f>
        <v/>
      </c>
      <c r="C114" s="13" t="str">
        <f ca="1">IFERROR(IF(ROW(A114)-3&gt;COUNTIF(Data!$A:$A,Liste!$C$3),"",IF(INDEX(Tab_DaBa[],MATCH($C$3,Data!$A:$A,0)+108,2)="","",INDEX(Tab_DaBa[],MATCH($C$3,Data!$A:$A,0)+108,2))),"")</f>
        <v>11. Test11</v>
      </c>
    </row>
    <row r="115" spans="1:3">
      <c r="A115" s="13" t="str">
        <f t="array" aca="1" ref="A115" ca="1">IFERROR(INDEX(Projektname,SMALL(IF(FREQUENCY(IF(Projektname&lt;&gt;"",MATCH(Projektname,Projektname,0)),ROW(Projektname)-ROW(Data!$A$4)+1),ROW(Projektname)-ROW(Data!$A$4)+1),ROWS(A$2:A115))),"")</f>
        <v/>
      </c>
      <c r="B115" s="13" t="str">
        <f t="array" aca="1" ref="B115" ca="1">IFERROR(INDEX(Projektname_ODW,MATCH(SMALL(COUNTIF(Projektname_ODW, "&lt;" &amp; Projektname_ODW),ROW(114:114)),COUNTIF(Projektname_ODW, "&lt;" &amp; Projektname_ODW),0)),"")</f>
        <v/>
      </c>
      <c r="C115" s="13" t="str">
        <f ca="1">IFERROR(IF(ROW(A115)-3&gt;COUNTIF(Data!$A:$A,Liste!$C$3),"",IF(INDEX(Tab_DaBa[],MATCH($C$3,Data!$A:$A,0)+109,2)="","",INDEX(Tab_DaBa[],MATCH($C$3,Data!$A:$A,0)+109,2))),"")</f>
        <v>12. Test12</v>
      </c>
    </row>
    <row r="116" spans="1:3">
      <c r="A116" s="13" t="str">
        <f t="array" aca="1" ref="A116" ca="1">IFERROR(INDEX(Projektname,SMALL(IF(FREQUENCY(IF(Projektname&lt;&gt;"",MATCH(Projektname,Projektname,0)),ROW(Projektname)-ROW(Data!$A$4)+1),ROW(Projektname)-ROW(Data!$A$4)+1),ROWS(A$2:A116))),"")</f>
        <v/>
      </c>
      <c r="B116" s="13" t="str">
        <f t="array" aca="1" ref="B116" ca="1">IFERROR(INDEX(Projektname_ODW,MATCH(SMALL(COUNTIF(Projektname_ODW, "&lt;" &amp; Projektname_ODW),ROW(115:115)),COUNTIF(Projektname_ODW, "&lt;" &amp; Projektname_ODW),0)),"")</f>
        <v/>
      </c>
      <c r="C116" s="13" t="str">
        <f ca="1">IFERROR(IF(ROW(A116)-3&gt;COUNTIF(Data!$A:$A,Liste!$C$3),"",IF(INDEX(Tab_DaBa[],MATCH($C$3,Data!$A:$A,0)+110,2)="","",INDEX(Tab_DaBa[],MATCH($C$3,Data!$A:$A,0)+110,2))),"")</f>
        <v>12. Test12</v>
      </c>
    </row>
    <row r="117" spans="1:3">
      <c r="A117" s="13" t="str">
        <f t="array" aca="1" ref="A117" ca="1">IFERROR(INDEX(Projektname,SMALL(IF(FREQUENCY(IF(Projektname&lt;&gt;"",MATCH(Projektname,Projektname,0)),ROW(Projektname)-ROW(Data!$A$4)+1),ROW(Projektname)-ROW(Data!$A$4)+1),ROWS(A$2:A117))),"")</f>
        <v/>
      </c>
      <c r="B117" s="13" t="str">
        <f t="array" aca="1" ref="B117" ca="1">IFERROR(INDEX(Projektname_ODW,MATCH(SMALL(COUNTIF(Projektname_ODW, "&lt;" &amp; Projektname_ODW),ROW(116:116)),COUNTIF(Projektname_ODW, "&lt;" &amp; Projektname_ODW),0)),"")</f>
        <v/>
      </c>
      <c r="C117" s="13" t="str">
        <f ca="1">IFERROR(IF(ROW(A117)-3&gt;COUNTIF(Data!$A:$A,Liste!$C$3),"",IF(INDEX(Tab_DaBa[],MATCH($C$3,Data!$A:$A,0)+111,2)="","",INDEX(Tab_DaBa[],MATCH($C$3,Data!$A:$A,0)+111,2))),"")</f>
        <v>12. Test12</v>
      </c>
    </row>
    <row r="118" spans="1:3">
      <c r="A118" s="13" t="str">
        <f t="array" aca="1" ref="A118" ca="1">IFERROR(INDEX(Projektname,SMALL(IF(FREQUENCY(IF(Projektname&lt;&gt;"",MATCH(Projektname,Projektname,0)),ROW(Projektname)-ROW(Data!$A$4)+1),ROW(Projektname)-ROW(Data!$A$4)+1),ROWS(A$2:A118))),"")</f>
        <v/>
      </c>
      <c r="B118" s="13" t="str">
        <f t="array" aca="1" ref="B118" ca="1">IFERROR(INDEX(Projektname_ODW,MATCH(SMALL(COUNTIF(Projektname_ODW, "&lt;" &amp; Projektname_ODW),ROW(117:117)),COUNTIF(Projektname_ODW, "&lt;" &amp; Projektname_ODW),0)),"")</f>
        <v/>
      </c>
      <c r="C118" s="13" t="str">
        <f ca="1">IFERROR(IF(ROW(A118)-3&gt;COUNTIF(Data!$A:$A,Liste!$C$3),"",IF(INDEX(Tab_DaBa[],MATCH($C$3,Data!$A:$A,0)+112,2)="","",INDEX(Tab_DaBa[],MATCH($C$3,Data!$A:$A,0)+112,2))),"")</f>
        <v>12. Test12</v>
      </c>
    </row>
    <row r="119" spans="1:3">
      <c r="A119" s="13" t="str">
        <f t="array" aca="1" ref="A119" ca="1">IFERROR(INDEX(Projektname,SMALL(IF(FREQUENCY(IF(Projektname&lt;&gt;"",MATCH(Projektname,Projektname,0)),ROW(Projektname)-ROW(Data!$A$4)+1),ROW(Projektname)-ROW(Data!$A$4)+1),ROWS(A$2:A119))),"")</f>
        <v/>
      </c>
      <c r="B119" s="13" t="str">
        <f t="array" aca="1" ref="B119" ca="1">IFERROR(INDEX(Projektname_ODW,MATCH(SMALL(COUNTIF(Projektname_ODW, "&lt;" &amp; Projektname_ODW),ROW(118:118)),COUNTIF(Projektname_ODW, "&lt;" &amp; Projektname_ODW),0)),"")</f>
        <v/>
      </c>
      <c r="C119" s="13" t="str">
        <f ca="1">IFERROR(IF(ROW(A119)-3&gt;COUNTIF(Data!$A:$A,Liste!$C$3),"",IF(INDEX(Tab_DaBa[],MATCH($C$3,Data!$A:$A,0)+113,2)="","",INDEX(Tab_DaBa[],MATCH($C$3,Data!$A:$A,0)+113,2))),"")</f>
        <v>12. Test12</v>
      </c>
    </row>
    <row r="120" spans="1:3">
      <c r="A120" s="13" t="str">
        <f t="array" aca="1" ref="A120" ca="1">IFERROR(INDEX(Projektname,SMALL(IF(FREQUENCY(IF(Projektname&lt;&gt;"",MATCH(Projektname,Projektname,0)),ROW(Projektname)-ROW(Data!$A$4)+1),ROW(Projektname)-ROW(Data!$A$4)+1),ROWS(A$2:A120))),"")</f>
        <v/>
      </c>
      <c r="B120" s="13" t="str">
        <f t="array" aca="1" ref="B120" ca="1">IFERROR(INDEX(Projektname_ODW,MATCH(SMALL(COUNTIF(Projektname_ODW, "&lt;" &amp; Projektname_ODW),ROW(119:119)),COUNTIF(Projektname_ODW, "&lt;" &amp; Projektname_ODW),0)),"")</f>
        <v/>
      </c>
      <c r="C120" s="13" t="str">
        <f ca="1">IFERROR(IF(ROW(A120)-3&gt;COUNTIF(Data!$A:$A,Liste!$C$3),"",IF(INDEX(Tab_DaBa[],MATCH($C$3,Data!$A:$A,0)+114,2)="","",INDEX(Tab_DaBa[],MATCH($C$3,Data!$A:$A,0)+114,2))),"")</f>
        <v>12. Test12</v>
      </c>
    </row>
    <row r="121" spans="1:3">
      <c r="A121" s="13" t="str">
        <f t="array" aca="1" ref="A121" ca="1">IFERROR(INDEX(Projektname,SMALL(IF(FREQUENCY(IF(Projektname&lt;&gt;"",MATCH(Projektname,Projektname,0)),ROW(Projektname)-ROW(Data!$A$4)+1),ROW(Projektname)-ROW(Data!$A$4)+1),ROWS(A$2:A121))),"")</f>
        <v/>
      </c>
      <c r="B121" s="13" t="str">
        <f t="array" aca="1" ref="B121" ca="1">IFERROR(INDEX(Projektname_ODW,MATCH(SMALL(COUNTIF(Projektname_ODW, "&lt;" &amp; Projektname_ODW),ROW(120:120)),COUNTIF(Projektname_ODW, "&lt;" &amp; Projektname_ODW),0)),"")</f>
        <v/>
      </c>
      <c r="C121" s="13" t="str">
        <f ca="1">IFERROR(IF(ROW(A121)-3&gt;COUNTIF(Data!$A:$A,Liste!$C$3),"",IF(INDEX(Tab_DaBa[],MATCH($C$3,Data!$A:$A,0)+115,2)="","",INDEX(Tab_DaBa[],MATCH($C$3,Data!$A:$A,0)+115,2))),"")</f>
        <v>12. Test12</v>
      </c>
    </row>
    <row r="122" spans="1:3">
      <c r="A122" s="13" t="str">
        <f t="array" aca="1" ref="A122" ca="1">IFERROR(INDEX(Projektname,SMALL(IF(FREQUENCY(IF(Projektname&lt;&gt;"",MATCH(Projektname,Projektname,0)),ROW(Projektname)-ROW(Data!$A$4)+1),ROW(Projektname)-ROW(Data!$A$4)+1),ROWS(A$2:A122))),"")</f>
        <v/>
      </c>
      <c r="B122" s="13" t="str">
        <f t="array" aca="1" ref="B122" ca="1">IFERROR(INDEX(Projektname_ODW,MATCH(SMALL(COUNTIF(Projektname_ODW, "&lt;" &amp; Projektname_ODW),ROW(121:121)),COUNTIF(Projektname_ODW, "&lt;" &amp; Projektname_ODW),0)),"")</f>
        <v/>
      </c>
      <c r="C122" s="13" t="str">
        <f ca="1">IFERROR(IF(ROW(A122)-3&gt;COUNTIF(Data!$A:$A,Liste!$C$3),"",IF(INDEX(Tab_DaBa[],MATCH($C$3,Data!$A:$A,0)+116,2)="","",INDEX(Tab_DaBa[],MATCH($C$3,Data!$A:$A,0)+116,2))),"")</f>
        <v>12. Test12</v>
      </c>
    </row>
    <row r="123" spans="1:3">
      <c r="A123" s="13" t="str">
        <f t="array" aca="1" ref="A123" ca="1">IFERROR(INDEX(Projektname,SMALL(IF(FREQUENCY(IF(Projektname&lt;&gt;"",MATCH(Projektname,Projektname,0)),ROW(Projektname)-ROW(Data!$A$4)+1),ROW(Projektname)-ROW(Data!$A$4)+1),ROWS(A$2:A123))),"")</f>
        <v/>
      </c>
      <c r="B123" s="13" t="str">
        <f t="array" aca="1" ref="B123" ca="1">IFERROR(INDEX(Projektname_ODW,MATCH(SMALL(COUNTIF(Projektname_ODW, "&lt;" &amp; Projektname_ODW),ROW(122:122)),COUNTIF(Projektname_ODW, "&lt;" &amp; Projektname_ODW),0)),"")</f>
        <v/>
      </c>
      <c r="C123" s="13" t="str">
        <f ca="1">IFERROR(IF(ROW(A123)-3&gt;COUNTIF(Data!$A:$A,Liste!$C$3),"",IF(INDEX(Tab_DaBa[],MATCH($C$3,Data!$A:$A,0)+117,2)="","",INDEX(Tab_DaBa[],MATCH($C$3,Data!$A:$A,0)+117,2))),"")</f>
        <v>12. Test12</v>
      </c>
    </row>
    <row r="124" spans="1:3">
      <c r="A124" s="13" t="str">
        <f t="array" aca="1" ref="A124" ca="1">IFERROR(INDEX(Projektname,SMALL(IF(FREQUENCY(IF(Projektname&lt;&gt;"",MATCH(Projektname,Projektname,0)),ROW(Projektname)-ROW(Data!$A$4)+1),ROW(Projektname)-ROW(Data!$A$4)+1),ROWS(A$2:A124))),"")</f>
        <v/>
      </c>
      <c r="B124" s="13" t="str">
        <f t="array" aca="1" ref="B124" ca="1">IFERROR(INDEX(Projektname_ODW,MATCH(SMALL(COUNTIF(Projektname_ODW, "&lt;" &amp; Projektname_ODW),ROW(123:123)),COUNTIF(Projektname_ODW, "&lt;" &amp; Projektname_ODW),0)),"")</f>
        <v/>
      </c>
      <c r="C124" s="13" t="str">
        <f ca="1">IFERROR(IF(ROW(A124)-3&gt;COUNTIF(Data!$A:$A,Liste!$C$3),"",IF(INDEX(Tab_DaBa[],MATCH($C$3,Data!$A:$A,0)+118,2)="","",INDEX(Tab_DaBa[],MATCH($C$3,Data!$A:$A,0)+118,2))),"")</f>
        <v>12. Test12</v>
      </c>
    </row>
    <row r="125" spans="1:3">
      <c r="A125" s="13" t="str">
        <f t="array" aca="1" ref="A125" ca="1">IFERROR(INDEX(Projektname,SMALL(IF(FREQUENCY(IF(Projektname&lt;&gt;"",MATCH(Projektname,Projektname,0)),ROW(Projektname)-ROW(Data!$A$4)+1),ROW(Projektname)-ROW(Data!$A$4)+1),ROWS(A$2:A125))),"")</f>
        <v/>
      </c>
      <c r="B125" s="13" t="str">
        <f t="array" aca="1" ref="B125" ca="1">IFERROR(INDEX(Projektname_ODW,MATCH(SMALL(COUNTIF(Projektname_ODW, "&lt;" &amp; Projektname_ODW),ROW(124:124)),COUNTIF(Projektname_ODW, "&lt;" &amp; Projektname_ODW),0)),"")</f>
        <v/>
      </c>
      <c r="C125" s="13" t="str">
        <f ca="1">IFERROR(IF(ROW(A125)-3&gt;COUNTIF(Data!$A:$A,Liste!$C$3),"",IF(INDEX(Tab_DaBa[],MATCH($C$3,Data!$A:$A,0)+119,2)="","",INDEX(Tab_DaBa[],MATCH($C$3,Data!$A:$A,0)+119,2))),"")</f>
        <v>13. Test13</v>
      </c>
    </row>
    <row r="126" spans="1:3">
      <c r="A126" s="13" t="str">
        <f t="array" aca="1" ref="A126" ca="1">IFERROR(INDEX(Projektname,SMALL(IF(FREQUENCY(IF(Projektname&lt;&gt;"",MATCH(Projektname,Projektname,0)),ROW(Projektname)-ROW(Data!$A$4)+1),ROW(Projektname)-ROW(Data!$A$4)+1),ROWS(A$2:A126))),"")</f>
        <v/>
      </c>
      <c r="B126" s="13" t="str">
        <f t="array" aca="1" ref="B126" ca="1">IFERROR(INDEX(Projektname_ODW,MATCH(SMALL(COUNTIF(Projektname_ODW, "&lt;" &amp; Projektname_ODW),ROW(125:125)),COUNTIF(Projektname_ODW, "&lt;" &amp; Projektname_ODW),0)),"")</f>
        <v/>
      </c>
      <c r="C126" s="13" t="str">
        <f ca="1">IFERROR(IF(ROW(A126)-3&gt;COUNTIF(Data!$A:$A,Liste!$C$3),"",IF(INDEX(Tab_DaBa[],MATCH($C$3,Data!$A:$A,0)+120,2)="","",INDEX(Tab_DaBa[],MATCH($C$3,Data!$A:$A,0)+120,2))),"")</f>
        <v>13. Test13</v>
      </c>
    </row>
    <row r="127" spans="1:3">
      <c r="A127" s="13" t="str">
        <f t="array" aca="1" ref="A127" ca="1">IFERROR(INDEX(Projektname,SMALL(IF(FREQUENCY(IF(Projektname&lt;&gt;"",MATCH(Projektname,Projektname,0)),ROW(Projektname)-ROW(Data!$A$4)+1),ROW(Projektname)-ROW(Data!$A$4)+1),ROWS(A$2:A127))),"")</f>
        <v/>
      </c>
      <c r="B127" s="13" t="str">
        <f t="array" aca="1" ref="B127" ca="1">IFERROR(INDEX(Projektname_ODW,MATCH(SMALL(COUNTIF(Projektname_ODW, "&lt;" &amp; Projektname_ODW),ROW(126:126)),COUNTIF(Projektname_ODW, "&lt;" &amp; Projektname_ODW),0)),"")</f>
        <v/>
      </c>
      <c r="C127" s="13" t="str">
        <f ca="1">IFERROR(IF(ROW(A127)-3&gt;COUNTIF(Data!$A:$A,Liste!$C$3),"",IF(INDEX(Tab_DaBa[],MATCH($C$3,Data!$A:$A,0)+121,2)="","",INDEX(Tab_DaBa[],MATCH($C$3,Data!$A:$A,0)+121,2))),"")</f>
        <v>13. Test13</v>
      </c>
    </row>
    <row r="128" spans="1:3">
      <c r="A128" s="13" t="str">
        <f t="array" aca="1" ref="A128" ca="1">IFERROR(INDEX(Projektname,SMALL(IF(FREQUENCY(IF(Projektname&lt;&gt;"",MATCH(Projektname,Projektname,0)),ROW(Projektname)-ROW(Data!$A$4)+1),ROW(Projektname)-ROW(Data!$A$4)+1),ROWS(A$2:A128))),"")</f>
        <v/>
      </c>
      <c r="B128" s="13" t="str">
        <f t="array" aca="1" ref="B128" ca="1">IFERROR(INDEX(Projektname_ODW,MATCH(SMALL(COUNTIF(Projektname_ODW, "&lt;" &amp; Projektname_ODW),ROW(127:127)),COUNTIF(Projektname_ODW, "&lt;" &amp; Projektname_ODW),0)),"")</f>
        <v/>
      </c>
      <c r="C128" s="13" t="str">
        <f ca="1">IFERROR(IF(ROW(A128)-3&gt;COUNTIF(Data!$A:$A,Liste!$C$3),"",IF(INDEX(Tab_DaBa[],MATCH($C$3,Data!$A:$A,0)+122,2)="","",INDEX(Tab_DaBa[],MATCH($C$3,Data!$A:$A,0)+122,2))),"")</f>
        <v>13. Test13</v>
      </c>
    </row>
    <row r="129" spans="1:3">
      <c r="A129" s="13" t="str">
        <f t="array" aca="1" ref="A129" ca="1">IFERROR(INDEX(Projektname,SMALL(IF(FREQUENCY(IF(Projektname&lt;&gt;"",MATCH(Projektname,Projektname,0)),ROW(Projektname)-ROW(Data!$A$4)+1),ROW(Projektname)-ROW(Data!$A$4)+1),ROWS(A$2:A129))),"")</f>
        <v/>
      </c>
      <c r="B129" s="13" t="str">
        <f t="array" aca="1" ref="B129" ca="1">IFERROR(INDEX(Projektname_ODW,MATCH(SMALL(COUNTIF(Projektname_ODW, "&lt;" &amp; Projektname_ODW),ROW(128:128)),COUNTIF(Projektname_ODW, "&lt;" &amp; Projektname_ODW),0)),"")</f>
        <v/>
      </c>
      <c r="C129" s="13" t="str">
        <f ca="1">IFERROR(IF(ROW(A129)-3&gt;COUNTIF(Data!$A:$A,Liste!$C$3),"",IF(INDEX(Tab_DaBa[],MATCH($C$3,Data!$A:$A,0)+123,2)="","",INDEX(Tab_DaBa[],MATCH($C$3,Data!$A:$A,0)+123,2))),"")</f>
        <v>13. Test13</v>
      </c>
    </row>
    <row r="130" spans="1:3">
      <c r="A130" s="13" t="str">
        <f t="array" aca="1" ref="A130" ca="1">IFERROR(INDEX(Projektname,SMALL(IF(FREQUENCY(IF(Projektname&lt;&gt;"",MATCH(Projektname,Projektname,0)),ROW(Projektname)-ROW(Data!$A$4)+1),ROW(Projektname)-ROW(Data!$A$4)+1),ROWS(A$2:A130))),"")</f>
        <v/>
      </c>
      <c r="B130" s="13" t="str">
        <f t="array" aca="1" ref="B130" ca="1">IFERROR(INDEX(Projektname_ODW,MATCH(SMALL(COUNTIF(Projektname_ODW, "&lt;" &amp; Projektname_ODW),ROW(129:129)),COUNTIF(Projektname_ODW, "&lt;" &amp; Projektname_ODW),0)),"")</f>
        <v/>
      </c>
      <c r="C130" s="13" t="str">
        <f ca="1">IFERROR(IF(ROW(A130)-3&gt;COUNTIF(Data!$A:$A,Liste!$C$3),"",IF(INDEX(Tab_DaBa[],MATCH($C$3,Data!$A:$A,0)+124,2)="","",INDEX(Tab_DaBa[],MATCH($C$3,Data!$A:$A,0)+124,2))),"")</f>
        <v>13. Test13</v>
      </c>
    </row>
    <row r="131" spans="1:3">
      <c r="A131" s="13" t="str">
        <f t="array" aca="1" ref="A131" ca="1">IFERROR(INDEX(Projektname,SMALL(IF(FREQUENCY(IF(Projektname&lt;&gt;"",MATCH(Projektname,Projektname,0)),ROW(Projektname)-ROW(Data!$A$4)+1),ROW(Projektname)-ROW(Data!$A$4)+1),ROWS(A$2:A131))),"")</f>
        <v/>
      </c>
      <c r="B131" s="13" t="str">
        <f t="array" aca="1" ref="B131" ca="1">IFERROR(INDEX(Projektname_ODW,MATCH(SMALL(COUNTIF(Projektname_ODW, "&lt;" &amp; Projektname_ODW),ROW(130:130)),COUNTIF(Projektname_ODW, "&lt;" &amp; Projektname_ODW),0)),"")</f>
        <v/>
      </c>
      <c r="C131" s="13" t="str">
        <f ca="1">IFERROR(IF(ROW(A131)-3&gt;COUNTIF(Data!$A:$A,Liste!$C$3),"",IF(INDEX(Tab_DaBa[],MATCH($C$3,Data!$A:$A,0)+125,2)="","",INDEX(Tab_DaBa[],MATCH($C$3,Data!$A:$A,0)+125,2))),"")</f>
        <v>13. Test13</v>
      </c>
    </row>
    <row r="132" spans="1:3">
      <c r="A132" s="13" t="str">
        <f t="array" aca="1" ref="A132" ca="1">IFERROR(INDEX(Projektname,SMALL(IF(FREQUENCY(IF(Projektname&lt;&gt;"",MATCH(Projektname,Projektname,0)),ROW(Projektname)-ROW(Data!$A$4)+1),ROW(Projektname)-ROW(Data!$A$4)+1),ROWS(A$2:A132))),"")</f>
        <v/>
      </c>
      <c r="B132" s="13" t="str">
        <f t="array" aca="1" ref="B132" ca="1">IFERROR(INDEX(Projektname_ODW,MATCH(SMALL(COUNTIF(Projektname_ODW, "&lt;" &amp; Projektname_ODW),ROW(131:131)),COUNTIF(Projektname_ODW, "&lt;" &amp; Projektname_ODW),0)),"")</f>
        <v/>
      </c>
      <c r="C132" s="13" t="str">
        <f ca="1">IFERROR(IF(ROW(A132)-3&gt;COUNTIF(Data!$A:$A,Liste!$C$3),"",IF(INDEX(Tab_DaBa[],MATCH($C$3,Data!$A:$A,0)+126,2)="","",INDEX(Tab_DaBa[],MATCH($C$3,Data!$A:$A,0)+126,2))),"")</f>
        <v>13. Test13</v>
      </c>
    </row>
    <row r="133" spans="1:3">
      <c r="A133" s="13" t="str">
        <f t="array" aca="1" ref="A133" ca="1">IFERROR(INDEX(Projektname,SMALL(IF(FREQUENCY(IF(Projektname&lt;&gt;"",MATCH(Projektname,Projektname,0)),ROW(Projektname)-ROW(Data!$A$4)+1),ROW(Projektname)-ROW(Data!$A$4)+1),ROWS(A$2:A133))),"")</f>
        <v/>
      </c>
      <c r="B133" s="13" t="str">
        <f t="array" aca="1" ref="B133" ca="1">IFERROR(INDEX(Projektname_ODW,MATCH(SMALL(COUNTIF(Projektname_ODW, "&lt;" &amp; Projektname_ODW),ROW(132:132)),COUNTIF(Projektname_ODW, "&lt;" &amp; Projektname_ODW),0)),"")</f>
        <v/>
      </c>
      <c r="C133" s="13" t="str">
        <f ca="1">IFERROR(IF(ROW(A133)-3&gt;COUNTIF(Data!$A:$A,Liste!$C$3),"",IF(INDEX(Tab_DaBa[],MATCH($C$3,Data!$A:$A,0)+127,2)="","",INDEX(Tab_DaBa[],MATCH($C$3,Data!$A:$A,0)+127,2))),"")</f>
        <v>13. Test13</v>
      </c>
    </row>
    <row r="134" spans="1:3">
      <c r="A134" s="13" t="str">
        <f t="array" aca="1" ref="A134" ca="1">IFERROR(INDEX(Projektname,SMALL(IF(FREQUENCY(IF(Projektname&lt;&gt;"",MATCH(Projektname,Projektname,0)),ROW(Projektname)-ROW(Data!$A$4)+1),ROW(Projektname)-ROW(Data!$A$4)+1),ROWS(A$2:A134))),"")</f>
        <v/>
      </c>
      <c r="B134" s="13" t="str">
        <f t="array" aca="1" ref="B134" ca="1">IFERROR(INDEX(Projektname_ODW,MATCH(SMALL(COUNTIF(Projektname_ODW, "&lt;" &amp; Projektname_ODW),ROW(133:133)),COUNTIF(Projektname_ODW, "&lt;" &amp; Projektname_ODW),0)),"")</f>
        <v/>
      </c>
      <c r="C134" s="13" t="str">
        <f ca="1">IFERROR(IF(ROW(A134)-3&gt;COUNTIF(Data!$A:$A,Liste!$C$3),"",IF(INDEX(Tab_DaBa[],MATCH($C$3,Data!$A:$A,0)+128,2)="","",INDEX(Tab_DaBa[],MATCH($C$3,Data!$A:$A,0)+128,2))),"")</f>
        <v>13. Test13</v>
      </c>
    </row>
    <row r="135" spans="1:3">
      <c r="A135" s="13" t="str">
        <f t="array" aca="1" ref="A135" ca="1">IFERROR(INDEX(Projektname,SMALL(IF(FREQUENCY(IF(Projektname&lt;&gt;"",MATCH(Projektname,Projektname,0)),ROW(Projektname)-ROW(Data!$A$4)+1),ROW(Projektname)-ROW(Data!$A$4)+1),ROWS(A$2:A135))),"")</f>
        <v/>
      </c>
      <c r="B135" s="13" t="str">
        <f t="array" aca="1" ref="B135" ca="1">IFERROR(INDEX(Projektname_ODW,MATCH(SMALL(COUNTIF(Projektname_ODW, "&lt;" &amp; Projektname_ODW),ROW(134:134)),COUNTIF(Projektname_ODW, "&lt;" &amp; Projektname_ODW),0)),"")</f>
        <v/>
      </c>
      <c r="C135" s="13" t="str">
        <f ca="1">IFERROR(IF(ROW(A135)-3&gt;COUNTIF(Data!$A:$A,Liste!$C$3),"",IF(INDEX(Tab_DaBa[],MATCH($C$3,Data!$A:$A,0)+129,2)="","",INDEX(Tab_DaBa[],MATCH($C$3,Data!$A:$A,0)+129,2))),"")</f>
        <v>14. Test14</v>
      </c>
    </row>
    <row r="136" spans="1:3">
      <c r="A136" s="13" t="str">
        <f t="array" aca="1" ref="A136" ca="1">IFERROR(INDEX(Projektname,SMALL(IF(FREQUENCY(IF(Projektname&lt;&gt;"",MATCH(Projektname,Projektname,0)),ROW(Projektname)-ROW(Data!$A$4)+1),ROW(Projektname)-ROW(Data!$A$4)+1),ROWS(A$2:A136))),"")</f>
        <v/>
      </c>
      <c r="B136" s="13" t="str">
        <f t="array" aca="1" ref="B136" ca="1">IFERROR(INDEX(Projektname_ODW,MATCH(SMALL(COUNTIF(Projektname_ODW, "&lt;" &amp; Projektname_ODW),ROW(135:135)),COUNTIF(Projektname_ODW, "&lt;" &amp; Projektname_ODW),0)),"")</f>
        <v/>
      </c>
      <c r="C136" s="13" t="str">
        <f ca="1">IFERROR(IF(ROW(A136)-3&gt;COUNTIF(Data!$A:$A,Liste!$C$3),"",IF(INDEX(Tab_DaBa[],MATCH($C$3,Data!$A:$A,0)+130,2)="","",INDEX(Tab_DaBa[],MATCH($C$3,Data!$A:$A,0)+130,2))),"")</f>
        <v>14. Test14</v>
      </c>
    </row>
    <row r="137" spans="1:3">
      <c r="A137" s="13" t="str">
        <f t="array" aca="1" ref="A137" ca="1">IFERROR(INDEX(Projektname,SMALL(IF(FREQUENCY(IF(Projektname&lt;&gt;"",MATCH(Projektname,Projektname,0)),ROW(Projektname)-ROW(Data!$A$4)+1),ROW(Projektname)-ROW(Data!$A$4)+1),ROWS(A$2:A137))),"")</f>
        <v/>
      </c>
      <c r="B137" s="13" t="str">
        <f t="array" aca="1" ref="B137" ca="1">IFERROR(INDEX(Projektname_ODW,MATCH(SMALL(COUNTIF(Projektname_ODW, "&lt;" &amp; Projektname_ODW),ROW(136:136)),COUNTIF(Projektname_ODW, "&lt;" &amp; Projektname_ODW),0)),"")</f>
        <v/>
      </c>
      <c r="C137" s="13" t="str">
        <f ca="1">IFERROR(IF(ROW(A137)-3&gt;COUNTIF(Data!$A:$A,Liste!$C$3),"",IF(INDEX(Tab_DaBa[],MATCH($C$3,Data!$A:$A,0)+131,2)="","",INDEX(Tab_DaBa[],MATCH($C$3,Data!$A:$A,0)+131,2))),"")</f>
        <v>14. Test14</v>
      </c>
    </row>
    <row r="138" spans="1:3">
      <c r="A138" s="13" t="str">
        <f t="array" aca="1" ref="A138" ca="1">IFERROR(INDEX(Projektname,SMALL(IF(FREQUENCY(IF(Projektname&lt;&gt;"",MATCH(Projektname,Projektname,0)),ROW(Projektname)-ROW(Data!$A$4)+1),ROW(Projektname)-ROW(Data!$A$4)+1),ROWS(A$2:A138))),"")</f>
        <v/>
      </c>
      <c r="B138" s="13" t="str">
        <f t="array" aca="1" ref="B138" ca="1">IFERROR(INDEX(Projektname_ODW,MATCH(SMALL(COUNTIF(Projektname_ODW, "&lt;" &amp; Projektname_ODW),ROW(137:137)),COUNTIF(Projektname_ODW, "&lt;" &amp; Projektname_ODW),0)),"")</f>
        <v/>
      </c>
      <c r="C138" s="13" t="str">
        <f ca="1">IFERROR(IF(ROW(A138)-3&gt;COUNTIF(Data!$A:$A,Liste!$C$3),"",IF(INDEX(Tab_DaBa[],MATCH($C$3,Data!$A:$A,0)+132,2)="","",INDEX(Tab_DaBa[],MATCH($C$3,Data!$A:$A,0)+132,2))),"")</f>
        <v>14. Test14</v>
      </c>
    </row>
    <row r="139" spans="1:3">
      <c r="A139" s="13" t="str">
        <f t="array" aca="1" ref="A139" ca="1">IFERROR(INDEX(Projektname,SMALL(IF(FREQUENCY(IF(Projektname&lt;&gt;"",MATCH(Projektname,Projektname,0)),ROW(Projektname)-ROW(Data!$A$4)+1),ROW(Projektname)-ROW(Data!$A$4)+1),ROWS(A$2:A139))),"")</f>
        <v/>
      </c>
      <c r="B139" s="13" t="str">
        <f t="array" aca="1" ref="B139" ca="1">IFERROR(INDEX(Projektname_ODW,MATCH(SMALL(COUNTIF(Projektname_ODW, "&lt;" &amp; Projektname_ODW),ROW(138:138)),COUNTIF(Projektname_ODW, "&lt;" &amp; Projektname_ODW),0)),"")</f>
        <v/>
      </c>
      <c r="C139" s="13" t="str">
        <f ca="1">IFERROR(IF(ROW(A139)-3&gt;COUNTIF(Data!$A:$A,Liste!$C$3),"",IF(INDEX(Tab_DaBa[],MATCH($C$3,Data!$A:$A,0)+133,2)="","",INDEX(Tab_DaBa[],MATCH($C$3,Data!$A:$A,0)+133,2))),"")</f>
        <v>14. Test14</v>
      </c>
    </row>
    <row r="140" spans="1:3">
      <c r="A140" s="13" t="str">
        <f t="array" aca="1" ref="A140" ca="1">IFERROR(INDEX(Projektname,SMALL(IF(FREQUENCY(IF(Projektname&lt;&gt;"",MATCH(Projektname,Projektname,0)),ROW(Projektname)-ROW(Data!$A$4)+1),ROW(Projektname)-ROW(Data!$A$4)+1),ROWS(A$2:A140))),"")</f>
        <v/>
      </c>
      <c r="B140" s="13" t="str">
        <f t="array" aca="1" ref="B140" ca="1">IFERROR(INDEX(Projektname_ODW,MATCH(SMALL(COUNTIF(Projektname_ODW, "&lt;" &amp; Projektname_ODW),ROW(139:139)),COUNTIF(Projektname_ODW, "&lt;" &amp; Projektname_ODW),0)),"")</f>
        <v/>
      </c>
      <c r="C140" s="13" t="str">
        <f ca="1">IFERROR(IF(ROW(A140)-3&gt;COUNTIF(Data!$A:$A,Liste!$C$3),"",IF(INDEX(Tab_DaBa[],MATCH($C$3,Data!$A:$A,0)+134,2)="","",INDEX(Tab_DaBa[],MATCH($C$3,Data!$A:$A,0)+134,2))),"")</f>
        <v>14. Test14</v>
      </c>
    </row>
    <row r="141" spans="1:3">
      <c r="A141" s="13" t="str">
        <f t="array" aca="1" ref="A141" ca="1">IFERROR(INDEX(Projektname,SMALL(IF(FREQUENCY(IF(Projektname&lt;&gt;"",MATCH(Projektname,Projektname,0)),ROW(Projektname)-ROW(Data!$A$4)+1),ROW(Projektname)-ROW(Data!$A$4)+1),ROWS(A$2:A141))),"")</f>
        <v/>
      </c>
      <c r="B141" s="13" t="str">
        <f t="array" aca="1" ref="B141" ca="1">IFERROR(INDEX(Projektname_ODW,MATCH(SMALL(COUNTIF(Projektname_ODW, "&lt;" &amp; Projektname_ODW),ROW(140:140)),COUNTIF(Projektname_ODW, "&lt;" &amp; Projektname_ODW),0)),"")</f>
        <v/>
      </c>
      <c r="C141" s="13" t="str">
        <f ca="1">IFERROR(IF(ROW(A141)-3&gt;COUNTIF(Data!$A:$A,Liste!$C$3),"",IF(INDEX(Tab_DaBa[],MATCH($C$3,Data!$A:$A,0)+135,2)="","",INDEX(Tab_DaBa[],MATCH($C$3,Data!$A:$A,0)+135,2))),"")</f>
        <v>14. Test14</v>
      </c>
    </row>
    <row r="142" spans="1:3">
      <c r="A142" s="13" t="str">
        <f t="array" aca="1" ref="A142" ca="1">IFERROR(INDEX(Projektname,SMALL(IF(FREQUENCY(IF(Projektname&lt;&gt;"",MATCH(Projektname,Projektname,0)),ROW(Projektname)-ROW(Data!$A$4)+1),ROW(Projektname)-ROW(Data!$A$4)+1),ROWS(A$2:A142))),"")</f>
        <v/>
      </c>
      <c r="B142" s="13" t="str">
        <f t="array" aca="1" ref="B142" ca="1">IFERROR(INDEX(Projektname_ODW,MATCH(SMALL(COUNTIF(Projektname_ODW, "&lt;" &amp; Projektname_ODW),ROW(141:141)),COUNTIF(Projektname_ODW, "&lt;" &amp; Projektname_ODW),0)),"")</f>
        <v/>
      </c>
      <c r="C142" s="13" t="str">
        <f ca="1">IFERROR(IF(ROW(A142)-3&gt;COUNTIF(Data!$A:$A,Liste!$C$3),"",IF(INDEX(Tab_DaBa[],MATCH($C$3,Data!$A:$A,0)+136,2)="","",INDEX(Tab_DaBa[],MATCH($C$3,Data!$A:$A,0)+136,2))),"")</f>
        <v>14. Test14</v>
      </c>
    </row>
    <row r="143" spans="1:3">
      <c r="A143" s="13" t="str">
        <f t="array" aca="1" ref="A143" ca="1">IFERROR(INDEX(Projektname,SMALL(IF(FREQUENCY(IF(Projektname&lt;&gt;"",MATCH(Projektname,Projektname,0)),ROW(Projektname)-ROW(Data!$A$4)+1),ROW(Projektname)-ROW(Data!$A$4)+1),ROWS(A$2:A143))),"")</f>
        <v/>
      </c>
      <c r="B143" s="13" t="str">
        <f t="array" aca="1" ref="B143" ca="1">IFERROR(INDEX(Projektname_ODW,MATCH(SMALL(COUNTIF(Projektname_ODW, "&lt;" &amp; Projektname_ODW),ROW(142:142)),COUNTIF(Projektname_ODW, "&lt;" &amp; Projektname_ODW),0)),"")</f>
        <v/>
      </c>
      <c r="C143" s="13" t="str">
        <f ca="1">IFERROR(IF(ROW(A143)-3&gt;COUNTIF(Data!$A:$A,Liste!$C$3),"",IF(INDEX(Tab_DaBa[],MATCH($C$3,Data!$A:$A,0)+137,2)="","",INDEX(Tab_DaBa[],MATCH($C$3,Data!$A:$A,0)+137,2))),"")</f>
        <v>14. Test14</v>
      </c>
    </row>
    <row r="144" spans="1:3">
      <c r="A144" s="13" t="str">
        <f t="array" aca="1" ref="A144" ca="1">IFERROR(INDEX(Projektname,SMALL(IF(FREQUENCY(IF(Projektname&lt;&gt;"",MATCH(Projektname,Projektname,0)),ROW(Projektname)-ROW(Data!$A$4)+1),ROW(Projektname)-ROW(Data!$A$4)+1),ROWS(A$2:A144))),"")</f>
        <v/>
      </c>
      <c r="B144" s="13" t="str">
        <f t="array" aca="1" ref="B144" ca="1">IFERROR(INDEX(Projektname_ODW,MATCH(SMALL(COUNTIF(Projektname_ODW, "&lt;" &amp; Projektname_ODW),ROW(143:143)),COUNTIF(Projektname_ODW, "&lt;" &amp; Projektname_ODW),0)),"")</f>
        <v/>
      </c>
      <c r="C144" s="13" t="str">
        <f ca="1">IFERROR(IF(ROW(A144)-3&gt;COUNTIF(Data!$A:$A,Liste!$C$3),"",IF(INDEX(Tab_DaBa[],MATCH($C$3,Data!$A:$A,0)+138,2)="","",INDEX(Tab_DaBa[],MATCH($C$3,Data!$A:$A,0)+138,2))),"")</f>
        <v>14. Test14</v>
      </c>
    </row>
    <row r="145" spans="1:3">
      <c r="A145" s="13" t="str">
        <f t="array" aca="1" ref="A145" ca="1">IFERROR(INDEX(Projektname,SMALL(IF(FREQUENCY(IF(Projektname&lt;&gt;"",MATCH(Projektname,Projektname,0)),ROW(Projektname)-ROW(Data!$A$4)+1),ROW(Projektname)-ROW(Data!$A$4)+1),ROWS(A$2:A145))),"")</f>
        <v/>
      </c>
      <c r="B145" s="13" t="str">
        <f t="array" aca="1" ref="B145" ca="1">IFERROR(INDEX(Projektname_ODW,MATCH(SMALL(COUNTIF(Projektname_ODW, "&lt;" &amp; Projektname_ODW),ROW(144:144)),COUNTIF(Projektname_ODW, "&lt;" &amp; Projektname_ODW),0)),"")</f>
        <v/>
      </c>
      <c r="C145" s="13" t="str">
        <f ca="1">IFERROR(IF(ROW(A145)-3&gt;COUNTIF(Data!$A:$A,Liste!$C$3),"",IF(INDEX(Tab_DaBa[],MATCH($C$3,Data!$A:$A,0)+139,2)="","",INDEX(Tab_DaBa[],MATCH($C$3,Data!$A:$A,0)+139,2))),"")</f>
        <v>15. Test15</v>
      </c>
    </row>
    <row r="146" spans="1:3">
      <c r="A146" s="13" t="str">
        <f t="array" aca="1" ref="A146" ca="1">IFERROR(INDEX(Projektname,SMALL(IF(FREQUENCY(IF(Projektname&lt;&gt;"",MATCH(Projektname,Projektname,0)),ROW(Projektname)-ROW(Data!$A$4)+1),ROW(Projektname)-ROW(Data!$A$4)+1),ROWS(A$2:A146))),"")</f>
        <v/>
      </c>
      <c r="B146" s="13" t="str">
        <f t="array" aca="1" ref="B146" ca="1">IFERROR(INDEX(Projektname_ODW,MATCH(SMALL(COUNTIF(Projektname_ODW, "&lt;" &amp; Projektname_ODW),ROW(145:145)),COUNTIF(Projektname_ODW, "&lt;" &amp; Projektname_ODW),0)),"")</f>
        <v/>
      </c>
      <c r="C146" s="13" t="str">
        <f ca="1">IFERROR(IF(ROW(A146)-3&gt;COUNTIF(Data!$A:$A,Liste!$C$3),"",IF(INDEX(Tab_DaBa[],MATCH($C$3,Data!$A:$A,0)+140,2)="","",INDEX(Tab_DaBa[],MATCH($C$3,Data!$A:$A,0)+140,2))),"")</f>
        <v>15. Test15</v>
      </c>
    </row>
    <row r="147" spans="1:3">
      <c r="A147" s="13" t="str">
        <f t="array" aca="1" ref="A147" ca="1">IFERROR(INDEX(Projektname,SMALL(IF(FREQUENCY(IF(Projektname&lt;&gt;"",MATCH(Projektname,Projektname,0)),ROW(Projektname)-ROW(Data!$A$4)+1),ROW(Projektname)-ROW(Data!$A$4)+1),ROWS(A$2:A147))),"")</f>
        <v/>
      </c>
      <c r="B147" s="13" t="str">
        <f t="array" aca="1" ref="B147" ca="1">IFERROR(INDEX(Projektname_ODW,MATCH(SMALL(COUNTIF(Projektname_ODW, "&lt;" &amp; Projektname_ODW),ROW(146:146)),COUNTIF(Projektname_ODW, "&lt;" &amp; Projektname_ODW),0)),"")</f>
        <v/>
      </c>
      <c r="C147" s="13" t="str">
        <f ca="1">IFERROR(IF(ROW(A147)-3&gt;COUNTIF(Data!$A:$A,Liste!$C$3),"",IF(INDEX(Tab_DaBa[],MATCH($C$3,Data!$A:$A,0)+141,2)="","",INDEX(Tab_DaBa[],MATCH($C$3,Data!$A:$A,0)+141,2))),"")</f>
        <v>15. Test15</v>
      </c>
    </row>
    <row r="148" spans="1:3">
      <c r="A148" s="13" t="str">
        <f t="array" aca="1" ref="A148" ca="1">IFERROR(INDEX(Projektname,SMALL(IF(FREQUENCY(IF(Projektname&lt;&gt;"",MATCH(Projektname,Projektname,0)),ROW(Projektname)-ROW(Data!$A$4)+1),ROW(Projektname)-ROW(Data!$A$4)+1),ROWS(A$2:A148))),"")</f>
        <v/>
      </c>
      <c r="B148" s="13" t="str">
        <f t="array" aca="1" ref="B148" ca="1">IFERROR(INDEX(Projektname_ODW,MATCH(SMALL(COUNTIF(Projektname_ODW, "&lt;" &amp; Projektname_ODW),ROW(147:147)),COUNTIF(Projektname_ODW, "&lt;" &amp; Projektname_ODW),0)),"")</f>
        <v/>
      </c>
      <c r="C148" s="13" t="str">
        <f ca="1">IFERROR(IF(ROW(A148)-3&gt;COUNTIF(Data!$A:$A,Liste!$C$3),"",IF(INDEX(Tab_DaBa[],MATCH($C$3,Data!$A:$A,0)+142,2)="","",INDEX(Tab_DaBa[],MATCH($C$3,Data!$A:$A,0)+142,2))),"")</f>
        <v>15. Test15</v>
      </c>
    </row>
    <row r="149" spans="1:3">
      <c r="A149" s="13" t="str">
        <f t="array" aca="1" ref="A149" ca="1">IFERROR(INDEX(Projektname,SMALL(IF(FREQUENCY(IF(Projektname&lt;&gt;"",MATCH(Projektname,Projektname,0)),ROW(Projektname)-ROW(Data!$A$4)+1),ROW(Projektname)-ROW(Data!$A$4)+1),ROWS(A$2:A149))),"")</f>
        <v/>
      </c>
      <c r="B149" s="13" t="str">
        <f t="array" aca="1" ref="B149" ca="1">IFERROR(INDEX(Projektname_ODW,MATCH(SMALL(COUNTIF(Projektname_ODW, "&lt;" &amp; Projektname_ODW),ROW(148:148)),COUNTIF(Projektname_ODW, "&lt;" &amp; Projektname_ODW),0)),"")</f>
        <v/>
      </c>
      <c r="C149" s="13" t="str">
        <f ca="1">IFERROR(IF(ROW(A149)-3&gt;COUNTIF(Data!$A:$A,Liste!$C$3),"",IF(INDEX(Tab_DaBa[],MATCH($C$3,Data!$A:$A,0)+143,2)="","",INDEX(Tab_DaBa[],MATCH($C$3,Data!$A:$A,0)+143,2))),"")</f>
        <v>15. Test15</v>
      </c>
    </row>
    <row r="150" spans="1:3">
      <c r="A150" s="13" t="str">
        <f t="array" aca="1" ref="A150" ca="1">IFERROR(INDEX(Projektname,SMALL(IF(FREQUENCY(IF(Projektname&lt;&gt;"",MATCH(Projektname,Projektname,0)),ROW(Projektname)-ROW(Data!$A$4)+1),ROW(Projektname)-ROW(Data!$A$4)+1),ROWS(A$2:A150))),"")</f>
        <v/>
      </c>
      <c r="B150" s="13" t="str">
        <f t="array" aca="1" ref="B150" ca="1">IFERROR(INDEX(Projektname_ODW,MATCH(SMALL(COUNTIF(Projektname_ODW, "&lt;" &amp; Projektname_ODW),ROW(149:149)),COUNTIF(Projektname_ODW, "&lt;" &amp; Projektname_ODW),0)),"")</f>
        <v/>
      </c>
      <c r="C150" s="13" t="str">
        <f ca="1">IFERROR(IF(ROW(A150)-3&gt;COUNTIF(Data!$A:$A,Liste!$C$3),"",IF(INDEX(Tab_DaBa[],MATCH($C$3,Data!$A:$A,0)+144,2)="","",INDEX(Tab_DaBa[],MATCH($C$3,Data!$A:$A,0)+144,2))),"")</f>
        <v>15. Test15</v>
      </c>
    </row>
    <row r="151" spans="1:3">
      <c r="A151" s="13" t="str">
        <f t="array" aca="1" ref="A151" ca="1">IFERROR(INDEX(Projektname,SMALL(IF(FREQUENCY(IF(Projektname&lt;&gt;"",MATCH(Projektname,Projektname,0)),ROW(Projektname)-ROW(Data!$A$4)+1),ROW(Projektname)-ROW(Data!$A$4)+1),ROWS(A$2:A151))),"")</f>
        <v/>
      </c>
      <c r="B151" s="13" t="str">
        <f t="array" aca="1" ref="B151" ca="1">IFERROR(INDEX(Projektname_ODW,MATCH(SMALL(COUNTIF(Projektname_ODW, "&lt;" &amp; Projektname_ODW),ROW(150:150)),COUNTIF(Projektname_ODW, "&lt;" &amp; Projektname_ODW),0)),"")</f>
        <v/>
      </c>
      <c r="C151" s="13" t="str">
        <f ca="1">IFERROR(IF(ROW(A151)-3&gt;COUNTIF(Data!$A:$A,Liste!$C$3),"",IF(INDEX(Tab_DaBa[],MATCH($C$3,Data!$A:$A,0)+145,2)="","",INDEX(Tab_DaBa[],MATCH($C$3,Data!$A:$A,0)+145,2))),"")</f>
        <v>15. Test15</v>
      </c>
    </row>
    <row r="152" spans="1:3">
      <c r="A152" s="13" t="str">
        <f t="array" aca="1" ref="A152" ca="1">IFERROR(INDEX(Projektname,SMALL(IF(FREQUENCY(IF(Projektname&lt;&gt;"",MATCH(Projektname,Projektname,0)),ROW(Projektname)-ROW(Data!$A$4)+1),ROW(Projektname)-ROW(Data!$A$4)+1),ROWS(A$2:A152))),"")</f>
        <v/>
      </c>
      <c r="B152" s="13" t="str">
        <f t="array" aca="1" ref="B152" ca="1">IFERROR(INDEX(Projektname_ODW,MATCH(SMALL(COUNTIF(Projektname_ODW, "&lt;" &amp; Projektname_ODW),ROW(151:151)),COUNTIF(Projektname_ODW, "&lt;" &amp; Projektname_ODW),0)),"")</f>
        <v/>
      </c>
      <c r="C152" s="13" t="str">
        <f ca="1">IFERROR(IF(ROW(A152)-3&gt;COUNTIF(Data!$A:$A,Liste!$C$3),"",IF(INDEX(Tab_DaBa[],MATCH($C$3,Data!$A:$A,0)+146,2)="","",INDEX(Tab_DaBa[],MATCH($C$3,Data!$A:$A,0)+146,2))),"")</f>
        <v>15. Test15</v>
      </c>
    </row>
    <row r="153" spans="1:3">
      <c r="A153" s="13" t="str">
        <f t="array" aca="1" ref="A153" ca="1">IFERROR(INDEX(Projektname,SMALL(IF(FREQUENCY(IF(Projektname&lt;&gt;"",MATCH(Projektname,Projektname,0)),ROW(Projektname)-ROW(Data!$A$4)+1),ROW(Projektname)-ROW(Data!$A$4)+1),ROWS(A$2:A153))),"")</f>
        <v/>
      </c>
      <c r="B153" s="13" t="str">
        <f t="array" aca="1" ref="B153" ca="1">IFERROR(INDEX(Projektname_ODW,MATCH(SMALL(COUNTIF(Projektname_ODW, "&lt;" &amp; Projektname_ODW),ROW(152:152)),COUNTIF(Projektname_ODW, "&lt;" &amp; Projektname_ODW),0)),"")</f>
        <v/>
      </c>
      <c r="C153" s="13" t="str">
        <f ca="1">IFERROR(IF(ROW(A153)-3&gt;COUNTIF(Data!$A:$A,Liste!$C$3),"",IF(INDEX(Tab_DaBa[],MATCH($C$3,Data!$A:$A,0)+147,2)="","",INDEX(Tab_DaBa[],MATCH($C$3,Data!$A:$A,0)+147,2))),"")</f>
        <v>15. Test15</v>
      </c>
    </row>
    <row r="154" spans="1:3">
      <c r="A154" s="13" t="str">
        <f t="array" aca="1" ref="A154" ca="1">IFERROR(INDEX(Projektname,SMALL(IF(FREQUENCY(IF(Projektname&lt;&gt;"",MATCH(Projektname,Projektname,0)),ROW(Projektname)-ROW(Data!$A$4)+1),ROW(Projektname)-ROW(Data!$A$4)+1),ROWS(A$2:A154))),"")</f>
        <v/>
      </c>
      <c r="B154" s="13" t="str">
        <f t="array" aca="1" ref="B154" ca="1">IFERROR(INDEX(Projektname_ODW,MATCH(SMALL(COUNTIF(Projektname_ODW, "&lt;" &amp; Projektname_ODW),ROW(153:153)),COUNTIF(Projektname_ODW, "&lt;" &amp; Projektname_ODW),0)),"")</f>
        <v/>
      </c>
      <c r="C154" s="13" t="str">
        <f ca="1">IFERROR(IF(ROW(A154)-3&gt;COUNTIF(Data!$A:$A,Liste!$C$3),"",IF(INDEX(Tab_DaBa[],MATCH($C$3,Data!$A:$A,0)+148,2)="","",INDEX(Tab_DaBa[],MATCH($C$3,Data!$A:$A,0)+148,2))),"")</f>
        <v>15. Test15</v>
      </c>
    </row>
    <row r="155" spans="1:3">
      <c r="A155" s="13" t="str">
        <f t="array" aca="1" ref="A155" ca="1">IFERROR(INDEX(Projektname,SMALL(IF(FREQUENCY(IF(Projektname&lt;&gt;"",MATCH(Projektname,Projektname,0)),ROW(Projektname)-ROW(Data!$A$4)+1),ROW(Projektname)-ROW(Data!$A$4)+1),ROWS(A$2:A155))),"")</f>
        <v/>
      </c>
      <c r="B155" s="13" t="str">
        <f t="array" aca="1" ref="B155" ca="1">IFERROR(INDEX(Projektname_ODW,MATCH(SMALL(COUNTIF(Projektname_ODW, "&lt;" &amp; Projektname_ODW),ROW(154:154)),COUNTIF(Projektname_ODW, "&lt;" &amp; Projektname_ODW),0)),"")</f>
        <v/>
      </c>
      <c r="C155" s="13" t="str">
        <f ca="1">IFERROR(IF(ROW(A155)-3&gt;COUNTIF(Data!$A:$A,Liste!$C$3),"",IF(INDEX(Tab_DaBa[],MATCH($C$3,Data!$A:$A,0)+149,2)="","",INDEX(Tab_DaBa[],MATCH($C$3,Data!$A:$A,0)+149,2))),"")</f>
        <v>16. Test16</v>
      </c>
    </row>
    <row r="156" spans="1:3">
      <c r="A156" s="13" t="str">
        <f t="array" aca="1" ref="A156" ca="1">IFERROR(INDEX(Projektname,SMALL(IF(FREQUENCY(IF(Projektname&lt;&gt;"",MATCH(Projektname,Projektname,0)),ROW(Projektname)-ROW(Data!$A$4)+1),ROW(Projektname)-ROW(Data!$A$4)+1),ROWS(A$2:A156))),"")</f>
        <v/>
      </c>
      <c r="B156" s="13" t="str">
        <f t="array" aca="1" ref="B156" ca="1">IFERROR(INDEX(Projektname_ODW,MATCH(SMALL(COUNTIF(Projektname_ODW, "&lt;" &amp; Projektname_ODW),ROW(155:155)),COUNTIF(Projektname_ODW, "&lt;" &amp; Projektname_ODW),0)),"")</f>
        <v/>
      </c>
      <c r="C156" s="13" t="str">
        <f ca="1">IFERROR(IF(ROW(A156)-3&gt;COUNTIF(Data!$A:$A,Liste!$C$3),"",IF(INDEX(Tab_DaBa[],MATCH($C$3,Data!$A:$A,0)+150,2)="","",INDEX(Tab_DaBa[],MATCH($C$3,Data!$A:$A,0)+150,2))),"")</f>
        <v>16. Test16</v>
      </c>
    </row>
    <row r="157" spans="1:3">
      <c r="A157" s="13" t="str">
        <f t="array" aca="1" ref="A157" ca="1">IFERROR(INDEX(Projektname,SMALL(IF(FREQUENCY(IF(Projektname&lt;&gt;"",MATCH(Projektname,Projektname,0)),ROW(Projektname)-ROW(Data!$A$4)+1),ROW(Projektname)-ROW(Data!$A$4)+1),ROWS(A$2:A157))),"")</f>
        <v/>
      </c>
      <c r="B157" s="13" t="str">
        <f t="array" aca="1" ref="B157" ca="1">IFERROR(INDEX(Projektname_ODW,MATCH(SMALL(COUNTIF(Projektname_ODW, "&lt;" &amp; Projektname_ODW),ROW(156:156)),COUNTIF(Projektname_ODW, "&lt;" &amp; Projektname_ODW),0)),"")</f>
        <v/>
      </c>
      <c r="C157" s="13" t="str">
        <f ca="1">IFERROR(IF(ROW(A157)-3&gt;COUNTIF(Data!$A:$A,Liste!$C$3),"",IF(INDEX(Tab_DaBa[],MATCH($C$3,Data!$A:$A,0)+151,2)="","",INDEX(Tab_DaBa[],MATCH($C$3,Data!$A:$A,0)+151,2))),"")</f>
        <v>16. Test16</v>
      </c>
    </row>
    <row r="158" spans="1:3">
      <c r="A158" s="13" t="str">
        <f t="array" aca="1" ref="A158" ca="1">IFERROR(INDEX(Projektname,SMALL(IF(FREQUENCY(IF(Projektname&lt;&gt;"",MATCH(Projektname,Projektname,0)),ROW(Projektname)-ROW(Data!$A$4)+1),ROW(Projektname)-ROW(Data!$A$4)+1),ROWS(A$2:A158))),"")</f>
        <v/>
      </c>
      <c r="B158" s="13" t="str">
        <f t="array" aca="1" ref="B158" ca="1">IFERROR(INDEX(Projektname_ODW,MATCH(SMALL(COUNTIF(Projektname_ODW, "&lt;" &amp; Projektname_ODW),ROW(157:157)),COUNTIF(Projektname_ODW, "&lt;" &amp; Projektname_ODW),0)),"")</f>
        <v/>
      </c>
      <c r="C158" s="13" t="str">
        <f ca="1">IFERROR(IF(ROW(A158)-3&gt;COUNTIF(Data!$A:$A,Liste!$C$3),"",IF(INDEX(Tab_DaBa[],MATCH($C$3,Data!$A:$A,0)+152,2)="","",INDEX(Tab_DaBa[],MATCH($C$3,Data!$A:$A,0)+152,2))),"")</f>
        <v>16. Test16</v>
      </c>
    </row>
    <row r="159" spans="1:3">
      <c r="A159" s="13" t="str">
        <f t="array" aca="1" ref="A159" ca="1">IFERROR(INDEX(Projektname,SMALL(IF(FREQUENCY(IF(Projektname&lt;&gt;"",MATCH(Projektname,Projektname,0)),ROW(Projektname)-ROW(Data!$A$4)+1),ROW(Projektname)-ROW(Data!$A$4)+1),ROWS(A$2:A159))),"")</f>
        <v/>
      </c>
      <c r="B159" s="13" t="str">
        <f t="array" aca="1" ref="B159" ca="1">IFERROR(INDEX(Projektname_ODW,MATCH(SMALL(COUNTIF(Projektname_ODW, "&lt;" &amp; Projektname_ODW),ROW(158:158)),COUNTIF(Projektname_ODW, "&lt;" &amp; Projektname_ODW),0)),"")</f>
        <v/>
      </c>
      <c r="C159" s="13" t="str">
        <f ca="1">IFERROR(IF(ROW(A159)-3&gt;COUNTIF(Data!$A:$A,Liste!$C$3),"",IF(INDEX(Tab_DaBa[],MATCH($C$3,Data!$A:$A,0)+153,2)="","",INDEX(Tab_DaBa[],MATCH($C$3,Data!$A:$A,0)+153,2))),"")</f>
        <v>16. Test16</v>
      </c>
    </row>
    <row r="160" spans="1:3">
      <c r="A160" s="13" t="str">
        <f t="array" aca="1" ref="A160" ca="1">IFERROR(INDEX(Projektname,SMALL(IF(FREQUENCY(IF(Projektname&lt;&gt;"",MATCH(Projektname,Projektname,0)),ROW(Projektname)-ROW(Data!$A$4)+1),ROW(Projektname)-ROW(Data!$A$4)+1),ROWS(A$2:A160))),"")</f>
        <v/>
      </c>
      <c r="B160" s="13" t="str">
        <f t="array" aca="1" ref="B160" ca="1">IFERROR(INDEX(Projektname_ODW,MATCH(SMALL(COUNTIF(Projektname_ODW, "&lt;" &amp; Projektname_ODW),ROW(159:159)),COUNTIF(Projektname_ODW, "&lt;" &amp; Projektname_ODW),0)),"")</f>
        <v/>
      </c>
      <c r="C160" s="13" t="str">
        <f ca="1">IFERROR(IF(ROW(A160)-3&gt;COUNTIF(Data!$A:$A,Liste!$C$3),"",IF(INDEX(Tab_DaBa[],MATCH($C$3,Data!$A:$A,0)+154,2)="","",INDEX(Tab_DaBa[],MATCH($C$3,Data!$A:$A,0)+154,2))),"")</f>
        <v>16. Test16</v>
      </c>
    </row>
    <row r="161" spans="1:3">
      <c r="A161" s="13" t="str">
        <f t="array" aca="1" ref="A161" ca="1">IFERROR(INDEX(Projektname,SMALL(IF(FREQUENCY(IF(Projektname&lt;&gt;"",MATCH(Projektname,Projektname,0)),ROW(Projektname)-ROW(Data!$A$4)+1),ROW(Projektname)-ROW(Data!$A$4)+1),ROWS(A$2:A161))),"")</f>
        <v/>
      </c>
      <c r="B161" s="13" t="str">
        <f t="array" aca="1" ref="B161" ca="1">IFERROR(INDEX(Projektname_ODW,MATCH(SMALL(COUNTIF(Projektname_ODW, "&lt;" &amp; Projektname_ODW),ROW(160:160)),COUNTIF(Projektname_ODW, "&lt;" &amp; Projektname_ODW),0)),"")</f>
        <v/>
      </c>
      <c r="C161" s="13" t="str">
        <f ca="1">IFERROR(IF(ROW(A161)-3&gt;COUNTIF(Data!$A:$A,Liste!$C$3),"",IF(INDEX(Tab_DaBa[],MATCH($C$3,Data!$A:$A,0)+155,2)="","",INDEX(Tab_DaBa[],MATCH($C$3,Data!$A:$A,0)+155,2))),"")</f>
        <v>16. Test16</v>
      </c>
    </row>
    <row r="162" spans="1:3">
      <c r="A162" s="13" t="str">
        <f t="array" aca="1" ref="A162" ca="1">IFERROR(INDEX(Projektname,SMALL(IF(FREQUENCY(IF(Projektname&lt;&gt;"",MATCH(Projektname,Projektname,0)),ROW(Projektname)-ROW(Data!$A$4)+1),ROW(Projektname)-ROW(Data!$A$4)+1),ROWS(A$2:A162))),"")</f>
        <v/>
      </c>
      <c r="B162" s="13" t="str">
        <f t="array" aca="1" ref="B162" ca="1">IFERROR(INDEX(Projektname_ODW,MATCH(SMALL(COUNTIF(Projektname_ODW, "&lt;" &amp; Projektname_ODW),ROW(161:161)),COUNTIF(Projektname_ODW, "&lt;" &amp; Projektname_ODW),0)),"")</f>
        <v/>
      </c>
      <c r="C162" s="13" t="str">
        <f ca="1">IFERROR(IF(ROW(A162)-3&gt;COUNTIF(Data!$A:$A,Liste!$C$3),"",IF(INDEX(Tab_DaBa[],MATCH($C$3,Data!$A:$A,0)+156,2)="","",INDEX(Tab_DaBa[],MATCH($C$3,Data!$A:$A,0)+156,2))),"")</f>
        <v>16. Test16</v>
      </c>
    </row>
    <row r="163" spans="1:3">
      <c r="A163" s="13" t="str">
        <f t="array" aca="1" ref="A163" ca="1">IFERROR(INDEX(Projektname,SMALL(IF(FREQUENCY(IF(Projektname&lt;&gt;"",MATCH(Projektname,Projektname,0)),ROW(Projektname)-ROW(Data!$A$4)+1),ROW(Projektname)-ROW(Data!$A$4)+1),ROWS(A$2:A163))),"")</f>
        <v/>
      </c>
      <c r="B163" s="13" t="str">
        <f t="array" aca="1" ref="B163" ca="1">IFERROR(INDEX(Projektname_ODW,MATCH(SMALL(COUNTIF(Projektname_ODW, "&lt;" &amp; Projektname_ODW),ROW(162:162)),COUNTIF(Projektname_ODW, "&lt;" &amp; Projektname_ODW),0)),"")</f>
        <v/>
      </c>
      <c r="C163" s="13" t="str">
        <f ca="1">IFERROR(IF(ROW(A163)-3&gt;COUNTIF(Data!$A:$A,Liste!$C$3),"",IF(INDEX(Tab_DaBa[],MATCH($C$3,Data!$A:$A,0)+157,2)="","",INDEX(Tab_DaBa[],MATCH($C$3,Data!$A:$A,0)+157,2))),"")</f>
        <v>16. Test16</v>
      </c>
    </row>
    <row r="164" spans="1:3">
      <c r="A164" s="13" t="str">
        <f t="array" aca="1" ref="A164" ca="1">IFERROR(INDEX(Projektname,SMALL(IF(FREQUENCY(IF(Projektname&lt;&gt;"",MATCH(Projektname,Projektname,0)),ROW(Projektname)-ROW(Data!$A$4)+1),ROW(Projektname)-ROW(Data!$A$4)+1),ROWS(A$2:A164))),"")</f>
        <v/>
      </c>
      <c r="B164" s="13" t="str">
        <f t="array" aca="1" ref="B164" ca="1">IFERROR(INDEX(Projektname_ODW,MATCH(SMALL(COUNTIF(Projektname_ODW, "&lt;" &amp; Projektname_ODW),ROW(163:163)),COUNTIF(Projektname_ODW, "&lt;" &amp; Projektname_ODW),0)),"")</f>
        <v/>
      </c>
      <c r="C164" s="13" t="str">
        <f ca="1">IFERROR(IF(ROW(A164)-3&gt;COUNTIF(Data!$A:$A,Liste!$C$3),"",IF(INDEX(Tab_DaBa[],MATCH($C$3,Data!$A:$A,0)+158,2)="","",INDEX(Tab_DaBa[],MATCH($C$3,Data!$A:$A,0)+158,2))),"")</f>
        <v>16. Test16</v>
      </c>
    </row>
    <row r="165" spans="1:3">
      <c r="A165" s="13" t="str">
        <f t="array" aca="1" ref="A165" ca="1">IFERROR(INDEX(Projektname,SMALL(IF(FREQUENCY(IF(Projektname&lt;&gt;"",MATCH(Projektname,Projektname,0)),ROW(Projektname)-ROW(Data!$A$4)+1),ROW(Projektname)-ROW(Data!$A$4)+1),ROWS(A$2:A165))),"")</f>
        <v/>
      </c>
      <c r="B165" s="13" t="str">
        <f t="array" aca="1" ref="B165" ca="1">IFERROR(INDEX(Projektname_ODW,MATCH(SMALL(COUNTIF(Projektname_ODW, "&lt;" &amp; Projektname_ODW),ROW(164:164)),COUNTIF(Projektname_ODW, "&lt;" &amp; Projektname_ODW),0)),"")</f>
        <v/>
      </c>
      <c r="C165" s="13" t="str">
        <f ca="1">IFERROR(IF(ROW(A165)-3&gt;COUNTIF(Data!$A:$A,Liste!$C$3),"",IF(INDEX(Tab_DaBa[],MATCH($C$3,Data!$A:$A,0)+159,2)="","",INDEX(Tab_DaBa[],MATCH($C$3,Data!$A:$A,0)+159,2))),"")</f>
        <v/>
      </c>
    </row>
    <row r="166" spans="1:3">
      <c r="A166" s="13" t="str">
        <f t="array" aca="1" ref="A166" ca="1">IFERROR(INDEX(Projektname,SMALL(IF(FREQUENCY(IF(Projektname&lt;&gt;"",MATCH(Projektname,Projektname,0)),ROW(Projektname)-ROW(Data!$A$4)+1),ROW(Projektname)-ROW(Data!$A$4)+1),ROWS(A$2:A166))),"")</f>
        <v/>
      </c>
      <c r="B166" s="13" t="str">
        <f t="array" aca="1" ref="B166" ca="1">IFERROR(INDEX(Projektname_ODW,MATCH(SMALL(COUNTIF(Projektname_ODW, "&lt;" &amp; Projektname_ODW),ROW(165:165)),COUNTIF(Projektname_ODW, "&lt;" &amp; Projektname_ODW),0)),"")</f>
        <v/>
      </c>
      <c r="C166" s="13" t="str">
        <f ca="1">IFERROR(IF(ROW(A166)-3&gt;COUNTIF(Data!$A:$A,Liste!$C$3),"",IF(INDEX(Tab_DaBa[],MATCH($C$3,Data!$A:$A,0)+160,2)="","",INDEX(Tab_DaBa[],MATCH($C$3,Data!$A:$A,0)+160,2))),"")</f>
        <v/>
      </c>
    </row>
    <row r="167" spans="1:3">
      <c r="A167" s="13" t="str">
        <f t="array" aca="1" ref="A167" ca="1">IFERROR(INDEX(Projektname,SMALL(IF(FREQUENCY(IF(Projektname&lt;&gt;"",MATCH(Projektname,Projektname,0)),ROW(Projektname)-ROW(Data!$A$4)+1),ROW(Projektname)-ROW(Data!$A$4)+1),ROWS(A$2:A167))),"")</f>
        <v/>
      </c>
      <c r="B167" s="13" t="str">
        <f t="array" aca="1" ref="B167" ca="1">IFERROR(INDEX(Projektname_ODW,MATCH(SMALL(COUNTIF(Projektname_ODW, "&lt;" &amp; Projektname_ODW),ROW(166:166)),COUNTIF(Projektname_ODW, "&lt;" &amp; Projektname_ODW),0)),"")</f>
        <v/>
      </c>
      <c r="C167" s="13" t="str">
        <f ca="1">IFERROR(IF(ROW(A167)-3&gt;COUNTIF(Data!$A:$A,Liste!$C$3),"",IF(INDEX(Tab_DaBa[],MATCH($C$3,Data!$A:$A,0)+161,2)="","",INDEX(Tab_DaBa[],MATCH($C$3,Data!$A:$A,0)+161,2))),"")</f>
        <v/>
      </c>
    </row>
    <row r="168" spans="1:3">
      <c r="A168" s="13" t="str">
        <f t="array" aca="1" ref="A168" ca="1">IFERROR(INDEX(Projektname,SMALL(IF(FREQUENCY(IF(Projektname&lt;&gt;"",MATCH(Projektname,Projektname,0)),ROW(Projektname)-ROW(Data!$A$4)+1),ROW(Projektname)-ROW(Data!$A$4)+1),ROWS(A$2:A168))),"")</f>
        <v/>
      </c>
      <c r="B168" s="13" t="str">
        <f t="array" aca="1" ref="B168" ca="1">IFERROR(INDEX(Projektname_ODW,MATCH(SMALL(COUNTIF(Projektname_ODW, "&lt;" &amp; Projektname_ODW),ROW(167:167)),COUNTIF(Projektname_ODW, "&lt;" &amp; Projektname_ODW),0)),"")</f>
        <v/>
      </c>
      <c r="C168" s="13" t="str">
        <f ca="1">IFERROR(IF(ROW(A168)-3&gt;COUNTIF(Data!$A:$A,Liste!$C$3),"",IF(INDEX(Tab_DaBa[],MATCH($C$3,Data!$A:$A,0)+162,2)="","",INDEX(Tab_DaBa[],MATCH($C$3,Data!$A:$A,0)+162,2))),"")</f>
        <v/>
      </c>
    </row>
    <row r="169" spans="1:3">
      <c r="A169" s="13" t="str">
        <f t="array" aca="1" ref="A169" ca="1">IFERROR(INDEX(Projektname,SMALL(IF(FREQUENCY(IF(Projektname&lt;&gt;"",MATCH(Projektname,Projektname,0)),ROW(Projektname)-ROW(Data!$A$4)+1),ROW(Projektname)-ROW(Data!$A$4)+1),ROWS(A$2:A169))),"")</f>
        <v/>
      </c>
      <c r="B169" s="13" t="str">
        <f t="array" aca="1" ref="B169" ca="1">IFERROR(INDEX(Projektname_ODW,MATCH(SMALL(COUNTIF(Projektname_ODW, "&lt;" &amp; Projektname_ODW),ROW(168:168)),COUNTIF(Projektname_ODW, "&lt;" &amp; Projektname_ODW),0)),"")</f>
        <v/>
      </c>
      <c r="C169" s="13" t="str">
        <f ca="1">IFERROR(IF(ROW(A169)-3&gt;COUNTIF(Data!$A:$A,Liste!$C$3),"",IF(INDEX(Tab_DaBa[],MATCH($C$3,Data!$A:$A,0)+163,2)="","",INDEX(Tab_DaBa[],MATCH($C$3,Data!$A:$A,0)+163,2))),"")</f>
        <v/>
      </c>
    </row>
    <row r="170" spans="1:3">
      <c r="A170" s="13" t="str">
        <f t="array" aca="1" ref="A170" ca="1">IFERROR(INDEX(Projektname,SMALL(IF(FREQUENCY(IF(Projektname&lt;&gt;"",MATCH(Projektname,Projektname,0)),ROW(Projektname)-ROW(Data!$A$4)+1),ROW(Projektname)-ROW(Data!$A$4)+1),ROWS(A$2:A170))),"")</f>
        <v/>
      </c>
      <c r="B170" s="13" t="str">
        <f t="array" aca="1" ref="B170" ca="1">IFERROR(INDEX(Projektname_ODW,MATCH(SMALL(COUNTIF(Projektname_ODW, "&lt;" &amp; Projektname_ODW),ROW(169:169)),COUNTIF(Projektname_ODW, "&lt;" &amp; Projektname_ODW),0)),"")</f>
        <v/>
      </c>
      <c r="C170" s="13" t="str">
        <f ca="1">IFERROR(IF(ROW(A170)-3&gt;COUNTIF(Data!$A:$A,Liste!$C$3),"",IF(INDEX(Tab_DaBa[],MATCH($C$3,Data!$A:$A,0)+164,2)="","",INDEX(Tab_DaBa[],MATCH($C$3,Data!$A:$A,0)+164,2))),"")</f>
        <v/>
      </c>
    </row>
    <row r="171" spans="1:3">
      <c r="A171" s="13" t="str">
        <f t="array" aca="1" ref="A171" ca="1">IFERROR(INDEX(Projektname,SMALL(IF(FREQUENCY(IF(Projektname&lt;&gt;"",MATCH(Projektname,Projektname,0)),ROW(Projektname)-ROW(Data!$A$4)+1),ROW(Projektname)-ROW(Data!$A$4)+1),ROWS(A$2:A171))),"")</f>
        <v/>
      </c>
      <c r="B171" s="13" t="str">
        <f t="array" aca="1" ref="B171" ca="1">IFERROR(INDEX(Projektname_ODW,MATCH(SMALL(COUNTIF(Projektname_ODW, "&lt;" &amp; Projektname_ODW),ROW(170:170)),COUNTIF(Projektname_ODW, "&lt;" &amp; Projektname_ODW),0)),"")</f>
        <v/>
      </c>
      <c r="C171" s="13" t="str">
        <f ca="1">IFERROR(IF(ROW(A171)-3&gt;COUNTIF(Data!$A:$A,Liste!$C$3),"",IF(INDEX(Tab_DaBa[],MATCH($C$3,Data!$A:$A,0)+165,2)="","",INDEX(Tab_DaBa[],MATCH($C$3,Data!$A:$A,0)+165,2))),"")</f>
        <v/>
      </c>
    </row>
    <row r="172" spans="1:3">
      <c r="A172" s="13" t="str">
        <f t="array" aca="1" ref="A172" ca="1">IFERROR(INDEX(Projektname,SMALL(IF(FREQUENCY(IF(Projektname&lt;&gt;"",MATCH(Projektname,Projektname,0)),ROW(Projektname)-ROW(Data!$A$4)+1),ROW(Projektname)-ROW(Data!$A$4)+1),ROWS(A$2:A172))),"")</f>
        <v/>
      </c>
      <c r="B172" s="13" t="str">
        <f t="array" aca="1" ref="B172" ca="1">IFERROR(INDEX(Projektname_ODW,MATCH(SMALL(COUNTIF(Projektname_ODW, "&lt;" &amp; Projektname_ODW),ROW(171:171)),COUNTIF(Projektname_ODW, "&lt;" &amp; Projektname_ODW),0)),"")</f>
        <v/>
      </c>
      <c r="C172" s="13" t="str">
        <f ca="1">IFERROR(IF(ROW(A172)-3&gt;COUNTIF(Data!$A:$A,Liste!$C$3),"",IF(INDEX(Tab_DaBa[],MATCH($C$3,Data!$A:$A,0)+166,2)="","",INDEX(Tab_DaBa[],MATCH($C$3,Data!$A:$A,0)+166,2))),"")</f>
        <v/>
      </c>
    </row>
    <row r="173" spans="1:3">
      <c r="A173" s="13" t="str">
        <f t="array" aca="1" ref="A173" ca="1">IFERROR(INDEX(Projektname,SMALL(IF(FREQUENCY(IF(Projektname&lt;&gt;"",MATCH(Projektname,Projektname,0)),ROW(Projektname)-ROW(Data!$A$4)+1),ROW(Projektname)-ROW(Data!$A$4)+1),ROWS(A$2:A173))),"")</f>
        <v/>
      </c>
      <c r="B173" s="13" t="str">
        <f t="array" aca="1" ref="B173" ca="1">IFERROR(INDEX(Projektname_ODW,MATCH(SMALL(COUNTIF(Projektname_ODW, "&lt;" &amp; Projektname_ODW),ROW(172:172)),COUNTIF(Projektname_ODW, "&lt;" &amp; Projektname_ODW),0)),"")</f>
        <v/>
      </c>
      <c r="C173" s="13" t="str">
        <f ca="1">IFERROR(IF(ROW(A173)-3&gt;COUNTIF(Data!$A:$A,Liste!$C$3),"",IF(INDEX(Tab_DaBa[],MATCH($C$3,Data!$A:$A,0)+167,2)="","",INDEX(Tab_DaBa[],MATCH($C$3,Data!$A:$A,0)+167,2))),"")</f>
        <v/>
      </c>
    </row>
    <row r="174" spans="1:3">
      <c r="A174" s="13" t="str">
        <f t="array" aca="1" ref="A174" ca="1">IFERROR(INDEX(Projektname,SMALL(IF(FREQUENCY(IF(Projektname&lt;&gt;"",MATCH(Projektname,Projektname,0)),ROW(Projektname)-ROW(Data!$A$4)+1),ROW(Projektname)-ROW(Data!$A$4)+1),ROWS(A$2:A174))),"")</f>
        <v/>
      </c>
      <c r="B174" s="13" t="str">
        <f t="array" aca="1" ref="B174" ca="1">IFERROR(INDEX(Projektname_ODW,MATCH(SMALL(COUNTIF(Projektname_ODW, "&lt;" &amp; Projektname_ODW),ROW(173:173)),COUNTIF(Projektname_ODW, "&lt;" &amp; Projektname_ODW),0)),"")</f>
        <v/>
      </c>
      <c r="C174" s="13" t="str">
        <f ca="1">IFERROR(IF(ROW(A174)-3&gt;COUNTIF(Data!$A:$A,Liste!$C$3),"",IF(INDEX(Tab_DaBa[],MATCH($C$3,Data!$A:$A,0)+168,2)="","",INDEX(Tab_DaBa[],MATCH($C$3,Data!$A:$A,0)+168,2))),"")</f>
        <v/>
      </c>
    </row>
    <row r="175" spans="1:3">
      <c r="A175" s="13" t="str">
        <f t="array" aca="1" ref="A175" ca="1">IFERROR(INDEX(Projektname,SMALL(IF(FREQUENCY(IF(Projektname&lt;&gt;"",MATCH(Projektname,Projektname,0)),ROW(Projektname)-ROW(Data!$A$4)+1),ROW(Projektname)-ROW(Data!$A$4)+1),ROWS(A$2:A175))),"")</f>
        <v/>
      </c>
      <c r="B175" s="13" t="str">
        <f t="array" aca="1" ref="B175" ca="1">IFERROR(INDEX(Projektname_ODW,MATCH(SMALL(COUNTIF(Projektname_ODW, "&lt;" &amp; Projektname_ODW),ROW(174:174)),COUNTIF(Projektname_ODW, "&lt;" &amp; Projektname_ODW),0)),"")</f>
        <v/>
      </c>
      <c r="C175" s="13" t="str">
        <f ca="1">IFERROR(IF(ROW(A175)-3&gt;COUNTIF(Data!$A:$A,Liste!$C$3),"",IF(INDEX(Tab_DaBa[],MATCH($C$3,Data!$A:$A,0)+169,2)="","",INDEX(Tab_DaBa[],MATCH($C$3,Data!$A:$A,0)+169,2))),"")</f>
        <v/>
      </c>
    </row>
    <row r="176" spans="1:3">
      <c r="A176" s="13" t="str">
        <f t="array" aca="1" ref="A176" ca="1">IFERROR(INDEX(Projektname,SMALL(IF(FREQUENCY(IF(Projektname&lt;&gt;"",MATCH(Projektname,Projektname,0)),ROW(Projektname)-ROW(Data!$A$4)+1),ROW(Projektname)-ROW(Data!$A$4)+1),ROWS(A$2:A176))),"")</f>
        <v/>
      </c>
      <c r="B176" s="13" t="str">
        <f t="array" aca="1" ref="B176" ca="1">IFERROR(INDEX(Projektname_ODW,MATCH(SMALL(COUNTIF(Projektname_ODW, "&lt;" &amp; Projektname_ODW),ROW(175:175)),COUNTIF(Projektname_ODW, "&lt;" &amp; Projektname_ODW),0)),"")</f>
        <v/>
      </c>
      <c r="C176" s="13" t="str">
        <f ca="1">IFERROR(IF(ROW(A176)-3&gt;COUNTIF(Data!$A:$A,Liste!$C$3),"",IF(INDEX(Tab_DaBa[],MATCH($C$3,Data!$A:$A,0)+170,2)="","",INDEX(Tab_DaBa[],MATCH($C$3,Data!$A:$A,0)+170,2))),"")</f>
        <v/>
      </c>
    </row>
    <row r="177" spans="1:3">
      <c r="A177" s="13" t="str">
        <f t="array" aca="1" ref="A177" ca="1">IFERROR(INDEX(Projektname,SMALL(IF(FREQUENCY(IF(Projektname&lt;&gt;"",MATCH(Projektname,Projektname,0)),ROW(Projektname)-ROW(Data!$A$4)+1),ROW(Projektname)-ROW(Data!$A$4)+1),ROWS(A$2:A177))),"")</f>
        <v/>
      </c>
      <c r="B177" s="13" t="str">
        <f t="array" aca="1" ref="B177" ca="1">IFERROR(INDEX(Projektname_ODW,MATCH(SMALL(COUNTIF(Projektname_ODW, "&lt;" &amp; Projektname_ODW),ROW(176:176)),COUNTIF(Projektname_ODW, "&lt;" &amp; Projektname_ODW),0)),"")</f>
        <v/>
      </c>
      <c r="C177" s="13" t="str">
        <f ca="1">IFERROR(IF(ROW(A177)-3&gt;COUNTIF(Data!$A:$A,Liste!$C$3),"",IF(INDEX(Tab_DaBa[],MATCH($C$3,Data!$A:$A,0)+171,2)="","",INDEX(Tab_DaBa[],MATCH($C$3,Data!$A:$A,0)+171,2))),"")</f>
        <v/>
      </c>
    </row>
    <row r="178" spans="1:3">
      <c r="A178" s="13" t="str">
        <f t="array" aca="1" ref="A178" ca="1">IFERROR(INDEX(Projektname,SMALL(IF(FREQUENCY(IF(Projektname&lt;&gt;"",MATCH(Projektname,Projektname,0)),ROW(Projektname)-ROW(Data!$A$4)+1),ROW(Projektname)-ROW(Data!$A$4)+1),ROWS(A$2:A178))),"")</f>
        <v/>
      </c>
      <c r="B178" s="13" t="str">
        <f t="array" aca="1" ref="B178" ca="1">IFERROR(INDEX(Projektname_ODW,MATCH(SMALL(COUNTIF(Projektname_ODW, "&lt;" &amp; Projektname_ODW),ROW(177:177)),COUNTIF(Projektname_ODW, "&lt;" &amp; Projektname_ODW),0)),"")</f>
        <v/>
      </c>
    </row>
    <row r="179" spans="1:3">
      <c r="A179" s="13" t="str">
        <f t="array" aca="1" ref="A179" ca="1">IFERROR(INDEX(Projektname,SMALL(IF(FREQUENCY(IF(Projektname&lt;&gt;"",MATCH(Projektname,Projektname,0)),ROW(Projektname)-ROW(Data!$A$4)+1),ROW(Projektname)-ROW(Data!$A$4)+1),ROWS(A$2:A179))),"")</f>
        <v/>
      </c>
      <c r="B179" s="13" t="str">
        <f t="array" aca="1" ref="B179" ca="1">IFERROR(INDEX(Projektname_ODW,MATCH(SMALL(COUNTIF(Projektname_ODW, "&lt;" &amp; Projektname_ODW),ROW(178:178)),COUNTIF(Projektname_ODW, "&lt;" &amp; Projektname_ODW),0)),"")</f>
        <v/>
      </c>
    </row>
    <row r="180" spans="1:3">
      <c r="A180" s="13" t="str">
        <f t="array" aca="1" ref="A180" ca="1">IFERROR(INDEX(Projektname,SMALL(IF(FREQUENCY(IF(Projektname&lt;&gt;"",MATCH(Projektname,Projektname,0)),ROW(Projektname)-ROW(Data!$A$4)+1),ROW(Projektname)-ROW(Data!$A$4)+1),ROWS(A$2:A180))),"")</f>
        <v/>
      </c>
      <c r="B180" s="13" t="str">
        <f t="array" aca="1" ref="B180" ca="1">IFERROR(INDEX(Projektname_ODW,MATCH(SMALL(COUNTIF(Projektname_ODW, "&lt;" &amp; Projektname_ODW),ROW(179:179)),COUNTIF(Projektname_ODW, "&lt;" &amp; Projektname_ODW),0)),"")</f>
        <v/>
      </c>
    </row>
    <row r="181" spans="1:3">
      <c r="A181" s="13" t="str">
        <f t="array" aca="1" ref="A181" ca="1">IFERROR(INDEX(Projektname,SMALL(IF(FREQUENCY(IF(Projektname&lt;&gt;"",MATCH(Projektname,Projektname,0)),ROW(Projektname)-ROW(Data!$A$4)+1),ROW(Projektname)-ROW(Data!$A$4)+1),ROWS(A$2:A181))),"")</f>
        <v/>
      </c>
      <c r="B181" s="13" t="str">
        <f t="array" aca="1" ref="B181" ca="1">IFERROR(INDEX(Projektname_ODW,MATCH(SMALL(COUNTIF(Projektname_ODW, "&lt;" &amp; Projektname_ODW),ROW(180:180)),COUNTIF(Projektname_ODW, "&lt;" &amp; Projektname_ODW),0)),"")</f>
        <v/>
      </c>
    </row>
    <row r="182" spans="1:3">
      <c r="A182" s="13" t="str">
        <f t="array" aca="1" ref="A182" ca="1">IFERROR(INDEX(Projektname,SMALL(IF(FREQUENCY(IF(Projektname&lt;&gt;"",MATCH(Projektname,Projektname,0)),ROW(Projektname)-ROW(Data!$A$4)+1),ROW(Projektname)-ROW(Data!$A$4)+1),ROWS(A$2:A182))),"")</f>
        <v/>
      </c>
      <c r="B182" s="13" t="str">
        <f t="array" aca="1" ref="B182" ca="1">IFERROR(INDEX(Projektname_ODW,MATCH(SMALL(COUNTIF(Projektname_ODW, "&lt;" &amp; Projektname_ODW),ROW(181:181)),COUNTIF(Projektname_ODW, "&lt;" &amp; Projektname_ODW),0)),"")</f>
        <v/>
      </c>
    </row>
    <row r="183" spans="1:3">
      <c r="A183" s="13" t="str">
        <f t="array" aca="1" ref="A183" ca="1">IFERROR(INDEX(Projektname,SMALL(IF(FREQUENCY(IF(Projektname&lt;&gt;"",MATCH(Projektname,Projektname,0)),ROW(Projektname)-ROW(Data!$A$4)+1),ROW(Projektname)-ROW(Data!$A$4)+1),ROWS(A$2:A183))),"")</f>
        <v/>
      </c>
      <c r="B183" s="13" t="str">
        <f t="array" aca="1" ref="B183" ca="1">IFERROR(INDEX(Projektname_ODW,MATCH(SMALL(COUNTIF(Projektname_ODW, "&lt;" &amp; Projektname_ODW),ROW(182:182)),COUNTIF(Projektname_ODW, "&lt;" &amp; Projektname_ODW),0)),"")</f>
        <v/>
      </c>
    </row>
    <row r="184" spans="1:3">
      <c r="A184" s="13" t="str">
        <f t="array" aca="1" ref="A184" ca="1">IFERROR(INDEX(Projektname,SMALL(IF(FREQUENCY(IF(Projektname&lt;&gt;"",MATCH(Projektname,Projektname,0)),ROW(Projektname)-ROW(Data!$A$4)+1),ROW(Projektname)-ROW(Data!$A$4)+1),ROWS(A$2:A184))),"")</f>
        <v/>
      </c>
      <c r="B184" s="13" t="str">
        <f t="array" aca="1" ref="B184" ca="1">IFERROR(INDEX(Projektname_ODW,MATCH(SMALL(COUNTIF(Projektname_ODW, "&lt;" &amp; Projektname_ODW),ROW(183:183)),COUNTIF(Projektname_ODW, "&lt;" &amp; Projektname_ODW),0)),"")</f>
        <v/>
      </c>
    </row>
    <row r="185" spans="1:3">
      <c r="A185" s="13" t="str">
        <f t="array" aca="1" ref="A185" ca="1">IFERROR(INDEX(Projektname,SMALL(IF(FREQUENCY(IF(Projektname&lt;&gt;"",MATCH(Projektname,Projektname,0)),ROW(Projektname)-ROW(Data!$A$4)+1),ROW(Projektname)-ROW(Data!$A$4)+1),ROWS(A$2:A185))),"")</f>
        <v/>
      </c>
      <c r="B185" s="13" t="str">
        <f t="array" aca="1" ref="B185" ca="1">IFERROR(INDEX(Projektname_ODW,MATCH(SMALL(COUNTIF(Projektname_ODW, "&lt;" &amp; Projektname_ODW),ROW(184:184)),COUNTIF(Projektname_ODW, "&lt;" &amp; Projektname_ODW),0)),"")</f>
        <v/>
      </c>
    </row>
    <row r="186" spans="1:3">
      <c r="A186" s="13" t="str">
        <f t="array" aca="1" ref="A186" ca="1">IFERROR(INDEX(Projektname,SMALL(IF(FREQUENCY(IF(Projektname&lt;&gt;"",MATCH(Projektname,Projektname,0)),ROW(Projektname)-ROW(Data!$A$4)+1),ROW(Projektname)-ROW(Data!$A$4)+1),ROWS(A$2:A186))),"")</f>
        <v/>
      </c>
      <c r="B186" s="13" t="str">
        <f t="array" aca="1" ref="B186" ca="1">IFERROR(INDEX(Projektname_ODW,MATCH(SMALL(COUNTIF(Projektname_ODW, "&lt;" &amp; Projektname_ODW),ROW(185:185)),COUNTIF(Projektname_ODW, "&lt;" &amp; Projektname_ODW),0)),"")</f>
        <v/>
      </c>
    </row>
    <row r="187" spans="1:3">
      <c r="A187" s="13" t="str">
        <f t="array" aca="1" ref="A187" ca="1">IFERROR(INDEX(Projektname,SMALL(IF(FREQUENCY(IF(Projektname&lt;&gt;"",MATCH(Projektname,Projektname,0)),ROW(Projektname)-ROW(Data!$A$4)+1),ROW(Projektname)-ROW(Data!$A$4)+1),ROWS(A$2:A187))),"")</f>
        <v/>
      </c>
      <c r="B187" s="13" t="str">
        <f t="array" aca="1" ref="B187" ca="1">IFERROR(INDEX(Projektname_ODW,MATCH(SMALL(COUNTIF(Projektname_ODW, "&lt;" &amp; Projektname_ODW),ROW(186:186)),COUNTIF(Projektname_ODW, "&lt;" &amp; Projektname_ODW),0)),"")</f>
        <v/>
      </c>
    </row>
    <row r="188" spans="1:3">
      <c r="A188" s="13" t="str">
        <f t="array" aca="1" ref="A188" ca="1">IFERROR(INDEX(Projektname,SMALL(IF(FREQUENCY(IF(Projektname&lt;&gt;"",MATCH(Projektname,Projektname,0)),ROW(Projektname)-ROW(Data!$A$4)+1),ROW(Projektname)-ROW(Data!$A$4)+1),ROWS(A$2:A188))),"")</f>
        <v/>
      </c>
      <c r="B188" s="13" t="str">
        <f t="array" aca="1" ref="B188" ca="1">IFERROR(INDEX(Projektname_ODW,MATCH(SMALL(COUNTIF(Projektname_ODW, "&lt;" &amp; Projektname_ODW),ROW(187:187)),COUNTIF(Projektname_ODW, "&lt;" &amp; Projektname_ODW),0)),"")</f>
        <v/>
      </c>
    </row>
    <row r="189" spans="1:3">
      <c r="A189" s="13" t="str">
        <f t="array" aca="1" ref="A189" ca="1">IFERROR(INDEX(Projektname,SMALL(IF(FREQUENCY(IF(Projektname&lt;&gt;"",MATCH(Projektname,Projektname,0)),ROW(Projektname)-ROW(Data!$A$4)+1),ROW(Projektname)-ROW(Data!$A$4)+1),ROWS(A$2:A189))),"")</f>
        <v/>
      </c>
      <c r="B189" s="13" t="str">
        <f t="array" aca="1" ref="B189" ca="1">IFERROR(INDEX(Projektname_ODW,MATCH(SMALL(COUNTIF(Projektname_ODW, "&lt;" &amp; Projektname_ODW),ROW(188:188)),COUNTIF(Projektname_ODW, "&lt;" &amp; Projektname_ODW),0)),"")</f>
        <v/>
      </c>
    </row>
    <row r="190" spans="1:3">
      <c r="A190" s="13" t="str">
        <f t="array" aca="1" ref="A190" ca="1">IFERROR(INDEX(Projektname,SMALL(IF(FREQUENCY(IF(Projektname&lt;&gt;"",MATCH(Projektname,Projektname,0)),ROW(Projektname)-ROW(Data!$A$4)+1),ROW(Projektname)-ROW(Data!$A$4)+1),ROWS(A$2:A190))),"")</f>
        <v/>
      </c>
      <c r="B190" s="13" t="str">
        <f t="array" aca="1" ref="B190" ca="1">IFERROR(INDEX(Projektname_ODW,MATCH(SMALL(COUNTIF(Projektname_ODW, "&lt;" &amp; Projektname_ODW),ROW(189:189)),COUNTIF(Projektname_ODW, "&lt;" &amp; Projektname_ODW),0)),"")</f>
        <v/>
      </c>
    </row>
    <row r="191" spans="1:3">
      <c r="A191" s="13" t="str">
        <f t="array" aca="1" ref="A191" ca="1">IFERROR(INDEX(Projektname,SMALL(IF(FREQUENCY(IF(Projektname&lt;&gt;"",MATCH(Projektname,Projektname,0)),ROW(Projektname)-ROW(Data!$A$4)+1),ROW(Projektname)-ROW(Data!$A$4)+1),ROWS(A$2:A191))),"")</f>
        <v/>
      </c>
      <c r="B191" s="13" t="str">
        <f t="array" aca="1" ref="B191" ca="1">IFERROR(INDEX(Projektname_ODW,MATCH(SMALL(COUNTIF(Projektname_ODW, "&lt;" &amp; Projektname_ODW),ROW(190:190)),COUNTIF(Projektname_ODW, "&lt;" &amp; Projektname_ODW),0)),"")</f>
        <v/>
      </c>
    </row>
    <row r="192" spans="1:3">
      <c r="A192" s="13" t="str">
        <f t="array" aca="1" ref="A192" ca="1">IFERROR(INDEX(Projektname,SMALL(IF(FREQUENCY(IF(Projektname&lt;&gt;"",MATCH(Projektname,Projektname,0)),ROW(Projektname)-ROW(Data!$A$4)+1),ROW(Projektname)-ROW(Data!$A$4)+1),ROWS(A$2:A192))),"")</f>
        <v/>
      </c>
      <c r="B192" s="13" t="str">
        <f t="array" aca="1" ref="B192" ca="1">IFERROR(INDEX(Projektname_ODW,MATCH(SMALL(COUNTIF(Projektname_ODW, "&lt;" &amp; Projektname_ODW),ROW(191:191)),COUNTIF(Projektname_ODW, "&lt;" &amp; Projektname_ODW),0)),"")</f>
        <v/>
      </c>
    </row>
    <row r="193" spans="1:2">
      <c r="A193" s="13" t="str">
        <f t="array" aca="1" ref="A193" ca="1">IFERROR(INDEX(Projektname,SMALL(IF(FREQUENCY(IF(Projektname&lt;&gt;"",MATCH(Projektname,Projektname,0)),ROW(Projektname)-ROW(Data!$A$4)+1),ROW(Projektname)-ROW(Data!$A$4)+1),ROWS(A$2:A193))),"")</f>
        <v/>
      </c>
      <c r="B193" s="13" t="str">
        <f t="array" aca="1" ref="B193" ca="1">IFERROR(INDEX(Projektname_ODW,MATCH(SMALL(COUNTIF(Projektname_ODW, "&lt;" &amp; Projektname_ODW),ROW(192:192)),COUNTIF(Projektname_ODW, "&lt;" &amp; Projektname_ODW),0)),"")</f>
        <v/>
      </c>
    </row>
    <row r="194" spans="1:2">
      <c r="A194" s="13" t="str">
        <f t="array" aca="1" ref="A194" ca="1">IFERROR(INDEX(Projektname,SMALL(IF(FREQUENCY(IF(Projektname&lt;&gt;"",MATCH(Projektname,Projektname,0)),ROW(Projektname)-ROW(Data!$A$4)+1),ROW(Projektname)-ROW(Data!$A$4)+1),ROWS(A$2:A194))),"")</f>
        <v/>
      </c>
      <c r="B194" s="13" t="str">
        <f t="array" aca="1" ref="B194" ca="1">IFERROR(INDEX(Projektname_ODW,MATCH(SMALL(COUNTIF(Projektname_ODW, "&lt;" &amp; Projektname_ODW),ROW(193:193)),COUNTIF(Projektname_ODW, "&lt;" &amp; Projektname_ODW),0)),"")</f>
        <v/>
      </c>
    </row>
    <row r="195" spans="1:2">
      <c r="A195" s="13" t="str">
        <f t="array" aca="1" ref="A195" ca="1">IFERROR(INDEX(Projektname,SMALL(IF(FREQUENCY(IF(Projektname&lt;&gt;"",MATCH(Projektname,Projektname,0)),ROW(Projektname)-ROW(Data!$A$4)+1),ROW(Projektname)-ROW(Data!$A$4)+1),ROWS(A$2:A195))),"")</f>
        <v/>
      </c>
      <c r="B195" s="13" t="str">
        <f t="array" aca="1" ref="B195" ca="1">IFERROR(INDEX(Projektname_ODW,MATCH(SMALL(COUNTIF(Projektname_ODW, "&lt;" &amp; Projektname_ODW),ROW(194:194)),COUNTIF(Projektname_ODW, "&lt;" &amp; Projektname_ODW),0)),"")</f>
        <v/>
      </c>
    </row>
    <row r="196" spans="1:2">
      <c r="A196" s="13" t="str">
        <f t="array" aca="1" ref="A196" ca="1">IFERROR(INDEX(Projektname,SMALL(IF(FREQUENCY(IF(Projektname&lt;&gt;"",MATCH(Projektname,Projektname,0)),ROW(Projektname)-ROW(Data!$A$4)+1),ROW(Projektname)-ROW(Data!$A$4)+1),ROWS(A$2:A196))),"")</f>
        <v/>
      </c>
      <c r="B196" s="13" t="str">
        <f t="array" aca="1" ref="B196" ca="1">IFERROR(INDEX(Projektname_ODW,MATCH(SMALL(COUNTIF(Projektname_ODW, "&lt;" &amp; Projektname_ODW),ROW(195:195)),COUNTIF(Projektname_ODW, "&lt;" &amp; Projektname_ODW),0)),"")</f>
        <v/>
      </c>
    </row>
    <row r="197" spans="1:2">
      <c r="A197" s="13" t="str">
        <f t="array" aca="1" ref="A197" ca="1">IFERROR(INDEX(Projektname,SMALL(IF(FREQUENCY(IF(Projektname&lt;&gt;"",MATCH(Projektname,Projektname,0)),ROW(Projektname)-ROW(Data!$A$4)+1),ROW(Projektname)-ROW(Data!$A$4)+1),ROWS(A$2:A197))),"")</f>
        <v/>
      </c>
      <c r="B197" s="13" t="str">
        <f t="array" aca="1" ref="B197" ca="1">IFERROR(INDEX(Projektname_ODW,MATCH(SMALL(COUNTIF(Projektname_ODW, "&lt;" &amp; Projektname_ODW),ROW(196:196)),COUNTIF(Projektname_ODW, "&lt;" &amp; Projektname_ODW),0)),"")</f>
        <v/>
      </c>
    </row>
    <row r="198" spans="1:2">
      <c r="A198" s="13" t="str">
        <f t="array" aca="1" ref="A198" ca="1">IFERROR(INDEX(Projektname,SMALL(IF(FREQUENCY(IF(Projektname&lt;&gt;"",MATCH(Projektname,Projektname,0)),ROW(Projektname)-ROW(Data!$A$4)+1),ROW(Projektname)-ROW(Data!$A$4)+1),ROWS(A$2:A198))),"")</f>
        <v/>
      </c>
      <c r="B198" s="13" t="str">
        <f t="array" aca="1" ref="B198" ca="1">IFERROR(INDEX(Projektname_ODW,MATCH(SMALL(COUNTIF(Projektname_ODW, "&lt;" &amp; Projektname_ODW),ROW(197:197)),COUNTIF(Projektname_ODW, "&lt;" &amp; Projektname_ODW),0)),"")</f>
        <v/>
      </c>
    </row>
    <row r="199" spans="1:2">
      <c r="A199" s="13" t="str">
        <f t="array" aca="1" ref="A199" ca="1">IFERROR(INDEX(Projektname,SMALL(IF(FREQUENCY(IF(Projektname&lt;&gt;"",MATCH(Projektname,Projektname,0)),ROW(Projektname)-ROW(Data!$A$4)+1),ROW(Projektname)-ROW(Data!$A$4)+1),ROWS(A$2:A199))),"")</f>
        <v/>
      </c>
      <c r="B199" s="13" t="str">
        <f t="array" aca="1" ref="B199" ca="1">IFERROR(INDEX(Projektname_ODW,MATCH(SMALL(COUNTIF(Projektname_ODW, "&lt;" &amp; Projektname_ODW),ROW(198:198)),COUNTIF(Projektname_ODW, "&lt;" &amp; Projektname_ODW),0)),"")</f>
        <v/>
      </c>
    </row>
    <row r="200" spans="1:2">
      <c r="A200" s="13" t="str">
        <f t="array" aca="1" ref="A200" ca="1">IFERROR(INDEX(Projektname,SMALL(IF(FREQUENCY(IF(Projektname&lt;&gt;"",MATCH(Projektname,Projektname,0)),ROW(Projektname)-ROW(Data!$A$4)+1),ROW(Projektname)-ROW(Data!$A$4)+1),ROWS(A$2:A200))),"")</f>
        <v/>
      </c>
      <c r="B200" s="13" t="str">
        <f t="array" aca="1" ref="B200" ca="1">IFERROR(INDEX(Projektname_ODW,MATCH(SMALL(COUNTIF(Projektname_ODW, "&lt;" &amp; Projektname_ODW),ROW(199:199)),COUNTIF(Projektname_ODW, "&lt;" &amp; Projektname_ODW),0)),"")</f>
        <v/>
      </c>
    </row>
    <row r="201" spans="1:2">
      <c r="A201" s="13" t="str">
        <f t="array" aca="1" ref="A201" ca="1">IFERROR(INDEX(Projektname,SMALL(IF(FREQUENCY(IF(Projektname&lt;&gt;"",MATCH(Projektname,Projektname,0)),ROW(Projektname)-ROW(Data!$A$4)+1),ROW(Projektname)-ROW(Data!$A$4)+1),ROWS(A$2:A201))),"")</f>
        <v/>
      </c>
      <c r="B201" s="13" t="str">
        <f t="array" aca="1" ref="B201" ca="1">IFERROR(INDEX(Projektname_ODW,MATCH(SMALL(COUNTIF(Projektname_ODW, "&lt;" &amp; Projektname_ODW),ROW(200:200)),COUNTIF(Projektname_ODW, "&lt;" &amp; Projektname_ODW),0)),"")</f>
        <v/>
      </c>
    </row>
    <row r="202" spans="1:2">
      <c r="A202" s="13" t="str">
        <f t="array" aca="1" ref="A202" ca="1">IFERROR(INDEX(Projektname,SMALL(IF(FREQUENCY(IF(Projektname&lt;&gt;"",MATCH(Projektname,Projektname,0)),ROW(Projektname)-ROW(Data!$A$4)+1),ROW(Projektname)-ROW(Data!$A$4)+1),ROWS(A$2:A202))),"")</f>
        <v/>
      </c>
      <c r="B202" s="13" t="str">
        <f t="array" aca="1" ref="B202" ca="1">IFERROR(INDEX(Projektname_ODW,MATCH(SMALL(COUNTIF(Projektname_ODW, "&lt;" &amp; Projektname_ODW),ROW(201:201)),COUNTIF(Projektname_ODW, "&lt;" &amp; Projektname_ODW),0)),"")</f>
        <v/>
      </c>
    </row>
    <row r="203" spans="1:2">
      <c r="A203" s="13" t="str">
        <f t="array" aca="1" ref="A203" ca="1">IFERROR(INDEX(Projektname,SMALL(IF(FREQUENCY(IF(Projektname&lt;&gt;"",MATCH(Projektname,Projektname,0)),ROW(Projektname)-ROW(Data!$A$4)+1),ROW(Projektname)-ROW(Data!$A$4)+1),ROWS(A$2:A203))),"")</f>
        <v/>
      </c>
      <c r="B203" s="13" t="str">
        <f t="array" aca="1" ref="B203" ca="1">IFERROR(INDEX(Projektname_ODW,MATCH(SMALL(COUNTIF(Projektname_ODW, "&lt;" &amp; Projektname_ODW),ROW(202:202)),COUNTIF(Projektname_ODW, "&lt;" &amp; Projektname_ODW),0)),"")</f>
        <v/>
      </c>
    </row>
    <row r="204" spans="1:2">
      <c r="A204" s="13" t="str">
        <f t="array" aca="1" ref="A204" ca="1">IFERROR(INDEX(Projektname,SMALL(IF(FREQUENCY(IF(Projektname&lt;&gt;"",MATCH(Projektname,Projektname,0)),ROW(Projektname)-ROW(Data!$A$4)+1),ROW(Projektname)-ROW(Data!$A$4)+1),ROWS(A$2:A204))),"")</f>
        <v/>
      </c>
      <c r="B204" s="13" t="str">
        <f t="array" aca="1" ref="B204" ca="1">IFERROR(INDEX(Projektname_ODW,MATCH(SMALL(COUNTIF(Projektname_ODW, "&lt;" &amp; Projektname_ODW),ROW(203:203)),COUNTIF(Projektname_ODW, "&lt;" &amp; Projektname_ODW),0)),"")</f>
        <v/>
      </c>
    </row>
    <row r="205" spans="1:2">
      <c r="A205" s="13" t="str">
        <f t="array" aca="1" ref="A205" ca="1">IFERROR(INDEX(Projektname,SMALL(IF(FREQUENCY(IF(Projektname&lt;&gt;"",MATCH(Projektname,Projektname,0)),ROW(Projektname)-ROW(Data!$A$4)+1),ROW(Projektname)-ROW(Data!$A$4)+1),ROWS(A$2:A205))),"")</f>
        <v/>
      </c>
      <c r="B205" s="13" t="str">
        <f t="array" aca="1" ref="B205" ca="1">IFERROR(INDEX(Projektname_ODW,MATCH(SMALL(COUNTIF(Projektname_ODW, "&lt;" &amp; Projektname_ODW),ROW(204:204)),COUNTIF(Projektname_ODW, "&lt;" &amp; Projektname_ODW),0)),"")</f>
        <v/>
      </c>
    </row>
    <row r="206" spans="1:2">
      <c r="A206" s="13" t="str">
        <f t="array" aca="1" ref="A206" ca="1">IFERROR(INDEX(Projektname,SMALL(IF(FREQUENCY(IF(Projektname&lt;&gt;"",MATCH(Projektname,Projektname,0)),ROW(Projektname)-ROW(Data!$A$4)+1),ROW(Projektname)-ROW(Data!$A$4)+1),ROWS(A$2:A206))),"")</f>
        <v/>
      </c>
      <c r="B206" s="13" t="str">
        <f t="array" aca="1" ref="B206" ca="1">IFERROR(INDEX(Projektname_ODW,MATCH(SMALL(COUNTIF(Projektname_ODW, "&lt;" &amp; Projektname_ODW),ROW(205:205)),COUNTIF(Projektname_ODW, "&lt;" &amp; Projektname_ODW),0)),"")</f>
        <v/>
      </c>
    </row>
    <row r="207" spans="1:2">
      <c r="A207" s="13" t="str">
        <f t="array" aca="1" ref="A207" ca="1">IFERROR(INDEX(Projektname,SMALL(IF(FREQUENCY(IF(Projektname&lt;&gt;"",MATCH(Projektname,Projektname,0)),ROW(Projektname)-ROW(Data!$A$4)+1),ROW(Projektname)-ROW(Data!$A$4)+1),ROWS(A$2:A207))),"")</f>
        <v/>
      </c>
      <c r="B207" s="13" t="str">
        <f t="array" aca="1" ref="B207" ca="1">IFERROR(INDEX(Projektname_ODW,MATCH(SMALL(COUNTIF(Projektname_ODW, "&lt;" &amp; Projektname_ODW),ROW(206:206)),COUNTIF(Projektname_ODW, "&lt;" &amp; Projektname_ODW),0)),"")</f>
        <v/>
      </c>
    </row>
    <row r="208" spans="1:2">
      <c r="A208" s="13" t="str">
        <f t="array" aca="1" ref="A208" ca="1">IFERROR(INDEX(Projektname,SMALL(IF(FREQUENCY(IF(Projektname&lt;&gt;"",MATCH(Projektname,Projektname,0)),ROW(Projektname)-ROW(Data!$A$4)+1),ROW(Projektname)-ROW(Data!$A$4)+1),ROWS(A$2:A208))),"")</f>
        <v/>
      </c>
      <c r="B208" s="13" t="str">
        <f t="array" aca="1" ref="B208" ca="1">IFERROR(INDEX(Projektname_ODW,MATCH(SMALL(COUNTIF(Projektname_ODW, "&lt;" &amp; Projektname_ODW),ROW(207:207)),COUNTIF(Projektname_ODW, "&lt;" &amp; Projektname_ODW),0)),"")</f>
        <v/>
      </c>
    </row>
    <row r="209" spans="1:2">
      <c r="A209" s="13" t="str">
        <f t="array" aca="1" ref="A209" ca="1">IFERROR(INDEX(Projektname,SMALL(IF(FREQUENCY(IF(Projektname&lt;&gt;"",MATCH(Projektname,Projektname,0)),ROW(Projektname)-ROW(Data!$A$4)+1),ROW(Projektname)-ROW(Data!$A$4)+1),ROWS(A$2:A209))),"")</f>
        <v/>
      </c>
      <c r="B209" s="13" t="str">
        <f t="array" aca="1" ref="B209" ca="1">IFERROR(INDEX(Projektname_ODW,MATCH(SMALL(COUNTIF(Projektname_ODW, "&lt;" &amp; Projektname_ODW),ROW(208:208)),COUNTIF(Projektname_ODW, "&lt;" &amp; Projektname_ODW),0)),"")</f>
        <v/>
      </c>
    </row>
    <row r="210" spans="1:2">
      <c r="A210" s="13" t="str">
        <f t="array" aca="1" ref="A210" ca="1">IFERROR(INDEX(Projektname,SMALL(IF(FREQUENCY(IF(Projektname&lt;&gt;"",MATCH(Projektname,Projektname,0)),ROW(Projektname)-ROW(Data!$A$4)+1),ROW(Projektname)-ROW(Data!$A$4)+1),ROWS(A$2:A210))),"")</f>
        <v/>
      </c>
      <c r="B210" s="13" t="str">
        <f t="array" aca="1" ref="B210" ca="1">IFERROR(INDEX(Projektname_ODW,MATCH(SMALL(COUNTIF(Projektname_ODW, "&lt;" &amp; Projektname_ODW),ROW(209:209)),COUNTIF(Projektname_ODW, "&lt;" &amp; Projektname_ODW),0)),"")</f>
        <v/>
      </c>
    </row>
    <row r="211" spans="1:2">
      <c r="A211" s="13" t="str">
        <f t="array" aca="1" ref="A211" ca="1">IFERROR(INDEX(Projektname,SMALL(IF(FREQUENCY(IF(Projektname&lt;&gt;"",MATCH(Projektname,Projektname,0)),ROW(Projektname)-ROW(Data!$A$4)+1),ROW(Projektname)-ROW(Data!$A$4)+1),ROWS(A$2:A211))),"")</f>
        <v/>
      </c>
      <c r="B211" s="13" t="str">
        <f t="array" aca="1" ref="B211" ca="1">IFERROR(INDEX(Projektname_ODW,MATCH(SMALL(COUNTIF(Projektname_ODW, "&lt;" &amp; Projektname_ODW),ROW(210:210)),COUNTIF(Projektname_ODW, "&lt;" &amp; Projektname_ODW),0)),"")</f>
        <v/>
      </c>
    </row>
    <row r="212" spans="1:2">
      <c r="A212" s="13" t="str">
        <f t="array" aca="1" ref="A212" ca="1">IFERROR(INDEX(Projektname,SMALL(IF(FREQUENCY(IF(Projektname&lt;&gt;"",MATCH(Projektname,Projektname,0)),ROW(Projektname)-ROW(Data!$A$4)+1),ROW(Projektname)-ROW(Data!$A$4)+1),ROWS(A$2:A212))),"")</f>
        <v/>
      </c>
      <c r="B212" s="13" t="str">
        <f t="array" aca="1" ref="B212" ca="1">IFERROR(INDEX(Projektname_ODW,MATCH(SMALL(COUNTIF(Projektname_ODW, "&lt;" &amp; Projektname_ODW),ROW(211:211)),COUNTIF(Projektname_ODW, "&lt;" &amp; Projektname_ODW),0)),"")</f>
        <v/>
      </c>
    </row>
    <row r="213" spans="1:2">
      <c r="A213" s="13" t="str">
        <f t="array" aca="1" ref="A213" ca="1">IFERROR(INDEX(Projektname,SMALL(IF(FREQUENCY(IF(Projektname&lt;&gt;"",MATCH(Projektname,Projektname,0)),ROW(Projektname)-ROW(Data!$A$4)+1),ROW(Projektname)-ROW(Data!$A$4)+1),ROWS(A$2:A213))),"")</f>
        <v/>
      </c>
      <c r="B213" s="13" t="str">
        <f t="array" aca="1" ref="B213" ca="1">IFERROR(INDEX(Projektname_ODW,MATCH(SMALL(COUNTIF(Projektname_ODW, "&lt;" &amp; Projektname_ODW),ROW(212:212)),COUNTIF(Projektname_ODW, "&lt;" &amp; Projektname_ODW),0)),"")</f>
        <v/>
      </c>
    </row>
    <row r="214" spans="1:2">
      <c r="A214" s="13" t="str">
        <f t="array" aca="1" ref="A214" ca="1">IFERROR(INDEX(Projektname,SMALL(IF(FREQUENCY(IF(Projektname&lt;&gt;"",MATCH(Projektname,Projektname,0)),ROW(Projektname)-ROW(Data!$A$4)+1),ROW(Projektname)-ROW(Data!$A$4)+1),ROWS(A$2:A214))),"")</f>
        <v/>
      </c>
      <c r="B214" s="13" t="str">
        <f t="array" aca="1" ref="B214" ca="1">IFERROR(INDEX(Projektname_ODW,MATCH(SMALL(COUNTIF(Projektname_ODW, "&lt;" &amp; Projektname_ODW),ROW(213:213)),COUNTIF(Projektname_ODW, "&lt;" &amp; Projektname_ODW),0)),"")</f>
        <v/>
      </c>
    </row>
    <row r="215" spans="1:2">
      <c r="A215" s="13" t="str">
        <f t="array" aca="1" ref="A215" ca="1">IFERROR(INDEX(Projektname,SMALL(IF(FREQUENCY(IF(Projektname&lt;&gt;"",MATCH(Projektname,Projektname,0)),ROW(Projektname)-ROW(Data!$A$4)+1),ROW(Projektname)-ROW(Data!$A$4)+1),ROWS(A$2:A215))),"")</f>
        <v/>
      </c>
      <c r="B215" s="13" t="str">
        <f t="array" aca="1" ref="B215" ca="1">IFERROR(INDEX(Projektname_ODW,MATCH(SMALL(COUNTIF(Projektname_ODW, "&lt;" &amp; Projektname_ODW),ROW(214:214)),COUNTIF(Projektname_ODW, "&lt;" &amp; Projektname_ODW),0)),"")</f>
        <v/>
      </c>
    </row>
    <row r="216" spans="1:2">
      <c r="A216" s="13" t="str">
        <f t="array" aca="1" ref="A216" ca="1">IFERROR(INDEX(Projektname,SMALL(IF(FREQUENCY(IF(Projektname&lt;&gt;"",MATCH(Projektname,Projektname,0)),ROW(Projektname)-ROW(Data!$A$4)+1),ROW(Projektname)-ROW(Data!$A$4)+1),ROWS(A$2:A216))),"")</f>
        <v/>
      </c>
      <c r="B216" s="13" t="str">
        <f t="array" aca="1" ref="B216" ca="1">IFERROR(INDEX(Projektname_ODW,MATCH(SMALL(COUNTIF(Projektname_ODW, "&lt;" &amp; Projektname_ODW),ROW(215:215)),COUNTIF(Projektname_ODW, "&lt;" &amp; Projektname_ODW),0)),"")</f>
        <v/>
      </c>
    </row>
    <row r="217" spans="1:2">
      <c r="A217" s="13" t="str">
        <f t="array" aca="1" ref="A217" ca="1">IFERROR(INDEX(Projektname,SMALL(IF(FREQUENCY(IF(Projektname&lt;&gt;"",MATCH(Projektname,Projektname,0)),ROW(Projektname)-ROW(Data!$A$4)+1),ROW(Projektname)-ROW(Data!$A$4)+1),ROWS(A$2:A217))),"")</f>
        <v/>
      </c>
      <c r="B217" s="13" t="str">
        <f t="array" aca="1" ref="B217" ca="1">IFERROR(INDEX(Projektname_ODW,MATCH(SMALL(COUNTIF(Projektname_ODW, "&lt;" &amp; Projektname_ODW),ROW(216:216)),COUNTIF(Projektname_ODW, "&lt;" &amp; Projektname_ODW),0)),"")</f>
        <v/>
      </c>
    </row>
    <row r="218" spans="1:2">
      <c r="A218" s="13" t="str">
        <f t="array" aca="1" ref="A218" ca="1">IFERROR(INDEX(Projektname,SMALL(IF(FREQUENCY(IF(Projektname&lt;&gt;"",MATCH(Projektname,Projektname,0)),ROW(Projektname)-ROW(Data!$A$4)+1),ROW(Projektname)-ROW(Data!$A$4)+1),ROWS(A$2:A218))),"")</f>
        <v/>
      </c>
      <c r="B218" s="13" t="str">
        <f t="array" aca="1" ref="B218" ca="1">IFERROR(INDEX(Projektname_ODW,MATCH(SMALL(COUNTIF(Projektname_ODW, "&lt;" &amp; Projektname_ODW),ROW(217:217)),COUNTIF(Projektname_ODW, "&lt;" &amp; Projektname_ODW),0)),"")</f>
        <v/>
      </c>
    </row>
    <row r="219" spans="1:2">
      <c r="A219" s="13" t="str">
        <f t="array" aca="1" ref="A219" ca="1">IFERROR(INDEX(Projektname,SMALL(IF(FREQUENCY(IF(Projektname&lt;&gt;"",MATCH(Projektname,Projektname,0)),ROW(Projektname)-ROW(Data!$A$4)+1),ROW(Projektname)-ROW(Data!$A$4)+1),ROWS(A$2:A219))),"")</f>
        <v/>
      </c>
      <c r="B219" s="13" t="str">
        <f t="array" aca="1" ref="B219" ca="1">IFERROR(INDEX(Projektname_ODW,MATCH(SMALL(COUNTIF(Projektname_ODW, "&lt;" &amp; Projektname_ODW),ROW(218:218)),COUNTIF(Projektname_ODW, "&lt;" &amp; Projektname_ODW),0)),"")</f>
        <v/>
      </c>
    </row>
    <row r="220" spans="1:2">
      <c r="A220" s="13" t="str">
        <f t="array" aca="1" ref="A220" ca="1">IFERROR(INDEX(Projektname,SMALL(IF(FREQUENCY(IF(Projektname&lt;&gt;"",MATCH(Projektname,Projektname,0)),ROW(Projektname)-ROW(Data!$A$4)+1),ROW(Projektname)-ROW(Data!$A$4)+1),ROWS(A$2:A220))),"")</f>
        <v/>
      </c>
      <c r="B220" s="13" t="str">
        <f t="array" aca="1" ref="B220" ca="1">IFERROR(INDEX(Projektname_ODW,MATCH(SMALL(COUNTIF(Projektname_ODW, "&lt;" &amp; Projektname_ODW),ROW(219:219)),COUNTIF(Projektname_ODW, "&lt;" &amp; Projektname_ODW),0)),"")</f>
        <v/>
      </c>
    </row>
    <row r="221" spans="1:2">
      <c r="A221" s="13" t="str">
        <f t="array" aca="1" ref="A221" ca="1">IFERROR(INDEX(Projektname,SMALL(IF(FREQUENCY(IF(Projektname&lt;&gt;"",MATCH(Projektname,Projektname,0)),ROW(Projektname)-ROW(Data!$A$4)+1),ROW(Projektname)-ROW(Data!$A$4)+1),ROWS(A$2:A221))),"")</f>
        <v/>
      </c>
      <c r="B221" s="13" t="str">
        <f t="array" aca="1" ref="B221" ca="1">IFERROR(INDEX(Projektname_ODW,MATCH(SMALL(COUNTIF(Projektname_ODW, "&lt;" &amp; Projektname_ODW),ROW(220:220)),COUNTIF(Projektname_ODW, "&lt;" &amp; Projektname_ODW),0)),"")</f>
        <v/>
      </c>
    </row>
    <row r="222" spans="1:2">
      <c r="A222" s="13" t="str">
        <f t="array" aca="1" ref="A222" ca="1">IFERROR(INDEX(Projektname,SMALL(IF(FREQUENCY(IF(Projektname&lt;&gt;"",MATCH(Projektname,Projektname,0)),ROW(Projektname)-ROW(Data!$A$4)+1),ROW(Projektname)-ROW(Data!$A$4)+1),ROWS(A$2:A222))),"")</f>
        <v/>
      </c>
      <c r="B222" s="13" t="str">
        <f t="array" aca="1" ref="B222" ca="1">IFERROR(INDEX(Projektname_ODW,MATCH(SMALL(COUNTIF(Projektname_ODW, "&lt;" &amp; Projektname_ODW),ROW(221:221)),COUNTIF(Projektname_ODW, "&lt;" &amp; Projektname_ODW),0)),"")</f>
        <v/>
      </c>
    </row>
    <row r="223" spans="1:2">
      <c r="A223" s="13" t="str">
        <f t="array" aca="1" ref="A223" ca="1">IFERROR(INDEX(Projektname,SMALL(IF(FREQUENCY(IF(Projektname&lt;&gt;"",MATCH(Projektname,Projektname,0)),ROW(Projektname)-ROW(Data!$A$4)+1),ROW(Projektname)-ROW(Data!$A$4)+1),ROWS(A$2:A223))),"")</f>
        <v/>
      </c>
      <c r="B223" s="13" t="str">
        <f t="array" aca="1" ref="B223" ca="1">IFERROR(INDEX(Projektname_ODW,MATCH(SMALL(COUNTIF(Projektname_ODW, "&lt;" &amp; Projektname_ODW),ROW(222:222)),COUNTIF(Projektname_ODW, "&lt;" &amp; Projektname_ODW),0)),"")</f>
        <v/>
      </c>
    </row>
    <row r="224" spans="1:2">
      <c r="A224" s="13" t="str">
        <f t="array" aca="1" ref="A224" ca="1">IFERROR(INDEX(Projektname,SMALL(IF(FREQUENCY(IF(Projektname&lt;&gt;"",MATCH(Projektname,Projektname,0)),ROW(Projektname)-ROW(Data!$A$4)+1),ROW(Projektname)-ROW(Data!$A$4)+1),ROWS(A$2:A224))),"")</f>
        <v/>
      </c>
      <c r="B224" s="13" t="str">
        <f t="array" aca="1" ref="B224" ca="1">IFERROR(INDEX(Projektname_ODW,MATCH(SMALL(COUNTIF(Projektname_ODW, "&lt;" &amp; Projektname_ODW),ROW(223:223)),COUNTIF(Projektname_ODW, "&lt;" &amp; Projektname_ODW),0)),"")</f>
        <v/>
      </c>
    </row>
    <row r="225" spans="1:2">
      <c r="A225" s="13" t="str">
        <f t="array" aca="1" ref="A225" ca="1">IFERROR(INDEX(Projektname,SMALL(IF(FREQUENCY(IF(Projektname&lt;&gt;"",MATCH(Projektname,Projektname,0)),ROW(Projektname)-ROW(Data!$A$4)+1),ROW(Projektname)-ROW(Data!$A$4)+1),ROWS(A$2:A225))),"")</f>
        <v/>
      </c>
      <c r="B225" s="13" t="str">
        <f t="array" aca="1" ref="B225" ca="1">IFERROR(INDEX(Projektname_ODW,MATCH(SMALL(COUNTIF(Projektname_ODW, "&lt;" &amp; Projektname_ODW),ROW(224:224)),COUNTIF(Projektname_ODW, "&lt;" &amp; Projektname_ODW),0)),"")</f>
        <v/>
      </c>
    </row>
    <row r="226" spans="1:2">
      <c r="A226" s="13" t="str">
        <f t="array" aca="1" ref="A226" ca="1">IFERROR(INDEX(Projektname,SMALL(IF(FREQUENCY(IF(Projektname&lt;&gt;"",MATCH(Projektname,Projektname,0)),ROW(Projektname)-ROW(Data!$A$4)+1),ROW(Projektname)-ROW(Data!$A$4)+1),ROWS(A$2:A226))),"")</f>
        <v/>
      </c>
      <c r="B226" s="13" t="str">
        <f t="array" aca="1" ref="B226" ca="1">IFERROR(INDEX(Projektname_ODW,MATCH(SMALL(COUNTIF(Projektname_ODW, "&lt;" &amp; Projektname_ODW),ROW(225:225)),COUNTIF(Projektname_ODW, "&lt;" &amp; Projektname_ODW),0)),"")</f>
        <v/>
      </c>
    </row>
    <row r="227" spans="1:2">
      <c r="A227" s="13" t="str">
        <f t="array" aca="1" ref="A227" ca="1">IFERROR(INDEX(Projektname,SMALL(IF(FREQUENCY(IF(Projektname&lt;&gt;"",MATCH(Projektname,Projektname,0)),ROW(Projektname)-ROW(Data!$A$4)+1),ROW(Projektname)-ROW(Data!$A$4)+1),ROWS(A$2:A227))),"")</f>
        <v/>
      </c>
      <c r="B227" s="13" t="str">
        <f t="array" aca="1" ref="B227" ca="1">IFERROR(INDEX(Projektname_ODW,MATCH(SMALL(COUNTIF(Projektname_ODW, "&lt;" &amp; Projektname_ODW),ROW(226:226)),COUNTIF(Projektname_ODW, "&lt;" &amp; Projektname_ODW),0)),"")</f>
        <v/>
      </c>
    </row>
    <row r="228" spans="1:2">
      <c r="A228" s="13" t="str">
        <f t="array" aca="1" ref="A228" ca="1">IFERROR(INDEX(Projektname,SMALL(IF(FREQUENCY(IF(Projektname&lt;&gt;"",MATCH(Projektname,Projektname,0)),ROW(Projektname)-ROW(Data!$A$4)+1),ROW(Projektname)-ROW(Data!$A$4)+1),ROWS(A$2:A228))),"")</f>
        <v/>
      </c>
      <c r="B228" s="13" t="str">
        <f t="array" aca="1" ref="B228" ca="1">IFERROR(INDEX(Projektname_ODW,MATCH(SMALL(COUNTIF(Projektname_ODW, "&lt;" &amp; Projektname_ODW),ROW(227:227)),COUNTIF(Projektname_ODW, "&lt;" &amp; Projektname_ODW),0)),"")</f>
        <v/>
      </c>
    </row>
    <row r="229" spans="1:2">
      <c r="A229" s="13" t="str">
        <f t="array" aca="1" ref="A229" ca="1">IFERROR(INDEX(Projektname,SMALL(IF(FREQUENCY(IF(Projektname&lt;&gt;"",MATCH(Projektname,Projektname,0)),ROW(Projektname)-ROW(Data!$A$4)+1),ROW(Projektname)-ROW(Data!$A$4)+1),ROWS(A$2:A229))),"")</f>
        <v/>
      </c>
      <c r="B229" s="13" t="str">
        <f t="array" aca="1" ref="B229" ca="1">IFERROR(INDEX(Projektname_ODW,MATCH(SMALL(COUNTIF(Projektname_ODW, "&lt;" &amp; Projektname_ODW),ROW(228:228)),COUNTIF(Projektname_ODW, "&lt;" &amp; Projektname_ODW),0)),"")</f>
        <v/>
      </c>
    </row>
    <row r="230" spans="1:2">
      <c r="A230" s="13" t="str">
        <f t="array" aca="1" ref="A230" ca="1">IFERROR(INDEX(Projektname,SMALL(IF(FREQUENCY(IF(Projektname&lt;&gt;"",MATCH(Projektname,Projektname,0)),ROW(Projektname)-ROW(Data!$A$4)+1),ROW(Projektname)-ROW(Data!$A$4)+1),ROWS(A$2:A230))),"")</f>
        <v/>
      </c>
      <c r="B230" s="13" t="str">
        <f t="array" aca="1" ref="B230" ca="1">IFERROR(INDEX(Projektname_ODW,MATCH(SMALL(COUNTIF(Projektname_ODW, "&lt;" &amp; Projektname_ODW),ROW(229:229)),COUNTIF(Projektname_ODW, "&lt;" &amp; Projektname_ODW),0)),"")</f>
        <v/>
      </c>
    </row>
    <row r="231" spans="1:2">
      <c r="A231" s="13" t="str">
        <f t="array" aca="1" ref="A231" ca="1">IFERROR(INDEX(Projektname,SMALL(IF(FREQUENCY(IF(Projektname&lt;&gt;"",MATCH(Projektname,Projektname,0)),ROW(Projektname)-ROW(Data!$A$4)+1),ROW(Projektname)-ROW(Data!$A$4)+1),ROWS(A$2:A231))),"")</f>
        <v/>
      </c>
      <c r="B231" s="13" t="str">
        <f t="array" aca="1" ref="B231" ca="1">IFERROR(INDEX(Projektname_ODW,MATCH(SMALL(COUNTIF(Projektname_ODW, "&lt;" &amp; Projektname_ODW),ROW(230:230)),COUNTIF(Projektname_ODW, "&lt;" &amp; Projektname_ODW),0)),"")</f>
        <v/>
      </c>
    </row>
    <row r="232" spans="1:2">
      <c r="A232" s="13" t="str">
        <f t="array" aca="1" ref="A232" ca="1">IFERROR(INDEX(Projektname,SMALL(IF(FREQUENCY(IF(Projektname&lt;&gt;"",MATCH(Projektname,Projektname,0)),ROW(Projektname)-ROW(Data!$A$4)+1),ROW(Projektname)-ROW(Data!$A$4)+1),ROWS(A$2:A232))),"")</f>
        <v/>
      </c>
      <c r="B232" s="13" t="str">
        <f t="array" aca="1" ref="B232" ca="1">IFERROR(INDEX(Projektname_ODW,MATCH(SMALL(COUNTIF(Projektname_ODW, "&lt;" &amp; Projektname_ODW),ROW(231:231)),COUNTIF(Projektname_ODW, "&lt;" &amp; Projektname_ODW),0)),"")</f>
        <v/>
      </c>
    </row>
    <row r="233" spans="1:2">
      <c r="A233" s="13" t="str">
        <f t="array" aca="1" ref="A233" ca="1">IFERROR(INDEX(Projektname,SMALL(IF(FREQUENCY(IF(Projektname&lt;&gt;"",MATCH(Projektname,Projektname,0)),ROW(Projektname)-ROW(Data!$A$4)+1),ROW(Projektname)-ROW(Data!$A$4)+1),ROWS(A$2:A233))),"")</f>
        <v/>
      </c>
      <c r="B233" s="13" t="str">
        <f t="array" aca="1" ref="B233" ca="1">IFERROR(INDEX(Projektname_ODW,MATCH(SMALL(COUNTIF(Projektname_ODW, "&lt;" &amp; Projektname_ODW),ROW(232:232)),COUNTIF(Projektname_ODW, "&lt;" &amp; Projektname_ODW),0)),"")</f>
        <v/>
      </c>
    </row>
    <row r="234" spans="1:2">
      <c r="A234" s="13" t="str">
        <f t="array" aca="1" ref="A234" ca="1">IFERROR(INDEX(Projektname,SMALL(IF(FREQUENCY(IF(Projektname&lt;&gt;"",MATCH(Projektname,Projektname,0)),ROW(Projektname)-ROW(Data!$A$4)+1),ROW(Projektname)-ROW(Data!$A$4)+1),ROWS(A$2:A234))),"")</f>
        <v/>
      </c>
      <c r="B234" s="13" t="str">
        <f t="array" aca="1" ref="B234" ca="1">IFERROR(INDEX(Projektname_ODW,MATCH(SMALL(COUNTIF(Projektname_ODW, "&lt;" &amp; Projektname_ODW),ROW(233:233)),COUNTIF(Projektname_ODW, "&lt;" &amp; Projektname_ODW),0)),"")</f>
        <v/>
      </c>
    </row>
    <row r="235" spans="1:2">
      <c r="A235" s="13" t="str">
        <f t="array" aca="1" ref="A235" ca="1">IFERROR(INDEX(Projektname,SMALL(IF(FREQUENCY(IF(Projektname&lt;&gt;"",MATCH(Projektname,Projektname,0)),ROW(Projektname)-ROW(Data!$A$4)+1),ROW(Projektname)-ROW(Data!$A$4)+1),ROWS(A$2:A235))),"")</f>
        <v/>
      </c>
      <c r="B235" s="13" t="str">
        <f t="array" aca="1" ref="B235" ca="1">IFERROR(INDEX(Projektname_ODW,MATCH(SMALL(COUNTIF(Projektname_ODW, "&lt;" &amp; Projektname_ODW),ROW(234:234)),COUNTIF(Projektname_ODW, "&lt;" &amp; Projektname_ODW),0)),"")</f>
        <v/>
      </c>
    </row>
    <row r="236" spans="1:2">
      <c r="A236" s="13" t="str">
        <f t="array" aca="1" ref="A236" ca="1">IFERROR(INDEX(Projektname,SMALL(IF(FREQUENCY(IF(Projektname&lt;&gt;"",MATCH(Projektname,Projektname,0)),ROW(Projektname)-ROW(Data!$A$4)+1),ROW(Projektname)-ROW(Data!$A$4)+1),ROWS(A$2:A236))),"")</f>
        <v/>
      </c>
      <c r="B236" s="13" t="str">
        <f t="array" aca="1" ref="B236" ca="1">IFERROR(INDEX(Projektname_ODW,MATCH(SMALL(COUNTIF(Projektname_ODW, "&lt;" &amp; Projektname_ODW),ROW(235:235)),COUNTIF(Projektname_ODW, "&lt;" &amp; Projektname_ODW),0)),"")</f>
        <v/>
      </c>
    </row>
    <row r="237" spans="1:2">
      <c r="A237" s="13" t="str">
        <f t="array" aca="1" ref="A237" ca="1">IFERROR(INDEX(Projektname,SMALL(IF(FREQUENCY(IF(Projektname&lt;&gt;"",MATCH(Projektname,Projektname,0)),ROW(Projektname)-ROW(Data!$A$4)+1),ROW(Projektname)-ROW(Data!$A$4)+1),ROWS(A$2:A237))),"")</f>
        <v/>
      </c>
      <c r="B237" s="13" t="str">
        <f t="array" aca="1" ref="B237" ca="1">IFERROR(INDEX(Projektname_ODW,MATCH(SMALL(COUNTIF(Projektname_ODW, "&lt;" &amp; Projektname_ODW),ROW(236:236)),COUNTIF(Projektname_ODW, "&lt;" &amp; Projektname_ODW),0)),"")</f>
        <v/>
      </c>
    </row>
    <row r="238" spans="1:2">
      <c r="A238" s="13" t="str">
        <f t="array" aca="1" ref="A238" ca="1">IFERROR(INDEX(Projektname,SMALL(IF(FREQUENCY(IF(Projektname&lt;&gt;"",MATCH(Projektname,Projektname,0)),ROW(Projektname)-ROW(Data!$A$4)+1),ROW(Projektname)-ROW(Data!$A$4)+1),ROWS(A$2:A238))),"")</f>
        <v/>
      </c>
      <c r="B238" s="13" t="str">
        <f t="array" aca="1" ref="B238" ca="1">IFERROR(INDEX(Projektname_ODW,MATCH(SMALL(COUNTIF(Projektname_ODW, "&lt;" &amp; Projektname_ODW),ROW(237:237)),COUNTIF(Projektname_ODW, "&lt;" &amp; Projektname_ODW),0)),"")</f>
        <v/>
      </c>
    </row>
    <row r="239" spans="1:2">
      <c r="A239" s="13" t="str">
        <f t="array" aca="1" ref="A239" ca="1">IFERROR(INDEX(Projektname,SMALL(IF(FREQUENCY(IF(Projektname&lt;&gt;"",MATCH(Projektname,Projektname,0)),ROW(Projektname)-ROW(Data!$A$4)+1),ROW(Projektname)-ROW(Data!$A$4)+1),ROWS(A$2:A239))),"")</f>
        <v/>
      </c>
      <c r="B239" s="13" t="str">
        <f t="array" aca="1" ref="B239" ca="1">IFERROR(INDEX(Projektname_ODW,MATCH(SMALL(COUNTIF(Projektname_ODW, "&lt;" &amp; Projektname_ODW),ROW(238:238)),COUNTIF(Projektname_ODW, "&lt;" &amp; Projektname_ODW),0)),"")</f>
        <v/>
      </c>
    </row>
    <row r="240" spans="1:2">
      <c r="A240" s="13" t="str">
        <f t="array" aca="1" ref="A240" ca="1">IFERROR(INDEX(Projektname,SMALL(IF(FREQUENCY(IF(Projektname&lt;&gt;"",MATCH(Projektname,Projektname,0)),ROW(Projektname)-ROW(Data!$A$4)+1),ROW(Projektname)-ROW(Data!$A$4)+1),ROWS(A$2:A240))),"")</f>
        <v/>
      </c>
      <c r="B240" s="13" t="str">
        <f t="array" aca="1" ref="B240" ca="1">IFERROR(INDEX(Projektname_ODW,MATCH(SMALL(COUNTIF(Projektname_ODW, "&lt;" &amp; Projektname_ODW),ROW(239:239)),COUNTIF(Projektname_ODW, "&lt;" &amp; Projektname_ODW),0)),"")</f>
        <v/>
      </c>
    </row>
    <row r="241" spans="1:2">
      <c r="A241" s="13" t="str">
        <f t="array" aca="1" ref="A241" ca="1">IFERROR(INDEX(Projektname,SMALL(IF(FREQUENCY(IF(Projektname&lt;&gt;"",MATCH(Projektname,Projektname,0)),ROW(Projektname)-ROW(Data!$A$4)+1),ROW(Projektname)-ROW(Data!$A$4)+1),ROWS(A$2:A241))),"")</f>
        <v/>
      </c>
      <c r="B241" s="13" t="str">
        <f t="array" aca="1" ref="B241" ca="1">IFERROR(INDEX(Projektname_ODW,MATCH(SMALL(COUNTIF(Projektname_ODW, "&lt;" &amp; Projektname_ODW),ROW(240:240)),COUNTIF(Projektname_ODW, "&lt;" &amp; Projektname_ODW),0)),"")</f>
        <v/>
      </c>
    </row>
    <row r="242" spans="1:2">
      <c r="A242" s="13" t="str">
        <f t="array" aca="1" ref="A242" ca="1">IFERROR(INDEX(Projektname,SMALL(IF(FREQUENCY(IF(Projektname&lt;&gt;"",MATCH(Projektname,Projektname,0)),ROW(Projektname)-ROW(Data!$A$4)+1),ROW(Projektname)-ROW(Data!$A$4)+1),ROWS(A$2:A242))),"")</f>
        <v/>
      </c>
      <c r="B242" s="13" t="str">
        <f t="array" aca="1" ref="B242" ca="1">IFERROR(INDEX(Projektname_ODW,MATCH(SMALL(COUNTIF(Projektname_ODW, "&lt;" &amp; Projektname_ODW),ROW(241:241)),COUNTIF(Projektname_ODW, "&lt;" &amp; Projektname_ODW),0)),"")</f>
        <v/>
      </c>
    </row>
    <row r="243" spans="1:2">
      <c r="A243" s="13" t="str">
        <f t="array" aca="1" ref="A243" ca="1">IFERROR(INDEX(Projektname,SMALL(IF(FREQUENCY(IF(Projektname&lt;&gt;"",MATCH(Projektname,Projektname,0)),ROW(Projektname)-ROW(Data!$A$4)+1),ROW(Projektname)-ROW(Data!$A$4)+1),ROWS(A$2:A243))),"")</f>
        <v/>
      </c>
      <c r="B243" s="13" t="str">
        <f t="array" aca="1" ref="B243" ca="1">IFERROR(INDEX(Projektname_ODW,MATCH(SMALL(COUNTIF(Projektname_ODW, "&lt;" &amp; Projektname_ODW),ROW(242:242)),COUNTIF(Projektname_ODW, "&lt;" &amp; Projektname_ODW),0)),"")</f>
        <v/>
      </c>
    </row>
    <row r="244" spans="1:2">
      <c r="A244" s="13" t="str">
        <f t="array" aca="1" ref="A244" ca="1">IFERROR(INDEX(Projektname,SMALL(IF(FREQUENCY(IF(Projektname&lt;&gt;"",MATCH(Projektname,Projektname,0)),ROW(Projektname)-ROW(Data!$A$4)+1),ROW(Projektname)-ROW(Data!$A$4)+1),ROWS(A$2:A244))),"")</f>
        <v/>
      </c>
      <c r="B244" s="13" t="str">
        <f t="array" aca="1" ref="B244" ca="1">IFERROR(INDEX(Projektname_ODW,MATCH(SMALL(COUNTIF(Projektname_ODW, "&lt;" &amp; Projektname_ODW),ROW(243:243)),COUNTIF(Projektname_ODW, "&lt;" &amp; Projektname_ODW),0)),"")</f>
        <v/>
      </c>
    </row>
    <row r="245" spans="1:2">
      <c r="A245" s="13" t="str">
        <f t="array" aca="1" ref="A245" ca="1">IFERROR(INDEX(Projektname,SMALL(IF(FREQUENCY(IF(Projektname&lt;&gt;"",MATCH(Projektname,Projektname,0)),ROW(Projektname)-ROW(Data!$A$4)+1),ROW(Projektname)-ROW(Data!$A$4)+1),ROWS(A$2:A245))),"")</f>
        <v/>
      </c>
      <c r="B245" s="13" t="str">
        <f t="array" aca="1" ref="B245" ca="1">IFERROR(INDEX(Projektname_ODW,MATCH(SMALL(COUNTIF(Projektname_ODW, "&lt;" &amp; Projektname_ODW),ROW(244:244)),COUNTIF(Projektname_ODW, "&lt;" &amp; Projektname_ODW),0)),"")</f>
        <v/>
      </c>
    </row>
    <row r="246" spans="1:2">
      <c r="A246" s="13" t="str">
        <f t="array" aca="1" ref="A246" ca="1">IFERROR(INDEX(Projektname,SMALL(IF(FREQUENCY(IF(Projektname&lt;&gt;"",MATCH(Projektname,Projektname,0)),ROW(Projektname)-ROW(Data!$A$4)+1),ROW(Projektname)-ROW(Data!$A$4)+1),ROWS(A$2:A246))),"")</f>
        <v/>
      </c>
      <c r="B246" s="13" t="str">
        <f t="array" aca="1" ref="B246" ca="1">IFERROR(INDEX(Projektname_ODW,MATCH(SMALL(COUNTIF(Projektname_ODW, "&lt;" &amp; Projektname_ODW),ROW(245:245)),COUNTIF(Projektname_ODW, "&lt;" &amp; Projektname_ODW),0)),"")</f>
        <v/>
      </c>
    </row>
    <row r="247" spans="1:2">
      <c r="A247" s="13" t="str">
        <f t="array" aca="1" ref="A247" ca="1">IFERROR(INDEX(Projektname,SMALL(IF(FREQUENCY(IF(Projektname&lt;&gt;"",MATCH(Projektname,Projektname,0)),ROW(Projektname)-ROW(Data!$A$4)+1),ROW(Projektname)-ROW(Data!$A$4)+1),ROWS(A$2:A247))),"")</f>
        <v/>
      </c>
      <c r="B247" s="13" t="str">
        <f t="array" aca="1" ref="B247" ca="1">IFERROR(INDEX(Projektname_ODW,MATCH(SMALL(COUNTIF(Projektname_ODW, "&lt;" &amp; Projektname_ODW),ROW(246:246)),COUNTIF(Projektname_ODW, "&lt;" &amp; Projektname_ODW),0)),"")</f>
        <v/>
      </c>
    </row>
    <row r="248" spans="1:2">
      <c r="A248" s="13" t="str">
        <f t="array" aca="1" ref="A248" ca="1">IFERROR(INDEX(Projektname,SMALL(IF(FREQUENCY(IF(Projektname&lt;&gt;"",MATCH(Projektname,Projektname,0)),ROW(Projektname)-ROW(Data!$A$4)+1),ROW(Projektname)-ROW(Data!$A$4)+1),ROWS(A$2:A248))),"")</f>
        <v/>
      </c>
      <c r="B248" s="13" t="str">
        <f t="array" aca="1" ref="B248" ca="1">IFERROR(INDEX(Projektname_ODW,MATCH(SMALL(COUNTIF(Projektname_ODW, "&lt;" &amp; Projektname_ODW),ROW(247:247)),COUNTIF(Projektname_ODW, "&lt;" &amp; Projektname_ODW),0)),"")</f>
        <v/>
      </c>
    </row>
    <row r="249" spans="1:2">
      <c r="A249" s="13" t="str">
        <f t="array" aca="1" ref="A249" ca="1">IFERROR(INDEX(Projektname,SMALL(IF(FREQUENCY(IF(Projektname&lt;&gt;"",MATCH(Projektname,Projektname,0)),ROW(Projektname)-ROW(Data!$A$4)+1),ROW(Projektname)-ROW(Data!$A$4)+1),ROWS(A$2:A249))),"")</f>
        <v/>
      </c>
      <c r="B249" s="13" t="str">
        <f t="array" aca="1" ref="B249" ca="1">IFERROR(INDEX(Projektname_ODW,MATCH(SMALL(COUNTIF(Projektname_ODW, "&lt;" &amp; Projektname_ODW),ROW(248:248)),COUNTIF(Projektname_ODW, "&lt;" &amp; Projektname_ODW),0)),"")</f>
        <v/>
      </c>
    </row>
    <row r="250" spans="1:2">
      <c r="A250" s="13" t="str">
        <f t="array" aca="1" ref="A250" ca="1">IFERROR(INDEX(Projektname,SMALL(IF(FREQUENCY(IF(Projektname&lt;&gt;"",MATCH(Projektname,Projektname,0)),ROW(Projektname)-ROW(Data!$A$4)+1),ROW(Projektname)-ROW(Data!$A$4)+1),ROWS(A$2:A250))),"")</f>
        <v/>
      </c>
      <c r="B250" s="13" t="str">
        <f t="array" aca="1" ref="B250" ca="1">IFERROR(INDEX(Projektname_ODW,MATCH(SMALL(COUNTIF(Projektname_ODW, "&lt;" &amp; Projektname_ODW),ROW(249:249)),COUNTIF(Projektname_ODW, "&lt;" &amp; Projektname_ODW),0)),"")</f>
        <v/>
      </c>
    </row>
    <row r="251" spans="1:2">
      <c r="A251" s="13" t="str">
        <f t="array" aca="1" ref="A251" ca="1">IFERROR(INDEX(Projektname,SMALL(IF(FREQUENCY(IF(Projektname&lt;&gt;"",MATCH(Projektname,Projektname,0)),ROW(Projektname)-ROW(Data!$A$4)+1),ROW(Projektname)-ROW(Data!$A$4)+1),ROWS(A$2:A251))),"")</f>
        <v/>
      </c>
      <c r="B251" s="13" t="str">
        <f t="array" aca="1" ref="B251" ca="1">IFERROR(INDEX(Projektname_ODW,MATCH(SMALL(COUNTIF(Projektname_ODW, "&lt;" &amp; Projektname_ODW),ROW(250:250)),COUNTIF(Projektname_ODW, "&lt;" &amp; Projektname_ODW),0)),"")</f>
        <v/>
      </c>
    </row>
    <row r="252" spans="1:2">
      <c r="A252" s="13" t="str">
        <f t="array" aca="1" ref="A252" ca="1">IFERROR(INDEX(Projektname,SMALL(IF(FREQUENCY(IF(Projektname&lt;&gt;"",MATCH(Projektname,Projektname,0)),ROW(Projektname)-ROW(Data!$A$4)+1),ROW(Projektname)-ROW(Data!$A$4)+1),ROWS(A$2:A252))),"")</f>
        <v/>
      </c>
      <c r="B252" s="13" t="str">
        <f t="array" aca="1" ref="B252" ca="1">IFERROR(INDEX(Projektname_ODW,MATCH(SMALL(COUNTIF(Projektname_ODW, "&lt;" &amp; Projektname_ODW),ROW(251:251)),COUNTIF(Projektname_ODW, "&lt;" &amp; Projektname_ODW),0)),"")</f>
        <v/>
      </c>
    </row>
    <row r="253" spans="1:2">
      <c r="A253" s="13" t="str">
        <f t="array" aca="1" ref="A253" ca="1">IFERROR(INDEX(Projektname,SMALL(IF(FREQUENCY(IF(Projektname&lt;&gt;"",MATCH(Projektname,Projektname,0)),ROW(Projektname)-ROW(Data!$A$4)+1),ROW(Projektname)-ROW(Data!$A$4)+1),ROWS(A$2:A253))),"")</f>
        <v/>
      </c>
      <c r="B253" s="13" t="str">
        <f t="array" aca="1" ref="B253" ca="1">IFERROR(INDEX(Projektname_ODW,MATCH(SMALL(COUNTIF(Projektname_ODW, "&lt;" &amp; Projektname_ODW),ROW(252:252)),COUNTIF(Projektname_ODW, "&lt;" &amp; Projektname_ODW),0)),"")</f>
        <v/>
      </c>
    </row>
    <row r="254" spans="1:2">
      <c r="A254" s="13" t="str">
        <f t="array" aca="1" ref="A254" ca="1">IFERROR(INDEX(Projektname,SMALL(IF(FREQUENCY(IF(Projektname&lt;&gt;"",MATCH(Projektname,Projektname,0)),ROW(Projektname)-ROW(Data!$A$4)+1),ROW(Projektname)-ROW(Data!$A$4)+1),ROWS(A$2:A254))),"")</f>
        <v/>
      </c>
      <c r="B254" s="13" t="str">
        <f t="array" aca="1" ref="B254" ca="1">IFERROR(INDEX(Projektname_ODW,MATCH(SMALL(COUNTIF(Projektname_ODW, "&lt;" &amp; Projektname_ODW),ROW(253:253)),COUNTIF(Projektname_ODW, "&lt;" &amp; Projektname_ODW),0)),"")</f>
        <v/>
      </c>
    </row>
    <row r="255" spans="1:2">
      <c r="A255" s="13" t="str">
        <f t="array" aca="1" ref="A255" ca="1">IFERROR(INDEX(Projektname,SMALL(IF(FREQUENCY(IF(Projektname&lt;&gt;"",MATCH(Projektname,Projektname,0)),ROW(Projektname)-ROW(Data!$A$4)+1),ROW(Projektname)-ROW(Data!$A$4)+1),ROWS(A$2:A255))),"")</f>
        <v/>
      </c>
      <c r="B255" s="13" t="str">
        <f t="array" aca="1" ref="B255" ca="1">IFERROR(INDEX(Projektname_ODW,MATCH(SMALL(COUNTIF(Projektname_ODW, "&lt;" &amp; Projektname_ODW),ROW(254:254)),COUNTIF(Projektname_ODW, "&lt;" &amp; Projektname_ODW),0)),"")</f>
        <v/>
      </c>
    </row>
    <row r="256" spans="1:2">
      <c r="A256" s="13" t="str">
        <f t="array" aca="1" ref="A256" ca="1">IFERROR(INDEX(Projektname,SMALL(IF(FREQUENCY(IF(Projektname&lt;&gt;"",MATCH(Projektname,Projektname,0)),ROW(Projektname)-ROW(Data!$A$4)+1),ROW(Projektname)-ROW(Data!$A$4)+1),ROWS(A$2:A256))),"")</f>
        <v/>
      </c>
      <c r="B256" s="13" t="str">
        <f t="array" aca="1" ref="B256" ca="1">IFERROR(INDEX(Projektname_ODW,MATCH(SMALL(COUNTIF(Projektname_ODW, "&lt;" &amp; Projektname_ODW),ROW(255:255)),COUNTIF(Projektname_ODW, "&lt;" &amp; Projektname_ODW),0)),"")</f>
        <v/>
      </c>
    </row>
    <row r="257" spans="1:2">
      <c r="A257" s="13" t="str">
        <f t="array" aca="1" ref="A257" ca="1">IFERROR(INDEX(Projektname,SMALL(IF(FREQUENCY(IF(Projektname&lt;&gt;"",MATCH(Projektname,Projektname,0)),ROW(Projektname)-ROW(Data!$A$4)+1),ROW(Projektname)-ROW(Data!$A$4)+1),ROWS(A$2:A257))),"")</f>
        <v/>
      </c>
      <c r="B257" s="13" t="str">
        <f t="array" aca="1" ref="B257" ca="1">IFERROR(INDEX(Projektname_ODW,MATCH(SMALL(COUNTIF(Projektname_ODW, "&lt;" &amp; Projektname_ODW),ROW(256:256)),COUNTIF(Projektname_ODW, "&lt;" &amp; Projektname_ODW),0)),"")</f>
        <v/>
      </c>
    </row>
    <row r="258" spans="1:2">
      <c r="A258" s="13" t="str">
        <f t="array" aca="1" ref="A258" ca="1">IFERROR(INDEX(Projektname,SMALL(IF(FREQUENCY(IF(Projektname&lt;&gt;"",MATCH(Projektname,Projektname,0)),ROW(Projektname)-ROW(Data!$A$4)+1),ROW(Projektname)-ROW(Data!$A$4)+1),ROWS(A$2:A258))),"")</f>
        <v/>
      </c>
      <c r="B258" s="13" t="str">
        <f t="array" aca="1" ref="B258" ca="1">IFERROR(INDEX(Projektname_ODW,MATCH(SMALL(COUNTIF(Projektname_ODW, "&lt;" &amp; Projektname_ODW),ROW(257:257)),COUNTIF(Projektname_ODW, "&lt;" &amp; Projektname_ODW),0)),"")</f>
        <v/>
      </c>
    </row>
    <row r="259" spans="1:2">
      <c r="A259" s="13" t="str">
        <f t="array" aca="1" ref="A259" ca="1">IFERROR(INDEX(Projektname,SMALL(IF(FREQUENCY(IF(Projektname&lt;&gt;"",MATCH(Projektname,Projektname,0)),ROW(Projektname)-ROW(Data!$A$4)+1),ROW(Projektname)-ROW(Data!$A$4)+1),ROWS(A$2:A259))),"")</f>
        <v/>
      </c>
      <c r="B259" s="13" t="str">
        <f t="array" aca="1" ref="B259" ca="1">IFERROR(INDEX(Projektname_ODW,MATCH(SMALL(COUNTIF(Projektname_ODW, "&lt;" &amp; Projektname_ODW),ROW(258:258)),COUNTIF(Projektname_ODW, "&lt;" &amp; Projektname_ODW),0)),"")</f>
        <v/>
      </c>
    </row>
    <row r="260" spans="1:2">
      <c r="A260" s="13" t="str">
        <f t="array" aca="1" ref="A260" ca="1">IFERROR(INDEX(Projektname,SMALL(IF(FREQUENCY(IF(Projektname&lt;&gt;"",MATCH(Projektname,Projektname,0)),ROW(Projektname)-ROW(Data!$A$4)+1),ROW(Projektname)-ROW(Data!$A$4)+1),ROWS(A$2:A260))),"")</f>
        <v/>
      </c>
      <c r="B260" s="13" t="str">
        <f t="array" aca="1" ref="B260" ca="1">IFERROR(INDEX(Projektname_ODW,MATCH(SMALL(COUNTIF(Projektname_ODW, "&lt;" &amp; Projektname_ODW),ROW(259:259)),COUNTIF(Projektname_ODW, "&lt;" &amp; Projektname_ODW),0)),"")</f>
        <v/>
      </c>
    </row>
    <row r="261" spans="1:2">
      <c r="A261" s="13" t="str">
        <f t="array" aca="1" ref="A261" ca="1">IFERROR(INDEX(Projektname,SMALL(IF(FREQUENCY(IF(Projektname&lt;&gt;"",MATCH(Projektname,Projektname,0)),ROW(Projektname)-ROW(Data!$A$4)+1),ROW(Projektname)-ROW(Data!$A$4)+1),ROWS(A$2:A261))),"")</f>
        <v/>
      </c>
      <c r="B261" s="13" t="str">
        <f t="array" aca="1" ref="B261" ca="1">IFERROR(INDEX(Projektname_ODW,MATCH(SMALL(COUNTIF(Projektname_ODW, "&lt;" &amp; Projektname_ODW),ROW(260:260)),COUNTIF(Projektname_ODW, "&lt;" &amp; Projektname_ODW),0)),"")</f>
        <v/>
      </c>
    </row>
    <row r="262" spans="1:2">
      <c r="A262" s="13" t="str">
        <f t="array" aca="1" ref="A262" ca="1">IFERROR(INDEX(Projektname,SMALL(IF(FREQUENCY(IF(Projektname&lt;&gt;"",MATCH(Projektname,Projektname,0)),ROW(Projektname)-ROW(Data!$A$4)+1),ROW(Projektname)-ROW(Data!$A$4)+1),ROWS(A$2:A262))),"")</f>
        <v/>
      </c>
      <c r="B262" s="13" t="str">
        <f t="array" aca="1" ref="B262" ca="1">IFERROR(INDEX(Projektname_ODW,MATCH(SMALL(COUNTIF(Projektname_ODW, "&lt;" &amp; Projektname_ODW),ROW(261:261)),COUNTIF(Projektname_ODW, "&lt;" &amp; Projektname_ODW),0)),"")</f>
        <v/>
      </c>
    </row>
    <row r="263" spans="1:2">
      <c r="A263" s="13" t="str">
        <f t="array" aca="1" ref="A263" ca="1">IFERROR(INDEX(Projektname,SMALL(IF(FREQUENCY(IF(Projektname&lt;&gt;"",MATCH(Projektname,Projektname,0)),ROW(Projektname)-ROW(Data!$A$4)+1),ROW(Projektname)-ROW(Data!$A$4)+1),ROWS(A$2:A263))),"")</f>
        <v/>
      </c>
      <c r="B263" s="13" t="str">
        <f t="array" aca="1" ref="B263" ca="1">IFERROR(INDEX(Projektname_ODW,MATCH(SMALL(COUNTIF(Projektname_ODW, "&lt;" &amp; Projektname_ODW),ROW(262:262)),COUNTIF(Projektname_ODW, "&lt;" &amp; Projektname_ODW),0)),"")</f>
        <v/>
      </c>
    </row>
    <row r="264" spans="1:2">
      <c r="A264" s="13" t="str">
        <f t="array" aca="1" ref="A264" ca="1">IFERROR(INDEX(Projektname,SMALL(IF(FREQUENCY(IF(Projektname&lt;&gt;"",MATCH(Projektname,Projektname,0)),ROW(Projektname)-ROW(Data!$A$4)+1),ROW(Projektname)-ROW(Data!$A$4)+1),ROWS(A$2:A264))),"")</f>
        <v/>
      </c>
      <c r="B264" s="13" t="str">
        <f t="array" aca="1" ref="B264" ca="1">IFERROR(INDEX(Projektname_ODW,MATCH(SMALL(COUNTIF(Projektname_ODW, "&lt;" &amp; Projektname_ODW),ROW(263:263)),COUNTIF(Projektname_ODW, "&lt;" &amp; Projektname_ODW),0)),"")</f>
        <v/>
      </c>
    </row>
    <row r="265" spans="1:2">
      <c r="A265" s="13" t="str">
        <f t="array" aca="1" ref="A265" ca="1">IFERROR(INDEX(Projektname,SMALL(IF(FREQUENCY(IF(Projektname&lt;&gt;"",MATCH(Projektname,Projektname,0)),ROW(Projektname)-ROW(Data!$A$4)+1),ROW(Projektname)-ROW(Data!$A$4)+1),ROWS(A$2:A265))),"")</f>
        <v/>
      </c>
      <c r="B265" s="13" t="str">
        <f t="array" aca="1" ref="B265" ca="1">IFERROR(INDEX(Projektname_ODW,MATCH(SMALL(COUNTIF(Projektname_ODW, "&lt;" &amp; Projektname_ODW),ROW(264:264)),COUNTIF(Projektname_ODW, "&lt;" &amp; Projektname_ODW),0)),"")</f>
        <v/>
      </c>
    </row>
    <row r="266" spans="1:2">
      <c r="A266" s="13" t="str">
        <f t="array" aca="1" ref="A266" ca="1">IFERROR(INDEX(Projektname,SMALL(IF(FREQUENCY(IF(Projektname&lt;&gt;"",MATCH(Projektname,Projektname,0)),ROW(Projektname)-ROW(Data!$A$4)+1),ROW(Projektname)-ROW(Data!$A$4)+1),ROWS(A$2:A266))),"")</f>
        <v/>
      </c>
      <c r="B266" s="13" t="str">
        <f t="array" aca="1" ref="B266" ca="1">IFERROR(INDEX(Projektname_ODW,MATCH(SMALL(COUNTIF(Projektname_ODW, "&lt;" &amp; Projektname_ODW),ROW(265:265)),COUNTIF(Projektname_ODW, "&lt;" &amp; Projektname_ODW),0)),"")</f>
        <v/>
      </c>
    </row>
    <row r="267" spans="1:2">
      <c r="A267" s="13" t="str">
        <f t="array" aca="1" ref="A267" ca="1">IFERROR(INDEX(Projektname,SMALL(IF(FREQUENCY(IF(Projektname&lt;&gt;"",MATCH(Projektname,Projektname,0)),ROW(Projektname)-ROW(Data!$A$4)+1),ROW(Projektname)-ROW(Data!$A$4)+1),ROWS(A$2:A267))),"")</f>
        <v/>
      </c>
      <c r="B267" s="13" t="str">
        <f t="array" aca="1" ref="B267" ca="1">IFERROR(INDEX(Projektname_ODW,MATCH(SMALL(COUNTIF(Projektname_ODW, "&lt;" &amp; Projektname_ODW),ROW(266:266)),COUNTIF(Projektname_ODW, "&lt;" &amp; Projektname_ODW),0)),"")</f>
        <v/>
      </c>
    </row>
    <row r="268" spans="1:2">
      <c r="A268" s="13" t="str">
        <f t="array" aca="1" ref="A268" ca="1">IFERROR(INDEX(Projektname,SMALL(IF(FREQUENCY(IF(Projektname&lt;&gt;"",MATCH(Projektname,Projektname,0)),ROW(Projektname)-ROW(Data!$A$4)+1),ROW(Projektname)-ROW(Data!$A$4)+1),ROWS(A$2:A268))),"")</f>
        <v/>
      </c>
      <c r="B268" s="13" t="str">
        <f t="array" aca="1" ref="B268" ca="1">IFERROR(INDEX(Projektname_ODW,MATCH(SMALL(COUNTIF(Projektname_ODW, "&lt;" &amp; Projektname_ODW),ROW(267:267)),COUNTIF(Projektname_ODW, "&lt;" &amp; Projektname_ODW),0)),"")</f>
        <v/>
      </c>
    </row>
    <row r="269" spans="1:2">
      <c r="A269" s="13" t="str">
        <f t="array" aca="1" ref="A269" ca="1">IFERROR(INDEX(Projektname,SMALL(IF(FREQUENCY(IF(Projektname&lt;&gt;"",MATCH(Projektname,Projektname,0)),ROW(Projektname)-ROW(Data!$A$4)+1),ROW(Projektname)-ROW(Data!$A$4)+1),ROWS(A$2:A269))),"")</f>
        <v/>
      </c>
      <c r="B269" s="13" t="str">
        <f t="array" aca="1" ref="B269" ca="1">IFERROR(INDEX(Projektname_ODW,MATCH(SMALL(COUNTIF(Projektname_ODW, "&lt;" &amp; Projektname_ODW),ROW(268:268)),COUNTIF(Projektname_ODW, "&lt;" &amp; Projektname_ODW),0)),"")</f>
        <v/>
      </c>
    </row>
    <row r="270" spans="1:2">
      <c r="A270" s="13" t="str">
        <f t="array" aca="1" ref="A270" ca="1">IFERROR(INDEX(Projektname,SMALL(IF(FREQUENCY(IF(Projektname&lt;&gt;"",MATCH(Projektname,Projektname,0)),ROW(Projektname)-ROW(Data!$A$4)+1),ROW(Projektname)-ROW(Data!$A$4)+1),ROWS(A$2:A270))),"")</f>
        <v/>
      </c>
      <c r="B270" s="13" t="str">
        <f t="array" aca="1" ref="B270" ca="1">IFERROR(INDEX(Projektname_ODW,MATCH(SMALL(COUNTIF(Projektname_ODW, "&lt;" &amp; Projektname_ODW),ROW(269:269)),COUNTIF(Projektname_ODW, "&lt;" &amp; Projektname_ODW),0)),"")</f>
        <v/>
      </c>
    </row>
    <row r="271" spans="1:2">
      <c r="A271" s="13" t="str">
        <f t="array" aca="1" ref="A271" ca="1">IFERROR(INDEX(Projektname,SMALL(IF(FREQUENCY(IF(Projektname&lt;&gt;"",MATCH(Projektname,Projektname,0)),ROW(Projektname)-ROW(Data!$A$4)+1),ROW(Projektname)-ROW(Data!$A$4)+1),ROWS(A$2:A271))),"")</f>
        <v/>
      </c>
      <c r="B271" s="13" t="str">
        <f t="array" aca="1" ref="B271" ca="1">IFERROR(INDEX(Projektname_ODW,MATCH(SMALL(COUNTIF(Projektname_ODW, "&lt;" &amp; Projektname_ODW),ROW(270:270)),COUNTIF(Projektname_ODW, "&lt;" &amp; Projektname_ODW),0)),"")</f>
        <v/>
      </c>
    </row>
    <row r="272" spans="1:2">
      <c r="A272" s="13" t="str">
        <f t="array" aca="1" ref="A272" ca="1">IFERROR(INDEX(Projektname,SMALL(IF(FREQUENCY(IF(Projektname&lt;&gt;"",MATCH(Projektname,Projektname,0)),ROW(Projektname)-ROW(Data!$A$4)+1),ROW(Projektname)-ROW(Data!$A$4)+1),ROWS(A$2:A272))),"")</f>
        <v/>
      </c>
      <c r="B272" s="13" t="str">
        <f t="array" aca="1" ref="B272" ca="1">IFERROR(INDEX(Projektname_ODW,MATCH(SMALL(COUNTIF(Projektname_ODW, "&lt;" &amp; Projektname_ODW),ROW(271:271)),COUNTIF(Projektname_ODW, "&lt;" &amp; Projektname_ODW),0)),"")</f>
        <v/>
      </c>
    </row>
    <row r="273" spans="1:2">
      <c r="A273" s="13" t="str">
        <f t="array" aca="1" ref="A273" ca="1">IFERROR(INDEX(Projektname,SMALL(IF(FREQUENCY(IF(Projektname&lt;&gt;"",MATCH(Projektname,Projektname,0)),ROW(Projektname)-ROW(Data!$A$4)+1),ROW(Projektname)-ROW(Data!$A$4)+1),ROWS(A$2:A273))),"")</f>
        <v/>
      </c>
      <c r="B273" s="13" t="str">
        <f t="array" aca="1" ref="B273" ca="1">IFERROR(INDEX(Projektname_ODW,MATCH(SMALL(COUNTIF(Projektname_ODW, "&lt;" &amp; Projektname_ODW),ROW(272:272)),COUNTIF(Projektname_ODW, "&lt;" &amp; Projektname_ODW),0)),"")</f>
        <v/>
      </c>
    </row>
    <row r="274" spans="1:2">
      <c r="A274" s="13" t="str">
        <f t="array" aca="1" ref="A274" ca="1">IFERROR(INDEX(Projektname,SMALL(IF(FREQUENCY(IF(Projektname&lt;&gt;"",MATCH(Projektname,Projektname,0)),ROW(Projektname)-ROW(Data!$A$4)+1),ROW(Projektname)-ROW(Data!$A$4)+1),ROWS(A$2:A274))),"")</f>
        <v/>
      </c>
      <c r="B274" s="13" t="str">
        <f t="array" aca="1" ref="B274" ca="1">IFERROR(INDEX(Projektname_ODW,MATCH(SMALL(COUNTIF(Projektname_ODW, "&lt;" &amp; Projektname_ODW),ROW(273:273)),COUNTIF(Projektname_ODW, "&lt;" &amp; Projektname_ODW),0)),"")</f>
        <v/>
      </c>
    </row>
    <row r="275" spans="1:2">
      <c r="A275" s="13" t="str">
        <f t="array" aca="1" ref="A275" ca="1">IFERROR(INDEX(Projektname,SMALL(IF(FREQUENCY(IF(Projektname&lt;&gt;"",MATCH(Projektname,Projektname,0)),ROW(Projektname)-ROW(Data!$A$4)+1),ROW(Projektname)-ROW(Data!$A$4)+1),ROWS(A$2:A275))),"")</f>
        <v/>
      </c>
      <c r="B275" s="13" t="str">
        <f t="array" aca="1" ref="B275" ca="1">IFERROR(INDEX(Projektname_ODW,MATCH(SMALL(COUNTIF(Projektname_ODW, "&lt;" &amp; Projektname_ODW),ROW(274:274)),COUNTIF(Projektname_ODW, "&lt;" &amp; Projektname_ODW),0)),"")</f>
        <v/>
      </c>
    </row>
    <row r="276" spans="1:2">
      <c r="A276" s="13" t="str">
        <f t="array" aca="1" ref="A276" ca="1">IFERROR(INDEX(Projektname,SMALL(IF(FREQUENCY(IF(Projektname&lt;&gt;"",MATCH(Projektname,Projektname,0)),ROW(Projektname)-ROW(Data!$A$4)+1),ROW(Projektname)-ROW(Data!$A$4)+1),ROWS(A$2:A276))),"")</f>
        <v/>
      </c>
      <c r="B276" s="13" t="str">
        <f t="array" aca="1" ref="B276" ca="1">IFERROR(INDEX(Projektname_ODW,MATCH(SMALL(COUNTIF(Projektname_ODW, "&lt;" &amp; Projektname_ODW),ROW(275:275)),COUNTIF(Projektname_ODW, "&lt;" &amp; Projektname_ODW),0)),"")</f>
        <v/>
      </c>
    </row>
    <row r="277" spans="1:2">
      <c r="A277" s="13" t="str">
        <f t="array" aca="1" ref="A277" ca="1">IFERROR(INDEX(Projektname,SMALL(IF(FREQUENCY(IF(Projektname&lt;&gt;"",MATCH(Projektname,Projektname,0)),ROW(Projektname)-ROW(Data!$A$4)+1),ROW(Projektname)-ROW(Data!$A$4)+1),ROWS(A$2:A277))),"")</f>
        <v/>
      </c>
      <c r="B277" s="13" t="str">
        <f t="array" aca="1" ref="B277" ca="1">IFERROR(INDEX(Projektname_ODW,MATCH(SMALL(COUNTIF(Projektname_ODW, "&lt;" &amp; Projektname_ODW),ROW(276:276)),COUNTIF(Projektname_ODW, "&lt;" &amp; Projektname_ODW),0)),"")</f>
        <v/>
      </c>
    </row>
    <row r="278" spans="1:2">
      <c r="A278" s="13" t="str">
        <f t="array" aca="1" ref="A278" ca="1">IFERROR(INDEX(Projektname,SMALL(IF(FREQUENCY(IF(Projektname&lt;&gt;"",MATCH(Projektname,Projektname,0)),ROW(Projektname)-ROW(Data!$A$4)+1),ROW(Projektname)-ROW(Data!$A$4)+1),ROWS(A$2:A278))),"")</f>
        <v/>
      </c>
      <c r="B278" s="13" t="str">
        <f t="array" aca="1" ref="B278" ca="1">IFERROR(INDEX(Projektname_ODW,MATCH(SMALL(COUNTIF(Projektname_ODW, "&lt;" &amp; Projektname_ODW),ROW(277:277)),COUNTIF(Projektname_ODW, "&lt;" &amp; Projektname_ODW),0)),"")</f>
        <v/>
      </c>
    </row>
    <row r="279" spans="1:2">
      <c r="A279" s="13" t="str">
        <f t="array" aca="1" ref="A279" ca="1">IFERROR(INDEX(Projektname,SMALL(IF(FREQUENCY(IF(Projektname&lt;&gt;"",MATCH(Projektname,Projektname,0)),ROW(Projektname)-ROW(Data!$A$4)+1),ROW(Projektname)-ROW(Data!$A$4)+1),ROWS(A$2:A279))),"")</f>
        <v/>
      </c>
      <c r="B279" s="13" t="str">
        <f t="array" aca="1" ref="B279" ca="1">IFERROR(INDEX(Projektname_ODW,MATCH(SMALL(COUNTIF(Projektname_ODW, "&lt;" &amp; Projektname_ODW),ROW(278:278)),COUNTIF(Projektname_ODW, "&lt;" &amp; Projektname_ODW),0)),"")</f>
        <v/>
      </c>
    </row>
    <row r="280" spans="1:2">
      <c r="A280" s="13" t="str">
        <f t="array" aca="1" ref="A280" ca="1">IFERROR(INDEX(Projektname,SMALL(IF(FREQUENCY(IF(Projektname&lt;&gt;"",MATCH(Projektname,Projektname,0)),ROW(Projektname)-ROW(Data!$A$4)+1),ROW(Projektname)-ROW(Data!$A$4)+1),ROWS(A$2:A280))),"")</f>
        <v/>
      </c>
      <c r="B280" s="13" t="str">
        <f t="array" aca="1" ref="B280" ca="1">IFERROR(INDEX(Projektname_ODW,MATCH(SMALL(COUNTIF(Projektname_ODW, "&lt;" &amp; Projektname_ODW),ROW(279:279)),COUNTIF(Projektname_ODW, "&lt;" &amp; Projektname_ODW),0)),"")</f>
        <v/>
      </c>
    </row>
    <row r="281" spans="1:2">
      <c r="A281" s="13" t="str">
        <f t="array" aca="1" ref="A281" ca="1">IFERROR(INDEX(Projektname,SMALL(IF(FREQUENCY(IF(Projektname&lt;&gt;"",MATCH(Projektname,Projektname,0)),ROW(Projektname)-ROW(Data!$A$4)+1),ROW(Projektname)-ROW(Data!$A$4)+1),ROWS(A$2:A281))),"")</f>
        <v/>
      </c>
      <c r="B281" s="13" t="str">
        <f t="array" aca="1" ref="B281" ca="1">IFERROR(INDEX(Projektname_ODW,MATCH(SMALL(COUNTIF(Projektname_ODW, "&lt;" &amp; Projektname_ODW),ROW(280:280)),COUNTIF(Projektname_ODW, "&lt;" &amp; Projektname_ODW),0)),"")</f>
        <v/>
      </c>
    </row>
    <row r="282" spans="1:2">
      <c r="A282" s="13" t="str">
        <f t="array" aca="1" ref="A282" ca="1">IFERROR(INDEX(Projektname,SMALL(IF(FREQUENCY(IF(Projektname&lt;&gt;"",MATCH(Projektname,Projektname,0)),ROW(Projektname)-ROW(Data!$A$4)+1),ROW(Projektname)-ROW(Data!$A$4)+1),ROWS(A$2:A282))),"")</f>
        <v/>
      </c>
      <c r="B282" s="13" t="str">
        <f t="array" aca="1" ref="B282" ca="1">IFERROR(INDEX(Projektname_ODW,MATCH(SMALL(COUNTIF(Projektname_ODW, "&lt;" &amp; Projektname_ODW),ROW(281:281)),COUNTIF(Projektname_ODW, "&lt;" &amp; Projektname_ODW),0)),"")</f>
        <v/>
      </c>
    </row>
    <row r="283" spans="1:2">
      <c r="A283" s="13" t="str">
        <f t="array" aca="1" ref="A283" ca="1">IFERROR(INDEX(Projektname,SMALL(IF(FREQUENCY(IF(Projektname&lt;&gt;"",MATCH(Projektname,Projektname,0)),ROW(Projektname)-ROW(Data!$A$4)+1),ROW(Projektname)-ROW(Data!$A$4)+1),ROWS(A$2:A283))),"")</f>
        <v/>
      </c>
      <c r="B283" s="13" t="str">
        <f t="array" aca="1" ref="B283" ca="1">IFERROR(INDEX(Projektname_ODW,MATCH(SMALL(COUNTIF(Projektname_ODW, "&lt;" &amp; Projektname_ODW),ROW(282:282)),COUNTIF(Projektname_ODW, "&lt;" &amp; Projektname_ODW),0)),"")</f>
        <v/>
      </c>
    </row>
    <row r="284" spans="1:2">
      <c r="A284" s="13" t="str">
        <f t="array" aca="1" ref="A284" ca="1">IFERROR(INDEX(Projektname,SMALL(IF(FREQUENCY(IF(Projektname&lt;&gt;"",MATCH(Projektname,Projektname,0)),ROW(Projektname)-ROW(Data!$A$4)+1),ROW(Projektname)-ROW(Data!$A$4)+1),ROWS(A$2:A284))),"")</f>
        <v/>
      </c>
      <c r="B284" s="13" t="str">
        <f t="array" aca="1" ref="B284" ca="1">IFERROR(INDEX(Projektname_ODW,MATCH(SMALL(COUNTIF(Projektname_ODW, "&lt;" &amp; Projektname_ODW),ROW(283:283)),COUNTIF(Projektname_ODW, "&lt;" &amp; Projektname_ODW),0)),"")</f>
        <v/>
      </c>
    </row>
    <row r="285" spans="1:2">
      <c r="A285" s="13" t="str">
        <f t="array" aca="1" ref="A285" ca="1">IFERROR(INDEX(Projektname,SMALL(IF(FREQUENCY(IF(Projektname&lt;&gt;"",MATCH(Projektname,Projektname,0)),ROW(Projektname)-ROW(Data!$A$4)+1),ROW(Projektname)-ROW(Data!$A$4)+1),ROWS(A$2:A285))),"")</f>
        <v/>
      </c>
      <c r="B285" s="13" t="str">
        <f t="array" aca="1" ref="B285" ca="1">IFERROR(INDEX(Projektname_ODW,MATCH(SMALL(COUNTIF(Projektname_ODW, "&lt;" &amp; Projektname_ODW),ROW(284:284)),COUNTIF(Projektname_ODW, "&lt;" &amp; Projektname_ODW),0)),"")</f>
        <v/>
      </c>
    </row>
    <row r="286" spans="1:2">
      <c r="A286" s="13" t="str">
        <f t="array" aca="1" ref="A286" ca="1">IFERROR(INDEX(Projektname,SMALL(IF(FREQUENCY(IF(Projektname&lt;&gt;"",MATCH(Projektname,Projektname,0)),ROW(Projektname)-ROW(Data!$A$4)+1),ROW(Projektname)-ROW(Data!$A$4)+1),ROWS(A$2:A286))),"")</f>
        <v/>
      </c>
      <c r="B286" s="13" t="str">
        <f t="array" aca="1" ref="B286" ca="1">IFERROR(INDEX(Projektname_ODW,MATCH(SMALL(COUNTIF(Projektname_ODW, "&lt;" &amp; Projektname_ODW),ROW(285:285)),COUNTIF(Projektname_ODW, "&lt;" &amp; Projektname_ODW),0)),"")</f>
        <v/>
      </c>
    </row>
    <row r="287" spans="1:2">
      <c r="A287" s="13" t="str">
        <f t="array" aca="1" ref="A287" ca="1">IFERROR(INDEX(Projektname,SMALL(IF(FREQUENCY(IF(Projektname&lt;&gt;"",MATCH(Projektname,Projektname,0)),ROW(Projektname)-ROW(Data!$A$4)+1),ROW(Projektname)-ROW(Data!$A$4)+1),ROWS(A$2:A287))),"")</f>
        <v/>
      </c>
      <c r="B287" s="13" t="str">
        <f t="array" aca="1" ref="B287" ca="1">IFERROR(INDEX(Projektname_ODW,MATCH(SMALL(COUNTIF(Projektname_ODW, "&lt;" &amp; Projektname_ODW),ROW(286:286)),COUNTIF(Projektname_ODW, "&lt;" &amp; Projektname_ODW),0)),"")</f>
        <v/>
      </c>
    </row>
    <row r="288" spans="1:2">
      <c r="A288" s="13" t="str">
        <f t="array" aca="1" ref="A288" ca="1">IFERROR(INDEX(Projektname,SMALL(IF(FREQUENCY(IF(Projektname&lt;&gt;"",MATCH(Projektname,Projektname,0)),ROW(Projektname)-ROW(Data!$A$4)+1),ROW(Projektname)-ROW(Data!$A$4)+1),ROWS(A$2:A288))),"")</f>
        <v/>
      </c>
      <c r="B288" s="13" t="str">
        <f t="array" aca="1" ref="B288" ca="1">IFERROR(INDEX(Projektname_ODW,MATCH(SMALL(COUNTIF(Projektname_ODW, "&lt;" &amp; Projektname_ODW),ROW(287:287)),COUNTIF(Projektname_ODW, "&lt;" &amp; Projektname_ODW),0)),"")</f>
        <v/>
      </c>
    </row>
    <row r="289" spans="1:2">
      <c r="A289" s="13" t="str">
        <f t="array" aca="1" ref="A289" ca="1">IFERROR(INDEX(Projektname,SMALL(IF(FREQUENCY(IF(Projektname&lt;&gt;"",MATCH(Projektname,Projektname,0)),ROW(Projektname)-ROW(Data!$A$4)+1),ROW(Projektname)-ROW(Data!$A$4)+1),ROWS(A$2:A289))),"")</f>
        <v/>
      </c>
      <c r="B289" s="13" t="str">
        <f t="array" aca="1" ref="B289" ca="1">IFERROR(INDEX(Projektname_ODW,MATCH(SMALL(COUNTIF(Projektname_ODW, "&lt;" &amp; Projektname_ODW),ROW(288:288)),COUNTIF(Projektname_ODW, "&lt;" &amp; Projektname_ODW),0)),"")</f>
        <v/>
      </c>
    </row>
    <row r="290" spans="1:2">
      <c r="A290" s="13" t="str">
        <f t="array" aca="1" ref="A290" ca="1">IFERROR(INDEX(Projektname,SMALL(IF(FREQUENCY(IF(Projektname&lt;&gt;"",MATCH(Projektname,Projektname,0)),ROW(Projektname)-ROW(Data!$A$4)+1),ROW(Projektname)-ROW(Data!$A$4)+1),ROWS(A$2:A290))),"")</f>
        <v/>
      </c>
      <c r="B290" s="13" t="str">
        <f t="array" aca="1" ref="B290" ca="1">IFERROR(INDEX(Projektname_ODW,MATCH(SMALL(COUNTIF(Projektname_ODW, "&lt;" &amp; Projektname_ODW),ROW(289:289)),COUNTIF(Projektname_ODW, "&lt;" &amp; Projektname_ODW),0)),"")</f>
        <v/>
      </c>
    </row>
    <row r="291" spans="1:2">
      <c r="A291" s="13" t="str">
        <f t="array" aca="1" ref="A291" ca="1">IFERROR(INDEX(Projektname,SMALL(IF(FREQUENCY(IF(Projektname&lt;&gt;"",MATCH(Projektname,Projektname,0)),ROW(Projektname)-ROW(Data!$A$4)+1),ROW(Projektname)-ROW(Data!$A$4)+1),ROWS(A$2:A291))),"")</f>
        <v/>
      </c>
      <c r="B291" s="13" t="str">
        <f t="array" aca="1" ref="B291" ca="1">IFERROR(INDEX(Projektname_ODW,MATCH(SMALL(COUNTIF(Projektname_ODW, "&lt;" &amp; Projektname_ODW),ROW(290:290)),COUNTIF(Projektname_ODW, "&lt;" &amp; Projektname_ODW),0)),"")</f>
        <v/>
      </c>
    </row>
    <row r="292" spans="1:2">
      <c r="A292" s="13" t="str">
        <f t="array" aca="1" ref="A292" ca="1">IFERROR(INDEX(Projektname,SMALL(IF(FREQUENCY(IF(Projektname&lt;&gt;"",MATCH(Projektname,Projektname,0)),ROW(Projektname)-ROW(Data!$A$4)+1),ROW(Projektname)-ROW(Data!$A$4)+1),ROWS(A$2:A292))),"")</f>
        <v/>
      </c>
      <c r="B292" s="13" t="str">
        <f t="array" aca="1" ref="B292" ca="1">IFERROR(INDEX(Projektname_ODW,MATCH(SMALL(COUNTIF(Projektname_ODW, "&lt;" &amp; Projektname_ODW),ROW(291:291)),COUNTIF(Projektname_ODW, "&lt;" &amp; Projektname_ODW),0)),"")</f>
        <v/>
      </c>
    </row>
    <row r="293" spans="1:2">
      <c r="A293" s="13" t="str">
        <f t="array" aca="1" ref="A293" ca="1">IFERROR(INDEX(Projektname,SMALL(IF(FREQUENCY(IF(Projektname&lt;&gt;"",MATCH(Projektname,Projektname,0)),ROW(Projektname)-ROW(Data!$A$4)+1),ROW(Projektname)-ROW(Data!$A$4)+1),ROWS(A$2:A293))),"")</f>
        <v/>
      </c>
      <c r="B293" s="13" t="str">
        <f t="array" aca="1" ref="B293" ca="1">IFERROR(INDEX(Projektname_ODW,MATCH(SMALL(COUNTIF(Projektname_ODW, "&lt;" &amp; Projektname_ODW),ROW(292:292)),COUNTIF(Projektname_ODW, "&lt;" &amp; Projektname_ODW),0)),"")</f>
        <v/>
      </c>
    </row>
    <row r="294" spans="1:2">
      <c r="A294" s="13" t="str">
        <f t="array" aca="1" ref="A294" ca="1">IFERROR(INDEX(Projektname,SMALL(IF(FREQUENCY(IF(Projektname&lt;&gt;"",MATCH(Projektname,Projektname,0)),ROW(Projektname)-ROW(Data!$A$4)+1),ROW(Projektname)-ROW(Data!$A$4)+1),ROWS(A$2:A294))),"")</f>
        <v/>
      </c>
      <c r="B294" s="13" t="str">
        <f t="array" aca="1" ref="B294" ca="1">IFERROR(INDEX(Projektname_ODW,MATCH(SMALL(COUNTIF(Projektname_ODW, "&lt;" &amp; Projektname_ODW),ROW(293:293)),COUNTIF(Projektname_ODW, "&lt;" &amp; Projektname_ODW),0)),"")</f>
        <v/>
      </c>
    </row>
    <row r="295" spans="1:2">
      <c r="A295" s="13" t="str">
        <f t="array" aca="1" ref="A295" ca="1">IFERROR(INDEX(Projektname,SMALL(IF(FREQUENCY(IF(Projektname&lt;&gt;"",MATCH(Projektname,Projektname,0)),ROW(Projektname)-ROW(Data!$A$4)+1),ROW(Projektname)-ROW(Data!$A$4)+1),ROWS(A$2:A295))),"")</f>
        <v/>
      </c>
      <c r="B295" s="13" t="str">
        <f t="array" aca="1" ref="B295" ca="1">IFERROR(INDEX(Projektname_ODW,MATCH(SMALL(COUNTIF(Projektname_ODW, "&lt;" &amp; Projektname_ODW),ROW(294:294)),COUNTIF(Projektname_ODW, "&lt;" &amp; Projektname_ODW),0)),"")</f>
        <v/>
      </c>
    </row>
    <row r="296" spans="1:2">
      <c r="A296" s="13" t="str">
        <f t="array" aca="1" ref="A296" ca="1">IFERROR(INDEX(Projektname,SMALL(IF(FREQUENCY(IF(Projektname&lt;&gt;"",MATCH(Projektname,Projektname,0)),ROW(Projektname)-ROW(Data!$A$4)+1),ROW(Projektname)-ROW(Data!$A$4)+1),ROWS(A$2:A296))),"")</f>
        <v/>
      </c>
      <c r="B296" s="13" t="str">
        <f t="array" aca="1" ref="B296" ca="1">IFERROR(INDEX(Projektname_ODW,MATCH(SMALL(COUNTIF(Projektname_ODW, "&lt;" &amp; Projektname_ODW),ROW(295:295)),COUNTIF(Projektname_ODW, "&lt;" &amp; Projektname_ODW),0)),"")</f>
        <v/>
      </c>
    </row>
    <row r="297" spans="1:2">
      <c r="A297" s="13" t="str">
        <f t="array" aca="1" ref="A297" ca="1">IFERROR(INDEX(Projektname,SMALL(IF(FREQUENCY(IF(Projektname&lt;&gt;"",MATCH(Projektname,Projektname,0)),ROW(Projektname)-ROW(Data!$A$4)+1),ROW(Projektname)-ROW(Data!$A$4)+1),ROWS(A$2:A297))),"")</f>
        <v/>
      </c>
      <c r="B297" s="13" t="str">
        <f t="array" aca="1" ref="B297" ca="1">IFERROR(INDEX(Projektname_ODW,MATCH(SMALL(COUNTIF(Projektname_ODW, "&lt;" &amp; Projektname_ODW),ROW(296:296)),COUNTIF(Projektname_ODW, "&lt;" &amp; Projektname_ODW),0)),"")</f>
        <v/>
      </c>
    </row>
    <row r="298" spans="1:2">
      <c r="A298" s="13" t="str">
        <f t="array" aca="1" ref="A298" ca="1">IFERROR(INDEX(Projektname,SMALL(IF(FREQUENCY(IF(Projektname&lt;&gt;"",MATCH(Projektname,Projektname,0)),ROW(Projektname)-ROW(Data!$A$4)+1),ROW(Projektname)-ROW(Data!$A$4)+1),ROWS(A$2:A298))),"")</f>
        <v/>
      </c>
      <c r="B298" s="13" t="str">
        <f t="array" aca="1" ref="B298" ca="1">IFERROR(INDEX(Projektname_ODW,MATCH(SMALL(COUNTIF(Projektname_ODW, "&lt;" &amp; Projektname_ODW),ROW(297:297)),COUNTIF(Projektname_ODW, "&lt;" &amp; Projektname_ODW),0)),"")</f>
        <v/>
      </c>
    </row>
    <row r="299" spans="1:2">
      <c r="A299" s="13" t="str">
        <f t="array" aca="1" ref="A299" ca="1">IFERROR(INDEX(Projektname,SMALL(IF(FREQUENCY(IF(Projektname&lt;&gt;"",MATCH(Projektname,Projektname,0)),ROW(Projektname)-ROW(Data!$A$4)+1),ROW(Projektname)-ROW(Data!$A$4)+1),ROWS(A$2:A299))),"")</f>
        <v/>
      </c>
      <c r="B299" s="13" t="str">
        <f t="array" aca="1" ref="B299" ca="1">IFERROR(INDEX(Projektname_ODW,MATCH(SMALL(COUNTIF(Projektname_ODW, "&lt;" &amp; Projektname_ODW),ROW(298:298)),COUNTIF(Projektname_ODW, "&lt;" &amp; Projektname_ODW),0)),"")</f>
        <v/>
      </c>
    </row>
    <row r="300" spans="1:2">
      <c r="A300" s="13" t="str">
        <f t="array" aca="1" ref="A300" ca="1">IFERROR(INDEX(Projektname,SMALL(IF(FREQUENCY(IF(Projektname&lt;&gt;"",MATCH(Projektname,Projektname,0)),ROW(Projektname)-ROW(Data!$A$4)+1),ROW(Projektname)-ROW(Data!$A$4)+1),ROWS(A$2:A300))),"")</f>
        <v/>
      </c>
      <c r="B300" s="13" t="str">
        <f t="array" aca="1" ref="B300" ca="1">IFERROR(INDEX(Projektname_ODW,MATCH(SMALL(COUNTIF(Projektname_ODW, "&lt;" &amp; Projektname_ODW),ROW(299:299)),COUNTIF(Projektname_ODW, "&lt;" &amp; Projektname_ODW),0)),"")</f>
        <v/>
      </c>
    </row>
    <row r="301" spans="1:2">
      <c r="A301" s="13" t="str">
        <f t="array" aca="1" ref="A301" ca="1">IFERROR(INDEX(Projektname,SMALL(IF(FREQUENCY(IF(Projektname&lt;&gt;"",MATCH(Projektname,Projektname,0)),ROW(Projektname)-ROW(Data!$A$4)+1),ROW(Projektname)-ROW(Data!$A$4)+1),ROWS(A$2:A301))),"")</f>
        <v/>
      </c>
      <c r="B301" s="13" t="str">
        <f t="array" aca="1" ref="B301" ca="1">IFERROR(INDEX(Projektname_ODW,MATCH(SMALL(COUNTIF(Projektname_ODW, "&lt;" &amp; Projektname_ODW),ROW(300:300)),COUNTIF(Projektname_ODW, "&lt;" &amp; Projektname_ODW),0)),"")</f>
        <v/>
      </c>
    </row>
    <row r="302" spans="1:2">
      <c r="A302" s="13" t="str">
        <f t="array" aca="1" ref="A302" ca="1">IFERROR(INDEX(Projektname,SMALL(IF(FREQUENCY(IF(Projektname&lt;&gt;"",MATCH(Projektname,Projektname,0)),ROW(Projektname)-ROW(Data!$A$4)+1),ROW(Projektname)-ROW(Data!$A$4)+1),ROWS(A$2:A302))),"")</f>
        <v/>
      </c>
      <c r="B302" s="13" t="str">
        <f t="array" aca="1" ref="B302" ca="1">IFERROR(INDEX(Projektname_ODW,MATCH(SMALL(COUNTIF(Projektname_ODW, "&lt;" &amp; Projektname_ODW),ROW(301:301)),COUNTIF(Projektname_ODW, "&lt;" &amp; Projektname_ODW),0)),"")</f>
        <v/>
      </c>
    </row>
    <row r="303" spans="1:2">
      <c r="A303" s="13" t="str">
        <f t="array" aca="1" ref="A303" ca="1">IFERROR(INDEX(Projektname,SMALL(IF(FREQUENCY(IF(Projektname&lt;&gt;"",MATCH(Projektname,Projektname,0)),ROW(Projektname)-ROW(Data!$A$4)+1),ROW(Projektname)-ROW(Data!$A$4)+1),ROWS(A$2:A303))),"")</f>
        <v/>
      </c>
      <c r="B303" s="13" t="str">
        <f t="array" aca="1" ref="B303" ca="1">IFERROR(INDEX(Projektname_ODW,MATCH(SMALL(COUNTIF(Projektname_ODW, "&lt;" &amp; Projektname_ODW),ROW(302:302)),COUNTIF(Projektname_ODW, "&lt;" &amp; Projektname_ODW),0)),"")</f>
        <v/>
      </c>
    </row>
    <row r="304" spans="1:2">
      <c r="A304" s="13" t="str">
        <f t="array" aca="1" ref="A304" ca="1">IFERROR(INDEX(Projektname,SMALL(IF(FREQUENCY(IF(Projektname&lt;&gt;"",MATCH(Projektname,Projektname,0)),ROW(Projektname)-ROW(Data!$A$4)+1),ROW(Projektname)-ROW(Data!$A$4)+1),ROWS(A$2:A304))),"")</f>
        <v/>
      </c>
      <c r="B304" s="13" t="str">
        <f t="array" aca="1" ref="B304" ca="1">IFERROR(INDEX(Projektname_ODW,MATCH(SMALL(COUNTIF(Projektname_ODW, "&lt;" &amp; Projektname_ODW),ROW(303:303)),COUNTIF(Projektname_ODW, "&lt;" &amp; Projektname_ODW),0)),"")</f>
        <v/>
      </c>
    </row>
    <row r="305" spans="1:2">
      <c r="A305" s="13" t="str">
        <f t="array" aca="1" ref="A305" ca="1">IFERROR(INDEX(Projektname,SMALL(IF(FREQUENCY(IF(Projektname&lt;&gt;"",MATCH(Projektname,Projektname,0)),ROW(Projektname)-ROW(Data!$A$4)+1),ROW(Projektname)-ROW(Data!$A$4)+1),ROWS(A$2:A305))),"")</f>
        <v/>
      </c>
      <c r="B305" s="13" t="str">
        <f t="array" aca="1" ref="B305" ca="1">IFERROR(INDEX(Projektname_ODW,MATCH(SMALL(COUNTIF(Projektname_ODW, "&lt;" &amp; Projektname_ODW),ROW(304:304)),COUNTIF(Projektname_ODW, "&lt;" &amp; Projektname_ODW),0)),"")</f>
        <v/>
      </c>
    </row>
    <row r="306" spans="1:2">
      <c r="A306" s="13" t="str">
        <f t="array" aca="1" ref="A306" ca="1">IFERROR(INDEX(Projektname,SMALL(IF(FREQUENCY(IF(Projektname&lt;&gt;"",MATCH(Projektname,Projektname,0)),ROW(Projektname)-ROW(Data!$A$4)+1),ROW(Projektname)-ROW(Data!$A$4)+1),ROWS(A$2:A306))),"")</f>
        <v/>
      </c>
      <c r="B306" s="13" t="str">
        <f t="array" aca="1" ref="B306" ca="1">IFERROR(INDEX(Projektname_ODW,MATCH(SMALL(COUNTIF(Projektname_ODW, "&lt;" &amp; Projektname_ODW),ROW(305:305)),COUNTIF(Projektname_ODW, "&lt;" &amp; Projektname_ODW),0)),"")</f>
        <v/>
      </c>
    </row>
    <row r="307" spans="1:2">
      <c r="A307" s="13" t="str">
        <f t="array" aca="1" ref="A307" ca="1">IFERROR(INDEX(Projektname,SMALL(IF(FREQUENCY(IF(Projektname&lt;&gt;"",MATCH(Projektname,Projektname,0)),ROW(Projektname)-ROW(Data!$A$4)+1),ROW(Projektname)-ROW(Data!$A$4)+1),ROWS(A$2:A307))),"")</f>
        <v/>
      </c>
      <c r="B307" s="13" t="str">
        <f t="array" aca="1" ref="B307" ca="1">IFERROR(INDEX(Projektname_ODW,MATCH(SMALL(COUNTIF(Projektname_ODW, "&lt;" &amp; Projektname_ODW),ROW(306:306)),COUNTIF(Projektname_ODW, "&lt;" &amp; Projektname_ODW),0)),"")</f>
        <v/>
      </c>
    </row>
    <row r="308" spans="1:2">
      <c r="A308" s="13" t="str">
        <f t="array" aca="1" ref="A308" ca="1">IFERROR(INDEX(Projektname,SMALL(IF(FREQUENCY(IF(Projektname&lt;&gt;"",MATCH(Projektname,Projektname,0)),ROW(Projektname)-ROW(Data!$A$4)+1),ROW(Projektname)-ROW(Data!$A$4)+1),ROWS(A$2:A308))),"")</f>
        <v/>
      </c>
      <c r="B308" s="13" t="str">
        <f t="array" aca="1" ref="B308" ca="1">IFERROR(INDEX(Projektname_ODW,MATCH(SMALL(COUNTIF(Projektname_ODW, "&lt;" &amp; Projektname_ODW),ROW(307:307)),COUNTIF(Projektname_ODW, "&lt;" &amp; Projektname_ODW),0)),"")</f>
        <v/>
      </c>
    </row>
    <row r="309" spans="1:2">
      <c r="A309" s="13" t="str">
        <f t="array" aca="1" ref="A309" ca="1">IFERROR(INDEX(Projektname,SMALL(IF(FREQUENCY(IF(Projektname&lt;&gt;"",MATCH(Projektname,Projektname,0)),ROW(Projektname)-ROW(Data!$A$4)+1),ROW(Projektname)-ROW(Data!$A$4)+1),ROWS(A$2:A309))),"")</f>
        <v/>
      </c>
      <c r="B309" s="13" t="str">
        <f t="array" aca="1" ref="B309" ca="1">IFERROR(INDEX(Projektname_ODW,MATCH(SMALL(COUNTIF(Projektname_ODW, "&lt;" &amp; Projektname_ODW),ROW(308:308)),COUNTIF(Projektname_ODW, "&lt;" &amp; Projektname_ODW),0)),"")</f>
        <v/>
      </c>
    </row>
    <row r="310" spans="1:2">
      <c r="A310" s="13" t="str">
        <f t="array" aca="1" ref="A310" ca="1">IFERROR(INDEX(Projektname,SMALL(IF(FREQUENCY(IF(Projektname&lt;&gt;"",MATCH(Projektname,Projektname,0)),ROW(Projektname)-ROW(Data!$A$4)+1),ROW(Projektname)-ROW(Data!$A$4)+1),ROWS(A$2:A310))),"")</f>
        <v/>
      </c>
      <c r="B310" s="13" t="str">
        <f t="array" aca="1" ref="B310" ca="1">IFERROR(INDEX(Projektname_ODW,MATCH(SMALL(COUNTIF(Projektname_ODW, "&lt;" &amp; Projektname_ODW),ROW(309:309)),COUNTIF(Projektname_ODW, "&lt;" &amp; Projektname_ODW),0)),"")</f>
        <v/>
      </c>
    </row>
    <row r="311" spans="1:2">
      <c r="A311" s="13" t="str">
        <f t="array" aca="1" ref="A311" ca="1">IFERROR(INDEX(Projektname,SMALL(IF(FREQUENCY(IF(Projektname&lt;&gt;"",MATCH(Projektname,Projektname,0)),ROW(Projektname)-ROW(Data!$A$4)+1),ROW(Projektname)-ROW(Data!$A$4)+1),ROWS(A$2:A311))),"")</f>
        <v/>
      </c>
      <c r="B311" s="13" t="str">
        <f t="array" aca="1" ref="B311" ca="1">IFERROR(INDEX(Projektname_ODW,MATCH(SMALL(COUNTIF(Projektname_ODW, "&lt;" &amp; Projektname_ODW),ROW(310:310)),COUNTIF(Projektname_ODW, "&lt;" &amp; Projektname_ODW),0)),"")</f>
        <v/>
      </c>
    </row>
    <row r="312" spans="1:2">
      <c r="A312" s="13" t="str">
        <f t="array" aca="1" ref="A312" ca="1">IFERROR(INDEX(Projektname,SMALL(IF(FREQUENCY(IF(Projektname&lt;&gt;"",MATCH(Projektname,Projektname,0)),ROW(Projektname)-ROW(Data!$A$4)+1),ROW(Projektname)-ROW(Data!$A$4)+1),ROWS(A$2:A312))),"")</f>
        <v/>
      </c>
      <c r="B312" s="13" t="str">
        <f t="array" aca="1" ref="B312" ca="1">IFERROR(INDEX(Projektname_ODW,MATCH(SMALL(COUNTIF(Projektname_ODW, "&lt;" &amp; Projektname_ODW),ROW(311:311)),COUNTIF(Projektname_ODW, "&lt;" &amp; Projektname_ODW),0)),"")</f>
        <v/>
      </c>
    </row>
    <row r="313" spans="1:2">
      <c r="A313" s="13" t="str">
        <f t="array" aca="1" ref="A313" ca="1">IFERROR(INDEX(Projektname,SMALL(IF(FREQUENCY(IF(Projektname&lt;&gt;"",MATCH(Projektname,Projektname,0)),ROW(Projektname)-ROW(Data!$A$4)+1),ROW(Projektname)-ROW(Data!$A$4)+1),ROWS(A$2:A313))),"")</f>
        <v/>
      </c>
      <c r="B313" s="13" t="str">
        <f t="array" aca="1" ref="B313" ca="1">IFERROR(INDEX(Projektname_ODW,MATCH(SMALL(COUNTIF(Projektname_ODW, "&lt;" &amp; Projektname_ODW),ROW(312:312)),COUNTIF(Projektname_ODW, "&lt;" &amp; Projektname_ODW),0)),"")</f>
        <v/>
      </c>
    </row>
    <row r="314" spans="1:2">
      <c r="A314" s="13" t="str">
        <f t="array" aca="1" ref="A314" ca="1">IFERROR(INDEX(Projektname,SMALL(IF(FREQUENCY(IF(Projektname&lt;&gt;"",MATCH(Projektname,Projektname,0)),ROW(Projektname)-ROW(Data!$A$4)+1),ROW(Projektname)-ROW(Data!$A$4)+1),ROWS(A$2:A314))),"")</f>
        <v/>
      </c>
      <c r="B314" s="13" t="str">
        <f t="array" aca="1" ref="B314" ca="1">IFERROR(INDEX(Projektname_ODW,MATCH(SMALL(COUNTIF(Projektname_ODW, "&lt;" &amp; Projektname_ODW),ROW(313:313)),COUNTIF(Projektname_ODW, "&lt;" &amp; Projektname_ODW),0)),"")</f>
        <v/>
      </c>
    </row>
    <row r="315" spans="1:2">
      <c r="A315" s="13" t="str">
        <f t="array" aca="1" ref="A315" ca="1">IFERROR(INDEX(Projektname,SMALL(IF(FREQUENCY(IF(Projektname&lt;&gt;"",MATCH(Projektname,Projektname,0)),ROW(Projektname)-ROW(Data!$A$4)+1),ROW(Projektname)-ROW(Data!$A$4)+1),ROWS(A$2:A315))),"")</f>
        <v/>
      </c>
      <c r="B315" s="13" t="str">
        <f t="array" aca="1" ref="B315" ca="1">IFERROR(INDEX(Projektname_ODW,MATCH(SMALL(COUNTIF(Projektname_ODW, "&lt;" &amp; Projektname_ODW),ROW(314:314)),COUNTIF(Projektname_ODW, "&lt;" &amp; Projektname_ODW),0)),"")</f>
        <v/>
      </c>
    </row>
    <row r="316" spans="1:2">
      <c r="A316" s="13" t="str">
        <f t="array" aca="1" ref="A316" ca="1">IFERROR(INDEX(Projektname,SMALL(IF(FREQUENCY(IF(Projektname&lt;&gt;"",MATCH(Projektname,Projektname,0)),ROW(Projektname)-ROW(Data!$A$4)+1),ROW(Projektname)-ROW(Data!$A$4)+1),ROWS(A$2:A316))),"")</f>
        <v/>
      </c>
      <c r="B316" s="13" t="str">
        <f t="array" aca="1" ref="B316" ca="1">IFERROR(INDEX(Projektname_ODW,MATCH(SMALL(COUNTIF(Projektname_ODW, "&lt;" &amp; Projektname_ODW),ROW(315:315)),COUNTIF(Projektname_ODW, "&lt;" &amp; Projektname_ODW),0)),"")</f>
        <v/>
      </c>
    </row>
    <row r="317" spans="1:2">
      <c r="A317" s="13" t="str">
        <f t="array" aca="1" ref="A317" ca="1">IFERROR(INDEX(Projektname,SMALL(IF(FREQUENCY(IF(Projektname&lt;&gt;"",MATCH(Projektname,Projektname,0)),ROW(Projektname)-ROW(Data!$A$4)+1),ROW(Projektname)-ROW(Data!$A$4)+1),ROWS(A$2:A317))),"")</f>
        <v/>
      </c>
      <c r="B317" s="13" t="str">
        <f t="array" aca="1" ref="B317" ca="1">IFERROR(INDEX(Projektname_ODW,MATCH(SMALL(COUNTIF(Projektname_ODW, "&lt;" &amp; Projektname_ODW),ROW(316:316)),COUNTIF(Projektname_ODW, "&lt;" &amp; Projektname_ODW),0)),"")</f>
        <v/>
      </c>
    </row>
    <row r="318" spans="1:2">
      <c r="A318" s="13" t="str">
        <f t="array" aca="1" ref="A318" ca="1">IFERROR(INDEX(Projektname,SMALL(IF(FREQUENCY(IF(Projektname&lt;&gt;"",MATCH(Projektname,Projektname,0)),ROW(Projektname)-ROW(Data!$A$4)+1),ROW(Projektname)-ROW(Data!$A$4)+1),ROWS(A$2:A318))),"")</f>
        <v/>
      </c>
      <c r="B318" s="13" t="str">
        <f t="array" aca="1" ref="B318" ca="1">IFERROR(INDEX(Projektname_ODW,MATCH(SMALL(COUNTIF(Projektname_ODW, "&lt;" &amp; Projektname_ODW),ROW(317:317)),COUNTIF(Projektname_ODW, "&lt;" &amp; Projektname_ODW),0)),"")</f>
        <v/>
      </c>
    </row>
    <row r="319" spans="1:2">
      <c r="A319" s="13" t="str">
        <f t="array" aca="1" ref="A319" ca="1">IFERROR(INDEX(Projektname,SMALL(IF(FREQUENCY(IF(Projektname&lt;&gt;"",MATCH(Projektname,Projektname,0)),ROW(Projektname)-ROW(Data!$A$4)+1),ROW(Projektname)-ROW(Data!$A$4)+1),ROWS(A$2:A319))),"")</f>
        <v/>
      </c>
      <c r="B319" s="13" t="str">
        <f t="array" aca="1" ref="B319" ca="1">IFERROR(INDEX(Projektname_ODW,MATCH(SMALL(COUNTIF(Projektname_ODW, "&lt;" &amp; Projektname_ODW),ROW(318:318)),COUNTIF(Projektname_ODW, "&lt;" &amp; Projektname_ODW),0)),"")</f>
        <v/>
      </c>
    </row>
    <row r="320" spans="1:2">
      <c r="A320" s="13" t="str">
        <f t="array" aca="1" ref="A320" ca="1">IFERROR(INDEX(Projektname,SMALL(IF(FREQUENCY(IF(Projektname&lt;&gt;"",MATCH(Projektname,Projektname,0)),ROW(Projektname)-ROW(Data!$A$4)+1),ROW(Projektname)-ROW(Data!$A$4)+1),ROWS(A$2:A320))),"")</f>
        <v/>
      </c>
      <c r="B320" s="13" t="str">
        <f t="array" aca="1" ref="B320" ca="1">IFERROR(INDEX(Projektname_ODW,MATCH(SMALL(COUNTIF(Projektname_ODW, "&lt;" &amp; Projektname_ODW),ROW(319:319)),COUNTIF(Projektname_ODW, "&lt;" &amp; Projektname_ODW),0)),"")</f>
        <v/>
      </c>
    </row>
    <row r="321" spans="1:2">
      <c r="A321" s="13" t="str">
        <f t="array" aca="1" ref="A321" ca="1">IFERROR(INDEX(Projektname,SMALL(IF(FREQUENCY(IF(Projektname&lt;&gt;"",MATCH(Projektname,Projektname,0)),ROW(Projektname)-ROW(Data!$A$4)+1),ROW(Projektname)-ROW(Data!$A$4)+1),ROWS(A$2:A321))),"")</f>
        <v/>
      </c>
      <c r="B321" s="13" t="str">
        <f t="array" aca="1" ref="B321" ca="1">IFERROR(INDEX(Projektname_ODW,MATCH(SMALL(COUNTIF(Projektname_ODW, "&lt;" &amp; Projektname_ODW),ROW(320:320)),COUNTIF(Projektname_ODW, "&lt;" &amp; Projektname_ODW),0)),"")</f>
        <v/>
      </c>
    </row>
    <row r="322" spans="1:2">
      <c r="A322" s="13" t="str">
        <f t="array" aca="1" ref="A322" ca="1">IFERROR(INDEX(Projektname,SMALL(IF(FREQUENCY(IF(Projektname&lt;&gt;"",MATCH(Projektname,Projektname,0)),ROW(Projektname)-ROW(Data!$A$4)+1),ROW(Projektname)-ROW(Data!$A$4)+1),ROWS(A$2:A322))),"")</f>
        <v/>
      </c>
      <c r="B322" s="13" t="str">
        <f t="array" aca="1" ref="B322" ca="1">IFERROR(INDEX(Projektname_ODW,MATCH(SMALL(COUNTIF(Projektname_ODW, "&lt;" &amp; Projektname_ODW),ROW(321:321)),COUNTIF(Projektname_ODW, "&lt;" &amp; Projektname_ODW),0)),"")</f>
        <v/>
      </c>
    </row>
    <row r="323" spans="1:2">
      <c r="A323" s="13" t="str">
        <f t="array" aca="1" ref="A323" ca="1">IFERROR(INDEX(Projektname,SMALL(IF(FREQUENCY(IF(Projektname&lt;&gt;"",MATCH(Projektname,Projektname,0)),ROW(Projektname)-ROW(Data!$A$4)+1),ROW(Projektname)-ROW(Data!$A$4)+1),ROWS(A$2:A323))),"")</f>
        <v/>
      </c>
      <c r="B323" s="13" t="str">
        <f t="array" aca="1" ref="B323" ca="1">IFERROR(INDEX(Projektname_ODW,MATCH(SMALL(COUNTIF(Projektname_ODW, "&lt;" &amp; Projektname_ODW),ROW(322:322)),COUNTIF(Projektname_ODW, "&lt;" &amp; Projektname_ODW),0)),"")</f>
        <v/>
      </c>
    </row>
    <row r="324" spans="1:2">
      <c r="A324" s="13" t="str">
        <f t="array" aca="1" ref="A324" ca="1">IFERROR(INDEX(Projektname,SMALL(IF(FREQUENCY(IF(Projektname&lt;&gt;"",MATCH(Projektname,Projektname,0)),ROW(Projektname)-ROW(Data!$A$4)+1),ROW(Projektname)-ROW(Data!$A$4)+1),ROWS(A$2:A324))),"")</f>
        <v/>
      </c>
      <c r="B324" s="13" t="str">
        <f t="array" aca="1" ref="B324" ca="1">IFERROR(INDEX(Projektname_ODW,MATCH(SMALL(COUNTIF(Projektname_ODW, "&lt;" &amp; Projektname_ODW),ROW(323:323)),COUNTIF(Projektname_ODW, "&lt;" &amp; Projektname_ODW),0)),"")</f>
        <v/>
      </c>
    </row>
    <row r="325" spans="1:2">
      <c r="A325" s="13" t="str">
        <f t="array" aca="1" ref="A325" ca="1">IFERROR(INDEX(Projektname,SMALL(IF(FREQUENCY(IF(Projektname&lt;&gt;"",MATCH(Projektname,Projektname,0)),ROW(Projektname)-ROW(Data!$A$4)+1),ROW(Projektname)-ROW(Data!$A$4)+1),ROWS(A$2:A325))),"")</f>
        <v/>
      </c>
      <c r="B325" s="13" t="str">
        <f t="array" aca="1" ref="B325" ca="1">IFERROR(INDEX(Projektname_ODW,MATCH(SMALL(COUNTIF(Projektname_ODW, "&lt;" &amp; Projektname_ODW),ROW(324:324)),COUNTIF(Projektname_ODW, "&lt;" &amp; Projektname_ODW),0)),"")</f>
        <v/>
      </c>
    </row>
    <row r="326" spans="1:2">
      <c r="A326" s="13" t="str">
        <f t="array" aca="1" ref="A326" ca="1">IFERROR(INDEX(Projektname,SMALL(IF(FREQUENCY(IF(Projektname&lt;&gt;"",MATCH(Projektname,Projektname,0)),ROW(Projektname)-ROW(Data!$A$4)+1),ROW(Projektname)-ROW(Data!$A$4)+1),ROWS(A$2:A326))),"")</f>
        <v/>
      </c>
      <c r="B326" s="13" t="str">
        <f t="array" aca="1" ref="B326" ca="1">IFERROR(INDEX(Projektname_ODW,MATCH(SMALL(COUNTIF(Projektname_ODW, "&lt;" &amp; Projektname_ODW),ROW(325:325)),COUNTIF(Projektname_ODW, "&lt;" &amp; Projektname_ODW),0)),"")</f>
        <v/>
      </c>
    </row>
    <row r="327" spans="1:2">
      <c r="A327" s="13" t="str">
        <f t="array" aca="1" ref="A327" ca="1">IFERROR(INDEX(Projektname,SMALL(IF(FREQUENCY(IF(Projektname&lt;&gt;"",MATCH(Projektname,Projektname,0)),ROW(Projektname)-ROW(Data!$A$4)+1),ROW(Projektname)-ROW(Data!$A$4)+1),ROWS(A$2:A327))),"")</f>
        <v/>
      </c>
      <c r="B327" s="13" t="str">
        <f t="array" aca="1" ref="B327" ca="1">IFERROR(INDEX(Projektname_ODW,MATCH(SMALL(COUNTIF(Projektname_ODW, "&lt;" &amp; Projektname_ODW),ROW(326:326)),COUNTIF(Projektname_ODW, "&lt;" &amp; Projektname_ODW),0)),"")</f>
        <v/>
      </c>
    </row>
    <row r="328" spans="1:2">
      <c r="A328" s="13" t="str">
        <f t="array" aca="1" ref="A328" ca="1">IFERROR(INDEX(Projektname,SMALL(IF(FREQUENCY(IF(Projektname&lt;&gt;"",MATCH(Projektname,Projektname,0)),ROW(Projektname)-ROW(Data!$A$4)+1),ROW(Projektname)-ROW(Data!$A$4)+1),ROWS(A$2:A328))),"")</f>
        <v/>
      </c>
      <c r="B328" s="13" t="str">
        <f t="array" aca="1" ref="B328" ca="1">IFERROR(INDEX(Projektname_ODW,MATCH(SMALL(COUNTIF(Projektname_ODW, "&lt;" &amp; Projektname_ODW),ROW(327:327)),COUNTIF(Projektname_ODW, "&lt;" &amp; Projektname_ODW),0)),"")</f>
        <v/>
      </c>
    </row>
    <row r="329" spans="1:2">
      <c r="A329" s="13" t="str">
        <f t="array" aca="1" ref="A329" ca="1">IFERROR(INDEX(Projektname,SMALL(IF(FREQUENCY(IF(Projektname&lt;&gt;"",MATCH(Projektname,Projektname,0)),ROW(Projektname)-ROW(Data!$A$4)+1),ROW(Projektname)-ROW(Data!$A$4)+1),ROWS(A$2:A329))),"")</f>
        <v/>
      </c>
      <c r="B329" s="13" t="str">
        <f t="array" aca="1" ref="B329" ca="1">IFERROR(INDEX(Projektname_ODW,MATCH(SMALL(COUNTIF(Projektname_ODW, "&lt;" &amp; Projektname_ODW),ROW(328:328)),COUNTIF(Projektname_ODW, "&lt;" &amp; Projektname_ODW),0)),"")</f>
        <v/>
      </c>
    </row>
    <row r="330" spans="1:2">
      <c r="A330" s="13" t="str">
        <f t="array" aca="1" ref="A330" ca="1">IFERROR(INDEX(Projektname,SMALL(IF(FREQUENCY(IF(Projektname&lt;&gt;"",MATCH(Projektname,Projektname,0)),ROW(Projektname)-ROW(Data!$A$4)+1),ROW(Projektname)-ROW(Data!$A$4)+1),ROWS(A$2:A330))),"")</f>
        <v/>
      </c>
      <c r="B330" s="13" t="str">
        <f t="array" aca="1" ref="B330" ca="1">IFERROR(INDEX(Projektname_ODW,MATCH(SMALL(COUNTIF(Projektname_ODW, "&lt;" &amp; Projektname_ODW),ROW(329:329)),COUNTIF(Projektname_ODW, "&lt;" &amp; Projektname_ODW),0)),"")</f>
        <v/>
      </c>
    </row>
    <row r="331" spans="1:2">
      <c r="A331" s="13" t="str">
        <f t="array" aca="1" ref="A331" ca="1">IFERROR(INDEX(Projektname,SMALL(IF(FREQUENCY(IF(Projektname&lt;&gt;"",MATCH(Projektname,Projektname,0)),ROW(Projektname)-ROW(Data!$A$4)+1),ROW(Projektname)-ROW(Data!$A$4)+1),ROWS(A$2:A331))),"")</f>
        <v/>
      </c>
      <c r="B331" s="13" t="str">
        <f t="array" aca="1" ref="B331" ca="1">IFERROR(INDEX(Projektname_ODW,MATCH(SMALL(COUNTIF(Projektname_ODW, "&lt;" &amp; Projektname_ODW),ROW(330:330)),COUNTIF(Projektname_ODW, "&lt;" &amp; Projektname_ODW),0)),"")</f>
        <v/>
      </c>
    </row>
    <row r="332" spans="1:2">
      <c r="A332" s="13" t="str">
        <f t="array" aca="1" ref="A332" ca="1">IFERROR(INDEX(Projektname,SMALL(IF(FREQUENCY(IF(Projektname&lt;&gt;"",MATCH(Projektname,Projektname,0)),ROW(Projektname)-ROW(Data!$A$4)+1),ROW(Projektname)-ROW(Data!$A$4)+1),ROWS(A$2:A332))),"")</f>
        <v/>
      </c>
      <c r="B332" s="13" t="str">
        <f t="array" aca="1" ref="B332" ca="1">IFERROR(INDEX(Projektname_ODW,MATCH(SMALL(COUNTIF(Projektname_ODW, "&lt;" &amp; Projektname_ODW),ROW(331:331)),COUNTIF(Projektname_ODW, "&lt;" &amp; Projektname_ODW),0)),"")</f>
        <v/>
      </c>
    </row>
    <row r="333" spans="1:2">
      <c r="A333" s="13" t="str">
        <f t="array" aca="1" ref="A333" ca="1">IFERROR(INDEX(Projektname,SMALL(IF(FREQUENCY(IF(Projektname&lt;&gt;"",MATCH(Projektname,Projektname,0)),ROW(Projektname)-ROW(Data!$A$4)+1),ROW(Projektname)-ROW(Data!$A$4)+1),ROWS(A$2:A333))),"")</f>
        <v/>
      </c>
      <c r="B333" s="13" t="str">
        <f t="array" aca="1" ref="B333" ca="1">IFERROR(INDEX(Projektname_ODW,MATCH(SMALL(COUNTIF(Projektname_ODW, "&lt;" &amp; Projektname_ODW),ROW(332:332)),COUNTIF(Projektname_ODW, "&lt;" &amp; Projektname_ODW),0)),"")</f>
        <v/>
      </c>
    </row>
    <row r="334" spans="1:2">
      <c r="A334" s="13" t="str">
        <f t="array" aca="1" ref="A334" ca="1">IFERROR(INDEX(Projektname,SMALL(IF(FREQUENCY(IF(Projektname&lt;&gt;"",MATCH(Projektname,Projektname,0)),ROW(Projektname)-ROW(Data!$A$4)+1),ROW(Projektname)-ROW(Data!$A$4)+1),ROWS(A$2:A334))),"")</f>
        <v/>
      </c>
      <c r="B334" s="13" t="str">
        <f t="array" aca="1" ref="B334" ca="1">IFERROR(INDEX(Projektname_ODW,MATCH(SMALL(COUNTIF(Projektname_ODW, "&lt;" &amp; Projektname_ODW),ROW(333:333)),COUNTIF(Projektname_ODW, "&lt;" &amp; Projektname_ODW),0)),"")</f>
        <v/>
      </c>
    </row>
    <row r="335" spans="1:2">
      <c r="A335" s="13" t="str">
        <f t="array" aca="1" ref="A335" ca="1">IFERROR(INDEX(Projektname,SMALL(IF(FREQUENCY(IF(Projektname&lt;&gt;"",MATCH(Projektname,Projektname,0)),ROW(Projektname)-ROW(Data!$A$4)+1),ROW(Projektname)-ROW(Data!$A$4)+1),ROWS(A$2:A335))),"")</f>
        <v/>
      </c>
      <c r="B335" s="13" t="str">
        <f t="array" aca="1" ref="B335" ca="1">IFERROR(INDEX(Projektname_ODW,MATCH(SMALL(COUNTIF(Projektname_ODW, "&lt;" &amp; Projektname_ODW),ROW(334:334)),COUNTIF(Projektname_ODW, "&lt;" &amp; Projektname_ODW),0)),"")</f>
        <v/>
      </c>
    </row>
    <row r="336" spans="1:2">
      <c r="A336" s="13" t="str">
        <f t="array" aca="1" ref="A336" ca="1">IFERROR(INDEX(Projektname,SMALL(IF(FREQUENCY(IF(Projektname&lt;&gt;"",MATCH(Projektname,Projektname,0)),ROW(Projektname)-ROW(Data!$A$4)+1),ROW(Projektname)-ROW(Data!$A$4)+1),ROWS(A$2:A336))),"")</f>
        <v/>
      </c>
      <c r="B336" s="13" t="str">
        <f t="array" aca="1" ref="B336" ca="1">IFERROR(INDEX(Projektname_ODW,MATCH(SMALL(COUNTIF(Projektname_ODW, "&lt;" &amp; Projektname_ODW),ROW(335:335)),COUNTIF(Projektname_ODW, "&lt;" &amp; Projektname_ODW),0)),"")</f>
        <v/>
      </c>
    </row>
    <row r="337" spans="1:2">
      <c r="A337" s="13" t="str">
        <f t="array" aca="1" ref="A337" ca="1">IFERROR(INDEX(Projektname,SMALL(IF(FREQUENCY(IF(Projektname&lt;&gt;"",MATCH(Projektname,Projektname,0)),ROW(Projektname)-ROW(Data!$A$4)+1),ROW(Projektname)-ROW(Data!$A$4)+1),ROWS(A$2:A337))),"")</f>
        <v/>
      </c>
      <c r="B337" s="13" t="str">
        <f t="array" aca="1" ref="B337" ca="1">IFERROR(INDEX(Projektname_ODW,MATCH(SMALL(COUNTIF(Projektname_ODW, "&lt;" &amp; Projektname_ODW),ROW(336:336)),COUNTIF(Projektname_ODW, "&lt;" &amp; Projektname_ODW),0)),"")</f>
        <v/>
      </c>
    </row>
    <row r="338" spans="1:2">
      <c r="A338" s="13" t="str">
        <f t="array" aca="1" ref="A338" ca="1">IFERROR(INDEX(Projektname,SMALL(IF(FREQUENCY(IF(Projektname&lt;&gt;"",MATCH(Projektname,Projektname,0)),ROW(Projektname)-ROW(Data!$A$4)+1),ROW(Projektname)-ROW(Data!$A$4)+1),ROWS(A$2:A338))),"")</f>
        <v/>
      </c>
      <c r="B338" s="13" t="str">
        <f t="array" aca="1" ref="B338" ca="1">IFERROR(INDEX(Projektname_ODW,MATCH(SMALL(COUNTIF(Projektname_ODW, "&lt;" &amp; Projektname_ODW),ROW(337:337)),COUNTIF(Projektname_ODW, "&lt;" &amp; Projektname_ODW),0)),"")</f>
        <v/>
      </c>
    </row>
    <row r="339" spans="1:2">
      <c r="A339" s="13" t="str">
        <f t="array" aca="1" ref="A339" ca="1">IFERROR(INDEX(Projektname,SMALL(IF(FREQUENCY(IF(Projektname&lt;&gt;"",MATCH(Projektname,Projektname,0)),ROW(Projektname)-ROW(Data!$A$4)+1),ROW(Projektname)-ROW(Data!$A$4)+1),ROWS(A$2:A339))),"")</f>
        <v/>
      </c>
      <c r="B339" s="13" t="str">
        <f t="array" aca="1" ref="B339" ca="1">IFERROR(INDEX(Projektname_ODW,MATCH(SMALL(COUNTIF(Projektname_ODW, "&lt;" &amp; Projektname_ODW),ROW(338:338)),COUNTIF(Projektname_ODW, "&lt;" &amp; Projektname_ODW),0)),"")</f>
        <v/>
      </c>
    </row>
    <row r="340" spans="1:2">
      <c r="A340" s="13" t="str">
        <f t="array" aca="1" ref="A340" ca="1">IFERROR(INDEX(Projektname,SMALL(IF(FREQUENCY(IF(Projektname&lt;&gt;"",MATCH(Projektname,Projektname,0)),ROW(Projektname)-ROW(Data!$A$4)+1),ROW(Projektname)-ROW(Data!$A$4)+1),ROWS(A$2:A340))),"")</f>
        <v/>
      </c>
      <c r="B340" s="13" t="str">
        <f t="array" aca="1" ref="B340" ca="1">IFERROR(INDEX(Projektname_ODW,MATCH(SMALL(COUNTIF(Projektname_ODW, "&lt;" &amp; Projektname_ODW),ROW(339:339)),COUNTIF(Projektname_ODW, "&lt;" &amp; Projektname_ODW),0)),"")</f>
        <v/>
      </c>
    </row>
    <row r="341" spans="1:2">
      <c r="A341" s="13" t="str">
        <f t="array" aca="1" ref="A341" ca="1">IFERROR(INDEX(Projektname,SMALL(IF(FREQUENCY(IF(Projektname&lt;&gt;"",MATCH(Projektname,Projektname,0)),ROW(Projektname)-ROW(Data!$A$4)+1),ROW(Projektname)-ROW(Data!$A$4)+1),ROWS(A$2:A341))),"")</f>
        <v/>
      </c>
      <c r="B341" s="13" t="str">
        <f t="array" aca="1" ref="B341" ca="1">IFERROR(INDEX(Projektname_ODW,MATCH(SMALL(COUNTIF(Projektname_ODW, "&lt;" &amp; Projektname_ODW),ROW(340:340)),COUNTIF(Projektname_ODW, "&lt;" &amp; Projektname_ODW),0)),"")</f>
        <v/>
      </c>
    </row>
    <row r="342" spans="1:2">
      <c r="A342" s="13" t="str">
        <f t="array" aca="1" ref="A342" ca="1">IFERROR(INDEX(Projektname,SMALL(IF(FREQUENCY(IF(Projektname&lt;&gt;"",MATCH(Projektname,Projektname,0)),ROW(Projektname)-ROW(Data!$A$4)+1),ROW(Projektname)-ROW(Data!$A$4)+1),ROWS(A$2:A342))),"")</f>
        <v/>
      </c>
      <c r="B342" s="13" t="str">
        <f t="array" aca="1" ref="B342" ca="1">IFERROR(INDEX(Projektname_ODW,MATCH(SMALL(COUNTIF(Projektname_ODW, "&lt;" &amp; Projektname_ODW),ROW(341:341)),COUNTIF(Projektname_ODW, "&lt;" &amp; Projektname_ODW),0)),"")</f>
        <v/>
      </c>
    </row>
    <row r="343" spans="1:2">
      <c r="A343" s="13" t="str">
        <f t="array" aca="1" ref="A343" ca="1">IFERROR(INDEX(Projektname,SMALL(IF(FREQUENCY(IF(Projektname&lt;&gt;"",MATCH(Projektname,Projektname,0)),ROW(Projektname)-ROW(Data!$A$4)+1),ROW(Projektname)-ROW(Data!$A$4)+1),ROWS(A$2:A343))),"")</f>
        <v/>
      </c>
      <c r="B343" s="13" t="str">
        <f t="array" aca="1" ref="B343" ca="1">IFERROR(INDEX(Projektname_ODW,MATCH(SMALL(COUNTIF(Projektname_ODW, "&lt;" &amp; Projektname_ODW),ROW(342:342)),COUNTIF(Projektname_ODW, "&lt;" &amp; Projektname_ODW),0)),"")</f>
        <v/>
      </c>
    </row>
    <row r="344" spans="1:2">
      <c r="A344" s="13" t="str">
        <f t="array" aca="1" ref="A344" ca="1">IFERROR(INDEX(Projektname,SMALL(IF(FREQUENCY(IF(Projektname&lt;&gt;"",MATCH(Projektname,Projektname,0)),ROW(Projektname)-ROW(Data!$A$4)+1),ROW(Projektname)-ROW(Data!$A$4)+1),ROWS(A$2:A344))),"")</f>
        <v/>
      </c>
      <c r="B344" s="13" t="str">
        <f t="array" aca="1" ref="B344" ca="1">IFERROR(INDEX(Projektname_ODW,MATCH(SMALL(COUNTIF(Projektname_ODW, "&lt;" &amp; Projektname_ODW),ROW(343:343)),COUNTIF(Projektname_ODW, "&lt;" &amp; Projektname_ODW),0)),"")</f>
        <v/>
      </c>
    </row>
    <row r="345" spans="1:2">
      <c r="A345" s="13" t="str">
        <f t="array" aca="1" ref="A345" ca="1">IFERROR(INDEX(Projektname,SMALL(IF(FREQUENCY(IF(Projektname&lt;&gt;"",MATCH(Projektname,Projektname,0)),ROW(Projektname)-ROW(Data!$A$4)+1),ROW(Projektname)-ROW(Data!$A$4)+1),ROWS(A$2:A345))),"")</f>
        <v/>
      </c>
      <c r="B345" s="13" t="str">
        <f t="array" aca="1" ref="B345" ca="1">IFERROR(INDEX(Projektname_ODW,MATCH(SMALL(COUNTIF(Projektname_ODW, "&lt;" &amp; Projektname_ODW),ROW(344:344)),COUNTIF(Projektname_ODW, "&lt;" &amp; Projektname_ODW),0)),"")</f>
        <v/>
      </c>
    </row>
    <row r="346" spans="1:2">
      <c r="A346" s="13" t="str">
        <f t="array" aca="1" ref="A346" ca="1">IFERROR(INDEX(Projektname,SMALL(IF(FREQUENCY(IF(Projektname&lt;&gt;"",MATCH(Projektname,Projektname,0)),ROW(Projektname)-ROW(Data!$A$4)+1),ROW(Projektname)-ROW(Data!$A$4)+1),ROWS(A$2:A346))),"")</f>
        <v/>
      </c>
      <c r="B346" s="13" t="str">
        <f t="array" aca="1" ref="B346" ca="1">IFERROR(INDEX(Projektname_ODW,MATCH(SMALL(COUNTIF(Projektname_ODW, "&lt;" &amp; Projektname_ODW),ROW(345:345)),COUNTIF(Projektname_ODW, "&lt;" &amp; Projektname_ODW),0)),"")</f>
        <v/>
      </c>
    </row>
    <row r="347" spans="1:2">
      <c r="A347" s="13" t="str">
        <f t="array" aca="1" ref="A347" ca="1">IFERROR(INDEX(Projektname,SMALL(IF(FREQUENCY(IF(Projektname&lt;&gt;"",MATCH(Projektname,Projektname,0)),ROW(Projektname)-ROW(Data!$A$4)+1),ROW(Projektname)-ROW(Data!$A$4)+1),ROWS(A$2:A347))),"")</f>
        <v/>
      </c>
      <c r="B347" s="13" t="str">
        <f t="array" aca="1" ref="B347" ca="1">IFERROR(INDEX(Projektname_ODW,MATCH(SMALL(COUNTIF(Projektname_ODW, "&lt;" &amp; Projektname_ODW),ROW(346:346)),COUNTIF(Projektname_ODW, "&lt;" &amp; Projektname_ODW),0)),"")</f>
        <v/>
      </c>
    </row>
    <row r="348" spans="1:2">
      <c r="A348" s="13" t="str">
        <f t="array" aca="1" ref="A348" ca="1">IFERROR(INDEX(Projektname,SMALL(IF(FREQUENCY(IF(Projektname&lt;&gt;"",MATCH(Projektname,Projektname,0)),ROW(Projektname)-ROW(Data!$A$4)+1),ROW(Projektname)-ROW(Data!$A$4)+1),ROWS(A$2:A348))),"")</f>
        <v/>
      </c>
      <c r="B348" s="13" t="str">
        <f t="array" aca="1" ref="B348" ca="1">IFERROR(INDEX(Projektname_ODW,MATCH(SMALL(COUNTIF(Projektname_ODW, "&lt;" &amp; Projektname_ODW),ROW(347:347)),COUNTIF(Projektname_ODW, "&lt;" &amp; Projektname_ODW),0)),"")</f>
        <v/>
      </c>
    </row>
    <row r="349" spans="1:2">
      <c r="A349" s="13" t="str">
        <f t="array" aca="1" ref="A349" ca="1">IFERROR(INDEX(Projektname,SMALL(IF(FREQUENCY(IF(Projektname&lt;&gt;"",MATCH(Projektname,Projektname,0)),ROW(Projektname)-ROW(Data!$A$4)+1),ROW(Projektname)-ROW(Data!$A$4)+1),ROWS(A$2:A349))),"")</f>
        <v/>
      </c>
      <c r="B349" s="13" t="str">
        <f t="array" aca="1" ref="B349" ca="1">IFERROR(INDEX(Projektname_ODW,MATCH(SMALL(COUNTIF(Projektname_ODW, "&lt;" &amp; Projektname_ODW),ROW(348:348)),COUNTIF(Projektname_ODW, "&lt;" &amp; Projektname_ODW),0)),"")</f>
        <v/>
      </c>
    </row>
    <row r="350" spans="1:2">
      <c r="A350" s="13" t="str">
        <f t="array" aca="1" ref="A350" ca="1">IFERROR(INDEX(Projektname,SMALL(IF(FREQUENCY(IF(Projektname&lt;&gt;"",MATCH(Projektname,Projektname,0)),ROW(Projektname)-ROW(Data!$A$4)+1),ROW(Projektname)-ROW(Data!$A$4)+1),ROWS(A$2:A350))),"")</f>
        <v/>
      </c>
      <c r="B350" s="13" t="str">
        <f t="array" aca="1" ref="B350" ca="1">IFERROR(INDEX(Projektname_ODW,MATCH(SMALL(COUNTIF(Projektname_ODW, "&lt;" &amp; Projektname_ODW),ROW(349:349)),COUNTIF(Projektname_ODW, "&lt;" &amp; Projektname_ODW),0)),"")</f>
        <v/>
      </c>
    </row>
    <row r="351" spans="1:2">
      <c r="A351" s="13" t="str">
        <f t="array" aca="1" ref="A351" ca="1">IFERROR(INDEX(Projektname,SMALL(IF(FREQUENCY(IF(Projektname&lt;&gt;"",MATCH(Projektname,Projektname,0)),ROW(Projektname)-ROW(Data!$A$4)+1),ROW(Projektname)-ROW(Data!$A$4)+1),ROWS(A$2:A351))),"")</f>
        <v/>
      </c>
      <c r="B351" s="13" t="str">
        <f t="array" aca="1" ref="B351" ca="1">IFERROR(INDEX(Projektname_ODW,MATCH(SMALL(COUNTIF(Projektname_ODW, "&lt;" &amp; Projektname_ODW),ROW(350:350)),COUNTIF(Projektname_ODW, "&lt;" &amp; Projektname_ODW),0)),"")</f>
        <v/>
      </c>
    </row>
    <row r="352" spans="1:2">
      <c r="A352" s="13" t="str">
        <f t="array" aca="1" ref="A352" ca="1">IFERROR(INDEX(Projektname,SMALL(IF(FREQUENCY(IF(Projektname&lt;&gt;"",MATCH(Projektname,Projektname,0)),ROW(Projektname)-ROW(Data!$A$4)+1),ROW(Projektname)-ROW(Data!$A$4)+1),ROWS(A$2:A352))),"")</f>
        <v/>
      </c>
      <c r="B352" s="13" t="str">
        <f t="array" aca="1" ref="B352" ca="1">IFERROR(INDEX(Projektname_ODW,MATCH(SMALL(COUNTIF(Projektname_ODW, "&lt;" &amp; Projektname_ODW),ROW(351:351)),COUNTIF(Projektname_ODW, "&lt;" &amp; Projektname_ODW),0)),"")</f>
        <v/>
      </c>
    </row>
    <row r="353" spans="1:2">
      <c r="A353" s="13" t="str">
        <f t="array" aca="1" ref="A353" ca="1">IFERROR(INDEX(Projektname,SMALL(IF(FREQUENCY(IF(Projektname&lt;&gt;"",MATCH(Projektname,Projektname,0)),ROW(Projektname)-ROW(Data!$A$4)+1),ROW(Projektname)-ROW(Data!$A$4)+1),ROWS(A$2:A353))),"")</f>
        <v/>
      </c>
      <c r="B353" s="13" t="str">
        <f t="array" aca="1" ref="B353" ca="1">IFERROR(INDEX(Projektname_ODW,MATCH(SMALL(COUNTIF(Projektname_ODW, "&lt;" &amp; Projektname_ODW),ROW(352:352)),COUNTIF(Projektname_ODW, "&lt;" &amp; Projektname_ODW),0)),"")</f>
        <v/>
      </c>
    </row>
    <row r="354" spans="1:2">
      <c r="A354" s="13" t="str">
        <f t="array" aca="1" ref="A354" ca="1">IFERROR(INDEX(Projektname,SMALL(IF(FREQUENCY(IF(Projektname&lt;&gt;"",MATCH(Projektname,Projektname,0)),ROW(Projektname)-ROW(Data!$A$4)+1),ROW(Projektname)-ROW(Data!$A$4)+1),ROWS(A$2:A354))),"")</f>
        <v/>
      </c>
      <c r="B354" s="13" t="str">
        <f t="array" aca="1" ref="B354" ca="1">IFERROR(INDEX(Projektname_ODW,MATCH(SMALL(COUNTIF(Projektname_ODW, "&lt;" &amp; Projektname_ODW),ROW(353:353)),COUNTIF(Projektname_ODW, "&lt;" &amp; Projektname_ODW),0)),"")</f>
        <v/>
      </c>
    </row>
    <row r="355" spans="1:2">
      <c r="A355" s="13" t="str">
        <f t="array" aca="1" ref="A355" ca="1">IFERROR(INDEX(Projektname,SMALL(IF(FREQUENCY(IF(Projektname&lt;&gt;"",MATCH(Projektname,Projektname,0)),ROW(Projektname)-ROW(Data!$A$4)+1),ROW(Projektname)-ROW(Data!$A$4)+1),ROWS(A$2:A355))),"")</f>
        <v/>
      </c>
      <c r="B355" s="13" t="str">
        <f t="array" aca="1" ref="B355" ca="1">IFERROR(INDEX(Projektname_ODW,MATCH(SMALL(COUNTIF(Projektname_ODW, "&lt;" &amp; Projektname_ODW),ROW(354:354)),COUNTIF(Projektname_ODW, "&lt;" &amp; Projektname_ODW),0)),"")</f>
        <v/>
      </c>
    </row>
    <row r="356" spans="1:2">
      <c r="A356" s="13" t="str">
        <f t="array" aca="1" ref="A356" ca="1">IFERROR(INDEX(Projektname,SMALL(IF(FREQUENCY(IF(Projektname&lt;&gt;"",MATCH(Projektname,Projektname,0)),ROW(Projektname)-ROW(Data!$A$4)+1),ROW(Projektname)-ROW(Data!$A$4)+1),ROWS(A$2:A356))),"")</f>
        <v/>
      </c>
      <c r="B356" s="13" t="str">
        <f t="array" aca="1" ref="B356" ca="1">IFERROR(INDEX(Projektname_ODW,MATCH(SMALL(COUNTIF(Projektname_ODW, "&lt;" &amp; Projektname_ODW),ROW(355:355)),COUNTIF(Projektname_ODW, "&lt;" &amp; Projektname_ODW),0)),"")</f>
        <v/>
      </c>
    </row>
    <row r="357" spans="1:2">
      <c r="A357" s="13" t="str">
        <f t="array" aca="1" ref="A357" ca="1">IFERROR(INDEX(Projektname,SMALL(IF(FREQUENCY(IF(Projektname&lt;&gt;"",MATCH(Projektname,Projektname,0)),ROW(Projektname)-ROW(Data!$A$4)+1),ROW(Projektname)-ROW(Data!$A$4)+1),ROWS(A$2:A357))),"")</f>
        <v/>
      </c>
      <c r="B357" s="13" t="str">
        <f t="array" aca="1" ref="B357" ca="1">IFERROR(INDEX(Projektname_ODW,MATCH(SMALL(COUNTIF(Projektname_ODW, "&lt;" &amp; Projektname_ODW),ROW(356:356)),COUNTIF(Projektname_ODW, "&lt;" &amp; Projektname_ODW),0)),"")</f>
        <v/>
      </c>
    </row>
    <row r="358" spans="1:2">
      <c r="A358" s="13" t="str">
        <f t="array" aca="1" ref="A358" ca="1">IFERROR(INDEX(Projektname,SMALL(IF(FREQUENCY(IF(Projektname&lt;&gt;"",MATCH(Projektname,Projektname,0)),ROW(Projektname)-ROW(Data!$A$4)+1),ROW(Projektname)-ROW(Data!$A$4)+1),ROWS(A$2:A358))),"")</f>
        <v/>
      </c>
      <c r="B358" s="13" t="str">
        <f t="array" aca="1" ref="B358" ca="1">IFERROR(INDEX(Projektname_ODW,MATCH(SMALL(COUNTIF(Projektname_ODW, "&lt;" &amp; Projektname_ODW),ROW(357:357)),COUNTIF(Projektname_ODW, "&lt;" &amp; Projektname_ODW),0)),"")</f>
        <v/>
      </c>
    </row>
    <row r="359" spans="1:2">
      <c r="A359" s="13" t="str">
        <f t="array" aca="1" ref="A359" ca="1">IFERROR(INDEX(Projektname,SMALL(IF(FREQUENCY(IF(Projektname&lt;&gt;"",MATCH(Projektname,Projektname,0)),ROW(Projektname)-ROW(Data!$A$4)+1),ROW(Projektname)-ROW(Data!$A$4)+1),ROWS(A$2:A359))),"")</f>
        <v/>
      </c>
      <c r="B359" s="13" t="str">
        <f t="array" aca="1" ref="B359" ca="1">IFERROR(INDEX(Projektname_ODW,MATCH(SMALL(COUNTIF(Projektname_ODW, "&lt;" &amp; Projektname_ODW),ROW(358:358)),COUNTIF(Projektname_ODW, "&lt;" &amp; Projektname_ODW),0)),"")</f>
        <v/>
      </c>
    </row>
    <row r="360" spans="1:2">
      <c r="A360" s="13" t="str">
        <f t="array" aca="1" ref="A360" ca="1">IFERROR(INDEX(Projektname,SMALL(IF(FREQUENCY(IF(Projektname&lt;&gt;"",MATCH(Projektname,Projektname,0)),ROW(Projektname)-ROW(Data!$A$4)+1),ROW(Projektname)-ROW(Data!$A$4)+1),ROWS(A$2:A360))),"")</f>
        <v/>
      </c>
      <c r="B360" s="13" t="str">
        <f t="array" aca="1" ref="B360" ca="1">IFERROR(INDEX(Projektname_ODW,MATCH(SMALL(COUNTIF(Projektname_ODW, "&lt;" &amp; Projektname_ODW),ROW(359:359)),COUNTIF(Projektname_ODW, "&lt;" &amp; Projektname_ODW),0)),"")</f>
        <v/>
      </c>
    </row>
    <row r="361" spans="1:2">
      <c r="A361" s="13" t="str">
        <f t="array" aca="1" ref="A361" ca="1">IFERROR(INDEX(Projektname,SMALL(IF(FREQUENCY(IF(Projektname&lt;&gt;"",MATCH(Projektname,Projektname,0)),ROW(Projektname)-ROW(Data!$A$4)+1),ROW(Projektname)-ROW(Data!$A$4)+1),ROWS(A$2:A361))),"")</f>
        <v/>
      </c>
      <c r="B361" s="13" t="str">
        <f t="array" aca="1" ref="B361" ca="1">IFERROR(INDEX(Projektname_ODW,MATCH(SMALL(COUNTIF(Projektname_ODW, "&lt;" &amp; Projektname_ODW),ROW(360:360)),COUNTIF(Projektname_ODW, "&lt;" &amp; Projektname_ODW),0)),"")</f>
        <v/>
      </c>
    </row>
    <row r="362" spans="1:2">
      <c r="A362" s="13" t="str">
        <f t="array" aca="1" ref="A362" ca="1">IFERROR(INDEX(Projektname,SMALL(IF(FREQUENCY(IF(Projektname&lt;&gt;"",MATCH(Projektname,Projektname,0)),ROW(Projektname)-ROW(Data!$A$4)+1),ROW(Projektname)-ROW(Data!$A$4)+1),ROWS(A$2:A362))),"")</f>
        <v/>
      </c>
      <c r="B362" s="13" t="str">
        <f t="array" aca="1" ref="B362" ca="1">IFERROR(INDEX(Projektname_ODW,MATCH(SMALL(COUNTIF(Projektname_ODW, "&lt;" &amp; Projektname_ODW),ROW(361:361)),COUNTIF(Projektname_ODW, "&lt;" &amp; Projektname_ODW),0)),"")</f>
        <v/>
      </c>
    </row>
    <row r="363" spans="1:2">
      <c r="A363" s="13" t="str">
        <f t="array" aca="1" ref="A363" ca="1">IFERROR(INDEX(Projektname,SMALL(IF(FREQUENCY(IF(Projektname&lt;&gt;"",MATCH(Projektname,Projektname,0)),ROW(Projektname)-ROW(Data!$A$4)+1),ROW(Projektname)-ROW(Data!$A$4)+1),ROWS(A$2:A363))),"")</f>
        <v/>
      </c>
      <c r="B363" s="13" t="str">
        <f t="array" aca="1" ref="B363" ca="1">IFERROR(INDEX(Projektname_ODW,MATCH(SMALL(COUNTIF(Projektname_ODW, "&lt;" &amp; Projektname_ODW),ROW(362:362)),COUNTIF(Projektname_ODW, "&lt;" &amp; Projektname_ODW),0)),"")</f>
        <v/>
      </c>
    </row>
    <row r="364" spans="1:2">
      <c r="A364" s="13" t="str">
        <f t="array" aca="1" ref="A364" ca="1">IFERROR(INDEX(Projektname,SMALL(IF(FREQUENCY(IF(Projektname&lt;&gt;"",MATCH(Projektname,Projektname,0)),ROW(Projektname)-ROW(Data!$A$4)+1),ROW(Projektname)-ROW(Data!$A$4)+1),ROWS(A$2:A364))),"")</f>
        <v/>
      </c>
      <c r="B364" s="13" t="str">
        <f t="array" aca="1" ref="B364" ca="1">IFERROR(INDEX(Projektname_ODW,MATCH(SMALL(COUNTIF(Projektname_ODW, "&lt;" &amp; Projektname_ODW),ROW(363:363)),COUNTIF(Projektname_ODW, "&lt;" &amp; Projektname_ODW),0)),"")</f>
        <v/>
      </c>
    </row>
    <row r="365" spans="1:2">
      <c r="A365" s="13" t="str">
        <f t="array" aca="1" ref="A365" ca="1">IFERROR(INDEX(Projektname,SMALL(IF(FREQUENCY(IF(Projektname&lt;&gt;"",MATCH(Projektname,Projektname,0)),ROW(Projektname)-ROW(Data!$A$4)+1),ROW(Projektname)-ROW(Data!$A$4)+1),ROWS(A$2:A365))),"")</f>
        <v/>
      </c>
      <c r="B365" s="13" t="str">
        <f t="array" aca="1" ref="B365" ca="1">IFERROR(INDEX(Projektname_ODW,MATCH(SMALL(COUNTIF(Projektname_ODW, "&lt;" &amp; Projektname_ODW),ROW(364:364)),COUNTIF(Projektname_ODW, "&lt;" &amp; Projektname_ODW),0)),"")</f>
        <v/>
      </c>
    </row>
    <row r="366" spans="1:2">
      <c r="A366" s="13" t="str">
        <f t="array" aca="1" ref="A366" ca="1">IFERROR(INDEX(Projektname,SMALL(IF(FREQUENCY(IF(Projektname&lt;&gt;"",MATCH(Projektname,Projektname,0)),ROW(Projektname)-ROW(Data!$A$4)+1),ROW(Projektname)-ROW(Data!$A$4)+1),ROWS(A$2:A366))),"")</f>
        <v/>
      </c>
      <c r="B366" s="13" t="str">
        <f t="array" aca="1" ref="B366" ca="1">IFERROR(INDEX(Projektname_ODW,MATCH(SMALL(COUNTIF(Projektname_ODW, "&lt;" &amp; Projektname_ODW),ROW(365:365)),COUNTIF(Projektname_ODW, "&lt;" &amp; Projektname_ODW),0)),"")</f>
        <v/>
      </c>
    </row>
    <row r="367" spans="1:2">
      <c r="A367" s="13" t="str">
        <f t="array" aca="1" ref="A367" ca="1">IFERROR(INDEX(Projektname,SMALL(IF(FREQUENCY(IF(Projektname&lt;&gt;"",MATCH(Projektname,Projektname,0)),ROW(Projektname)-ROW(Data!$A$4)+1),ROW(Projektname)-ROW(Data!$A$4)+1),ROWS(A$2:A367))),"")</f>
        <v/>
      </c>
      <c r="B367" s="13" t="str">
        <f t="array" aca="1" ref="B367" ca="1">IFERROR(INDEX(Projektname_ODW,MATCH(SMALL(COUNTIF(Projektname_ODW, "&lt;" &amp; Projektname_ODW),ROW(366:366)),COUNTIF(Projektname_ODW, "&lt;" &amp; Projektname_ODW),0)),"")</f>
        <v/>
      </c>
    </row>
    <row r="368" spans="1:2">
      <c r="A368" s="13" t="str">
        <f t="array" aca="1" ref="A368" ca="1">IFERROR(INDEX(Projektname,SMALL(IF(FREQUENCY(IF(Projektname&lt;&gt;"",MATCH(Projektname,Projektname,0)),ROW(Projektname)-ROW(Data!$A$4)+1),ROW(Projektname)-ROW(Data!$A$4)+1),ROWS(A$2:A368))),"")</f>
        <v/>
      </c>
      <c r="B368" s="13" t="str">
        <f t="array" aca="1" ref="B368" ca="1">IFERROR(INDEX(Projektname_ODW,MATCH(SMALL(COUNTIF(Projektname_ODW, "&lt;" &amp; Projektname_ODW),ROW(367:367)),COUNTIF(Projektname_ODW, "&lt;" &amp; Projektname_ODW),0)),"")</f>
        <v/>
      </c>
    </row>
    <row r="369" spans="1:2">
      <c r="A369" s="13" t="str">
        <f t="array" aca="1" ref="A369" ca="1">IFERROR(INDEX(Projektname,SMALL(IF(FREQUENCY(IF(Projektname&lt;&gt;"",MATCH(Projektname,Projektname,0)),ROW(Projektname)-ROW(Data!$A$4)+1),ROW(Projektname)-ROW(Data!$A$4)+1),ROWS(A$2:A369))),"")</f>
        <v/>
      </c>
      <c r="B369" s="13" t="str">
        <f t="array" aca="1" ref="B369" ca="1">IFERROR(INDEX(Projektname_ODW,MATCH(SMALL(COUNTIF(Projektname_ODW, "&lt;" &amp; Projektname_ODW),ROW(368:368)),COUNTIF(Projektname_ODW, "&lt;" &amp; Projektname_ODW),0)),"")</f>
        <v/>
      </c>
    </row>
    <row r="370" spans="1:2">
      <c r="A370" s="13" t="str">
        <f t="array" aca="1" ref="A370" ca="1">IFERROR(INDEX(Projektname,SMALL(IF(FREQUENCY(IF(Projektname&lt;&gt;"",MATCH(Projektname,Projektname,0)),ROW(Projektname)-ROW(Data!$A$4)+1),ROW(Projektname)-ROW(Data!$A$4)+1),ROWS(A$2:A370))),"")</f>
        <v/>
      </c>
      <c r="B370" s="13" t="str">
        <f t="array" aca="1" ref="B370" ca="1">IFERROR(INDEX(Projektname_ODW,MATCH(SMALL(COUNTIF(Projektname_ODW, "&lt;" &amp; Projektname_ODW),ROW(369:369)),COUNTIF(Projektname_ODW, "&lt;" &amp; Projektname_ODW),0)),"")</f>
        <v/>
      </c>
    </row>
    <row r="371" spans="1:2">
      <c r="A371" s="13" t="str">
        <f t="array" aca="1" ref="A371" ca="1">IFERROR(INDEX(Projektname,SMALL(IF(FREQUENCY(IF(Projektname&lt;&gt;"",MATCH(Projektname,Projektname,0)),ROW(Projektname)-ROW(Data!$A$4)+1),ROW(Projektname)-ROW(Data!$A$4)+1),ROWS(A$2:A371))),"")</f>
        <v/>
      </c>
      <c r="B371" s="13" t="str">
        <f t="array" aca="1" ref="B371" ca="1">IFERROR(INDEX(Projektname_ODW,MATCH(SMALL(COUNTIF(Projektname_ODW, "&lt;" &amp; Projektname_ODW),ROW(370:370)),COUNTIF(Projektname_ODW, "&lt;" &amp; Projektname_ODW),0)),"")</f>
        <v/>
      </c>
    </row>
    <row r="372" spans="1:2">
      <c r="A372" s="13" t="str">
        <f t="array" aca="1" ref="A372" ca="1">IFERROR(INDEX(Projektname,SMALL(IF(FREQUENCY(IF(Projektname&lt;&gt;"",MATCH(Projektname,Projektname,0)),ROW(Projektname)-ROW(Data!$A$4)+1),ROW(Projektname)-ROW(Data!$A$4)+1),ROWS(A$2:A372))),"")</f>
        <v/>
      </c>
      <c r="B372" s="13" t="str">
        <f t="array" aca="1" ref="B372" ca="1">IFERROR(INDEX(Projektname_ODW,MATCH(SMALL(COUNTIF(Projektname_ODW, "&lt;" &amp; Projektname_ODW),ROW(371:371)),COUNTIF(Projektname_ODW, "&lt;" &amp; Projektname_ODW),0)),"")</f>
        <v/>
      </c>
    </row>
    <row r="373" spans="1:2">
      <c r="A373" s="13" t="str">
        <f t="array" aca="1" ref="A373" ca="1">IFERROR(INDEX(Projektname,SMALL(IF(FREQUENCY(IF(Projektname&lt;&gt;"",MATCH(Projektname,Projektname,0)),ROW(Projektname)-ROW(Data!$A$4)+1),ROW(Projektname)-ROW(Data!$A$4)+1),ROWS(A$2:A373))),"")</f>
        <v/>
      </c>
      <c r="B373" s="13" t="str">
        <f t="array" aca="1" ref="B373" ca="1">IFERROR(INDEX(Projektname_ODW,MATCH(SMALL(COUNTIF(Projektname_ODW, "&lt;" &amp; Projektname_ODW),ROW(372:372)),COUNTIF(Projektname_ODW, "&lt;" &amp; Projektname_ODW),0)),"")</f>
        <v/>
      </c>
    </row>
    <row r="374" spans="1:2">
      <c r="A374" s="13" t="str">
        <f t="array" aca="1" ref="A374" ca="1">IFERROR(INDEX(Projektname,SMALL(IF(FREQUENCY(IF(Projektname&lt;&gt;"",MATCH(Projektname,Projektname,0)),ROW(Projektname)-ROW(Data!$A$4)+1),ROW(Projektname)-ROW(Data!$A$4)+1),ROWS(A$2:A374))),"")</f>
        <v/>
      </c>
      <c r="B374" s="13" t="str">
        <f t="array" aca="1" ref="B374" ca="1">IFERROR(INDEX(Projektname_ODW,MATCH(SMALL(COUNTIF(Projektname_ODW, "&lt;" &amp; Projektname_ODW),ROW(373:373)),COUNTIF(Projektname_ODW, "&lt;" &amp; Projektname_ODW),0)),"")</f>
        <v/>
      </c>
    </row>
    <row r="375" spans="1:2">
      <c r="A375" s="13" t="str">
        <f t="array" aca="1" ref="A375" ca="1">IFERROR(INDEX(Projektname,SMALL(IF(FREQUENCY(IF(Projektname&lt;&gt;"",MATCH(Projektname,Projektname,0)),ROW(Projektname)-ROW(Data!$A$4)+1),ROW(Projektname)-ROW(Data!$A$4)+1),ROWS(A$2:A375))),"")</f>
        <v/>
      </c>
      <c r="B375" s="13" t="str">
        <f t="array" aca="1" ref="B375" ca="1">IFERROR(INDEX(Projektname_ODW,MATCH(SMALL(COUNTIF(Projektname_ODW, "&lt;" &amp; Projektname_ODW),ROW(374:374)),COUNTIF(Projektname_ODW, "&lt;" &amp; Projektname_ODW),0)),"")</f>
        <v/>
      </c>
    </row>
    <row r="376" spans="1:2">
      <c r="A376" s="13" t="str">
        <f t="array" aca="1" ref="A376" ca="1">IFERROR(INDEX(Projektname,SMALL(IF(FREQUENCY(IF(Projektname&lt;&gt;"",MATCH(Projektname,Projektname,0)),ROW(Projektname)-ROW(Data!$A$4)+1),ROW(Projektname)-ROW(Data!$A$4)+1),ROWS(A$2:A376))),"")</f>
        <v/>
      </c>
      <c r="B376" s="13" t="str">
        <f t="array" aca="1" ref="B376" ca="1">IFERROR(INDEX(Projektname_ODW,MATCH(SMALL(COUNTIF(Projektname_ODW, "&lt;" &amp; Projektname_ODW),ROW(375:375)),COUNTIF(Projektname_ODW, "&lt;" &amp; Projektname_ODW),0)),"")</f>
        <v/>
      </c>
    </row>
    <row r="377" spans="1:2">
      <c r="A377" s="13" t="str">
        <f t="array" aca="1" ref="A377" ca="1">IFERROR(INDEX(Projektname,SMALL(IF(FREQUENCY(IF(Projektname&lt;&gt;"",MATCH(Projektname,Projektname,0)),ROW(Projektname)-ROW(Data!$A$4)+1),ROW(Projektname)-ROW(Data!$A$4)+1),ROWS(A$2:A377))),"")</f>
        <v/>
      </c>
      <c r="B377" s="13" t="str">
        <f t="array" aca="1" ref="B377" ca="1">IFERROR(INDEX(Projektname_ODW,MATCH(SMALL(COUNTIF(Projektname_ODW, "&lt;" &amp; Projektname_ODW),ROW(376:376)),COUNTIF(Projektname_ODW, "&lt;" &amp; Projektname_ODW),0)),"")</f>
        <v/>
      </c>
    </row>
    <row r="378" spans="1:2">
      <c r="A378" s="13" t="str">
        <f t="array" aca="1" ref="A378" ca="1">IFERROR(INDEX(Projektname,SMALL(IF(FREQUENCY(IF(Projektname&lt;&gt;"",MATCH(Projektname,Projektname,0)),ROW(Projektname)-ROW(Data!$A$4)+1),ROW(Projektname)-ROW(Data!$A$4)+1),ROWS(A$2:A378))),"")</f>
        <v/>
      </c>
      <c r="B378" s="13" t="str">
        <f t="array" aca="1" ref="B378" ca="1">IFERROR(INDEX(Projektname_ODW,MATCH(SMALL(COUNTIF(Projektname_ODW, "&lt;" &amp; Projektname_ODW),ROW(377:377)),COUNTIF(Projektname_ODW, "&lt;" &amp; Projektname_ODW),0)),"")</f>
        <v/>
      </c>
    </row>
    <row r="379" spans="1:2">
      <c r="A379" s="13" t="str">
        <f t="array" aca="1" ref="A379" ca="1">IFERROR(INDEX(Projektname,SMALL(IF(FREQUENCY(IF(Projektname&lt;&gt;"",MATCH(Projektname,Projektname,0)),ROW(Projektname)-ROW(Data!$A$4)+1),ROW(Projektname)-ROW(Data!$A$4)+1),ROWS(A$2:A379))),"")</f>
        <v/>
      </c>
      <c r="B379" s="13" t="str">
        <f t="array" aca="1" ref="B379" ca="1">IFERROR(INDEX(Projektname_ODW,MATCH(SMALL(COUNTIF(Projektname_ODW, "&lt;" &amp; Projektname_ODW),ROW(378:378)),COUNTIF(Projektname_ODW, "&lt;" &amp; Projektname_ODW),0)),"")</f>
        <v/>
      </c>
    </row>
    <row r="380" spans="1:2">
      <c r="A380" s="13" t="str">
        <f t="array" aca="1" ref="A380" ca="1">IFERROR(INDEX(Projektname,SMALL(IF(FREQUENCY(IF(Projektname&lt;&gt;"",MATCH(Projektname,Projektname,0)),ROW(Projektname)-ROW(Data!$A$4)+1),ROW(Projektname)-ROW(Data!$A$4)+1),ROWS(A$2:A380))),"")</f>
        <v/>
      </c>
      <c r="B380" s="13" t="str">
        <f t="array" aca="1" ref="B380" ca="1">IFERROR(INDEX(Projektname_ODW,MATCH(SMALL(COUNTIF(Projektname_ODW, "&lt;" &amp; Projektname_ODW),ROW(379:379)),COUNTIF(Projektname_ODW, "&lt;" &amp; Projektname_ODW),0)),"")</f>
        <v/>
      </c>
    </row>
    <row r="381" spans="1:2">
      <c r="A381" s="13" t="str">
        <f t="array" aca="1" ref="A381" ca="1">IFERROR(INDEX(Projektname,SMALL(IF(FREQUENCY(IF(Projektname&lt;&gt;"",MATCH(Projektname,Projektname,0)),ROW(Projektname)-ROW(Data!$A$4)+1),ROW(Projektname)-ROW(Data!$A$4)+1),ROWS(A$2:A381))),"")</f>
        <v/>
      </c>
      <c r="B381" s="13" t="str">
        <f t="array" aca="1" ref="B381" ca="1">IFERROR(INDEX(Projektname_ODW,MATCH(SMALL(COUNTIF(Projektname_ODW, "&lt;" &amp; Projektname_ODW),ROW(380:380)),COUNTIF(Projektname_ODW, "&lt;" &amp; Projektname_ODW),0)),"")</f>
        <v/>
      </c>
    </row>
    <row r="382" spans="1:2">
      <c r="A382" s="13" t="str">
        <f t="array" aca="1" ref="A382" ca="1">IFERROR(INDEX(Projektname,SMALL(IF(FREQUENCY(IF(Projektname&lt;&gt;"",MATCH(Projektname,Projektname,0)),ROW(Projektname)-ROW(Data!$A$4)+1),ROW(Projektname)-ROW(Data!$A$4)+1),ROWS(A$2:A382))),"")</f>
        <v/>
      </c>
      <c r="B382" s="13" t="str">
        <f t="array" aca="1" ref="B382" ca="1">IFERROR(INDEX(Projektname_ODW,MATCH(SMALL(COUNTIF(Projektname_ODW, "&lt;" &amp; Projektname_ODW),ROW(381:381)),COUNTIF(Projektname_ODW, "&lt;" &amp; Projektname_ODW),0)),"")</f>
        <v/>
      </c>
    </row>
    <row r="383" spans="1:2">
      <c r="A383" s="13" t="str">
        <f t="array" aca="1" ref="A383" ca="1">IFERROR(INDEX(Projektname,SMALL(IF(FREQUENCY(IF(Projektname&lt;&gt;"",MATCH(Projektname,Projektname,0)),ROW(Projektname)-ROW(Data!$A$4)+1),ROW(Projektname)-ROW(Data!$A$4)+1),ROWS(A$2:A383))),"")</f>
        <v/>
      </c>
      <c r="B383" s="13" t="str">
        <f t="array" aca="1" ref="B383" ca="1">IFERROR(INDEX(Projektname_ODW,MATCH(SMALL(COUNTIF(Projektname_ODW, "&lt;" &amp; Projektname_ODW),ROW(382:382)),COUNTIF(Projektname_ODW, "&lt;" &amp; Projektname_ODW),0)),"")</f>
        <v/>
      </c>
    </row>
    <row r="384" spans="1:2">
      <c r="A384" s="13" t="str">
        <f t="array" aca="1" ref="A384" ca="1">IFERROR(INDEX(Projektname,SMALL(IF(FREQUENCY(IF(Projektname&lt;&gt;"",MATCH(Projektname,Projektname,0)),ROW(Projektname)-ROW(Data!$A$4)+1),ROW(Projektname)-ROW(Data!$A$4)+1),ROWS(A$2:A384))),"")</f>
        <v/>
      </c>
      <c r="B384" s="13" t="str">
        <f t="array" aca="1" ref="B384" ca="1">IFERROR(INDEX(Projektname_ODW,MATCH(SMALL(COUNTIF(Projektname_ODW, "&lt;" &amp; Projektname_ODW),ROW(383:383)),COUNTIF(Projektname_ODW, "&lt;" &amp; Projektname_ODW),0)),"")</f>
        <v/>
      </c>
    </row>
    <row r="385" spans="1:2">
      <c r="A385" s="13" t="str">
        <f t="array" aca="1" ref="A385" ca="1">IFERROR(INDEX(Projektname,SMALL(IF(FREQUENCY(IF(Projektname&lt;&gt;"",MATCH(Projektname,Projektname,0)),ROW(Projektname)-ROW(Data!$A$4)+1),ROW(Projektname)-ROW(Data!$A$4)+1),ROWS(A$2:A385))),"")</f>
        <v/>
      </c>
      <c r="B385" s="13" t="str">
        <f t="array" aca="1" ref="B385" ca="1">IFERROR(INDEX(Projektname_ODW,MATCH(SMALL(COUNTIF(Projektname_ODW, "&lt;" &amp; Projektname_ODW),ROW(384:384)),COUNTIF(Projektname_ODW, "&lt;" &amp; Projektname_ODW),0)),"")</f>
        <v/>
      </c>
    </row>
    <row r="386" spans="1:2">
      <c r="A386" s="13" t="str">
        <f t="array" aca="1" ref="A386" ca="1">IFERROR(INDEX(Projektname,SMALL(IF(FREQUENCY(IF(Projektname&lt;&gt;"",MATCH(Projektname,Projektname,0)),ROW(Projektname)-ROW(Data!$A$4)+1),ROW(Projektname)-ROW(Data!$A$4)+1),ROWS(A$2:A386))),"")</f>
        <v/>
      </c>
      <c r="B386" s="13" t="str">
        <f t="array" aca="1" ref="B386" ca="1">IFERROR(INDEX(Projektname_ODW,MATCH(SMALL(COUNTIF(Projektname_ODW, "&lt;" &amp; Projektname_ODW),ROW(385:385)),COUNTIF(Projektname_ODW, "&lt;" &amp; Projektname_ODW),0)),"")</f>
        <v/>
      </c>
    </row>
    <row r="387" spans="1:2">
      <c r="A387" s="13" t="str">
        <f t="array" aca="1" ref="A387" ca="1">IFERROR(INDEX(Projektname,SMALL(IF(FREQUENCY(IF(Projektname&lt;&gt;"",MATCH(Projektname,Projektname,0)),ROW(Projektname)-ROW(Data!$A$4)+1),ROW(Projektname)-ROW(Data!$A$4)+1),ROWS(A$2:A387))),"")</f>
        <v/>
      </c>
      <c r="B387" s="13" t="str">
        <f t="array" aca="1" ref="B387" ca="1">IFERROR(INDEX(Projektname_ODW,MATCH(SMALL(COUNTIF(Projektname_ODW, "&lt;" &amp; Projektname_ODW),ROW(386:386)),COUNTIF(Projektname_ODW, "&lt;" &amp; Projektname_ODW),0)),"")</f>
        <v/>
      </c>
    </row>
    <row r="388" spans="1:2">
      <c r="A388" s="13" t="str">
        <f t="array" aca="1" ref="A388" ca="1">IFERROR(INDEX(Projektname,SMALL(IF(FREQUENCY(IF(Projektname&lt;&gt;"",MATCH(Projektname,Projektname,0)),ROW(Projektname)-ROW(Data!$A$4)+1),ROW(Projektname)-ROW(Data!$A$4)+1),ROWS(A$2:A388))),"")</f>
        <v/>
      </c>
      <c r="B388" s="13" t="str">
        <f t="array" aca="1" ref="B388" ca="1">IFERROR(INDEX(Projektname_ODW,MATCH(SMALL(COUNTIF(Projektname_ODW, "&lt;" &amp; Projektname_ODW),ROW(387:387)),COUNTIF(Projektname_ODW, "&lt;" &amp; Projektname_ODW),0)),"")</f>
        <v/>
      </c>
    </row>
    <row r="389" spans="1:2">
      <c r="A389" s="13" t="str">
        <f t="array" aca="1" ref="A389" ca="1">IFERROR(INDEX(Projektname,SMALL(IF(FREQUENCY(IF(Projektname&lt;&gt;"",MATCH(Projektname,Projektname,0)),ROW(Projektname)-ROW(Data!$A$4)+1),ROW(Projektname)-ROW(Data!$A$4)+1),ROWS(A$2:A389))),"")</f>
        <v/>
      </c>
      <c r="B389" s="13" t="str">
        <f t="array" aca="1" ref="B389" ca="1">IFERROR(INDEX(Projektname_ODW,MATCH(SMALL(COUNTIF(Projektname_ODW, "&lt;" &amp; Projektname_ODW),ROW(388:388)),COUNTIF(Projektname_ODW, "&lt;" &amp; Projektname_ODW),0)),"")</f>
        <v/>
      </c>
    </row>
    <row r="390" spans="1:2">
      <c r="A390" s="13" t="str">
        <f t="array" aca="1" ref="A390" ca="1">IFERROR(INDEX(Projektname,SMALL(IF(FREQUENCY(IF(Projektname&lt;&gt;"",MATCH(Projektname,Projektname,0)),ROW(Projektname)-ROW(Data!$A$4)+1),ROW(Projektname)-ROW(Data!$A$4)+1),ROWS(A$2:A390))),"")</f>
        <v/>
      </c>
      <c r="B390" s="13" t="str">
        <f t="array" aca="1" ref="B390" ca="1">IFERROR(INDEX(Projektname_ODW,MATCH(SMALL(COUNTIF(Projektname_ODW, "&lt;" &amp; Projektname_ODW),ROW(389:389)),COUNTIF(Projektname_ODW, "&lt;" &amp; Projektname_ODW),0)),"")</f>
        <v/>
      </c>
    </row>
    <row r="391" spans="1:2">
      <c r="A391" s="13" t="str">
        <f t="array" aca="1" ref="A391" ca="1">IFERROR(INDEX(Projektname,SMALL(IF(FREQUENCY(IF(Projektname&lt;&gt;"",MATCH(Projektname,Projektname,0)),ROW(Projektname)-ROW(Data!$A$4)+1),ROW(Projektname)-ROW(Data!$A$4)+1),ROWS(A$2:A391))),"")</f>
        <v/>
      </c>
      <c r="B391" s="13" t="str">
        <f t="array" aca="1" ref="B391" ca="1">IFERROR(INDEX(Projektname_ODW,MATCH(SMALL(COUNTIF(Projektname_ODW, "&lt;" &amp; Projektname_ODW),ROW(390:390)),COUNTIF(Projektname_ODW, "&lt;" &amp; Projektname_ODW),0)),"")</f>
        <v/>
      </c>
    </row>
    <row r="392" spans="1:2">
      <c r="A392" s="13" t="str">
        <f t="array" aca="1" ref="A392" ca="1">IFERROR(INDEX(Projektname,SMALL(IF(FREQUENCY(IF(Projektname&lt;&gt;"",MATCH(Projektname,Projektname,0)),ROW(Projektname)-ROW(Data!$A$4)+1),ROW(Projektname)-ROW(Data!$A$4)+1),ROWS(A$2:A392))),"")</f>
        <v/>
      </c>
      <c r="B392" s="13" t="str">
        <f t="array" aca="1" ref="B392" ca="1">IFERROR(INDEX(Projektname_ODW,MATCH(SMALL(COUNTIF(Projektname_ODW, "&lt;" &amp; Projektname_ODW),ROW(391:391)),COUNTIF(Projektname_ODW, "&lt;" &amp; Projektname_ODW),0)),"")</f>
        <v/>
      </c>
    </row>
    <row r="393" spans="1:2">
      <c r="A393" s="13" t="str">
        <f t="array" aca="1" ref="A393" ca="1">IFERROR(INDEX(Projektname,SMALL(IF(FREQUENCY(IF(Projektname&lt;&gt;"",MATCH(Projektname,Projektname,0)),ROW(Projektname)-ROW(Data!$A$4)+1),ROW(Projektname)-ROW(Data!$A$4)+1),ROWS(A$2:A393))),"")</f>
        <v/>
      </c>
      <c r="B393" s="13" t="str">
        <f t="array" aca="1" ref="B393" ca="1">IFERROR(INDEX(Projektname_ODW,MATCH(SMALL(COUNTIF(Projektname_ODW, "&lt;" &amp; Projektname_ODW),ROW(392:392)),COUNTIF(Projektname_ODW, "&lt;" &amp; Projektname_ODW),0)),"")</f>
        <v/>
      </c>
    </row>
    <row r="394" spans="1:2">
      <c r="A394" s="13" t="str">
        <f t="array" aca="1" ref="A394" ca="1">IFERROR(INDEX(Projektname,SMALL(IF(FREQUENCY(IF(Projektname&lt;&gt;"",MATCH(Projektname,Projektname,0)),ROW(Projektname)-ROW(Data!$A$4)+1),ROW(Projektname)-ROW(Data!$A$4)+1),ROWS(A$2:A394))),"")</f>
        <v/>
      </c>
      <c r="B394" s="13" t="str">
        <f t="array" aca="1" ref="B394" ca="1">IFERROR(INDEX(Projektname_ODW,MATCH(SMALL(COUNTIF(Projektname_ODW, "&lt;" &amp; Projektname_ODW),ROW(393:393)),COUNTIF(Projektname_ODW, "&lt;" &amp; Projektname_ODW),0)),"")</f>
        <v/>
      </c>
    </row>
    <row r="395" spans="1:2">
      <c r="A395" s="13" t="str">
        <f t="array" aca="1" ref="A395" ca="1">IFERROR(INDEX(Projektname,SMALL(IF(FREQUENCY(IF(Projektname&lt;&gt;"",MATCH(Projektname,Projektname,0)),ROW(Projektname)-ROW(Data!$A$4)+1),ROW(Projektname)-ROW(Data!$A$4)+1),ROWS(A$2:A395))),"")</f>
        <v/>
      </c>
      <c r="B395" s="13" t="str">
        <f t="array" aca="1" ref="B395" ca="1">IFERROR(INDEX(Projektname_ODW,MATCH(SMALL(COUNTIF(Projektname_ODW, "&lt;" &amp; Projektname_ODW),ROW(394:394)),COUNTIF(Projektname_ODW, "&lt;" &amp; Projektname_ODW),0)),"")</f>
        <v/>
      </c>
    </row>
    <row r="396" spans="1:2">
      <c r="A396" s="13" t="str">
        <f t="array" aca="1" ref="A396" ca="1">IFERROR(INDEX(Projektname,SMALL(IF(FREQUENCY(IF(Projektname&lt;&gt;"",MATCH(Projektname,Projektname,0)),ROW(Projektname)-ROW(Data!$A$4)+1),ROW(Projektname)-ROW(Data!$A$4)+1),ROWS(A$2:A396))),"")</f>
        <v/>
      </c>
      <c r="B396" s="13" t="str">
        <f t="array" aca="1" ref="B396" ca="1">IFERROR(INDEX(Projektname_ODW,MATCH(SMALL(COUNTIF(Projektname_ODW, "&lt;" &amp; Projektname_ODW),ROW(395:395)),COUNTIF(Projektname_ODW, "&lt;" &amp; Projektname_ODW),0)),"")</f>
        <v/>
      </c>
    </row>
    <row r="397" spans="1:2">
      <c r="A397" s="13" t="str">
        <f t="array" aca="1" ref="A397" ca="1">IFERROR(INDEX(Projektname,SMALL(IF(FREQUENCY(IF(Projektname&lt;&gt;"",MATCH(Projektname,Projektname,0)),ROW(Projektname)-ROW(Data!$A$4)+1),ROW(Projektname)-ROW(Data!$A$4)+1),ROWS(A$2:A397))),"")</f>
        <v/>
      </c>
      <c r="B397" s="13" t="str">
        <f t="array" aca="1" ref="B397" ca="1">IFERROR(INDEX(Projektname_ODW,MATCH(SMALL(COUNTIF(Projektname_ODW, "&lt;" &amp; Projektname_ODW),ROW(396:396)),COUNTIF(Projektname_ODW, "&lt;" &amp; Projektname_ODW),0)),"")</f>
        <v/>
      </c>
    </row>
    <row r="398" spans="1:2">
      <c r="A398" s="13" t="str">
        <f t="array" aca="1" ref="A398" ca="1">IFERROR(INDEX(Projektname,SMALL(IF(FREQUENCY(IF(Projektname&lt;&gt;"",MATCH(Projektname,Projektname,0)),ROW(Projektname)-ROW(Data!$A$4)+1),ROW(Projektname)-ROW(Data!$A$4)+1),ROWS(A$2:A398))),"")</f>
        <v/>
      </c>
      <c r="B398" s="13" t="str">
        <f t="array" aca="1" ref="B398" ca="1">IFERROR(INDEX(Projektname_ODW,MATCH(SMALL(COUNTIF(Projektname_ODW, "&lt;" &amp; Projektname_ODW),ROW(397:397)),COUNTIF(Projektname_ODW, "&lt;" &amp; Projektname_ODW),0)),"")</f>
        <v/>
      </c>
    </row>
    <row r="399" spans="1:2">
      <c r="A399" s="13" t="str">
        <f t="array" aca="1" ref="A399" ca="1">IFERROR(INDEX(Projektname,SMALL(IF(FREQUENCY(IF(Projektname&lt;&gt;"",MATCH(Projektname,Projektname,0)),ROW(Projektname)-ROW(Data!$A$4)+1),ROW(Projektname)-ROW(Data!$A$4)+1),ROWS(A$2:A399))),"")</f>
        <v/>
      </c>
      <c r="B399" s="13" t="str">
        <f t="array" aca="1" ref="B399" ca="1">IFERROR(INDEX(Projektname_ODW,MATCH(SMALL(COUNTIF(Projektname_ODW, "&lt;" &amp; Projektname_ODW),ROW(398:398)),COUNTIF(Projektname_ODW, "&lt;" &amp; Projektname_ODW),0)),"")</f>
        <v/>
      </c>
    </row>
    <row r="400" spans="1:2">
      <c r="A400" s="13" t="str">
        <f t="array" aca="1" ref="A400" ca="1">IFERROR(INDEX(Projektname,SMALL(IF(FREQUENCY(IF(Projektname&lt;&gt;"",MATCH(Projektname,Projektname,0)),ROW(Projektname)-ROW(Data!$A$4)+1),ROW(Projektname)-ROW(Data!$A$4)+1),ROWS(A$2:A400))),"")</f>
        <v/>
      </c>
      <c r="B400" s="13" t="str">
        <f t="array" aca="1" ref="B400" ca="1">IFERROR(INDEX(Projektname_ODW,MATCH(SMALL(COUNTIF(Projektname_ODW, "&lt;" &amp; Projektname_ODW),ROW(399:399)),COUNTIF(Projektname_ODW, "&lt;" &amp; Projektname_ODW),0)),"")</f>
        <v/>
      </c>
    </row>
    <row r="401" spans="1:2">
      <c r="A401" s="13" t="str">
        <f t="array" aca="1" ref="A401" ca="1">IFERROR(INDEX(Projektname,SMALL(IF(FREQUENCY(IF(Projektname&lt;&gt;"",MATCH(Projektname,Projektname,0)),ROW(Projektname)-ROW(Data!$A$4)+1),ROW(Projektname)-ROW(Data!$A$4)+1),ROWS(A$2:A401))),"")</f>
        <v/>
      </c>
      <c r="B401" s="13" t="str">
        <f t="array" aca="1" ref="B401" ca="1">IFERROR(INDEX(Projektname_ODW,MATCH(SMALL(COUNTIF(Projektname_ODW, "&lt;" &amp; Projektname_ODW),ROW(400:400)),COUNTIF(Projektname_ODW, "&lt;" &amp; Projektname_ODW),0)),"")</f>
        <v/>
      </c>
    </row>
    <row r="402" spans="1:2">
      <c r="A402" s="13" t="str">
        <f t="array" aca="1" ref="A402" ca="1">IFERROR(INDEX(Projektname,SMALL(IF(FREQUENCY(IF(Projektname&lt;&gt;"",MATCH(Projektname,Projektname,0)),ROW(Projektname)-ROW(Data!$A$4)+1),ROW(Projektname)-ROW(Data!$A$4)+1),ROWS(A$2:A402))),"")</f>
        <v/>
      </c>
      <c r="B402" s="13" t="str">
        <f t="array" aca="1" ref="B402" ca="1">IFERROR(INDEX(Projektname_ODW,MATCH(SMALL(COUNTIF(Projektname_ODW, "&lt;" &amp; Projektname_ODW),ROW(401:401)),COUNTIF(Projektname_ODW, "&lt;" &amp; Projektname_ODW),0)),"")</f>
        <v/>
      </c>
    </row>
    <row r="403" spans="1:2">
      <c r="A403" s="13" t="str">
        <f t="array" aca="1" ref="A403" ca="1">IFERROR(INDEX(Projektname,SMALL(IF(FREQUENCY(IF(Projektname&lt;&gt;"",MATCH(Projektname,Projektname,0)),ROW(Projektname)-ROW(Data!$A$4)+1),ROW(Projektname)-ROW(Data!$A$4)+1),ROWS(A$2:A403))),"")</f>
        <v/>
      </c>
      <c r="B403" s="13" t="str">
        <f t="array" aca="1" ref="B403" ca="1">IFERROR(INDEX(Projektname_ODW,MATCH(SMALL(COUNTIF(Projektname_ODW, "&lt;" &amp; Projektname_ODW),ROW(402:402)),COUNTIF(Projektname_ODW, "&lt;" &amp; Projektname_ODW),0)),"")</f>
        <v/>
      </c>
    </row>
    <row r="404" spans="1:2">
      <c r="A404" s="13" t="str">
        <f t="array" aca="1" ref="A404" ca="1">IFERROR(INDEX(Projektname,SMALL(IF(FREQUENCY(IF(Projektname&lt;&gt;"",MATCH(Projektname,Projektname,0)),ROW(Projektname)-ROW(Data!$A$4)+1),ROW(Projektname)-ROW(Data!$A$4)+1),ROWS(A$2:A404))),"")</f>
        <v/>
      </c>
      <c r="B404" s="13" t="str">
        <f t="array" aca="1" ref="B404" ca="1">IFERROR(INDEX(Projektname_ODW,MATCH(SMALL(COUNTIF(Projektname_ODW, "&lt;" &amp; Projektname_ODW),ROW(403:403)),COUNTIF(Projektname_ODW, "&lt;" &amp; Projektname_ODW),0)),"")</f>
        <v/>
      </c>
    </row>
    <row r="405" spans="1:2">
      <c r="A405" s="13" t="str">
        <f t="array" aca="1" ref="A405" ca="1">IFERROR(INDEX(Projektname,SMALL(IF(FREQUENCY(IF(Projektname&lt;&gt;"",MATCH(Projektname,Projektname,0)),ROW(Projektname)-ROW(Data!$A$4)+1),ROW(Projektname)-ROW(Data!$A$4)+1),ROWS(A$2:A405))),"")</f>
        <v/>
      </c>
      <c r="B405" s="13" t="str">
        <f t="array" aca="1" ref="B405" ca="1">IFERROR(INDEX(Projektname_ODW,MATCH(SMALL(COUNTIF(Projektname_ODW, "&lt;" &amp; Projektname_ODW),ROW(404:404)),COUNTIF(Projektname_ODW, "&lt;" &amp; Projektname_ODW),0)),"")</f>
        <v/>
      </c>
    </row>
    <row r="406" spans="1:2">
      <c r="A406" s="13" t="str">
        <f t="array" aca="1" ref="A406" ca="1">IFERROR(INDEX(Projektname,SMALL(IF(FREQUENCY(IF(Projektname&lt;&gt;"",MATCH(Projektname,Projektname,0)),ROW(Projektname)-ROW(Data!$A$4)+1),ROW(Projektname)-ROW(Data!$A$4)+1),ROWS(A$2:A406))),"")</f>
        <v/>
      </c>
      <c r="B406" s="13" t="str">
        <f t="array" aca="1" ref="B406" ca="1">IFERROR(INDEX(Projektname_ODW,MATCH(SMALL(COUNTIF(Projektname_ODW, "&lt;" &amp; Projektname_ODW),ROW(405:405)),COUNTIF(Projektname_ODW, "&lt;" &amp; Projektname_ODW),0)),"")</f>
        <v/>
      </c>
    </row>
    <row r="407" spans="1:2">
      <c r="A407" s="13" t="str">
        <f t="array" aca="1" ref="A407" ca="1">IFERROR(INDEX(Projektname,SMALL(IF(FREQUENCY(IF(Projektname&lt;&gt;"",MATCH(Projektname,Projektname,0)),ROW(Projektname)-ROW(Data!$A$4)+1),ROW(Projektname)-ROW(Data!$A$4)+1),ROWS(A$2:A407))),"")</f>
        <v/>
      </c>
      <c r="B407" s="13" t="str">
        <f t="array" aca="1" ref="B407" ca="1">IFERROR(INDEX(Projektname_ODW,MATCH(SMALL(COUNTIF(Projektname_ODW, "&lt;" &amp; Projektname_ODW),ROW(406:406)),COUNTIF(Projektname_ODW, "&lt;" &amp; Projektname_ODW),0)),"")</f>
        <v/>
      </c>
    </row>
    <row r="408" spans="1:2">
      <c r="A408" s="13" t="str">
        <f t="array" aca="1" ref="A408" ca="1">IFERROR(INDEX(Projektname,SMALL(IF(FREQUENCY(IF(Projektname&lt;&gt;"",MATCH(Projektname,Projektname,0)),ROW(Projektname)-ROW(Data!$A$4)+1),ROW(Projektname)-ROW(Data!$A$4)+1),ROWS(A$2:A408))),"")</f>
        <v/>
      </c>
      <c r="B408" s="13" t="str">
        <f t="array" aca="1" ref="B408" ca="1">IFERROR(INDEX(Projektname_ODW,MATCH(SMALL(COUNTIF(Projektname_ODW, "&lt;" &amp; Projektname_ODW),ROW(407:407)),COUNTIF(Projektname_ODW, "&lt;" &amp; Projektname_ODW),0)),"")</f>
        <v/>
      </c>
    </row>
    <row r="409" spans="1:2">
      <c r="A409" s="13" t="str">
        <f t="array" aca="1" ref="A409" ca="1">IFERROR(INDEX(Projektname,SMALL(IF(FREQUENCY(IF(Projektname&lt;&gt;"",MATCH(Projektname,Projektname,0)),ROW(Projektname)-ROW(Data!$A$4)+1),ROW(Projektname)-ROW(Data!$A$4)+1),ROWS(A$2:A409))),"")</f>
        <v/>
      </c>
      <c r="B409" s="13" t="str">
        <f t="array" aca="1" ref="B409" ca="1">IFERROR(INDEX(Projektname_ODW,MATCH(SMALL(COUNTIF(Projektname_ODW, "&lt;" &amp; Projektname_ODW),ROW(408:408)),COUNTIF(Projektname_ODW, "&lt;" &amp; Projektname_ODW),0)),"")</f>
        <v/>
      </c>
    </row>
    <row r="410" spans="1:2">
      <c r="A410" s="13" t="str">
        <f t="array" aca="1" ref="A410" ca="1">IFERROR(INDEX(Projektname,SMALL(IF(FREQUENCY(IF(Projektname&lt;&gt;"",MATCH(Projektname,Projektname,0)),ROW(Projektname)-ROW(Data!$A$4)+1),ROW(Projektname)-ROW(Data!$A$4)+1),ROWS(A$2:A410))),"")</f>
        <v/>
      </c>
      <c r="B410" s="13" t="str">
        <f t="array" aca="1" ref="B410" ca="1">IFERROR(INDEX(Projektname_ODW,MATCH(SMALL(COUNTIF(Projektname_ODW, "&lt;" &amp; Projektname_ODW),ROW(409:409)),COUNTIF(Projektname_ODW, "&lt;" &amp; Projektname_ODW),0)),"")</f>
        <v/>
      </c>
    </row>
    <row r="411" spans="1:2">
      <c r="A411" s="13" t="str">
        <f t="array" aca="1" ref="A411" ca="1">IFERROR(INDEX(Projektname,SMALL(IF(FREQUENCY(IF(Projektname&lt;&gt;"",MATCH(Projektname,Projektname,0)),ROW(Projektname)-ROW(Data!$A$4)+1),ROW(Projektname)-ROW(Data!$A$4)+1),ROWS(A$2:A411))),"")</f>
        <v/>
      </c>
      <c r="B411" s="13" t="str">
        <f t="array" aca="1" ref="B411" ca="1">IFERROR(INDEX(Projektname_ODW,MATCH(SMALL(COUNTIF(Projektname_ODW, "&lt;" &amp; Projektname_ODW),ROW(410:410)),COUNTIF(Projektname_ODW, "&lt;" &amp; Projektname_ODW),0)),"")</f>
        <v/>
      </c>
    </row>
    <row r="412" spans="1:2">
      <c r="A412" s="13" t="str">
        <f t="array" aca="1" ref="A412" ca="1">IFERROR(INDEX(Projektname,SMALL(IF(FREQUENCY(IF(Projektname&lt;&gt;"",MATCH(Projektname,Projektname,0)),ROW(Projektname)-ROW(Data!$A$4)+1),ROW(Projektname)-ROW(Data!$A$4)+1),ROWS(A$2:A412))),"")</f>
        <v/>
      </c>
      <c r="B412" s="13" t="str">
        <f t="array" aca="1" ref="B412" ca="1">IFERROR(INDEX(Projektname_ODW,MATCH(SMALL(COUNTIF(Projektname_ODW, "&lt;" &amp; Projektname_ODW),ROW(411:411)),COUNTIF(Projektname_ODW, "&lt;" &amp; Projektname_ODW),0)),"")</f>
        <v/>
      </c>
    </row>
    <row r="413" spans="1:2">
      <c r="A413" s="13" t="str">
        <f t="array" aca="1" ref="A413" ca="1">IFERROR(INDEX(Projektname,SMALL(IF(FREQUENCY(IF(Projektname&lt;&gt;"",MATCH(Projektname,Projektname,0)),ROW(Projektname)-ROW(Data!$A$4)+1),ROW(Projektname)-ROW(Data!$A$4)+1),ROWS(A$2:A413))),"")</f>
        <v/>
      </c>
      <c r="B413" s="13" t="str">
        <f t="array" aca="1" ref="B413" ca="1">IFERROR(INDEX(Projektname_ODW,MATCH(SMALL(COUNTIF(Projektname_ODW, "&lt;" &amp; Projektname_ODW),ROW(412:412)),COUNTIF(Projektname_ODW, "&lt;" &amp; Projektname_ODW),0)),"")</f>
        <v/>
      </c>
    </row>
    <row r="414" spans="1:2">
      <c r="A414" s="13" t="str">
        <f t="array" aca="1" ref="A414" ca="1">IFERROR(INDEX(Projektname,SMALL(IF(FREQUENCY(IF(Projektname&lt;&gt;"",MATCH(Projektname,Projektname,0)),ROW(Projektname)-ROW(Data!$A$4)+1),ROW(Projektname)-ROW(Data!$A$4)+1),ROWS(A$2:A414))),"")</f>
        <v/>
      </c>
      <c r="B414" s="13" t="str">
        <f t="array" aca="1" ref="B414" ca="1">IFERROR(INDEX(Projektname_ODW,MATCH(SMALL(COUNTIF(Projektname_ODW, "&lt;" &amp; Projektname_ODW),ROW(413:413)),COUNTIF(Projektname_ODW, "&lt;" &amp; Projektname_ODW),0)),"")</f>
        <v/>
      </c>
    </row>
    <row r="415" spans="1:2">
      <c r="A415" s="13" t="str">
        <f t="array" aca="1" ref="A415" ca="1">IFERROR(INDEX(Projektname,SMALL(IF(FREQUENCY(IF(Projektname&lt;&gt;"",MATCH(Projektname,Projektname,0)),ROW(Projektname)-ROW(Data!$A$4)+1),ROW(Projektname)-ROW(Data!$A$4)+1),ROWS(A$2:A415))),"")</f>
        <v/>
      </c>
      <c r="B415" s="13" t="str">
        <f t="array" aca="1" ref="B415" ca="1">IFERROR(INDEX(Projektname_ODW,MATCH(SMALL(COUNTIF(Projektname_ODW, "&lt;" &amp; Projektname_ODW),ROW(414:414)),COUNTIF(Projektname_ODW, "&lt;" &amp; Projektname_ODW),0)),"")</f>
        <v/>
      </c>
    </row>
    <row r="416" spans="1:2">
      <c r="A416" s="13" t="str">
        <f t="array" aca="1" ref="A416" ca="1">IFERROR(INDEX(Projektname,SMALL(IF(FREQUENCY(IF(Projektname&lt;&gt;"",MATCH(Projektname,Projektname,0)),ROW(Projektname)-ROW(Data!$A$4)+1),ROW(Projektname)-ROW(Data!$A$4)+1),ROWS(A$2:A416))),"")</f>
        <v/>
      </c>
      <c r="B416" s="13" t="str">
        <f t="array" aca="1" ref="B416" ca="1">IFERROR(INDEX(Projektname_ODW,MATCH(SMALL(COUNTIF(Projektname_ODW, "&lt;" &amp; Projektname_ODW),ROW(415:415)),COUNTIF(Projektname_ODW, "&lt;" &amp; Projektname_ODW),0)),"")</f>
        <v/>
      </c>
    </row>
    <row r="417" spans="1:2">
      <c r="A417" s="13" t="str">
        <f t="array" aca="1" ref="A417" ca="1">IFERROR(INDEX(Projektname,SMALL(IF(FREQUENCY(IF(Projektname&lt;&gt;"",MATCH(Projektname,Projektname,0)),ROW(Projektname)-ROW(Data!$A$4)+1),ROW(Projektname)-ROW(Data!$A$4)+1),ROWS(A$2:A417))),"")</f>
        <v/>
      </c>
      <c r="B417" s="13" t="str">
        <f t="array" aca="1" ref="B417" ca="1">IFERROR(INDEX(Projektname_ODW,MATCH(SMALL(COUNTIF(Projektname_ODW, "&lt;" &amp; Projektname_ODW),ROW(416:416)),COUNTIF(Projektname_ODW, "&lt;" &amp; Projektname_ODW),0)),"")</f>
        <v/>
      </c>
    </row>
    <row r="418" spans="1:2">
      <c r="A418" s="13" t="str">
        <f t="array" aca="1" ref="A418" ca="1">IFERROR(INDEX(Projektname,SMALL(IF(FREQUENCY(IF(Projektname&lt;&gt;"",MATCH(Projektname,Projektname,0)),ROW(Projektname)-ROW(Data!$A$4)+1),ROW(Projektname)-ROW(Data!$A$4)+1),ROWS(A$2:A418))),"")</f>
        <v/>
      </c>
      <c r="B418" s="13" t="str">
        <f t="array" aca="1" ref="B418" ca="1">IFERROR(INDEX(Projektname_ODW,MATCH(SMALL(COUNTIF(Projektname_ODW, "&lt;" &amp; Projektname_ODW),ROW(417:417)),COUNTIF(Projektname_ODW, "&lt;" &amp; Projektname_ODW),0)),"")</f>
        <v/>
      </c>
    </row>
    <row r="419" spans="1:2">
      <c r="A419" s="13" t="str">
        <f t="array" aca="1" ref="A419" ca="1">IFERROR(INDEX(Projektname,SMALL(IF(FREQUENCY(IF(Projektname&lt;&gt;"",MATCH(Projektname,Projektname,0)),ROW(Projektname)-ROW(Data!$A$4)+1),ROW(Projektname)-ROW(Data!$A$4)+1),ROWS(A$2:A419))),"")</f>
        <v/>
      </c>
      <c r="B419" s="13" t="str">
        <f t="array" aca="1" ref="B419" ca="1">IFERROR(INDEX(Projektname_ODW,MATCH(SMALL(COUNTIF(Projektname_ODW, "&lt;" &amp; Projektname_ODW),ROW(418:418)),COUNTIF(Projektname_ODW, "&lt;" &amp; Projektname_ODW),0)),"")</f>
        <v/>
      </c>
    </row>
    <row r="420" spans="1:2">
      <c r="A420" s="13" t="str">
        <f t="array" aca="1" ref="A420" ca="1">IFERROR(INDEX(Projektname,SMALL(IF(FREQUENCY(IF(Projektname&lt;&gt;"",MATCH(Projektname,Projektname,0)),ROW(Projektname)-ROW(Data!$A$4)+1),ROW(Projektname)-ROW(Data!$A$4)+1),ROWS(A$2:A420))),"")</f>
        <v/>
      </c>
      <c r="B420" s="13" t="str">
        <f t="array" aca="1" ref="B420" ca="1">IFERROR(INDEX(Projektname_ODW,MATCH(SMALL(COUNTIF(Projektname_ODW, "&lt;" &amp; Projektname_ODW),ROW(419:419)),COUNTIF(Projektname_ODW, "&lt;" &amp; Projektname_ODW),0)),"")</f>
        <v/>
      </c>
    </row>
    <row r="421" spans="1:2">
      <c r="A421" s="13" t="str">
        <f t="array" aca="1" ref="A421" ca="1">IFERROR(INDEX(Projektname,SMALL(IF(FREQUENCY(IF(Projektname&lt;&gt;"",MATCH(Projektname,Projektname,0)),ROW(Projektname)-ROW(Data!$A$4)+1),ROW(Projektname)-ROW(Data!$A$4)+1),ROWS(A$2:A421))),"")</f>
        <v/>
      </c>
      <c r="B421" s="13" t="str">
        <f t="array" aca="1" ref="B421" ca="1">IFERROR(INDEX(Projektname_ODW,MATCH(SMALL(COUNTIF(Projektname_ODW, "&lt;" &amp; Projektname_ODW),ROW(420:420)),COUNTIF(Projektname_ODW, "&lt;" &amp; Projektname_ODW),0)),"")</f>
        <v/>
      </c>
    </row>
    <row r="422" spans="1:2">
      <c r="A422" s="13" t="str">
        <f t="array" aca="1" ref="A422" ca="1">IFERROR(INDEX(Projektname,SMALL(IF(FREQUENCY(IF(Projektname&lt;&gt;"",MATCH(Projektname,Projektname,0)),ROW(Projektname)-ROW(Data!$A$4)+1),ROW(Projektname)-ROW(Data!$A$4)+1),ROWS(A$2:A422))),"")</f>
        <v/>
      </c>
      <c r="B422" s="13" t="str">
        <f t="array" aca="1" ref="B422" ca="1">IFERROR(INDEX(Projektname_ODW,MATCH(SMALL(COUNTIF(Projektname_ODW, "&lt;" &amp; Projektname_ODW),ROW(421:421)),COUNTIF(Projektname_ODW, "&lt;" &amp; Projektname_ODW),0)),"")</f>
        <v/>
      </c>
    </row>
    <row r="423" spans="1:2">
      <c r="A423" s="13" t="str">
        <f t="array" aca="1" ref="A423" ca="1">IFERROR(INDEX(Projektname,SMALL(IF(FREQUENCY(IF(Projektname&lt;&gt;"",MATCH(Projektname,Projektname,0)),ROW(Projektname)-ROW(Data!$A$4)+1),ROW(Projektname)-ROW(Data!$A$4)+1),ROWS(A$2:A423))),"")</f>
        <v/>
      </c>
      <c r="B423" s="13" t="str">
        <f t="array" aca="1" ref="B423" ca="1">IFERROR(INDEX(Projektname_ODW,MATCH(SMALL(COUNTIF(Projektname_ODW, "&lt;" &amp; Projektname_ODW),ROW(422:422)),COUNTIF(Projektname_ODW, "&lt;" &amp; Projektname_ODW),0)),"")</f>
        <v/>
      </c>
    </row>
    <row r="424" spans="1:2">
      <c r="A424" s="13" t="str">
        <f t="array" aca="1" ref="A424" ca="1">IFERROR(INDEX(Projektname,SMALL(IF(FREQUENCY(IF(Projektname&lt;&gt;"",MATCH(Projektname,Projektname,0)),ROW(Projektname)-ROW(Data!$A$4)+1),ROW(Projektname)-ROW(Data!$A$4)+1),ROWS(A$2:A424))),"")</f>
        <v/>
      </c>
      <c r="B424" s="13" t="str">
        <f t="array" aca="1" ref="B424" ca="1">IFERROR(INDEX(Projektname_ODW,MATCH(SMALL(COUNTIF(Projektname_ODW, "&lt;" &amp; Projektname_ODW),ROW(423:423)),COUNTIF(Projektname_ODW, "&lt;" &amp; Projektname_ODW),0)),"")</f>
        <v/>
      </c>
    </row>
    <row r="425" spans="1:2">
      <c r="A425" s="13" t="str">
        <f t="array" aca="1" ref="A425" ca="1">IFERROR(INDEX(Projektname,SMALL(IF(FREQUENCY(IF(Projektname&lt;&gt;"",MATCH(Projektname,Projektname,0)),ROW(Projektname)-ROW(Data!$A$4)+1),ROW(Projektname)-ROW(Data!$A$4)+1),ROWS(A$2:A425))),"")</f>
        <v/>
      </c>
      <c r="B425" s="13" t="str">
        <f t="array" aca="1" ref="B425" ca="1">IFERROR(INDEX(Projektname_ODW,MATCH(SMALL(COUNTIF(Projektname_ODW, "&lt;" &amp; Projektname_ODW),ROW(424:424)),COUNTIF(Projektname_ODW, "&lt;" &amp; Projektname_ODW),0)),"")</f>
        <v/>
      </c>
    </row>
    <row r="426" spans="1:2">
      <c r="A426" s="13" t="str">
        <f t="array" aca="1" ref="A426" ca="1">IFERROR(INDEX(Projektname,SMALL(IF(FREQUENCY(IF(Projektname&lt;&gt;"",MATCH(Projektname,Projektname,0)),ROW(Projektname)-ROW(Data!$A$4)+1),ROW(Projektname)-ROW(Data!$A$4)+1),ROWS(A$2:A426))),"")</f>
        <v/>
      </c>
      <c r="B426" s="13" t="str">
        <f t="array" aca="1" ref="B426" ca="1">IFERROR(INDEX(Projektname_ODW,MATCH(SMALL(COUNTIF(Projektname_ODW, "&lt;" &amp; Projektname_ODW),ROW(425:425)),COUNTIF(Projektname_ODW, "&lt;" &amp; Projektname_ODW),0)),"")</f>
        <v/>
      </c>
    </row>
    <row r="427" spans="1:2">
      <c r="A427" s="13" t="str">
        <f t="array" aca="1" ref="A427" ca="1">IFERROR(INDEX(Projektname,SMALL(IF(FREQUENCY(IF(Projektname&lt;&gt;"",MATCH(Projektname,Projektname,0)),ROW(Projektname)-ROW(Data!$A$4)+1),ROW(Projektname)-ROW(Data!$A$4)+1),ROWS(A$2:A427))),"")</f>
        <v/>
      </c>
      <c r="B427" s="13" t="str">
        <f t="array" aca="1" ref="B427" ca="1">IFERROR(INDEX(Projektname_ODW,MATCH(SMALL(COUNTIF(Projektname_ODW, "&lt;" &amp; Projektname_ODW),ROW(426:426)),COUNTIF(Projektname_ODW, "&lt;" &amp; Projektname_ODW),0)),"")</f>
        <v/>
      </c>
    </row>
    <row r="428" spans="1:2">
      <c r="A428" s="13" t="str">
        <f t="array" aca="1" ref="A428" ca="1">IFERROR(INDEX(Projektname,SMALL(IF(FREQUENCY(IF(Projektname&lt;&gt;"",MATCH(Projektname,Projektname,0)),ROW(Projektname)-ROW(Data!$A$4)+1),ROW(Projektname)-ROW(Data!$A$4)+1),ROWS(A$2:A428))),"")</f>
        <v/>
      </c>
      <c r="B428" s="13" t="str">
        <f t="array" aca="1" ref="B428" ca="1">IFERROR(INDEX(Projektname_ODW,MATCH(SMALL(COUNTIF(Projektname_ODW, "&lt;" &amp; Projektname_ODW),ROW(427:427)),COUNTIF(Projektname_ODW, "&lt;" &amp; Projektname_ODW),0)),"")</f>
        <v/>
      </c>
    </row>
    <row r="429" spans="1:2">
      <c r="A429" s="13" t="str">
        <f t="array" aca="1" ref="A429" ca="1">IFERROR(INDEX(Projektname,SMALL(IF(FREQUENCY(IF(Projektname&lt;&gt;"",MATCH(Projektname,Projektname,0)),ROW(Projektname)-ROW(Data!$A$4)+1),ROW(Projektname)-ROW(Data!$A$4)+1),ROWS(A$2:A429))),"")</f>
        <v/>
      </c>
      <c r="B429" s="13" t="str">
        <f t="array" aca="1" ref="B429" ca="1">IFERROR(INDEX(Projektname_ODW,MATCH(SMALL(COUNTIF(Projektname_ODW, "&lt;" &amp; Projektname_ODW),ROW(428:428)),COUNTIF(Projektname_ODW, "&lt;" &amp; Projektname_ODW),0)),"")</f>
        <v/>
      </c>
    </row>
    <row r="430" spans="1:2">
      <c r="A430" s="13" t="str">
        <f t="array" aca="1" ref="A430" ca="1">IFERROR(INDEX(Projektname,SMALL(IF(FREQUENCY(IF(Projektname&lt;&gt;"",MATCH(Projektname,Projektname,0)),ROW(Projektname)-ROW(Data!$A$4)+1),ROW(Projektname)-ROW(Data!$A$4)+1),ROWS(A$2:A430))),"")</f>
        <v/>
      </c>
      <c r="B430" s="13" t="str">
        <f t="array" aca="1" ref="B430" ca="1">IFERROR(INDEX(Projektname_ODW,MATCH(SMALL(COUNTIF(Projektname_ODW, "&lt;" &amp; Projektname_ODW),ROW(429:429)),COUNTIF(Projektname_ODW, "&lt;" &amp; Projektname_ODW),0)),"")</f>
        <v/>
      </c>
    </row>
    <row r="431" spans="1:2">
      <c r="A431" s="13" t="str">
        <f t="array" aca="1" ref="A431" ca="1">IFERROR(INDEX(Projektname,SMALL(IF(FREQUENCY(IF(Projektname&lt;&gt;"",MATCH(Projektname,Projektname,0)),ROW(Projektname)-ROW(Data!$A$4)+1),ROW(Projektname)-ROW(Data!$A$4)+1),ROWS(A$2:A431))),"")</f>
        <v/>
      </c>
      <c r="B431" s="13" t="str">
        <f t="array" aca="1" ref="B431" ca="1">IFERROR(INDEX(Projektname_ODW,MATCH(SMALL(COUNTIF(Projektname_ODW, "&lt;" &amp; Projektname_ODW),ROW(430:430)),COUNTIF(Projektname_ODW, "&lt;" &amp; Projektname_ODW),0)),"")</f>
        <v/>
      </c>
    </row>
    <row r="432" spans="1:2">
      <c r="A432" s="13" t="str">
        <f t="array" aca="1" ref="A432" ca="1">IFERROR(INDEX(Projektname,SMALL(IF(FREQUENCY(IF(Projektname&lt;&gt;"",MATCH(Projektname,Projektname,0)),ROW(Projektname)-ROW(Data!$A$4)+1),ROW(Projektname)-ROW(Data!$A$4)+1),ROWS(A$2:A432))),"")</f>
        <v/>
      </c>
      <c r="B432" s="13" t="str">
        <f t="array" aca="1" ref="B432" ca="1">IFERROR(INDEX(Projektname_ODW,MATCH(SMALL(COUNTIF(Projektname_ODW, "&lt;" &amp; Projektname_ODW),ROW(431:431)),COUNTIF(Projektname_ODW, "&lt;" &amp; Projektname_ODW),0)),"")</f>
        <v/>
      </c>
    </row>
    <row r="433" spans="1:2">
      <c r="A433" s="13" t="str">
        <f t="array" aca="1" ref="A433" ca="1">IFERROR(INDEX(Projektname,SMALL(IF(FREQUENCY(IF(Projektname&lt;&gt;"",MATCH(Projektname,Projektname,0)),ROW(Projektname)-ROW(Data!$A$4)+1),ROW(Projektname)-ROW(Data!$A$4)+1),ROWS(A$2:A433))),"")</f>
        <v/>
      </c>
      <c r="B433" s="13" t="str">
        <f t="array" aca="1" ref="B433" ca="1">IFERROR(INDEX(Projektname_ODW,MATCH(SMALL(COUNTIF(Projektname_ODW, "&lt;" &amp; Projektname_ODW),ROW(432:432)),COUNTIF(Projektname_ODW, "&lt;" &amp; Projektname_ODW),0)),"")</f>
        <v/>
      </c>
    </row>
    <row r="434" spans="1:2">
      <c r="A434" s="13" t="str">
        <f t="array" aca="1" ref="A434" ca="1">IFERROR(INDEX(Projektname,SMALL(IF(FREQUENCY(IF(Projektname&lt;&gt;"",MATCH(Projektname,Projektname,0)),ROW(Projektname)-ROW(Data!$A$4)+1),ROW(Projektname)-ROW(Data!$A$4)+1),ROWS(A$2:A434))),"")</f>
        <v/>
      </c>
      <c r="B434" s="13" t="str">
        <f t="array" aca="1" ref="B434" ca="1">IFERROR(INDEX(Projektname_ODW,MATCH(SMALL(COUNTIF(Projektname_ODW, "&lt;" &amp; Projektname_ODW),ROW(433:433)),COUNTIF(Projektname_ODW, "&lt;" &amp; Projektname_ODW),0)),"")</f>
        <v/>
      </c>
    </row>
    <row r="435" spans="1:2">
      <c r="A435" s="13" t="str">
        <f t="array" aca="1" ref="A435" ca="1">IFERROR(INDEX(Projektname,SMALL(IF(FREQUENCY(IF(Projektname&lt;&gt;"",MATCH(Projektname,Projektname,0)),ROW(Projektname)-ROW(Data!$A$4)+1),ROW(Projektname)-ROW(Data!$A$4)+1),ROWS(A$2:A435))),"")</f>
        <v/>
      </c>
      <c r="B435" s="13" t="str">
        <f t="array" aca="1" ref="B435" ca="1">IFERROR(INDEX(Projektname_ODW,MATCH(SMALL(COUNTIF(Projektname_ODW, "&lt;" &amp; Projektname_ODW),ROW(434:434)),COUNTIF(Projektname_ODW, "&lt;" &amp; Projektname_ODW),0)),"")</f>
        <v/>
      </c>
    </row>
    <row r="436" spans="1:2">
      <c r="A436" s="13" t="str">
        <f t="array" aca="1" ref="A436" ca="1">IFERROR(INDEX(Projektname,SMALL(IF(FREQUENCY(IF(Projektname&lt;&gt;"",MATCH(Projektname,Projektname,0)),ROW(Projektname)-ROW(Data!$A$4)+1),ROW(Projektname)-ROW(Data!$A$4)+1),ROWS(A$2:A436))),"")</f>
        <v/>
      </c>
      <c r="B436" s="13" t="str">
        <f t="array" aca="1" ref="B436" ca="1">IFERROR(INDEX(Projektname_ODW,MATCH(SMALL(COUNTIF(Projektname_ODW, "&lt;" &amp; Projektname_ODW),ROW(435:435)),COUNTIF(Projektname_ODW, "&lt;" &amp; Projektname_ODW),0)),"")</f>
        <v/>
      </c>
    </row>
    <row r="437" spans="1:2">
      <c r="A437" s="13" t="str">
        <f t="array" aca="1" ref="A437" ca="1">IFERROR(INDEX(Projektname,SMALL(IF(FREQUENCY(IF(Projektname&lt;&gt;"",MATCH(Projektname,Projektname,0)),ROW(Projektname)-ROW(Data!$A$4)+1),ROW(Projektname)-ROW(Data!$A$4)+1),ROWS(A$2:A437))),"")</f>
        <v/>
      </c>
      <c r="B437" s="13" t="str">
        <f t="array" aca="1" ref="B437" ca="1">IFERROR(INDEX(Projektname_ODW,MATCH(SMALL(COUNTIF(Projektname_ODW, "&lt;" &amp; Projektname_ODW),ROW(436:436)),COUNTIF(Projektname_ODW, "&lt;" &amp; Projektname_ODW),0)),"")</f>
        <v/>
      </c>
    </row>
    <row r="438" spans="1:2">
      <c r="A438" s="13" t="str">
        <f t="array" aca="1" ref="A438" ca="1">IFERROR(INDEX(Projektname,SMALL(IF(FREQUENCY(IF(Projektname&lt;&gt;"",MATCH(Projektname,Projektname,0)),ROW(Projektname)-ROW(Data!$A$4)+1),ROW(Projektname)-ROW(Data!$A$4)+1),ROWS(A$2:A438))),"")</f>
        <v/>
      </c>
      <c r="B438" s="13" t="str">
        <f t="array" aca="1" ref="B438" ca="1">IFERROR(INDEX(Projektname_ODW,MATCH(SMALL(COUNTIF(Projektname_ODW, "&lt;" &amp; Projektname_ODW),ROW(437:437)),COUNTIF(Projektname_ODW, "&lt;" &amp; Projektname_ODW),0)),"")</f>
        <v/>
      </c>
    </row>
    <row r="439" spans="1:2">
      <c r="A439" s="13" t="str">
        <f t="array" aca="1" ref="A439" ca="1">IFERROR(INDEX(Projektname,SMALL(IF(FREQUENCY(IF(Projektname&lt;&gt;"",MATCH(Projektname,Projektname,0)),ROW(Projektname)-ROW(Data!$A$4)+1),ROW(Projektname)-ROW(Data!$A$4)+1),ROWS(A$2:A439))),"")</f>
        <v/>
      </c>
      <c r="B439" s="13" t="str">
        <f t="array" aca="1" ref="B439" ca="1">IFERROR(INDEX(Projektname_ODW,MATCH(SMALL(COUNTIF(Projektname_ODW, "&lt;" &amp; Projektname_ODW),ROW(438:438)),COUNTIF(Projektname_ODW, "&lt;" &amp; Projektname_ODW),0)),"")</f>
        <v/>
      </c>
    </row>
    <row r="440" spans="1:2">
      <c r="A440" s="13" t="str">
        <f t="array" aca="1" ref="A440" ca="1">IFERROR(INDEX(Projektname,SMALL(IF(FREQUENCY(IF(Projektname&lt;&gt;"",MATCH(Projektname,Projektname,0)),ROW(Projektname)-ROW(Data!$A$4)+1),ROW(Projektname)-ROW(Data!$A$4)+1),ROWS(A$2:A440))),"")</f>
        <v/>
      </c>
      <c r="B440" s="13" t="str">
        <f t="array" aca="1" ref="B440" ca="1">IFERROR(INDEX(Projektname_ODW,MATCH(SMALL(COUNTIF(Projektname_ODW, "&lt;" &amp; Projektname_ODW),ROW(439:439)),COUNTIF(Projektname_ODW, "&lt;" &amp; Projektname_ODW),0)),"")</f>
        <v/>
      </c>
    </row>
    <row r="441" spans="1:2">
      <c r="A441" s="13" t="str">
        <f t="array" aca="1" ref="A441" ca="1">IFERROR(INDEX(Projektname,SMALL(IF(FREQUENCY(IF(Projektname&lt;&gt;"",MATCH(Projektname,Projektname,0)),ROW(Projektname)-ROW(Data!$A$4)+1),ROW(Projektname)-ROW(Data!$A$4)+1),ROWS(A$2:A441))),"")</f>
        <v/>
      </c>
      <c r="B441" s="13" t="str">
        <f t="array" aca="1" ref="B441" ca="1">IFERROR(INDEX(Projektname_ODW,MATCH(SMALL(COUNTIF(Projektname_ODW, "&lt;" &amp; Projektname_ODW),ROW(440:440)),COUNTIF(Projektname_ODW, "&lt;" &amp; Projektname_ODW),0)),"")</f>
        <v/>
      </c>
    </row>
    <row r="442" spans="1:2">
      <c r="A442" s="13" t="str">
        <f t="array" aca="1" ref="A442" ca="1">IFERROR(INDEX(Projektname,SMALL(IF(FREQUENCY(IF(Projektname&lt;&gt;"",MATCH(Projektname,Projektname,0)),ROW(Projektname)-ROW(Data!$A$4)+1),ROW(Projektname)-ROW(Data!$A$4)+1),ROWS(A$2:A442))),"")</f>
        <v/>
      </c>
      <c r="B442" s="13" t="str">
        <f t="array" aca="1" ref="B442" ca="1">IFERROR(INDEX(Projektname_ODW,MATCH(SMALL(COUNTIF(Projektname_ODW, "&lt;" &amp; Projektname_ODW),ROW(441:441)),COUNTIF(Projektname_ODW, "&lt;" &amp; Projektname_ODW),0)),"")</f>
        <v/>
      </c>
    </row>
    <row r="443" spans="1:2">
      <c r="A443" s="13" t="str">
        <f t="array" aca="1" ref="A443" ca="1">IFERROR(INDEX(Projektname,SMALL(IF(FREQUENCY(IF(Projektname&lt;&gt;"",MATCH(Projektname,Projektname,0)),ROW(Projektname)-ROW(Data!$A$4)+1),ROW(Projektname)-ROW(Data!$A$4)+1),ROWS(A$2:A443))),"")</f>
        <v/>
      </c>
      <c r="B443" s="13" t="str">
        <f t="array" aca="1" ref="B443" ca="1">IFERROR(INDEX(Projektname_ODW,MATCH(SMALL(COUNTIF(Projektname_ODW, "&lt;" &amp; Projektname_ODW),ROW(442:442)),COUNTIF(Projektname_ODW, "&lt;" &amp; Projektname_ODW),0)),"")</f>
        <v/>
      </c>
    </row>
    <row r="444" spans="1:2">
      <c r="A444" s="13" t="str">
        <f t="array" aca="1" ref="A444" ca="1">IFERROR(INDEX(Projektname,SMALL(IF(FREQUENCY(IF(Projektname&lt;&gt;"",MATCH(Projektname,Projektname,0)),ROW(Projektname)-ROW(Data!$A$4)+1),ROW(Projektname)-ROW(Data!$A$4)+1),ROWS(A$2:A444))),"")</f>
        <v/>
      </c>
      <c r="B444" s="13" t="str">
        <f t="array" aca="1" ref="B444" ca="1">IFERROR(INDEX(Projektname_ODW,MATCH(SMALL(COUNTIF(Projektname_ODW, "&lt;" &amp; Projektname_ODW),ROW(443:443)),COUNTIF(Projektname_ODW, "&lt;" &amp; Projektname_ODW),0)),"")</f>
        <v/>
      </c>
    </row>
    <row r="445" spans="1:2">
      <c r="A445" s="13" t="str">
        <f t="array" aca="1" ref="A445" ca="1">IFERROR(INDEX(Projektname,SMALL(IF(FREQUENCY(IF(Projektname&lt;&gt;"",MATCH(Projektname,Projektname,0)),ROW(Projektname)-ROW(Data!$A$4)+1),ROW(Projektname)-ROW(Data!$A$4)+1),ROWS(A$2:A445))),"")</f>
        <v/>
      </c>
      <c r="B445" s="13" t="str">
        <f t="array" aca="1" ref="B445" ca="1">IFERROR(INDEX(Projektname_ODW,MATCH(SMALL(COUNTIF(Projektname_ODW, "&lt;" &amp; Projektname_ODW),ROW(444:444)),COUNTIF(Projektname_ODW, "&lt;" &amp; Projektname_ODW),0)),"")</f>
        <v/>
      </c>
    </row>
    <row r="446" spans="1:2">
      <c r="A446" s="13" t="str">
        <f t="array" aca="1" ref="A446" ca="1">IFERROR(INDEX(Projektname,SMALL(IF(FREQUENCY(IF(Projektname&lt;&gt;"",MATCH(Projektname,Projektname,0)),ROW(Projektname)-ROW(Data!$A$4)+1),ROW(Projektname)-ROW(Data!$A$4)+1),ROWS(A$2:A446))),"")</f>
        <v/>
      </c>
      <c r="B446" s="13" t="str">
        <f t="array" aca="1" ref="B446" ca="1">IFERROR(INDEX(Projektname_ODW,MATCH(SMALL(COUNTIF(Projektname_ODW, "&lt;" &amp; Projektname_ODW),ROW(445:445)),COUNTIF(Projektname_ODW, "&lt;" &amp; Projektname_ODW),0)),"")</f>
        <v/>
      </c>
    </row>
    <row r="447" spans="1:2">
      <c r="A447" s="13" t="str">
        <f t="array" aca="1" ref="A447" ca="1">IFERROR(INDEX(Projektname,SMALL(IF(FREQUENCY(IF(Projektname&lt;&gt;"",MATCH(Projektname,Projektname,0)),ROW(Projektname)-ROW(Data!$A$4)+1),ROW(Projektname)-ROW(Data!$A$4)+1),ROWS(A$2:A447))),"")</f>
        <v/>
      </c>
      <c r="B447" s="13" t="str">
        <f t="array" aca="1" ref="B447" ca="1">IFERROR(INDEX(Projektname_ODW,MATCH(SMALL(COUNTIF(Projektname_ODW, "&lt;" &amp; Projektname_ODW),ROW(446:446)),COUNTIF(Projektname_ODW, "&lt;" &amp; Projektname_ODW),0)),"")</f>
        <v/>
      </c>
    </row>
    <row r="448" spans="1:2">
      <c r="A448" s="13" t="str">
        <f t="array" aca="1" ref="A448" ca="1">IFERROR(INDEX(Projektname,SMALL(IF(FREQUENCY(IF(Projektname&lt;&gt;"",MATCH(Projektname,Projektname,0)),ROW(Projektname)-ROW(Data!$A$4)+1),ROW(Projektname)-ROW(Data!$A$4)+1),ROWS(A$2:A448))),"")</f>
        <v/>
      </c>
      <c r="B448" s="13" t="str">
        <f t="array" aca="1" ref="B448" ca="1">IFERROR(INDEX(Projektname_ODW,MATCH(SMALL(COUNTIF(Projektname_ODW, "&lt;" &amp; Projektname_ODW),ROW(447:447)),COUNTIF(Projektname_ODW, "&lt;" &amp; Projektname_ODW),0)),"")</f>
        <v/>
      </c>
    </row>
    <row r="449" spans="1:2">
      <c r="A449" s="13" t="str">
        <f t="array" aca="1" ref="A449" ca="1">IFERROR(INDEX(Projektname,SMALL(IF(FREQUENCY(IF(Projektname&lt;&gt;"",MATCH(Projektname,Projektname,0)),ROW(Projektname)-ROW(Data!$A$4)+1),ROW(Projektname)-ROW(Data!$A$4)+1),ROWS(A$2:A449))),"")</f>
        <v/>
      </c>
      <c r="B449" s="13" t="str">
        <f t="array" aca="1" ref="B449" ca="1">IFERROR(INDEX(Projektname_ODW,MATCH(SMALL(COUNTIF(Projektname_ODW, "&lt;" &amp; Projektname_ODW),ROW(448:448)),COUNTIF(Projektname_ODW, "&lt;" &amp; Projektname_ODW),0)),"")</f>
        <v/>
      </c>
    </row>
    <row r="450" spans="1:2">
      <c r="A450" s="13" t="str">
        <f t="array" aca="1" ref="A450" ca="1">IFERROR(INDEX(Projektname,SMALL(IF(FREQUENCY(IF(Projektname&lt;&gt;"",MATCH(Projektname,Projektname,0)),ROW(Projektname)-ROW(Data!$A$4)+1),ROW(Projektname)-ROW(Data!$A$4)+1),ROWS(A$2:A450))),"")</f>
        <v/>
      </c>
      <c r="B450" s="13" t="str">
        <f t="array" aca="1" ref="B450" ca="1">IFERROR(INDEX(Projektname_ODW,MATCH(SMALL(COUNTIF(Projektname_ODW, "&lt;" &amp; Projektname_ODW),ROW(449:449)),COUNTIF(Projektname_ODW, "&lt;" &amp; Projektname_ODW),0)),"")</f>
        <v/>
      </c>
    </row>
    <row r="451" spans="1:2">
      <c r="A451" s="13" t="str">
        <f t="array" aca="1" ref="A451" ca="1">IFERROR(INDEX(Projektname,SMALL(IF(FREQUENCY(IF(Projektname&lt;&gt;"",MATCH(Projektname,Projektname,0)),ROW(Projektname)-ROW(Data!$A$4)+1),ROW(Projektname)-ROW(Data!$A$4)+1),ROWS(A$2:A451))),"")</f>
        <v/>
      </c>
      <c r="B451" s="13" t="str">
        <f t="array" aca="1" ref="B451" ca="1">IFERROR(INDEX(Projektname_ODW,MATCH(SMALL(COUNTIF(Projektname_ODW, "&lt;" &amp; Projektname_ODW),ROW(450:450)),COUNTIF(Projektname_ODW, "&lt;" &amp; Projektname_ODW),0)),"")</f>
        <v/>
      </c>
    </row>
    <row r="452" spans="1:2">
      <c r="A452" s="13" t="str">
        <f t="array" aca="1" ref="A452" ca="1">IFERROR(INDEX(Projektname,SMALL(IF(FREQUENCY(IF(Projektname&lt;&gt;"",MATCH(Projektname,Projektname,0)),ROW(Projektname)-ROW(Data!$A$4)+1),ROW(Projektname)-ROW(Data!$A$4)+1),ROWS(A$2:A452))),"")</f>
        <v/>
      </c>
      <c r="B452" s="13" t="str">
        <f t="array" aca="1" ref="B452" ca="1">IFERROR(INDEX(Projektname_ODW,MATCH(SMALL(COUNTIF(Projektname_ODW, "&lt;" &amp; Projektname_ODW),ROW(451:451)),COUNTIF(Projektname_ODW, "&lt;" &amp; Projektname_ODW),0)),"")</f>
        <v/>
      </c>
    </row>
    <row r="453" spans="1:2">
      <c r="A453" s="13" t="str">
        <f t="array" aca="1" ref="A453" ca="1">IFERROR(INDEX(Projektname,SMALL(IF(FREQUENCY(IF(Projektname&lt;&gt;"",MATCH(Projektname,Projektname,0)),ROW(Projektname)-ROW(Data!$A$4)+1),ROW(Projektname)-ROW(Data!$A$4)+1),ROWS(A$2:A453))),"")</f>
        <v/>
      </c>
      <c r="B453" s="13" t="str">
        <f t="array" aca="1" ref="B453" ca="1">IFERROR(INDEX(Projektname_ODW,MATCH(SMALL(COUNTIF(Projektname_ODW, "&lt;" &amp; Projektname_ODW),ROW(452:452)),COUNTIF(Projektname_ODW, "&lt;" &amp; Projektname_ODW),0)),"")</f>
        <v/>
      </c>
    </row>
    <row r="454" spans="1:2">
      <c r="A454" s="13" t="str">
        <f t="array" aca="1" ref="A454" ca="1">IFERROR(INDEX(Projektname,SMALL(IF(FREQUENCY(IF(Projektname&lt;&gt;"",MATCH(Projektname,Projektname,0)),ROW(Projektname)-ROW(Data!$A$4)+1),ROW(Projektname)-ROW(Data!$A$4)+1),ROWS(A$2:A454))),"")</f>
        <v/>
      </c>
      <c r="B454" s="13" t="str">
        <f t="array" aca="1" ref="B454" ca="1">IFERROR(INDEX(Projektname_ODW,MATCH(SMALL(COUNTIF(Projektname_ODW, "&lt;" &amp; Projektname_ODW),ROW(453:453)),COUNTIF(Projektname_ODW, "&lt;" &amp; Projektname_ODW),0)),"")</f>
        <v/>
      </c>
    </row>
    <row r="455" spans="1:2">
      <c r="A455" s="13" t="str">
        <f t="array" aca="1" ref="A455" ca="1">IFERROR(INDEX(Projektname,SMALL(IF(FREQUENCY(IF(Projektname&lt;&gt;"",MATCH(Projektname,Projektname,0)),ROW(Projektname)-ROW(Data!$A$4)+1),ROW(Projektname)-ROW(Data!$A$4)+1),ROWS(A$2:A455))),"")</f>
        <v/>
      </c>
      <c r="B455" s="13" t="str">
        <f t="array" aca="1" ref="B455" ca="1">IFERROR(INDEX(Projektname_ODW,MATCH(SMALL(COUNTIF(Projektname_ODW, "&lt;" &amp; Projektname_ODW),ROW(454:454)),COUNTIF(Projektname_ODW, "&lt;" &amp; Projektname_ODW),0)),"")</f>
        <v/>
      </c>
    </row>
    <row r="456" spans="1:2">
      <c r="A456" s="13" t="str">
        <f t="array" aca="1" ref="A456" ca="1">IFERROR(INDEX(Projektname,SMALL(IF(FREQUENCY(IF(Projektname&lt;&gt;"",MATCH(Projektname,Projektname,0)),ROW(Projektname)-ROW(Data!$A$4)+1),ROW(Projektname)-ROW(Data!$A$4)+1),ROWS(A$2:A456))),"")</f>
        <v/>
      </c>
      <c r="B456" s="13" t="str">
        <f t="array" aca="1" ref="B456" ca="1">IFERROR(INDEX(Projektname_ODW,MATCH(SMALL(COUNTIF(Projektname_ODW, "&lt;" &amp; Projektname_ODW),ROW(455:455)),COUNTIF(Projektname_ODW, "&lt;" &amp; Projektname_ODW),0)),"")</f>
        <v/>
      </c>
    </row>
    <row r="457" spans="1:2">
      <c r="A457" s="13" t="str">
        <f t="array" aca="1" ref="A457" ca="1">IFERROR(INDEX(Projektname,SMALL(IF(FREQUENCY(IF(Projektname&lt;&gt;"",MATCH(Projektname,Projektname,0)),ROW(Projektname)-ROW(Data!$A$4)+1),ROW(Projektname)-ROW(Data!$A$4)+1),ROWS(A$2:A457))),"")</f>
        <v/>
      </c>
      <c r="B457" s="13" t="str">
        <f t="array" aca="1" ref="B457" ca="1">IFERROR(INDEX(Projektname_ODW,MATCH(SMALL(COUNTIF(Projektname_ODW, "&lt;" &amp; Projektname_ODW),ROW(456:456)),COUNTIF(Projektname_ODW, "&lt;" &amp; Projektname_ODW),0)),"")</f>
        <v/>
      </c>
    </row>
    <row r="458" spans="1:2">
      <c r="A458" s="13" t="str">
        <f t="array" aca="1" ref="A458" ca="1">IFERROR(INDEX(Projektname,SMALL(IF(FREQUENCY(IF(Projektname&lt;&gt;"",MATCH(Projektname,Projektname,0)),ROW(Projektname)-ROW(Data!$A$4)+1),ROW(Projektname)-ROW(Data!$A$4)+1),ROWS(A$2:A458))),"")</f>
        <v/>
      </c>
      <c r="B458" s="13" t="str">
        <f t="array" aca="1" ref="B458" ca="1">IFERROR(INDEX(Projektname_ODW,MATCH(SMALL(COUNTIF(Projektname_ODW, "&lt;" &amp; Projektname_ODW),ROW(457:457)),COUNTIF(Projektname_ODW, "&lt;" &amp; Projektname_ODW),0)),"")</f>
        <v/>
      </c>
    </row>
    <row r="459" spans="1:2">
      <c r="A459" s="13" t="str">
        <f t="array" aca="1" ref="A459" ca="1">IFERROR(INDEX(Projektname,SMALL(IF(FREQUENCY(IF(Projektname&lt;&gt;"",MATCH(Projektname,Projektname,0)),ROW(Projektname)-ROW(Data!$A$4)+1),ROW(Projektname)-ROW(Data!$A$4)+1),ROWS(A$2:A459))),"")</f>
        <v/>
      </c>
      <c r="B459" s="13" t="str">
        <f t="array" aca="1" ref="B459" ca="1">IFERROR(INDEX(Projektname_ODW,MATCH(SMALL(COUNTIF(Projektname_ODW, "&lt;" &amp; Projektname_ODW),ROW(458:458)),COUNTIF(Projektname_ODW, "&lt;" &amp; Projektname_ODW),0)),"")</f>
        <v/>
      </c>
    </row>
    <row r="460" spans="1:2">
      <c r="A460" s="13" t="str">
        <f t="array" aca="1" ref="A460" ca="1">IFERROR(INDEX(Projektname,SMALL(IF(FREQUENCY(IF(Projektname&lt;&gt;"",MATCH(Projektname,Projektname,0)),ROW(Projektname)-ROW(Data!$A$4)+1),ROW(Projektname)-ROW(Data!$A$4)+1),ROWS(A$2:A460))),"")</f>
        <v/>
      </c>
      <c r="B460" s="13" t="str">
        <f t="array" aca="1" ref="B460" ca="1">IFERROR(INDEX(Projektname_ODW,MATCH(SMALL(COUNTIF(Projektname_ODW, "&lt;" &amp; Projektname_ODW),ROW(459:459)),COUNTIF(Projektname_ODW, "&lt;" &amp; Projektname_ODW),0)),"")</f>
        <v/>
      </c>
    </row>
    <row r="461" spans="1:2">
      <c r="A461" s="13" t="str">
        <f t="array" aca="1" ref="A461" ca="1">IFERROR(INDEX(Projektname,SMALL(IF(FREQUENCY(IF(Projektname&lt;&gt;"",MATCH(Projektname,Projektname,0)),ROW(Projektname)-ROW(Data!$A$4)+1),ROW(Projektname)-ROW(Data!$A$4)+1),ROWS(A$2:A461))),"")</f>
        <v/>
      </c>
      <c r="B461" s="13" t="str">
        <f t="array" aca="1" ref="B461" ca="1">IFERROR(INDEX(Projektname_ODW,MATCH(SMALL(COUNTIF(Projektname_ODW, "&lt;" &amp; Projektname_ODW),ROW(460:460)),COUNTIF(Projektname_ODW, "&lt;" &amp; Projektname_ODW),0)),"")</f>
        <v/>
      </c>
    </row>
    <row r="462" spans="1:2">
      <c r="A462" s="13" t="str">
        <f t="array" aca="1" ref="A462" ca="1">IFERROR(INDEX(Projektname,SMALL(IF(FREQUENCY(IF(Projektname&lt;&gt;"",MATCH(Projektname,Projektname,0)),ROW(Projektname)-ROW(Data!$A$4)+1),ROW(Projektname)-ROW(Data!$A$4)+1),ROWS(A$2:A462))),"")</f>
        <v/>
      </c>
      <c r="B462" s="13" t="str">
        <f t="array" aca="1" ref="B462" ca="1">IFERROR(INDEX(Projektname_ODW,MATCH(SMALL(COUNTIF(Projektname_ODW, "&lt;" &amp; Projektname_ODW),ROW(461:461)),COUNTIF(Projektname_ODW, "&lt;" &amp; Projektname_ODW),0)),"")</f>
        <v/>
      </c>
    </row>
    <row r="463" spans="1:2">
      <c r="A463" s="13" t="str">
        <f t="array" aca="1" ref="A463" ca="1">IFERROR(INDEX(Projektname,SMALL(IF(FREQUENCY(IF(Projektname&lt;&gt;"",MATCH(Projektname,Projektname,0)),ROW(Projektname)-ROW(Data!$A$4)+1),ROW(Projektname)-ROW(Data!$A$4)+1),ROWS(A$2:A463))),"")</f>
        <v/>
      </c>
      <c r="B463" s="13" t="str">
        <f t="array" aca="1" ref="B463" ca="1">IFERROR(INDEX(Projektname_ODW,MATCH(SMALL(COUNTIF(Projektname_ODW, "&lt;" &amp; Projektname_ODW),ROW(462:462)),COUNTIF(Projektname_ODW, "&lt;" &amp; Projektname_ODW),0)),"")</f>
        <v/>
      </c>
    </row>
    <row r="464" spans="1:2">
      <c r="A464" s="13" t="str">
        <f t="array" aca="1" ref="A464" ca="1">IFERROR(INDEX(Projektname,SMALL(IF(FREQUENCY(IF(Projektname&lt;&gt;"",MATCH(Projektname,Projektname,0)),ROW(Projektname)-ROW(Data!$A$4)+1),ROW(Projektname)-ROW(Data!$A$4)+1),ROWS(A$2:A464))),"")</f>
        <v/>
      </c>
      <c r="B464" s="13" t="str">
        <f t="array" aca="1" ref="B464" ca="1">IFERROR(INDEX(Projektname_ODW,MATCH(SMALL(COUNTIF(Projektname_ODW, "&lt;" &amp; Projektname_ODW),ROW(463:463)),COUNTIF(Projektname_ODW, "&lt;" &amp; Projektname_ODW),0)),"")</f>
        <v/>
      </c>
    </row>
    <row r="465" spans="1:2">
      <c r="A465" s="13" t="str">
        <f t="array" aca="1" ref="A465" ca="1">IFERROR(INDEX(Projektname,SMALL(IF(FREQUENCY(IF(Projektname&lt;&gt;"",MATCH(Projektname,Projektname,0)),ROW(Projektname)-ROW(Data!$A$4)+1),ROW(Projektname)-ROW(Data!$A$4)+1),ROWS(A$2:A465))),"")</f>
        <v/>
      </c>
      <c r="B465" s="13" t="str">
        <f t="array" aca="1" ref="B465" ca="1">IFERROR(INDEX(Projektname_ODW,MATCH(SMALL(COUNTIF(Projektname_ODW, "&lt;" &amp; Projektname_ODW),ROW(464:464)),COUNTIF(Projektname_ODW, "&lt;" &amp; Projektname_ODW),0)),"")</f>
        <v/>
      </c>
    </row>
    <row r="466" spans="1:2">
      <c r="A466" s="13" t="str">
        <f t="array" aca="1" ref="A466" ca="1">IFERROR(INDEX(Projektname,SMALL(IF(FREQUENCY(IF(Projektname&lt;&gt;"",MATCH(Projektname,Projektname,0)),ROW(Projektname)-ROW(Data!$A$4)+1),ROW(Projektname)-ROW(Data!$A$4)+1),ROWS(A$2:A466))),"")</f>
        <v/>
      </c>
      <c r="B466" s="13" t="str">
        <f t="array" aca="1" ref="B466" ca="1">IFERROR(INDEX(Projektname_ODW,MATCH(SMALL(COUNTIF(Projektname_ODW, "&lt;" &amp; Projektname_ODW),ROW(465:465)),COUNTIF(Projektname_ODW, "&lt;" &amp; Projektname_ODW),0)),"")</f>
        <v/>
      </c>
    </row>
    <row r="467" spans="1:2">
      <c r="A467" s="13" t="str">
        <f t="array" aca="1" ref="A467" ca="1">IFERROR(INDEX(Projektname,SMALL(IF(FREQUENCY(IF(Projektname&lt;&gt;"",MATCH(Projektname,Projektname,0)),ROW(Projektname)-ROW(Data!$A$4)+1),ROW(Projektname)-ROW(Data!$A$4)+1),ROWS(A$2:A467))),"")</f>
        <v/>
      </c>
      <c r="B467" s="13" t="str">
        <f t="array" aca="1" ref="B467" ca="1">IFERROR(INDEX(Projektname_ODW,MATCH(SMALL(COUNTIF(Projektname_ODW, "&lt;" &amp; Projektname_ODW),ROW(466:466)),COUNTIF(Projektname_ODW, "&lt;" &amp; Projektname_ODW),0)),"")</f>
        <v/>
      </c>
    </row>
    <row r="468" spans="1:2">
      <c r="A468" s="13" t="str">
        <f t="array" aca="1" ref="A468" ca="1">IFERROR(INDEX(Projektname,SMALL(IF(FREQUENCY(IF(Projektname&lt;&gt;"",MATCH(Projektname,Projektname,0)),ROW(Projektname)-ROW(Data!$A$4)+1),ROW(Projektname)-ROW(Data!$A$4)+1),ROWS(A$2:A468))),"")</f>
        <v/>
      </c>
      <c r="B468" s="13" t="str">
        <f t="array" aca="1" ref="B468" ca="1">IFERROR(INDEX(Projektname_ODW,MATCH(SMALL(COUNTIF(Projektname_ODW, "&lt;" &amp; Projektname_ODW),ROW(467:467)),COUNTIF(Projektname_ODW, "&lt;" &amp; Projektname_ODW),0)),"")</f>
        <v/>
      </c>
    </row>
    <row r="469" spans="1:2">
      <c r="A469" s="13" t="str">
        <f t="array" aca="1" ref="A469" ca="1">IFERROR(INDEX(Projektname,SMALL(IF(FREQUENCY(IF(Projektname&lt;&gt;"",MATCH(Projektname,Projektname,0)),ROW(Projektname)-ROW(Data!$A$4)+1),ROW(Projektname)-ROW(Data!$A$4)+1),ROWS(A$2:A469))),"")</f>
        <v/>
      </c>
      <c r="B469" s="13" t="str">
        <f t="array" aca="1" ref="B469" ca="1">IFERROR(INDEX(Projektname_ODW,MATCH(SMALL(COUNTIF(Projektname_ODW, "&lt;" &amp; Projektname_ODW),ROW(468:468)),COUNTIF(Projektname_ODW, "&lt;" &amp; Projektname_ODW),0)),"")</f>
        <v/>
      </c>
    </row>
    <row r="470" spans="1:2">
      <c r="A470" s="13" t="str">
        <f t="array" aca="1" ref="A470" ca="1">IFERROR(INDEX(Projektname,SMALL(IF(FREQUENCY(IF(Projektname&lt;&gt;"",MATCH(Projektname,Projektname,0)),ROW(Projektname)-ROW(Data!$A$4)+1),ROW(Projektname)-ROW(Data!$A$4)+1),ROWS(A$2:A470))),"")</f>
        <v/>
      </c>
      <c r="B470" s="13" t="str">
        <f t="array" aca="1" ref="B470" ca="1">IFERROR(INDEX(Projektname_ODW,MATCH(SMALL(COUNTIF(Projektname_ODW, "&lt;" &amp; Projektname_ODW),ROW(469:469)),COUNTIF(Projektname_ODW, "&lt;" &amp; Projektname_ODW),0)),"")</f>
        <v/>
      </c>
    </row>
    <row r="471" spans="1:2">
      <c r="A471" s="13" t="str">
        <f t="array" aca="1" ref="A471" ca="1">IFERROR(INDEX(Projektname,SMALL(IF(FREQUENCY(IF(Projektname&lt;&gt;"",MATCH(Projektname,Projektname,0)),ROW(Projektname)-ROW(Data!$A$4)+1),ROW(Projektname)-ROW(Data!$A$4)+1),ROWS(A$2:A471))),"")</f>
        <v/>
      </c>
      <c r="B471" s="13" t="str">
        <f t="array" aca="1" ref="B471" ca="1">IFERROR(INDEX(Projektname_ODW,MATCH(SMALL(COUNTIF(Projektname_ODW, "&lt;" &amp; Projektname_ODW),ROW(470:470)),COUNTIF(Projektname_ODW, "&lt;" &amp; Projektname_ODW),0)),"")</f>
        <v/>
      </c>
    </row>
    <row r="472" spans="1:2">
      <c r="A472" s="13" t="str">
        <f t="array" aca="1" ref="A472" ca="1">IFERROR(INDEX(Projektname,SMALL(IF(FREQUENCY(IF(Projektname&lt;&gt;"",MATCH(Projektname,Projektname,0)),ROW(Projektname)-ROW(Data!$A$4)+1),ROW(Projektname)-ROW(Data!$A$4)+1),ROWS(A$2:A472))),"")</f>
        <v/>
      </c>
      <c r="B472" s="13" t="str">
        <f t="array" aca="1" ref="B472" ca="1">IFERROR(INDEX(Projektname_ODW,MATCH(SMALL(COUNTIF(Projektname_ODW, "&lt;" &amp; Projektname_ODW),ROW(471:471)),COUNTIF(Projektname_ODW, "&lt;" &amp; Projektname_ODW),0)),"")</f>
        <v/>
      </c>
    </row>
    <row r="473" spans="1:2">
      <c r="A473" s="13" t="str">
        <f t="array" aca="1" ref="A473" ca="1">IFERROR(INDEX(Projektname,SMALL(IF(FREQUENCY(IF(Projektname&lt;&gt;"",MATCH(Projektname,Projektname,0)),ROW(Projektname)-ROW(Data!$A$4)+1),ROW(Projektname)-ROW(Data!$A$4)+1),ROWS(A$2:A473))),"")</f>
        <v/>
      </c>
      <c r="B473" s="13" t="str">
        <f t="array" aca="1" ref="B473" ca="1">IFERROR(INDEX(Projektname_ODW,MATCH(SMALL(COUNTIF(Projektname_ODW, "&lt;" &amp; Projektname_ODW),ROW(472:472)),COUNTIF(Projektname_ODW, "&lt;" &amp; Projektname_ODW),0)),"")</f>
        <v/>
      </c>
    </row>
    <row r="474" spans="1:2">
      <c r="A474" s="13" t="str">
        <f t="array" aca="1" ref="A474" ca="1">IFERROR(INDEX(Projektname,SMALL(IF(FREQUENCY(IF(Projektname&lt;&gt;"",MATCH(Projektname,Projektname,0)),ROW(Projektname)-ROW(Data!$A$4)+1),ROW(Projektname)-ROW(Data!$A$4)+1),ROWS(A$2:A474))),"")</f>
        <v/>
      </c>
      <c r="B474" s="13" t="str">
        <f t="array" aca="1" ref="B474" ca="1">IFERROR(INDEX(Projektname_ODW,MATCH(SMALL(COUNTIF(Projektname_ODW, "&lt;" &amp; Projektname_ODW),ROW(473:473)),COUNTIF(Projektname_ODW, "&lt;" &amp; Projektname_ODW),0)),"")</f>
        <v/>
      </c>
    </row>
    <row r="475" spans="1:2">
      <c r="A475" s="13" t="str">
        <f t="array" aca="1" ref="A475" ca="1">IFERROR(INDEX(Projektname,SMALL(IF(FREQUENCY(IF(Projektname&lt;&gt;"",MATCH(Projektname,Projektname,0)),ROW(Projektname)-ROW(Data!$A$4)+1),ROW(Projektname)-ROW(Data!$A$4)+1),ROWS(A$2:A475))),"")</f>
        <v/>
      </c>
      <c r="B475" s="13" t="str">
        <f t="array" aca="1" ref="B475" ca="1">IFERROR(INDEX(Projektname_ODW,MATCH(SMALL(COUNTIF(Projektname_ODW, "&lt;" &amp; Projektname_ODW),ROW(474:474)),COUNTIF(Projektname_ODW, "&lt;" &amp; Projektname_ODW),0)),"")</f>
        <v/>
      </c>
    </row>
    <row r="476" spans="1:2">
      <c r="A476" s="13" t="str">
        <f t="array" aca="1" ref="A476" ca="1">IFERROR(INDEX(Projektname,SMALL(IF(FREQUENCY(IF(Projektname&lt;&gt;"",MATCH(Projektname,Projektname,0)),ROW(Projektname)-ROW(Data!$A$4)+1),ROW(Projektname)-ROW(Data!$A$4)+1),ROWS(A$2:A476))),"")</f>
        <v/>
      </c>
      <c r="B476" s="13" t="str">
        <f t="array" aca="1" ref="B476" ca="1">IFERROR(INDEX(Projektname_ODW,MATCH(SMALL(COUNTIF(Projektname_ODW, "&lt;" &amp; Projektname_ODW),ROW(475:475)),COUNTIF(Projektname_ODW, "&lt;" &amp; Projektname_ODW),0)),"")</f>
        <v/>
      </c>
    </row>
    <row r="477" spans="1:2">
      <c r="A477" s="13" t="str">
        <f t="array" aca="1" ref="A477" ca="1">IFERROR(INDEX(Projektname,SMALL(IF(FREQUENCY(IF(Projektname&lt;&gt;"",MATCH(Projektname,Projektname,0)),ROW(Projektname)-ROW(Data!$A$4)+1),ROW(Projektname)-ROW(Data!$A$4)+1),ROWS(A$2:A477))),"")</f>
        <v/>
      </c>
      <c r="B477" s="13" t="str">
        <f t="array" aca="1" ref="B477" ca="1">IFERROR(INDEX(Projektname_ODW,MATCH(SMALL(COUNTIF(Projektname_ODW, "&lt;" &amp; Projektname_ODW),ROW(476:476)),COUNTIF(Projektname_ODW, "&lt;" &amp; Projektname_ODW),0)),"")</f>
        <v/>
      </c>
    </row>
    <row r="478" spans="1:2">
      <c r="A478" s="13" t="str">
        <f t="array" aca="1" ref="A478" ca="1">IFERROR(INDEX(Projektname,SMALL(IF(FREQUENCY(IF(Projektname&lt;&gt;"",MATCH(Projektname,Projektname,0)),ROW(Projektname)-ROW(Data!$A$4)+1),ROW(Projektname)-ROW(Data!$A$4)+1),ROWS(A$2:A478))),"")</f>
        <v/>
      </c>
      <c r="B478" s="13" t="str">
        <f t="array" aca="1" ref="B478" ca="1">IFERROR(INDEX(Projektname_ODW,MATCH(SMALL(COUNTIF(Projektname_ODW, "&lt;" &amp; Projektname_ODW),ROW(477:477)),COUNTIF(Projektname_ODW, "&lt;" &amp; Projektname_ODW),0)),"")</f>
        <v/>
      </c>
    </row>
    <row r="479" spans="1:2">
      <c r="A479" s="13" t="str">
        <f t="array" aca="1" ref="A479" ca="1">IFERROR(INDEX(Projektname,SMALL(IF(FREQUENCY(IF(Projektname&lt;&gt;"",MATCH(Projektname,Projektname,0)),ROW(Projektname)-ROW(Data!$A$4)+1),ROW(Projektname)-ROW(Data!$A$4)+1),ROWS(A$2:A479))),"")</f>
        <v/>
      </c>
      <c r="B479" s="13" t="str">
        <f t="array" aca="1" ref="B479" ca="1">IFERROR(INDEX(Projektname_ODW,MATCH(SMALL(COUNTIF(Projektname_ODW, "&lt;" &amp; Projektname_ODW),ROW(478:478)),COUNTIF(Projektname_ODW, "&lt;" &amp; Projektname_ODW),0)),"")</f>
        <v/>
      </c>
    </row>
    <row r="480" spans="1:2">
      <c r="A480" s="13" t="str">
        <f t="array" aca="1" ref="A480" ca="1">IFERROR(INDEX(Projektname,SMALL(IF(FREQUENCY(IF(Projektname&lt;&gt;"",MATCH(Projektname,Projektname,0)),ROW(Projektname)-ROW(Data!$A$4)+1),ROW(Projektname)-ROW(Data!$A$4)+1),ROWS(A$2:A480))),"")</f>
        <v/>
      </c>
      <c r="B480" s="13" t="str">
        <f t="array" aca="1" ref="B480" ca="1">IFERROR(INDEX(Projektname_ODW,MATCH(SMALL(COUNTIF(Projektname_ODW, "&lt;" &amp; Projektname_ODW),ROW(479:479)),COUNTIF(Projektname_ODW, "&lt;" &amp; Projektname_ODW),0)),"")</f>
        <v/>
      </c>
    </row>
    <row r="481" spans="1:2">
      <c r="A481" s="13" t="str">
        <f t="array" aca="1" ref="A481" ca="1">IFERROR(INDEX(Projektname,SMALL(IF(FREQUENCY(IF(Projektname&lt;&gt;"",MATCH(Projektname,Projektname,0)),ROW(Projektname)-ROW(Data!$A$4)+1),ROW(Projektname)-ROW(Data!$A$4)+1),ROWS(A$2:A481))),"")</f>
        <v/>
      </c>
      <c r="B481" s="13" t="str">
        <f t="array" aca="1" ref="B481" ca="1">IFERROR(INDEX(Projektname_ODW,MATCH(SMALL(COUNTIF(Projektname_ODW, "&lt;" &amp; Projektname_ODW),ROW(480:480)),COUNTIF(Projektname_ODW, "&lt;" &amp; Projektname_ODW),0)),"")</f>
        <v/>
      </c>
    </row>
    <row r="482" spans="1:2">
      <c r="A482" s="13" t="str">
        <f t="array" aca="1" ref="A482" ca="1">IFERROR(INDEX(Projektname,SMALL(IF(FREQUENCY(IF(Projektname&lt;&gt;"",MATCH(Projektname,Projektname,0)),ROW(Projektname)-ROW(Data!$A$4)+1),ROW(Projektname)-ROW(Data!$A$4)+1),ROWS(A$2:A482))),"")</f>
        <v/>
      </c>
      <c r="B482" s="13" t="str">
        <f t="array" aca="1" ref="B482" ca="1">IFERROR(INDEX(Projektname_ODW,MATCH(SMALL(COUNTIF(Projektname_ODW, "&lt;" &amp; Projektname_ODW),ROW(481:481)),COUNTIF(Projektname_ODW, "&lt;" &amp; Projektname_ODW),0)),"")</f>
        <v/>
      </c>
    </row>
    <row r="483" spans="1:2">
      <c r="A483" s="13" t="str">
        <f t="array" aca="1" ref="A483" ca="1">IFERROR(INDEX(Projektname,SMALL(IF(FREQUENCY(IF(Projektname&lt;&gt;"",MATCH(Projektname,Projektname,0)),ROW(Projektname)-ROW(Data!$A$4)+1),ROW(Projektname)-ROW(Data!$A$4)+1),ROWS(A$2:A483))),"")</f>
        <v/>
      </c>
      <c r="B483" s="13" t="str">
        <f t="array" aca="1" ref="B483" ca="1">IFERROR(INDEX(Projektname_ODW,MATCH(SMALL(COUNTIF(Projektname_ODW, "&lt;" &amp; Projektname_ODW),ROW(482:482)),COUNTIF(Projektname_ODW, "&lt;" &amp; Projektname_ODW),0)),"")</f>
        <v/>
      </c>
    </row>
    <row r="484" spans="1:2">
      <c r="A484" s="13" t="str">
        <f t="array" aca="1" ref="A484" ca="1">IFERROR(INDEX(Projektname,SMALL(IF(FREQUENCY(IF(Projektname&lt;&gt;"",MATCH(Projektname,Projektname,0)),ROW(Projektname)-ROW(Data!$A$4)+1),ROW(Projektname)-ROW(Data!$A$4)+1),ROWS(A$2:A484))),"")</f>
        <v/>
      </c>
      <c r="B484" s="13" t="str">
        <f t="array" aca="1" ref="B484" ca="1">IFERROR(INDEX(Projektname_ODW,MATCH(SMALL(COUNTIF(Projektname_ODW, "&lt;" &amp; Projektname_ODW),ROW(483:483)),COUNTIF(Projektname_ODW, "&lt;" &amp; Projektname_ODW),0)),"")</f>
        <v/>
      </c>
    </row>
    <row r="485" spans="1:2">
      <c r="A485" s="13" t="str">
        <f t="array" aca="1" ref="A485" ca="1">IFERROR(INDEX(Projektname,SMALL(IF(FREQUENCY(IF(Projektname&lt;&gt;"",MATCH(Projektname,Projektname,0)),ROW(Projektname)-ROW(Data!$A$4)+1),ROW(Projektname)-ROW(Data!$A$4)+1),ROWS(A$2:A485))),"")</f>
        <v/>
      </c>
      <c r="B485" s="13" t="str">
        <f t="array" aca="1" ref="B485" ca="1">IFERROR(INDEX(Projektname_ODW,MATCH(SMALL(COUNTIF(Projektname_ODW, "&lt;" &amp; Projektname_ODW),ROW(484:484)),COUNTIF(Projektname_ODW, "&lt;" &amp; Projektname_ODW),0)),"")</f>
        <v/>
      </c>
    </row>
    <row r="486" spans="1:2">
      <c r="A486" s="13" t="str">
        <f t="array" aca="1" ref="A486" ca="1">IFERROR(INDEX(Projektname,SMALL(IF(FREQUENCY(IF(Projektname&lt;&gt;"",MATCH(Projektname,Projektname,0)),ROW(Projektname)-ROW(Data!$A$4)+1),ROW(Projektname)-ROW(Data!$A$4)+1),ROWS(A$2:A486))),"")</f>
        <v/>
      </c>
      <c r="B486" s="13" t="str">
        <f t="array" aca="1" ref="B486" ca="1">IFERROR(INDEX(Projektname_ODW,MATCH(SMALL(COUNTIF(Projektname_ODW, "&lt;" &amp; Projektname_ODW),ROW(485:485)),COUNTIF(Projektname_ODW, "&lt;" &amp; Projektname_ODW),0)),"")</f>
        <v/>
      </c>
    </row>
    <row r="487" spans="1:2">
      <c r="A487" s="13" t="str">
        <f t="array" aca="1" ref="A487" ca="1">IFERROR(INDEX(Projektname,SMALL(IF(FREQUENCY(IF(Projektname&lt;&gt;"",MATCH(Projektname,Projektname,0)),ROW(Projektname)-ROW(Data!$A$4)+1),ROW(Projektname)-ROW(Data!$A$4)+1),ROWS(A$2:A487))),"")</f>
        <v/>
      </c>
      <c r="B487" s="13" t="str">
        <f t="array" aca="1" ref="B487" ca="1">IFERROR(INDEX(Projektname_ODW,MATCH(SMALL(COUNTIF(Projektname_ODW, "&lt;" &amp; Projektname_ODW),ROW(486:486)),COUNTIF(Projektname_ODW, "&lt;" &amp; Projektname_ODW),0)),"")</f>
        <v/>
      </c>
    </row>
    <row r="488" spans="1:2">
      <c r="A488" s="13" t="str">
        <f t="array" aca="1" ref="A488" ca="1">IFERROR(INDEX(Projektname,SMALL(IF(FREQUENCY(IF(Projektname&lt;&gt;"",MATCH(Projektname,Projektname,0)),ROW(Projektname)-ROW(Data!$A$4)+1),ROW(Projektname)-ROW(Data!$A$4)+1),ROWS(A$2:A488))),"")</f>
        <v/>
      </c>
      <c r="B488" s="13" t="str">
        <f t="array" aca="1" ref="B488" ca="1">IFERROR(INDEX(Projektname_ODW,MATCH(SMALL(COUNTIF(Projektname_ODW, "&lt;" &amp; Projektname_ODW),ROW(487:487)),COUNTIF(Projektname_ODW, "&lt;" &amp; Projektname_ODW),0)),"")</f>
        <v/>
      </c>
    </row>
    <row r="489" spans="1:2">
      <c r="A489" s="13" t="str">
        <f t="array" aca="1" ref="A489" ca="1">IFERROR(INDEX(Projektname,SMALL(IF(FREQUENCY(IF(Projektname&lt;&gt;"",MATCH(Projektname,Projektname,0)),ROW(Projektname)-ROW(Data!$A$4)+1),ROW(Projektname)-ROW(Data!$A$4)+1),ROWS(A$2:A489))),"")</f>
        <v/>
      </c>
      <c r="B489" s="13" t="str">
        <f t="array" aca="1" ref="B489" ca="1">IFERROR(INDEX(Projektname_ODW,MATCH(SMALL(COUNTIF(Projektname_ODW, "&lt;" &amp; Projektname_ODW),ROW(488:488)),COUNTIF(Projektname_ODW, "&lt;" &amp; Projektname_ODW),0)),"")</f>
        <v/>
      </c>
    </row>
    <row r="490" spans="1:2">
      <c r="A490" s="13" t="str">
        <f t="array" aca="1" ref="A490" ca="1">IFERROR(INDEX(Projektname,SMALL(IF(FREQUENCY(IF(Projektname&lt;&gt;"",MATCH(Projektname,Projektname,0)),ROW(Projektname)-ROW(Data!$A$4)+1),ROW(Projektname)-ROW(Data!$A$4)+1),ROWS(A$2:A490))),"")</f>
        <v/>
      </c>
      <c r="B490" s="13" t="str">
        <f t="array" aca="1" ref="B490" ca="1">IFERROR(INDEX(Projektname_ODW,MATCH(SMALL(COUNTIF(Projektname_ODW, "&lt;" &amp; Projektname_ODW),ROW(489:489)),COUNTIF(Projektname_ODW, "&lt;" &amp; Projektname_ODW),0)),"")</f>
        <v/>
      </c>
    </row>
    <row r="491" spans="1:2">
      <c r="A491" s="13" t="str">
        <f t="array" aca="1" ref="A491" ca="1">IFERROR(INDEX(Projektname,SMALL(IF(FREQUENCY(IF(Projektname&lt;&gt;"",MATCH(Projektname,Projektname,0)),ROW(Projektname)-ROW(Data!$A$4)+1),ROW(Projektname)-ROW(Data!$A$4)+1),ROWS(A$2:A491))),"")</f>
        <v/>
      </c>
      <c r="B491" s="13" t="str">
        <f t="array" aca="1" ref="B491" ca="1">IFERROR(INDEX(Projektname_ODW,MATCH(SMALL(COUNTIF(Projektname_ODW, "&lt;" &amp; Projektname_ODW),ROW(490:490)),COUNTIF(Projektname_ODW, "&lt;" &amp; Projektname_ODW),0)),"")</f>
        <v/>
      </c>
    </row>
    <row r="492" spans="1:2">
      <c r="A492" s="13" t="str">
        <f t="array" aca="1" ref="A492" ca="1">IFERROR(INDEX(Projektname,SMALL(IF(FREQUENCY(IF(Projektname&lt;&gt;"",MATCH(Projektname,Projektname,0)),ROW(Projektname)-ROW(Data!$A$4)+1),ROW(Projektname)-ROW(Data!$A$4)+1),ROWS(A$2:A492))),"")</f>
        <v/>
      </c>
      <c r="B492" s="13" t="str">
        <f t="array" aca="1" ref="B492" ca="1">IFERROR(INDEX(Projektname_ODW,MATCH(SMALL(COUNTIF(Projektname_ODW, "&lt;" &amp; Projektname_ODW),ROW(491:491)),COUNTIF(Projektname_ODW, "&lt;" &amp; Projektname_ODW),0)),"")</f>
        <v/>
      </c>
    </row>
    <row r="493" spans="1:2">
      <c r="A493" s="13" t="str">
        <f t="array" aca="1" ref="A493" ca="1">IFERROR(INDEX(Projektname,SMALL(IF(FREQUENCY(IF(Projektname&lt;&gt;"",MATCH(Projektname,Projektname,0)),ROW(Projektname)-ROW(Data!$A$4)+1),ROW(Projektname)-ROW(Data!$A$4)+1),ROWS(A$2:A493))),"")</f>
        <v/>
      </c>
      <c r="B493" s="13" t="str">
        <f t="array" aca="1" ref="B493" ca="1">IFERROR(INDEX(Projektname_ODW,MATCH(SMALL(COUNTIF(Projektname_ODW, "&lt;" &amp; Projektname_ODW),ROW(492:492)),COUNTIF(Projektname_ODW, "&lt;" &amp; Projektname_ODW),0)),"")</f>
        <v/>
      </c>
    </row>
    <row r="494" spans="1:2">
      <c r="A494" s="13" t="str">
        <f t="array" aca="1" ref="A494" ca="1">IFERROR(INDEX(Projektname,SMALL(IF(FREQUENCY(IF(Projektname&lt;&gt;"",MATCH(Projektname,Projektname,0)),ROW(Projektname)-ROW(Data!$A$4)+1),ROW(Projektname)-ROW(Data!$A$4)+1),ROWS(A$2:A494))),"")</f>
        <v/>
      </c>
      <c r="B494" s="13" t="str">
        <f t="array" aca="1" ref="B494" ca="1">IFERROR(INDEX(Projektname_ODW,MATCH(SMALL(COUNTIF(Projektname_ODW, "&lt;" &amp; Projektname_ODW),ROW(493:493)),COUNTIF(Projektname_ODW, "&lt;" &amp; Projektname_ODW),0)),"")</f>
        <v/>
      </c>
    </row>
    <row r="495" spans="1:2">
      <c r="A495" s="13" t="str">
        <f t="array" aca="1" ref="A495" ca="1">IFERROR(INDEX(Projektname,SMALL(IF(FREQUENCY(IF(Projektname&lt;&gt;"",MATCH(Projektname,Projektname,0)),ROW(Projektname)-ROW(Data!$A$4)+1),ROW(Projektname)-ROW(Data!$A$4)+1),ROWS(A$2:A495))),"")</f>
        <v/>
      </c>
      <c r="B495" s="13" t="str">
        <f t="array" aca="1" ref="B495" ca="1">IFERROR(INDEX(Projektname_ODW,MATCH(SMALL(COUNTIF(Projektname_ODW, "&lt;" &amp; Projektname_ODW),ROW(494:494)),COUNTIF(Projektname_ODW, "&lt;" &amp; Projektname_ODW),0)),"")</f>
        <v/>
      </c>
    </row>
    <row r="496" spans="1:2">
      <c r="A496" s="13" t="str">
        <f t="array" aca="1" ref="A496" ca="1">IFERROR(INDEX(Projektname,SMALL(IF(FREQUENCY(IF(Projektname&lt;&gt;"",MATCH(Projektname,Projektname,0)),ROW(Projektname)-ROW(Data!$A$4)+1),ROW(Projektname)-ROW(Data!$A$4)+1),ROWS(A$2:A496))),"")</f>
        <v/>
      </c>
      <c r="B496" s="13" t="str">
        <f t="array" aca="1" ref="B496" ca="1">IFERROR(INDEX(Projektname_ODW,MATCH(SMALL(COUNTIF(Projektname_ODW, "&lt;" &amp; Projektname_ODW),ROW(495:495)),COUNTIF(Projektname_ODW, "&lt;" &amp; Projektname_ODW),0)),"")</f>
        <v/>
      </c>
    </row>
    <row r="497" spans="1:2">
      <c r="A497" s="13" t="str">
        <f t="array" aca="1" ref="A497" ca="1">IFERROR(INDEX(Projektname,SMALL(IF(FREQUENCY(IF(Projektname&lt;&gt;"",MATCH(Projektname,Projektname,0)),ROW(Projektname)-ROW(Data!$A$4)+1),ROW(Projektname)-ROW(Data!$A$4)+1),ROWS(A$2:A497))),"")</f>
        <v/>
      </c>
      <c r="B497" s="13" t="str">
        <f t="array" aca="1" ref="B497" ca="1">IFERROR(INDEX(Projektname_ODW,MATCH(SMALL(COUNTIF(Projektname_ODW, "&lt;" &amp; Projektname_ODW),ROW(496:496)),COUNTIF(Projektname_ODW, "&lt;" &amp; Projektname_ODW),0)),"")</f>
        <v/>
      </c>
    </row>
    <row r="498" spans="1:2">
      <c r="A498" s="13" t="str">
        <f t="array" aca="1" ref="A498" ca="1">IFERROR(INDEX(Projektname,SMALL(IF(FREQUENCY(IF(Projektname&lt;&gt;"",MATCH(Projektname,Projektname,0)),ROW(Projektname)-ROW(Data!$A$4)+1),ROW(Projektname)-ROW(Data!$A$4)+1),ROWS(A$2:A498))),"")</f>
        <v/>
      </c>
      <c r="B498" s="13" t="str">
        <f t="array" aca="1" ref="B498" ca="1">IFERROR(INDEX(Projektname_ODW,MATCH(SMALL(COUNTIF(Projektname_ODW, "&lt;" &amp; Projektname_ODW),ROW(497:497)),COUNTIF(Projektname_ODW, "&lt;" &amp; Projektname_ODW),0)),"")</f>
        <v/>
      </c>
    </row>
    <row r="499" spans="1:2">
      <c r="A499" s="13" t="str">
        <f t="array" aca="1" ref="A499" ca="1">IFERROR(INDEX(Projektname,SMALL(IF(FREQUENCY(IF(Projektname&lt;&gt;"",MATCH(Projektname,Projektname,0)),ROW(Projektname)-ROW(Data!$A$4)+1),ROW(Projektname)-ROW(Data!$A$4)+1),ROWS(A$2:A499))),"")</f>
        <v/>
      </c>
      <c r="B499" s="13" t="str">
        <f t="array" aca="1" ref="B499" ca="1">IFERROR(INDEX(Projektname_ODW,MATCH(SMALL(COUNTIF(Projektname_ODW, "&lt;" &amp; Projektname_ODW),ROW(498:498)),COUNTIF(Projektname_ODW, "&lt;" &amp; Projektname_ODW),0)),"")</f>
        <v/>
      </c>
    </row>
    <row r="500" spans="1:2">
      <c r="A500" s="13" t="str">
        <f t="array" aca="1" ref="A500" ca="1">IFERROR(INDEX(Projektname,SMALL(IF(FREQUENCY(IF(Projektname&lt;&gt;"",MATCH(Projektname,Projektname,0)),ROW(Projektname)-ROW(Data!$A$4)+1),ROW(Projektname)-ROW(Data!$A$4)+1),ROWS(A$2:A500))),"")</f>
        <v/>
      </c>
      <c r="B500" s="13" t="str">
        <f t="array" aca="1" ref="B500" ca="1">IFERROR(INDEX(Projektname_ODW,MATCH(SMALL(COUNTIF(Projektname_ODW, "&lt;" &amp; Projektname_ODW),ROW(499:499)),COUNTIF(Projektname_ODW, "&lt;" &amp; Projektname_ODW),0)),"")</f>
        <v/>
      </c>
    </row>
    <row r="501" spans="1:2">
      <c r="A501" s="13" t="str">
        <f t="array" aca="1" ref="A501" ca="1">IFERROR(INDEX(Projektname,SMALL(IF(FREQUENCY(IF(Projektname&lt;&gt;"",MATCH(Projektname,Projektname,0)),ROW(Projektname)-ROW(Data!$A$4)+1),ROW(Projektname)-ROW(Data!$A$4)+1),ROWS(A$2:A501))),"")</f>
        <v/>
      </c>
      <c r="B501" s="13" t="str">
        <f t="array" aca="1" ref="B501" ca="1">IFERROR(INDEX(Projektname_ODW,MATCH(SMALL(COUNTIF(Projektname_ODW, "&lt;" &amp; Projektname_ODW),ROW(500:500)),COUNTIF(Projektname_ODW, "&lt;" &amp; Projektname_ODW),0)),"")</f>
        <v/>
      </c>
    </row>
    <row r="502" spans="1:2">
      <c r="A502" s="13" t="str">
        <f t="array" aca="1" ref="A502" ca="1">IFERROR(INDEX(Projektname,SMALL(IF(FREQUENCY(IF(Projektname&lt;&gt;"",MATCH(Projektname,Projektname,0)),ROW(Projektname)-ROW(Data!$A$4)+1),ROW(Projektname)-ROW(Data!$A$4)+1),ROWS(A$2:A502))),"")</f>
        <v/>
      </c>
      <c r="B502" s="13" t="str">
        <f t="array" aca="1" ref="B502" ca="1">IFERROR(INDEX(Projektname_ODW,MATCH(SMALL(COUNTIF(Projektname_ODW, "&lt;" &amp; Projektname_ODW),ROW(501:501)),COUNTIF(Projektname_ODW, "&lt;" &amp; Projektname_ODW),0)),"")</f>
        <v/>
      </c>
    </row>
    <row r="503" spans="1:2">
      <c r="A503" s="13" t="str">
        <f t="array" aca="1" ref="A503" ca="1">IFERROR(INDEX(Projektname,SMALL(IF(FREQUENCY(IF(Projektname&lt;&gt;"",MATCH(Projektname,Projektname,0)),ROW(Projektname)-ROW(Data!$A$4)+1),ROW(Projektname)-ROW(Data!$A$4)+1),ROWS(A$2:A503))),"")</f>
        <v/>
      </c>
      <c r="B503" s="13" t="str">
        <f t="array" aca="1" ref="B503" ca="1">IFERROR(INDEX(Projektname_ODW,MATCH(SMALL(COUNTIF(Projektname_ODW, "&lt;" &amp; Projektname_ODW),ROW(502:502)),COUNTIF(Projektname_ODW, "&lt;" &amp; Projektname_ODW),0)),"")</f>
        <v/>
      </c>
    </row>
    <row r="504" spans="1:2">
      <c r="A504" s="13" t="str">
        <f t="array" aca="1" ref="A504" ca="1">IFERROR(INDEX(Projektname,SMALL(IF(FREQUENCY(IF(Projektname&lt;&gt;"",MATCH(Projektname,Projektname,0)),ROW(Projektname)-ROW(Data!$A$4)+1),ROW(Projektname)-ROW(Data!$A$4)+1),ROWS(A$2:A504))),"")</f>
        <v/>
      </c>
      <c r="B504" s="13" t="str">
        <f t="array" aca="1" ref="B504" ca="1">IFERROR(INDEX(Projektname_ODW,MATCH(SMALL(COUNTIF(Projektname_ODW, "&lt;" &amp; Projektname_ODW),ROW(503:503)),COUNTIF(Projektname_ODW, "&lt;" &amp; Projektname_ODW),0)),"")</f>
        <v/>
      </c>
    </row>
    <row r="505" spans="1:2">
      <c r="A505" s="13" t="str">
        <f t="array" aca="1" ref="A505" ca="1">IFERROR(INDEX(Projektname,SMALL(IF(FREQUENCY(IF(Projektname&lt;&gt;"",MATCH(Projektname,Projektname,0)),ROW(Projektname)-ROW(Data!$A$4)+1),ROW(Projektname)-ROW(Data!$A$4)+1),ROWS(A$2:A505))),"")</f>
        <v/>
      </c>
      <c r="B505" s="13" t="str">
        <f t="array" aca="1" ref="B505" ca="1">IFERROR(INDEX(Projektname_ODW,MATCH(SMALL(COUNTIF(Projektname_ODW, "&lt;" &amp; Projektname_ODW),ROW(504:504)),COUNTIF(Projektname_ODW, "&lt;" &amp; Projektname_ODW),0)),"")</f>
        <v/>
      </c>
    </row>
    <row r="506" spans="1:2">
      <c r="A506" s="13" t="str">
        <f t="array" aca="1" ref="A506" ca="1">IFERROR(INDEX(Projektname,SMALL(IF(FREQUENCY(IF(Projektname&lt;&gt;"",MATCH(Projektname,Projektname,0)),ROW(Projektname)-ROW(Data!$A$4)+1),ROW(Projektname)-ROW(Data!$A$4)+1),ROWS(A$2:A506))),"")</f>
        <v/>
      </c>
      <c r="B506" s="13" t="str">
        <f t="array" aca="1" ref="B506" ca="1">IFERROR(INDEX(Projektname_ODW,MATCH(SMALL(COUNTIF(Projektname_ODW, "&lt;" &amp; Projektname_ODW),ROW(505:505)),COUNTIF(Projektname_ODW, "&lt;" &amp; Projektname_ODW),0)),"")</f>
        <v/>
      </c>
    </row>
    <row r="507" spans="1:2">
      <c r="A507" s="13" t="str">
        <f t="array" aca="1" ref="A507" ca="1">IFERROR(INDEX(Projektname,SMALL(IF(FREQUENCY(IF(Projektname&lt;&gt;"",MATCH(Projektname,Projektname,0)),ROW(Projektname)-ROW(Data!$A$4)+1),ROW(Projektname)-ROW(Data!$A$4)+1),ROWS(A$2:A507))),"")</f>
        <v/>
      </c>
      <c r="B507" s="13" t="str">
        <f t="array" aca="1" ref="B507" ca="1">IFERROR(INDEX(Projektname_ODW,MATCH(SMALL(COUNTIF(Projektname_ODW, "&lt;" &amp; Projektname_ODW),ROW(506:506)),COUNTIF(Projektname_ODW, "&lt;" &amp; Projektname_ODW),0)),"")</f>
        <v/>
      </c>
    </row>
    <row r="508" spans="1:2">
      <c r="A508" s="13" t="str">
        <f t="array" aca="1" ref="A508" ca="1">IFERROR(INDEX(Projektname,SMALL(IF(FREQUENCY(IF(Projektname&lt;&gt;"",MATCH(Projektname,Projektname,0)),ROW(Projektname)-ROW(Data!$A$4)+1),ROW(Projektname)-ROW(Data!$A$4)+1),ROWS(A$2:A508))),"")</f>
        <v/>
      </c>
      <c r="B508" s="13" t="str">
        <f t="array" aca="1" ref="B508" ca="1">IFERROR(INDEX(Projektname_ODW,MATCH(SMALL(COUNTIF(Projektname_ODW, "&lt;" &amp; Projektname_ODW),ROW(507:507)),COUNTIF(Projektname_ODW, "&lt;" &amp; Projektname_ODW),0)),"")</f>
        <v/>
      </c>
    </row>
    <row r="509" spans="1:2">
      <c r="A509" s="13" t="str">
        <f t="array" aca="1" ref="A509" ca="1">IFERROR(INDEX(Projektname,SMALL(IF(FREQUENCY(IF(Projektname&lt;&gt;"",MATCH(Projektname,Projektname,0)),ROW(Projektname)-ROW(Data!$A$4)+1),ROW(Projektname)-ROW(Data!$A$4)+1),ROWS(A$2:A509))),"")</f>
        <v/>
      </c>
      <c r="B509" s="13" t="str">
        <f t="array" aca="1" ref="B509" ca="1">IFERROR(INDEX(Projektname_ODW,MATCH(SMALL(COUNTIF(Projektname_ODW, "&lt;" &amp; Projektname_ODW),ROW(508:508)),COUNTIF(Projektname_ODW, "&lt;" &amp; Projektname_ODW),0)),"")</f>
        <v/>
      </c>
    </row>
    <row r="510" spans="1:2">
      <c r="A510" s="13" t="str">
        <f t="array" aca="1" ref="A510" ca="1">IFERROR(INDEX(Projektname,SMALL(IF(FREQUENCY(IF(Projektname&lt;&gt;"",MATCH(Projektname,Projektname,0)),ROW(Projektname)-ROW(Data!$A$4)+1),ROW(Projektname)-ROW(Data!$A$4)+1),ROWS(A$2:A510))),"")</f>
        <v/>
      </c>
      <c r="B510" s="13" t="str">
        <f t="array" aca="1" ref="B510" ca="1">IFERROR(INDEX(Projektname_ODW,MATCH(SMALL(COUNTIF(Projektname_ODW, "&lt;" &amp; Projektname_ODW),ROW(509:509)),COUNTIF(Projektname_ODW, "&lt;" &amp; Projektname_ODW),0)),"")</f>
        <v/>
      </c>
    </row>
    <row r="511" spans="1:2">
      <c r="A511" s="13" t="str">
        <f t="array" aca="1" ref="A511" ca="1">IFERROR(INDEX(Projektname,SMALL(IF(FREQUENCY(IF(Projektname&lt;&gt;"",MATCH(Projektname,Projektname,0)),ROW(Projektname)-ROW(Data!$A$4)+1),ROW(Projektname)-ROW(Data!$A$4)+1),ROWS(A$2:A511))),"")</f>
        <v/>
      </c>
      <c r="B511" s="13" t="str">
        <f t="array" aca="1" ref="B511" ca="1">IFERROR(INDEX(Projektname_ODW,MATCH(SMALL(COUNTIF(Projektname_ODW, "&lt;" &amp; Projektname_ODW),ROW(510:510)),COUNTIF(Projektname_ODW, "&lt;" &amp; Projektname_ODW),0)),"")</f>
        <v/>
      </c>
    </row>
    <row r="512" spans="1:2">
      <c r="A512" s="13" t="str">
        <f t="array" aca="1" ref="A512" ca="1">IFERROR(INDEX(Projektname,SMALL(IF(FREQUENCY(IF(Projektname&lt;&gt;"",MATCH(Projektname,Projektname,0)),ROW(Projektname)-ROW(Data!$A$4)+1),ROW(Projektname)-ROW(Data!$A$4)+1),ROWS(A$2:A512))),"")</f>
        <v/>
      </c>
      <c r="B512" s="13" t="str">
        <f t="array" aca="1" ref="B512" ca="1">IFERROR(INDEX(Projektname_ODW,MATCH(SMALL(COUNTIF(Projektname_ODW, "&lt;" &amp; Projektname_ODW),ROW(511:511)),COUNTIF(Projektname_ODW, "&lt;" &amp; Projektname_ODW),0)),"")</f>
        <v/>
      </c>
    </row>
    <row r="513" spans="1:2">
      <c r="A513" s="13" t="str">
        <f t="array" aca="1" ref="A513" ca="1">IFERROR(INDEX(Projektname,SMALL(IF(FREQUENCY(IF(Projektname&lt;&gt;"",MATCH(Projektname,Projektname,0)),ROW(Projektname)-ROW(Data!$A$4)+1),ROW(Projektname)-ROW(Data!$A$4)+1),ROWS(A$2:A513))),"")</f>
        <v/>
      </c>
      <c r="B513" s="13" t="str">
        <f t="array" aca="1" ref="B513" ca="1">IFERROR(INDEX(Projektname_ODW,MATCH(SMALL(COUNTIF(Projektname_ODW, "&lt;" &amp; Projektname_ODW),ROW(512:512)),COUNTIF(Projektname_ODW, "&lt;" &amp; Projektname_ODW),0)),"")</f>
        <v/>
      </c>
    </row>
    <row r="514" spans="1:2">
      <c r="A514" s="13" t="str">
        <f t="array" aca="1" ref="A514" ca="1">IFERROR(INDEX(Projektname,SMALL(IF(FREQUENCY(IF(Projektname&lt;&gt;"",MATCH(Projektname,Projektname,0)),ROW(Projektname)-ROW(Data!$A$4)+1),ROW(Projektname)-ROW(Data!$A$4)+1),ROWS(A$2:A514))),"")</f>
        <v/>
      </c>
      <c r="B514" s="13" t="str">
        <f t="array" aca="1" ref="B514" ca="1">IFERROR(INDEX(Projektname_ODW,MATCH(SMALL(COUNTIF(Projektname_ODW, "&lt;" &amp; Projektname_ODW),ROW(513:513)),COUNTIF(Projektname_ODW, "&lt;" &amp; Projektname_ODW),0)),"")</f>
        <v/>
      </c>
    </row>
    <row r="515" spans="1:2">
      <c r="A515" s="13" t="str">
        <f t="array" aca="1" ref="A515" ca="1">IFERROR(INDEX(Projektname,SMALL(IF(FREQUENCY(IF(Projektname&lt;&gt;"",MATCH(Projektname,Projektname,0)),ROW(Projektname)-ROW(Data!$A$4)+1),ROW(Projektname)-ROW(Data!$A$4)+1),ROWS(A$2:A515))),"")</f>
        <v/>
      </c>
      <c r="B515" s="13" t="str">
        <f t="array" aca="1" ref="B515" ca="1">IFERROR(INDEX(Projektname_ODW,MATCH(SMALL(COUNTIF(Projektname_ODW, "&lt;" &amp; Projektname_ODW),ROW(514:514)),COUNTIF(Projektname_ODW, "&lt;" &amp; Projektname_ODW),0)),"")</f>
        <v/>
      </c>
    </row>
    <row r="516" spans="1:2">
      <c r="A516" s="13" t="str">
        <f t="array" aca="1" ref="A516" ca="1">IFERROR(INDEX(Projektname,SMALL(IF(FREQUENCY(IF(Projektname&lt;&gt;"",MATCH(Projektname,Projektname,0)),ROW(Projektname)-ROW(Data!$A$4)+1),ROW(Projektname)-ROW(Data!$A$4)+1),ROWS(A$2:A516))),"")</f>
        <v/>
      </c>
      <c r="B516" s="13" t="str">
        <f t="array" aca="1" ref="B516" ca="1">IFERROR(INDEX(Projektname_ODW,MATCH(SMALL(COUNTIF(Projektname_ODW, "&lt;" &amp; Projektname_ODW),ROW(515:515)),COUNTIF(Projektname_ODW, "&lt;" &amp; Projektname_ODW),0)),"")</f>
        <v/>
      </c>
    </row>
    <row r="517" spans="1:2">
      <c r="A517" s="13" t="str">
        <f t="array" aca="1" ref="A517" ca="1">IFERROR(INDEX(Projektname,SMALL(IF(FREQUENCY(IF(Projektname&lt;&gt;"",MATCH(Projektname,Projektname,0)),ROW(Projektname)-ROW(Data!$A$4)+1),ROW(Projektname)-ROW(Data!$A$4)+1),ROWS(A$2:A517))),"")</f>
        <v/>
      </c>
      <c r="B517" s="13" t="str">
        <f t="array" aca="1" ref="B517" ca="1">IFERROR(INDEX(Projektname_ODW,MATCH(SMALL(COUNTIF(Projektname_ODW, "&lt;" &amp; Projektname_ODW),ROW(516:516)),COUNTIF(Projektname_ODW, "&lt;" &amp; Projektname_ODW),0)),"")</f>
        <v/>
      </c>
    </row>
    <row r="518" spans="1:2">
      <c r="A518" s="13" t="str">
        <f t="array" aca="1" ref="A518" ca="1">IFERROR(INDEX(Projektname,SMALL(IF(FREQUENCY(IF(Projektname&lt;&gt;"",MATCH(Projektname,Projektname,0)),ROW(Projektname)-ROW(Data!$A$4)+1),ROW(Projektname)-ROW(Data!$A$4)+1),ROWS(A$2:A518))),"")</f>
        <v/>
      </c>
      <c r="B518" s="13" t="str">
        <f t="array" aca="1" ref="B518" ca="1">IFERROR(INDEX(Projektname_ODW,MATCH(SMALL(COUNTIF(Projektname_ODW, "&lt;" &amp; Projektname_ODW),ROW(517:517)),COUNTIF(Projektname_ODW, "&lt;" &amp; Projektname_ODW),0)),"")</f>
        <v/>
      </c>
    </row>
    <row r="519" spans="1:2">
      <c r="A519" s="13" t="str">
        <f t="array" aca="1" ref="A519" ca="1">IFERROR(INDEX(Projektname,SMALL(IF(FREQUENCY(IF(Projektname&lt;&gt;"",MATCH(Projektname,Projektname,0)),ROW(Projektname)-ROW(Data!$A$4)+1),ROW(Projektname)-ROW(Data!$A$4)+1),ROWS(A$2:A519))),"")</f>
        <v/>
      </c>
      <c r="B519" s="13" t="str">
        <f t="array" aca="1" ref="B519" ca="1">IFERROR(INDEX(Projektname_ODW,MATCH(SMALL(COUNTIF(Projektname_ODW, "&lt;" &amp; Projektname_ODW),ROW(518:518)),COUNTIF(Projektname_ODW, "&lt;" &amp; Projektname_ODW),0)),"")</f>
        <v/>
      </c>
    </row>
    <row r="520" spans="1:2">
      <c r="A520" s="13" t="str">
        <f t="array" aca="1" ref="A520" ca="1">IFERROR(INDEX(Projektname,SMALL(IF(FREQUENCY(IF(Projektname&lt;&gt;"",MATCH(Projektname,Projektname,0)),ROW(Projektname)-ROW(Data!$A$4)+1),ROW(Projektname)-ROW(Data!$A$4)+1),ROWS(A$2:A520))),"")</f>
        <v/>
      </c>
      <c r="B520" s="13" t="str">
        <f t="array" aca="1" ref="B520" ca="1">IFERROR(INDEX(Projektname_ODW,MATCH(SMALL(COUNTIF(Projektname_ODW, "&lt;" &amp; Projektname_ODW),ROW(519:519)),COUNTIF(Projektname_ODW, "&lt;" &amp; Projektname_ODW),0)),"")</f>
        <v/>
      </c>
    </row>
    <row r="521" spans="1:2">
      <c r="A521" s="13" t="str">
        <f t="array" aca="1" ref="A521" ca="1">IFERROR(INDEX(Projektname,SMALL(IF(FREQUENCY(IF(Projektname&lt;&gt;"",MATCH(Projektname,Projektname,0)),ROW(Projektname)-ROW(Data!$A$4)+1),ROW(Projektname)-ROW(Data!$A$4)+1),ROWS(A$2:A521))),"")</f>
        <v/>
      </c>
      <c r="B521" s="13" t="str">
        <f t="array" aca="1" ref="B521" ca="1">IFERROR(INDEX(Projektname_ODW,MATCH(SMALL(COUNTIF(Projektname_ODW, "&lt;" &amp; Projektname_ODW),ROW(520:520)),COUNTIF(Projektname_ODW, "&lt;" &amp; Projektname_ODW),0)),"")</f>
        <v/>
      </c>
    </row>
    <row r="522" spans="1:2">
      <c r="A522" s="13" t="str">
        <f t="array" aca="1" ref="A522" ca="1">IFERROR(INDEX(Projektname,SMALL(IF(FREQUENCY(IF(Projektname&lt;&gt;"",MATCH(Projektname,Projektname,0)),ROW(Projektname)-ROW(Data!$A$4)+1),ROW(Projektname)-ROW(Data!$A$4)+1),ROWS(A$2:A522))),"")</f>
        <v/>
      </c>
      <c r="B522" s="13" t="str">
        <f t="array" aca="1" ref="B522" ca="1">IFERROR(INDEX(Projektname_ODW,MATCH(SMALL(COUNTIF(Projektname_ODW, "&lt;" &amp; Projektname_ODW),ROW(521:521)),COUNTIF(Projektname_ODW, "&lt;" &amp; Projektname_ODW),0)),"")</f>
        <v/>
      </c>
    </row>
    <row r="523" spans="1:2">
      <c r="A523" s="13" t="str">
        <f t="array" aca="1" ref="A523" ca="1">IFERROR(INDEX(Projektname,SMALL(IF(FREQUENCY(IF(Projektname&lt;&gt;"",MATCH(Projektname,Projektname,0)),ROW(Projektname)-ROW(Data!$A$4)+1),ROW(Projektname)-ROW(Data!$A$4)+1),ROWS(A$2:A523))),"")</f>
        <v/>
      </c>
      <c r="B523" s="13" t="str">
        <f t="array" aca="1" ref="B523" ca="1">IFERROR(INDEX(Projektname_ODW,MATCH(SMALL(COUNTIF(Projektname_ODW, "&lt;" &amp; Projektname_ODW),ROW(522:522)),COUNTIF(Projektname_ODW, "&lt;" &amp; Projektname_ODW),0)),"")</f>
        <v/>
      </c>
    </row>
    <row r="524" spans="1:2">
      <c r="A524" s="13" t="str">
        <f t="array" aca="1" ref="A524" ca="1">IFERROR(INDEX(Projektname,SMALL(IF(FREQUENCY(IF(Projektname&lt;&gt;"",MATCH(Projektname,Projektname,0)),ROW(Projektname)-ROW(Data!$A$4)+1),ROW(Projektname)-ROW(Data!$A$4)+1),ROWS(A$2:A524))),"")</f>
        <v/>
      </c>
      <c r="B524" s="13" t="str">
        <f t="array" aca="1" ref="B524" ca="1">IFERROR(INDEX(Projektname_ODW,MATCH(SMALL(COUNTIF(Projektname_ODW, "&lt;" &amp; Projektname_ODW),ROW(523:523)),COUNTIF(Projektname_ODW, "&lt;" &amp; Projektname_ODW),0)),"")</f>
        <v/>
      </c>
    </row>
    <row r="525" spans="1:2">
      <c r="A525" s="13" t="str">
        <f t="array" aca="1" ref="A525" ca="1">IFERROR(INDEX(Projektname,SMALL(IF(FREQUENCY(IF(Projektname&lt;&gt;"",MATCH(Projektname,Projektname,0)),ROW(Projektname)-ROW(Data!$A$4)+1),ROW(Projektname)-ROW(Data!$A$4)+1),ROWS(A$2:A525))),"")</f>
        <v/>
      </c>
      <c r="B525" s="13" t="str">
        <f t="array" aca="1" ref="B525" ca="1">IFERROR(INDEX(Projektname_ODW,MATCH(SMALL(COUNTIF(Projektname_ODW, "&lt;" &amp; Projektname_ODW),ROW(524:524)),COUNTIF(Projektname_ODW, "&lt;" &amp; Projektname_ODW),0)),"")</f>
        <v/>
      </c>
    </row>
    <row r="526" spans="1:2">
      <c r="A526" s="13" t="str">
        <f t="array" aca="1" ref="A526" ca="1">IFERROR(INDEX(Projektname,SMALL(IF(FREQUENCY(IF(Projektname&lt;&gt;"",MATCH(Projektname,Projektname,0)),ROW(Projektname)-ROW(Data!$A$4)+1),ROW(Projektname)-ROW(Data!$A$4)+1),ROWS(A$2:A526))),"")</f>
        <v/>
      </c>
      <c r="B526" s="13" t="str">
        <f t="array" aca="1" ref="B526" ca="1">IFERROR(INDEX(Projektname_ODW,MATCH(SMALL(COUNTIF(Projektname_ODW, "&lt;" &amp; Projektname_ODW),ROW(525:525)),COUNTIF(Projektname_ODW, "&lt;" &amp; Projektname_ODW),0)),"")</f>
        <v/>
      </c>
    </row>
    <row r="527" spans="1:2">
      <c r="A527" s="13" t="str">
        <f t="array" aca="1" ref="A527" ca="1">IFERROR(INDEX(Projektname,SMALL(IF(FREQUENCY(IF(Projektname&lt;&gt;"",MATCH(Projektname,Projektname,0)),ROW(Projektname)-ROW(Data!$A$4)+1),ROW(Projektname)-ROW(Data!$A$4)+1),ROWS(A$2:A527))),"")</f>
        <v/>
      </c>
      <c r="B527" s="13" t="str">
        <f t="array" aca="1" ref="B527" ca="1">IFERROR(INDEX(Projektname_ODW,MATCH(SMALL(COUNTIF(Projektname_ODW, "&lt;" &amp; Projektname_ODW),ROW(526:526)),COUNTIF(Projektname_ODW, "&lt;" &amp; Projektname_ODW),0)),"")</f>
        <v/>
      </c>
    </row>
    <row r="528" spans="1:2">
      <c r="A528" s="13" t="str">
        <f t="array" aca="1" ref="A528" ca="1">IFERROR(INDEX(Projektname,SMALL(IF(FREQUENCY(IF(Projektname&lt;&gt;"",MATCH(Projektname,Projektname,0)),ROW(Projektname)-ROW(Data!$A$4)+1),ROW(Projektname)-ROW(Data!$A$4)+1),ROWS(A$2:A528))),"")</f>
        <v/>
      </c>
      <c r="B528" s="13" t="str">
        <f t="array" aca="1" ref="B528" ca="1">IFERROR(INDEX(Projektname_ODW,MATCH(SMALL(COUNTIF(Projektname_ODW, "&lt;" &amp; Projektname_ODW),ROW(527:527)),COUNTIF(Projektname_ODW, "&lt;" &amp; Projektname_ODW),0)),"")</f>
        <v/>
      </c>
    </row>
    <row r="529" spans="1:2">
      <c r="A529" s="13" t="str">
        <f t="array" aca="1" ref="A529" ca="1">IFERROR(INDEX(Projektname,SMALL(IF(FREQUENCY(IF(Projektname&lt;&gt;"",MATCH(Projektname,Projektname,0)),ROW(Projektname)-ROW(Data!$A$4)+1),ROW(Projektname)-ROW(Data!$A$4)+1),ROWS(A$2:A529))),"")</f>
        <v/>
      </c>
      <c r="B529" s="13" t="str">
        <f t="array" aca="1" ref="B529" ca="1">IFERROR(INDEX(Projektname_ODW,MATCH(SMALL(COUNTIF(Projektname_ODW, "&lt;" &amp; Projektname_ODW),ROW(528:528)),COUNTIF(Projektname_ODW, "&lt;" &amp; Projektname_ODW),0)),"")</f>
        <v/>
      </c>
    </row>
    <row r="530" spans="1:2">
      <c r="A530" s="13" t="str">
        <f t="array" aca="1" ref="A530" ca="1">IFERROR(INDEX(Projektname,SMALL(IF(FREQUENCY(IF(Projektname&lt;&gt;"",MATCH(Projektname,Projektname,0)),ROW(Projektname)-ROW(Data!$A$4)+1),ROW(Projektname)-ROW(Data!$A$4)+1),ROWS(A$2:A530))),"")</f>
        <v/>
      </c>
      <c r="B530" s="13" t="str">
        <f t="array" aca="1" ref="B530" ca="1">IFERROR(INDEX(Projektname_ODW,MATCH(SMALL(COUNTIF(Projektname_ODW, "&lt;" &amp; Projektname_ODW),ROW(529:529)),COUNTIF(Projektname_ODW, "&lt;" &amp; Projektname_ODW),0)),"")</f>
        <v/>
      </c>
    </row>
    <row r="531" spans="1:2">
      <c r="A531" s="13" t="str">
        <f t="array" aca="1" ref="A531" ca="1">IFERROR(INDEX(Projektname,SMALL(IF(FREQUENCY(IF(Projektname&lt;&gt;"",MATCH(Projektname,Projektname,0)),ROW(Projektname)-ROW(Data!$A$4)+1),ROW(Projektname)-ROW(Data!$A$4)+1),ROWS(A$2:A531))),"")</f>
        <v/>
      </c>
      <c r="B531" s="13" t="str">
        <f t="array" aca="1" ref="B531" ca="1">IFERROR(INDEX(Projektname_ODW,MATCH(SMALL(COUNTIF(Projektname_ODW, "&lt;" &amp; Projektname_ODW),ROW(530:530)),COUNTIF(Projektname_ODW, "&lt;" &amp; Projektname_ODW),0)),"")</f>
        <v/>
      </c>
    </row>
    <row r="532" spans="1:2">
      <c r="A532" s="13" t="str">
        <f t="array" aca="1" ref="A532" ca="1">IFERROR(INDEX(Projektname,SMALL(IF(FREQUENCY(IF(Projektname&lt;&gt;"",MATCH(Projektname,Projektname,0)),ROW(Projektname)-ROW(Data!$A$4)+1),ROW(Projektname)-ROW(Data!$A$4)+1),ROWS(A$2:A532))),"")</f>
        <v/>
      </c>
      <c r="B532" s="13" t="str">
        <f t="array" aca="1" ref="B532" ca="1">IFERROR(INDEX(Projektname_ODW,MATCH(SMALL(COUNTIF(Projektname_ODW, "&lt;" &amp; Projektname_ODW),ROW(531:531)),COUNTIF(Projektname_ODW, "&lt;" &amp; Projektname_ODW),0)),"")</f>
        <v/>
      </c>
    </row>
    <row r="533" spans="1:2">
      <c r="A533" s="13" t="str">
        <f t="array" aca="1" ref="A533" ca="1">IFERROR(INDEX(Projektname,SMALL(IF(FREQUENCY(IF(Projektname&lt;&gt;"",MATCH(Projektname,Projektname,0)),ROW(Projektname)-ROW(Data!$A$4)+1),ROW(Projektname)-ROW(Data!$A$4)+1),ROWS(A$2:A533))),"")</f>
        <v/>
      </c>
      <c r="B533" s="13" t="str">
        <f t="array" aca="1" ref="B533" ca="1">IFERROR(INDEX(Projektname_ODW,MATCH(SMALL(COUNTIF(Projektname_ODW, "&lt;" &amp; Projektname_ODW),ROW(532:532)),COUNTIF(Projektname_ODW, "&lt;" &amp; Projektname_ODW),0)),"")</f>
        <v/>
      </c>
    </row>
    <row r="534" spans="1:2">
      <c r="A534" s="13" t="str">
        <f t="array" aca="1" ref="A534" ca="1">IFERROR(INDEX(Projektname,SMALL(IF(FREQUENCY(IF(Projektname&lt;&gt;"",MATCH(Projektname,Projektname,0)),ROW(Projektname)-ROW(Data!$A$4)+1),ROW(Projektname)-ROW(Data!$A$4)+1),ROWS(A$2:A534))),"")</f>
        <v/>
      </c>
      <c r="B534" s="13" t="str">
        <f t="array" aca="1" ref="B534" ca="1">IFERROR(INDEX(Projektname_ODW,MATCH(SMALL(COUNTIF(Projektname_ODW, "&lt;" &amp; Projektname_ODW),ROW(533:533)),COUNTIF(Projektname_ODW, "&lt;" &amp; Projektname_ODW),0)),"")</f>
        <v/>
      </c>
    </row>
    <row r="535" spans="1:2">
      <c r="A535" s="13" t="str">
        <f t="array" aca="1" ref="A535" ca="1">IFERROR(INDEX(Projektname,SMALL(IF(FREQUENCY(IF(Projektname&lt;&gt;"",MATCH(Projektname,Projektname,0)),ROW(Projektname)-ROW(Data!$A$4)+1),ROW(Projektname)-ROW(Data!$A$4)+1),ROWS(A$2:A535))),"")</f>
        <v/>
      </c>
      <c r="B535" s="13" t="str">
        <f t="array" aca="1" ref="B535" ca="1">IFERROR(INDEX(Projektname_ODW,MATCH(SMALL(COUNTIF(Projektname_ODW, "&lt;" &amp; Projektname_ODW),ROW(534:534)),COUNTIF(Projektname_ODW, "&lt;" &amp; Projektname_ODW),0)),"")</f>
        <v/>
      </c>
    </row>
    <row r="536" spans="1:2">
      <c r="A536" s="13" t="str">
        <f t="array" aca="1" ref="A536" ca="1">IFERROR(INDEX(Projektname,SMALL(IF(FREQUENCY(IF(Projektname&lt;&gt;"",MATCH(Projektname,Projektname,0)),ROW(Projektname)-ROW(Data!$A$4)+1),ROW(Projektname)-ROW(Data!$A$4)+1),ROWS(A$2:A536))),"")</f>
        <v/>
      </c>
      <c r="B536" s="13" t="str">
        <f t="array" aca="1" ref="B536" ca="1">IFERROR(INDEX(Projektname_ODW,MATCH(SMALL(COUNTIF(Projektname_ODW, "&lt;" &amp; Projektname_ODW),ROW(535:535)),COUNTIF(Projektname_ODW, "&lt;" &amp; Projektname_ODW),0)),"")</f>
        <v/>
      </c>
    </row>
    <row r="537" spans="1:2">
      <c r="A537" s="13" t="str">
        <f t="array" aca="1" ref="A537" ca="1">IFERROR(INDEX(Projektname,SMALL(IF(FREQUENCY(IF(Projektname&lt;&gt;"",MATCH(Projektname,Projektname,0)),ROW(Projektname)-ROW(Data!$A$4)+1),ROW(Projektname)-ROW(Data!$A$4)+1),ROWS(A$2:A537))),"")</f>
        <v/>
      </c>
      <c r="B537" s="13" t="str">
        <f t="array" aca="1" ref="B537" ca="1">IFERROR(INDEX(Projektname_ODW,MATCH(SMALL(COUNTIF(Projektname_ODW, "&lt;" &amp; Projektname_ODW),ROW(536:536)),COUNTIF(Projektname_ODW, "&lt;" &amp; Projektname_ODW),0)),"")</f>
        <v/>
      </c>
    </row>
    <row r="538" spans="1:2">
      <c r="A538" s="13" t="str">
        <f t="array" aca="1" ref="A538" ca="1">IFERROR(INDEX(Projektname,SMALL(IF(FREQUENCY(IF(Projektname&lt;&gt;"",MATCH(Projektname,Projektname,0)),ROW(Projektname)-ROW(Data!$A$4)+1),ROW(Projektname)-ROW(Data!$A$4)+1),ROWS(A$2:A538))),"")</f>
        <v/>
      </c>
      <c r="B538" s="13" t="str">
        <f t="array" aca="1" ref="B538" ca="1">IFERROR(INDEX(Projektname_ODW,MATCH(SMALL(COUNTIF(Projektname_ODW, "&lt;" &amp; Projektname_ODW),ROW(537:537)),COUNTIF(Projektname_ODW, "&lt;" &amp; Projektname_ODW),0)),"")</f>
        <v/>
      </c>
    </row>
    <row r="539" spans="1:2">
      <c r="A539" s="13" t="str">
        <f t="array" aca="1" ref="A539" ca="1">IFERROR(INDEX(Projektname,SMALL(IF(FREQUENCY(IF(Projektname&lt;&gt;"",MATCH(Projektname,Projektname,0)),ROW(Projektname)-ROW(Data!$A$4)+1),ROW(Projektname)-ROW(Data!$A$4)+1),ROWS(A$2:A539))),"")</f>
        <v/>
      </c>
      <c r="B539" s="13" t="str">
        <f t="array" aca="1" ref="B539" ca="1">IFERROR(INDEX(Projektname_ODW,MATCH(SMALL(COUNTIF(Projektname_ODW, "&lt;" &amp; Projektname_ODW),ROW(538:538)),COUNTIF(Projektname_ODW, "&lt;" &amp; Projektname_ODW),0)),"")</f>
        <v/>
      </c>
    </row>
    <row r="540" spans="1:2">
      <c r="A540" s="13" t="str">
        <f t="array" aca="1" ref="A540" ca="1">IFERROR(INDEX(Projektname,SMALL(IF(FREQUENCY(IF(Projektname&lt;&gt;"",MATCH(Projektname,Projektname,0)),ROW(Projektname)-ROW(Data!$A$4)+1),ROW(Projektname)-ROW(Data!$A$4)+1),ROWS(A$2:A540))),"")</f>
        <v/>
      </c>
      <c r="B540" s="13" t="str">
        <f t="array" aca="1" ref="B540" ca="1">IFERROR(INDEX(Projektname_ODW,MATCH(SMALL(COUNTIF(Projektname_ODW, "&lt;" &amp; Projektname_ODW),ROW(539:539)),COUNTIF(Projektname_ODW, "&lt;" &amp; Projektname_ODW),0)),"")</f>
        <v/>
      </c>
    </row>
    <row r="541" spans="1:2">
      <c r="A541" s="13" t="str">
        <f t="array" aca="1" ref="A541" ca="1">IFERROR(INDEX(Projektname,SMALL(IF(FREQUENCY(IF(Projektname&lt;&gt;"",MATCH(Projektname,Projektname,0)),ROW(Projektname)-ROW(Data!$A$4)+1),ROW(Projektname)-ROW(Data!$A$4)+1),ROWS(A$2:A541))),"")</f>
        <v/>
      </c>
      <c r="B541" s="13" t="str">
        <f t="array" aca="1" ref="B541" ca="1">IFERROR(INDEX(Projektname_ODW,MATCH(SMALL(COUNTIF(Projektname_ODW, "&lt;" &amp; Projektname_ODW),ROW(540:540)),COUNTIF(Projektname_ODW, "&lt;" &amp; Projektname_ODW),0)),"")</f>
        <v/>
      </c>
    </row>
    <row r="542" spans="1:2">
      <c r="A542" s="13" t="str">
        <f t="array" aca="1" ref="A542" ca="1">IFERROR(INDEX(Projektname,SMALL(IF(FREQUENCY(IF(Projektname&lt;&gt;"",MATCH(Projektname,Projektname,0)),ROW(Projektname)-ROW(Data!$A$4)+1),ROW(Projektname)-ROW(Data!$A$4)+1),ROWS(A$2:A542))),"")</f>
        <v/>
      </c>
      <c r="B542" s="13" t="str">
        <f t="array" aca="1" ref="B542" ca="1">IFERROR(INDEX(Projektname_ODW,MATCH(SMALL(COUNTIF(Projektname_ODW, "&lt;" &amp; Projektname_ODW),ROW(541:541)),COUNTIF(Projektname_ODW, "&lt;" &amp; Projektname_ODW),0)),"")</f>
        <v/>
      </c>
    </row>
    <row r="543" spans="1:2">
      <c r="A543" s="13" t="str">
        <f t="array" aca="1" ref="A543" ca="1">IFERROR(INDEX(Projektname,SMALL(IF(FREQUENCY(IF(Projektname&lt;&gt;"",MATCH(Projektname,Projektname,0)),ROW(Projektname)-ROW(Data!$A$4)+1),ROW(Projektname)-ROW(Data!$A$4)+1),ROWS(A$2:A543))),"")</f>
        <v/>
      </c>
      <c r="B543" s="13" t="str">
        <f t="array" aca="1" ref="B543" ca="1">IFERROR(INDEX(Projektname_ODW,MATCH(SMALL(COUNTIF(Projektname_ODW, "&lt;" &amp; Projektname_ODW),ROW(542:542)),COUNTIF(Projektname_ODW, "&lt;" &amp; Projektname_ODW),0)),"")</f>
        <v/>
      </c>
    </row>
    <row r="544" spans="1:2">
      <c r="A544" s="13" t="str">
        <f t="array" aca="1" ref="A544" ca="1">IFERROR(INDEX(Projektname,SMALL(IF(FREQUENCY(IF(Projektname&lt;&gt;"",MATCH(Projektname,Projektname,0)),ROW(Projektname)-ROW(Data!$A$4)+1),ROW(Projektname)-ROW(Data!$A$4)+1),ROWS(A$2:A544))),"")</f>
        <v/>
      </c>
      <c r="B544" s="13" t="str">
        <f t="array" aca="1" ref="B544" ca="1">IFERROR(INDEX(Projektname_ODW,MATCH(SMALL(COUNTIF(Projektname_ODW, "&lt;" &amp; Projektname_ODW),ROW(543:543)),COUNTIF(Projektname_ODW, "&lt;" &amp; Projektname_ODW),0)),"")</f>
        <v/>
      </c>
    </row>
    <row r="545" spans="1:2">
      <c r="A545" s="13" t="str">
        <f t="array" aca="1" ref="A545" ca="1">IFERROR(INDEX(Projektname,SMALL(IF(FREQUENCY(IF(Projektname&lt;&gt;"",MATCH(Projektname,Projektname,0)),ROW(Projektname)-ROW(Data!$A$4)+1),ROW(Projektname)-ROW(Data!$A$4)+1),ROWS(A$2:A545))),"")</f>
        <v/>
      </c>
      <c r="B545" s="13" t="str">
        <f t="array" aca="1" ref="B545" ca="1">IFERROR(INDEX(Projektname_ODW,MATCH(SMALL(COUNTIF(Projektname_ODW, "&lt;" &amp; Projektname_ODW),ROW(544:544)),COUNTIF(Projektname_ODW, "&lt;" &amp; Projektname_ODW),0)),"")</f>
        <v/>
      </c>
    </row>
    <row r="546" spans="1:2">
      <c r="A546" s="13" t="str">
        <f t="array" aca="1" ref="A546" ca="1">IFERROR(INDEX(Projektname,SMALL(IF(FREQUENCY(IF(Projektname&lt;&gt;"",MATCH(Projektname,Projektname,0)),ROW(Projektname)-ROW(Data!$A$4)+1),ROW(Projektname)-ROW(Data!$A$4)+1),ROWS(A$2:A546))),"")</f>
        <v/>
      </c>
      <c r="B546" s="13" t="str">
        <f t="array" aca="1" ref="B546" ca="1">IFERROR(INDEX(Projektname_ODW,MATCH(SMALL(COUNTIF(Projektname_ODW, "&lt;" &amp; Projektname_ODW),ROW(545:545)),COUNTIF(Projektname_ODW, "&lt;" &amp; Projektname_ODW),0)),"")</f>
        <v/>
      </c>
    </row>
    <row r="547" spans="1:2">
      <c r="A547" s="13" t="str">
        <f t="array" aca="1" ref="A547" ca="1">IFERROR(INDEX(Projektname,SMALL(IF(FREQUENCY(IF(Projektname&lt;&gt;"",MATCH(Projektname,Projektname,0)),ROW(Projektname)-ROW(Data!$A$4)+1),ROW(Projektname)-ROW(Data!$A$4)+1),ROWS(A$2:A547))),"")</f>
        <v/>
      </c>
      <c r="B547" s="13" t="str">
        <f t="array" aca="1" ref="B547" ca="1">IFERROR(INDEX(Projektname_ODW,MATCH(SMALL(COUNTIF(Projektname_ODW, "&lt;" &amp; Projektname_ODW),ROW(546:546)),COUNTIF(Projektname_ODW, "&lt;" &amp; Projektname_ODW),0)),"")</f>
        <v/>
      </c>
    </row>
    <row r="548" spans="1:2">
      <c r="A548" s="13" t="str">
        <f t="array" aca="1" ref="A548" ca="1">IFERROR(INDEX(Projektname,SMALL(IF(FREQUENCY(IF(Projektname&lt;&gt;"",MATCH(Projektname,Projektname,0)),ROW(Projektname)-ROW(Data!$A$4)+1),ROW(Projektname)-ROW(Data!$A$4)+1),ROWS(A$2:A548))),"")</f>
        <v/>
      </c>
      <c r="B548" s="13" t="str">
        <f t="array" aca="1" ref="B548" ca="1">IFERROR(INDEX(Projektname_ODW,MATCH(SMALL(COUNTIF(Projektname_ODW, "&lt;" &amp; Projektname_ODW),ROW(547:547)),COUNTIF(Projektname_ODW, "&lt;" &amp; Projektname_ODW),0)),"")</f>
        <v/>
      </c>
    </row>
    <row r="549" spans="1:2">
      <c r="A549" s="13" t="str">
        <f t="array" aca="1" ref="A549" ca="1">IFERROR(INDEX(Projektname,SMALL(IF(FREQUENCY(IF(Projektname&lt;&gt;"",MATCH(Projektname,Projektname,0)),ROW(Projektname)-ROW(Data!$A$4)+1),ROW(Projektname)-ROW(Data!$A$4)+1),ROWS(A$2:A549))),"")</f>
        <v/>
      </c>
      <c r="B549" s="13" t="str">
        <f t="array" aca="1" ref="B549" ca="1">IFERROR(INDEX(Projektname_ODW,MATCH(SMALL(COUNTIF(Projektname_ODW, "&lt;" &amp; Projektname_ODW),ROW(548:548)),COUNTIF(Projektname_ODW, "&lt;" &amp; Projektname_ODW),0)),"")</f>
        <v/>
      </c>
    </row>
    <row r="550" spans="1:2">
      <c r="A550" s="13" t="str">
        <f t="array" aca="1" ref="A550" ca="1">IFERROR(INDEX(Projektname,SMALL(IF(FREQUENCY(IF(Projektname&lt;&gt;"",MATCH(Projektname,Projektname,0)),ROW(Projektname)-ROW(Data!$A$4)+1),ROW(Projektname)-ROW(Data!$A$4)+1),ROWS(A$2:A550))),"")</f>
        <v/>
      </c>
      <c r="B550" s="13" t="str">
        <f t="array" aca="1" ref="B550" ca="1">IFERROR(INDEX(Projektname_ODW,MATCH(SMALL(COUNTIF(Projektname_ODW, "&lt;" &amp; Projektname_ODW),ROW(549:549)),COUNTIF(Projektname_ODW, "&lt;" &amp; Projektname_ODW),0)),"")</f>
        <v/>
      </c>
    </row>
    <row r="551" spans="1:2">
      <c r="A551" s="13" t="str">
        <f t="array" aca="1" ref="A551" ca="1">IFERROR(INDEX(Projektname,SMALL(IF(FREQUENCY(IF(Projektname&lt;&gt;"",MATCH(Projektname,Projektname,0)),ROW(Projektname)-ROW(Data!$A$4)+1),ROW(Projektname)-ROW(Data!$A$4)+1),ROWS(A$2:A551))),"")</f>
        <v/>
      </c>
      <c r="B551" s="13" t="str">
        <f t="array" aca="1" ref="B551" ca="1">IFERROR(INDEX(Projektname_ODW,MATCH(SMALL(COUNTIF(Projektname_ODW, "&lt;" &amp; Projektname_ODW),ROW(550:550)),COUNTIF(Projektname_ODW, "&lt;" &amp; Projektname_ODW),0)),"")</f>
        <v/>
      </c>
    </row>
    <row r="552" spans="1:2">
      <c r="A552" s="13" t="str">
        <f t="array" aca="1" ref="A552" ca="1">IFERROR(INDEX(Projektname,SMALL(IF(FREQUENCY(IF(Projektname&lt;&gt;"",MATCH(Projektname,Projektname,0)),ROW(Projektname)-ROW(Data!$A$4)+1),ROW(Projektname)-ROW(Data!$A$4)+1),ROWS(A$2:A552))),"")</f>
        <v/>
      </c>
      <c r="B552" s="13" t="str">
        <f t="array" aca="1" ref="B552" ca="1">IFERROR(INDEX(Projektname_ODW,MATCH(SMALL(COUNTIF(Projektname_ODW, "&lt;" &amp; Projektname_ODW),ROW(551:551)),COUNTIF(Projektname_ODW, "&lt;" &amp; Projektname_ODW),0)),"")</f>
        <v/>
      </c>
    </row>
    <row r="553" spans="1:2">
      <c r="A553" s="13" t="str">
        <f t="array" aca="1" ref="A553" ca="1">IFERROR(INDEX(Projektname,SMALL(IF(FREQUENCY(IF(Projektname&lt;&gt;"",MATCH(Projektname,Projektname,0)),ROW(Projektname)-ROW(Data!$A$4)+1),ROW(Projektname)-ROW(Data!$A$4)+1),ROWS(A$2:A553))),"")</f>
        <v/>
      </c>
      <c r="B553" s="13" t="str">
        <f t="array" aca="1" ref="B553" ca="1">IFERROR(INDEX(Projektname_ODW,MATCH(SMALL(COUNTIF(Projektname_ODW, "&lt;" &amp; Projektname_ODW),ROW(552:552)),COUNTIF(Projektname_ODW, "&lt;" &amp; Projektname_ODW),0)),"")</f>
        <v/>
      </c>
    </row>
    <row r="554" spans="1:2">
      <c r="A554" s="13" t="str">
        <f t="array" aca="1" ref="A554" ca="1">IFERROR(INDEX(Projektname,SMALL(IF(FREQUENCY(IF(Projektname&lt;&gt;"",MATCH(Projektname,Projektname,0)),ROW(Projektname)-ROW(Data!$A$4)+1),ROW(Projektname)-ROW(Data!$A$4)+1),ROWS(A$2:A554))),"")</f>
        <v/>
      </c>
      <c r="B554" s="13" t="str">
        <f t="array" aca="1" ref="B554" ca="1">IFERROR(INDEX(Projektname_ODW,MATCH(SMALL(COUNTIF(Projektname_ODW, "&lt;" &amp; Projektname_ODW),ROW(553:553)),COUNTIF(Projektname_ODW, "&lt;" &amp; Projektname_ODW),0)),"")</f>
        <v/>
      </c>
    </row>
    <row r="555" spans="1:2">
      <c r="A555" s="13" t="str">
        <f t="array" aca="1" ref="A555" ca="1">IFERROR(INDEX(Projektname,SMALL(IF(FREQUENCY(IF(Projektname&lt;&gt;"",MATCH(Projektname,Projektname,0)),ROW(Projektname)-ROW(Data!$A$4)+1),ROW(Projektname)-ROW(Data!$A$4)+1),ROWS(A$2:A555))),"")</f>
        <v/>
      </c>
      <c r="B555" s="13" t="str">
        <f t="array" aca="1" ref="B555" ca="1">IFERROR(INDEX(Projektname_ODW,MATCH(SMALL(COUNTIF(Projektname_ODW, "&lt;" &amp; Projektname_ODW),ROW(554:554)),COUNTIF(Projektname_ODW, "&lt;" &amp; Projektname_ODW),0)),"")</f>
        <v/>
      </c>
    </row>
    <row r="556" spans="1:2">
      <c r="A556" s="13" t="str">
        <f t="array" aca="1" ref="A556" ca="1">IFERROR(INDEX(Projektname,SMALL(IF(FREQUENCY(IF(Projektname&lt;&gt;"",MATCH(Projektname,Projektname,0)),ROW(Projektname)-ROW(Data!$A$4)+1),ROW(Projektname)-ROW(Data!$A$4)+1),ROWS(A$2:A556))),"")</f>
        <v/>
      </c>
      <c r="B556" s="13" t="str">
        <f t="array" aca="1" ref="B556" ca="1">IFERROR(INDEX(Projektname_ODW,MATCH(SMALL(COUNTIF(Projektname_ODW, "&lt;" &amp; Projektname_ODW),ROW(555:555)),COUNTIF(Projektname_ODW, "&lt;" &amp; Projektname_ODW),0)),"")</f>
        <v/>
      </c>
    </row>
    <row r="557" spans="1:2">
      <c r="A557" s="13" t="str">
        <f t="array" aca="1" ref="A557" ca="1">IFERROR(INDEX(Projektname,SMALL(IF(FREQUENCY(IF(Projektname&lt;&gt;"",MATCH(Projektname,Projektname,0)),ROW(Projektname)-ROW(Data!$A$4)+1),ROW(Projektname)-ROW(Data!$A$4)+1),ROWS(A$2:A557))),"")</f>
        <v/>
      </c>
      <c r="B557" s="13" t="str">
        <f t="array" aca="1" ref="B557" ca="1">IFERROR(INDEX(Projektname_ODW,MATCH(SMALL(COUNTIF(Projektname_ODW, "&lt;" &amp; Projektname_ODW),ROW(556:556)),COUNTIF(Projektname_ODW, "&lt;" &amp; Projektname_ODW),0)),"")</f>
        <v/>
      </c>
    </row>
    <row r="558" spans="1:2">
      <c r="A558" s="13" t="str">
        <f t="array" aca="1" ref="A558" ca="1">IFERROR(INDEX(Projektname,SMALL(IF(FREQUENCY(IF(Projektname&lt;&gt;"",MATCH(Projektname,Projektname,0)),ROW(Projektname)-ROW(Data!$A$4)+1),ROW(Projektname)-ROW(Data!$A$4)+1),ROWS(A$2:A558))),"")</f>
        <v/>
      </c>
      <c r="B558" s="13" t="str">
        <f t="array" aca="1" ref="B558" ca="1">IFERROR(INDEX(Projektname_ODW,MATCH(SMALL(COUNTIF(Projektname_ODW, "&lt;" &amp; Projektname_ODW),ROW(557:557)),COUNTIF(Projektname_ODW, "&lt;" &amp; Projektname_ODW),0)),"")</f>
        <v/>
      </c>
    </row>
    <row r="559" spans="1:2">
      <c r="A559" s="13" t="str">
        <f t="array" aca="1" ref="A559" ca="1">IFERROR(INDEX(Projektname,SMALL(IF(FREQUENCY(IF(Projektname&lt;&gt;"",MATCH(Projektname,Projektname,0)),ROW(Projektname)-ROW(Data!$A$4)+1),ROW(Projektname)-ROW(Data!$A$4)+1),ROWS(A$2:A559))),"")</f>
        <v/>
      </c>
      <c r="B559" s="13" t="str">
        <f t="array" aca="1" ref="B559" ca="1">IFERROR(INDEX(Projektname_ODW,MATCH(SMALL(COUNTIF(Projektname_ODW, "&lt;" &amp; Projektname_ODW),ROW(558:558)),COUNTIF(Projektname_ODW, "&lt;" &amp; Projektname_ODW),0)),"")</f>
        <v/>
      </c>
    </row>
    <row r="560" spans="1:2">
      <c r="A560" s="13" t="str">
        <f t="array" aca="1" ref="A560" ca="1">IFERROR(INDEX(Projektname,SMALL(IF(FREQUENCY(IF(Projektname&lt;&gt;"",MATCH(Projektname,Projektname,0)),ROW(Projektname)-ROW(Data!$A$4)+1),ROW(Projektname)-ROW(Data!$A$4)+1),ROWS(A$2:A560))),"")</f>
        <v/>
      </c>
      <c r="B560" s="13" t="str">
        <f t="array" aca="1" ref="B560" ca="1">IFERROR(INDEX(Projektname_ODW,MATCH(SMALL(COUNTIF(Projektname_ODW, "&lt;" &amp; Projektname_ODW),ROW(559:559)),COUNTIF(Projektname_ODW, "&lt;" &amp; Projektname_ODW),0)),"")</f>
        <v/>
      </c>
    </row>
    <row r="561" spans="1:2">
      <c r="A561" s="13" t="str">
        <f t="array" aca="1" ref="A561" ca="1">IFERROR(INDEX(Projektname,SMALL(IF(FREQUENCY(IF(Projektname&lt;&gt;"",MATCH(Projektname,Projektname,0)),ROW(Projektname)-ROW(Data!$A$4)+1),ROW(Projektname)-ROW(Data!$A$4)+1),ROWS(A$2:A561))),"")</f>
        <v/>
      </c>
      <c r="B561" s="13" t="str">
        <f t="array" aca="1" ref="B561" ca="1">IFERROR(INDEX(Projektname_ODW,MATCH(SMALL(COUNTIF(Projektname_ODW, "&lt;" &amp; Projektname_ODW),ROW(560:560)),COUNTIF(Projektname_ODW, "&lt;" &amp; Projektname_ODW),0)),"")</f>
        <v/>
      </c>
    </row>
    <row r="562" spans="1:2">
      <c r="A562" s="13" t="str">
        <f t="array" aca="1" ref="A562" ca="1">IFERROR(INDEX(Projektname,SMALL(IF(FREQUENCY(IF(Projektname&lt;&gt;"",MATCH(Projektname,Projektname,0)),ROW(Projektname)-ROW(Data!$A$4)+1),ROW(Projektname)-ROW(Data!$A$4)+1),ROWS(A$2:A562))),"")</f>
        <v/>
      </c>
      <c r="B562" s="13" t="str">
        <f t="array" aca="1" ref="B562" ca="1">IFERROR(INDEX(Projektname_ODW,MATCH(SMALL(COUNTIF(Projektname_ODW, "&lt;" &amp; Projektname_ODW),ROW(561:561)),COUNTIF(Projektname_ODW, "&lt;" &amp; Projektname_ODW),0)),"")</f>
        <v/>
      </c>
    </row>
    <row r="563" spans="1:2">
      <c r="A563" s="13" t="str">
        <f t="array" aca="1" ref="A563" ca="1">IFERROR(INDEX(Projektname,SMALL(IF(FREQUENCY(IF(Projektname&lt;&gt;"",MATCH(Projektname,Projektname,0)),ROW(Projektname)-ROW(Data!$A$4)+1),ROW(Projektname)-ROW(Data!$A$4)+1),ROWS(A$2:A563))),"")</f>
        <v/>
      </c>
      <c r="B563" s="13" t="str">
        <f t="array" aca="1" ref="B563" ca="1">IFERROR(INDEX(Projektname_ODW,MATCH(SMALL(COUNTIF(Projektname_ODW, "&lt;" &amp; Projektname_ODW),ROW(562:562)),COUNTIF(Projektname_ODW, "&lt;" &amp; Projektname_ODW),0)),"")</f>
        <v/>
      </c>
    </row>
    <row r="564" spans="1:2">
      <c r="A564" s="13" t="str">
        <f t="array" aca="1" ref="A564" ca="1">IFERROR(INDEX(Projektname,SMALL(IF(FREQUENCY(IF(Projektname&lt;&gt;"",MATCH(Projektname,Projektname,0)),ROW(Projektname)-ROW(Data!$A$4)+1),ROW(Projektname)-ROW(Data!$A$4)+1),ROWS(A$2:A564))),"")</f>
        <v/>
      </c>
      <c r="B564" s="13" t="str">
        <f t="array" aca="1" ref="B564" ca="1">IFERROR(INDEX(Projektname_ODW,MATCH(SMALL(COUNTIF(Projektname_ODW, "&lt;" &amp; Projektname_ODW),ROW(563:563)),COUNTIF(Projektname_ODW, "&lt;" &amp; Projektname_ODW),0)),"")</f>
        <v/>
      </c>
    </row>
    <row r="565" spans="1:2">
      <c r="A565" s="13" t="str">
        <f t="array" aca="1" ref="A565" ca="1">IFERROR(INDEX(Projektname,SMALL(IF(FREQUENCY(IF(Projektname&lt;&gt;"",MATCH(Projektname,Projektname,0)),ROW(Projektname)-ROW(Data!$A$4)+1),ROW(Projektname)-ROW(Data!$A$4)+1),ROWS(A$2:A565))),"")</f>
        <v/>
      </c>
      <c r="B565" s="13" t="str">
        <f t="array" aca="1" ref="B565" ca="1">IFERROR(INDEX(Projektname_ODW,MATCH(SMALL(COUNTIF(Projektname_ODW, "&lt;" &amp; Projektname_ODW),ROW(564:564)),COUNTIF(Projektname_ODW, "&lt;" &amp; Projektname_ODW),0)),"")</f>
        <v/>
      </c>
    </row>
    <row r="566" spans="1:2">
      <c r="A566" s="13" t="str">
        <f t="array" aca="1" ref="A566" ca="1">IFERROR(INDEX(Projektname,SMALL(IF(FREQUENCY(IF(Projektname&lt;&gt;"",MATCH(Projektname,Projektname,0)),ROW(Projektname)-ROW(Data!$A$4)+1),ROW(Projektname)-ROW(Data!$A$4)+1),ROWS(A$2:A566))),"")</f>
        <v/>
      </c>
      <c r="B566" s="13" t="str">
        <f t="array" aca="1" ref="B566" ca="1">IFERROR(INDEX(Projektname_ODW,MATCH(SMALL(COUNTIF(Projektname_ODW, "&lt;" &amp; Projektname_ODW),ROW(565:565)),COUNTIF(Projektname_ODW, "&lt;" &amp; Projektname_ODW),0)),"")</f>
        <v/>
      </c>
    </row>
    <row r="567" spans="1:2">
      <c r="A567" s="13" t="str">
        <f t="array" aca="1" ref="A567" ca="1">IFERROR(INDEX(Projektname,SMALL(IF(FREQUENCY(IF(Projektname&lt;&gt;"",MATCH(Projektname,Projektname,0)),ROW(Projektname)-ROW(Data!$A$4)+1),ROW(Projektname)-ROW(Data!$A$4)+1),ROWS(A$2:A567))),"")</f>
        <v/>
      </c>
      <c r="B567" s="13" t="str">
        <f t="array" aca="1" ref="B567" ca="1">IFERROR(INDEX(Projektname_ODW,MATCH(SMALL(COUNTIF(Projektname_ODW, "&lt;" &amp; Projektname_ODW),ROW(566:566)),COUNTIF(Projektname_ODW, "&lt;" &amp; Projektname_ODW),0)),"")</f>
        <v/>
      </c>
    </row>
    <row r="568" spans="1:2">
      <c r="A568" s="13" t="str">
        <f t="array" aca="1" ref="A568" ca="1">IFERROR(INDEX(Projektname,SMALL(IF(FREQUENCY(IF(Projektname&lt;&gt;"",MATCH(Projektname,Projektname,0)),ROW(Projektname)-ROW(Data!$A$4)+1),ROW(Projektname)-ROW(Data!$A$4)+1),ROWS(A$2:A568))),"")</f>
        <v/>
      </c>
      <c r="B568" s="13" t="str">
        <f t="array" aca="1" ref="B568" ca="1">IFERROR(INDEX(Projektname_ODW,MATCH(SMALL(COUNTIF(Projektname_ODW, "&lt;" &amp; Projektname_ODW),ROW(567:567)),COUNTIF(Projektname_ODW, "&lt;" &amp; Projektname_ODW),0)),"")</f>
        <v/>
      </c>
    </row>
    <row r="569" spans="1:2">
      <c r="A569" s="13" t="str">
        <f t="array" aca="1" ref="A569" ca="1">IFERROR(INDEX(Projektname,SMALL(IF(FREQUENCY(IF(Projektname&lt;&gt;"",MATCH(Projektname,Projektname,0)),ROW(Projektname)-ROW(Data!$A$4)+1),ROW(Projektname)-ROW(Data!$A$4)+1),ROWS(A$2:A569))),"")</f>
        <v/>
      </c>
      <c r="B569" s="13" t="str">
        <f t="array" aca="1" ref="B569" ca="1">IFERROR(INDEX(Projektname_ODW,MATCH(SMALL(COUNTIF(Projektname_ODW, "&lt;" &amp; Projektname_ODW),ROW(568:568)),COUNTIF(Projektname_ODW, "&lt;" &amp; Projektname_ODW),0)),"")</f>
        <v/>
      </c>
    </row>
    <row r="570" spans="1:2">
      <c r="A570" s="13" t="str">
        <f t="array" aca="1" ref="A570" ca="1">IFERROR(INDEX(Projektname,SMALL(IF(FREQUENCY(IF(Projektname&lt;&gt;"",MATCH(Projektname,Projektname,0)),ROW(Projektname)-ROW(Data!$A$4)+1),ROW(Projektname)-ROW(Data!$A$4)+1),ROWS(A$2:A570))),"")</f>
        <v/>
      </c>
      <c r="B570" s="13" t="str">
        <f t="array" aca="1" ref="B570" ca="1">IFERROR(INDEX(Projektname_ODW,MATCH(SMALL(COUNTIF(Projektname_ODW, "&lt;" &amp; Projektname_ODW),ROW(569:569)),COUNTIF(Projektname_ODW, "&lt;" &amp; Projektname_ODW),0)),"")</f>
        <v/>
      </c>
    </row>
    <row r="571" spans="1:2">
      <c r="A571" s="13" t="str">
        <f t="array" aca="1" ref="A571" ca="1">IFERROR(INDEX(Projektname,SMALL(IF(FREQUENCY(IF(Projektname&lt;&gt;"",MATCH(Projektname,Projektname,0)),ROW(Projektname)-ROW(Data!$A$4)+1),ROW(Projektname)-ROW(Data!$A$4)+1),ROWS(A$2:A571))),"")</f>
        <v/>
      </c>
      <c r="B571" s="13" t="str">
        <f t="array" aca="1" ref="B571" ca="1">IFERROR(INDEX(Projektname_ODW,MATCH(SMALL(COUNTIF(Projektname_ODW, "&lt;" &amp; Projektname_ODW),ROW(570:570)),COUNTIF(Projektname_ODW, "&lt;" &amp; Projektname_ODW),0)),"")</f>
        <v/>
      </c>
    </row>
    <row r="572" spans="1:2">
      <c r="A572" s="13" t="str">
        <f t="array" aca="1" ref="A572" ca="1">IFERROR(INDEX(Projektname,SMALL(IF(FREQUENCY(IF(Projektname&lt;&gt;"",MATCH(Projektname,Projektname,0)),ROW(Projektname)-ROW(Data!$A$4)+1),ROW(Projektname)-ROW(Data!$A$4)+1),ROWS(A$2:A572))),"")</f>
        <v/>
      </c>
      <c r="B572" s="13" t="str">
        <f t="array" aca="1" ref="B572" ca="1">IFERROR(INDEX(Projektname_ODW,MATCH(SMALL(COUNTIF(Projektname_ODW, "&lt;" &amp; Projektname_ODW),ROW(571:571)),COUNTIF(Projektname_ODW, "&lt;" &amp; Projektname_ODW),0)),"")</f>
        <v/>
      </c>
    </row>
    <row r="573" spans="1:2">
      <c r="A573" s="13" t="str">
        <f t="array" aca="1" ref="A573" ca="1">IFERROR(INDEX(Projektname,SMALL(IF(FREQUENCY(IF(Projektname&lt;&gt;"",MATCH(Projektname,Projektname,0)),ROW(Projektname)-ROW(Data!$A$4)+1),ROW(Projektname)-ROW(Data!$A$4)+1),ROWS(A$2:A573))),"")</f>
        <v/>
      </c>
      <c r="B573" s="13" t="str">
        <f t="array" aca="1" ref="B573" ca="1">IFERROR(INDEX(Projektname_ODW,MATCH(SMALL(COUNTIF(Projektname_ODW, "&lt;" &amp; Projektname_ODW),ROW(572:572)),COUNTIF(Projektname_ODW, "&lt;" &amp; Projektname_ODW),0)),"")</f>
        <v/>
      </c>
    </row>
    <row r="574" spans="1:2">
      <c r="A574" s="13" t="str">
        <f t="array" aca="1" ref="A574" ca="1">IFERROR(INDEX(Projektname,SMALL(IF(FREQUENCY(IF(Projektname&lt;&gt;"",MATCH(Projektname,Projektname,0)),ROW(Projektname)-ROW(Data!$A$4)+1),ROW(Projektname)-ROW(Data!$A$4)+1),ROWS(A$2:A574))),"")</f>
        <v/>
      </c>
      <c r="B574" s="13" t="str">
        <f t="array" aca="1" ref="B574" ca="1">IFERROR(INDEX(Projektname_ODW,MATCH(SMALL(COUNTIF(Projektname_ODW, "&lt;" &amp; Projektname_ODW),ROW(573:573)),COUNTIF(Projektname_ODW, "&lt;" &amp; Projektname_ODW),0)),"")</f>
        <v/>
      </c>
    </row>
    <row r="575" spans="1:2">
      <c r="A575" s="13" t="str">
        <f t="array" aca="1" ref="A575" ca="1">IFERROR(INDEX(Projektname,SMALL(IF(FREQUENCY(IF(Projektname&lt;&gt;"",MATCH(Projektname,Projektname,0)),ROW(Projektname)-ROW(Data!$A$4)+1),ROW(Projektname)-ROW(Data!$A$4)+1),ROWS(A$2:A575))),"")</f>
        <v/>
      </c>
      <c r="B575" s="13" t="str">
        <f t="array" aca="1" ref="B575" ca="1">IFERROR(INDEX(Projektname_ODW,MATCH(SMALL(COUNTIF(Projektname_ODW, "&lt;" &amp; Projektname_ODW),ROW(574:574)),COUNTIF(Projektname_ODW, "&lt;" &amp; Projektname_ODW),0)),"")</f>
        <v/>
      </c>
    </row>
    <row r="576" spans="1:2">
      <c r="A576" s="13" t="str">
        <f t="array" aca="1" ref="A576" ca="1">IFERROR(INDEX(Projektname,SMALL(IF(FREQUENCY(IF(Projektname&lt;&gt;"",MATCH(Projektname,Projektname,0)),ROW(Projektname)-ROW(Data!$A$4)+1),ROW(Projektname)-ROW(Data!$A$4)+1),ROWS(A$2:A576))),"")</f>
        <v/>
      </c>
      <c r="B576" s="13" t="str">
        <f t="array" aca="1" ref="B576" ca="1">IFERROR(INDEX(Projektname_ODW,MATCH(SMALL(COUNTIF(Projektname_ODW, "&lt;" &amp; Projektname_ODW),ROW(575:575)),COUNTIF(Projektname_ODW, "&lt;" &amp; Projektname_ODW),0)),"")</f>
        <v/>
      </c>
    </row>
    <row r="577" spans="1:2">
      <c r="A577" s="13" t="str">
        <f t="array" aca="1" ref="A577" ca="1">IFERROR(INDEX(Projektname,SMALL(IF(FREQUENCY(IF(Projektname&lt;&gt;"",MATCH(Projektname,Projektname,0)),ROW(Projektname)-ROW(Data!$A$4)+1),ROW(Projektname)-ROW(Data!$A$4)+1),ROWS(A$2:A577))),"")</f>
        <v/>
      </c>
      <c r="B577" s="13" t="str">
        <f t="array" aca="1" ref="B577" ca="1">IFERROR(INDEX(Projektname_ODW,MATCH(SMALL(COUNTIF(Projektname_ODW, "&lt;" &amp; Projektname_ODW),ROW(576:576)),COUNTIF(Projektname_ODW, "&lt;" &amp; Projektname_ODW),0)),"")</f>
        <v/>
      </c>
    </row>
    <row r="578" spans="1:2">
      <c r="A578" s="13" t="str">
        <f t="array" aca="1" ref="A578" ca="1">IFERROR(INDEX(Projektname,SMALL(IF(FREQUENCY(IF(Projektname&lt;&gt;"",MATCH(Projektname,Projektname,0)),ROW(Projektname)-ROW(Data!$A$4)+1),ROW(Projektname)-ROW(Data!$A$4)+1),ROWS(A$2:A578))),"")</f>
        <v/>
      </c>
      <c r="B578" s="13" t="str">
        <f t="array" aca="1" ref="B578" ca="1">IFERROR(INDEX(Projektname_ODW,MATCH(SMALL(COUNTIF(Projektname_ODW, "&lt;" &amp; Projektname_ODW),ROW(577:577)),COUNTIF(Projektname_ODW, "&lt;" &amp; Projektname_ODW),0)),"")</f>
        <v/>
      </c>
    </row>
    <row r="579" spans="1:2">
      <c r="A579" s="13" t="str">
        <f t="array" aca="1" ref="A579" ca="1">IFERROR(INDEX(Projektname,SMALL(IF(FREQUENCY(IF(Projektname&lt;&gt;"",MATCH(Projektname,Projektname,0)),ROW(Projektname)-ROW(Data!$A$4)+1),ROW(Projektname)-ROW(Data!$A$4)+1),ROWS(A$2:A579))),"")</f>
        <v/>
      </c>
      <c r="B579" s="13" t="str">
        <f t="array" aca="1" ref="B579" ca="1">IFERROR(INDEX(Projektname_ODW,MATCH(SMALL(COUNTIF(Projektname_ODW, "&lt;" &amp; Projektname_ODW),ROW(578:578)),COUNTIF(Projektname_ODW, "&lt;" &amp; Projektname_ODW),0)),"")</f>
        <v/>
      </c>
    </row>
    <row r="580" spans="1:2">
      <c r="A580" s="13" t="str">
        <f t="array" aca="1" ref="A580" ca="1">IFERROR(INDEX(Projektname,SMALL(IF(FREQUENCY(IF(Projektname&lt;&gt;"",MATCH(Projektname,Projektname,0)),ROW(Projektname)-ROW(Data!$A$4)+1),ROW(Projektname)-ROW(Data!$A$4)+1),ROWS(A$2:A580))),"")</f>
        <v/>
      </c>
      <c r="B580" s="13" t="str">
        <f t="array" aca="1" ref="B580" ca="1">IFERROR(INDEX(Projektname_ODW,MATCH(SMALL(COUNTIF(Projektname_ODW, "&lt;" &amp; Projektname_ODW),ROW(579:579)),COUNTIF(Projektname_ODW, "&lt;" &amp; Projektname_ODW),0)),"")</f>
        <v/>
      </c>
    </row>
    <row r="581" spans="1:2">
      <c r="A581" s="13" t="str">
        <f t="array" aca="1" ref="A581" ca="1">IFERROR(INDEX(Projektname,SMALL(IF(FREQUENCY(IF(Projektname&lt;&gt;"",MATCH(Projektname,Projektname,0)),ROW(Projektname)-ROW(Data!$A$4)+1),ROW(Projektname)-ROW(Data!$A$4)+1),ROWS(A$2:A581))),"")</f>
        <v/>
      </c>
      <c r="B581" s="13" t="str">
        <f t="array" aca="1" ref="B581" ca="1">IFERROR(INDEX(Projektname_ODW,MATCH(SMALL(COUNTIF(Projektname_ODW, "&lt;" &amp; Projektname_ODW),ROW(580:580)),COUNTIF(Projektname_ODW, "&lt;" &amp; Projektname_ODW),0)),"")</f>
        <v/>
      </c>
    </row>
    <row r="582" spans="1:2">
      <c r="A582" s="13" t="str">
        <f t="array" aca="1" ref="A582" ca="1">IFERROR(INDEX(Projektname,SMALL(IF(FREQUENCY(IF(Projektname&lt;&gt;"",MATCH(Projektname,Projektname,0)),ROW(Projektname)-ROW(Data!$A$4)+1),ROW(Projektname)-ROW(Data!$A$4)+1),ROWS(A$2:A582))),"")</f>
        <v/>
      </c>
      <c r="B582" s="13" t="str">
        <f t="array" aca="1" ref="B582" ca="1">IFERROR(INDEX(Projektname_ODW,MATCH(SMALL(COUNTIF(Projektname_ODW, "&lt;" &amp; Projektname_ODW),ROW(581:581)),COUNTIF(Projektname_ODW, "&lt;" &amp; Projektname_ODW),0)),"")</f>
        <v/>
      </c>
    </row>
    <row r="583" spans="1:2">
      <c r="A583" s="13" t="str">
        <f t="array" aca="1" ref="A583" ca="1">IFERROR(INDEX(Projektname,SMALL(IF(FREQUENCY(IF(Projektname&lt;&gt;"",MATCH(Projektname,Projektname,0)),ROW(Projektname)-ROW(Data!$A$4)+1),ROW(Projektname)-ROW(Data!$A$4)+1),ROWS(A$2:A583))),"")</f>
        <v/>
      </c>
      <c r="B583" s="13" t="str">
        <f t="array" aca="1" ref="B583" ca="1">IFERROR(INDEX(Projektname_ODW,MATCH(SMALL(COUNTIF(Projektname_ODW, "&lt;" &amp; Projektname_ODW),ROW(582:582)),COUNTIF(Projektname_ODW, "&lt;" &amp; Projektname_ODW),0)),"")</f>
        <v/>
      </c>
    </row>
    <row r="584" spans="1:2">
      <c r="A584" s="13" t="str">
        <f t="array" aca="1" ref="A584" ca="1">IFERROR(INDEX(Projektname,SMALL(IF(FREQUENCY(IF(Projektname&lt;&gt;"",MATCH(Projektname,Projektname,0)),ROW(Projektname)-ROW(Data!$A$4)+1),ROW(Projektname)-ROW(Data!$A$4)+1),ROWS(A$2:A584))),"")</f>
        <v/>
      </c>
      <c r="B584" s="13" t="str">
        <f t="array" aca="1" ref="B584" ca="1">IFERROR(INDEX(Projektname_ODW,MATCH(SMALL(COUNTIF(Projektname_ODW, "&lt;" &amp; Projektname_ODW),ROW(583:583)),COUNTIF(Projektname_ODW, "&lt;" &amp; Projektname_ODW),0)),"")</f>
        <v/>
      </c>
    </row>
    <row r="585" spans="1:2">
      <c r="A585" s="13" t="str">
        <f t="array" aca="1" ref="A585" ca="1">IFERROR(INDEX(Projektname,SMALL(IF(FREQUENCY(IF(Projektname&lt;&gt;"",MATCH(Projektname,Projektname,0)),ROW(Projektname)-ROW(Data!$A$4)+1),ROW(Projektname)-ROW(Data!$A$4)+1),ROWS(A$2:A585))),"")</f>
        <v/>
      </c>
      <c r="B585" s="13" t="str">
        <f t="array" aca="1" ref="B585" ca="1">IFERROR(INDEX(Projektname_ODW,MATCH(SMALL(COUNTIF(Projektname_ODW, "&lt;" &amp; Projektname_ODW),ROW(584:584)),COUNTIF(Projektname_ODW, "&lt;" &amp; Projektname_ODW),0)),"")</f>
        <v/>
      </c>
    </row>
    <row r="586" spans="1:2">
      <c r="A586" s="13" t="str">
        <f t="array" aca="1" ref="A586" ca="1">IFERROR(INDEX(Projektname,SMALL(IF(FREQUENCY(IF(Projektname&lt;&gt;"",MATCH(Projektname,Projektname,0)),ROW(Projektname)-ROW(Data!$A$4)+1),ROW(Projektname)-ROW(Data!$A$4)+1),ROWS(A$2:A586))),"")</f>
        <v/>
      </c>
      <c r="B586" s="13" t="str">
        <f t="array" aca="1" ref="B586" ca="1">IFERROR(INDEX(Projektname_ODW,MATCH(SMALL(COUNTIF(Projektname_ODW, "&lt;" &amp; Projektname_ODW),ROW(585:585)),COUNTIF(Projektname_ODW, "&lt;" &amp; Projektname_ODW),0)),"")</f>
        <v/>
      </c>
    </row>
    <row r="587" spans="1:2">
      <c r="A587" s="13" t="str">
        <f t="array" aca="1" ref="A587" ca="1">IFERROR(INDEX(Projektname,SMALL(IF(FREQUENCY(IF(Projektname&lt;&gt;"",MATCH(Projektname,Projektname,0)),ROW(Projektname)-ROW(Data!$A$4)+1),ROW(Projektname)-ROW(Data!$A$4)+1),ROWS(A$2:A587))),"")</f>
        <v/>
      </c>
      <c r="B587" s="13" t="str">
        <f t="array" aca="1" ref="B587" ca="1">IFERROR(INDEX(Projektname_ODW,MATCH(SMALL(COUNTIF(Projektname_ODW, "&lt;" &amp; Projektname_ODW),ROW(586:586)),COUNTIF(Projektname_ODW, "&lt;" &amp; Projektname_ODW),0)),"")</f>
        <v/>
      </c>
    </row>
    <row r="588" spans="1:2">
      <c r="A588" s="13" t="str">
        <f t="array" aca="1" ref="A588" ca="1">IFERROR(INDEX(Projektname,SMALL(IF(FREQUENCY(IF(Projektname&lt;&gt;"",MATCH(Projektname,Projektname,0)),ROW(Projektname)-ROW(Data!$A$4)+1),ROW(Projektname)-ROW(Data!$A$4)+1),ROWS(A$2:A588))),"")</f>
        <v/>
      </c>
      <c r="B588" s="13" t="str">
        <f t="array" aca="1" ref="B588" ca="1">IFERROR(INDEX(Projektname_ODW,MATCH(SMALL(COUNTIF(Projektname_ODW, "&lt;" &amp; Projektname_ODW),ROW(587:587)),COUNTIF(Projektname_ODW, "&lt;" &amp; Projektname_ODW),0)),"")</f>
        <v/>
      </c>
    </row>
    <row r="589" spans="1:2">
      <c r="A589" s="13" t="str">
        <f t="array" aca="1" ref="A589" ca="1">IFERROR(INDEX(Projektname,SMALL(IF(FREQUENCY(IF(Projektname&lt;&gt;"",MATCH(Projektname,Projektname,0)),ROW(Projektname)-ROW(Data!$A$4)+1),ROW(Projektname)-ROW(Data!$A$4)+1),ROWS(A$2:A589))),"")</f>
        <v/>
      </c>
      <c r="B589" s="13" t="str">
        <f t="array" aca="1" ref="B589" ca="1">IFERROR(INDEX(Projektname_ODW,MATCH(SMALL(COUNTIF(Projektname_ODW, "&lt;" &amp; Projektname_ODW),ROW(588:588)),COUNTIF(Projektname_ODW, "&lt;" &amp; Projektname_ODW),0)),"")</f>
        <v/>
      </c>
    </row>
    <row r="590" spans="1:2">
      <c r="A590" s="13" t="str">
        <f t="array" aca="1" ref="A590" ca="1">IFERROR(INDEX(Projektname,SMALL(IF(FREQUENCY(IF(Projektname&lt;&gt;"",MATCH(Projektname,Projektname,0)),ROW(Projektname)-ROW(Data!$A$4)+1),ROW(Projektname)-ROW(Data!$A$4)+1),ROWS(A$2:A590))),"")</f>
        <v/>
      </c>
      <c r="B590" s="13" t="str">
        <f t="array" aca="1" ref="B590" ca="1">IFERROR(INDEX(Projektname_ODW,MATCH(SMALL(COUNTIF(Projektname_ODW, "&lt;" &amp; Projektname_ODW),ROW(589:589)),COUNTIF(Projektname_ODW, "&lt;" &amp; Projektname_ODW),0)),"")</f>
        <v/>
      </c>
    </row>
    <row r="591" spans="1:2">
      <c r="A591" s="13" t="str">
        <f t="array" aca="1" ref="A591" ca="1">IFERROR(INDEX(Projektname,SMALL(IF(FREQUENCY(IF(Projektname&lt;&gt;"",MATCH(Projektname,Projektname,0)),ROW(Projektname)-ROW(Data!$A$4)+1),ROW(Projektname)-ROW(Data!$A$4)+1),ROWS(A$2:A591))),"")</f>
        <v/>
      </c>
      <c r="B591" s="13" t="str">
        <f t="array" aca="1" ref="B591" ca="1">IFERROR(INDEX(Projektname_ODW,MATCH(SMALL(COUNTIF(Projektname_ODW, "&lt;" &amp; Projektname_ODW),ROW(590:590)),COUNTIF(Projektname_ODW, "&lt;" &amp; Projektname_ODW),0)),"")</f>
        <v/>
      </c>
    </row>
    <row r="592" spans="1:2">
      <c r="A592" s="13" t="str">
        <f t="array" aca="1" ref="A592" ca="1">IFERROR(INDEX(Projektname,SMALL(IF(FREQUENCY(IF(Projektname&lt;&gt;"",MATCH(Projektname,Projektname,0)),ROW(Projektname)-ROW(Data!$A$4)+1),ROW(Projektname)-ROW(Data!$A$4)+1),ROWS(A$2:A592))),"")</f>
        <v/>
      </c>
      <c r="B592" s="13" t="str">
        <f t="array" aca="1" ref="B592" ca="1">IFERROR(INDEX(Projektname_ODW,MATCH(SMALL(COUNTIF(Projektname_ODW, "&lt;" &amp; Projektname_ODW),ROW(591:591)),COUNTIF(Projektname_ODW, "&lt;" &amp; Projektname_ODW),0)),"")</f>
        <v/>
      </c>
    </row>
    <row r="593" spans="1:2">
      <c r="A593" s="13" t="str">
        <f t="array" aca="1" ref="A593" ca="1">IFERROR(INDEX(Projektname,SMALL(IF(FREQUENCY(IF(Projektname&lt;&gt;"",MATCH(Projektname,Projektname,0)),ROW(Projektname)-ROW(Data!$A$4)+1),ROW(Projektname)-ROW(Data!$A$4)+1),ROWS(A$2:A593))),"")</f>
        <v/>
      </c>
      <c r="B593" s="13" t="str">
        <f t="array" aca="1" ref="B593" ca="1">IFERROR(INDEX(Projektname_ODW,MATCH(SMALL(COUNTIF(Projektname_ODW, "&lt;" &amp; Projektname_ODW),ROW(592:592)),COUNTIF(Projektname_ODW, "&lt;" &amp; Projektname_ODW),0)),"")</f>
        <v/>
      </c>
    </row>
    <row r="594" spans="1:2">
      <c r="A594" s="13" t="str">
        <f t="array" aca="1" ref="A594" ca="1">IFERROR(INDEX(Projektname,SMALL(IF(FREQUENCY(IF(Projektname&lt;&gt;"",MATCH(Projektname,Projektname,0)),ROW(Projektname)-ROW(Data!$A$4)+1),ROW(Projektname)-ROW(Data!$A$4)+1),ROWS(A$2:A594))),"")</f>
        <v/>
      </c>
      <c r="B594" s="13" t="str">
        <f t="array" aca="1" ref="B594" ca="1">IFERROR(INDEX(Projektname_ODW,MATCH(SMALL(COUNTIF(Projektname_ODW, "&lt;" &amp; Projektname_ODW),ROW(593:593)),COUNTIF(Projektname_ODW, "&lt;" &amp; Projektname_ODW),0)),"")</f>
        <v/>
      </c>
    </row>
    <row r="595" spans="1:2">
      <c r="A595" s="13" t="str">
        <f t="array" aca="1" ref="A595" ca="1">IFERROR(INDEX(Projektname,SMALL(IF(FREQUENCY(IF(Projektname&lt;&gt;"",MATCH(Projektname,Projektname,0)),ROW(Projektname)-ROW(Data!$A$4)+1),ROW(Projektname)-ROW(Data!$A$4)+1),ROWS(A$2:A595))),"")</f>
        <v/>
      </c>
      <c r="B595" s="13" t="str">
        <f t="array" aca="1" ref="B595" ca="1">IFERROR(INDEX(Projektname_ODW,MATCH(SMALL(COUNTIF(Projektname_ODW, "&lt;" &amp; Projektname_ODW),ROW(594:594)),COUNTIF(Projektname_ODW, "&lt;" &amp; Projektname_ODW),0)),"")</f>
        <v/>
      </c>
    </row>
    <row r="596" spans="1:2">
      <c r="A596" s="13" t="str">
        <f t="array" aca="1" ref="A596" ca="1">IFERROR(INDEX(Projektname,SMALL(IF(FREQUENCY(IF(Projektname&lt;&gt;"",MATCH(Projektname,Projektname,0)),ROW(Projektname)-ROW(Data!$A$4)+1),ROW(Projektname)-ROW(Data!$A$4)+1),ROWS(A$2:A596))),"")</f>
        <v/>
      </c>
      <c r="B596" s="13" t="str">
        <f t="array" aca="1" ref="B596" ca="1">IFERROR(INDEX(Projektname_ODW,MATCH(SMALL(COUNTIF(Projektname_ODW, "&lt;" &amp; Projektname_ODW),ROW(595:595)),COUNTIF(Projektname_ODW, "&lt;" &amp; Projektname_ODW),0)),"")</f>
        <v/>
      </c>
    </row>
    <row r="597" spans="1:2">
      <c r="A597" s="13" t="str">
        <f t="array" aca="1" ref="A597" ca="1">IFERROR(INDEX(Projektname,SMALL(IF(FREQUENCY(IF(Projektname&lt;&gt;"",MATCH(Projektname,Projektname,0)),ROW(Projektname)-ROW(Data!$A$4)+1),ROW(Projektname)-ROW(Data!$A$4)+1),ROWS(A$2:A597))),"")</f>
        <v/>
      </c>
      <c r="B597" s="13" t="str">
        <f t="array" aca="1" ref="B597" ca="1">IFERROR(INDEX(Projektname_ODW,MATCH(SMALL(COUNTIF(Projektname_ODW, "&lt;" &amp; Projektname_ODW),ROW(596:596)),COUNTIF(Projektname_ODW, "&lt;" &amp; Projektname_ODW),0)),"")</f>
        <v/>
      </c>
    </row>
    <row r="598" spans="1:2">
      <c r="A598" s="13" t="str">
        <f t="array" aca="1" ref="A598" ca="1">IFERROR(INDEX(Projektname,SMALL(IF(FREQUENCY(IF(Projektname&lt;&gt;"",MATCH(Projektname,Projektname,0)),ROW(Projektname)-ROW(Data!$A$4)+1),ROW(Projektname)-ROW(Data!$A$4)+1),ROWS(A$2:A598))),"")</f>
        <v/>
      </c>
      <c r="B598" s="13" t="str">
        <f t="array" aca="1" ref="B598" ca="1">IFERROR(INDEX(Projektname_ODW,MATCH(SMALL(COUNTIF(Projektname_ODW, "&lt;" &amp; Projektname_ODW),ROW(597:597)),COUNTIF(Projektname_ODW, "&lt;" &amp; Projektname_ODW),0)),"")</f>
        <v/>
      </c>
    </row>
    <row r="599" spans="1:2">
      <c r="A599" s="13" t="str">
        <f t="array" aca="1" ref="A599" ca="1">IFERROR(INDEX(Projektname,SMALL(IF(FREQUENCY(IF(Projektname&lt;&gt;"",MATCH(Projektname,Projektname,0)),ROW(Projektname)-ROW(Data!$A$4)+1),ROW(Projektname)-ROW(Data!$A$4)+1),ROWS(A$2:A599))),"")</f>
        <v/>
      </c>
      <c r="B599" s="13" t="str">
        <f t="array" aca="1" ref="B599" ca="1">IFERROR(INDEX(Projektname_ODW,MATCH(SMALL(COUNTIF(Projektname_ODW, "&lt;" &amp; Projektname_ODW),ROW(598:598)),COUNTIF(Projektname_ODW, "&lt;" &amp; Projektname_ODW),0)),"")</f>
        <v/>
      </c>
    </row>
    <row r="600" spans="1:2">
      <c r="A600" s="13" t="str">
        <f t="array" aca="1" ref="A600" ca="1">IFERROR(INDEX(Projektname,SMALL(IF(FREQUENCY(IF(Projektname&lt;&gt;"",MATCH(Projektname,Projektname,0)),ROW(Projektname)-ROW(Data!$A$4)+1),ROW(Projektname)-ROW(Data!$A$4)+1),ROWS(A$2:A600))),"")</f>
        <v/>
      </c>
      <c r="B600" s="13" t="str">
        <f t="array" aca="1" ref="B600" ca="1">IFERROR(INDEX(Projektname_ODW,MATCH(SMALL(COUNTIF(Projektname_ODW, "&lt;" &amp; Projektname_ODW),ROW(599:599)),COUNTIF(Projektname_ODW, "&lt;" &amp; Projektname_ODW),0)),"")</f>
        <v/>
      </c>
    </row>
    <row r="601" spans="1:2">
      <c r="A601" s="13" t="str">
        <f t="array" aca="1" ref="A601" ca="1">IFERROR(INDEX(Projektname,SMALL(IF(FREQUENCY(IF(Projektname&lt;&gt;"",MATCH(Projektname,Projektname,0)),ROW(Projektname)-ROW(Data!$A$4)+1),ROW(Projektname)-ROW(Data!$A$4)+1),ROWS(A$2:A601))),"")</f>
        <v/>
      </c>
      <c r="B601" s="13" t="str">
        <f t="array" aca="1" ref="B601" ca="1">IFERROR(INDEX(Projektname_ODW,MATCH(SMALL(COUNTIF(Projektname_ODW, "&lt;" &amp; Projektname_ODW),ROW(600:600)),COUNTIF(Projektname_ODW, "&lt;" &amp; Projektname_ODW),0)),"")</f>
        <v/>
      </c>
    </row>
    <row r="602" spans="1:2">
      <c r="A602" s="13" t="str">
        <f t="array" aca="1" ref="A602" ca="1">IFERROR(INDEX(Projektname,SMALL(IF(FREQUENCY(IF(Projektname&lt;&gt;"",MATCH(Projektname,Projektname,0)),ROW(Projektname)-ROW(Data!$A$4)+1),ROW(Projektname)-ROW(Data!$A$4)+1),ROWS(A$2:A602))),"")</f>
        <v/>
      </c>
      <c r="B602" s="13" t="str">
        <f t="array" aca="1" ref="B602" ca="1">IFERROR(INDEX(Projektname_ODW,MATCH(SMALL(COUNTIF(Projektname_ODW, "&lt;" &amp; Projektname_ODW),ROW(601:601)),COUNTIF(Projektname_ODW, "&lt;" &amp; Projektname_ODW),0)),"")</f>
        <v/>
      </c>
    </row>
    <row r="603" spans="1:2">
      <c r="A603" s="13" t="str">
        <f t="array" aca="1" ref="A603" ca="1">IFERROR(INDEX(Projektname,SMALL(IF(FREQUENCY(IF(Projektname&lt;&gt;"",MATCH(Projektname,Projektname,0)),ROW(Projektname)-ROW(Data!$A$4)+1),ROW(Projektname)-ROW(Data!$A$4)+1),ROWS(A$2:A603))),"")</f>
        <v/>
      </c>
      <c r="B603" s="13" t="str">
        <f t="array" aca="1" ref="B603" ca="1">IFERROR(INDEX(Projektname_ODW,MATCH(SMALL(COUNTIF(Projektname_ODW, "&lt;" &amp; Projektname_ODW),ROW(602:602)),COUNTIF(Projektname_ODW, "&lt;" &amp; Projektname_ODW),0)),"")</f>
        <v/>
      </c>
    </row>
    <row r="604" spans="1:2">
      <c r="A604" s="13" t="str">
        <f t="array" aca="1" ref="A604" ca="1">IFERROR(INDEX(Projektname,SMALL(IF(FREQUENCY(IF(Projektname&lt;&gt;"",MATCH(Projektname,Projektname,0)),ROW(Projektname)-ROW(Data!$A$4)+1),ROW(Projektname)-ROW(Data!$A$4)+1),ROWS(A$2:A604))),"")</f>
        <v/>
      </c>
      <c r="B604" s="13" t="str">
        <f t="array" aca="1" ref="B604" ca="1">IFERROR(INDEX(Projektname_ODW,MATCH(SMALL(COUNTIF(Projektname_ODW, "&lt;" &amp; Projektname_ODW),ROW(603:603)),COUNTIF(Projektname_ODW, "&lt;" &amp; Projektname_ODW),0)),"")</f>
        <v/>
      </c>
    </row>
    <row r="605" spans="1:2">
      <c r="A605" s="13" t="str">
        <f t="array" aca="1" ref="A605" ca="1">IFERROR(INDEX(Projektname,SMALL(IF(FREQUENCY(IF(Projektname&lt;&gt;"",MATCH(Projektname,Projektname,0)),ROW(Projektname)-ROW(Data!$A$4)+1),ROW(Projektname)-ROW(Data!$A$4)+1),ROWS(A$2:A605))),"")</f>
        <v/>
      </c>
      <c r="B605" s="13" t="str">
        <f t="array" aca="1" ref="B605" ca="1">IFERROR(INDEX(Projektname_ODW,MATCH(SMALL(COUNTIF(Projektname_ODW, "&lt;" &amp; Projektname_ODW),ROW(604:604)),COUNTIF(Projektname_ODW, "&lt;" &amp; Projektname_ODW),0)),"")</f>
        <v/>
      </c>
    </row>
    <row r="606" spans="1:2">
      <c r="A606" s="13" t="str">
        <f t="array" aca="1" ref="A606" ca="1">IFERROR(INDEX(Projektname,SMALL(IF(FREQUENCY(IF(Projektname&lt;&gt;"",MATCH(Projektname,Projektname,0)),ROW(Projektname)-ROW(Data!$A$4)+1),ROW(Projektname)-ROW(Data!$A$4)+1),ROWS(A$2:A606))),"")</f>
        <v/>
      </c>
      <c r="B606" s="13" t="str">
        <f t="array" aca="1" ref="B606" ca="1">IFERROR(INDEX(Projektname_ODW,MATCH(SMALL(COUNTIF(Projektname_ODW, "&lt;" &amp; Projektname_ODW),ROW(605:605)),COUNTIF(Projektname_ODW, "&lt;" &amp; Projektname_ODW),0)),"")</f>
        <v/>
      </c>
    </row>
    <row r="607" spans="1:2">
      <c r="A607" s="13" t="str">
        <f t="array" aca="1" ref="A607" ca="1">IFERROR(INDEX(Projektname,SMALL(IF(FREQUENCY(IF(Projektname&lt;&gt;"",MATCH(Projektname,Projektname,0)),ROW(Projektname)-ROW(Data!$A$4)+1),ROW(Projektname)-ROW(Data!$A$4)+1),ROWS(A$2:A607))),"")</f>
        <v/>
      </c>
      <c r="B607" s="13" t="str">
        <f t="array" aca="1" ref="B607" ca="1">IFERROR(INDEX(Projektname_ODW,MATCH(SMALL(COUNTIF(Projektname_ODW, "&lt;" &amp; Projektname_ODW),ROW(606:606)),COUNTIF(Projektname_ODW, "&lt;" &amp; Projektname_ODW),0)),"")</f>
        <v/>
      </c>
    </row>
    <row r="608" spans="1:2">
      <c r="A608" s="13" t="str">
        <f t="array" aca="1" ref="A608" ca="1">IFERROR(INDEX(Projektname,SMALL(IF(FREQUENCY(IF(Projektname&lt;&gt;"",MATCH(Projektname,Projektname,0)),ROW(Projektname)-ROW(Data!$A$4)+1),ROW(Projektname)-ROW(Data!$A$4)+1),ROWS(A$2:A608))),"")</f>
        <v/>
      </c>
      <c r="B608" s="13" t="str">
        <f t="array" aca="1" ref="B608" ca="1">IFERROR(INDEX(Projektname_ODW,MATCH(SMALL(COUNTIF(Projektname_ODW, "&lt;" &amp; Projektname_ODW),ROW(607:607)),COUNTIF(Projektname_ODW, "&lt;" &amp; Projektname_ODW),0)),"")</f>
        <v/>
      </c>
    </row>
    <row r="609" spans="1:2">
      <c r="A609" s="13" t="str">
        <f t="array" aca="1" ref="A609" ca="1">IFERROR(INDEX(Projektname,SMALL(IF(FREQUENCY(IF(Projektname&lt;&gt;"",MATCH(Projektname,Projektname,0)),ROW(Projektname)-ROW(Data!$A$4)+1),ROW(Projektname)-ROW(Data!$A$4)+1),ROWS(A$2:A609))),"")</f>
        <v/>
      </c>
      <c r="B609" s="13" t="str">
        <f t="array" aca="1" ref="B609" ca="1">IFERROR(INDEX(Projektname_ODW,MATCH(SMALL(COUNTIF(Projektname_ODW, "&lt;" &amp; Projektname_ODW),ROW(608:608)),COUNTIF(Projektname_ODW, "&lt;" &amp; Projektname_ODW),0)),"")</f>
        <v/>
      </c>
    </row>
    <row r="610" spans="1:2">
      <c r="A610" s="13" t="str">
        <f t="array" aca="1" ref="A610" ca="1">IFERROR(INDEX(Projektname,SMALL(IF(FREQUENCY(IF(Projektname&lt;&gt;"",MATCH(Projektname,Projektname,0)),ROW(Projektname)-ROW(Data!$A$4)+1),ROW(Projektname)-ROW(Data!$A$4)+1),ROWS(A$2:A610))),"")</f>
        <v/>
      </c>
      <c r="B610" s="13" t="str">
        <f t="array" aca="1" ref="B610" ca="1">IFERROR(INDEX(Projektname_ODW,MATCH(SMALL(COUNTIF(Projektname_ODW, "&lt;" &amp; Projektname_ODW),ROW(609:609)),COUNTIF(Projektname_ODW, "&lt;" &amp; Projektname_ODW),0)),"")</f>
        <v/>
      </c>
    </row>
    <row r="611" spans="1:2">
      <c r="A611" s="13" t="str">
        <f t="array" aca="1" ref="A611" ca="1">IFERROR(INDEX(Projektname,SMALL(IF(FREQUENCY(IF(Projektname&lt;&gt;"",MATCH(Projektname,Projektname,0)),ROW(Projektname)-ROW(Data!$A$4)+1),ROW(Projektname)-ROW(Data!$A$4)+1),ROWS(A$2:A611))),"")</f>
        <v/>
      </c>
      <c r="B611" s="13" t="str">
        <f t="array" aca="1" ref="B611" ca="1">IFERROR(INDEX(Projektname_ODW,MATCH(SMALL(COUNTIF(Projektname_ODW, "&lt;" &amp; Projektname_ODW),ROW(610:610)),COUNTIF(Projektname_ODW, "&lt;" &amp; Projektname_ODW),0)),"")</f>
        <v/>
      </c>
    </row>
    <row r="612" spans="1:2">
      <c r="A612" s="13" t="str">
        <f t="array" aca="1" ref="A612" ca="1">IFERROR(INDEX(Projektname,SMALL(IF(FREQUENCY(IF(Projektname&lt;&gt;"",MATCH(Projektname,Projektname,0)),ROW(Projektname)-ROW(Data!$A$4)+1),ROW(Projektname)-ROW(Data!$A$4)+1),ROWS(A$2:A612))),"")</f>
        <v/>
      </c>
      <c r="B612" s="13" t="str">
        <f t="array" aca="1" ref="B612" ca="1">IFERROR(INDEX(Projektname_ODW,MATCH(SMALL(COUNTIF(Projektname_ODW, "&lt;" &amp; Projektname_ODW),ROW(611:611)),COUNTIF(Projektname_ODW, "&lt;" &amp; Projektname_ODW),0)),"")</f>
        <v/>
      </c>
    </row>
    <row r="613" spans="1:2">
      <c r="A613" s="13" t="str">
        <f t="array" aca="1" ref="A613" ca="1">IFERROR(INDEX(Projektname,SMALL(IF(FREQUENCY(IF(Projektname&lt;&gt;"",MATCH(Projektname,Projektname,0)),ROW(Projektname)-ROW(Data!$A$4)+1),ROW(Projektname)-ROW(Data!$A$4)+1),ROWS(A$2:A613))),"")</f>
        <v/>
      </c>
      <c r="B613" s="13" t="str">
        <f t="array" aca="1" ref="B613" ca="1">IFERROR(INDEX(Projektname_ODW,MATCH(SMALL(COUNTIF(Projektname_ODW, "&lt;" &amp; Projektname_ODW),ROW(612:612)),COUNTIF(Projektname_ODW, "&lt;" &amp; Projektname_ODW),0)),"")</f>
        <v/>
      </c>
    </row>
    <row r="614" spans="1:2">
      <c r="A614" s="13" t="str">
        <f t="array" aca="1" ref="A614" ca="1">IFERROR(INDEX(Projektname,SMALL(IF(FREQUENCY(IF(Projektname&lt;&gt;"",MATCH(Projektname,Projektname,0)),ROW(Projektname)-ROW(Data!$A$4)+1),ROW(Projektname)-ROW(Data!$A$4)+1),ROWS(A$2:A614))),"")</f>
        <v/>
      </c>
      <c r="B614" s="13" t="str">
        <f t="array" aca="1" ref="B614" ca="1">IFERROR(INDEX(Projektname_ODW,MATCH(SMALL(COUNTIF(Projektname_ODW, "&lt;" &amp; Projektname_ODW),ROW(613:613)),COUNTIF(Projektname_ODW, "&lt;" &amp; Projektname_ODW),0)),"")</f>
        <v/>
      </c>
    </row>
    <row r="615" spans="1:2">
      <c r="A615" s="13" t="str">
        <f t="array" aca="1" ref="A615" ca="1">IFERROR(INDEX(Projektname,SMALL(IF(FREQUENCY(IF(Projektname&lt;&gt;"",MATCH(Projektname,Projektname,0)),ROW(Projektname)-ROW(Data!$A$4)+1),ROW(Projektname)-ROW(Data!$A$4)+1),ROWS(A$2:A615))),"")</f>
        <v/>
      </c>
      <c r="B615" s="13" t="str">
        <f t="array" aca="1" ref="B615" ca="1">IFERROR(INDEX(Projektname_ODW,MATCH(SMALL(COUNTIF(Projektname_ODW, "&lt;" &amp; Projektname_ODW),ROW(614:614)),COUNTIF(Projektname_ODW, "&lt;" &amp; Projektname_ODW),0)),"")</f>
        <v/>
      </c>
    </row>
    <row r="616" spans="1:2">
      <c r="A616" s="13" t="str">
        <f t="array" aca="1" ref="A616" ca="1">IFERROR(INDEX(Projektname,SMALL(IF(FREQUENCY(IF(Projektname&lt;&gt;"",MATCH(Projektname,Projektname,0)),ROW(Projektname)-ROW(Data!$A$4)+1),ROW(Projektname)-ROW(Data!$A$4)+1),ROWS(A$2:A616))),"")</f>
        <v/>
      </c>
      <c r="B616" s="13" t="str">
        <f t="array" aca="1" ref="B616" ca="1">IFERROR(INDEX(Projektname_ODW,MATCH(SMALL(COUNTIF(Projektname_ODW, "&lt;" &amp; Projektname_ODW),ROW(615:615)),COUNTIF(Projektname_ODW, "&lt;" &amp; Projektname_ODW),0)),"")</f>
        <v/>
      </c>
    </row>
    <row r="617" spans="1:2">
      <c r="A617" s="13" t="str">
        <f t="array" aca="1" ref="A617" ca="1">IFERROR(INDEX(Projektname,SMALL(IF(FREQUENCY(IF(Projektname&lt;&gt;"",MATCH(Projektname,Projektname,0)),ROW(Projektname)-ROW(Data!$A$4)+1),ROW(Projektname)-ROW(Data!$A$4)+1),ROWS(A$2:A617))),"")</f>
        <v/>
      </c>
      <c r="B617" s="13" t="str">
        <f t="array" aca="1" ref="B617" ca="1">IFERROR(INDEX(Projektname_ODW,MATCH(SMALL(COUNTIF(Projektname_ODW, "&lt;" &amp; Projektname_ODW),ROW(616:616)),COUNTIF(Projektname_ODW, "&lt;" &amp; Projektname_ODW),0)),"")</f>
        <v/>
      </c>
    </row>
    <row r="618" spans="1:2">
      <c r="A618" s="13" t="str">
        <f t="array" aca="1" ref="A618" ca="1">IFERROR(INDEX(Projektname,SMALL(IF(FREQUENCY(IF(Projektname&lt;&gt;"",MATCH(Projektname,Projektname,0)),ROW(Projektname)-ROW(Data!$A$4)+1),ROW(Projektname)-ROW(Data!$A$4)+1),ROWS(A$2:A618))),"")</f>
        <v/>
      </c>
      <c r="B618" s="13" t="str">
        <f t="array" aca="1" ref="B618" ca="1">IFERROR(INDEX(Projektname_ODW,MATCH(SMALL(COUNTIF(Projektname_ODW, "&lt;" &amp; Projektname_ODW),ROW(617:617)),COUNTIF(Projektname_ODW, "&lt;" &amp; Projektname_ODW),0)),"")</f>
        <v/>
      </c>
    </row>
    <row r="619" spans="1:2">
      <c r="A619" s="13" t="str">
        <f t="array" aca="1" ref="A619" ca="1">IFERROR(INDEX(Projektname,SMALL(IF(FREQUENCY(IF(Projektname&lt;&gt;"",MATCH(Projektname,Projektname,0)),ROW(Projektname)-ROW(Data!$A$4)+1),ROW(Projektname)-ROW(Data!$A$4)+1),ROWS(A$2:A619))),"")</f>
        <v/>
      </c>
      <c r="B619" s="13" t="str">
        <f t="array" aca="1" ref="B619" ca="1">IFERROR(INDEX(Projektname_ODW,MATCH(SMALL(COUNTIF(Projektname_ODW, "&lt;" &amp; Projektname_ODW),ROW(618:618)),COUNTIF(Projektname_ODW, "&lt;" &amp; Projektname_ODW),0)),"")</f>
        <v/>
      </c>
    </row>
    <row r="620" spans="1:2">
      <c r="A620" s="13" t="str">
        <f t="array" aca="1" ref="A620" ca="1">IFERROR(INDEX(Projektname,SMALL(IF(FREQUENCY(IF(Projektname&lt;&gt;"",MATCH(Projektname,Projektname,0)),ROW(Projektname)-ROW(Data!$A$4)+1),ROW(Projektname)-ROW(Data!$A$4)+1),ROWS(A$2:A620))),"")</f>
        <v/>
      </c>
      <c r="B620" s="13" t="str">
        <f t="array" aca="1" ref="B620" ca="1">IFERROR(INDEX(Projektname_ODW,MATCH(SMALL(COUNTIF(Projektname_ODW, "&lt;" &amp; Projektname_ODW),ROW(619:619)),COUNTIF(Projektname_ODW, "&lt;" &amp; Projektname_ODW),0)),"")</f>
        <v/>
      </c>
    </row>
    <row r="621" spans="1:2">
      <c r="A621" s="13" t="str">
        <f t="array" aca="1" ref="A621" ca="1">IFERROR(INDEX(Projektname,SMALL(IF(FREQUENCY(IF(Projektname&lt;&gt;"",MATCH(Projektname,Projektname,0)),ROW(Projektname)-ROW(Data!$A$4)+1),ROW(Projektname)-ROW(Data!$A$4)+1),ROWS(A$2:A621))),"")</f>
        <v/>
      </c>
      <c r="B621" s="13" t="str">
        <f t="array" aca="1" ref="B621" ca="1">IFERROR(INDEX(Projektname_ODW,MATCH(SMALL(COUNTIF(Projektname_ODW, "&lt;" &amp; Projektname_ODW),ROW(620:620)),COUNTIF(Projektname_ODW, "&lt;" &amp; Projektname_ODW),0)),"")</f>
        <v/>
      </c>
    </row>
    <row r="622" spans="1:2">
      <c r="A622" s="13" t="str">
        <f t="array" aca="1" ref="A622" ca="1">IFERROR(INDEX(Projektname,SMALL(IF(FREQUENCY(IF(Projektname&lt;&gt;"",MATCH(Projektname,Projektname,0)),ROW(Projektname)-ROW(Data!$A$4)+1),ROW(Projektname)-ROW(Data!$A$4)+1),ROWS(A$2:A622))),"")</f>
        <v/>
      </c>
      <c r="B622" s="13" t="str">
        <f t="array" aca="1" ref="B622" ca="1">IFERROR(INDEX(Projektname_ODW,MATCH(SMALL(COUNTIF(Projektname_ODW, "&lt;" &amp; Projektname_ODW),ROW(621:621)),COUNTIF(Projektname_ODW, "&lt;" &amp; Projektname_ODW),0)),"")</f>
        <v/>
      </c>
    </row>
    <row r="623" spans="1:2">
      <c r="A623" s="13" t="str">
        <f t="array" aca="1" ref="A623" ca="1">IFERROR(INDEX(Projektname,SMALL(IF(FREQUENCY(IF(Projektname&lt;&gt;"",MATCH(Projektname,Projektname,0)),ROW(Projektname)-ROW(Data!$A$4)+1),ROW(Projektname)-ROW(Data!$A$4)+1),ROWS(A$2:A623))),"")</f>
        <v/>
      </c>
      <c r="B623" s="13" t="str">
        <f t="array" aca="1" ref="B623" ca="1">IFERROR(INDEX(Projektname_ODW,MATCH(SMALL(COUNTIF(Projektname_ODW, "&lt;" &amp; Projektname_ODW),ROW(622:622)),COUNTIF(Projektname_ODW, "&lt;" &amp; Projektname_ODW),0)),"")</f>
        <v/>
      </c>
    </row>
    <row r="624" spans="1:2">
      <c r="A624" s="13" t="str">
        <f t="array" aca="1" ref="A624" ca="1">IFERROR(INDEX(Projektname,SMALL(IF(FREQUENCY(IF(Projektname&lt;&gt;"",MATCH(Projektname,Projektname,0)),ROW(Projektname)-ROW(Data!$A$4)+1),ROW(Projektname)-ROW(Data!$A$4)+1),ROWS(A$2:A624))),"")</f>
        <v/>
      </c>
      <c r="B624" s="13" t="str">
        <f t="array" aca="1" ref="B624" ca="1">IFERROR(INDEX(Projektname_ODW,MATCH(SMALL(COUNTIF(Projektname_ODW, "&lt;" &amp; Projektname_ODW),ROW(623:623)),COUNTIF(Projektname_ODW, "&lt;" &amp; Projektname_ODW),0)),"")</f>
        <v/>
      </c>
    </row>
    <row r="625" spans="1:2">
      <c r="A625" s="13" t="str">
        <f t="array" aca="1" ref="A625" ca="1">IFERROR(INDEX(Projektname,SMALL(IF(FREQUENCY(IF(Projektname&lt;&gt;"",MATCH(Projektname,Projektname,0)),ROW(Projektname)-ROW(Data!$A$4)+1),ROW(Projektname)-ROW(Data!$A$4)+1),ROWS(A$2:A625))),"")</f>
        <v/>
      </c>
      <c r="B625" s="13" t="str">
        <f t="array" aca="1" ref="B625" ca="1">IFERROR(INDEX(Projektname_ODW,MATCH(SMALL(COUNTIF(Projektname_ODW, "&lt;" &amp; Projektname_ODW),ROW(624:624)),COUNTIF(Projektname_ODW, "&lt;" &amp; Projektname_ODW),0)),"")</f>
        <v/>
      </c>
    </row>
    <row r="626" spans="1:2">
      <c r="A626" s="13" t="str">
        <f t="array" aca="1" ref="A626" ca="1">IFERROR(INDEX(Projektname,SMALL(IF(FREQUENCY(IF(Projektname&lt;&gt;"",MATCH(Projektname,Projektname,0)),ROW(Projektname)-ROW(Data!$A$4)+1),ROW(Projektname)-ROW(Data!$A$4)+1),ROWS(A$2:A626))),"")</f>
        <v/>
      </c>
      <c r="B626" s="13" t="str">
        <f t="array" aca="1" ref="B626" ca="1">IFERROR(INDEX(Projektname_ODW,MATCH(SMALL(COUNTIF(Projektname_ODW, "&lt;" &amp; Projektname_ODW),ROW(625:625)),COUNTIF(Projektname_ODW, "&lt;" &amp; Projektname_ODW),0)),"")</f>
        <v/>
      </c>
    </row>
    <row r="627" spans="1:2">
      <c r="A627" s="13" t="str">
        <f t="array" aca="1" ref="A627" ca="1">IFERROR(INDEX(Projektname,SMALL(IF(FREQUENCY(IF(Projektname&lt;&gt;"",MATCH(Projektname,Projektname,0)),ROW(Projektname)-ROW(Data!$A$4)+1),ROW(Projektname)-ROW(Data!$A$4)+1),ROWS(A$2:A627))),"")</f>
        <v/>
      </c>
      <c r="B627" s="13" t="str">
        <f t="array" aca="1" ref="B627" ca="1">IFERROR(INDEX(Projektname_ODW,MATCH(SMALL(COUNTIF(Projektname_ODW, "&lt;" &amp; Projektname_ODW),ROW(626:626)),COUNTIF(Projektname_ODW, "&lt;" &amp; Projektname_ODW),0)),"")</f>
        <v/>
      </c>
    </row>
    <row r="628" spans="1:2">
      <c r="A628" s="13" t="str">
        <f t="array" aca="1" ref="A628" ca="1">IFERROR(INDEX(Projektname,SMALL(IF(FREQUENCY(IF(Projektname&lt;&gt;"",MATCH(Projektname,Projektname,0)),ROW(Projektname)-ROW(Data!$A$4)+1),ROW(Projektname)-ROW(Data!$A$4)+1),ROWS(A$2:A628))),"")</f>
        <v/>
      </c>
      <c r="B628" s="13" t="str">
        <f t="array" aca="1" ref="B628" ca="1">IFERROR(INDEX(Projektname_ODW,MATCH(SMALL(COUNTIF(Projektname_ODW, "&lt;" &amp; Projektname_ODW),ROW(627:627)),COUNTIF(Projektname_ODW, "&lt;" &amp; Projektname_ODW),0)),"")</f>
        <v/>
      </c>
    </row>
    <row r="629" spans="1:2">
      <c r="A629" s="13" t="str">
        <f t="array" aca="1" ref="A629" ca="1">IFERROR(INDEX(Projektname,SMALL(IF(FREQUENCY(IF(Projektname&lt;&gt;"",MATCH(Projektname,Projektname,0)),ROW(Projektname)-ROW(Data!$A$4)+1),ROW(Projektname)-ROW(Data!$A$4)+1),ROWS(A$2:A629))),"")</f>
        <v/>
      </c>
      <c r="B629" s="13" t="str">
        <f t="array" aca="1" ref="B629" ca="1">IFERROR(INDEX(Projektname_ODW,MATCH(SMALL(COUNTIF(Projektname_ODW, "&lt;" &amp; Projektname_ODW),ROW(628:628)),COUNTIF(Projektname_ODW, "&lt;" &amp; Projektname_ODW),0)),"")</f>
        <v/>
      </c>
    </row>
    <row r="630" spans="1:2">
      <c r="A630" s="13" t="str">
        <f t="array" aca="1" ref="A630" ca="1">IFERROR(INDEX(Projektname,SMALL(IF(FREQUENCY(IF(Projektname&lt;&gt;"",MATCH(Projektname,Projektname,0)),ROW(Projektname)-ROW(Data!$A$4)+1),ROW(Projektname)-ROW(Data!$A$4)+1),ROWS(A$2:A630))),"")</f>
        <v/>
      </c>
      <c r="B630" s="13" t="str">
        <f t="array" aca="1" ref="B630" ca="1">IFERROR(INDEX(Projektname_ODW,MATCH(SMALL(COUNTIF(Projektname_ODW, "&lt;" &amp; Projektname_ODW),ROW(629:629)),COUNTIF(Projektname_ODW, "&lt;" &amp; Projektname_ODW),0)),"")</f>
        <v/>
      </c>
    </row>
    <row r="631" spans="1:2">
      <c r="A631" s="13" t="str">
        <f t="array" aca="1" ref="A631" ca="1">IFERROR(INDEX(Projektname,SMALL(IF(FREQUENCY(IF(Projektname&lt;&gt;"",MATCH(Projektname,Projektname,0)),ROW(Projektname)-ROW(Data!$A$4)+1),ROW(Projektname)-ROW(Data!$A$4)+1),ROWS(A$2:A631))),"")</f>
        <v/>
      </c>
      <c r="B631" s="13" t="str">
        <f t="array" aca="1" ref="B631" ca="1">IFERROR(INDEX(Projektname_ODW,MATCH(SMALL(COUNTIF(Projektname_ODW, "&lt;" &amp; Projektname_ODW),ROW(630:630)),COUNTIF(Projektname_ODW, "&lt;" &amp; Projektname_ODW),0)),"")</f>
        <v/>
      </c>
    </row>
    <row r="632" spans="1:2">
      <c r="A632" s="13" t="str">
        <f t="array" aca="1" ref="A632" ca="1">IFERROR(INDEX(Projektname,SMALL(IF(FREQUENCY(IF(Projektname&lt;&gt;"",MATCH(Projektname,Projektname,0)),ROW(Projektname)-ROW(Data!$A$4)+1),ROW(Projektname)-ROW(Data!$A$4)+1),ROWS(A$2:A632))),"")</f>
        <v/>
      </c>
      <c r="B632" s="13" t="str">
        <f t="array" aca="1" ref="B632" ca="1">IFERROR(INDEX(Projektname_ODW,MATCH(SMALL(COUNTIF(Projektname_ODW, "&lt;" &amp; Projektname_ODW),ROW(631:631)),COUNTIF(Projektname_ODW, "&lt;" &amp; Projektname_ODW),0)),"")</f>
        <v/>
      </c>
    </row>
    <row r="633" spans="1:2">
      <c r="A633" s="13" t="str">
        <f t="array" aca="1" ref="A633" ca="1">IFERROR(INDEX(Projektname,SMALL(IF(FREQUENCY(IF(Projektname&lt;&gt;"",MATCH(Projektname,Projektname,0)),ROW(Projektname)-ROW(Data!$A$4)+1),ROW(Projektname)-ROW(Data!$A$4)+1),ROWS(A$2:A633))),"")</f>
        <v/>
      </c>
      <c r="B633" s="13" t="str">
        <f t="array" aca="1" ref="B633" ca="1">IFERROR(INDEX(Projektname_ODW,MATCH(SMALL(COUNTIF(Projektname_ODW, "&lt;" &amp; Projektname_ODW),ROW(632:632)),COUNTIF(Projektname_ODW, "&lt;" &amp; Projektname_ODW),0)),"")</f>
        <v/>
      </c>
    </row>
    <row r="634" spans="1:2">
      <c r="A634" s="13" t="str">
        <f t="array" aca="1" ref="A634" ca="1">IFERROR(INDEX(Projektname,SMALL(IF(FREQUENCY(IF(Projektname&lt;&gt;"",MATCH(Projektname,Projektname,0)),ROW(Projektname)-ROW(Data!$A$4)+1),ROW(Projektname)-ROW(Data!$A$4)+1),ROWS(A$2:A634))),"")</f>
        <v/>
      </c>
      <c r="B634" s="13" t="str">
        <f t="array" aca="1" ref="B634" ca="1">IFERROR(INDEX(Projektname_ODW,MATCH(SMALL(COUNTIF(Projektname_ODW, "&lt;" &amp; Projektname_ODW),ROW(633:633)),COUNTIF(Projektname_ODW, "&lt;" &amp; Projektname_ODW),0)),"")</f>
        <v/>
      </c>
    </row>
    <row r="635" spans="1:2">
      <c r="A635" s="13" t="str">
        <f t="array" aca="1" ref="A635" ca="1">IFERROR(INDEX(Projektname,SMALL(IF(FREQUENCY(IF(Projektname&lt;&gt;"",MATCH(Projektname,Projektname,0)),ROW(Projektname)-ROW(Data!$A$4)+1),ROW(Projektname)-ROW(Data!$A$4)+1),ROWS(A$2:A635))),"")</f>
        <v/>
      </c>
      <c r="B635" s="13" t="str">
        <f t="array" aca="1" ref="B635" ca="1">IFERROR(INDEX(Projektname_ODW,MATCH(SMALL(COUNTIF(Projektname_ODW, "&lt;" &amp; Projektname_ODW),ROW(634:634)),COUNTIF(Projektname_ODW, "&lt;" &amp; Projektname_ODW),0)),"")</f>
        <v/>
      </c>
    </row>
    <row r="636" spans="1:2">
      <c r="A636" s="13" t="str">
        <f t="array" aca="1" ref="A636" ca="1">IFERROR(INDEX(Projektname,SMALL(IF(FREQUENCY(IF(Projektname&lt;&gt;"",MATCH(Projektname,Projektname,0)),ROW(Projektname)-ROW(Data!$A$4)+1),ROW(Projektname)-ROW(Data!$A$4)+1),ROWS(A$2:A636))),"")</f>
        <v/>
      </c>
      <c r="B636" s="13" t="str">
        <f t="array" aca="1" ref="B636" ca="1">IFERROR(INDEX(Projektname_ODW,MATCH(SMALL(COUNTIF(Projektname_ODW, "&lt;" &amp; Projektname_ODW),ROW(635:635)),COUNTIF(Projektname_ODW, "&lt;" &amp; Projektname_ODW),0)),"")</f>
        <v/>
      </c>
    </row>
    <row r="637" spans="1:2">
      <c r="A637" s="13" t="str">
        <f t="array" aca="1" ref="A637" ca="1">IFERROR(INDEX(Projektname,SMALL(IF(FREQUENCY(IF(Projektname&lt;&gt;"",MATCH(Projektname,Projektname,0)),ROW(Projektname)-ROW(Data!$A$4)+1),ROW(Projektname)-ROW(Data!$A$4)+1),ROWS(A$2:A637))),"")</f>
        <v/>
      </c>
      <c r="B637" s="13" t="str">
        <f t="array" aca="1" ref="B637" ca="1">IFERROR(INDEX(Projektname_ODW,MATCH(SMALL(COUNTIF(Projektname_ODW, "&lt;" &amp; Projektname_ODW),ROW(636:636)),COUNTIF(Projektname_ODW, "&lt;" &amp; Projektname_ODW),0)),"")</f>
        <v/>
      </c>
    </row>
    <row r="638" spans="1:2">
      <c r="A638" s="13" t="str">
        <f t="array" aca="1" ref="A638" ca="1">IFERROR(INDEX(Projektname,SMALL(IF(FREQUENCY(IF(Projektname&lt;&gt;"",MATCH(Projektname,Projektname,0)),ROW(Projektname)-ROW(Data!$A$4)+1),ROW(Projektname)-ROW(Data!$A$4)+1),ROWS(A$2:A638))),"")</f>
        <v/>
      </c>
      <c r="B638" s="13" t="str">
        <f t="array" aca="1" ref="B638" ca="1">IFERROR(INDEX(Projektname_ODW,MATCH(SMALL(COUNTIF(Projektname_ODW, "&lt;" &amp; Projektname_ODW),ROW(637:637)),COUNTIF(Projektname_ODW, "&lt;" &amp; Projektname_ODW),0)),"")</f>
        <v/>
      </c>
    </row>
    <row r="639" spans="1:2">
      <c r="A639" s="13" t="str">
        <f t="array" aca="1" ref="A639" ca="1">IFERROR(INDEX(Projektname,SMALL(IF(FREQUENCY(IF(Projektname&lt;&gt;"",MATCH(Projektname,Projektname,0)),ROW(Projektname)-ROW(Data!$A$4)+1),ROW(Projektname)-ROW(Data!$A$4)+1),ROWS(A$2:A639))),"")</f>
        <v/>
      </c>
      <c r="B639" s="13" t="str">
        <f t="array" aca="1" ref="B639" ca="1">IFERROR(INDEX(Projektname_ODW,MATCH(SMALL(COUNTIF(Projektname_ODW, "&lt;" &amp; Projektname_ODW),ROW(638:638)),COUNTIF(Projektname_ODW, "&lt;" &amp; Projektname_ODW),0)),"")</f>
        <v/>
      </c>
    </row>
    <row r="640" spans="1:2">
      <c r="A640" s="13" t="str">
        <f t="array" aca="1" ref="A640" ca="1">IFERROR(INDEX(Projektname,SMALL(IF(FREQUENCY(IF(Projektname&lt;&gt;"",MATCH(Projektname,Projektname,0)),ROW(Projektname)-ROW(Data!$A$4)+1),ROW(Projektname)-ROW(Data!$A$4)+1),ROWS(A$2:A640))),"")</f>
        <v/>
      </c>
      <c r="B640" s="13" t="str">
        <f t="array" aca="1" ref="B640" ca="1">IFERROR(INDEX(Projektname_ODW,MATCH(SMALL(COUNTIF(Projektname_ODW, "&lt;" &amp; Projektname_ODW),ROW(639:639)),COUNTIF(Projektname_ODW, "&lt;" &amp; Projektname_ODW),0)),"")</f>
        <v/>
      </c>
    </row>
    <row r="641" spans="1:2">
      <c r="A641" s="13" t="str">
        <f t="array" aca="1" ref="A641" ca="1">IFERROR(INDEX(Projektname,SMALL(IF(FREQUENCY(IF(Projektname&lt;&gt;"",MATCH(Projektname,Projektname,0)),ROW(Projektname)-ROW(Data!$A$4)+1),ROW(Projektname)-ROW(Data!$A$4)+1),ROWS(A$2:A641))),"")</f>
        <v/>
      </c>
      <c r="B641" s="13" t="str">
        <f t="array" aca="1" ref="B641" ca="1">IFERROR(INDEX(Projektname_ODW,MATCH(SMALL(COUNTIF(Projektname_ODW, "&lt;" &amp; Projektname_ODW),ROW(640:640)),COUNTIF(Projektname_ODW, "&lt;" &amp; Projektname_ODW),0)),"")</f>
        <v/>
      </c>
    </row>
    <row r="642" spans="1:2">
      <c r="A642" s="13" t="str">
        <f t="array" aca="1" ref="A642" ca="1">IFERROR(INDEX(Projektname,SMALL(IF(FREQUENCY(IF(Projektname&lt;&gt;"",MATCH(Projektname,Projektname,0)),ROW(Projektname)-ROW(Data!$A$4)+1),ROW(Projektname)-ROW(Data!$A$4)+1),ROWS(A$2:A642))),"")</f>
        <v/>
      </c>
      <c r="B642" s="13" t="str">
        <f t="array" aca="1" ref="B642" ca="1">IFERROR(INDEX(Projektname_ODW,MATCH(SMALL(COUNTIF(Projektname_ODW, "&lt;" &amp; Projektname_ODW),ROW(641:641)),COUNTIF(Projektname_ODW, "&lt;" &amp; Projektname_ODW),0)),"")</f>
        <v/>
      </c>
    </row>
    <row r="643" spans="1:2">
      <c r="A643" s="13" t="str">
        <f t="array" aca="1" ref="A643" ca="1">IFERROR(INDEX(Projektname,SMALL(IF(FREQUENCY(IF(Projektname&lt;&gt;"",MATCH(Projektname,Projektname,0)),ROW(Projektname)-ROW(Data!$A$4)+1),ROW(Projektname)-ROW(Data!$A$4)+1),ROWS(A$2:A643))),"")</f>
        <v/>
      </c>
      <c r="B643" s="13" t="str">
        <f t="array" aca="1" ref="B643" ca="1">IFERROR(INDEX(Projektname_ODW,MATCH(SMALL(COUNTIF(Projektname_ODW, "&lt;" &amp; Projektname_ODW),ROW(642:642)),COUNTIF(Projektname_ODW, "&lt;" &amp; Projektname_ODW),0)),"")</f>
        <v/>
      </c>
    </row>
    <row r="644" spans="1:2">
      <c r="A644" s="13" t="str">
        <f t="array" aca="1" ref="A644" ca="1">IFERROR(INDEX(Projektname,SMALL(IF(FREQUENCY(IF(Projektname&lt;&gt;"",MATCH(Projektname,Projektname,0)),ROW(Projektname)-ROW(Data!$A$4)+1),ROW(Projektname)-ROW(Data!$A$4)+1),ROWS(A$2:A644))),"")</f>
        <v/>
      </c>
      <c r="B644" s="13" t="str">
        <f t="array" aca="1" ref="B644" ca="1">IFERROR(INDEX(Projektname_ODW,MATCH(SMALL(COUNTIF(Projektname_ODW, "&lt;" &amp; Projektname_ODW),ROW(643:643)),COUNTIF(Projektname_ODW, "&lt;" &amp; Projektname_ODW),0)),"")</f>
        <v/>
      </c>
    </row>
    <row r="645" spans="1:2">
      <c r="A645" s="13" t="str">
        <f t="array" aca="1" ref="A645" ca="1">IFERROR(INDEX(Projektname,SMALL(IF(FREQUENCY(IF(Projektname&lt;&gt;"",MATCH(Projektname,Projektname,0)),ROW(Projektname)-ROW(Data!$A$4)+1),ROW(Projektname)-ROW(Data!$A$4)+1),ROWS(A$2:A645))),"")</f>
        <v/>
      </c>
      <c r="B645" s="13" t="str">
        <f t="array" aca="1" ref="B645" ca="1">IFERROR(INDEX(Projektname_ODW,MATCH(SMALL(COUNTIF(Projektname_ODW, "&lt;" &amp; Projektname_ODW),ROW(644:644)),COUNTIF(Projektname_ODW, "&lt;" &amp; Projektname_ODW),0)),"")</f>
        <v/>
      </c>
    </row>
    <row r="646" spans="1:2">
      <c r="A646" s="13" t="str">
        <f t="array" aca="1" ref="A646" ca="1">IFERROR(INDEX(Projektname,SMALL(IF(FREQUENCY(IF(Projektname&lt;&gt;"",MATCH(Projektname,Projektname,0)),ROW(Projektname)-ROW(Data!$A$4)+1),ROW(Projektname)-ROW(Data!$A$4)+1),ROWS(A$2:A646))),"")</f>
        <v/>
      </c>
      <c r="B646" s="13" t="str">
        <f t="array" aca="1" ref="B646" ca="1">IFERROR(INDEX(Projektname_ODW,MATCH(SMALL(COUNTIF(Projektname_ODW, "&lt;" &amp; Projektname_ODW),ROW(645:645)),COUNTIF(Projektname_ODW, "&lt;" &amp; Projektname_ODW),0)),"")</f>
        <v/>
      </c>
    </row>
    <row r="647" spans="1:2">
      <c r="A647" s="13" t="str">
        <f t="array" aca="1" ref="A647" ca="1">IFERROR(INDEX(Projektname,SMALL(IF(FREQUENCY(IF(Projektname&lt;&gt;"",MATCH(Projektname,Projektname,0)),ROW(Projektname)-ROW(Data!$A$4)+1),ROW(Projektname)-ROW(Data!$A$4)+1),ROWS(A$2:A647))),"")</f>
        <v/>
      </c>
      <c r="B647" s="13" t="str">
        <f t="array" aca="1" ref="B647" ca="1">IFERROR(INDEX(Projektname_ODW,MATCH(SMALL(COUNTIF(Projektname_ODW, "&lt;" &amp; Projektname_ODW),ROW(646:646)),COUNTIF(Projektname_ODW, "&lt;" &amp; Projektname_ODW),0)),"")</f>
        <v/>
      </c>
    </row>
    <row r="648" spans="1:2">
      <c r="A648" s="13" t="str">
        <f t="array" aca="1" ref="A648" ca="1">IFERROR(INDEX(Projektname,SMALL(IF(FREQUENCY(IF(Projektname&lt;&gt;"",MATCH(Projektname,Projektname,0)),ROW(Projektname)-ROW(Data!$A$4)+1),ROW(Projektname)-ROW(Data!$A$4)+1),ROWS(A$2:A648))),"")</f>
        <v/>
      </c>
      <c r="B648" s="13" t="str">
        <f t="array" aca="1" ref="B648" ca="1">IFERROR(INDEX(Projektname_ODW,MATCH(SMALL(COUNTIF(Projektname_ODW, "&lt;" &amp; Projektname_ODW),ROW(647:647)),COUNTIF(Projektname_ODW, "&lt;" &amp; Projektname_ODW),0)),"")</f>
        <v/>
      </c>
    </row>
    <row r="649" spans="1:2">
      <c r="A649" s="13" t="str">
        <f t="array" aca="1" ref="A649" ca="1">IFERROR(INDEX(Projektname,SMALL(IF(FREQUENCY(IF(Projektname&lt;&gt;"",MATCH(Projektname,Projektname,0)),ROW(Projektname)-ROW(Data!$A$4)+1),ROW(Projektname)-ROW(Data!$A$4)+1),ROWS(A$2:A649))),"")</f>
        <v/>
      </c>
      <c r="B649" s="13" t="str">
        <f t="array" aca="1" ref="B649" ca="1">IFERROR(INDEX(Projektname_ODW,MATCH(SMALL(COUNTIF(Projektname_ODW, "&lt;" &amp; Projektname_ODW),ROW(648:648)),COUNTIF(Projektname_ODW, "&lt;" &amp; Projektname_ODW),0)),"")</f>
        <v/>
      </c>
    </row>
    <row r="650" spans="1:2">
      <c r="A650" s="13" t="str">
        <f t="array" aca="1" ref="A650" ca="1">IFERROR(INDEX(Projektname,SMALL(IF(FREQUENCY(IF(Projektname&lt;&gt;"",MATCH(Projektname,Projektname,0)),ROW(Projektname)-ROW(Data!$A$4)+1),ROW(Projektname)-ROW(Data!$A$4)+1),ROWS(A$2:A650))),"")</f>
        <v/>
      </c>
      <c r="B650" s="13" t="str">
        <f t="array" aca="1" ref="B650" ca="1">IFERROR(INDEX(Projektname_ODW,MATCH(SMALL(COUNTIF(Projektname_ODW, "&lt;" &amp; Projektname_ODW),ROW(649:649)),COUNTIF(Projektname_ODW, "&lt;" &amp; Projektname_ODW),0)),"")</f>
        <v/>
      </c>
    </row>
    <row r="651" spans="1:2">
      <c r="A651" s="13" t="str">
        <f t="array" aca="1" ref="A651" ca="1">IFERROR(INDEX(Projektname,SMALL(IF(FREQUENCY(IF(Projektname&lt;&gt;"",MATCH(Projektname,Projektname,0)),ROW(Projektname)-ROW(Data!$A$4)+1),ROW(Projektname)-ROW(Data!$A$4)+1),ROWS(A$2:A651))),"")</f>
        <v/>
      </c>
      <c r="B651" s="13" t="str">
        <f t="array" aca="1" ref="B651" ca="1">IFERROR(INDEX(Projektname_ODW,MATCH(SMALL(COUNTIF(Projektname_ODW, "&lt;" &amp; Projektname_ODW),ROW(650:650)),COUNTIF(Projektname_ODW, "&lt;" &amp; Projektname_ODW),0)),"")</f>
        <v/>
      </c>
    </row>
    <row r="652" spans="1:2">
      <c r="A652" s="13" t="str">
        <f t="array" aca="1" ref="A652" ca="1">IFERROR(INDEX(Projektname,SMALL(IF(FREQUENCY(IF(Projektname&lt;&gt;"",MATCH(Projektname,Projektname,0)),ROW(Projektname)-ROW(Data!$A$4)+1),ROW(Projektname)-ROW(Data!$A$4)+1),ROWS(A$2:A652))),"")</f>
        <v/>
      </c>
      <c r="B652" s="13" t="str">
        <f t="array" aca="1" ref="B652" ca="1">IFERROR(INDEX(Projektname_ODW,MATCH(SMALL(COUNTIF(Projektname_ODW, "&lt;" &amp; Projektname_ODW),ROW(651:651)),COUNTIF(Projektname_ODW, "&lt;" &amp; Projektname_ODW),0)),"")</f>
        <v/>
      </c>
    </row>
    <row r="653" spans="1:2">
      <c r="A653" s="13" t="str">
        <f t="array" aca="1" ref="A653" ca="1">IFERROR(INDEX(Projektname,SMALL(IF(FREQUENCY(IF(Projektname&lt;&gt;"",MATCH(Projektname,Projektname,0)),ROW(Projektname)-ROW(Data!$A$4)+1),ROW(Projektname)-ROW(Data!$A$4)+1),ROWS(A$2:A653))),"")</f>
        <v/>
      </c>
      <c r="B653" s="13" t="str">
        <f t="array" aca="1" ref="B653" ca="1">IFERROR(INDEX(Projektname_ODW,MATCH(SMALL(COUNTIF(Projektname_ODW, "&lt;" &amp; Projektname_ODW),ROW(652:652)),COUNTIF(Projektname_ODW, "&lt;" &amp; Projektname_ODW),0)),"")</f>
        <v/>
      </c>
    </row>
    <row r="654" spans="1:2">
      <c r="A654" s="13" t="str">
        <f t="array" aca="1" ref="A654" ca="1">IFERROR(INDEX(Projektname,SMALL(IF(FREQUENCY(IF(Projektname&lt;&gt;"",MATCH(Projektname,Projektname,0)),ROW(Projektname)-ROW(Data!$A$4)+1),ROW(Projektname)-ROW(Data!$A$4)+1),ROWS(A$2:A654))),"")</f>
        <v/>
      </c>
      <c r="B654" s="13" t="str">
        <f t="array" aca="1" ref="B654" ca="1">IFERROR(INDEX(Projektname_ODW,MATCH(SMALL(COUNTIF(Projektname_ODW, "&lt;" &amp; Projektname_ODW),ROW(653:653)),COUNTIF(Projektname_ODW, "&lt;" &amp; Projektname_ODW),0)),"")</f>
        <v/>
      </c>
    </row>
    <row r="655" spans="1:2">
      <c r="A655" s="13" t="str">
        <f t="array" aca="1" ref="A655" ca="1">IFERROR(INDEX(Projektname,SMALL(IF(FREQUENCY(IF(Projektname&lt;&gt;"",MATCH(Projektname,Projektname,0)),ROW(Projektname)-ROW(Data!$A$4)+1),ROW(Projektname)-ROW(Data!$A$4)+1),ROWS(A$2:A655))),"")</f>
        <v/>
      </c>
      <c r="B655" s="13" t="str">
        <f t="array" aca="1" ref="B655" ca="1">IFERROR(INDEX(Projektname_ODW,MATCH(SMALL(COUNTIF(Projektname_ODW, "&lt;" &amp; Projektname_ODW),ROW(654:654)),COUNTIF(Projektname_ODW, "&lt;" &amp; Projektname_ODW),0)),"")</f>
        <v/>
      </c>
    </row>
    <row r="656" spans="1:2">
      <c r="A656" s="13" t="str">
        <f t="array" aca="1" ref="A656" ca="1">IFERROR(INDEX(Projektname,SMALL(IF(FREQUENCY(IF(Projektname&lt;&gt;"",MATCH(Projektname,Projektname,0)),ROW(Projektname)-ROW(Data!$A$4)+1),ROW(Projektname)-ROW(Data!$A$4)+1),ROWS(A$2:A656))),"")</f>
        <v/>
      </c>
      <c r="B656" s="13" t="str">
        <f t="array" aca="1" ref="B656" ca="1">IFERROR(INDEX(Projektname_ODW,MATCH(SMALL(COUNTIF(Projektname_ODW, "&lt;" &amp; Projektname_ODW),ROW(655:655)),COUNTIF(Projektname_ODW, "&lt;" &amp; Projektname_ODW),0)),"")</f>
        <v/>
      </c>
    </row>
    <row r="657" spans="1:2">
      <c r="A657" s="13" t="str">
        <f t="array" aca="1" ref="A657" ca="1">IFERROR(INDEX(Projektname,SMALL(IF(FREQUENCY(IF(Projektname&lt;&gt;"",MATCH(Projektname,Projektname,0)),ROW(Projektname)-ROW(Data!$A$4)+1),ROW(Projektname)-ROW(Data!$A$4)+1),ROWS(A$2:A657))),"")</f>
        <v/>
      </c>
      <c r="B657" s="13" t="str">
        <f t="array" aca="1" ref="B657" ca="1">IFERROR(INDEX(Projektname_ODW,MATCH(SMALL(COUNTIF(Projektname_ODW, "&lt;" &amp; Projektname_ODW),ROW(656:656)),COUNTIF(Projektname_ODW, "&lt;" &amp; Projektname_ODW),0)),"")</f>
        <v/>
      </c>
    </row>
    <row r="658" spans="1:2">
      <c r="A658" s="13" t="str">
        <f t="array" aca="1" ref="A658" ca="1">IFERROR(INDEX(Projektname,SMALL(IF(FREQUENCY(IF(Projektname&lt;&gt;"",MATCH(Projektname,Projektname,0)),ROW(Projektname)-ROW(Data!$A$4)+1),ROW(Projektname)-ROW(Data!$A$4)+1),ROWS(A$2:A658))),"")</f>
        <v/>
      </c>
      <c r="B658" s="13" t="str">
        <f t="array" aca="1" ref="B658" ca="1">IFERROR(INDEX(Projektname_ODW,MATCH(SMALL(COUNTIF(Projektname_ODW, "&lt;" &amp; Projektname_ODW),ROW(657:657)),COUNTIF(Projektname_ODW, "&lt;" &amp; Projektname_ODW),0)),"")</f>
        <v/>
      </c>
    </row>
    <row r="659" spans="1:2">
      <c r="A659" s="13" t="str">
        <f t="array" aca="1" ref="A659" ca="1">IFERROR(INDEX(Projektname,SMALL(IF(FREQUENCY(IF(Projektname&lt;&gt;"",MATCH(Projektname,Projektname,0)),ROW(Projektname)-ROW(Data!$A$4)+1),ROW(Projektname)-ROW(Data!$A$4)+1),ROWS(A$2:A659))),"")</f>
        <v/>
      </c>
      <c r="B659" s="13" t="str">
        <f t="array" aca="1" ref="B659" ca="1">IFERROR(INDEX(Projektname_ODW,MATCH(SMALL(COUNTIF(Projektname_ODW, "&lt;" &amp; Projektname_ODW),ROW(658:658)),COUNTIF(Projektname_ODW, "&lt;" &amp; Projektname_ODW),0)),"")</f>
        <v/>
      </c>
    </row>
    <row r="660" spans="1:2">
      <c r="A660" s="13" t="str">
        <f t="array" aca="1" ref="A660" ca="1">IFERROR(INDEX(Projektname,SMALL(IF(FREQUENCY(IF(Projektname&lt;&gt;"",MATCH(Projektname,Projektname,0)),ROW(Projektname)-ROW(Data!$A$4)+1),ROW(Projektname)-ROW(Data!$A$4)+1),ROWS(A$2:A660))),"")</f>
        <v/>
      </c>
      <c r="B660" s="13" t="str">
        <f t="array" aca="1" ref="B660" ca="1">IFERROR(INDEX(Projektname_ODW,MATCH(SMALL(COUNTIF(Projektname_ODW, "&lt;" &amp; Projektname_ODW),ROW(659:659)),COUNTIF(Projektname_ODW, "&lt;" &amp; Projektname_ODW),0)),"")</f>
        <v/>
      </c>
    </row>
    <row r="661" spans="1:2">
      <c r="A661" s="13" t="str">
        <f t="array" aca="1" ref="A661" ca="1">IFERROR(INDEX(Projektname,SMALL(IF(FREQUENCY(IF(Projektname&lt;&gt;"",MATCH(Projektname,Projektname,0)),ROW(Projektname)-ROW(Data!$A$4)+1),ROW(Projektname)-ROW(Data!$A$4)+1),ROWS(A$2:A661))),"")</f>
        <v/>
      </c>
      <c r="B661" s="13" t="str">
        <f t="array" aca="1" ref="B661" ca="1">IFERROR(INDEX(Projektname_ODW,MATCH(SMALL(COUNTIF(Projektname_ODW, "&lt;" &amp; Projektname_ODW),ROW(660:660)),COUNTIF(Projektname_ODW, "&lt;" &amp; Projektname_ODW),0)),"")</f>
        <v/>
      </c>
    </row>
    <row r="662" spans="1:2">
      <c r="A662" s="13" t="str">
        <f t="array" aca="1" ref="A662" ca="1">IFERROR(INDEX(Projektname,SMALL(IF(FREQUENCY(IF(Projektname&lt;&gt;"",MATCH(Projektname,Projektname,0)),ROW(Projektname)-ROW(Data!$A$4)+1),ROW(Projektname)-ROW(Data!$A$4)+1),ROWS(A$2:A662))),"")</f>
        <v/>
      </c>
      <c r="B662" s="13" t="str">
        <f t="array" aca="1" ref="B662" ca="1">IFERROR(INDEX(Projektname_ODW,MATCH(SMALL(COUNTIF(Projektname_ODW, "&lt;" &amp; Projektname_ODW),ROW(661:661)),COUNTIF(Projektname_ODW, "&lt;" &amp; Projektname_ODW),0)),"")</f>
        <v/>
      </c>
    </row>
    <row r="663" spans="1:2">
      <c r="A663" s="13" t="str">
        <f t="array" aca="1" ref="A663" ca="1">IFERROR(INDEX(Projektname,SMALL(IF(FREQUENCY(IF(Projektname&lt;&gt;"",MATCH(Projektname,Projektname,0)),ROW(Projektname)-ROW(Data!$A$4)+1),ROW(Projektname)-ROW(Data!$A$4)+1),ROWS(A$2:A663))),"")</f>
        <v/>
      </c>
      <c r="B663" s="13" t="str">
        <f t="array" aca="1" ref="B663" ca="1">IFERROR(INDEX(Projektname_ODW,MATCH(SMALL(COUNTIF(Projektname_ODW, "&lt;" &amp; Projektname_ODW),ROW(662:662)),COUNTIF(Projektname_ODW, "&lt;" &amp; Projektname_ODW),0)),"")</f>
        <v/>
      </c>
    </row>
    <row r="664" spans="1:2">
      <c r="A664" s="13" t="str">
        <f t="array" aca="1" ref="A664" ca="1">IFERROR(INDEX(Projektname,SMALL(IF(FREQUENCY(IF(Projektname&lt;&gt;"",MATCH(Projektname,Projektname,0)),ROW(Projektname)-ROW(Data!$A$4)+1),ROW(Projektname)-ROW(Data!$A$4)+1),ROWS(A$2:A664))),"")</f>
        <v/>
      </c>
      <c r="B664" s="13" t="str">
        <f t="array" aca="1" ref="B664" ca="1">IFERROR(INDEX(Projektname_ODW,MATCH(SMALL(COUNTIF(Projektname_ODW, "&lt;" &amp; Projektname_ODW),ROW(663:663)),COUNTIF(Projektname_ODW, "&lt;" &amp; Projektname_ODW),0)),"")</f>
        <v/>
      </c>
    </row>
    <row r="665" spans="1:2">
      <c r="A665" s="13" t="str">
        <f t="array" aca="1" ref="A665" ca="1">IFERROR(INDEX(Projektname,SMALL(IF(FREQUENCY(IF(Projektname&lt;&gt;"",MATCH(Projektname,Projektname,0)),ROW(Projektname)-ROW(Data!$A$4)+1),ROW(Projektname)-ROW(Data!$A$4)+1),ROWS(A$2:A665))),"")</f>
        <v/>
      </c>
      <c r="B665" s="13" t="str">
        <f t="array" aca="1" ref="B665" ca="1">IFERROR(INDEX(Projektname_ODW,MATCH(SMALL(COUNTIF(Projektname_ODW, "&lt;" &amp; Projektname_ODW),ROW(664:664)),COUNTIF(Projektname_ODW, "&lt;" &amp; Projektname_ODW),0)),"")</f>
        <v/>
      </c>
    </row>
    <row r="666" spans="1:2">
      <c r="A666" s="13" t="str">
        <f t="array" aca="1" ref="A666" ca="1">IFERROR(INDEX(Projektname,SMALL(IF(FREQUENCY(IF(Projektname&lt;&gt;"",MATCH(Projektname,Projektname,0)),ROW(Projektname)-ROW(Data!$A$4)+1),ROW(Projektname)-ROW(Data!$A$4)+1),ROWS(A$2:A666))),"")</f>
        <v/>
      </c>
      <c r="B666" s="13" t="str">
        <f t="array" aca="1" ref="B666" ca="1">IFERROR(INDEX(Projektname_ODW,MATCH(SMALL(COUNTIF(Projektname_ODW, "&lt;" &amp; Projektname_ODW),ROW(665:665)),COUNTIF(Projektname_ODW, "&lt;" &amp; Projektname_ODW),0)),"")</f>
        <v/>
      </c>
    </row>
    <row r="667" spans="1:2">
      <c r="A667" s="13" t="str">
        <f t="array" aca="1" ref="A667" ca="1">IFERROR(INDEX(Projektname,SMALL(IF(FREQUENCY(IF(Projektname&lt;&gt;"",MATCH(Projektname,Projektname,0)),ROW(Projektname)-ROW(Data!$A$4)+1),ROW(Projektname)-ROW(Data!$A$4)+1),ROWS(A$2:A667))),"")</f>
        <v/>
      </c>
      <c r="B667" s="13" t="str">
        <f t="array" aca="1" ref="B667" ca="1">IFERROR(INDEX(Projektname_ODW,MATCH(SMALL(COUNTIF(Projektname_ODW, "&lt;" &amp; Projektname_ODW),ROW(666:666)),COUNTIF(Projektname_ODW, "&lt;" &amp; Projektname_ODW),0)),"")</f>
        <v/>
      </c>
    </row>
    <row r="668" spans="1:2">
      <c r="A668" s="13" t="str">
        <f t="array" aca="1" ref="A668" ca="1">IFERROR(INDEX(Projektname,SMALL(IF(FREQUENCY(IF(Projektname&lt;&gt;"",MATCH(Projektname,Projektname,0)),ROW(Projektname)-ROW(Data!$A$4)+1),ROW(Projektname)-ROW(Data!$A$4)+1),ROWS(A$2:A668))),"")</f>
        <v/>
      </c>
      <c r="B668" s="13" t="str">
        <f t="array" aca="1" ref="B668" ca="1">IFERROR(INDEX(Projektname_ODW,MATCH(SMALL(COUNTIF(Projektname_ODW, "&lt;" &amp; Projektname_ODW),ROW(667:667)),COUNTIF(Projektname_ODW, "&lt;" &amp; Projektname_ODW),0)),"")</f>
        <v/>
      </c>
    </row>
    <row r="669" spans="1:2">
      <c r="A669" s="13" t="str">
        <f t="array" aca="1" ref="A669" ca="1">IFERROR(INDEX(Projektname,SMALL(IF(FREQUENCY(IF(Projektname&lt;&gt;"",MATCH(Projektname,Projektname,0)),ROW(Projektname)-ROW(Data!$A$4)+1),ROW(Projektname)-ROW(Data!$A$4)+1),ROWS(A$2:A669))),"")</f>
        <v/>
      </c>
      <c r="B669" s="13" t="str">
        <f t="array" aca="1" ref="B669" ca="1">IFERROR(INDEX(Projektname_ODW,MATCH(SMALL(COUNTIF(Projektname_ODW, "&lt;" &amp; Projektname_ODW),ROW(668:668)),COUNTIF(Projektname_ODW, "&lt;" &amp; Projektname_ODW),0)),"")</f>
        <v/>
      </c>
    </row>
    <row r="670" spans="1:2">
      <c r="A670" s="13" t="str">
        <f t="array" aca="1" ref="A670" ca="1">IFERROR(INDEX(Projektname,SMALL(IF(FREQUENCY(IF(Projektname&lt;&gt;"",MATCH(Projektname,Projektname,0)),ROW(Projektname)-ROW(Data!$A$4)+1),ROW(Projektname)-ROW(Data!$A$4)+1),ROWS(A$2:A670))),"")</f>
        <v/>
      </c>
      <c r="B670" s="13" t="str">
        <f t="array" aca="1" ref="B670" ca="1">IFERROR(INDEX(Projektname_ODW,MATCH(SMALL(COUNTIF(Projektname_ODW, "&lt;" &amp; Projektname_ODW),ROW(669:669)),COUNTIF(Projektname_ODW, "&lt;" &amp; Projektname_ODW),0)),"")</f>
        <v/>
      </c>
    </row>
    <row r="671" spans="1:2">
      <c r="A671" s="13" t="str">
        <f t="array" aca="1" ref="A671" ca="1">IFERROR(INDEX(Projektname,SMALL(IF(FREQUENCY(IF(Projektname&lt;&gt;"",MATCH(Projektname,Projektname,0)),ROW(Projektname)-ROW(Data!$A$4)+1),ROW(Projektname)-ROW(Data!$A$4)+1),ROWS(A$2:A671))),"")</f>
        <v/>
      </c>
      <c r="B671" s="13" t="str">
        <f t="array" aca="1" ref="B671" ca="1">IFERROR(INDEX(Projektname_ODW,MATCH(SMALL(COUNTIF(Projektname_ODW, "&lt;" &amp; Projektname_ODW),ROW(670:670)),COUNTIF(Projektname_ODW, "&lt;" &amp; Projektname_ODW),0)),"")</f>
        <v/>
      </c>
    </row>
    <row r="672" spans="1:2">
      <c r="A672" s="13" t="str">
        <f t="array" aca="1" ref="A672" ca="1">IFERROR(INDEX(Projektname,SMALL(IF(FREQUENCY(IF(Projektname&lt;&gt;"",MATCH(Projektname,Projektname,0)),ROW(Projektname)-ROW(Data!$A$4)+1),ROW(Projektname)-ROW(Data!$A$4)+1),ROWS(A$2:A672))),"")</f>
        <v/>
      </c>
      <c r="B672" s="13" t="str">
        <f t="array" aca="1" ref="B672" ca="1">IFERROR(INDEX(Projektname_ODW,MATCH(SMALL(COUNTIF(Projektname_ODW, "&lt;" &amp; Projektname_ODW),ROW(671:671)),COUNTIF(Projektname_ODW, "&lt;" &amp; Projektname_ODW),0)),"")</f>
        <v/>
      </c>
    </row>
    <row r="673" spans="1:2">
      <c r="A673" s="13" t="str">
        <f t="array" aca="1" ref="A673" ca="1">IFERROR(INDEX(Projektname,SMALL(IF(FREQUENCY(IF(Projektname&lt;&gt;"",MATCH(Projektname,Projektname,0)),ROW(Projektname)-ROW(Data!$A$4)+1),ROW(Projektname)-ROW(Data!$A$4)+1),ROWS(A$2:A673))),"")</f>
        <v/>
      </c>
      <c r="B673" s="13" t="str">
        <f t="array" aca="1" ref="B673" ca="1">IFERROR(INDEX(Projektname_ODW,MATCH(SMALL(COUNTIF(Projektname_ODW, "&lt;" &amp; Projektname_ODW),ROW(672:672)),COUNTIF(Projektname_ODW, "&lt;" &amp; Projektname_ODW),0)),"")</f>
        <v/>
      </c>
    </row>
    <row r="674" spans="1:2">
      <c r="A674" s="13" t="str">
        <f t="array" aca="1" ref="A674" ca="1">IFERROR(INDEX(Projektname,SMALL(IF(FREQUENCY(IF(Projektname&lt;&gt;"",MATCH(Projektname,Projektname,0)),ROW(Projektname)-ROW(Data!$A$4)+1),ROW(Projektname)-ROW(Data!$A$4)+1),ROWS(A$2:A674))),"")</f>
        <v/>
      </c>
      <c r="B674" s="13" t="str">
        <f t="array" aca="1" ref="B674" ca="1">IFERROR(INDEX(Projektname_ODW,MATCH(SMALL(COUNTIF(Projektname_ODW, "&lt;" &amp; Projektname_ODW),ROW(673:673)),COUNTIF(Projektname_ODW, "&lt;" &amp; Projektname_ODW),0)),"")</f>
        <v/>
      </c>
    </row>
    <row r="675" spans="1:2">
      <c r="A675" s="13" t="str">
        <f t="array" aca="1" ref="A675" ca="1">IFERROR(INDEX(Projektname,SMALL(IF(FREQUENCY(IF(Projektname&lt;&gt;"",MATCH(Projektname,Projektname,0)),ROW(Projektname)-ROW(Data!$A$4)+1),ROW(Projektname)-ROW(Data!$A$4)+1),ROWS(A$2:A675))),"")</f>
        <v/>
      </c>
      <c r="B675" s="13" t="str">
        <f t="array" aca="1" ref="B675" ca="1">IFERROR(INDEX(Projektname_ODW,MATCH(SMALL(COUNTIF(Projektname_ODW, "&lt;" &amp; Projektname_ODW),ROW(674:674)),COUNTIF(Projektname_ODW, "&lt;" &amp; Projektname_ODW),0)),"")</f>
        <v/>
      </c>
    </row>
    <row r="676" spans="1:2">
      <c r="A676" s="13" t="str">
        <f t="array" aca="1" ref="A676" ca="1">IFERROR(INDEX(Projektname,SMALL(IF(FREQUENCY(IF(Projektname&lt;&gt;"",MATCH(Projektname,Projektname,0)),ROW(Projektname)-ROW(Data!$A$4)+1),ROW(Projektname)-ROW(Data!$A$4)+1),ROWS(A$2:A676))),"")</f>
        <v/>
      </c>
      <c r="B676" s="13" t="str">
        <f t="array" aca="1" ref="B676" ca="1">IFERROR(INDEX(Projektname_ODW,MATCH(SMALL(COUNTIF(Projektname_ODW, "&lt;" &amp; Projektname_ODW),ROW(675:675)),COUNTIF(Projektname_ODW, "&lt;" &amp; Projektname_ODW),0)),"")</f>
        <v/>
      </c>
    </row>
    <row r="677" spans="1:2">
      <c r="A677" s="13" t="str">
        <f t="array" aca="1" ref="A677" ca="1">IFERROR(INDEX(Projektname,SMALL(IF(FREQUENCY(IF(Projektname&lt;&gt;"",MATCH(Projektname,Projektname,0)),ROW(Projektname)-ROW(Data!$A$4)+1),ROW(Projektname)-ROW(Data!$A$4)+1),ROWS(A$2:A677))),"")</f>
        <v/>
      </c>
      <c r="B677" s="13" t="str">
        <f t="array" aca="1" ref="B677" ca="1">IFERROR(INDEX(Projektname_ODW,MATCH(SMALL(COUNTIF(Projektname_ODW, "&lt;" &amp; Projektname_ODW),ROW(676:676)),COUNTIF(Projektname_ODW, "&lt;" &amp; Projektname_ODW),0)),"")</f>
        <v/>
      </c>
    </row>
    <row r="678" spans="1:2">
      <c r="A678" s="13" t="str">
        <f t="array" aca="1" ref="A678" ca="1">IFERROR(INDEX(Projektname,SMALL(IF(FREQUENCY(IF(Projektname&lt;&gt;"",MATCH(Projektname,Projektname,0)),ROW(Projektname)-ROW(Data!$A$4)+1),ROW(Projektname)-ROW(Data!$A$4)+1),ROWS(A$2:A678))),"")</f>
        <v/>
      </c>
      <c r="B678" s="13" t="str">
        <f t="array" aca="1" ref="B678" ca="1">IFERROR(INDEX(Projektname_ODW,MATCH(SMALL(COUNTIF(Projektname_ODW, "&lt;" &amp; Projektname_ODW),ROW(677:677)),COUNTIF(Projektname_ODW, "&lt;" &amp; Projektname_ODW),0)),"")</f>
        <v/>
      </c>
    </row>
    <row r="679" spans="1:2">
      <c r="A679" s="13" t="str">
        <f t="array" aca="1" ref="A679" ca="1">IFERROR(INDEX(Projektname,SMALL(IF(FREQUENCY(IF(Projektname&lt;&gt;"",MATCH(Projektname,Projektname,0)),ROW(Projektname)-ROW(Data!$A$4)+1),ROW(Projektname)-ROW(Data!$A$4)+1),ROWS(A$2:A679))),"")</f>
        <v/>
      </c>
      <c r="B679" s="13" t="str">
        <f t="array" aca="1" ref="B679" ca="1">IFERROR(INDEX(Projektname_ODW,MATCH(SMALL(COUNTIF(Projektname_ODW, "&lt;" &amp; Projektname_ODW),ROW(678:678)),COUNTIF(Projektname_ODW, "&lt;" &amp; Projektname_ODW),0)),"")</f>
        <v/>
      </c>
    </row>
    <row r="680" spans="1:2">
      <c r="A680" s="13" t="str">
        <f t="array" aca="1" ref="A680" ca="1">IFERROR(INDEX(Projektname,SMALL(IF(FREQUENCY(IF(Projektname&lt;&gt;"",MATCH(Projektname,Projektname,0)),ROW(Projektname)-ROW(Data!$A$4)+1),ROW(Projektname)-ROW(Data!$A$4)+1),ROWS(A$2:A680))),"")</f>
        <v/>
      </c>
      <c r="B680" s="13" t="str">
        <f t="array" aca="1" ref="B680" ca="1">IFERROR(INDEX(Projektname_ODW,MATCH(SMALL(COUNTIF(Projektname_ODW, "&lt;" &amp; Projektname_ODW),ROW(679:679)),COUNTIF(Projektname_ODW, "&lt;" &amp; Projektname_ODW),0)),"")</f>
        <v/>
      </c>
    </row>
    <row r="681" spans="1:2">
      <c r="A681" s="13" t="str">
        <f t="array" aca="1" ref="A681" ca="1">IFERROR(INDEX(Projektname,SMALL(IF(FREQUENCY(IF(Projektname&lt;&gt;"",MATCH(Projektname,Projektname,0)),ROW(Projektname)-ROW(Data!$A$4)+1),ROW(Projektname)-ROW(Data!$A$4)+1),ROWS(A$2:A681))),"")</f>
        <v/>
      </c>
      <c r="B681" s="13" t="str">
        <f t="array" aca="1" ref="B681" ca="1">IFERROR(INDEX(Projektname_ODW,MATCH(SMALL(COUNTIF(Projektname_ODW, "&lt;" &amp; Projektname_ODW),ROW(680:680)),COUNTIF(Projektname_ODW, "&lt;" &amp; Projektname_ODW),0)),"")</f>
        <v/>
      </c>
    </row>
    <row r="682" spans="1:2">
      <c r="A682" s="13" t="str">
        <f t="array" aca="1" ref="A682" ca="1">IFERROR(INDEX(Projektname,SMALL(IF(FREQUENCY(IF(Projektname&lt;&gt;"",MATCH(Projektname,Projektname,0)),ROW(Projektname)-ROW(Data!$A$4)+1),ROW(Projektname)-ROW(Data!$A$4)+1),ROWS(A$2:A682))),"")</f>
        <v/>
      </c>
      <c r="B682" s="13" t="str">
        <f t="array" aca="1" ref="B682" ca="1">IFERROR(INDEX(Projektname_ODW,MATCH(SMALL(COUNTIF(Projektname_ODW, "&lt;" &amp; Projektname_ODW),ROW(681:681)),COUNTIF(Projektname_ODW, "&lt;" &amp; Projektname_ODW),0)),"")</f>
        <v/>
      </c>
    </row>
    <row r="683" spans="1:2">
      <c r="A683" s="13" t="str">
        <f t="array" aca="1" ref="A683" ca="1">IFERROR(INDEX(Projektname,SMALL(IF(FREQUENCY(IF(Projektname&lt;&gt;"",MATCH(Projektname,Projektname,0)),ROW(Projektname)-ROW(Data!$A$4)+1),ROW(Projektname)-ROW(Data!$A$4)+1),ROWS(A$2:A683))),"")</f>
        <v/>
      </c>
      <c r="B683" s="13" t="str">
        <f t="array" aca="1" ref="B683" ca="1">IFERROR(INDEX(Projektname_ODW,MATCH(SMALL(COUNTIF(Projektname_ODW, "&lt;" &amp; Projektname_ODW),ROW(682:682)),COUNTIF(Projektname_ODW, "&lt;" &amp; Projektname_ODW),0)),"")</f>
        <v/>
      </c>
    </row>
    <row r="684" spans="1:2">
      <c r="A684" s="13" t="str">
        <f t="array" aca="1" ref="A684" ca="1">IFERROR(INDEX(Projektname,SMALL(IF(FREQUENCY(IF(Projektname&lt;&gt;"",MATCH(Projektname,Projektname,0)),ROW(Projektname)-ROW(Data!$A$4)+1),ROW(Projektname)-ROW(Data!$A$4)+1),ROWS(A$2:A684))),"")</f>
        <v/>
      </c>
      <c r="B684" s="13" t="str">
        <f t="array" aca="1" ref="B684" ca="1">IFERROR(INDEX(Projektname_ODW,MATCH(SMALL(COUNTIF(Projektname_ODW, "&lt;" &amp; Projektname_ODW),ROW(683:683)),COUNTIF(Projektname_ODW, "&lt;" &amp; Projektname_ODW),0)),"")</f>
        <v/>
      </c>
    </row>
    <row r="685" spans="1:2">
      <c r="A685" s="13" t="str">
        <f t="array" aca="1" ref="A685" ca="1">IFERROR(INDEX(Projektname,SMALL(IF(FREQUENCY(IF(Projektname&lt;&gt;"",MATCH(Projektname,Projektname,0)),ROW(Projektname)-ROW(Data!$A$4)+1),ROW(Projektname)-ROW(Data!$A$4)+1),ROWS(A$2:A685))),"")</f>
        <v/>
      </c>
      <c r="B685" s="13" t="str">
        <f t="array" aca="1" ref="B685" ca="1">IFERROR(INDEX(Projektname_ODW,MATCH(SMALL(COUNTIF(Projektname_ODW, "&lt;" &amp; Projektname_ODW),ROW(684:684)),COUNTIF(Projektname_ODW, "&lt;" &amp; Projektname_ODW),0)),"")</f>
        <v/>
      </c>
    </row>
    <row r="686" spans="1:2">
      <c r="A686" s="13" t="str">
        <f t="array" aca="1" ref="A686" ca="1">IFERROR(INDEX(Projektname,SMALL(IF(FREQUENCY(IF(Projektname&lt;&gt;"",MATCH(Projektname,Projektname,0)),ROW(Projektname)-ROW(Data!$A$4)+1),ROW(Projektname)-ROW(Data!$A$4)+1),ROWS(A$2:A686))),"")</f>
        <v/>
      </c>
      <c r="B686" s="13" t="str">
        <f t="array" aca="1" ref="B686" ca="1">IFERROR(INDEX(Projektname_ODW,MATCH(SMALL(COUNTIF(Projektname_ODW, "&lt;" &amp; Projektname_ODW),ROW(685:685)),COUNTIF(Projektname_ODW, "&lt;" &amp; Projektname_ODW),0)),"")</f>
        <v/>
      </c>
    </row>
    <row r="687" spans="1:2">
      <c r="A687" s="13" t="str">
        <f t="array" aca="1" ref="A687" ca="1">IFERROR(INDEX(Projektname,SMALL(IF(FREQUENCY(IF(Projektname&lt;&gt;"",MATCH(Projektname,Projektname,0)),ROW(Projektname)-ROW(Data!$A$4)+1),ROW(Projektname)-ROW(Data!$A$4)+1),ROWS(A$2:A687))),"")</f>
        <v/>
      </c>
      <c r="B687" s="13" t="str">
        <f t="array" aca="1" ref="B687" ca="1">IFERROR(INDEX(Projektname_ODW,MATCH(SMALL(COUNTIF(Projektname_ODW, "&lt;" &amp; Projektname_ODW),ROW(686:686)),COUNTIF(Projektname_ODW, "&lt;" &amp; Projektname_ODW),0)),"")</f>
        <v/>
      </c>
    </row>
    <row r="688" spans="1:2">
      <c r="A688" s="13" t="str">
        <f t="array" aca="1" ref="A688" ca="1">IFERROR(INDEX(Projektname,SMALL(IF(FREQUENCY(IF(Projektname&lt;&gt;"",MATCH(Projektname,Projektname,0)),ROW(Projektname)-ROW(Data!$A$4)+1),ROW(Projektname)-ROW(Data!$A$4)+1),ROWS(A$2:A688))),"")</f>
        <v/>
      </c>
      <c r="B688" s="13" t="str">
        <f t="array" aca="1" ref="B688" ca="1">IFERROR(INDEX(Projektname_ODW,MATCH(SMALL(COUNTIF(Projektname_ODW, "&lt;" &amp; Projektname_ODW),ROW(687:687)),COUNTIF(Projektname_ODW, "&lt;" &amp; Projektname_ODW),0)),"")</f>
        <v/>
      </c>
    </row>
    <row r="689" spans="1:2">
      <c r="A689" s="13" t="str">
        <f t="array" aca="1" ref="A689" ca="1">IFERROR(INDEX(Projektname,SMALL(IF(FREQUENCY(IF(Projektname&lt;&gt;"",MATCH(Projektname,Projektname,0)),ROW(Projektname)-ROW(Data!$A$4)+1),ROW(Projektname)-ROW(Data!$A$4)+1),ROWS(A$2:A689))),"")</f>
        <v/>
      </c>
      <c r="B689" s="13" t="str">
        <f t="array" aca="1" ref="B689" ca="1">IFERROR(INDEX(Projektname_ODW,MATCH(SMALL(COUNTIF(Projektname_ODW, "&lt;" &amp; Projektname_ODW),ROW(688:688)),COUNTIF(Projektname_ODW, "&lt;" &amp; Projektname_ODW),0)),"")</f>
        <v/>
      </c>
    </row>
    <row r="690" spans="1:2">
      <c r="A690" s="13" t="str">
        <f t="array" aca="1" ref="A690" ca="1">IFERROR(INDEX(Projektname,SMALL(IF(FREQUENCY(IF(Projektname&lt;&gt;"",MATCH(Projektname,Projektname,0)),ROW(Projektname)-ROW(Data!$A$4)+1),ROW(Projektname)-ROW(Data!$A$4)+1),ROWS(A$2:A690))),"")</f>
        <v/>
      </c>
      <c r="B690" s="13" t="str">
        <f t="array" aca="1" ref="B690" ca="1">IFERROR(INDEX(Projektname_ODW,MATCH(SMALL(COUNTIF(Projektname_ODW, "&lt;" &amp; Projektname_ODW),ROW(689:689)),COUNTIF(Projektname_ODW, "&lt;" &amp; Projektname_ODW),0)),"")</f>
        <v/>
      </c>
    </row>
    <row r="691" spans="1:2">
      <c r="A691" s="13" t="str">
        <f t="array" aca="1" ref="A691" ca="1">IFERROR(INDEX(Projektname,SMALL(IF(FREQUENCY(IF(Projektname&lt;&gt;"",MATCH(Projektname,Projektname,0)),ROW(Projektname)-ROW(Data!$A$4)+1),ROW(Projektname)-ROW(Data!$A$4)+1),ROWS(A$2:A691))),"")</f>
        <v/>
      </c>
      <c r="B691" s="13" t="str">
        <f t="array" aca="1" ref="B691" ca="1">IFERROR(INDEX(Projektname_ODW,MATCH(SMALL(COUNTIF(Projektname_ODW, "&lt;" &amp; Projektname_ODW),ROW(690:690)),COUNTIF(Projektname_ODW, "&lt;" &amp; Projektname_ODW),0)),"")</f>
        <v/>
      </c>
    </row>
    <row r="692" spans="1:2">
      <c r="A692" s="13" t="str">
        <f t="array" aca="1" ref="A692" ca="1">IFERROR(INDEX(Projektname,SMALL(IF(FREQUENCY(IF(Projektname&lt;&gt;"",MATCH(Projektname,Projektname,0)),ROW(Projektname)-ROW(Data!$A$4)+1),ROW(Projektname)-ROW(Data!$A$4)+1),ROWS(A$2:A692))),"")</f>
        <v/>
      </c>
      <c r="B692" s="13" t="str">
        <f t="array" aca="1" ref="B692" ca="1">IFERROR(INDEX(Projektname_ODW,MATCH(SMALL(COUNTIF(Projektname_ODW, "&lt;" &amp; Projektname_ODW),ROW(691:691)),COUNTIF(Projektname_ODW, "&lt;" &amp; Projektname_ODW),0)),"")</f>
        <v/>
      </c>
    </row>
    <row r="693" spans="1:2">
      <c r="A693" s="13" t="str">
        <f t="array" aca="1" ref="A693" ca="1">IFERROR(INDEX(Projektname,SMALL(IF(FREQUENCY(IF(Projektname&lt;&gt;"",MATCH(Projektname,Projektname,0)),ROW(Projektname)-ROW(Data!$A$4)+1),ROW(Projektname)-ROW(Data!$A$4)+1),ROWS(A$2:A693))),"")</f>
        <v/>
      </c>
      <c r="B693" s="13" t="str">
        <f t="array" aca="1" ref="B693" ca="1">IFERROR(INDEX(Projektname_ODW,MATCH(SMALL(COUNTIF(Projektname_ODW, "&lt;" &amp; Projektname_ODW),ROW(692:692)),COUNTIF(Projektname_ODW, "&lt;" &amp; Projektname_ODW),0)),"")</f>
        <v/>
      </c>
    </row>
    <row r="694" spans="1:2">
      <c r="A694" s="13" t="str">
        <f t="array" aca="1" ref="A694" ca="1">IFERROR(INDEX(Projektname,SMALL(IF(FREQUENCY(IF(Projektname&lt;&gt;"",MATCH(Projektname,Projektname,0)),ROW(Projektname)-ROW(Data!$A$4)+1),ROW(Projektname)-ROW(Data!$A$4)+1),ROWS(A$2:A694))),"")</f>
        <v/>
      </c>
      <c r="B694" s="13" t="str">
        <f t="array" aca="1" ref="B694" ca="1">IFERROR(INDEX(Projektname_ODW,MATCH(SMALL(COUNTIF(Projektname_ODW, "&lt;" &amp; Projektname_ODW),ROW(693:693)),COUNTIF(Projektname_ODW, "&lt;" &amp; Projektname_ODW),0)),"")</f>
        <v/>
      </c>
    </row>
    <row r="695" spans="1:2">
      <c r="A695" s="13" t="str">
        <f t="array" aca="1" ref="A695" ca="1">IFERROR(INDEX(Projektname,SMALL(IF(FREQUENCY(IF(Projektname&lt;&gt;"",MATCH(Projektname,Projektname,0)),ROW(Projektname)-ROW(Data!$A$4)+1),ROW(Projektname)-ROW(Data!$A$4)+1),ROWS(A$2:A695))),"")</f>
        <v/>
      </c>
      <c r="B695" s="13" t="str">
        <f t="array" aca="1" ref="B695" ca="1">IFERROR(INDEX(Projektname_ODW,MATCH(SMALL(COUNTIF(Projektname_ODW, "&lt;" &amp; Projektname_ODW),ROW(694:694)),COUNTIF(Projektname_ODW, "&lt;" &amp; Projektname_ODW),0)),"")</f>
        <v/>
      </c>
    </row>
    <row r="696" spans="1:2">
      <c r="A696" s="13" t="str">
        <f t="array" aca="1" ref="A696" ca="1">IFERROR(INDEX(Projektname,SMALL(IF(FREQUENCY(IF(Projektname&lt;&gt;"",MATCH(Projektname,Projektname,0)),ROW(Projektname)-ROW(Data!$A$4)+1),ROW(Projektname)-ROW(Data!$A$4)+1),ROWS(A$2:A696))),"")</f>
        <v/>
      </c>
      <c r="B696" s="13" t="str">
        <f t="array" aca="1" ref="B696" ca="1">IFERROR(INDEX(Projektname_ODW,MATCH(SMALL(COUNTIF(Projektname_ODW, "&lt;" &amp; Projektname_ODW),ROW(695:695)),COUNTIF(Projektname_ODW, "&lt;" &amp; Projektname_ODW),0)),"")</f>
        <v/>
      </c>
    </row>
    <row r="697" spans="1:2">
      <c r="A697" s="13" t="str">
        <f t="array" aca="1" ref="A697" ca="1">IFERROR(INDEX(Projektname,SMALL(IF(FREQUENCY(IF(Projektname&lt;&gt;"",MATCH(Projektname,Projektname,0)),ROW(Projektname)-ROW(Data!$A$4)+1),ROW(Projektname)-ROW(Data!$A$4)+1),ROWS(A$2:A697))),"")</f>
        <v/>
      </c>
      <c r="B697" s="13" t="str">
        <f t="array" aca="1" ref="B697" ca="1">IFERROR(INDEX(Projektname_ODW,MATCH(SMALL(COUNTIF(Projektname_ODW, "&lt;" &amp; Projektname_ODW),ROW(696:696)),COUNTIF(Projektname_ODW, "&lt;" &amp; Projektname_ODW),0)),"")</f>
        <v/>
      </c>
    </row>
    <row r="698" spans="1:2">
      <c r="A698" s="13" t="str">
        <f t="array" aca="1" ref="A698" ca="1">IFERROR(INDEX(Projektname,SMALL(IF(FREQUENCY(IF(Projektname&lt;&gt;"",MATCH(Projektname,Projektname,0)),ROW(Projektname)-ROW(Data!$A$4)+1),ROW(Projektname)-ROW(Data!$A$4)+1),ROWS(A$2:A698))),"")</f>
        <v/>
      </c>
      <c r="B698" s="13" t="str">
        <f t="array" aca="1" ref="B698" ca="1">IFERROR(INDEX(Projektname_ODW,MATCH(SMALL(COUNTIF(Projektname_ODW, "&lt;" &amp; Projektname_ODW),ROW(697:697)),COUNTIF(Projektname_ODW, "&lt;" &amp; Projektname_ODW),0)),"")</f>
        <v/>
      </c>
    </row>
    <row r="699" spans="1:2">
      <c r="A699" s="13" t="str">
        <f t="array" aca="1" ref="A699" ca="1">IFERROR(INDEX(Projektname,SMALL(IF(FREQUENCY(IF(Projektname&lt;&gt;"",MATCH(Projektname,Projektname,0)),ROW(Projektname)-ROW(Data!$A$4)+1),ROW(Projektname)-ROW(Data!$A$4)+1),ROWS(A$2:A699))),"")</f>
        <v/>
      </c>
      <c r="B699" s="13" t="str">
        <f t="array" aca="1" ref="B699" ca="1">IFERROR(INDEX(Projektname_ODW,MATCH(SMALL(COUNTIF(Projektname_ODW, "&lt;" &amp; Projektname_ODW),ROW(698:698)),COUNTIF(Projektname_ODW, "&lt;" &amp; Projektname_ODW),0)),"")</f>
        <v/>
      </c>
    </row>
    <row r="700" spans="1:2">
      <c r="A700" s="13" t="str">
        <f t="array" aca="1" ref="A700" ca="1">IFERROR(INDEX(Projektname,SMALL(IF(FREQUENCY(IF(Projektname&lt;&gt;"",MATCH(Projektname,Projektname,0)),ROW(Projektname)-ROW(Data!$A$4)+1),ROW(Projektname)-ROW(Data!$A$4)+1),ROWS(A$2:A700))),"")</f>
        <v/>
      </c>
      <c r="B700" s="13" t="str">
        <f t="array" aca="1" ref="B700" ca="1">IFERROR(INDEX(Projektname_ODW,MATCH(SMALL(COUNTIF(Projektname_ODW, "&lt;" &amp; Projektname_ODW),ROW(699:699)),COUNTIF(Projektname_ODW, "&lt;" &amp; Projektname_ODW),0)),"")</f>
        <v/>
      </c>
    </row>
    <row r="701" spans="1:2">
      <c r="A701" s="13" t="str">
        <f t="array" aca="1" ref="A701" ca="1">IFERROR(INDEX(Projektname,SMALL(IF(FREQUENCY(IF(Projektname&lt;&gt;"",MATCH(Projektname,Projektname,0)),ROW(Projektname)-ROW(Data!$A$4)+1),ROW(Projektname)-ROW(Data!$A$4)+1),ROWS(A$2:A701))),"")</f>
        <v/>
      </c>
      <c r="B701" s="13" t="str">
        <f t="array" aca="1" ref="B701" ca="1">IFERROR(INDEX(Projektname_ODW,MATCH(SMALL(COUNTIF(Projektname_ODW, "&lt;" &amp; Projektname_ODW),ROW(700:700)),COUNTIF(Projektname_ODW, "&lt;" &amp; Projektname_ODW),0)),"")</f>
        <v/>
      </c>
    </row>
    <row r="702" spans="1:2">
      <c r="A702" s="13" t="str">
        <f t="array" aca="1" ref="A702" ca="1">IFERROR(INDEX(Projektname,SMALL(IF(FREQUENCY(IF(Projektname&lt;&gt;"",MATCH(Projektname,Projektname,0)),ROW(Projektname)-ROW(Data!$A$4)+1),ROW(Projektname)-ROW(Data!$A$4)+1),ROWS(A$2:A702))),"")</f>
        <v/>
      </c>
      <c r="B702" s="13" t="str">
        <f t="array" aca="1" ref="B702" ca="1">IFERROR(INDEX(Projektname_ODW,MATCH(SMALL(COUNTIF(Projektname_ODW, "&lt;" &amp; Projektname_ODW),ROW(701:701)),COUNTIF(Projektname_ODW, "&lt;" &amp; Projektname_ODW),0)),"")</f>
        <v/>
      </c>
    </row>
    <row r="703" spans="1:2">
      <c r="A703" s="13" t="str">
        <f t="array" aca="1" ref="A703" ca="1">IFERROR(INDEX(Projektname,SMALL(IF(FREQUENCY(IF(Projektname&lt;&gt;"",MATCH(Projektname,Projektname,0)),ROW(Projektname)-ROW(Data!$A$4)+1),ROW(Projektname)-ROW(Data!$A$4)+1),ROWS(A$2:A703))),"")</f>
        <v/>
      </c>
      <c r="B703" s="13" t="str">
        <f t="array" aca="1" ref="B703" ca="1">IFERROR(INDEX(Projektname_ODW,MATCH(SMALL(COUNTIF(Projektname_ODW, "&lt;" &amp; Projektname_ODW),ROW(702:702)),COUNTIF(Projektname_ODW, "&lt;" &amp; Projektname_ODW),0)),"")</f>
        <v/>
      </c>
    </row>
    <row r="704" spans="1:2">
      <c r="A704" s="13" t="str">
        <f t="array" aca="1" ref="A704" ca="1">IFERROR(INDEX(Projektname,SMALL(IF(FREQUENCY(IF(Projektname&lt;&gt;"",MATCH(Projektname,Projektname,0)),ROW(Projektname)-ROW(Data!$A$4)+1),ROW(Projektname)-ROW(Data!$A$4)+1),ROWS(A$2:A704))),"")</f>
        <v/>
      </c>
      <c r="B704" s="13" t="str">
        <f t="array" aca="1" ref="B704" ca="1">IFERROR(INDEX(Projektname_ODW,MATCH(SMALL(COUNTIF(Projektname_ODW, "&lt;" &amp; Projektname_ODW),ROW(703:703)),COUNTIF(Projektname_ODW, "&lt;" &amp; Projektname_ODW),0)),"")</f>
        <v/>
      </c>
    </row>
    <row r="705" spans="1:2">
      <c r="A705" s="13" t="str">
        <f t="array" aca="1" ref="A705" ca="1">IFERROR(INDEX(Projektname,SMALL(IF(FREQUENCY(IF(Projektname&lt;&gt;"",MATCH(Projektname,Projektname,0)),ROW(Projektname)-ROW(Data!$A$4)+1),ROW(Projektname)-ROW(Data!$A$4)+1),ROWS(A$2:A705))),"")</f>
        <v/>
      </c>
      <c r="B705" s="13" t="str">
        <f t="array" aca="1" ref="B705" ca="1">IFERROR(INDEX(Projektname_ODW,MATCH(SMALL(COUNTIF(Projektname_ODW, "&lt;" &amp; Projektname_ODW),ROW(704:704)),COUNTIF(Projektname_ODW, "&lt;" &amp; Projektname_ODW),0)),"")</f>
        <v/>
      </c>
    </row>
    <row r="706" spans="1:2">
      <c r="A706" s="13" t="str">
        <f t="array" aca="1" ref="A706" ca="1">IFERROR(INDEX(Projektname,SMALL(IF(FREQUENCY(IF(Projektname&lt;&gt;"",MATCH(Projektname,Projektname,0)),ROW(Projektname)-ROW(Data!$A$4)+1),ROW(Projektname)-ROW(Data!$A$4)+1),ROWS(A$2:A706))),"")</f>
        <v/>
      </c>
      <c r="B706" s="13" t="str">
        <f t="array" aca="1" ref="B706" ca="1">IFERROR(INDEX(Projektname_ODW,MATCH(SMALL(COUNTIF(Projektname_ODW, "&lt;" &amp; Projektname_ODW),ROW(705:705)),COUNTIF(Projektname_ODW, "&lt;" &amp; Projektname_ODW),0)),"")</f>
        <v/>
      </c>
    </row>
    <row r="707" spans="1:2">
      <c r="A707" s="13" t="str">
        <f t="array" aca="1" ref="A707" ca="1">IFERROR(INDEX(Projektname,SMALL(IF(FREQUENCY(IF(Projektname&lt;&gt;"",MATCH(Projektname,Projektname,0)),ROW(Projektname)-ROW(Data!$A$4)+1),ROW(Projektname)-ROW(Data!$A$4)+1),ROWS(A$2:A707))),"")</f>
        <v/>
      </c>
      <c r="B707" s="13" t="str">
        <f t="array" aca="1" ref="B707" ca="1">IFERROR(INDEX(Projektname_ODW,MATCH(SMALL(COUNTIF(Projektname_ODW, "&lt;" &amp; Projektname_ODW),ROW(706:706)),COUNTIF(Projektname_ODW, "&lt;" &amp; Projektname_ODW),0)),"")</f>
        <v/>
      </c>
    </row>
    <row r="708" spans="1:2">
      <c r="A708" s="13" t="str">
        <f t="array" aca="1" ref="A708" ca="1">IFERROR(INDEX(Projektname,SMALL(IF(FREQUENCY(IF(Projektname&lt;&gt;"",MATCH(Projektname,Projektname,0)),ROW(Projektname)-ROW(Data!$A$4)+1),ROW(Projektname)-ROW(Data!$A$4)+1),ROWS(A$2:A708))),"")</f>
        <v/>
      </c>
      <c r="B708" s="13" t="str">
        <f t="array" aca="1" ref="B708" ca="1">IFERROR(INDEX(Projektname_ODW,MATCH(SMALL(COUNTIF(Projektname_ODW, "&lt;" &amp; Projektname_ODW),ROW(707:707)),COUNTIF(Projektname_ODW, "&lt;" &amp; Projektname_ODW),0)),"")</f>
        <v/>
      </c>
    </row>
    <row r="709" spans="1:2">
      <c r="A709" s="13" t="str">
        <f t="array" aca="1" ref="A709" ca="1">IFERROR(INDEX(Projektname,SMALL(IF(FREQUENCY(IF(Projektname&lt;&gt;"",MATCH(Projektname,Projektname,0)),ROW(Projektname)-ROW(Data!$A$4)+1),ROW(Projektname)-ROW(Data!$A$4)+1),ROWS(A$2:A709))),"")</f>
        <v/>
      </c>
      <c r="B709" s="13" t="str">
        <f t="array" aca="1" ref="B709" ca="1">IFERROR(INDEX(Projektname_ODW,MATCH(SMALL(COUNTIF(Projektname_ODW, "&lt;" &amp; Projektname_ODW),ROW(708:708)),COUNTIF(Projektname_ODW, "&lt;" &amp; Projektname_ODW),0)),"")</f>
        <v/>
      </c>
    </row>
    <row r="710" spans="1:2">
      <c r="A710" s="13" t="str">
        <f t="array" aca="1" ref="A710" ca="1">IFERROR(INDEX(Projektname,SMALL(IF(FREQUENCY(IF(Projektname&lt;&gt;"",MATCH(Projektname,Projektname,0)),ROW(Projektname)-ROW(Data!$A$4)+1),ROW(Projektname)-ROW(Data!$A$4)+1),ROWS(A$2:A710))),"")</f>
        <v/>
      </c>
      <c r="B710" s="13" t="str">
        <f t="array" aca="1" ref="B710" ca="1">IFERROR(INDEX(Projektname_ODW,MATCH(SMALL(COUNTIF(Projektname_ODW, "&lt;" &amp; Projektname_ODW),ROW(709:709)),COUNTIF(Projektname_ODW, "&lt;" &amp; Projektname_ODW),0)),"")</f>
        <v/>
      </c>
    </row>
    <row r="711" spans="1:2">
      <c r="A711" s="13" t="str">
        <f t="array" aca="1" ref="A711" ca="1">IFERROR(INDEX(Projektname,SMALL(IF(FREQUENCY(IF(Projektname&lt;&gt;"",MATCH(Projektname,Projektname,0)),ROW(Projektname)-ROW(Data!$A$4)+1),ROW(Projektname)-ROW(Data!$A$4)+1),ROWS(A$2:A711))),"")</f>
        <v/>
      </c>
      <c r="B711" s="13" t="str">
        <f t="array" aca="1" ref="B711" ca="1">IFERROR(INDEX(Projektname_ODW,MATCH(SMALL(COUNTIF(Projektname_ODW, "&lt;" &amp; Projektname_ODW),ROW(710:710)),COUNTIF(Projektname_ODW, "&lt;" &amp; Projektname_ODW),0)),"")</f>
        <v/>
      </c>
    </row>
    <row r="712" spans="1:2">
      <c r="A712" s="13" t="str">
        <f t="array" aca="1" ref="A712" ca="1">IFERROR(INDEX(Projektname,SMALL(IF(FREQUENCY(IF(Projektname&lt;&gt;"",MATCH(Projektname,Projektname,0)),ROW(Projektname)-ROW(Data!$A$4)+1),ROW(Projektname)-ROW(Data!$A$4)+1),ROWS(A$2:A712))),"")</f>
        <v/>
      </c>
      <c r="B712" s="13" t="str">
        <f t="array" aca="1" ref="B712" ca="1">IFERROR(INDEX(Projektname_ODW,MATCH(SMALL(COUNTIF(Projektname_ODW, "&lt;" &amp; Projektname_ODW),ROW(711:711)),COUNTIF(Projektname_ODW, "&lt;" &amp; Projektname_ODW),0)),"")</f>
        <v/>
      </c>
    </row>
    <row r="713" spans="1:2">
      <c r="A713" s="13" t="str">
        <f t="array" aca="1" ref="A713" ca="1">IFERROR(INDEX(Projektname,SMALL(IF(FREQUENCY(IF(Projektname&lt;&gt;"",MATCH(Projektname,Projektname,0)),ROW(Projektname)-ROW(Data!$A$4)+1),ROW(Projektname)-ROW(Data!$A$4)+1),ROWS(A$2:A713))),"")</f>
        <v/>
      </c>
      <c r="B713" s="13" t="str">
        <f t="array" aca="1" ref="B713" ca="1">IFERROR(INDEX(Projektname_ODW,MATCH(SMALL(COUNTIF(Projektname_ODW, "&lt;" &amp; Projektname_ODW),ROW(712:712)),COUNTIF(Projektname_ODW, "&lt;" &amp; Projektname_ODW),0)),"")</f>
        <v/>
      </c>
    </row>
    <row r="714" spans="1:2">
      <c r="A714" s="13" t="str">
        <f t="array" aca="1" ref="A714" ca="1">IFERROR(INDEX(Projektname,SMALL(IF(FREQUENCY(IF(Projektname&lt;&gt;"",MATCH(Projektname,Projektname,0)),ROW(Projektname)-ROW(Data!$A$4)+1),ROW(Projektname)-ROW(Data!$A$4)+1),ROWS(A$2:A714))),"")</f>
        <v/>
      </c>
      <c r="B714" s="13" t="str">
        <f t="array" aca="1" ref="B714" ca="1">IFERROR(INDEX(Projektname_ODW,MATCH(SMALL(COUNTIF(Projektname_ODW, "&lt;" &amp; Projektname_ODW),ROW(713:713)),COUNTIF(Projektname_ODW, "&lt;" &amp; Projektname_ODW),0)),"")</f>
        <v/>
      </c>
    </row>
    <row r="715" spans="1:2">
      <c r="A715" s="13" t="str">
        <f t="array" aca="1" ref="A715" ca="1">IFERROR(INDEX(Projektname,SMALL(IF(FREQUENCY(IF(Projektname&lt;&gt;"",MATCH(Projektname,Projektname,0)),ROW(Projektname)-ROW(Data!$A$4)+1),ROW(Projektname)-ROW(Data!$A$4)+1),ROWS(A$2:A715))),"")</f>
        <v/>
      </c>
      <c r="B715" s="13" t="str">
        <f t="array" aca="1" ref="B715" ca="1">IFERROR(INDEX(Projektname_ODW,MATCH(SMALL(COUNTIF(Projektname_ODW, "&lt;" &amp; Projektname_ODW),ROW(714:714)),COUNTIF(Projektname_ODW, "&lt;" &amp; Projektname_ODW),0)),"")</f>
        <v/>
      </c>
    </row>
    <row r="716" spans="1:2">
      <c r="A716" s="13" t="str">
        <f t="array" aca="1" ref="A716" ca="1">IFERROR(INDEX(Projektname,SMALL(IF(FREQUENCY(IF(Projektname&lt;&gt;"",MATCH(Projektname,Projektname,0)),ROW(Projektname)-ROW(Data!$A$4)+1),ROW(Projektname)-ROW(Data!$A$4)+1),ROWS(A$2:A716))),"")</f>
        <v/>
      </c>
      <c r="B716" s="13" t="str">
        <f t="array" aca="1" ref="B716" ca="1">IFERROR(INDEX(Projektname_ODW,MATCH(SMALL(COUNTIF(Projektname_ODW, "&lt;" &amp; Projektname_ODW),ROW(715:715)),COUNTIF(Projektname_ODW, "&lt;" &amp; Projektname_ODW),0)),"")</f>
        <v/>
      </c>
    </row>
    <row r="717" spans="1:2">
      <c r="A717" s="13" t="str">
        <f t="array" aca="1" ref="A717" ca="1">IFERROR(INDEX(Projektname,SMALL(IF(FREQUENCY(IF(Projektname&lt;&gt;"",MATCH(Projektname,Projektname,0)),ROW(Projektname)-ROW(Data!$A$4)+1),ROW(Projektname)-ROW(Data!$A$4)+1),ROWS(A$2:A717))),"")</f>
        <v/>
      </c>
      <c r="B717" s="13" t="str">
        <f t="array" aca="1" ref="B717" ca="1">IFERROR(INDEX(Projektname_ODW,MATCH(SMALL(COUNTIF(Projektname_ODW, "&lt;" &amp; Projektname_ODW),ROW(716:716)),COUNTIF(Projektname_ODW, "&lt;" &amp; Projektname_ODW),0)),"")</f>
        <v/>
      </c>
    </row>
    <row r="718" spans="1:2">
      <c r="A718" s="13" t="str">
        <f t="array" aca="1" ref="A718" ca="1">IFERROR(INDEX(Projektname,SMALL(IF(FREQUENCY(IF(Projektname&lt;&gt;"",MATCH(Projektname,Projektname,0)),ROW(Projektname)-ROW(Data!$A$4)+1),ROW(Projektname)-ROW(Data!$A$4)+1),ROWS(A$2:A718))),"")</f>
        <v/>
      </c>
      <c r="B718" s="13" t="str">
        <f t="array" aca="1" ref="B718" ca="1">IFERROR(INDEX(Projektname_ODW,MATCH(SMALL(COUNTIF(Projektname_ODW, "&lt;" &amp; Projektname_ODW),ROW(717:717)),COUNTIF(Projektname_ODW, "&lt;" &amp; Projektname_ODW),0)),"")</f>
        <v/>
      </c>
    </row>
    <row r="719" spans="1:2">
      <c r="A719" s="13" t="str">
        <f t="array" aca="1" ref="A719" ca="1">IFERROR(INDEX(Projektname,SMALL(IF(FREQUENCY(IF(Projektname&lt;&gt;"",MATCH(Projektname,Projektname,0)),ROW(Projektname)-ROW(Data!$A$4)+1),ROW(Projektname)-ROW(Data!$A$4)+1),ROWS(A$2:A719))),"")</f>
        <v/>
      </c>
      <c r="B719" s="13" t="str">
        <f t="array" aca="1" ref="B719" ca="1">IFERROR(INDEX(Projektname_ODW,MATCH(SMALL(COUNTIF(Projektname_ODW, "&lt;" &amp; Projektname_ODW),ROW(718:718)),COUNTIF(Projektname_ODW, "&lt;" &amp; Projektname_ODW),0)),"")</f>
        <v/>
      </c>
    </row>
    <row r="720" spans="1:2">
      <c r="A720" s="13" t="str">
        <f t="array" aca="1" ref="A720" ca="1">IFERROR(INDEX(Projektname,SMALL(IF(FREQUENCY(IF(Projektname&lt;&gt;"",MATCH(Projektname,Projektname,0)),ROW(Projektname)-ROW(Data!$A$4)+1),ROW(Projektname)-ROW(Data!$A$4)+1),ROWS(A$2:A720))),"")</f>
        <v/>
      </c>
      <c r="B720" s="13" t="str">
        <f t="array" aca="1" ref="B720" ca="1">IFERROR(INDEX(Projektname_ODW,MATCH(SMALL(COUNTIF(Projektname_ODW, "&lt;" &amp; Projektname_ODW),ROW(719:719)),COUNTIF(Projektname_ODW, "&lt;" &amp; Projektname_ODW),0)),"")</f>
        <v/>
      </c>
    </row>
    <row r="721" spans="1:2">
      <c r="A721" s="13" t="str">
        <f t="array" aca="1" ref="A721" ca="1">IFERROR(INDEX(Projektname,SMALL(IF(FREQUENCY(IF(Projektname&lt;&gt;"",MATCH(Projektname,Projektname,0)),ROW(Projektname)-ROW(Data!$A$4)+1),ROW(Projektname)-ROW(Data!$A$4)+1),ROWS(A$2:A721))),"")</f>
        <v/>
      </c>
      <c r="B721" s="13" t="str">
        <f t="array" aca="1" ref="B721" ca="1">IFERROR(INDEX(Projektname_ODW,MATCH(SMALL(COUNTIF(Projektname_ODW, "&lt;" &amp; Projektname_ODW),ROW(720:720)),COUNTIF(Projektname_ODW, "&lt;" &amp; Projektname_ODW),0)),"")</f>
        <v/>
      </c>
    </row>
    <row r="722" spans="1:2">
      <c r="A722" s="13" t="str">
        <f t="array" aca="1" ref="A722" ca="1">IFERROR(INDEX(Projektname,SMALL(IF(FREQUENCY(IF(Projektname&lt;&gt;"",MATCH(Projektname,Projektname,0)),ROW(Projektname)-ROW(Data!$A$4)+1),ROW(Projektname)-ROW(Data!$A$4)+1),ROWS(A$2:A722))),"")</f>
        <v/>
      </c>
      <c r="B722" s="13" t="str">
        <f t="array" aca="1" ref="B722" ca="1">IFERROR(INDEX(Projektname_ODW,MATCH(SMALL(COUNTIF(Projektname_ODW, "&lt;" &amp; Projektname_ODW),ROW(721:721)),COUNTIF(Projektname_ODW, "&lt;" &amp; Projektname_ODW),0)),"")</f>
        <v/>
      </c>
    </row>
    <row r="723" spans="1:2">
      <c r="A723" s="13" t="str">
        <f t="array" aca="1" ref="A723" ca="1">IFERROR(INDEX(Projektname,SMALL(IF(FREQUENCY(IF(Projektname&lt;&gt;"",MATCH(Projektname,Projektname,0)),ROW(Projektname)-ROW(Data!$A$4)+1),ROW(Projektname)-ROW(Data!$A$4)+1),ROWS(A$2:A723))),"")</f>
        <v/>
      </c>
      <c r="B723" s="13" t="str">
        <f t="array" aca="1" ref="B723" ca="1">IFERROR(INDEX(Projektname_ODW,MATCH(SMALL(COUNTIF(Projektname_ODW, "&lt;" &amp; Projektname_ODW),ROW(722:722)),COUNTIF(Projektname_ODW, "&lt;" &amp; Projektname_ODW),0)),"")</f>
        <v/>
      </c>
    </row>
    <row r="724" spans="1:2">
      <c r="A724" s="13" t="str">
        <f t="array" aca="1" ref="A724" ca="1">IFERROR(INDEX(Projektname,SMALL(IF(FREQUENCY(IF(Projektname&lt;&gt;"",MATCH(Projektname,Projektname,0)),ROW(Projektname)-ROW(Data!$A$4)+1),ROW(Projektname)-ROW(Data!$A$4)+1),ROWS(A$2:A724))),"")</f>
        <v/>
      </c>
      <c r="B724" s="13" t="str">
        <f t="array" aca="1" ref="B724" ca="1">IFERROR(INDEX(Projektname_ODW,MATCH(SMALL(COUNTIF(Projektname_ODW, "&lt;" &amp; Projektname_ODW),ROW(723:723)),COUNTIF(Projektname_ODW, "&lt;" &amp; Projektname_ODW),0)),"")</f>
        <v/>
      </c>
    </row>
    <row r="725" spans="1:2">
      <c r="A725" s="13" t="str">
        <f t="array" aca="1" ref="A725" ca="1">IFERROR(INDEX(Projektname,SMALL(IF(FREQUENCY(IF(Projektname&lt;&gt;"",MATCH(Projektname,Projektname,0)),ROW(Projektname)-ROW(Data!$A$4)+1),ROW(Projektname)-ROW(Data!$A$4)+1),ROWS(A$2:A725))),"")</f>
        <v/>
      </c>
      <c r="B725" s="13" t="str">
        <f t="array" aca="1" ref="B725" ca="1">IFERROR(INDEX(Projektname_ODW,MATCH(SMALL(COUNTIF(Projektname_ODW, "&lt;" &amp; Projektname_ODW),ROW(724:724)),COUNTIF(Projektname_ODW, "&lt;" &amp; Projektname_ODW),0)),"")</f>
        <v/>
      </c>
    </row>
    <row r="726" spans="1:2">
      <c r="A726" s="13" t="str">
        <f t="array" aca="1" ref="A726" ca="1">IFERROR(INDEX(Projektname,SMALL(IF(FREQUENCY(IF(Projektname&lt;&gt;"",MATCH(Projektname,Projektname,0)),ROW(Projektname)-ROW(Data!$A$4)+1),ROW(Projektname)-ROW(Data!$A$4)+1),ROWS(A$2:A726))),"")</f>
        <v/>
      </c>
      <c r="B726" s="13" t="str">
        <f t="array" aca="1" ref="B726" ca="1">IFERROR(INDEX(Projektname_ODW,MATCH(SMALL(COUNTIF(Projektname_ODW, "&lt;" &amp; Projektname_ODW),ROW(725:725)),COUNTIF(Projektname_ODW, "&lt;" &amp; Projektname_ODW),0)),"")</f>
        <v/>
      </c>
    </row>
    <row r="727" spans="1:2">
      <c r="A727" s="13" t="str">
        <f t="array" aca="1" ref="A727" ca="1">IFERROR(INDEX(Projektname,SMALL(IF(FREQUENCY(IF(Projektname&lt;&gt;"",MATCH(Projektname,Projektname,0)),ROW(Projektname)-ROW(Data!$A$4)+1),ROW(Projektname)-ROW(Data!$A$4)+1),ROWS(A$2:A727))),"")</f>
        <v/>
      </c>
      <c r="B727" s="13" t="str">
        <f t="array" aca="1" ref="B727" ca="1">IFERROR(INDEX(Projektname_ODW,MATCH(SMALL(COUNTIF(Projektname_ODW, "&lt;" &amp; Projektname_ODW),ROW(726:726)),COUNTIF(Projektname_ODW, "&lt;" &amp; Projektname_ODW),0)),"")</f>
        <v/>
      </c>
    </row>
    <row r="728" spans="1:2">
      <c r="A728" s="13" t="str">
        <f t="array" aca="1" ref="A728" ca="1">IFERROR(INDEX(Projektname,SMALL(IF(FREQUENCY(IF(Projektname&lt;&gt;"",MATCH(Projektname,Projektname,0)),ROW(Projektname)-ROW(Data!$A$4)+1),ROW(Projektname)-ROW(Data!$A$4)+1),ROWS(A$2:A728))),"")</f>
        <v/>
      </c>
      <c r="B728" s="13" t="str">
        <f t="array" aca="1" ref="B728" ca="1">IFERROR(INDEX(Projektname_ODW,MATCH(SMALL(COUNTIF(Projektname_ODW, "&lt;" &amp; Projektname_ODW),ROW(727:727)),COUNTIF(Projektname_ODW, "&lt;" &amp; Projektname_ODW),0)),"")</f>
        <v/>
      </c>
    </row>
    <row r="729" spans="1:2">
      <c r="A729" s="13" t="str">
        <f t="array" aca="1" ref="A729" ca="1">IFERROR(INDEX(Projektname,SMALL(IF(FREQUENCY(IF(Projektname&lt;&gt;"",MATCH(Projektname,Projektname,0)),ROW(Projektname)-ROW(Data!$A$4)+1),ROW(Projektname)-ROW(Data!$A$4)+1),ROWS(A$2:A729))),"")</f>
        <v/>
      </c>
      <c r="B729" s="13" t="str">
        <f t="array" aca="1" ref="B729" ca="1">IFERROR(INDEX(Projektname_ODW,MATCH(SMALL(COUNTIF(Projektname_ODW, "&lt;" &amp; Projektname_ODW),ROW(728:728)),COUNTIF(Projektname_ODW, "&lt;" &amp; Projektname_ODW),0)),"")</f>
        <v/>
      </c>
    </row>
    <row r="730" spans="1:2">
      <c r="A730" s="13" t="str">
        <f t="array" aca="1" ref="A730" ca="1">IFERROR(INDEX(Projektname,SMALL(IF(FREQUENCY(IF(Projektname&lt;&gt;"",MATCH(Projektname,Projektname,0)),ROW(Projektname)-ROW(Data!$A$4)+1),ROW(Projektname)-ROW(Data!$A$4)+1),ROWS(A$2:A730))),"")</f>
        <v/>
      </c>
      <c r="B730" s="13" t="str">
        <f t="array" aca="1" ref="B730" ca="1">IFERROR(INDEX(Projektname_ODW,MATCH(SMALL(COUNTIF(Projektname_ODW, "&lt;" &amp; Projektname_ODW),ROW(729:729)),COUNTIF(Projektname_ODW, "&lt;" &amp; Projektname_ODW),0)),"")</f>
        <v/>
      </c>
    </row>
    <row r="731" spans="1:2">
      <c r="A731" s="13" t="str">
        <f t="array" aca="1" ref="A731" ca="1">IFERROR(INDEX(Projektname,SMALL(IF(FREQUENCY(IF(Projektname&lt;&gt;"",MATCH(Projektname,Projektname,0)),ROW(Projektname)-ROW(Data!$A$4)+1),ROW(Projektname)-ROW(Data!$A$4)+1),ROWS(A$2:A731))),"")</f>
        <v/>
      </c>
      <c r="B731" s="13" t="str">
        <f t="array" aca="1" ref="B731" ca="1">IFERROR(INDEX(Projektname_ODW,MATCH(SMALL(COUNTIF(Projektname_ODW, "&lt;" &amp; Projektname_ODW),ROW(730:730)),COUNTIF(Projektname_ODW, "&lt;" &amp; Projektname_ODW),0)),"")</f>
        <v/>
      </c>
    </row>
    <row r="732" spans="1:2">
      <c r="A732" s="13" t="str">
        <f t="array" aca="1" ref="A732" ca="1">IFERROR(INDEX(Projektname,SMALL(IF(FREQUENCY(IF(Projektname&lt;&gt;"",MATCH(Projektname,Projektname,0)),ROW(Projektname)-ROW(Data!$A$4)+1),ROW(Projektname)-ROW(Data!$A$4)+1),ROWS(A$2:A732))),"")</f>
        <v/>
      </c>
      <c r="B732" s="13" t="str">
        <f t="array" aca="1" ref="B732" ca="1">IFERROR(INDEX(Projektname_ODW,MATCH(SMALL(COUNTIF(Projektname_ODW, "&lt;" &amp; Projektname_ODW),ROW(731:731)),COUNTIF(Projektname_ODW, "&lt;" &amp; Projektname_ODW),0)),"")</f>
        <v/>
      </c>
    </row>
    <row r="733" spans="1:2">
      <c r="A733" s="13" t="str">
        <f t="array" aca="1" ref="A733" ca="1">IFERROR(INDEX(Projektname,SMALL(IF(FREQUENCY(IF(Projektname&lt;&gt;"",MATCH(Projektname,Projektname,0)),ROW(Projektname)-ROW(Data!$A$4)+1),ROW(Projektname)-ROW(Data!$A$4)+1),ROWS(A$2:A733))),"")</f>
        <v/>
      </c>
      <c r="B733" s="13" t="str">
        <f t="array" aca="1" ref="B733" ca="1">IFERROR(INDEX(Projektname_ODW,MATCH(SMALL(COUNTIF(Projektname_ODW, "&lt;" &amp; Projektname_ODW),ROW(732:732)),COUNTIF(Projektname_ODW, "&lt;" &amp; Projektname_ODW),0)),"")</f>
        <v/>
      </c>
    </row>
    <row r="734" spans="1:2">
      <c r="A734" s="13" t="str">
        <f t="array" aca="1" ref="A734" ca="1">IFERROR(INDEX(Projektname,SMALL(IF(FREQUENCY(IF(Projektname&lt;&gt;"",MATCH(Projektname,Projektname,0)),ROW(Projektname)-ROW(Data!$A$4)+1),ROW(Projektname)-ROW(Data!$A$4)+1),ROWS(A$2:A734))),"")</f>
        <v/>
      </c>
      <c r="B734" s="13" t="str">
        <f t="array" aca="1" ref="B734" ca="1">IFERROR(INDEX(Projektname_ODW,MATCH(SMALL(COUNTIF(Projektname_ODW, "&lt;" &amp; Projektname_ODW),ROW(733:733)),COUNTIF(Projektname_ODW, "&lt;" &amp; Projektname_ODW),0)),"")</f>
        <v/>
      </c>
    </row>
    <row r="735" spans="1:2">
      <c r="A735" s="13" t="str">
        <f t="array" aca="1" ref="A735" ca="1">IFERROR(INDEX(Projektname,SMALL(IF(FREQUENCY(IF(Projektname&lt;&gt;"",MATCH(Projektname,Projektname,0)),ROW(Projektname)-ROW(Data!$A$4)+1),ROW(Projektname)-ROW(Data!$A$4)+1),ROWS(A$2:A735))),"")</f>
        <v/>
      </c>
      <c r="B735" s="13" t="str">
        <f t="array" aca="1" ref="B735" ca="1">IFERROR(INDEX(Projektname_ODW,MATCH(SMALL(COUNTIF(Projektname_ODW, "&lt;" &amp; Projektname_ODW),ROW(734:734)),COUNTIF(Projektname_ODW, "&lt;" &amp; Projektname_ODW),0)),"")</f>
        <v/>
      </c>
    </row>
    <row r="736" spans="1:2">
      <c r="A736" s="13" t="str">
        <f t="array" aca="1" ref="A736" ca="1">IFERROR(INDEX(Projektname,SMALL(IF(FREQUENCY(IF(Projektname&lt;&gt;"",MATCH(Projektname,Projektname,0)),ROW(Projektname)-ROW(Data!$A$4)+1),ROW(Projektname)-ROW(Data!$A$4)+1),ROWS(A$2:A736))),"")</f>
        <v/>
      </c>
      <c r="B736" s="13" t="str">
        <f t="array" aca="1" ref="B736" ca="1">IFERROR(INDEX(Projektname_ODW,MATCH(SMALL(COUNTIF(Projektname_ODW, "&lt;" &amp; Projektname_ODW),ROW(735:735)),COUNTIF(Projektname_ODW, "&lt;" &amp; Projektname_ODW),0)),"")</f>
        <v/>
      </c>
    </row>
    <row r="737" spans="1:2">
      <c r="A737" s="13" t="str">
        <f t="array" aca="1" ref="A737" ca="1">IFERROR(INDEX(Projektname,SMALL(IF(FREQUENCY(IF(Projektname&lt;&gt;"",MATCH(Projektname,Projektname,0)),ROW(Projektname)-ROW(Data!$A$4)+1),ROW(Projektname)-ROW(Data!$A$4)+1),ROWS(A$2:A737))),"")</f>
        <v/>
      </c>
      <c r="B737" s="13" t="str">
        <f t="array" aca="1" ref="B737" ca="1">IFERROR(INDEX(Projektname_ODW,MATCH(SMALL(COUNTIF(Projektname_ODW, "&lt;" &amp; Projektname_ODW),ROW(736:736)),COUNTIF(Projektname_ODW, "&lt;" &amp; Projektname_ODW),0)),"")</f>
        <v/>
      </c>
    </row>
    <row r="738" spans="1:2">
      <c r="A738" s="13" t="str">
        <f t="array" aca="1" ref="A738" ca="1">IFERROR(INDEX(Projektname,SMALL(IF(FREQUENCY(IF(Projektname&lt;&gt;"",MATCH(Projektname,Projektname,0)),ROW(Projektname)-ROW(Data!$A$4)+1),ROW(Projektname)-ROW(Data!$A$4)+1),ROWS(A$2:A738))),"")</f>
        <v/>
      </c>
      <c r="B738" s="13" t="str">
        <f t="array" aca="1" ref="B738" ca="1">IFERROR(INDEX(Projektname_ODW,MATCH(SMALL(COUNTIF(Projektname_ODW, "&lt;" &amp; Projektname_ODW),ROW(737:737)),COUNTIF(Projektname_ODW, "&lt;" &amp; Projektname_ODW),0)),"")</f>
        <v/>
      </c>
    </row>
    <row r="739" spans="1:2">
      <c r="A739" s="13" t="str">
        <f t="array" aca="1" ref="A739" ca="1">IFERROR(INDEX(Projektname,SMALL(IF(FREQUENCY(IF(Projektname&lt;&gt;"",MATCH(Projektname,Projektname,0)),ROW(Projektname)-ROW(Data!$A$4)+1),ROW(Projektname)-ROW(Data!$A$4)+1),ROWS(A$2:A739))),"")</f>
        <v/>
      </c>
      <c r="B739" s="13" t="str">
        <f t="array" aca="1" ref="B739" ca="1">IFERROR(INDEX(Projektname_ODW,MATCH(SMALL(COUNTIF(Projektname_ODW, "&lt;" &amp; Projektname_ODW),ROW(738:738)),COUNTIF(Projektname_ODW, "&lt;" &amp; Projektname_ODW),0)),"")</f>
        <v/>
      </c>
    </row>
    <row r="740" spans="1:2">
      <c r="A740" s="13" t="str">
        <f t="array" aca="1" ref="A740" ca="1">IFERROR(INDEX(Projektname,SMALL(IF(FREQUENCY(IF(Projektname&lt;&gt;"",MATCH(Projektname,Projektname,0)),ROW(Projektname)-ROW(Data!$A$4)+1),ROW(Projektname)-ROW(Data!$A$4)+1),ROWS(A$2:A740))),"")</f>
        <v/>
      </c>
      <c r="B740" s="13" t="str">
        <f t="array" aca="1" ref="B740" ca="1">IFERROR(INDEX(Projektname_ODW,MATCH(SMALL(COUNTIF(Projektname_ODW, "&lt;" &amp; Projektname_ODW),ROW(739:739)),COUNTIF(Projektname_ODW, "&lt;" &amp; Projektname_ODW),0)),"")</f>
        <v/>
      </c>
    </row>
    <row r="741" spans="1:2">
      <c r="A741" s="13" t="str">
        <f t="array" aca="1" ref="A741" ca="1">IFERROR(INDEX(Projektname,SMALL(IF(FREQUENCY(IF(Projektname&lt;&gt;"",MATCH(Projektname,Projektname,0)),ROW(Projektname)-ROW(Data!$A$4)+1),ROW(Projektname)-ROW(Data!$A$4)+1),ROWS(A$2:A741))),"")</f>
        <v/>
      </c>
      <c r="B741" s="13" t="str">
        <f t="array" aca="1" ref="B741" ca="1">IFERROR(INDEX(Projektname_ODW,MATCH(SMALL(COUNTIF(Projektname_ODW, "&lt;" &amp; Projektname_ODW),ROW(740:740)),COUNTIF(Projektname_ODW, "&lt;" &amp; Projektname_ODW),0)),"")</f>
        <v/>
      </c>
    </row>
    <row r="742" spans="1:2">
      <c r="A742" s="13" t="str">
        <f t="array" aca="1" ref="A742" ca="1">IFERROR(INDEX(Projektname,SMALL(IF(FREQUENCY(IF(Projektname&lt;&gt;"",MATCH(Projektname,Projektname,0)),ROW(Projektname)-ROW(Data!$A$4)+1),ROW(Projektname)-ROW(Data!$A$4)+1),ROWS(A$2:A742))),"")</f>
        <v/>
      </c>
      <c r="B742" s="13" t="str">
        <f t="array" aca="1" ref="B742" ca="1">IFERROR(INDEX(Projektname_ODW,MATCH(SMALL(COUNTIF(Projektname_ODW, "&lt;" &amp; Projektname_ODW),ROW(741:741)),COUNTIF(Projektname_ODW, "&lt;" &amp; Projektname_ODW),0)),"")</f>
        <v/>
      </c>
    </row>
    <row r="743" spans="1:2">
      <c r="A743" s="13" t="str">
        <f t="array" aca="1" ref="A743" ca="1">IFERROR(INDEX(Projektname,SMALL(IF(FREQUENCY(IF(Projektname&lt;&gt;"",MATCH(Projektname,Projektname,0)),ROW(Projektname)-ROW(Data!$A$4)+1),ROW(Projektname)-ROW(Data!$A$4)+1),ROWS(A$2:A743))),"")</f>
        <v/>
      </c>
      <c r="B743" s="13" t="str">
        <f t="array" aca="1" ref="B743" ca="1">IFERROR(INDEX(Projektname_ODW,MATCH(SMALL(COUNTIF(Projektname_ODW, "&lt;" &amp; Projektname_ODW),ROW(742:742)),COUNTIF(Projektname_ODW, "&lt;" &amp; Projektname_ODW),0)),"")</f>
        <v/>
      </c>
    </row>
    <row r="744" spans="1:2">
      <c r="A744" s="13" t="str">
        <f t="array" aca="1" ref="A744" ca="1">IFERROR(INDEX(Projektname,SMALL(IF(FREQUENCY(IF(Projektname&lt;&gt;"",MATCH(Projektname,Projektname,0)),ROW(Projektname)-ROW(Data!$A$4)+1),ROW(Projektname)-ROW(Data!$A$4)+1),ROWS(A$2:A744))),"")</f>
        <v/>
      </c>
      <c r="B744" s="13" t="str">
        <f t="array" aca="1" ref="B744" ca="1">IFERROR(INDEX(Projektname_ODW,MATCH(SMALL(COUNTIF(Projektname_ODW, "&lt;" &amp; Projektname_ODW),ROW(743:743)),COUNTIF(Projektname_ODW, "&lt;" &amp; Projektname_ODW),0)),"")</f>
        <v/>
      </c>
    </row>
    <row r="745" spans="1:2">
      <c r="A745" s="13" t="str">
        <f t="array" aca="1" ref="A745" ca="1">IFERROR(INDEX(Projektname,SMALL(IF(FREQUENCY(IF(Projektname&lt;&gt;"",MATCH(Projektname,Projektname,0)),ROW(Projektname)-ROW(Data!$A$4)+1),ROW(Projektname)-ROW(Data!$A$4)+1),ROWS(A$2:A745))),"")</f>
        <v/>
      </c>
      <c r="B745" s="13" t="str">
        <f t="array" aca="1" ref="B745" ca="1">IFERROR(INDEX(Projektname_ODW,MATCH(SMALL(COUNTIF(Projektname_ODW, "&lt;" &amp; Projektname_ODW),ROW(744:744)),COUNTIF(Projektname_ODW, "&lt;" &amp; Projektname_ODW),0)),"")</f>
        <v/>
      </c>
    </row>
    <row r="746" spans="1:2">
      <c r="A746" s="13" t="str">
        <f t="array" aca="1" ref="A746" ca="1">IFERROR(INDEX(Projektname,SMALL(IF(FREQUENCY(IF(Projektname&lt;&gt;"",MATCH(Projektname,Projektname,0)),ROW(Projektname)-ROW(Data!$A$4)+1),ROW(Projektname)-ROW(Data!$A$4)+1),ROWS(A$2:A746))),"")</f>
        <v/>
      </c>
      <c r="B746" s="13" t="str">
        <f t="array" aca="1" ref="B746" ca="1">IFERROR(INDEX(Projektname_ODW,MATCH(SMALL(COUNTIF(Projektname_ODW, "&lt;" &amp; Projektname_ODW),ROW(745:745)),COUNTIF(Projektname_ODW, "&lt;" &amp; Projektname_ODW),0)),"")</f>
        <v/>
      </c>
    </row>
    <row r="747" spans="1:2">
      <c r="A747" s="13" t="str">
        <f t="array" aca="1" ref="A747" ca="1">IFERROR(INDEX(Projektname,SMALL(IF(FREQUENCY(IF(Projektname&lt;&gt;"",MATCH(Projektname,Projektname,0)),ROW(Projektname)-ROW(Data!$A$4)+1),ROW(Projektname)-ROW(Data!$A$4)+1),ROWS(A$2:A747))),"")</f>
        <v/>
      </c>
      <c r="B747" s="13" t="str">
        <f t="array" aca="1" ref="B747" ca="1">IFERROR(INDEX(Projektname_ODW,MATCH(SMALL(COUNTIF(Projektname_ODW, "&lt;" &amp; Projektname_ODW),ROW(746:746)),COUNTIF(Projektname_ODW, "&lt;" &amp; Projektname_ODW),0)),"")</f>
        <v/>
      </c>
    </row>
    <row r="748" spans="1:2">
      <c r="A748" s="13" t="str">
        <f t="array" aca="1" ref="A748" ca="1">IFERROR(INDEX(Projektname,SMALL(IF(FREQUENCY(IF(Projektname&lt;&gt;"",MATCH(Projektname,Projektname,0)),ROW(Projektname)-ROW(Data!$A$4)+1),ROW(Projektname)-ROW(Data!$A$4)+1),ROWS(A$2:A748))),"")</f>
        <v/>
      </c>
      <c r="B748" s="13" t="str">
        <f t="array" aca="1" ref="B748" ca="1">IFERROR(INDEX(Projektname_ODW,MATCH(SMALL(COUNTIF(Projektname_ODW, "&lt;" &amp; Projektname_ODW),ROW(747:747)),COUNTIF(Projektname_ODW, "&lt;" &amp; Projektname_ODW),0)),"")</f>
        <v/>
      </c>
    </row>
    <row r="749" spans="1:2">
      <c r="A749" s="13" t="str">
        <f t="array" aca="1" ref="A749" ca="1">IFERROR(INDEX(Projektname,SMALL(IF(FREQUENCY(IF(Projektname&lt;&gt;"",MATCH(Projektname,Projektname,0)),ROW(Projektname)-ROW(Data!$A$4)+1),ROW(Projektname)-ROW(Data!$A$4)+1),ROWS(A$2:A749))),"")</f>
        <v/>
      </c>
      <c r="B749" s="13" t="str">
        <f t="array" aca="1" ref="B749" ca="1">IFERROR(INDEX(Projektname_ODW,MATCH(SMALL(COUNTIF(Projektname_ODW, "&lt;" &amp; Projektname_ODW),ROW(748:748)),COUNTIF(Projektname_ODW, "&lt;" &amp; Projektname_ODW),0)),"")</f>
        <v/>
      </c>
    </row>
    <row r="750" spans="1:2">
      <c r="A750" s="13" t="str">
        <f t="array" aca="1" ref="A750" ca="1">IFERROR(INDEX(Projektname,SMALL(IF(FREQUENCY(IF(Projektname&lt;&gt;"",MATCH(Projektname,Projektname,0)),ROW(Projektname)-ROW(Data!$A$4)+1),ROW(Projektname)-ROW(Data!$A$4)+1),ROWS(A$2:A750))),"")</f>
        <v/>
      </c>
      <c r="B750" s="13" t="str">
        <f t="array" aca="1" ref="B750" ca="1">IFERROR(INDEX(Projektname_ODW,MATCH(SMALL(COUNTIF(Projektname_ODW, "&lt;" &amp; Projektname_ODW),ROW(749:749)),COUNTIF(Projektname_ODW, "&lt;" &amp; Projektname_ODW),0)),"")</f>
        <v/>
      </c>
    </row>
    <row r="751" spans="1:2">
      <c r="A751" s="13" t="str">
        <f t="array" aca="1" ref="A751" ca="1">IFERROR(INDEX(Projektname,SMALL(IF(FREQUENCY(IF(Projektname&lt;&gt;"",MATCH(Projektname,Projektname,0)),ROW(Projektname)-ROW(Data!$A$4)+1),ROW(Projektname)-ROW(Data!$A$4)+1),ROWS(A$2:A751))),"")</f>
        <v/>
      </c>
      <c r="B751" s="13" t="str">
        <f t="array" aca="1" ref="B751" ca="1">IFERROR(INDEX(Projektname_ODW,MATCH(SMALL(COUNTIF(Projektname_ODW, "&lt;" &amp; Projektname_ODW),ROW(750:750)),COUNTIF(Projektname_ODW, "&lt;" &amp; Projektname_ODW),0)),"")</f>
        <v/>
      </c>
    </row>
    <row r="752" spans="1:2">
      <c r="A752" s="13" t="str">
        <f t="array" aca="1" ref="A752" ca="1">IFERROR(INDEX(Projektname,SMALL(IF(FREQUENCY(IF(Projektname&lt;&gt;"",MATCH(Projektname,Projektname,0)),ROW(Projektname)-ROW(Data!$A$4)+1),ROW(Projektname)-ROW(Data!$A$4)+1),ROWS(A$2:A752))),"")</f>
        <v/>
      </c>
      <c r="B752" s="13" t="str">
        <f t="array" aca="1" ref="B752" ca="1">IFERROR(INDEX(Projektname_ODW,MATCH(SMALL(COUNTIF(Projektname_ODW, "&lt;" &amp; Projektname_ODW),ROW(751:751)),COUNTIF(Projektname_ODW, "&lt;" &amp; Projektname_ODW),0)),"")</f>
        <v/>
      </c>
    </row>
    <row r="753" spans="1:2">
      <c r="A753" s="13" t="str">
        <f t="array" aca="1" ref="A753" ca="1">IFERROR(INDEX(Projektname,SMALL(IF(FREQUENCY(IF(Projektname&lt;&gt;"",MATCH(Projektname,Projektname,0)),ROW(Projektname)-ROW(Data!$A$4)+1),ROW(Projektname)-ROW(Data!$A$4)+1),ROWS(A$2:A753))),"")</f>
        <v/>
      </c>
      <c r="B753" s="13" t="str">
        <f t="array" aca="1" ref="B753" ca="1">IFERROR(INDEX(Projektname_ODW,MATCH(SMALL(COUNTIF(Projektname_ODW, "&lt;" &amp; Projektname_ODW),ROW(752:752)),COUNTIF(Projektname_ODW, "&lt;" &amp; Projektname_ODW),0)),"")</f>
        <v/>
      </c>
    </row>
    <row r="754" spans="1:2">
      <c r="A754" s="13" t="str">
        <f t="array" aca="1" ref="A754" ca="1">IFERROR(INDEX(Projektname,SMALL(IF(FREQUENCY(IF(Projektname&lt;&gt;"",MATCH(Projektname,Projektname,0)),ROW(Projektname)-ROW(Data!$A$4)+1),ROW(Projektname)-ROW(Data!$A$4)+1),ROWS(A$2:A754))),"")</f>
        <v/>
      </c>
      <c r="B754" s="13" t="str">
        <f t="array" aca="1" ref="B754" ca="1">IFERROR(INDEX(Projektname_ODW,MATCH(SMALL(COUNTIF(Projektname_ODW, "&lt;" &amp; Projektname_ODW),ROW(753:753)),COUNTIF(Projektname_ODW, "&lt;" &amp; Projektname_ODW),0)),"")</f>
        <v/>
      </c>
    </row>
    <row r="755" spans="1:2">
      <c r="A755" s="13" t="str">
        <f t="array" aca="1" ref="A755" ca="1">IFERROR(INDEX(Projektname,SMALL(IF(FREQUENCY(IF(Projektname&lt;&gt;"",MATCH(Projektname,Projektname,0)),ROW(Projektname)-ROW(Data!$A$4)+1),ROW(Projektname)-ROW(Data!$A$4)+1),ROWS(A$2:A755))),"")</f>
        <v/>
      </c>
      <c r="B755" s="13" t="str">
        <f t="array" aca="1" ref="B755" ca="1">IFERROR(INDEX(Projektname_ODW,MATCH(SMALL(COUNTIF(Projektname_ODW, "&lt;" &amp; Projektname_ODW),ROW(754:754)),COUNTIF(Projektname_ODW, "&lt;" &amp; Projektname_ODW),0)),"")</f>
        <v/>
      </c>
    </row>
    <row r="756" spans="1:2">
      <c r="A756" s="13" t="str">
        <f t="array" aca="1" ref="A756" ca="1">IFERROR(INDEX(Projektname,SMALL(IF(FREQUENCY(IF(Projektname&lt;&gt;"",MATCH(Projektname,Projektname,0)),ROW(Projektname)-ROW(Data!$A$4)+1),ROW(Projektname)-ROW(Data!$A$4)+1),ROWS(A$2:A756))),"")</f>
        <v/>
      </c>
      <c r="B756" s="13" t="str">
        <f t="array" aca="1" ref="B756" ca="1">IFERROR(INDEX(Projektname_ODW,MATCH(SMALL(COUNTIF(Projektname_ODW, "&lt;" &amp; Projektname_ODW),ROW(755:755)),COUNTIF(Projektname_ODW, "&lt;" &amp; Projektname_ODW),0)),"")</f>
        <v/>
      </c>
    </row>
    <row r="757" spans="1:2">
      <c r="A757" s="13" t="str">
        <f t="array" aca="1" ref="A757" ca="1">IFERROR(INDEX(Projektname,SMALL(IF(FREQUENCY(IF(Projektname&lt;&gt;"",MATCH(Projektname,Projektname,0)),ROW(Projektname)-ROW(Data!$A$4)+1),ROW(Projektname)-ROW(Data!$A$4)+1),ROWS(A$2:A757))),"")</f>
        <v/>
      </c>
      <c r="B757" s="13" t="str">
        <f t="array" aca="1" ref="B757" ca="1">IFERROR(INDEX(Projektname_ODW,MATCH(SMALL(COUNTIF(Projektname_ODW, "&lt;" &amp; Projektname_ODW),ROW(756:756)),COUNTIF(Projektname_ODW, "&lt;" &amp; Projektname_ODW),0)),"")</f>
        <v/>
      </c>
    </row>
    <row r="758" spans="1:2">
      <c r="A758" s="13" t="str">
        <f t="array" aca="1" ref="A758" ca="1">IFERROR(INDEX(Projektname,SMALL(IF(FREQUENCY(IF(Projektname&lt;&gt;"",MATCH(Projektname,Projektname,0)),ROW(Projektname)-ROW(Data!$A$4)+1),ROW(Projektname)-ROW(Data!$A$4)+1),ROWS(A$2:A758))),"")</f>
        <v/>
      </c>
      <c r="B758" s="13" t="str">
        <f t="array" aca="1" ref="B758" ca="1">IFERROR(INDEX(Projektname_ODW,MATCH(SMALL(COUNTIF(Projektname_ODW, "&lt;" &amp; Projektname_ODW),ROW(757:757)),COUNTIF(Projektname_ODW, "&lt;" &amp; Projektname_ODW),0)),"")</f>
        <v/>
      </c>
    </row>
    <row r="759" spans="1:2">
      <c r="A759" s="13" t="str">
        <f t="array" aca="1" ref="A759" ca="1">IFERROR(INDEX(Projektname,SMALL(IF(FREQUENCY(IF(Projektname&lt;&gt;"",MATCH(Projektname,Projektname,0)),ROW(Projektname)-ROW(Data!$A$4)+1),ROW(Projektname)-ROW(Data!$A$4)+1),ROWS(A$2:A759))),"")</f>
        <v/>
      </c>
      <c r="B759" s="13" t="str">
        <f t="array" aca="1" ref="B759" ca="1">IFERROR(INDEX(Projektname_ODW,MATCH(SMALL(COUNTIF(Projektname_ODW, "&lt;" &amp; Projektname_ODW),ROW(758:758)),COUNTIF(Projektname_ODW, "&lt;" &amp; Projektname_ODW),0)),"")</f>
        <v/>
      </c>
    </row>
    <row r="760" spans="1:2">
      <c r="A760" s="13" t="str">
        <f t="array" aca="1" ref="A760" ca="1">IFERROR(INDEX(Projektname,SMALL(IF(FREQUENCY(IF(Projektname&lt;&gt;"",MATCH(Projektname,Projektname,0)),ROW(Projektname)-ROW(Data!$A$4)+1),ROW(Projektname)-ROW(Data!$A$4)+1),ROWS(A$2:A760))),"")</f>
        <v/>
      </c>
      <c r="B760" s="13" t="str">
        <f t="array" aca="1" ref="B760" ca="1">IFERROR(INDEX(Projektname_ODW,MATCH(SMALL(COUNTIF(Projektname_ODW, "&lt;" &amp; Projektname_ODW),ROW(759:759)),COUNTIF(Projektname_ODW, "&lt;" &amp; Projektname_ODW),0)),"")</f>
        <v/>
      </c>
    </row>
    <row r="761" spans="1:2">
      <c r="A761" s="13" t="str">
        <f t="array" aca="1" ref="A761" ca="1">IFERROR(INDEX(Projektname,SMALL(IF(FREQUENCY(IF(Projektname&lt;&gt;"",MATCH(Projektname,Projektname,0)),ROW(Projektname)-ROW(Data!$A$4)+1),ROW(Projektname)-ROW(Data!$A$4)+1),ROWS(A$2:A761))),"")</f>
        <v/>
      </c>
      <c r="B761" s="13" t="str">
        <f t="array" aca="1" ref="B761" ca="1">IFERROR(INDEX(Projektname_ODW,MATCH(SMALL(COUNTIF(Projektname_ODW, "&lt;" &amp; Projektname_ODW),ROW(760:760)),COUNTIF(Projektname_ODW, "&lt;" &amp; Projektname_ODW),0)),"")</f>
        <v/>
      </c>
    </row>
    <row r="762" spans="1:2">
      <c r="A762" s="13" t="str">
        <f t="array" aca="1" ref="A762" ca="1">IFERROR(INDEX(Projektname,SMALL(IF(FREQUENCY(IF(Projektname&lt;&gt;"",MATCH(Projektname,Projektname,0)),ROW(Projektname)-ROW(Data!$A$4)+1),ROW(Projektname)-ROW(Data!$A$4)+1),ROWS(A$2:A762))),"")</f>
        <v/>
      </c>
      <c r="B762" s="13" t="str">
        <f t="array" aca="1" ref="B762" ca="1">IFERROR(INDEX(Projektname_ODW,MATCH(SMALL(COUNTIF(Projektname_ODW, "&lt;" &amp; Projektname_ODW),ROW(761:761)),COUNTIF(Projektname_ODW, "&lt;" &amp; Projektname_ODW),0)),"")</f>
        <v/>
      </c>
    </row>
    <row r="763" spans="1:2">
      <c r="A763" s="13" t="str">
        <f t="array" aca="1" ref="A763" ca="1">IFERROR(INDEX(Projektname,SMALL(IF(FREQUENCY(IF(Projektname&lt;&gt;"",MATCH(Projektname,Projektname,0)),ROW(Projektname)-ROW(Data!$A$4)+1),ROW(Projektname)-ROW(Data!$A$4)+1),ROWS(A$2:A763))),"")</f>
        <v/>
      </c>
      <c r="B763" s="13" t="str">
        <f t="array" aca="1" ref="B763" ca="1">IFERROR(INDEX(Projektname_ODW,MATCH(SMALL(COUNTIF(Projektname_ODW, "&lt;" &amp; Projektname_ODW),ROW(762:762)),COUNTIF(Projektname_ODW, "&lt;" &amp; Projektname_ODW),0)),"")</f>
        <v/>
      </c>
    </row>
    <row r="764" spans="1:2">
      <c r="A764" s="13" t="str">
        <f t="array" aca="1" ref="A764" ca="1">IFERROR(INDEX(Projektname,SMALL(IF(FREQUENCY(IF(Projektname&lt;&gt;"",MATCH(Projektname,Projektname,0)),ROW(Projektname)-ROW(Data!$A$4)+1),ROW(Projektname)-ROW(Data!$A$4)+1),ROWS(A$2:A764))),"")</f>
        <v/>
      </c>
      <c r="B764" s="13" t="str">
        <f t="array" aca="1" ref="B764" ca="1">IFERROR(INDEX(Projektname_ODW,MATCH(SMALL(COUNTIF(Projektname_ODW, "&lt;" &amp; Projektname_ODW),ROW(763:763)),COUNTIF(Projektname_ODW, "&lt;" &amp; Projektname_ODW),0)),"")</f>
        <v/>
      </c>
    </row>
    <row r="765" spans="1:2">
      <c r="A765" s="13" t="str">
        <f t="array" aca="1" ref="A765" ca="1">IFERROR(INDEX(Projektname,SMALL(IF(FREQUENCY(IF(Projektname&lt;&gt;"",MATCH(Projektname,Projektname,0)),ROW(Projektname)-ROW(Data!$A$4)+1),ROW(Projektname)-ROW(Data!$A$4)+1),ROWS(A$2:A765))),"")</f>
        <v/>
      </c>
      <c r="B765" s="13" t="str">
        <f t="array" aca="1" ref="B765" ca="1">IFERROR(INDEX(Projektname_ODW,MATCH(SMALL(COUNTIF(Projektname_ODW, "&lt;" &amp; Projektname_ODW),ROW(764:764)),COUNTIF(Projektname_ODW, "&lt;" &amp; Projektname_ODW),0)),"")</f>
        <v/>
      </c>
    </row>
    <row r="766" spans="1:2">
      <c r="A766" s="13" t="str">
        <f t="array" aca="1" ref="A766" ca="1">IFERROR(INDEX(Projektname,SMALL(IF(FREQUENCY(IF(Projektname&lt;&gt;"",MATCH(Projektname,Projektname,0)),ROW(Projektname)-ROW(Data!$A$4)+1),ROW(Projektname)-ROW(Data!$A$4)+1),ROWS(A$2:A766))),"")</f>
        <v/>
      </c>
      <c r="B766" s="13" t="str">
        <f t="array" aca="1" ref="B766" ca="1">IFERROR(INDEX(Projektname_ODW,MATCH(SMALL(COUNTIF(Projektname_ODW, "&lt;" &amp; Projektname_ODW),ROW(765:765)),COUNTIF(Projektname_ODW, "&lt;" &amp; Projektname_ODW),0)),"")</f>
        <v/>
      </c>
    </row>
    <row r="767" spans="1:2">
      <c r="A767" s="13" t="str">
        <f t="array" aca="1" ref="A767" ca="1">IFERROR(INDEX(Projektname,SMALL(IF(FREQUENCY(IF(Projektname&lt;&gt;"",MATCH(Projektname,Projektname,0)),ROW(Projektname)-ROW(Data!$A$4)+1),ROW(Projektname)-ROW(Data!$A$4)+1),ROWS(A$2:A767))),"")</f>
        <v/>
      </c>
      <c r="B767" s="13" t="str">
        <f t="array" aca="1" ref="B767" ca="1">IFERROR(INDEX(Projektname_ODW,MATCH(SMALL(COUNTIF(Projektname_ODW, "&lt;" &amp; Projektname_ODW),ROW(766:766)),COUNTIF(Projektname_ODW, "&lt;" &amp; Projektname_ODW),0)),"")</f>
        <v/>
      </c>
    </row>
    <row r="768" spans="1:2">
      <c r="A768" s="13" t="str">
        <f t="array" aca="1" ref="A768" ca="1">IFERROR(INDEX(Projektname,SMALL(IF(FREQUENCY(IF(Projektname&lt;&gt;"",MATCH(Projektname,Projektname,0)),ROW(Projektname)-ROW(Data!$A$4)+1),ROW(Projektname)-ROW(Data!$A$4)+1),ROWS(A$2:A768))),"")</f>
        <v/>
      </c>
      <c r="B768" s="13" t="str">
        <f t="array" aca="1" ref="B768" ca="1">IFERROR(INDEX(Projektname_ODW,MATCH(SMALL(COUNTIF(Projektname_ODW, "&lt;" &amp; Projektname_ODW),ROW(767:767)),COUNTIF(Projektname_ODW, "&lt;" &amp; Projektname_ODW),0)),"")</f>
        <v/>
      </c>
    </row>
    <row r="769" spans="1:2">
      <c r="A769" s="13" t="str">
        <f t="array" aca="1" ref="A769" ca="1">IFERROR(INDEX(Projektname,SMALL(IF(FREQUENCY(IF(Projektname&lt;&gt;"",MATCH(Projektname,Projektname,0)),ROW(Projektname)-ROW(Data!$A$4)+1),ROW(Projektname)-ROW(Data!$A$4)+1),ROWS(A$2:A769))),"")</f>
        <v/>
      </c>
      <c r="B769" s="13" t="str">
        <f t="array" aca="1" ref="B769" ca="1">IFERROR(INDEX(Projektname_ODW,MATCH(SMALL(COUNTIF(Projektname_ODW, "&lt;" &amp; Projektname_ODW),ROW(768:768)),COUNTIF(Projektname_ODW, "&lt;" &amp; Projektname_ODW),0)),"")</f>
        <v/>
      </c>
    </row>
    <row r="770" spans="1:2">
      <c r="A770" s="13" t="str">
        <f t="array" aca="1" ref="A770" ca="1">IFERROR(INDEX(Projektname,SMALL(IF(FREQUENCY(IF(Projektname&lt;&gt;"",MATCH(Projektname,Projektname,0)),ROW(Projektname)-ROW(Data!$A$4)+1),ROW(Projektname)-ROW(Data!$A$4)+1),ROWS(A$2:A770))),"")</f>
        <v/>
      </c>
      <c r="B770" s="13" t="str">
        <f t="array" aca="1" ref="B770" ca="1">IFERROR(INDEX(Projektname_ODW,MATCH(SMALL(COUNTIF(Projektname_ODW, "&lt;" &amp; Projektname_ODW),ROW(769:769)),COUNTIF(Projektname_ODW, "&lt;" &amp; Projektname_ODW),0)),"")</f>
        <v/>
      </c>
    </row>
    <row r="771" spans="1:2">
      <c r="A771" s="13" t="str">
        <f t="array" aca="1" ref="A771" ca="1">IFERROR(INDEX(Projektname,SMALL(IF(FREQUENCY(IF(Projektname&lt;&gt;"",MATCH(Projektname,Projektname,0)),ROW(Projektname)-ROW(Data!$A$4)+1),ROW(Projektname)-ROW(Data!$A$4)+1),ROWS(A$2:A771))),"")</f>
        <v/>
      </c>
      <c r="B771" s="13" t="str">
        <f t="array" aca="1" ref="B771" ca="1">IFERROR(INDEX(Projektname_ODW,MATCH(SMALL(COUNTIF(Projektname_ODW, "&lt;" &amp; Projektname_ODW),ROW(770:770)),COUNTIF(Projektname_ODW, "&lt;" &amp; Projektname_ODW),0)),"")</f>
        <v/>
      </c>
    </row>
    <row r="772" spans="1:2">
      <c r="A772" s="13" t="str">
        <f t="array" aca="1" ref="A772" ca="1">IFERROR(INDEX(Projektname,SMALL(IF(FREQUENCY(IF(Projektname&lt;&gt;"",MATCH(Projektname,Projektname,0)),ROW(Projektname)-ROW(Data!$A$4)+1),ROW(Projektname)-ROW(Data!$A$4)+1),ROWS(A$2:A772))),"")</f>
        <v/>
      </c>
      <c r="B772" s="13" t="str">
        <f t="array" aca="1" ref="B772" ca="1">IFERROR(INDEX(Projektname_ODW,MATCH(SMALL(COUNTIF(Projektname_ODW, "&lt;" &amp; Projektname_ODW),ROW(771:771)),COUNTIF(Projektname_ODW, "&lt;" &amp; Projektname_ODW),0)),"")</f>
        <v/>
      </c>
    </row>
    <row r="773" spans="1:2">
      <c r="A773" s="13" t="str">
        <f t="array" aca="1" ref="A773" ca="1">IFERROR(INDEX(Projektname,SMALL(IF(FREQUENCY(IF(Projektname&lt;&gt;"",MATCH(Projektname,Projektname,0)),ROW(Projektname)-ROW(Data!$A$4)+1),ROW(Projektname)-ROW(Data!$A$4)+1),ROWS(A$2:A773))),"")</f>
        <v/>
      </c>
      <c r="B773" s="13" t="str">
        <f t="array" aca="1" ref="B773" ca="1">IFERROR(INDEX(Projektname_ODW,MATCH(SMALL(COUNTIF(Projektname_ODW, "&lt;" &amp; Projektname_ODW),ROW(772:772)),COUNTIF(Projektname_ODW, "&lt;" &amp; Projektname_ODW),0)),"")</f>
        <v/>
      </c>
    </row>
    <row r="774" spans="1:2">
      <c r="A774" s="13" t="str">
        <f t="array" aca="1" ref="A774" ca="1">IFERROR(INDEX(Projektname,SMALL(IF(FREQUENCY(IF(Projektname&lt;&gt;"",MATCH(Projektname,Projektname,0)),ROW(Projektname)-ROW(Data!$A$4)+1),ROW(Projektname)-ROW(Data!$A$4)+1),ROWS(A$2:A774))),"")</f>
        <v/>
      </c>
      <c r="B774" s="13" t="str">
        <f t="array" aca="1" ref="B774" ca="1">IFERROR(INDEX(Projektname_ODW,MATCH(SMALL(COUNTIF(Projektname_ODW, "&lt;" &amp; Projektname_ODW),ROW(773:773)),COUNTIF(Projektname_ODW, "&lt;" &amp; Projektname_ODW),0)),"")</f>
        <v/>
      </c>
    </row>
    <row r="775" spans="1:2">
      <c r="A775" s="13" t="str">
        <f t="array" aca="1" ref="A775" ca="1">IFERROR(INDEX(Projektname,SMALL(IF(FREQUENCY(IF(Projektname&lt;&gt;"",MATCH(Projektname,Projektname,0)),ROW(Projektname)-ROW(Data!$A$4)+1),ROW(Projektname)-ROW(Data!$A$4)+1),ROWS(A$2:A775))),"")</f>
        <v/>
      </c>
      <c r="B775" s="13" t="str">
        <f t="array" aca="1" ref="B775" ca="1">IFERROR(INDEX(Projektname_ODW,MATCH(SMALL(COUNTIF(Projektname_ODW, "&lt;" &amp; Projektname_ODW),ROW(774:774)),COUNTIF(Projektname_ODW, "&lt;" &amp; Projektname_ODW),0)),"")</f>
        <v/>
      </c>
    </row>
    <row r="776" spans="1:2">
      <c r="A776" s="13" t="str">
        <f t="array" aca="1" ref="A776" ca="1">IFERROR(INDEX(Projektname,SMALL(IF(FREQUENCY(IF(Projektname&lt;&gt;"",MATCH(Projektname,Projektname,0)),ROW(Projektname)-ROW(Data!$A$4)+1),ROW(Projektname)-ROW(Data!$A$4)+1),ROWS(A$2:A776))),"")</f>
        <v/>
      </c>
      <c r="B776" s="13" t="str">
        <f t="array" aca="1" ref="B776" ca="1">IFERROR(INDEX(Projektname_ODW,MATCH(SMALL(COUNTIF(Projektname_ODW, "&lt;" &amp; Projektname_ODW),ROW(775:775)),COUNTIF(Projektname_ODW, "&lt;" &amp; Projektname_ODW),0)),"")</f>
        <v/>
      </c>
    </row>
    <row r="777" spans="1:2">
      <c r="A777" s="13" t="str">
        <f t="array" aca="1" ref="A777" ca="1">IFERROR(INDEX(Projektname,SMALL(IF(FREQUENCY(IF(Projektname&lt;&gt;"",MATCH(Projektname,Projektname,0)),ROW(Projektname)-ROW(Data!$A$4)+1),ROW(Projektname)-ROW(Data!$A$4)+1),ROWS(A$2:A777))),"")</f>
        <v/>
      </c>
      <c r="B777" s="13" t="str">
        <f t="array" aca="1" ref="B777" ca="1">IFERROR(INDEX(Projektname_ODW,MATCH(SMALL(COUNTIF(Projektname_ODW, "&lt;" &amp; Projektname_ODW),ROW(776:776)),COUNTIF(Projektname_ODW, "&lt;" &amp; Projektname_ODW),0)),"")</f>
        <v/>
      </c>
    </row>
    <row r="778" spans="1:2">
      <c r="A778" s="13" t="str">
        <f t="array" aca="1" ref="A778" ca="1">IFERROR(INDEX(Projektname,SMALL(IF(FREQUENCY(IF(Projektname&lt;&gt;"",MATCH(Projektname,Projektname,0)),ROW(Projektname)-ROW(Data!$A$4)+1),ROW(Projektname)-ROW(Data!$A$4)+1),ROWS(A$2:A778))),"")</f>
        <v/>
      </c>
      <c r="B778" s="13" t="str">
        <f t="array" aca="1" ref="B778" ca="1">IFERROR(INDEX(Projektname_ODW,MATCH(SMALL(COUNTIF(Projektname_ODW, "&lt;" &amp; Projektname_ODW),ROW(777:777)),COUNTIF(Projektname_ODW, "&lt;" &amp; Projektname_ODW),0)),"")</f>
        <v/>
      </c>
    </row>
    <row r="779" spans="1:2">
      <c r="A779" s="13" t="str">
        <f t="array" aca="1" ref="A779" ca="1">IFERROR(INDEX(Projektname,SMALL(IF(FREQUENCY(IF(Projektname&lt;&gt;"",MATCH(Projektname,Projektname,0)),ROW(Projektname)-ROW(Data!$A$4)+1),ROW(Projektname)-ROW(Data!$A$4)+1),ROWS(A$2:A779))),"")</f>
        <v/>
      </c>
      <c r="B779" s="13" t="str">
        <f t="array" aca="1" ref="B779" ca="1">IFERROR(INDEX(Projektname_ODW,MATCH(SMALL(COUNTIF(Projektname_ODW, "&lt;" &amp; Projektname_ODW),ROW(778:778)),COUNTIF(Projektname_ODW, "&lt;" &amp; Projektname_ODW),0)),"")</f>
        <v/>
      </c>
    </row>
    <row r="780" spans="1:2">
      <c r="A780" s="13" t="str">
        <f t="array" aca="1" ref="A780" ca="1">IFERROR(INDEX(Projektname,SMALL(IF(FREQUENCY(IF(Projektname&lt;&gt;"",MATCH(Projektname,Projektname,0)),ROW(Projektname)-ROW(Data!$A$4)+1),ROW(Projektname)-ROW(Data!$A$4)+1),ROWS(A$2:A780))),"")</f>
        <v/>
      </c>
      <c r="B780" s="13" t="str">
        <f t="array" aca="1" ref="B780" ca="1">IFERROR(INDEX(Projektname_ODW,MATCH(SMALL(COUNTIF(Projektname_ODW, "&lt;" &amp; Projektname_ODW),ROW(779:779)),COUNTIF(Projektname_ODW, "&lt;" &amp; Projektname_ODW),0)),"")</f>
        <v/>
      </c>
    </row>
    <row r="781" spans="1:2">
      <c r="A781" s="13" t="str">
        <f t="array" aca="1" ref="A781" ca="1">IFERROR(INDEX(Projektname,SMALL(IF(FREQUENCY(IF(Projektname&lt;&gt;"",MATCH(Projektname,Projektname,0)),ROW(Projektname)-ROW(Data!$A$4)+1),ROW(Projektname)-ROW(Data!$A$4)+1),ROWS(A$2:A781))),"")</f>
        <v/>
      </c>
      <c r="B781" s="13" t="str">
        <f t="array" aca="1" ref="B781" ca="1">IFERROR(INDEX(Projektname_ODW,MATCH(SMALL(COUNTIF(Projektname_ODW, "&lt;" &amp; Projektname_ODW),ROW(780:780)),COUNTIF(Projektname_ODW, "&lt;" &amp; Projektname_ODW),0)),"")</f>
        <v/>
      </c>
    </row>
    <row r="782" spans="1:2">
      <c r="A782" s="13" t="str">
        <f t="array" aca="1" ref="A782" ca="1">IFERROR(INDEX(Projektname,SMALL(IF(FREQUENCY(IF(Projektname&lt;&gt;"",MATCH(Projektname,Projektname,0)),ROW(Projektname)-ROW(Data!$A$4)+1),ROW(Projektname)-ROW(Data!$A$4)+1),ROWS(A$2:A782))),"")</f>
        <v/>
      </c>
      <c r="B782" s="13" t="str">
        <f t="array" aca="1" ref="B782" ca="1">IFERROR(INDEX(Projektname_ODW,MATCH(SMALL(COUNTIF(Projektname_ODW, "&lt;" &amp; Projektname_ODW),ROW(781:781)),COUNTIF(Projektname_ODW, "&lt;" &amp; Projektname_ODW),0)),"")</f>
        <v/>
      </c>
    </row>
    <row r="783" spans="1:2">
      <c r="A783" s="13" t="str">
        <f t="array" aca="1" ref="A783" ca="1">IFERROR(INDEX(Projektname,SMALL(IF(FREQUENCY(IF(Projektname&lt;&gt;"",MATCH(Projektname,Projektname,0)),ROW(Projektname)-ROW(Data!$A$4)+1),ROW(Projektname)-ROW(Data!$A$4)+1),ROWS(A$2:A783))),"")</f>
        <v/>
      </c>
      <c r="B783" s="13" t="str">
        <f t="array" aca="1" ref="B783" ca="1">IFERROR(INDEX(Projektname_ODW,MATCH(SMALL(COUNTIF(Projektname_ODW, "&lt;" &amp; Projektname_ODW),ROW(782:782)),COUNTIF(Projektname_ODW, "&lt;" &amp; Projektname_ODW),0)),"")</f>
        <v/>
      </c>
    </row>
    <row r="784" spans="1:2">
      <c r="A784" s="13" t="str">
        <f t="array" aca="1" ref="A784" ca="1">IFERROR(INDEX(Projektname,SMALL(IF(FREQUENCY(IF(Projektname&lt;&gt;"",MATCH(Projektname,Projektname,0)),ROW(Projektname)-ROW(Data!$A$4)+1),ROW(Projektname)-ROW(Data!$A$4)+1),ROWS(A$2:A784))),"")</f>
        <v/>
      </c>
      <c r="B784" s="13" t="str">
        <f t="array" aca="1" ref="B784" ca="1">IFERROR(INDEX(Projektname_ODW,MATCH(SMALL(COUNTIF(Projektname_ODW, "&lt;" &amp; Projektname_ODW),ROW(783:783)),COUNTIF(Projektname_ODW, "&lt;" &amp; Projektname_ODW),0)),"")</f>
        <v/>
      </c>
    </row>
    <row r="785" spans="1:2">
      <c r="A785" s="13" t="str">
        <f t="array" aca="1" ref="A785" ca="1">IFERROR(INDEX(Projektname,SMALL(IF(FREQUENCY(IF(Projektname&lt;&gt;"",MATCH(Projektname,Projektname,0)),ROW(Projektname)-ROW(Data!$A$4)+1),ROW(Projektname)-ROW(Data!$A$4)+1),ROWS(A$2:A785))),"")</f>
        <v/>
      </c>
      <c r="B785" s="13" t="str">
        <f t="array" aca="1" ref="B785" ca="1">IFERROR(INDEX(Projektname_ODW,MATCH(SMALL(COUNTIF(Projektname_ODW, "&lt;" &amp; Projektname_ODW),ROW(784:784)),COUNTIF(Projektname_ODW, "&lt;" &amp; Projektname_ODW),0)),"")</f>
        <v/>
      </c>
    </row>
    <row r="786" spans="1:2">
      <c r="A786" s="13" t="str">
        <f t="array" aca="1" ref="A786" ca="1">IFERROR(INDEX(Projektname,SMALL(IF(FREQUENCY(IF(Projektname&lt;&gt;"",MATCH(Projektname,Projektname,0)),ROW(Projektname)-ROW(Data!$A$4)+1),ROW(Projektname)-ROW(Data!$A$4)+1),ROWS(A$2:A786))),"")</f>
        <v/>
      </c>
      <c r="B786" s="13" t="str">
        <f t="array" aca="1" ref="B786" ca="1">IFERROR(INDEX(Projektname_ODW,MATCH(SMALL(COUNTIF(Projektname_ODW, "&lt;" &amp; Projektname_ODW),ROW(785:785)),COUNTIF(Projektname_ODW, "&lt;" &amp; Projektname_ODW),0)),"")</f>
        <v/>
      </c>
    </row>
    <row r="787" spans="1:2">
      <c r="A787" s="13" t="str">
        <f t="array" aca="1" ref="A787" ca="1">IFERROR(INDEX(Projektname,SMALL(IF(FREQUENCY(IF(Projektname&lt;&gt;"",MATCH(Projektname,Projektname,0)),ROW(Projektname)-ROW(Data!$A$4)+1),ROW(Projektname)-ROW(Data!$A$4)+1),ROWS(A$2:A787))),"")</f>
        <v/>
      </c>
      <c r="B787" s="13" t="str">
        <f t="array" aca="1" ref="B787" ca="1">IFERROR(INDEX(Projektname_ODW,MATCH(SMALL(COUNTIF(Projektname_ODW, "&lt;" &amp; Projektname_ODW),ROW(786:786)),COUNTIF(Projektname_ODW, "&lt;" &amp; Projektname_ODW),0)),"")</f>
        <v/>
      </c>
    </row>
    <row r="788" spans="1:2">
      <c r="A788" s="13" t="str">
        <f t="array" aca="1" ref="A788" ca="1">IFERROR(INDEX(Projektname,SMALL(IF(FREQUENCY(IF(Projektname&lt;&gt;"",MATCH(Projektname,Projektname,0)),ROW(Projektname)-ROW(Data!$A$4)+1),ROW(Projektname)-ROW(Data!$A$4)+1),ROWS(A$2:A788))),"")</f>
        <v/>
      </c>
      <c r="B788" s="13" t="str">
        <f t="array" aca="1" ref="B788" ca="1">IFERROR(INDEX(Projektname_ODW,MATCH(SMALL(COUNTIF(Projektname_ODW, "&lt;" &amp; Projektname_ODW),ROW(787:787)),COUNTIF(Projektname_ODW, "&lt;" &amp; Projektname_ODW),0)),"")</f>
        <v/>
      </c>
    </row>
    <row r="789" spans="1:2">
      <c r="A789" s="13" t="str">
        <f t="array" aca="1" ref="A789" ca="1">IFERROR(INDEX(Projektname,SMALL(IF(FREQUENCY(IF(Projektname&lt;&gt;"",MATCH(Projektname,Projektname,0)),ROW(Projektname)-ROW(Data!$A$4)+1),ROW(Projektname)-ROW(Data!$A$4)+1),ROWS(A$2:A789))),"")</f>
        <v/>
      </c>
      <c r="B789" s="13" t="str">
        <f t="array" aca="1" ref="B789" ca="1">IFERROR(INDEX(Projektname_ODW,MATCH(SMALL(COUNTIF(Projektname_ODW, "&lt;" &amp; Projektname_ODW),ROW(788:788)),COUNTIF(Projektname_ODW, "&lt;" &amp; Projektname_ODW),0)),"")</f>
        <v/>
      </c>
    </row>
    <row r="790" spans="1:2">
      <c r="A790" s="13" t="str">
        <f t="array" aca="1" ref="A790" ca="1">IFERROR(INDEX(Projektname,SMALL(IF(FREQUENCY(IF(Projektname&lt;&gt;"",MATCH(Projektname,Projektname,0)),ROW(Projektname)-ROW(Data!$A$4)+1),ROW(Projektname)-ROW(Data!$A$4)+1),ROWS(A$2:A790))),"")</f>
        <v/>
      </c>
      <c r="B790" s="13" t="str">
        <f t="array" aca="1" ref="B790" ca="1">IFERROR(INDEX(Projektname_ODW,MATCH(SMALL(COUNTIF(Projektname_ODW, "&lt;" &amp; Projektname_ODW),ROW(789:789)),COUNTIF(Projektname_ODW, "&lt;" &amp; Projektname_ODW),0)),"")</f>
        <v/>
      </c>
    </row>
    <row r="791" spans="1:2">
      <c r="A791" s="13" t="str">
        <f t="array" aca="1" ref="A791" ca="1">IFERROR(INDEX(Projektname,SMALL(IF(FREQUENCY(IF(Projektname&lt;&gt;"",MATCH(Projektname,Projektname,0)),ROW(Projektname)-ROW(Data!$A$4)+1),ROW(Projektname)-ROW(Data!$A$4)+1),ROWS(A$2:A791))),"")</f>
        <v/>
      </c>
      <c r="B791" s="13" t="str">
        <f t="array" aca="1" ref="B791" ca="1">IFERROR(INDEX(Projektname_ODW,MATCH(SMALL(COUNTIF(Projektname_ODW, "&lt;" &amp; Projektname_ODW),ROW(790:790)),COUNTIF(Projektname_ODW, "&lt;" &amp; Projektname_ODW),0)),"")</f>
        <v/>
      </c>
    </row>
    <row r="792" spans="1:2">
      <c r="A792" s="13" t="str">
        <f t="array" aca="1" ref="A792" ca="1">IFERROR(INDEX(Projektname,SMALL(IF(FREQUENCY(IF(Projektname&lt;&gt;"",MATCH(Projektname,Projektname,0)),ROW(Projektname)-ROW(Data!$A$4)+1),ROW(Projektname)-ROW(Data!$A$4)+1),ROWS(A$2:A792))),"")</f>
        <v/>
      </c>
      <c r="B792" s="13" t="str">
        <f t="array" aca="1" ref="B792" ca="1">IFERROR(INDEX(Projektname_ODW,MATCH(SMALL(COUNTIF(Projektname_ODW, "&lt;" &amp; Projektname_ODW),ROW(791:791)),COUNTIF(Projektname_ODW, "&lt;" &amp; Projektname_ODW),0)),"")</f>
        <v/>
      </c>
    </row>
    <row r="793" spans="1:2">
      <c r="A793" s="13" t="str">
        <f t="array" aca="1" ref="A793" ca="1">IFERROR(INDEX(Projektname,SMALL(IF(FREQUENCY(IF(Projektname&lt;&gt;"",MATCH(Projektname,Projektname,0)),ROW(Projektname)-ROW(Data!$A$4)+1),ROW(Projektname)-ROW(Data!$A$4)+1),ROWS(A$2:A793))),"")</f>
        <v/>
      </c>
      <c r="B793" s="13" t="str">
        <f t="array" aca="1" ref="B793" ca="1">IFERROR(INDEX(Projektname_ODW,MATCH(SMALL(COUNTIF(Projektname_ODW, "&lt;" &amp; Projektname_ODW),ROW(792:792)),COUNTIF(Projektname_ODW, "&lt;" &amp; Projektname_ODW),0)),"")</f>
        <v/>
      </c>
    </row>
    <row r="794" spans="1:2">
      <c r="A794" s="13" t="str">
        <f t="array" aca="1" ref="A794" ca="1">IFERROR(INDEX(Projektname,SMALL(IF(FREQUENCY(IF(Projektname&lt;&gt;"",MATCH(Projektname,Projektname,0)),ROW(Projektname)-ROW(Data!$A$4)+1),ROW(Projektname)-ROW(Data!$A$4)+1),ROWS(A$2:A794))),"")</f>
        <v/>
      </c>
      <c r="B794" s="13" t="str">
        <f t="array" aca="1" ref="B794" ca="1">IFERROR(INDEX(Projektname_ODW,MATCH(SMALL(COUNTIF(Projektname_ODW, "&lt;" &amp; Projektname_ODW),ROW(793:793)),COUNTIF(Projektname_ODW, "&lt;" &amp; Projektname_ODW),0)),"")</f>
        <v/>
      </c>
    </row>
    <row r="795" spans="1:2">
      <c r="A795" s="13" t="str">
        <f t="array" aca="1" ref="A795" ca="1">IFERROR(INDEX(Projektname,SMALL(IF(FREQUENCY(IF(Projektname&lt;&gt;"",MATCH(Projektname,Projektname,0)),ROW(Projektname)-ROW(Data!$A$4)+1),ROW(Projektname)-ROW(Data!$A$4)+1),ROWS(A$2:A795))),"")</f>
        <v/>
      </c>
      <c r="B795" s="13" t="str">
        <f t="array" aca="1" ref="B795" ca="1">IFERROR(INDEX(Projektname_ODW,MATCH(SMALL(COUNTIF(Projektname_ODW, "&lt;" &amp; Projektname_ODW),ROW(794:794)),COUNTIF(Projektname_ODW, "&lt;" &amp; Projektname_ODW),0)),"")</f>
        <v/>
      </c>
    </row>
    <row r="796" spans="1:2">
      <c r="A796" s="13" t="str">
        <f t="array" aca="1" ref="A796" ca="1">IFERROR(INDEX(Projektname,SMALL(IF(FREQUENCY(IF(Projektname&lt;&gt;"",MATCH(Projektname,Projektname,0)),ROW(Projektname)-ROW(Data!$A$4)+1),ROW(Projektname)-ROW(Data!$A$4)+1),ROWS(A$2:A796))),"")</f>
        <v/>
      </c>
      <c r="B796" s="13" t="str">
        <f t="array" aca="1" ref="B796" ca="1">IFERROR(INDEX(Projektname_ODW,MATCH(SMALL(COUNTIF(Projektname_ODW, "&lt;" &amp; Projektname_ODW),ROW(795:795)),COUNTIF(Projektname_ODW, "&lt;" &amp; Projektname_ODW),0)),"")</f>
        <v/>
      </c>
    </row>
    <row r="797" spans="1:2">
      <c r="A797" s="13" t="str">
        <f t="array" aca="1" ref="A797" ca="1">IFERROR(INDEX(Projektname,SMALL(IF(FREQUENCY(IF(Projektname&lt;&gt;"",MATCH(Projektname,Projektname,0)),ROW(Projektname)-ROW(Data!$A$4)+1),ROW(Projektname)-ROW(Data!$A$4)+1),ROWS(A$2:A797))),"")</f>
        <v/>
      </c>
      <c r="B797" s="13" t="str">
        <f t="array" aca="1" ref="B797" ca="1">IFERROR(INDEX(Projektname_ODW,MATCH(SMALL(COUNTIF(Projektname_ODW, "&lt;" &amp; Projektname_ODW),ROW(796:796)),COUNTIF(Projektname_ODW, "&lt;" &amp; Projektname_ODW),0)),"")</f>
        <v/>
      </c>
    </row>
    <row r="798" spans="1:2">
      <c r="A798" s="13" t="str">
        <f t="array" aca="1" ref="A798" ca="1">IFERROR(INDEX(Projektname,SMALL(IF(FREQUENCY(IF(Projektname&lt;&gt;"",MATCH(Projektname,Projektname,0)),ROW(Projektname)-ROW(Data!$A$4)+1),ROW(Projektname)-ROW(Data!$A$4)+1),ROWS(A$2:A798))),"")</f>
        <v/>
      </c>
      <c r="B798" s="13" t="str">
        <f t="array" aca="1" ref="B798" ca="1">IFERROR(INDEX(Projektname_ODW,MATCH(SMALL(COUNTIF(Projektname_ODW, "&lt;" &amp; Projektname_ODW),ROW(797:797)),COUNTIF(Projektname_ODW, "&lt;" &amp; Projektname_ODW),0)),"")</f>
        <v/>
      </c>
    </row>
    <row r="799" spans="1:2">
      <c r="A799" s="13" t="str">
        <f t="array" aca="1" ref="A799" ca="1">IFERROR(INDEX(Projektname,SMALL(IF(FREQUENCY(IF(Projektname&lt;&gt;"",MATCH(Projektname,Projektname,0)),ROW(Projektname)-ROW(Data!$A$4)+1),ROW(Projektname)-ROW(Data!$A$4)+1),ROWS(A$2:A799))),"")</f>
        <v/>
      </c>
      <c r="B799" s="13" t="str">
        <f t="array" aca="1" ref="B799" ca="1">IFERROR(INDEX(Projektname_ODW,MATCH(SMALL(COUNTIF(Projektname_ODW, "&lt;" &amp; Projektname_ODW),ROW(798:798)),COUNTIF(Projektname_ODW, "&lt;" &amp; Projektname_ODW),0)),"")</f>
        <v/>
      </c>
    </row>
    <row r="800" spans="1:2">
      <c r="A800" s="13" t="str">
        <f t="array" aca="1" ref="A800" ca="1">IFERROR(INDEX(Projektname,SMALL(IF(FREQUENCY(IF(Projektname&lt;&gt;"",MATCH(Projektname,Projektname,0)),ROW(Projektname)-ROW(Data!$A$4)+1),ROW(Projektname)-ROW(Data!$A$4)+1),ROWS(A$2:A800))),"")</f>
        <v/>
      </c>
      <c r="B800" s="13" t="str">
        <f t="array" aca="1" ref="B800" ca="1">IFERROR(INDEX(Projektname_ODW,MATCH(SMALL(COUNTIF(Projektname_ODW, "&lt;" &amp; Projektname_ODW),ROW(799:799)),COUNTIF(Projektname_ODW, "&lt;" &amp; Projektname_ODW),0)),"")</f>
        <v/>
      </c>
    </row>
    <row r="801" spans="1:2">
      <c r="A801" s="13" t="str">
        <f t="array" aca="1" ref="A801" ca="1">IFERROR(INDEX(Projektname,SMALL(IF(FREQUENCY(IF(Projektname&lt;&gt;"",MATCH(Projektname,Projektname,0)),ROW(Projektname)-ROW(Data!$A$4)+1),ROW(Projektname)-ROW(Data!$A$4)+1),ROWS(A$2:A801))),"")</f>
        <v/>
      </c>
      <c r="B801" s="13" t="str">
        <f t="array" aca="1" ref="B801" ca="1">IFERROR(INDEX(Projektname_ODW,MATCH(SMALL(COUNTIF(Projektname_ODW, "&lt;" &amp; Projektname_ODW),ROW(800:800)),COUNTIF(Projektname_ODW, "&lt;" &amp; Projektname_ODW),0)),"")</f>
        <v/>
      </c>
    </row>
    <row r="802" spans="1:2">
      <c r="A802" s="13" t="str">
        <f t="array" aca="1" ref="A802" ca="1">IFERROR(INDEX(Projektname,SMALL(IF(FREQUENCY(IF(Projektname&lt;&gt;"",MATCH(Projektname,Projektname,0)),ROW(Projektname)-ROW(Data!$A$4)+1),ROW(Projektname)-ROW(Data!$A$4)+1),ROWS(A$2:A802))),"")</f>
        <v/>
      </c>
      <c r="B802" s="13" t="str">
        <f t="array" aca="1" ref="B802" ca="1">IFERROR(INDEX(Projektname_ODW,MATCH(SMALL(COUNTIF(Projektname_ODW, "&lt;" &amp; Projektname_ODW),ROW(801:801)),COUNTIF(Projektname_ODW, "&lt;" &amp; Projektname_ODW),0)),"")</f>
        <v/>
      </c>
    </row>
    <row r="803" spans="1:2">
      <c r="A803" s="13" t="str">
        <f t="array" aca="1" ref="A803" ca="1">IFERROR(INDEX(Projektname,SMALL(IF(FREQUENCY(IF(Projektname&lt;&gt;"",MATCH(Projektname,Projektname,0)),ROW(Projektname)-ROW(Data!$A$4)+1),ROW(Projektname)-ROW(Data!$A$4)+1),ROWS(A$2:A803))),"")</f>
        <v/>
      </c>
      <c r="B803" s="13" t="str">
        <f t="array" aca="1" ref="B803" ca="1">IFERROR(INDEX(Projektname_ODW,MATCH(SMALL(COUNTIF(Projektname_ODW, "&lt;" &amp; Projektname_ODW),ROW(802:802)),COUNTIF(Projektname_ODW, "&lt;" &amp; Projektname_ODW),0)),"")</f>
        <v/>
      </c>
    </row>
    <row r="804" spans="1:2">
      <c r="A804" s="13" t="str">
        <f t="array" aca="1" ref="A804" ca="1">IFERROR(INDEX(Projektname,SMALL(IF(FREQUENCY(IF(Projektname&lt;&gt;"",MATCH(Projektname,Projektname,0)),ROW(Projektname)-ROW(Data!$A$4)+1),ROW(Projektname)-ROW(Data!$A$4)+1),ROWS(A$2:A804))),"")</f>
        <v/>
      </c>
      <c r="B804" s="13" t="str">
        <f t="array" aca="1" ref="B804" ca="1">IFERROR(INDEX(Projektname_ODW,MATCH(SMALL(COUNTIF(Projektname_ODW, "&lt;" &amp; Projektname_ODW),ROW(803:803)),COUNTIF(Projektname_ODW, "&lt;" &amp; Projektname_ODW),0)),"")</f>
        <v/>
      </c>
    </row>
    <row r="805" spans="1:2">
      <c r="A805" s="13" t="str">
        <f t="array" aca="1" ref="A805" ca="1">IFERROR(INDEX(Projektname,SMALL(IF(FREQUENCY(IF(Projektname&lt;&gt;"",MATCH(Projektname,Projektname,0)),ROW(Projektname)-ROW(Data!$A$4)+1),ROW(Projektname)-ROW(Data!$A$4)+1),ROWS(A$2:A805))),"")</f>
        <v/>
      </c>
      <c r="B805" s="13" t="str">
        <f t="array" aca="1" ref="B805" ca="1">IFERROR(INDEX(Projektname_ODW,MATCH(SMALL(COUNTIF(Projektname_ODW, "&lt;" &amp; Projektname_ODW),ROW(804:804)),COUNTIF(Projektname_ODW, "&lt;" &amp; Projektname_ODW),0)),"")</f>
        <v/>
      </c>
    </row>
    <row r="806" spans="1:2">
      <c r="A806" s="13" t="str">
        <f t="array" aca="1" ref="A806" ca="1">IFERROR(INDEX(Projektname,SMALL(IF(FREQUENCY(IF(Projektname&lt;&gt;"",MATCH(Projektname,Projektname,0)),ROW(Projektname)-ROW(Data!$A$4)+1),ROW(Projektname)-ROW(Data!$A$4)+1),ROWS(A$2:A806))),"")</f>
        <v/>
      </c>
      <c r="B806" s="13" t="str">
        <f t="array" aca="1" ref="B806" ca="1">IFERROR(INDEX(Projektname_ODW,MATCH(SMALL(COUNTIF(Projektname_ODW, "&lt;" &amp; Projektname_ODW),ROW(805:805)),COUNTIF(Projektname_ODW, "&lt;" &amp; Projektname_ODW),0)),"")</f>
        <v/>
      </c>
    </row>
    <row r="807" spans="1:2">
      <c r="A807" s="13" t="str">
        <f t="array" aca="1" ref="A807" ca="1">IFERROR(INDEX(Projektname,SMALL(IF(FREQUENCY(IF(Projektname&lt;&gt;"",MATCH(Projektname,Projektname,0)),ROW(Projektname)-ROW(Data!$A$4)+1),ROW(Projektname)-ROW(Data!$A$4)+1),ROWS(A$2:A807))),"")</f>
        <v/>
      </c>
      <c r="B807" s="13" t="str">
        <f t="array" aca="1" ref="B807" ca="1">IFERROR(INDEX(Projektname_ODW,MATCH(SMALL(COUNTIF(Projektname_ODW, "&lt;" &amp; Projektname_ODW),ROW(806:806)),COUNTIF(Projektname_ODW, "&lt;" &amp; Projektname_ODW),0)),"")</f>
        <v/>
      </c>
    </row>
    <row r="808" spans="1:2">
      <c r="A808" s="13" t="str">
        <f t="array" aca="1" ref="A808" ca="1">IFERROR(INDEX(Projektname,SMALL(IF(FREQUENCY(IF(Projektname&lt;&gt;"",MATCH(Projektname,Projektname,0)),ROW(Projektname)-ROW(Data!$A$4)+1),ROW(Projektname)-ROW(Data!$A$4)+1),ROWS(A$2:A808))),"")</f>
        <v/>
      </c>
      <c r="B808" s="13" t="str">
        <f t="array" aca="1" ref="B808" ca="1">IFERROR(INDEX(Projektname_ODW,MATCH(SMALL(COUNTIF(Projektname_ODW, "&lt;" &amp; Projektname_ODW),ROW(807:807)),COUNTIF(Projektname_ODW, "&lt;" &amp; Projektname_ODW),0)),"")</f>
        <v/>
      </c>
    </row>
    <row r="809" spans="1:2">
      <c r="A809" s="13" t="str">
        <f t="array" aca="1" ref="A809" ca="1">IFERROR(INDEX(Projektname,SMALL(IF(FREQUENCY(IF(Projektname&lt;&gt;"",MATCH(Projektname,Projektname,0)),ROW(Projektname)-ROW(Data!$A$4)+1),ROW(Projektname)-ROW(Data!$A$4)+1),ROWS(A$2:A809))),"")</f>
        <v/>
      </c>
      <c r="B809" s="13" t="str">
        <f t="array" aca="1" ref="B809" ca="1">IFERROR(INDEX(Projektname_ODW,MATCH(SMALL(COUNTIF(Projektname_ODW, "&lt;" &amp; Projektname_ODW),ROW(808:808)),COUNTIF(Projektname_ODW, "&lt;" &amp; Projektname_ODW),0)),"")</f>
        <v/>
      </c>
    </row>
    <row r="810" spans="1:2">
      <c r="A810" s="13" t="str">
        <f t="array" aca="1" ref="A810" ca="1">IFERROR(INDEX(Projektname,SMALL(IF(FREQUENCY(IF(Projektname&lt;&gt;"",MATCH(Projektname,Projektname,0)),ROW(Projektname)-ROW(Data!$A$4)+1),ROW(Projektname)-ROW(Data!$A$4)+1),ROWS(A$2:A810))),"")</f>
        <v/>
      </c>
      <c r="B810" s="13" t="str">
        <f t="array" aca="1" ref="B810" ca="1">IFERROR(INDEX(Projektname_ODW,MATCH(SMALL(COUNTIF(Projektname_ODW, "&lt;" &amp; Projektname_ODW),ROW(809:809)),COUNTIF(Projektname_ODW, "&lt;" &amp; Projektname_ODW),0)),"")</f>
        <v/>
      </c>
    </row>
    <row r="811" spans="1:2">
      <c r="A811" s="13" t="str">
        <f t="array" aca="1" ref="A811" ca="1">IFERROR(INDEX(Projektname,SMALL(IF(FREQUENCY(IF(Projektname&lt;&gt;"",MATCH(Projektname,Projektname,0)),ROW(Projektname)-ROW(Data!$A$4)+1),ROW(Projektname)-ROW(Data!$A$4)+1),ROWS(A$2:A811))),"")</f>
        <v/>
      </c>
      <c r="B811" s="13" t="str">
        <f t="array" aca="1" ref="B811" ca="1">IFERROR(INDEX(Projektname_ODW,MATCH(SMALL(COUNTIF(Projektname_ODW, "&lt;" &amp; Projektname_ODW),ROW(810:810)),COUNTIF(Projektname_ODW, "&lt;" &amp; Projektname_ODW),0)),"")</f>
        <v/>
      </c>
    </row>
    <row r="812" spans="1:2">
      <c r="A812" s="13" t="str">
        <f t="array" aca="1" ref="A812" ca="1">IFERROR(INDEX(Projektname,SMALL(IF(FREQUENCY(IF(Projektname&lt;&gt;"",MATCH(Projektname,Projektname,0)),ROW(Projektname)-ROW(Data!$A$4)+1),ROW(Projektname)-ROW(Data!$A$4)+1),ROWS(A$2:A812))),"")</f>
        <v/>
      </c>
      <c r="B812" s="13" t="str">
        <f t="array" aca="1" ref="B812" ca="1">IFERROR(INDEX(Projektname_ODW,MATCH(SMALL(COUNTIF(Projektname_ODW, "&lt;" &amp; Projektname_ODW),ROW(811:811)),COUNTIF(Projektname_ODW, "&lt;" &amp; Projektname_ODW),0)),"")</f>
        <v/>
      </c>
    </row>
    <row r="813" spans="1:2">
      <c r="A813" s="13" t="str">
        <f t="array" aca="1" ref="A813" ca="1">IFERROR(INDEX(Projektname,SMALL(IF(FREQUENCY(IF(Projektname&lt;&gt;"",MATCH(Projektname,Projektname,0)),ROW(Projektname)-ROW(Data!$A$4)+1),ROW(Projektname)-ROW(Data!$A$4)+1),ROWS(A$2:A813))),"")</f>
        <v/>
      </c>
      <c r="B813" s="13" t="str">
        <f t="array" aca="1" ref="B813" ca="1">IFERROR(INDEX(Projektname_ODW,MATCH(SMALL(COUNTIF(Projektname_ODW, "&lt;" &amp; Projektname_ODW),ROW(812:812)),COUNTIF(Projektname_ODW, "&lt;" &amp; Projektname_ODW),0)),"")</f>
        <v/>
      </c>
    </row>
    <row r="814" spans="1:2">
      <c r="A814" s="13" t="str">
        <f t="array" aca="1" ref="A814" ca="1">IFERROR(INDEX(Projektname,SMALL(IF(FREQUENCY(IF(Projektname&lt;&gt;"",MATCH(Projektname,Projektname,0)),ROW(Projektname)-ROW(Data!$A$4)+1),ROW(Projektname)-ROW(Data!$A$4)+1),ROWS(A$2:A814))),"")</f>
        <v/>
      </c>
      <c r="B814" s="13" t="str">
        <f t="array" aca="1" ref="B814" ca="1">IFERROR(INDEX(Projektname_ODW,MATCH(SMALL(COUNTIF(Projektname_ODW, "&lt;" &amp; Projektname_ODW),ROW(813:813)),COUNTIF(Projektname_ODW, "&lt;" &amp; Projektname_ODW),0)),"")</f>
        <v/>
      </c>
    </row>
    <row r="815" spans="1:2">
      <c r="A815" s="13" t="str">
        <f t="array" aca="1" ref="A815" ca="1">IFERROR(INDEX(Projektname,SMALL(IF(FREQUENCY(IF(Projektname&lt;&gt;"",MATCH(Projektname,Projektname,0)),ROW(Projektname)-ROW(Data!$A$4)+1),ROW(Projektname)-ROW(Data!$A$4)+1),ROWS(A$2:A815))),"")</f>
        <v/>
      </c>
      <c r="B815" s="13" t="str">
        <f t="array" aca="1" ref="B815" ca="1">IFERROR(INDEX(Projektname_ODW,MATCH(SMALL(COUNTIF(Projektname_ODW, "&lt;" &amp; Projektname_ODW),ROW(814:814)),COUNTIF(Projektname_ODW, "&lt;" &amp; Projektname_ODW),0)),"")</f>
        <v/>
      </c>
    </row>
    <row r="816" spans="1:2">
      <c r="A816" s="13" t="str">
        <f t="array" aca="1" ref="A816" ca="1">IFERROR(INDEX(Projektname,SMALL(IF(FREQUENCY(IF(Projektname&lt;&gt;"",MATCH(Projektname,Projektname,0)),ROW(Projektname)-ROW(Data!$A$4)+1),ROW(Projektname)-ROW(Data!$A$4)+1),ROWS(A$2:A816))),"")</f>
        <v/>
      </c>
      <c r="B816" s="13" t="str">
        <f t="array" aca="1" ref="B816" ca="1">IFERROR(INDEX(Projektname_ODW,MATCH(SMALL(COUNTIF(Projektname_ODW, "&lt;" &amp; Projektname_ODW),ROW(815:815)),COUNTIF(Projektname_ODW, "&lt;" &amp; Projektname_ODW),0)),"")</f>
        <v/>
      </c>
    </row>
    <row r="817" spans="1:2">
      <c r="A817" s="13" t="str">
        <f t="array" aca="1" ref="A817" ca="1">IFERROR(INDEX(Projektname,SMALL(IF(FREQUENCY(IF(Projektname&lt;&gt;"",MATCH(Projektname,Projektname,0)),ROW(Projektname)-ROW(Data!$A$4)+1),ROW(Projektname)-ROW(Data!$A$4)+1),ROWS(A$2:A817))),"")</f>
        <v/>
      </c>
      <c r="B817" s="13" t="str">
        <f t="array" aca="1" ref="B817" ca="1">IFERROR(INDEX(Projektname_ODW,MATCH(SMALL(COUNTIF(Projektname_ODW, "&lt;" &amp; Projektname_ODW),ROW(816:816)),COUNTIF(Projektname_ODW, "&lt;" &amp; Projektname_ODW),0)),"")</f>
        <v/>
      </c>
    </row>
    <row r="818" spans="1:2">
      <c r="A818" s="13" t="str">
        <f t="array" aca="1" ref="A818" ca="1">IFERROR(INDEX(Projektname,SMALL(IF(FREQUENCY(IF(Projektname&lt;&gt;"",MATCH(Projektname,Projektname,0)),ROW(Projektname)-ROW(Data!$A$4)+1),ROW(Projektname)-ROW(Data!$A$4)+1),ROWS(A$2:A818))),"")</f>
        <v/>
      </c>
      <c r="B818" s="13" t="str">
        <f t="array" aca="1" ref="B818" ca="1">IFERROR(INDEX(Projektname_ODW,MATCH(SMALL(COUNTIF(Projektname_ODW, "&lt;" &amp; Projektname_ODW),ROW(817:817)),COUNTIF(Projektname_ODW, "&lt;" &amp; Projektname_ODW),0)),"")</f>
        <v/>
      </c>
    </row>
    <row r="819" spans="1:2">
      <c r="A819" s="13" t="str">
        <f t="array" aca="1" ref="A819" ca="1">IFERROR(INDEX(Projektname,SMALL(IF(FREQUENCY(IF(Projektname&lt;&gt;"",MATCH(Projektname,Projektname,0)),ROW(Projektname)-ROW(Data!$A$4)+1),ROW(Projektname)-ROW(Data!$A$4)+1),ROWS(A$2:A819))),"")</f>
        <v/>
      </c>
      <c r="B819" s="13" t="str">
        <f t="array" aca="1" ref="B819" ca="1">IFERROR(INDEX(Projektname_ODW,MATCH(SMALL(COUNTIF(Projektname_ODW, "&lt;" &amp; Projektname_ODW),ROW(818:818)),COUNTIF(Projektname_ODW, "&lt;" &amp; Projektname_ODW),0)),"")</f>
        <v/>
      </c>
    </row>
    <row r="820" spans="1:2">
      <c r="A820" s="13" t="str">
        <f t="array" aca="1" ref="A820" ca="1">IFERROR(INDEX(Projektname,SMALL(IF(FREQUENCY(IF(Projektname&lt;&gt;"",MATCH(Projektname,Projektname,0)),ROW(Projektname)-ROW(Data!$A$4)+1),ROW(Projektname)-ROW(Data!$A$4)+1),ROWS(A$2:A820))),"")</f>
        <v/>
      </c>
      <c r="B820" s="13" t="str">
        <f t="array" aca="1" ref="B820" ca="1">IFERROR(INDEX(Projektname_ODW,MATCH(SMALL(COUNTIF(Projektname_ODW, "&lt;" &amp; Projektname_ODW),ROW(819:819)),COUNTIF(Projektname_ODW, "&lt;" &amp; Projektname_ODW),0)),"")</f>
        <v/>
      </c>
    </row>
    <row r="821" spans="1:2">
      <c r="A821" s="13" t="str">
        <f t="array" aca="1" ref="A821" ca="1">IFERROR(INDEX(Projektname,SMALL(IF(FREQUENCY(IF(Projektname&lt;&gt;"",MATCH(Projektname,Projektname,0)),ROW(Projektname)-ROW(Data!$A$4)+1),ROW(Projektname)-ROW(Data!$A$4)+1),ROWS(A$2:A821))),"")</f>
        <v/>
      </c>
      <c r="B821" s="13" t="str">
        <f t="array" aca="1" ref="B821" ca="1">IFERROR(INDEX(Projektname_ODW,MATCH(SMALL(COUNTIF(Projektname_ODW, "&lt;" &amp; Projektname_ODW),ROW(820:820)),COUNTIF(Projektname_ODW, "&lt;" &amp; Projektname_ODW),0)),"")</f>
        <v/>
      </c>
    </row>
    <row r="822" spans="1:2">
      <c r="A822" s="13" t="str">
        <f t="array" aca="1" ref="A822" ca="1">IFERROR(INDEX(Projektname,SMALL(IF(FREQUENCY(IF(Projektname&lt;&gt;"",MATCH(Projektname,Projektname,0)),ROW(Projektname)-ROW(Data!$A$4)+1),ROW(Projektname)-ROW(Data!$A$4)+1),ROWS(A$2:A822))),"")</f>
        <v/>
      </c>
      <c r="B822" s="13" t="str">
        <f t="array" aca="1" ref="B822" ca="1">IFERROR(INDEX(Projektname_ODW,MATCH(SMALL(COUNTIF(Projektname_ODW, "&lt;" &amp; Projektname_ODW),ROW(821:821)),COUNTIF(Projektname_ODW, "&lt;" &amp; Projektname_ODW),0)),"")</f>
        <v/>
      </c>
    </row>
    <row r="823" spans="1:2">
      <c r="A823" s="13" t="str">
        <f t="array" aca="1" ref="A823" ca="1">IFERROR(INDEX(Projektname,SMALL(IF(FREQUENCY(IF(Projektname&lt;&gt;"",MATCH(Projektname,Projektname,0)),ROW(Projektname)-ROW(Data!$A$4)+1),ROW(Projektname)-ROW(Data!$A$4)+1),ROWS(A$2:A823))),"")</f>
        <v/>
      </c>
      <c r="B823" s="13" t="str">
        <f t="array" aca="1" ref="B823" ca="1">IFERROR(INDEX(Projektname_ODW,MATCH(SMALL(COUNTIF(Projektname_ODW, "&lt;" &amp; Projektname_ODW),ROW(822:822)),COUNTIF(Projektname_ODW, "&lt;" &amp; Projektname_ODW),0)),"")</f>
        <v/>
      </c>
    </row>
    <row r="824" spans="1:2">
      <c r="A824" s="13" t="str">
        <f t="array" aca="1" ref="A824" ca="1">IFERROR(INDEX(Projektname,SMALL(IF(FREQUENCY(IF(Projektname&lt;&gt;"",MATCH(Projektname,Projektname,0)),ROW(Projektname)-ROW(Data!$A$4)+1),ROW(Projektname)-ROW(Data!$A$4)+1),ROWS(A$2:A824))),"")</f>
        <v/>
      </c>
      <c r="B824" s="13" t="str">
        <f t="array" aca="1" ref="B824" ca="1">IFERROR(INDEX(Projektname_ODW,MATCH(SMALL(COUNTIF(Projektname_ODW, "&lt;" &amp; Projektname_ODW),ROW(823:823)),COUNTIF(Projektname_ODW, "&lt;" &amp; Projektname_ODW),0)),"")</f>
        <v/>
      </c>
    </row>
    <row r="825" spans="1:2">
      <c r="A825" s="13" t="str">
        <f t="array" aca="1" ref="A825" ca="1">IFERROR(INDEX(Projektname,SMALL(IF(FREQUENCY(IF(Projektname&lt;&gt;"",MATCH(Projektname,Projektname,0)),ROW(Projektname)-ROW(Data!$A$4)+1),ROW(Projektname)-ROW(Data!$A$4)+1),ROWS(A$2:A825))),"")</f>
        <v/>
      </c>
      <c r="B825" s="13" t="str">
        <f t="array" aca="1" ref="B825" ca="1">IFERROR(INDEX(Projektname_ODW,MATCH(SMALL(COUNTIF(Projektname_ODW, "&lt;" &amp; Projektname_ODW),ROW(824:824)),COUNTIF(Projektname_ODW, "&lt;" &amp; Projektname_ODW),0)),"")</f>
        <v/>
      </c>
    </row>
    <row r="826" spans="1:2">
      <c r="A826" s="13" t="str">
        <f t="array" aca="1" ref="A826" ca="1">IFERROR(INDEX(Projektname,SMALL(IF(FREQUENCY(IF(Projektname&lt;&gt;"",MATCH(Projektname,Projektname,0)),ROW(Projektname)-ROW(Data!$A$4)+1),ROW(Projektname)-ROW(Data!$A$4)+1),ROWS(A$2:A826))),"")</f>
        <v/>
      </c>
      <c r="B826" s="13" t="str">
        <f t="array" aca="1" ref="B826" ca="1">IFERROR(INDEX(Projektname_ODW,MATCH(SMALL(COUNTIF(Projektname_ODW, "&lt;" &amp; Projektname_ODW),ROW(825:825)),COUNTIF(Projektname_ODW, "&lt;" &amp; Projektname_ODW),0)),"")</f>
        <v/>
      </c>
    </row>
    <row r="827" spans="1:2">
      <c r="A827" s="13" t="str">
        <f t="array" aca="1" ref="A827" ca="1">IFERROR(INDEX(Projektname,SMALL(IF(FREQUENCY(IF(Projektname&lt;&gt;"",MATCH(Projektname,Projektname,0)),ROW(Projektname)-ROW(Data!$A$4)+1),ROW(Projektname)-ROW(Data!$A$4)+1),ROWS(A$2:A827))),"")</f>
        <v/>
      </c>
      <c r="B827" s="13" t="str">
        <f t="array" aca="1" ref="B827" ca="1">IFERROR(INDEX(Projektname_ODW,MATCH(SMALL(COUNTIF(Projektname_ODW, "&lt;" &amp; Projektname_ODW),ROW(826:826)),COUNTIF(Projektname_ODW, "&lt;" &amp; Projektname_ODW),0)),"")</f>
        <v/>
      </c>
    </row>
    <row r="828" spans="1:2">
      <c r="A828" s="13" t="str">
        <f t="array" aca="1" ref="A828" ca="1">IFERROR(INDEX(Projektname,SMALL(IF(FREQUENCY(IF(Projektname&lt;&gt;"",MATCH(Projektname,Projektname,0)),ROW(Projektname)-ROW(Data!$A$4)+1),ROW(Projektname)-ROW(Data!$A$4)+1),ROWS(A$2:A828))),"")</f>
        <v/>
      </c>
      <c r="B828" s="13" t="str">
        <f t="array" aca="1" ref="B828" ca="1">IFERROR(INDEX(Projektname_ODW,MATCH(SMALL(COUNTIF(Projektname_ODW, "&lt;" &amp; Projektname_ODW),ROW(827:827)),COUNTIF(Projektname_ODW, "&lt;" &amp; Projektname_ODW),0)),"")</f>
        <v/>
      </c>
    </row>
    <row r="829" spans="1:2">
      <c r="A829" s="13" t="str">
        <f t="array" aca="1" ref="A829" ca="1">IFERROR(INDEX(Projektname,SMALL(IF(FREQUENCY(IF(Projektname&lt;&gt;"",MATCH(Projektname,Projektname,0)),ROW(Projektname)-ROW(Data!$A$4)+1),ROW(Projektname)-ROW(Data!$A$4)+1),ROWS(A$2:A829))),"")</f>
        <v/>
      </c>
      <c r="B829" s="13" t="str">
        <f t="array" aca="1" ref="B829" ca="1">IFERROR(INDEX(Projektname_ODW,MATCH(SMALL(COUNTIF(Projektname_ODW, "&lt;" &amp; Projektname_ODW),ROW(828:828)),COUNTIF(Projektname_ODW, "&lt;" &amp; Projektname_ODW),0)),"")</f>
        <v/>
      </c>
    </row>
    <row r="830" spans="1:2">
      <c r="A830" s="13" t="str">
        <f t="array" aca="1" ref="A830" ca="1">IFERROR(INDEX(Projektname,SMALL(IF(FREQUENCY(IF(Projektname&lt;&gt;"",MATCH(Projektname,Projektname,0)),ROW(Projektname)-ROW(Data!$A$4)+1),ROW(Projektname)-ROW(Data!$A$4)+1),ROWS(A$2:A830))),"")</f>
        <v/>
      </c>
      <c r="B830" s="13" t="str">
        <f t="array" aca="1" ref="B830" ca="1">IFERROR(INDEX(Projektname_ODW,MATCH(SMALL(COUNTIF(Projektname_ODW, "&lt;" &amp; Projektname_ODW),ROW(829:829)),COUNTIF(Projektname_ODW, "&lt;" &amp; Projektname_ODW),0)),"")</f>
        <v/>
      </c>
    </row>
    <row r="831" spans="1:2">
      <c r="A831" s="13" t="str">
        <f t="array" aca="1" ref="A831" ca="1">IFERROR(INDEX(Projektname,SMALL(IF(FREQUENCY(IF(Projektname&lt;&gt;"",MATCH(Projektname,Projektname,0)),ROW(Projektname)-ROW(Data!$A$4)+1),ROW(Projektname)-ROW(Data!$A$4)+1),ROWS(A$2:A831))),"")</f>
        <v/>
      </c>
      <c r="B831" s="13" t="str">
        <f t="array" aca="1" ref="B831" ca="1">IFERROR(INDEX(Projektname_ODW,MATCH(SMALL(COUNTIF(Projektname_ODW, "&lt;" &amp; Projektname_ODW),ROW(830:830)),COUNTIF(Projektname_ODW, "&lt;" &amp; Projektname_ODW),0)),"")</f>
        <v/>
      </c>
    </row>
    <row r="832" spans="1:2">
      <c r="A832" s="13" t="str">
        <f t="array" aca="1" ref="A832" ca="1">IFERROR(INDEX(Projektname,SMALL(IF(FREQUENCY(IF(Projektname&lt;&gt;"",MATCH(Projektname,Projektname,0)),ROW(Projektname)-ROW(Data!$A$4)+1),ROW(Projektname)-ROW(Data!$A$4)+1),ROWS(A$2:A832))),"")</f>
        <v/>
      </c>
      <c r="B832" s="13" t="str">
        <f t="array" aca="1" ref="B832" ca="1">IFERROR(INDEX(Projektname_ODW,MATCH(SMALL(COUNTIF(Projektname_ODW, "&lt;" &amp; Projektname_ODW),ROW(831:831)),COUNTIF(Projektname_ODW, "&lt;" &amp; Projektname_ODW),0)),"")</f>
        <v/>
      </c>
    </row>
    <row r="833" spans="1:2">
      <c r="A833" s="13" t="str">
        <f t="array" aca="1" ref="A833" ca="1">IFERROR(INDEX(Projektname,SMALL(IF(FREQUENCY(IF(Projektname&lt;&gt;"",MATCH(Projektname,Projektname,0)),ROW(Projektname)-ROW(Data!$A$4)+1),ROW(Projektname)-ROW(Data!$A$4)+1),ROWS(A$2:A833))),"")</f>
        <v/>
      </c>
      <c r="B833" s="13" t="str">
        <f t="array" aca="1" ref="B833" ca="1">IFERROR(INDEX(Projektname_ODW,MATCH(SMALL(COUNTIF(Projektname_ODW, "&lt;" &amp; Projektname_ODW),ROW(832:832)),COUNTIF(Projektname_ODW, "&lt;" &amp; Projektname_ODW),0)),"")</f>
        <v/>
      </c>
    </row>
    <row r="834" spans="1:2">
      <c r="A834" s="13" t="str">
        <f t="array" aca="1" ref="A834" ca="1">IFERROR(INDEX(Projektname,SMALL(IF(FREQUENCY(IF(Projektname&lt;&gt;"",MATCH(Projektname,Projektname,0)),ROW(Projektname)-ROW(Data!$A$4)+1),ROW(Projektname)-ROW(Data!$A$4)+1),ROWS(A$2:A834))),"")</f>
        <v/>
      </c>
      <c r="B834" s="13" t="str">
        <f t="array" aca="1" ref="B834" ca="1">IFERROR(INDEX(Projektname_ODW,MATCH(SMALL(COUNTIF(Projektname_ODW, "&lt;" &amp; Projektname_ODW),ROW(833:833)),COUNTIF(Projektname_ODW, "&lt;" &amp; Projektname_ODW),0)),"")</f>
        <v/>
      </c>
    </row>
    <row r="835" spans="1:2">
      <c r="A835" s="13" t="str">
        <f t="array" aca="1" ref="A835" ca="1">IFERROR(INDEX(Projektname,SMALL(IF(FREQUENCY(IF(Projektname&lt;&gt;"",MATCH(Projektname,Projektname,0)),ROW(Projektname)-ROW(Data!$A$4)+1),ROW(Projektname)-ROW(Data!$A$4)+1),ROWS(A$2:A835))),"")</f>
        <v/>
      </c>
      <c r="B835" s="13" t="str">
        <f t="array" aca="1" ref="B835" ca="1">IFERROR(INDEX(Projektname_ODW,MATCH(SMALL(COUNTIF(Projektname_ODW, "&lt;" &amp; Projektname_ODW),ROW(834:834)),COUNTIF(Projektname_ODW, "&lt;" &amp; Projektname_ODW),0)),"")</f>
        <v/>
      </c>
    </row>
    <row r="836" spans="1:2">
      <c r="A836" s="13" t="str">
        <f t="array" aca="1" ref="A836" ca="1">IFERROR(INDEX(Projektname,SMALL(IF(FREQUENCY(IF(Projektname&lt;&gt;"",MATCH(Projektname,Projektname,0)),ROW(Projektname)-ROW(Data!$A$4)+1),ROW(Projektname)-ROW(Data!$A$4)+1),ROWS(A$2:A836))),"")</f>
        <v/>
      </c>
      <c r="B836" s="13" t="str">
        <f t="array" aca="1" ref="B836" ca="1">IFERROR(INDEX(Projektname_ODW,MATCH(SMALL(COUNTIF(Projektname_ODW, "&lt;" &amp; Projektname_ODW),ROW(835:835)),COUNTIF(Projektname_ODW, "&lt;" &amp; Projektname_ODW),0)),"")</f>
        <v/>
      </c>
    </row>
    <row r="837" spans="1:2">
      <c r="A837" s="13" t="str">
        <f t="array" aca="1" ref="A837" ca="1">IFERROR(INDEX(Projektname,SMALL(IF(FREQUENCY(IF(Projektname&lt;&gt;"",MATCH(Projektname,Projektname,0)),ROW(Projektname)-ROW(Data!$A$4)+1),ROW(Projektname)-ROW(Data!$A$4)+1),ROWS(A$2:A837))),"")</f>
        <v/>
      </c>
      <c r="B837" s="13" t="str">
        <f t="array" aca="1" ref="B837" ca="1">IFERROR(INDEX(Projektname_ODW,MATCH(SMALL(COUNTIF(Projektname_ODW, "&lt;" &amp; Projektname_ODW),ROW(836:836)),COUNTIF(Projektname_ODW, "&lt;" &amp; Projektname_ODW),0)),"")</f>
        <v/>
      </c>
    </row>
    <row r="838" spans="1:2">
      <c r="A838" s="13" t="str">
        <f t="array" aca="1" ref="A838" ca="1">IFERROR(INDEX(Projektname,SMALL(IF(FREQUENCY(IF(Projektname&lt;&gt;"",MATCH(Projektname,Projektname,0)),ROW(Projektname)-ROW(Data!$A$4)+1),ROW(Projektname)-ROW(Data!$A$4)+1),ROWS(A$2:A838))),"")</f>
        <v/>
      </c>
      <c r="B838" s="13" t="str">
        <f t="array" aca="1" ref="B838" ca="1">IFERROR(INDEX(Projektname_ODW,MATCH(SMALL(COUNTIF(Projektname_ODW, "&lt;" &amp; Projektname_ODW),ROW(837:837)),COUNTIF(Projektname_ODW, "&lt;" &amp; Projektname_ODW),0)),"")</f>
        <v/>
      </c>
    </row>
    <row r="839" spans="1:2">
      <c r="A839" s="13" t="str">
        <f t="array" aca="1" ref="A839" ca="1">IFERROR(INDEX(Projektname,SMALL(IF(FREQUENCY(IF(Projektname&lt;&gt;"",MATCH(Projektname,Projektname,0)),ROW(Projektname)-ROW(Data!$A$4)+1),ROW(Projektname)-ROW(Data!$A$4)+1),ROWS(A$2:A839))),"")</f>
        <v/>
      </c>
      <c r="B839" s="13" t="str">
        <f t="array" aca="1" ref="B839" ca="1">IFERROR(INDEX(Projektname_ODW,MATCH(SMALL(COUNTIF(Projektname_ODW, "&lt;" &amp; Projektname_ODW),ROW(838:838)),COUNTIF(Projektname_ODW, "&lt;" &amp; Projektname_ODW),0)),"")</f>
        <v/>
      </c>
    </row>
    <row r="840" spans="1:2">
      <c r="A840" s="13" t="str">
        <f t="array" aca="1" ref="A840" ca="1">IFERROR(INDEX(Projektname,SMALL(IF(FREQUENCY(IF(Projektname&lt;&gt;"",MATCH(Projektname,Projektname,0)),ROW(Projektname)-ROW(Data!$A$4)+1),ROW(Projektname)-ROW(Data!$A$4)+1),ROWS(A$2:A840))),"")</f>
        <v/>
      </c>
      <c r="B840" s="13" t="str">
        <f t="array" aca="1" ref="B840" ca="1">IFERROR(INDEX(Projektname_ODW,MATCH(SMALL(COUNTIF(Projektname_ODW, "&lt;" &amp; Projektname_ODW),ROW(839:839)),COUNTIF(Projektname_ODW, "&lt;" &amp; Projektname_ODW),0)),"")</f>
        <v/>
      </c>
    </row>
    <row r="841" spans="1:2">
      <c r="A841" s="13" t="str">
        <f t="array" aca="1" ref="A841" ca="1">IFERROR(INDEX(Projektname,SMALL(IF(FREQUENCY(IF(Projektname&lt;&gt;"",MATCH(Projektname,Projektname,0)),ROW(Projektname)-ROW(Data!$A$4)+1),ROW(Projektname)-ROW(Data!$A$4)+1),ROWS(A$2:A841))),"")</f>
        <v/>
      </c>
      <c r="B841" s="13" t="str">
        <f t="array" aca="1" ref="B841" ca="1">IFERROR(INDEX(Projektname_ODW,MATCH(SMALL(COUNTIF(Projektname_ODW, "&lt;" &amp; Projektname_ODW),ROW(840:840)),COUNTIF(Projektname_ODW, "&lt;" &amp; Projektname_ODW),0)),"")</f>
        <v/>
      </c>
    </row>
    <row r="842" spans="1:2">
      <c r="A842" s="13" t="str">
        <f t="array" aca="1" ref="A842" ca="1">IFERROR(INDEX(Projektname,SMALL(IF(FREQUENCY(IF(Projektname&lt;&gt;"",MATCH(Projektname,Projektname,0)),ROW(Projektname)-ROW(Data!$A$4)+1),ROW(Projektname)-ROW(Data!$A$4)+1),ROWS(A$2:A842))),"")</f>
        <v/>
      </c>
      <c r="B842" s="13" t="str">
        <f t="array" aca="1" ref="B842" ca="1">IFERROR(INDEX(Projektname_ODW,MATCH(SMALL(COUNTIF(Projektname_ODW, "&lt;" &amp; Projektname_ODW),ROW(841:841)),COUNTIF(Projektname_ODW, "&lt;" &amp; Projektname_ODW),0)),"")</f>
        <v/>
      </c>
    </row>
    <row r="843" spans="1:2">
      <c r="A843" s="13" t="str">
        <f t="array" aca="1" ref="A843" ca="1">IFERROR(INDEX(Projektname,SMALL(IF(FREQUENCY(IF(Projektname&lt;&gt;"",MATCH(Projektname,Projektname,0)),ROW(Projektname)-ROW(Data!$A$4)+1),ROW(Projektname)-ROW(Data!$A$4)+1),ROWS(A$2:A843))),"")</f>
        <v/>
      </c>
      <c r="B843" s="13" t="str">
        <f t="array" aca="1" ref="B843" ca="1">IFERROR(INDEX(Projektname_ODW,MATCH(SMALL(COUNTIF(Projektname_ODW, "&lt;" &amp; Projektname_ODW),ROW(842:842)),COUNTIF(Projektname_ODW, "&lt;" &amp; Projektname_ODW),0)),"")</f>
        <v/>
      </c>
    </row>
    <row r="844" spans="1:2">
      <c r="A844" s="13" t="str">
        <f t="array" aca="1" ref="A844" ca="1">IFERROR(INDEX(Projektname,SMALL(IF(FREQUENCY(IF(Projektname&lt;&gt;"",MATCH(Projektname,Projektname,0)),ROW(Projektname)-ROW(Data!$A$4)+1),ROW(Projektname)-ROW(Data!$A$4)+1),ROWS(A$2:A844))),"")</f>
        <v/>
      </c>
      <c r="B844" s="13" t="str">
        <f t="array" aca="1" ref="B844" ca="1">IFERROR(INDEX(Projektname_ODW,MATCH(SMALL(COUNTIF(Projektname_ODW, "&lt;" &amp; Projektname_ODW),ROW(843:843)),COUNTIF(Projektname_ODW, "&lt;" &amp; Projektname_ODW),0)),"")</f>
        <v/>
      </c>
    </row>
    <row r="845" spans="1:2">
      <c r="A845" s="13" t="str">
        <f t="array" aca="1" ref="A845" ca="1">IFERROR(INDEX(Projektname,SMALL(IF(FREQUENCY(IF(Projektname&lt;&gt;"",MATCH(Projektname,Projektname,0)),ROW(Projektname)-ROW(Data!$A$4)+1),ROW(Projektname)-ROW(Data!$A$4)+1),ROWS(A$2:A845))),"")</f>
        <v/>
      </c>
      <c r="B845" s="13" t="str">
        <f t="array" aca="1" ref="B845" ca="1">IFERROR(INDEX(Projektname_ODW,MATCH(SMALL(COUNTIF(Projektname_ODW, "&lt;" &amp; Projektname_ODW),ROW(844:844)),COUNTIF(Projektname_ODW, "&lt;" &amp; Projektname_ODW),0)),"")</f>
        <v/>
      </c>
    </row>
    <row r="846" spans="1:2">
      <c r="A846" s="13" t="str">
        <f t="array" aca="1" ref="A846" ca="1">IFERROR(INDEX(Projektname,SMALL(IF(FREQUENCY(IF(Projektname&lt;&gt;"",MATCH(Projektname,Projektname,0)),ROW(Projektname)-ROW(Data!$A$4)+1),ROW(Projektname)-ROW(Data!$A$4)+1),ROWS(A$2:A846))),"")</f>
        <v/>
      </c>
      <c r="B846" s="13" t="str">
        <f t="array" aca="1" ref="B846" ca="1">IFERROR(INDEX(Projektname_ODW,MATCH(SMALL(COUNTIF(Projektname_ODW, "&lt;" &amp; Projektname_ODW),ROW(845:845)),COUNTIF(Projektname_ODW, "&lt;" &amp; Projektname_ODW),0)),"")</f>
        <v/>
      </c>
    </row>
    <row r="847" spans="1:2">
      <c r="A847" s="13" t="str">
        <f t="array" aca="1" ref="A847" ca="1">IFERROR(INDEX(Projektname,SMALL(IF(FREQUENCY(IF(Projektname&lt;&gt;"",MATCH(Projektname,Projektname,0)),ROW(Projektname)-ROW(Data!$A$4)+1),ROW(Projektname)-ROW(Data!$A$4)+1),ROWS(A$2:A847))),"")</f>
        <v/>
      </c>
      <c r="B847" s="13" t="str">
        <f t="array" aca="1" ref="B847" ca="1">IFERROR(INDEX(Projektname_ODW,MATCH(SMALL(COUNTIF(Projektname_ODW, "&lt;" &amp; Projektname_ODW),ROW(846:846)),COUNTIF(Projektname_ODW, "&lt;" &amp; Projektname_ODW),0)),"")</f>
        <v/>
      </c>
    </row>
    <row r="848" spans="1:2">
      <c r="A848" s="13" t="str">
        <f t="array" aca="1" ref="A848" ca="1">IFERROR(INDEX(Projektname,SMALL(IF(FREQUENCY(IF(Projektname&lt;&gt;"",MATCH(Projektname,Projektname,0)),ROW(Projektname)-ROW(Data!$A$4)+1),ROW(Projektname)-ROW(Data!$A$4)+1),ROWS(A$2:A848))),"")</f>
        <v/>
      </c>
      <c r="B848" s="13" t="str">
        <f t="array" aca="1" ref="B848" ca="1">IFERROR(INDEX(Projektname_ODW,MATCH(SMALL(COUNTIF(Projektname_ODW, "&lt;" &amp; Projektname_ODW),ROW(847:847)),COUNTIF(Projektname_ODW, "&lt;" &amp; Projektname_ODW),0)),"")</f>
        <v/>
      </c>
    </row>
    <row r="849" spans="1:2">
      <c r="A849" s="13" t="str">
        <f t="array" aca="1" ref="A849" ca="1">IFERROR(INDEX(Projektname,SMALL(IF(FREQUENCY(IF(Projektname&lt;&gt;"",MATCH(Projektname,Projektname,0)),ROW(Projektname)-ROW(Data!$A$4)+1),ROW(Projektname)-ROW(Data!$A$4)+1),ROWS(A$2:A849))),"")</f>
        <v/>
      </c>
      <c r="B849" s="13" t="str">
        <f t="array" aca="1" ref="B849" ca="1">IFERROR(INDEX(Projektname_ODW,MATCH(SMALL(COUNTIF(Projektname_ODW, "&lt;" &amp; Projektname_ODW),ROW(848:848)),COUNTIF(Projektname_ODW, "&lt;" &amp; Projektname_ODW),0)),"")</f>
        <v/>
      </c>
    </row>
    <row r="850" spans="1:2">
      <c r="A850" s="13" t="str">
        <f t="array" aca="1" ref="A850" ca="1">IFERROR(INDEX(Projektname,SMALL(IF(FREQUENCY(IF(Projektname&lt;&gt;"",MATCH(Projektname,Projektname,0)),ROW(Projektname)-ROW(Data!$A$4)+1),ROW(Projektname)-ROW(Data!$A$4)+1),ROWS(A$2:A850))),"")</f>
        <v/>
      </c>
      <c r="B850" s="13" t="str">
        <f t="array" aca="1" ref="B850" ca="1">IFERROR(INDEX(Projektname_ODW,MATCH(SMALL(COUNTIF(Projektname_ODW, "&lt;" &amp; Projektname_ODW),ROW(849:849)),COUNTIF(Projektname_ODW, "&lt;" &amp; Projektname_ODW),0)),"")</f>
        <v/>
      </c>
    </row>
    <row r="851" spans="1:2">
      <c r="A851" s="13" t="str">
        <f t="array" aca="1" ref="A851" ca="1">IFERROR(INDEX(Projektname,SMALL(IF(FREQUENCY(IF(Projektname&lt;&gt;"",MATCH(Projektname,Projektname,0)),ROW(Projektname)-ROW(Data!$A$4)+1),ROW(Projektname)-ROW(Data!$A$4)+1),ROWS(A$2:A851))),"")</f>
        <v/>
      </c>
      <c r="B851" s="13" t="str">
        <f t="array" aca="1" ref="B851" ca="1">IFERROR(INDEX(Projektname_ODW,MATCH(SMALL(COUNTIF(Projektname_ODW, "&lt;" &amp; Projektname_ODW),ROW(850:850)),COUNTIF(Projektname_ODW, "&lt;" &amp; Projektname_ODW),0)),"")</f>
        <v/>
      </c>
    </row>
    <row r="852" spans="1:2">
      <c r="A852" s="13" t="str">
        <f t="array" aca="1" ref="A852" ca="1">IFERROR(INDEX(Projektname,SMALL(IF(FREQUENCY(IF(Projektname&lt;&gt;"",MATCH(Projektname,Projektname,0)),ROW(Projektname)-ROW(Data!$A$4)+1),ROW(Projektname)-ROW(Data!$A$4)+1),ROWS(A$2:A852))),"")</f>
        <v/>
      </c>
      <c r="B852" s="13" t="str">
        <f t="array" aca="1" ref="B852" ca="1">IFERROR(INDEX(Projektname_ODW,MATCH(SMALL(COUNTIF(Projektname_ODW, "&lt;" &amp; Projektname_ODW),ROW(851:851)),COUNTIF(Projektname_ODW, "&lt;" &amp; Projektname_ODW),0)),"")</f>
        <v/>
      </c>
    </row>
    <row r="853" spans="1:2">
      <c r="A853" s="13" t="str">
        <f t="array" aca="1" ref="A853" ca="1">IFERROR(INDEX(Projektname,SMALL(IF(FREQUENCY(IF(Projektname&lt;&gt;"",MATCH(Projektname,Projektname,0)),ROW(Projektname)-ROW(Data!$A$4)+1),ROW(Projektname)-ROW(Data!$A$4)+1),ROWS(A$2:A853))),"")</f>
        <v/>
      </c>
      <c r="B853" s="13" t="str">
        <f t="array" aca="1" ref="B853" ca="1">IFERROR(INDEX(Projektname_ODW,MATCH(SMALL(COUNTIF(Projektname_ODW, "&lt;" &amp; Projektname_ODW),ROW(852:852)),COUNTIF(Projektname_ODW, "&lt;" &amp; Projektname_ODW),0)),"")</f>
        <v/>
      </c>
    </row>
    <row r="854" spans="1:2">
      <c r="A854" s="13" t="str">
        <f t="array" aca="1" ref="A854" ca="1">IFERROR(INDEX(Projektname,SMALL(IF(FREQUENCY(IF(Projektname&lt;&gt;"",MATCH(Projektname,Projektname,0)),ROW(Projektname)-ROW(Data!$A$4)+1),ROW(Projektname)-ROW(Data!$A$4)+1),ROWS(A$2:A854))),"")</f>
        <v/>
      </c>
      <c r="B854" s="13" t="str">
        <f t="array" aca="1" ref="B854" ca="1">IFERROR(INDEX(Projektname_ODW,MATCH(SMALL(COUNTIF(Projektname_ODW, "&lt;" &amp; Projektname_ODW),ROW(853:853)),COUNTIF(Projektname_ODW, "&lt;" &amp; Projektname_ODW),0)),"")</f>
        <v/>
      </c>
    </row>
    <row r="855" spans="1:2">
      <c r="A855" s="13" t="str">
        <f t="array" aca="1" ref="A855" ca="1">IFERROR(INDEX(Projektname,SMALL(IF(FREQUENCY(IF(Projektname&lt;&gt;"",MATCH(Projektname,Projektname,0)),ROW(Projektname)-ROW(Data!$A$4)+1),ROW(Projektname)-ROW(Data!$A$4)+1),ROWS(A$2:A855))),"")</f>
        <v/>
      </c>
      <c r="B855" s="13" t="str">
        <f t="array" aca="1" ref="B855" ca="1">IFERROR(INDEX(Projektname_ODW,MATCH(SMALL(COUNTIF(Projektname_ODW, "&lt;" &amp; Projektname_ODW),ROW(854:854)),COUNTIF(Projektname_ODW, "&lt;" &amp; Projektname_ODW),0)),"")</f>
        <v/>
      </c>
    </row>
    <row r="856" spans="1:2">
      <c r="A856" s="13" t="str">
        <f t="array" aca="1" ref="A856" ca="1">IFERROR(INDEX(Projektname,SMALL(IF(FREQUENCY(IF(Projektname&lt;&gt;"",MATCH(Projektname,Projektname,0)),ROW(Projektname)-ROW(Data!$A$4)+1),ROW(Projektname)-ROW(Data!$A$4)+1),ROWS(A$2:A856))),"")</f>
        <v/>
      </c>
      <c r="B856" s="13" t="str">
        <f t="array" aca="1" ref="B856" ca="1">IFERROR(INDEX(Projektname_ODW,MATCH(SMALL(COUNTIF(Projektname_ODW, "&lt;" &amp; Projektname_ODW),ROW(855:855)),COUNTIF(Projektname_ODW, "&lt;" &amp; Projektname_ODW),0)),"")</f>
        <v/>
      </c>
    </row>
    <row r="857" spans="1:2">
      <c r="A857" s="13" t="str">
        <f t="array" aca="1" ref="A857" ca="1">IFERROR(INDEX(Projektname,SMALL(IF(FREQUENCY(IF(Projektname&lt;&gt;"",MATCH(Projektname,Projektname,0)),ROW(Projektname)-ROW(Data!$A$4)+1),ROW(Projektname)-ROW(Data!$A$4)+1),ROWS(A$2:A857))),"")</f>
        <v/>
      </c>
      <c r="B857" s="13" t="str">
        <f t="array" aca="1" ref="B857" ca="1">IFERROR(INDEX(Projektname_ODW,MATCH(SMALL(COUNTIF(Projektname_ODW, "&lt;" &amp; Projektname_ODW),ROW(856:856)),COUNTIF(Projektname_ODW, "&lt;" &amp; Projektname_ODW),0)),"")</f>
        <v/>
      </c>
    </row>
    <row r="858" spans="1:2">
      <c r="A858" s="13" t="str">
        <f t="array" aca="1" ref="A858" ca="1">IFERROR(INDEX(Projektname,SMALL(IF(FREQUENCY(IF(Projektname&lt;&gt;"",MATCH(Projektname,Projektname,0)),ROW(Projektname)-ROW(Data!$A$4)+1),ROW(Projektname)-ROW(Data!$A$4)+1),ROWS(A$2:A858))),"")</f>
        <v/>
      </c>
      <c r="B858" s="13" t="str">
        <f t="array" aca="1" ref="B858" ca="1">IFERROR(INDEX(Projektname_ODW,MATCH(SMALL(COUNTIF(Projektname_ODW, "&lt;" &amp; Projektname_ODW),ROW(857:857)),COUNTIF(Projektname_ODW, "&lt;" &amp; Projektname_ODW),0)),"")</f>
        <v/>
      </c>
    </row>
    <row r="859" spans="1:2">
      <c r="A859" s="13" t="str">
        <f t="array" aca="1" ref="A859" ca="1">IFERROR(INDEX(Projektname,SMALL(IF(FREQUENCY(IF(Projektname&lt;&gt;"",MATCH(Projektname,Projektname,0)),ROW(Projektname)-ROW(Data!$A$4)+1),ROW(Projektname)-ROW(Data!$A$4)+1),ROWS(A$2:A859))),"")</f>
        <v/>
      </c>
      <c r="B859" s="13" t="str">
        <f t="array" aca="1" ref="B859" ca="1">IFERROR(INDEX(Projektname_ODW,MATCH(SMALL(COUNTIF(Projektname_ODW, "&lt;" &amp; Projektname_ODW),ROW(858:858)),COUNTIF(Projektname_ODW, "&lt;" &amp; Projektname_ODW),0)),"")</f>
        <v/>
      </c>
    </row>
    <row r="860" spans="1:2">
      <c r="A860" s="13" t="str">
        <f t="array" aca="1" ref="A860" ca="1">IFERROR(INDEX(Projektname,SMALL(IF(FREQUENCY(IF(Projektname&lt;&gt;"",MATCH(Projektname,Projektname,0)),ROW(Projektname)-ROW(Data!$A$4)+1),ROW(Projektname)-ROW(Data!$A$4)+1),ROWS(A$2:A860))),"")</f>
        <v/>
      </c>
      <c r="B860" s="13" t="str">
        <f t="array" aca="1" ref="B860" ca="1">IFERROR(INDEX(Projektname_ODW,MATCH(SMALL(COUNTIF(Projektname_ODW, "&lt;" &amp; Projektname_ODW),ROW(859:859)),COUNTIF(Projektname_ODW, "&lt;" &amp; Projektname_ODW),0)),"")</f>
        <v/>
      </c>
    </row>
    <row r="861" spans="1:2">
      <c r="A861" s="13" t="str">
        <f t="array" aca="1" ref="A861" ca="1">IFERROR(INDEX(Projektname,SMALL(IF(FREQUENCY(IF(Projektname&lt;&gt;"",MATCH(Projektname,Projektname,0)),ROW(Projektname)-ROW(Data!$A$4)+1),ROW(Projektname)-ROW(Data!$A$4)+1),ROWS(A$2:A861))),"")</f>
        <v/>
      </c>
      <c r="B861" s="13" t="str">
        <f t="array" aca="1" ref="B861" ca="1">IFERROR(INDEX(Projektname_ODW,MATCH(SMALL(COUNTIF(Projektname_ODW, "&lt;" &amp; Projektname_ODW),ROW(860:860)),COUNTIF(Projektname_ODW, "&lt;" &amp; Projektname_ODW),0)),"")</f>
        <v/>
      </c>
    </row>
    <row r="862" spans="1:2">
      <c r="A862" s="13" t="str">
        <f t="array" aca="1" ref="A862" ca="1">IFERROR(INDEX(Projektname,SMALL(IF(FREQUENCY(IF(Projektname&lt;&gt;"",MATCH(Projektname,Projektname,0)),ROW(Projektname)-ROW(Data!$A$4)+1),ROW(Projektname)-ROW(Data!$A$4)+1),ROWS(A$2:A862))),"")</f>
        <v/>
      </c>
      <c r="B862" s="13" t="str">
        <f t="array" aca="1" ref="B862" ca="1">IFERROR(INDEX(Projektname_ODW,MATCH(SMALL(COUNTIF(Projektname_ODW, "&lt;" &amp; Projektname_ODW),ROW(861:861)),COUNTIF(Projektname_ODW, "&lt;" &amp; Projektname_ODW),0)),"")</f>
        <v/>
      </c>
    </row>
    <row r="863" spans="1:2">
      <c r="A863" s="13" t="str">
        <f t="array" aca="1" ref="A863" ca="1">IFERROR(INDEX(Projektname,SMALL(IF(FREQUENCY(IF(Projektname&lt;&gt;"",MATCH(Projektname,Projektname,0)),ROW(Projektname)-ROW(Data!$A$4)+1),ROW(Projektname)-ROW(Data!$A$4)+1),ROWS(A$2:A863))),"")</f>
        <v/>
      </c>
      <c r="B863" s="13" t="str">
        <f t="array" aca="1" ref="B863" ca="1">IFERROR(INDEX(Projektname_ODW,MATCH(SMALL(COUNTIF(Projektname_ODW, "&lt;" &amp; Projektname_ODW),ROW(862:862)),COUNTIF(Projektname_ODW, "&lt;" &amp; Projektname_ODW),0)),"")</f>
        <v/>
      </c>
    </row>
    <row r="864" spans="1:2">
      <c r="A864" s="13" t="str">
        <f t="array" aca="1" ref="A864" ca="1">IFERROR(INDEX(Projektname,SMALL(IF(FREQUENCY(IF(Projektname&lt;&gt;"",MATCH(Projektname,Projektname,0)),ROW(Projektname)-ROW(Data!$A$4)+1),ROW(Projektname)-ROW(Data!$A$4)+1),ROWS(A$2:A864))),"")</f>
        <v/>
      </c>
      <c r="B864" s="13" t="str">
        <f t="array" aca="1" ref="B864" ca="1">IFERROR(INDEX(Projektname_ODW,MATCH(SMALL(COUNTIF(Projektname_ODW, "&lt;" &amp; Projektname_ODW),ROW(863:863)),COUNTIF(Projektname_ODW, "&lt;" &amp; Projektname_ODW),0)),"")</f>
        <v/>
      </c>
    </row>
    <row r="865" spans="1:2">
      <c r="A865" s="13" t="str">
        <f t="array" aca="1" ref="A865" ca="1">IFERROR(INDEX(Projektname,SMALL(IF(FREQUENCY(IF(Projektname&lt;&gt;"",MATCH(Projektname,Projektname,0)),ROW(Projektname)-ROW(Data!$A$4)+1),ROW(Projektname)-ROW(Data!$A$4)+1),ROWS(A$2:A865))),"")</f>
        <v/>
      </c>
      <c r="B865" s="13" t="str">
        <f t="array" aca="1" ref="B865" ca="1">IFERROR(INDEX(Projektname_ODW,MATCH(SMALL(COUNTIF(Projektname_ODW, "&lt;" &amp; Projektname_ODW),ROW(864:864)),COUNTIF(Projektname_ODW, "&lt;" &amp; Projektname_ODW),0)),"")</f>
        <v/>
      </c>
    </row>
    <row r="866" spans="1:2">
      <c r="A866" s="13" t="str">
        <f t="array" aca="1" ref="A866" ca="1">IFERROR(INDEX(Projektname,SMALL(IF(FREQUENCY(IF(Projektname&lt;&gt;"",MATCH(Projektname,Projektname,0)),ROW(Projektname)-ROW(Data!$A$4)+1),ROW(Projektname)-ROW(Data!$A$4)+1),ROWS(A$2:A866))),"")</f>
        <v/>
      </c>
      <c r="B866" s="13" t="str">
        <f t="array" aca="1" ref="B866" ca="1">IFERROR(INDEX(Projektname_ODW,MATCH(SMALL(COUNTIF(Projektname_ODW, "&lt;" &amp; Projektname_ODW),ROW(865:865)),COUNTIF(Projektname_ODW, "&lt;" &amp; Projektname_ODW),0)),"")</f>
        <v/>
      </c>
    </row>
    <row r="867" spans="1:2">
      <c r="A867" s="13" t="str">
        <f t="array" aca="1" ref="A867" ca="1">IFERROR(INDEX(Projektname,SMALL(IF(FREQUENCY(IF(Projektname&lt;&gt;"",MATCH(Projektname,Projektname,0)),ROW(Projektname)-ROW(Data!$A$4)+1),ROW(Projektname)-ROW(Data!$A$4)+1),ROWS(A$2:A867))),"")</f>
        <v/>
      </c>
      <c r="B867" s="13" t="str">
        <f t="array" aca="1" ref="B867" ca="1">IFERROR(INDEX(Projektname_ODW,MATCH(SMALL(COUNTIF(Projektname_ODW, "&lt;" &amp; Projektname_ODW),ROW(866:866)),COUNTIF(Projektname_ODW, "&lt;" &amp; Projektname_ODW),0)),"")</f>
        <v/>
      </c>
    </row>
    <row r="868" spans="1:2">
      <c r="A868" s="13" t="str">
        <f t="array" aca="1" ref="A868" ca="1">IFERROR(INDEX(Projektname,SMALL(IF(FREQUENCY(IF(Projektname&lt;&gt;"",MATCH(Projektname,Projektname,0)),ROW(Projektname)-ROW(Data!$A$4)+1),ROW(Projektname)-ROW(Data!$A$4)+1),ROWS(A$2:A868))),"")</f>
        <v/>
      </c>
      <c r="B868" s="13" t="str">
        <f t="array" aca="1" ref="B868" ca="1">IFERROR(INDEX(Projektname_ODW,MATCH(SMALL(COUNTIF(Projektname_ODW, "&lt;" &amp; Projektname_ODW),ROW(867:867)),COUNTIF(Projektname_ODW, "&lt;" &amp; Projektname_ODW),0)),"")</f>
        <v/>
      </c>
    </row>
    <row r="869" spans="1:2">
      <c r="A869" s="13" t="str">
        <f t="array" aca="1" ref="A869" ca="1">IFERROR(INDEX(Projektname,SMALL(IF(FREQUENCY(IF(Projektname&lt;&gt;"",MATCH(Projektname,Projektname,0)),ROW(Projektname)-ROW(Data!$A$4)+1),ROW(Projektname)-ROW(Data!$A$4)+1),ROWS(A$2:A869))),"")</f>
        <v/>
      </c>
      <c r="B869" s="13" t="str">
        <f t="array" aca="1" ref="B869" ca="1">IFERROR(INDEX(Projektname_ODW,MATCH(SMALL(COUNTIF(Projektname_ODW, "&lt;" &amp; Projektname_ODW),ROW(868:868)),COUNTIF(Projektname_ODW, "&lt;" &amp; Projektname_ODW),0)),"")</f>
        <v/>
      </c>
    </row>
    <row r="870" spans="1:2">
      <c r="A870" s="13" t="str">
        <f t="array" aca="1" ref="A870" ca="1">IFERROR(INDEX(Projektname,SMALL(IF(FREQUENCY(IF(Projektname&lt;&gt;"",MATCH(Projektname,Projektname,0)),ROW(Projektname)-ROW(Data!$A$4)+1),ROW(Projektname)-ROW(Data!$A$4)+1),ROWS(A$2:A870))),"")</f>
        <v/>
      </c>
      <c r="B870" s="13" t="str">
        <f t="array" aca="1" ref="B870" ca="1">IFERROR(INDEX(Projektname_ODW,MATCH(SMALL(COUNTIF(Projektname_ODW, "&lt;" &amp; Projektname_ODW),ROW(869:869)),COUNTIF(Projektname_ODW, "&lt;" &amp; Projektname_ODW),0)),"")</f>
        <v/>
      </c>
    </row>
    <row r="871" spans="1:2">
      <c r="A871" s="13" t="str">
        <f t="array" aca="1" ref="A871" ca="1">IFERROR(INDEX(Projektname,SMALL(IF(FREQUENCY(IF(Projektname&lt;&gt;"",MATCH(Projektname,Projektname,0)),ROW(Projektname)-ROW(Data!$A$4)+1),ROW(Projektname)-ROW(Data!$A$4)+1),ROWS(A$2:A871))),"")</f>
        <v/>
      </c>
      <c r="B871" s="13" t="str">
        <f t="array" aca="1" ref="B871" ca="1">IFERROR(INDEX(Projektname_ODW,MATCH(SMALL(COUNTIF(Projektname_ODW, "&lt;" &amp; Projektname_ODW),ROW(870:870)),COUNTIF(Projektname_ODW, "&lt;" &amp; Projektname_ODW),0)),"")</f>
        <v/>
      </c>
    </row>
    <row r="872" spans="1:2">
      <c r="A872" s="13" t="str">
        <f t="array" aca="1" ref="A872" ca="1">IFERROR(INDEX(Projektname,SMALL(IF(FREQUENCY(IF(Projektname&lt;&gt;"",MATCH(Projektname,Projektname,0)),ROW(Projektname)-ROW(Data!$A$4)+1),ROW(Projektname)-ROW(Data!$A$4)+1),ROWS(A$2:A872))),"")</f>
        <v/>
      </c>
      <c r="B872" s="13" t="str">
        <f t="array" aca="1" ref="B872" ca="1">IFERROR(INDEX(Projektname_ODW,MATCH(SMALL(COUNTIF(Projektname_ODW, "&lt;" &amp; Projektname_ODW),ROW(871:871)),COUNTIF(Projektname_ODW, "&lt;" &amp; Projektname_ODW),0)),"")</f>
        <v/>
      </c>
    </row>
    <row r="873" spans="1:2">
      <c r="A873" s="13" t="str">
        <f t="array" aca="1" ref="A873" ca="1">IFERROR(INDEX(Projektname,SMALL(IF(FREQUENCY(IF(Projektname&lt;&gt;"",MATCH(Projektname,Projektname,0)),ROW(Projektname)-ROW(Data!$A$4)+1),ROW(Projektname)-ROW(Data!$A$4)+1),ROWS(A$2:A873))),"")</f>
        <v/>
      </c>
      <c r="B873" s="13" t="str">
        <f t="array" aca="1" ref="B873" ca="1">IFERROR(INDEX(Projektname_ODW,MATCH(SMALL(COUNTIF(Projektname_ODW, "&lt;" &amp; Projektname_ODW),ROW(872:872)),COUNTIF(Projektname_ODW, "&lt;" &amp; Projektname_ODW),0)),"")</f>
        <v/>
      </c>
    </row>
    <row r="874" spans="1:2">
      <c r="A874" s="13" t="str">
        <f t="array" aca="1" ref="A874" ca="1">IFERROR(INDEX(Projektname,SMALL(IF(FREQUENCY(IF(Projektname&lt;&gt;"",MATCH(Projektname,Projektname,0)),ROW(Projektname)-ROW(Data!$A$4)+1),ROW(Projektname)-ROW(Data!$A$4)+1),ROWS(A$2:A874))),"")</f>
        <v/>
      </c>
      <c r="B874" s="13" t="str">
        <f t="array" aca="1" ref="B874" ca="1">IFERROR(INDEX(Projektname_ODW,MATCH(SMALL(COUNTIF(Projektname_ODW, "&lt;" &amp; Projektname_ODW),ROW(873:873)),COUNTIF(Projektname_ODW, "&lt;" &amp; Projektname_ODW),0)),"")</f>
        <v/>
      </c>
    </row>
    <row r="875" spans="1:2">
      <c r="A875" s="13" t="str">
        <f t="array" aca="1" ref="A875" ca="1">IFERROR(INDEX(Projektname,SMALL(IF(FREQUENCY(IF(Projektname&lt;&gt;"",MATCH(Projektname,Projektname,0)),ROW(Projektname)-ROW(Data!$A$4)+1),ROW(Projektname)-ROW(Data!$A$4)+1),ROWS(A$2:A875))),"")</f>
        <v/>
      </c>
      <c r="B875" s="13" t="str">
        <f t="array" aca="1" ref="B875" ca="1">IFERROR(INDEX(Projektname_ODW,MATCH(SMALL(COUNTIF(Projektname_ODW, "&lt;" &amp; Projektname_ODW),ROW(874:874)),COUNTIF(Projektname_ODW, "&lt;" &amp; Projektname_ODW),0)),"")</f>
        <v/>
      </c>
    </row>
    <row r="876" spans="1:2">
      <c r="A876" s="13" t="str">
        <f t="array" aca="1" ref="A876" ca="1">IFERROR(INDEX(Projektname,SMALL(IF(FREQUENCY(IF(Projektname&lt;&gt;"",MATCH(Projektname,Projektname,0)),ROW(Projektname)-ROW(Data!$A$4)+1),ROW(Projektname)-ROW(Data!$A$4)+1),ROWS(A$2:A876))),"")</f>
        <v/>
      </c>
      <c r="B876" s="13" t="str">
        <f t="array" aca="1" ref="B876" ca="1">IFERROR(INDEX(Projektname_ODW,MATCH(SMALL(COUNTIF(Projektname_ODW, "&lt;" &amp; Projektname_ODW),ROW(875:875)),COUNTIF(Projektname_ODW, "&lt;" &amp; Projektname_ODW),0)),"")</f>
        <v/>
      </c>
    </row>
    <row r="877" spans="1:2">
      <c r="A877" s="13" t="str">
        <f t="array" aca="1" ref="A877" ca="1">IFERROR(INDEX(Projektname,SMALL(IF(FREQUENCY(IF(Projektname&lt;&gt;"",MATCH(Projektname,Projektname,0)),ROW(Projektname)-ROW(Data!$A$4)+1),ROW(Projektname)-ROW(Data!$A$4)+1),ROWS(A$2:A877))),"")</f>
        <v/>
      </c>
      <c r="B877" s="13" t="str">
        <f t="array" aca="1" ref="B877" ca="1">IFERROR(INDEX(Projektname_ODW,MATCH(SMALL(COUNTIF(Projektname_ODW, "&lt;" &amp; Projektname_ODW),ROW(876:876)),COUNTIF(Projektname_ODW, "&lt;" &amp; Projektname_ODW),0)),"")</f>
        <v/>
      </c>
    </row>
    <row r="878" spans="1:2">
      <c r="A878" s="13" t="str">
        <f t="array" aca="1" ref="A878" ca="1">IFERROR(INDEX(Projektname,SMALL(IF(FREQUENCY(IF(Projektname&lt;&gt;"",MATCH(Projektname,Projektname,0)),ROW(Projektname)-ROW(Data!$A$4)+1),ROW(Projektname)-ROW(Data!$A$4)+1),ROWS(A$2:A878))),"")</f>
        <v/>
      </c>
      <c r="B878" s="13" t="str">
        <f t="array" aca="1" ref="B878" ca="1">IFERROR(INDEX(Projektname_ODW,MATCH(SMALL(COUNTIF(Projektname_ODW, "&lt;" &amp; Projektname_ODW),ROW(877:877)),COUNTIF(Projektname_ODW, "&lt;" &amp; Projektname_ODW),0)),"")</f>
        <v/>
      </c>
    </row>
    <row r="879" spans="1:2">
      <c r="A879" s="13" t="str">
        <f t="array" aca="1" ref="A879" ca="1">IFERROR(INDEX(Projektname,SMALL(IF(FREQUENCY(IF(Projektname&lt;&gt;"",MATCH(Projektname,Projektname,0)),ROW(Projektname)-ROW(Data!$A$4)+1),ROW(Projektname)-ROW(Data!$A$4)+1),ROWS(A$2:A879))),"")</f>
        <v/>
      </c>
      <c r="B879" s="13" t="str">
        <f t="array" aca="1" ref="B879" ca="1">IFERROR(INDEX(Projektname_ODW,MATCH(SMALL(COUNTIF(Projektname_ODW, "&lt;" &amp; Projektname_ODW),ROW(878:878)),COUNTIF(Projektname_ODW, "&lt;" &amp; Projektname_ODW),0)),"")</f>
        <v/>
      </c>
    </row>
    <row r="880" spans="1:2">
      <c r="A880" s="13" t="str">
        <f t="array" aca="1" ref="A880" ca="1">IFERROR(INDEX(Projektname,SMALL(IF(FREQUENCY(IF(Projektname&lt;&gt;"",MATCH(Projektname,Projektname,0)),ROW(Projektname)-ROW(Data!$A$4)+1),ROW(Projektname)-ROW(Data!$A$4)+1),ROWS(A$2:A880))),"")</f>
        <v/>
      </c>
      <c r="B880" s="13" t="str">
        <f t="array" aca="1" ref="B880" ca="1">IFERROR(INDEX(Projektname_ODW,MATCH(SMALL(COUNTIF(Projektname_ODW, "&lt;" &amp; Projektname_ODW),ROW(879:879)),COUNTIF(Projektname_ODW, "&lt;" &amp; Projektname_ODW),0)),"")</f>
        <v/>
      </c>
    </row>
    <row r="881" spans="1:2">
      <c r="A881" s="13" t="str">
        <f t="array" aca="1" ref="A881" ca="1">IFERROR(INDEX(Projektname,SMALL(IF(FREQUENCY(IF(Projektname&lt;&gt;"",MATCH(Projektname,Projektname,0)),ROW(Projektname)-ROW(Data!$A$4)+1),ROW(Projektname)-ROW(Data!$A$4)+1),ROWS(A$2:A881))),"")</f>
        <v/>
      </c>
      <c r="B881" s="13" t="str">
        <f t="array" aca="1" ref="B881" ca="1">IFERROR(INDEX(Projektname_ODW,MATCH(SMALL(COUNTIF(Projektname_ODW, "&lt;" &amp; Projektname_ODW),ROW(880:880)),COUNTIF(Projektname_ODW, "&lt;" &amp; Projektname_ODW),0)),"")</f>
        <v/>
      </c>
    </row>
    <row r="882" spans="1:2">
      <c r="A882" s="13" t="str">
        <f t="array" aca="1" ref="A882" ca="1">IFERROR(INDEX(Projektname,SMALL(IF(FREQUENCY(IF(Projektname&lt;&gt;"",MATCH(Projektname,Projektname,0)),ROW(Projektname)-ROW(Data!$A$4)+1),ROW(Projektname)-ROW(Data!$A$4)+1),ROWS(A$2:A882))),"")</f>
        <v/>
      </c>
      <c r="B882" s="13" t="str">
        <f t="array" aca="1" ref="B882" ca="1">IFERROR(INDEX(Projektname_ODW,MATCH(SMALL(COUNTIF(Projektname_ODW, "&lt;" &amp; Projektname_ODW),ROW(881:881)),COUNTIF(Projektname_ODW, "&lt;" &amp; Projektname_ODW),0)),"")</f>
        <v/>
      </c>
    </row>
    <row r="883" spans="1:2">
      <c r="A883" s="13" t="str">
        <f t="array" aca="1" ref="A883" ca="1">IFERROR(INDEX(Projektname,SMALL(IF(FREQUENCY(IF(Projektname&lt;&gt;"",MATCH(Projektname,Projektname,0)),ROW(Projektname)-ROW(Data!$A$4)+1),ROW(Projektname)-ROW(Data!$A$4)+1),ROWS(A$2:A883))),"")</f>
        <v/>
      </c>
      <c r="B883" s="13" t="str">
        <f t="array" aca="1" ref="B883" ca="1">IFERROR(INDEX(Projektname_ODW,MATCH(SMALL(COUNTIF(Projektname_ODW, "&lt;" &amp; Projektname_ODW),ROW(882:882)),COUNTIF(Projektname_ODW, "&lt;" &amp; Projektname_ODW),0)),"")</f>
        <v/>
      </c>
    </row>
    <row r="884" spans="1:2">
      <c r="A884" s="13" t="str">
        <f t="array" aca="1" ref="A884" ca="1">IFERROR(INDEX(Projektname,SMALL(IF(FREQUENCY(IF(Projektname&lt;&gt;"",MATCH(Projektname,Projektname,0)),ROW(Projektname)-ROW(Data!$A$4)+1),ROW(Projektname)-ROW(Data!$A$4)+1),ROWS(A$2:A884))),"")</f>
        <v/>
      </c>
      <c r="B884" s="13" t="str">
        <f t="array" aca="1" ref="B884" ca="1">IFERROR(INDEX(Projektname_ODW,MATCH(SMALL(COUNTIF(Projektname_ODW, "&lt;" &amp; Projektname_ODW),ROW(883:883)),COUNTIF(Projektname_ODW, "&lt;" &amp; Projektname_ODW),0)),"")</f>
        <v/>
      </c>
    </row>
    <row r="885" spans="1:2">
      <c r="A885" s="13" t="str">
        <f t="array" aca="1" ref="A885" ca="1">IFERROR(INDEX(Projektname,SMALL(IF(FREQUENCY(IF(Projektname&lt;&gt;"",MATCH(Projektname,Projektname,0)),ROW(Projektname)-ROW(Data!$A$4)+1),ROW(Projektname)-ROW(Data!$A$4)+1),ROWS(A$2:A885))),"")</f>
        <v/>
      </c>
      <c r="B885" s="13" t="str">
        <f t="array" aca="1" ref="B885" ca="1">IFERROR(INDEX(Projektname_ODW,MATCH(SMALL(COUNTIF(Projektname_ODW, "&lt;" &amp; Projektname_ODW),ROW(884:884)),COUNTIF(Projektname_ODW, "&lt;" &amp; Projektname_ODW),0)),"")</f>
        <v/>
      </c>
    </row>
    <row r="886" spans="1:2">
      <c r="A886" s="13" t="str">
        <f t="array" aca="1" ref="A886" ca="1">IFERROR(INDEX(Projektname,SMALL(IF(FREQUENCY(IF(Projektname&lt;&gt;"",MATCH(Projektname,Projektname,0)),ROW(Projektname)-ROW(Data!$A$4)+1),ROW(Projektname)-ROW(Data!$A$4)+1),ROWS(A$2:A886))),"")</f>
        <v/>
      </c>
      <c r="B886" s="13" t="str">
        <f t="array" aca="1" ref="B886" ca="1">IFERROR(INDEX(Projektname_ODW,MATCH(SMALL(COUNTIF(Projektname_ODW, "&lt;" &amp; Projektname_ODW),ROW(885:885)),COUNTIF(Projektname_ODW, "&lt;" &amp; Projektname_ODW),0)),"")</f>
        <v/>
      </c>
    </row>
    <row r="887" spans="1:2">
      <c r="A887" s="13" t="str">
        <f t="array" aca="1" ref="A887" ca="1">IFERROR(INDEX(Projektname,SMALL(IF(FREQUENCY(IF(Projektname&lt;&gt;"",MATCH(Projektname,Projektname,0)),ROW(Projektname)-ROW(Data!$A$4)+1),ROW(Projektname)-ROW(Data!$A$4)+1),ROWS(A$2:A887))),"")</f>
        <v/>
      </c>
      <c r="B887" s="13" t="str">
        <f t="array" aca="1" ref="B887" ca="1">IFERROR(INDEX(Projektname_ODW,MATCH(SMALL(COUNTIF(Projektname_ODW, "&lt;" &amp; Projektname_ODW),ROW(886:886)),COUNTIF(Projektname_ODW, "&lt;" &amp; Projektname_ODW),0)),"")</f>
        <v/>
      </c>
    </row>
    <row r="888" spans="1:2">
      <c r="A888" s="13" t="str">
        <f t="array" aca="1" ref="A888" ca="1">IFERROR(INDEX(Projektname,SMALL(IF(FREQUENCY(IF(Projektname&lt;&gt;"",MATCH(Projektname,Projektname,0)),ROW(Projektname)-ROW(Data!$A$4)+1),ROW(Projektname)-ROW(Data!$A$4)+1),ROWS(A$2:A888))),"")</f>
        <v/>
      </c>
      <c r="B888" s="13" t="str">
        <f t="array" aca="1" ref="B888" ca="1">IFERROR(INDEX(Projektname_ODW,MATCH(SMALL(COUNTIF(Projektname_ODW, "&lt;" &amp; Projektname_ODW),ROW(887:887)),COUNTIF(Projektname_ODW, "&lt;" &amp; Projektname_ODW),0)),"")</f>
        <v/>
      </c>
    </row>
    <row r="889" spans="1:2">
      <c r="A889" s="13" t="str">
        <f t="array" aca="1" ref="A889" ca="1">IFERROR(INDEX(Projektname,SMALL(IF(FREQUENCY(IF(Projektname&lt;&gt;"",MATCH(Projektname,Projektname,0)),ROW(Projektname)-ROW(Data!$A$4)+1),ROW(Projektname)-ROW(Data!$A$4)+1),ROWS(A$2:A889))),"")</f>
        <v/>
      </c>
      <c r="B889" s="13" t="str">
        <f t="array" aca="1" ref="B889" ca="1">IFERROR(INDEX(Projektname_ODW,MATCH(SMALL(COUNTIF(Projektname_ODW, "&lt;" &amp; Projektname_ODW),ROW(888:888)),COUNTIF(Projektname_ODW, "&lt;" &amp; Projektname_ODW),0)),"")</f>
        <v/>
      </c>
    </row>
    <row r="890" spans="1:2">
      <c r="A890" s="13" t="str">
        <f t="array" aca="1" ref="A890" ca="1">IFERROR(INDEX(Projektname,SMALL(IF(FREQUENCY(IF(Projektname&lt;&gt;"",MATCH(Projektname,Projektname,0)),ROW(Projektname)-ROW(Data!$A$4)+1),ROW(Projektname)-ROW(Data!$A$4)+1),ROWS(A$2:A890))),"")</f>
        <v/>
      </c>
      <c r="B890" s="13" t="str">
        <f t="array" aca="1" ref="B890" ca="1">IFERROR(INDEX(Projektname_ODW,MATCH(SMALL(COUNTIF(Projektname_ODW, "&lt;" &amp; Projektname_ODW),ROW(889:889)),COUNTIF(Projektname_ODW, "&lt;" &amp; Projektname_ODW),0)),"")</f>
        <v/>
      </c>
    </row>
    <row r="891" spans="1:2">
      <c r="A891" s="13" t="str">
        <f t="array" aca="1" ref="A891" ca="1">IFERROR(INDEX(Projektname,SMALL(IF(FREQUENCY(IF(Projektname&lt;&gt;"",MATCH(Projektname,Projektname,0)),ROW(Projektname)-ROW(Data!$A$4)+1),ROW(Projektname)-ROW(Data!$A$4)+1),ROWS(A$2:A891))),"")</f>
        <v/>
      </c>
      <c r="B891" s="13" t="str">
        <f t="array" aca="1" ref="B891" ca="1">IFERROR(INDEX(Projektname_ODW,MATCH(SMALL(COUNTIF(Projektname_ODW, "&lt;" &amp; Projektname_ODW),ROW(890:890)),COUNTIF(Projektname_ODW, "&lt;" &amp; Projektname_ODW),0)),"")</f>
        <v/>
      </c>
    </row>
    <row r="892" spans="1:2">
      <c r="A892" s="13" t="str">
        <f t="array" aca="1" ref="A892" ca="1">IFERROR(INDEX(Projektname,SMALL(IF(FREQUENCY(IF(Projektname&lt;&gt;"",MATCH(Projektname,Projektname,0)),ROW(Projektname)-ROW(Data!$A$4)+1),ROW(Projektname)-ROW(Data!$A$4)+1),ROWS(A$2:A892))),"")</f>
        <v/>
      </c>
      <c r="B892" s="13" t="str">
        <f t="array" aca="1" ref="B892" ca="1">IFERROR(INDEX(Projektname_ODW,MATCH(SMALL(COUNTIF(Projektname_ODW, "&lt;" &amp; Projektname_ODW),ROW(891:891)),COUNTIF(Projektname_ODW, "&lt;" &amp; Projektname_ODW),0)),"")</f>
        <v/>
      </c>
    </row>
    <row r="893" spans="1:2">
      <c r="A893" s="13" t="str">
        <f t="array" aca="1" ref="A893" ca="1">IFERROR(INDEX(Projektname,SMALL(IF(FREQUENCY(IF(Projektname&lt;&gt;"",MATCH(Projektname,Projektname,0)),ROW(Projektname)-ROW(Data!$A$4)+1),ROW(Projektname)-ROW(Data!$A$4)+1),ROWS(A$2:A893))),"")</f>
        <v/>
      </c>
      <c r="B893" s="13" t="str">
        <f t="array" aca="1" ref="B893" ca="1">IFERROR(INDEX(Projektname_ODW,MATCH(SMALL(COUNTIF(Projektname_ODW, "&lt;" &amp; Projektname_ODW),ROW(892:892)),COUNTIF(Projektname_ODW, "&lt;" &amp; Projektname_ODW),0)),"")</f>
        <v/>
      </c>
    </row>
    <row r="894" spans="1:2">
      <c r="A894" s="13" t="str">
        <f t="array" aca="1" ref="A894" ca="1">IFERROR(INDEX(Projektname,SMALL(IF(FREQUENCY(IF(Projektname&lt;&gt;"",MATCH(Projektname,Projektname,0)),ROW(Projektname)-ROW(Data!$A$4)+1),ROW(Projektname)-ROW(Data!$A$4)+1),ROWS(A$2:A894))),"")</f>
        <v/>
      </c>
      <c r="B894" s="13" t="str">
        <f t="array" aca="1" ref="B894" ca="1">IFERROR(INDEX(Projektname_ODW,MATCH(SMALL(COUNTIF(Projektname_ODW, "&lt;" &amp; Projektname_ODW),ROW(893:893)),COUNTIF(Projektname_ODW, "&lt;" &amp; Projektname_ODW),0)),"")</f>
        <v/>
      </c>
    </row>
    <row r="895" spans="1:2">
      <c r="A895" s="13" t="str">
        <f t="array" aca="1" ref="A895" ca="1">IFERROR(INDEX(Projektname,SMALL(IF(FREQUENCY(IF(Projektname&lt;&gt;"",MATCH(Projektname,Projektname,0)),ROW(Projektname)-ROW(Data!$A$4)+1),ROW(Projektname)-ROW(Data!$A$4)+1),ROWS(A$2:A895))),"")</f>
        <v/>
      </c>
      <c r="B895" s="13" t="str">
        <f t="array" aca="1" ref="B895" ca="1">IFERROR(INDEX(Projektname_ODW,MATCH(SMALL(COUNTIF(Projektname_ODW, "&lt;" &amp; Projektname_ODW),ROW(894:894)),COUNTIF(Projektname_ODW, "&lt;" &amp; Projektname_ODW),0)),"")</f>
        <v/>
      </c>
    </row>
    <row r="896" spans="1:2">
      <c r="A896" s="13" t="str">
        <f t="array" aca="1" ref="A896" ca="1">IFERROR(INDEX(Projektname,SMALL(IF(FREQUENCY(IF(Projektname&lt;&gt;"",MATCH(Projektname,Projektname,0)),ROW(Projektname)-ROW(Data!$A$4)+1),ROW(Projektname)-ROW(Data!$A$4)+1),ROWS(A$2:A896))),"")</f>
        <v/>
      </c>
      <c r="B896" s="13" t="str">
        <f t="array" aca="1" ref="B896" ca="1">IFERROR(INDEX(Projektname_ODW,MATCH(SMALL(COUNTIF(Projektname_ODW, "&lt;" &amp; Projektname_ODW),ROW(895:895)),COUNTIF(Projektname_ODW, "&lt;" &amp; Projektname_ODW),0)),"")</f>
        <v/>
      </c>
    </row>
    <row r="897" spans="1:2">
      <c r="A897" s="13" t="str">
        <f t="array" aca="1" ref="A897" ca="1">IFERROR(INDEX(Projektname,SMALL(IF(FREQUENCY(IF(Projektname&lt;&gt;"",MATCH(Projektname,Projektname,0)),ROW(Projektname)-ROW(Data!$A$4)+1),ROW(Projektname)-ROW(Data!$A$4)+1),ROWS(A$2:A897))),"")</f>
        <v/>
      </c>
      <c r="B897" s="13" t="str">
        <f t="array" aca="1" ref="B897" ca="1">IFERROR(INDEX(Projektname_ODW,MATCH(SMALL(COUNTIF(Projektname_ODW, "&lt;" &amp; Projektname_ODW),ROW(896:896)),COUNTIF(Projektname_ODW, "&lt;" &amp; Projektname_ODW),0)),"")</f>
        <v/>
      </c>
    </row>
    <row r="898" spans="1:2">
      <c r="A898" s="13" t="str">
        <f t="array" aca="1" ref="A898" ca="1">IFERROR(INDEX(Projektname,SMALL(IF(FREQUENCY(IF(Projektname&lt;&gt;"",MATCH(Projektname,Projektname,0)),ROW(Projektname)-ROW(Data!$A$4)+1),ROW(Projektname)-ROW(Data!$A$4)+1),ROWS(A$2:A898))),"")</f>
        <v/>
      </c>
      <c r="B898" s="13" t="str">
        <f t="array" aca="1" ref="B898" ca="1">IFERROR(INDEX(Projektname_ODW,MATCH(SMALL(COUNTIF(Projektname_ODW, "&lt;" &amp; Projektname_ODW),ROW(897:897)),COUNTIF(Projektname_ODW, "&lt;" &amp; Projektname_ODW),0)),"")</f>
        <v/>
      </c>
    </row>
    <row r="899" spans="1:2">
      <c r="A899" s="13" t="str">
        <f t="array" aca="1" ref="A899" ca="1">IFERROR(INDEX(Projektname,SMALL(IF(FREQUENCY(IF(Projektname&lt;&gt;"",MATCH(Projektname,Projektname,0)),ROW(Projektname)-ROW(Data!$A$4)+1),ROW(Projektname)-ROW(Data!$A$4)+1),ROWS(A$2:A899))),"")</f>
        <v/>
      </c>
      <c r="B899" s="13" t="str">
        <f t="array" aca="1" ref="B899" ca="1">IFERROR(INDEX(Projektname_ODW,MATCH(SMALL(COUNTIF(Projektname_ODW, "&lt;" &amp; Projektname_ODW),ROW(898:898)),COUNTIF(Projektname_ODW, "&lt;" &amp; Projektname_ODW),0)),"")</f>
        <v/>
      </c>
    </row>
    <row r="900" spans="1:2">
      <c r="A900" s="13" t="str">
        <f t="array" aca="1" ref="A900" ca="1">IFERROR(INDEX(Projektname,SMALL(IF(FREQUENCY(IF(Projektname&lt;&gt;"",MATCH(Projektname,Projektname,0)),ROW(Projektname)-ROW(Data!$A$4)+1),ROW(Projektname)-ROW(Data!$A$4)+1),ROWS(A$2:A900))),"")</f>
        <v/>
      </c>
      <c r="B900" s="13" t="str">
        <f t="array" aca="1" ref="B900" ca="1">IFERROR(INDEX(Projektname_ODW,MATCH(SMALL(COUNTIF(Projektname_ODW, "&lt;" &amp; Projektname_ODW),ROW(899:899)),COUNTIF(Projektname_ODW, "&lt;" &amp; Projektname_ODW),0)),"")</f>
        <v/>
      </c>
    </row>
    <row r="901" spans="1:2">
      <c r="A901" s="13" t="str">
        <f t="array" aca="1" ref="A901" ca="1">IFERROR(INDEX(Projektname,SMALL(IF(FREQUENCY(IF(Projektname&lt;&gt;"",MATCH(Projektname,Projektname,0)),ROW(Projektname)-ROW(Data!$A$4)+1),ROW(Projektname)-ROW(Data!$A$4)+1),ROWS(A$2:A901))),"")</f>
        <v/>
      </c>
      <c r="B901" s="13" t="str">
        <f t="array" aca="1" ref="B901" ca="1">IFERROR(INDEX(Projektname_ODW,MATCH(SMALL(COUNTIF(Projektname_ODW, "&lt;" &amp; Projektname_ODW),ROW(900:900)),COUNTIF(Projektname_ODW, "&lt;" &amp; Projektname_ODW),0)),"")</f>
        <v/>
      </c>
    </row>
    <row r="902" spans="1:2">
      <c r="A902" s="13" t="str">
        <f t="array" aca="1" ref="A902" ca="1">IFERROR(INDEX(Projektname,SMALL(IF(FREQUENCY(IF(Projektname&lt;&gt;"",MATCH(Projektname,Projektname,0)),ROW(Projektname)-ROW(Data!$A$4)+1),ROW(Projektname)-ROW(Data!$A$4)+1),ROWS(A$2:A902))),"")</f>
        <v/>
      </c>
      <c r="B902" s="13" t="str">
        <f t="array" aca="1" ref="B902" ca="1">IFERROR(INDEX(Projektname_ODW,MATCH(SMALL(COUNTIF(Projektname_ODW, "&lt;" &amp; Projektname_ODW),ROW(901:901)),COUNTIF(Projektname_ODW, "&lt;" &amp; Projektname_ODW),0)),"")</f>
        <v/>
      </c>
    </row>
    <row r="903" spans="1:2">
      <c r="A903" s="13" t="str">
        <f t="array" aca="1" ref="A903" ca="1">IFERROR(INDEX(Projektname,SMALL(IF(FREQUENCY(IF(Projektname&lt;&gt;"",MATCH(Projektname,Projektname,0)),ROW(Projektname)-ROW(Data!$A$4)+1),ROW(Projektname)-ROW(Data!$A$4)+1),ROWS(A$2:A903))),"")</f>
        <v/>
      </c>
      <c r="B903" s="13" t="str">
        <f t="array" aca="1" ref="B903" ca="1">IFERROR(INDEX(Projektname_ODW,MATCH(SMALL(COUNTIF(Projektname_ODW, "&lt;" &amp; Projektname_ODW),ROW(902:902)),COUNTIF(Projektname_ODW, "&lt;" &amp; Projektname_ODW),0)),"")</f>
        <v/>
      </c>
    </row>
    <row r="904" spans="1:2">
      <c r="A904" s="13" t="str">
        <f t="array" aca="1" ref="A904" ca="1">IFERROR(INDEX(Projektname,SMALL(IF(FREQUENCY(IF(Projektname&lt;&gt;"",MATCH(Projektname,Projektname,0)),ROW(Projektname)-ROW(Data!$A$4)+1),ROW(Projektname)-ROW(Data!$A$4)+1),ROWS(A$2:A904))),"")</f>
        <v/>
      </c>
      <c r="B904" s="13" t="str">
        <f t="array" aca="1" ref="B904" ca="1">IFERROR(INDEX(Projektname_ODW,MATCH(SMALL(COUNTIF(Projektname_ODW, "&lt;" &amp; Projektname_ODW),ROW(903:903)),COUNTIF(Projektname_ODW, "&lt;" &amp; Projektname_ODW),0)),"")</f>
        <v/>
      </c>
    </row>
    <row r="905" spans="1:2">
      <c r="A905" s="13" t="str">
        <f t="array" aca="1" ref="A905" ca="1">IFERROR(INDEX(Projektname,SMALL(IF(FREQUENCY(IF(Projektname&lt;&gt;"",MATCH(Projektname,Projektname,0)),ROW(Projektname)-ROW(Data!$A$4)+1),ROW(Projektname)-ROW(Data!$A$4)+1),ROWS(A$2:A905))),"")</f>
        <v/>
      </c>
      <c r="B905" s="13" t="str">
        <f t="array" aca="1" ref="B905" ca="1">IFERROR(INDEX(Projektname_ODW,MATCH(SMALL(COUNTIF(Projektname_ODW, "&lt;" &amp; Projektname_ODW),ROW(904:904)),COUNTIF(Projektname_ODW, "&lt;" &amp; Projektname_ODW),0)),"")</f>
        <v/>
      </c>
    </row>
    <row r="906" spans="1:2">
      <c r="A906" s="13" t="str">
        <f t="array" aca="1" ref="A906" ca="1">IFERROR(INDEX(Projektname,SMALL(IF(FREQUENCY(IF(Projektname&lt;&gt;"",MATCH(Projektname,Projektname,0)),ROW(Projektname)-ROW(Data!$A$4)+1),ROW(Projektname)-ROW(Data!$A$4)+1),ROWS(A$2:A906))),"")</f>
        <v/>
      </c>
      <c r="B906" s="13" t="str">
        <f t="array" aca="1" ref="B906" ca="1">IFERROR(INDEX(Projektname_ODW,MATCH(SMALL(COUNTIF(Projektname_ODW, "&lt;" &amp; Projektname_ODW),ROW(905:905)),COUNTIF(Projektname_ODW, "&lt;" &amp; Projektname_ODW),0)),"")</f>
        <v/>
      </c>
    </row>
    <row r="907" spans="1:2">
      <c r="A907" s="13" t="str">
        <f t="array" aca="1" ref="A907" ca="1">IFERROR(INDEX(Projektname,SMALL(IF(FREQUENCY(IF(Projektname&lt;&gt;"",MATCH(Projektname,Projektname,0)),ROW(Projektname)-ROW(Data!$A$4)+1),ROW(Projektname)-ROW(Data!$A$4)+1),ROWS(A$2:A907))),"")</f>
        <v/>
      </c>
      <c r="B907" s="13" t="str">
        <f t="array" aca="1" ref="B907" ca="1">IFERROR(INDEX(Projektname_ODW,MATCH(SMALL(COUNTIF(Projektname_ODW, "&lt;" &amp; Projektname_ODW),ROW(906:906)),COUNTIF(Projektname_ODW, "&lt;" &amp; Projektname_ODW),0)),"")</f>
        <v/>
      </c>
    </row>
    <row r="908" spans="1:2">
      <c r="A908" s="13" t="str">
        <f t="array" aca="1" ref="A908" ca="1">IFERROR(INDEX(Projektname,SMALL(IF(FREQUENCY(IF(Projektname&lt;&gt;"",MATCH(Projektname,Projektname,0)),ROW(Projektname)-ROW(Data!$A$4)+1),ROW(Projektname)-ROW(Data!$A$4)+1),ROWS(A$2:A908))),"")</f>
        <v/>
      </c>
      <c r="B908" s="13" t="str">
        <f t="array" aca="1" ref="B908" ca="1">IFERROR(INDEX(Projektname_ODW,MATCH(SMALL(COUNTIF(Projektname_ODW, "&lt;" &amp; Projektname_ODW),ROW(907:907)),COUNTIF(Projektname_ODW, "&lt;" &amp; Projektname_ODW),0)),"")</f>
        <v/>
      </c>
    </row>
    <row r="909" spans="1:2">
      <c r="A909" s="13" t="str">
        <f t="array" aca="1" ref="A909" ca="1">IFERROR(INDEX(Projektname,SMALL(IF(FREQUENCY(IF(Projektname&lt;&gt;"",MATCH(Projektname,Projektname,0)),ROW(Projektname)-ROW(Data!$A$4)+1),ROW(Projektname)-ROW(Data!$A$4)+1),ROWS(A$2:A909))),"")</f>
        <v/>
      </c>
      <c r="B909" s="13" t="str">
        <f t="array" aca="1" ref="B909" ca="1">IFERROR(INDEX(Projektname_ODW,MATCH(SMALL(COUNTIF(Projektname_ODW, "&lt;" &amp; Projektname_ODW),ROW(908:908)),COUNTIF(Projektname_ODW, "&lt;" &amp; Projektname_ODW),0)),"")</f>
        <v/>
      </c>
    </row>
    <row r="910" spans="1:2">
      <c r="A910" s="13" t="str">
        <f t="array" aca="1" ref="A910" ca="1">IFERROR(INDEX(Projektname,SMALL(IF(FREQUENCY(IF(Projektname&lt;&gt;"",MATCH(Projektname,Projektname,0)),ROW(Projektname)-ROW(Data!$A$4)+1),ROW(Projektname)-ROW(Data!$A$4)+1),ROWS(A$2:A910))),"")</f>
        <v/>
      </c>
      <c r="B910" s="13" t="str">
        <f t="array" aca="1" ref="B910" ca="1">IFERROR(INDEX(Projektname_ODW,MATCH(SMALL(COUNTIF(Projektname_ODW, "&lt;" &amp; Projektname_ODW),ROW(909:909)),COUNTIF(Projektname_ODW, "&lt;" &amp; Projektname_ODW),0)),"")</f>
        <v/>
      </c>
    </row>
    <row r="911" spans="1:2">
      <c r="A911" s="13" t="str">
        <f t="array" aca="1" ref="A911" ca="1">IFERROR(INDEX(Projektname,SMALL(IF(FREQUENCY(IF(Projektname&lt;&gt;"",MATCH(Projektname,Projektname,0)),ROW(Projektname)-ROW(Data!$A$4)+1),ROW(Projektname)-ROW(Data!$A$4)+1),ROWS(A$2:A911))),"")</f>
        <v/>
      </c>
      <c r="B911" s="13" t="str">
        <f t="array" aca="1" ref="B911" ca="1">IFERROR(INDEX(Projektname_ODW,MATCH(SMALL(COUNTIF(Projektname_ODW, "&lt;" &amp; Projektname_ODW),ROW(910:910)),COUNTIF(Projektname_ODW, "&lt;" &amp; Projektname_ODW),0)),"")</f>
        <v/>
      </c>
    </row>
    <row r="912" spans="1:2">
      <c r="A912" s="13" t="str">
        <f t="array" aca="1" ref="A912" ca="1">IFERROR(INDEX(Projektname,SMALL(IF(FREQUENCY(IF(Projektname&lt;&gt;"",MATCH(Projektname,Projektname,0)),ROW(Projektname)-ROW(Data!$A$4)+1),ROW(Projektname)-ROW(Data!$A$4)+1),ROWS(A$2:A912))),"")</f>
        <v/>
      </c>
      <c r="B912" s="13" t="str">
        <f t="array" aca="1" ref="B912" ca="1">IFERROR(INDEX(Projektname_ODW,MATCH(SMALL(COUNTIF(Projektname_ODW, "&lt;" &amp; Projektname_ODW),ROW(911:911)),COUNTIF(Projektname_ODW, "&lt;" &amp; Projektname_ODW),0)),"")</f>
        <v/>
      </c>
    </row>
    <row r="913" spans="1:2">
      <c r="A913" s="13" t="str">
        <f t="array" aca="1" ref="A913" ca="1">IFERROR(INDEX(Projektname,SMALL(IF(FREQUENCY(IF(Projektname&lt;&gt;"",MATCH(Projektname,Projektname,0)),ROW(Projektname)-ROW(Data!$A$4)+1),ROW(Projektname)-ROW(Data!$A$4)+1),ROWS(A$2:A913))),"")</f>
        <v/>
      </c>
      <c r="B913" s="13" t="str">
        <f t="array" aca="1" ref="B913" ca="1">IFERROR(INDEX(Projektname_ODW,MATCH(SMALL(COUNTIF(Projektname_ODW, "&lt;" &amp; Projektname_ODW),ROW(912:912)),COUNTIF(Projektname_ODW, "&lt;" &amp; Projektname_ODW),0)),"")</f>
        <v/>
      </c>
    </row>
    <row r="914" spans="1:2">
      <c r="A914" s="13" t="str">
        <f t="array" aca="1" ref="A914" ca="1">IFERROR(INDEX(Projektname,SMALL(IF(FREQUENCY(IF(Projektname&lt;&gt;"",MATCH(Projektname,Projektname,0)),ROW(Projektname)-ROW(Data!$A$4)+1),ROW(Projektname)-ROW(Data!$A$4)+1),ROWS(A$2:A914))),"")</f>
        <v/>
      </c>
      <c r="B914" s="13" t="str">
        <f t="array" aca="1" ref="B914" ca="1">IFERROR(INDEX(Projektname_ODW,MATCH(SMALL(COUNTIF(Projektname_ODW, "&lt;" &amp; Projektname_ODW),ROW(913:913)),COUNTIF(Projektname_ODW, "&lt;" &amp; Projektname_ODW),0)),"")</f>
        <v/>
      </c>
    </row>
    <row r="915" spans="1:2">
      <c r="A915" s="13" t="str">
        <f t="array" aca="1" ref="A915" ca="1">IFERROR(INDEX(Projektname,SMALL(IF(FREQUENCY(IF(Projektname&lt;&gt;"",MATCH(Projektname,Projektname,0)),ROW(Projektname)-ROW(Data!$A$4)+1),ROW(Projektname)-ROW(Data!$A$4)+1),ROWS(A$2:A915))),"")</f>
        <v/>
      </c>
      <c r="B915" s="13" t="str">
        <f t="array" aca="1" ref="B915" ca="1">IFERROR(INDEX(Projektname_ODW,MATCH(SMALL(COUNTIF(Projektname_ODW, "&lt;" &amp; Projektname_ODW),ROW(914:914)),COUNTIF(Projektname_ODW, "&lt;" &amp; Projektname_ODW),0)),"")</f>
        <v/>
      </c>
    </row>
    <row r="916" spans="1:2">
      <c r="A916" s="13" t="str">
        <f t="array" aca="1" ref="A916" ca="1">IFERROR(INDEX(Projektname,SMALL(IF(FREQUENCY(IF(Projektname&lt;&gt;"",MATCH(Projektname,Projektname,0)),ROW(Projektname)-ROW(Data!$A$4)+1),ROW(Projektname)-ROW(Data!$A$4)+1),ROWS(A$2:A916))),"")</f>
        <v/>
      </c>
      <c r="B916" s="13" t="str">
        <f t="array" aca="1" ref="B916" ca="1">IFERROR(INDEX(Projektname_ODW,MATCH(SMALL(COUNTIF(Projektname_ODW, "&lt;" &amp; Projektname_ODW),ROW(915:915)),COUNTIF(Projektname_ODW, "&lt;" &amp; Projektname_ODW),0)),"")</f>
        <v/>
      </c>
    </row>
    <row r="917" spans="1:2">
      <c r="A917" s="13" t="str">
        <f t="array" aca="1" ref="A917" ca="1">IFERROR(INDEX(Projektname,SMALL(IF(FREQUENCY(IF(Projektname&lt;&gt;"",MATCH(Projektname,Projektname,0)),ROW(Projektname)-ROW(Data!$A$4)+1),ROW(Projektname)-ROW(Data!$A$4)+1),ROWS(A$2:A917))),"")</f>
        <v/>
      </c>
      <c r="B917" s="13" t="str">
        <f t="array" aca="1" ref="B917" ca="1">IFERROR(INDEX(Projektname_ODW,MATCH(SMALL(COUNTIF(Projektname_ODW, "&lt;" &amp; Projektname_ODW),ROW(916:916)),COUNTIF(Projektname_ODW, "&lt;" &amp; Projektname_ODW),0)),"")</f>
        <v/>
      </c>
    </row>
    <row r="918" spans="1:2">
      <c r="A918" s="13" t="str">
        <f t="array" aca="1" ref="A918" ca="1">IFERROR(INDEX(Projektname,SMALL(IF(FREQUENCY(IF(Projektname&lt;&gt;"",MATCH(Projektname,Projektname,0)),ROW(Projektname)-ROW(Data!$A$4)+1),ROW(Projektname)-ROW(Data!$A$4)+1),ROWS(A$2:A918))),"")</f>
        <v/>
      </c>
      <c r="B918" s="13" t="str">
        <f t="array" aca="1" ref="B918" ca="1">IFERROR(INDEX(Projektname_ODW,MATCH(SMALL(COUNTIF(Projektname_ODW, "&lt;" &amp; Projektname_ODW),ROW(917:917)),COUNTIF(Projektname_ODW, "&lt;" &amp; Projektname_ODW),0)),"")</f>
        <v/>
      </c>
    </row>
    <row r="919" spans="1:2">
      <c r="A919" s="13" t="str">
        <f t="array" aca="1" ref="A919" ca="1">IFERROR(INDEX(Projektname,SMALL(IF(FREQUENCY(IF(Projektname&lt;&gt;"",MATCH(Projektname,Projektname,0)),ROW(Projektname)-ROW(Data!$A$4)+1),ROW(Projektname)-ROW(Data!$A$4)+1),ROWS(A$2:A919))),"")</f>
        <v/>
      </c>
      <c r="B919" s="13" t="str">
        <f t="array" aca="1" ref="B919" ca="1">IFERROR(INDEX(Projektname_ODW,MATCH(SMALL(COUNTIF(Projektname_ODW, "&lt;" &amp; Projektname_ODW),ROW(918:918)),COUNTIF(Projektname_ODW, "&lt;" &amp; Projektname_ODW),0)),"")</f>
        <v/>
      </c>
    </row>
    <row r="920" spans="1:2">
      <c r="A920" s="13" t="str">
        <f t="array" aca="1" ref="A920" ca="1">IFERROR(INDEX(Projektname,SMALL(IF(FREQUENCY(IF(Projektname&lt;&gt;"",MATCH(Projektname,Projektname,0)),ROW(Projektname)-ROW(Data!$A$4)+1),ROW(Projektname)-ROW(Data!$A$4)+1),ROWS(A$2:A920))),"")</f>
        <v/>
      </c>
      <c r="B920" s="13" t="str">
        <f t="array" aca="1" ref="B920" ca="1">IFERROR(INDEX(Projektname_ODW,MATCH(SMALL(COUNTIF(Projektname_ODW, "&lt;" &amp; Projektname_ODW),ROW(919:919)),COUNTIF(Projektname_ODW, "&lt;" &amp; Projektname_ODW),0)),"")</f>
        <v/>
      </c>
    </row>
    <row r="921" spans="1:2">
      <c r="A921" s="13" t="str">
        <f t="array" aca="1" ref="A921" ca="1">IFERROR(INDEX(Projektname,SMALL(IF(FREQUENCY(IF(Projektname&lt;&gt;"",MATCH(Projektname,Projektname,0)),ROW(Projektname)-ROW(Data!$A$4)+1),ROW(Projektname)-ROW(Data!$A$4)+1),ROWS(A$2:A921))),"")</f>
        <v/>
      </c>
      <c r="B921" s="13" t="str">
        <f t="array" aca="1" ref="B921" ca="1">IFERROR(INDEX(Projektname_ODW,MATCH(SMALL(COUNTIF(Projektname_ODW, "&lt;" &amp; Projektname_ODW),ROW(920:920)),COUNTIF(Projektname_ODW, "&lt;" &amp; Projektname_ODW),0)),"")</f>
        <v/>
      </c>
    </row>
    <row r="922" spans="1:2">
      <c r="A922" s="13" t="str">
        <f t="array" aca="1" ref="A922" ca="1">IFERROR(INDEX(Projektname,SMALL(IF(FREQUENCY(IF(Projektname&lt;&gt;"",MATCH(Projektname,Projektname,0)),ROW(Projektname)-ROW(Data!$A$4)+1),ROW(Projektname)-ROW(Data!$A$4)+1),ROWS(A$2:A922))),"")</f>
        <v/>
      </c>
      <c r="B922" s="13" t="str">
        <f t="array" aca="1" ref="B922" ca="1">IFERROR(INDEX(Projektname_ODW,MATCH(SMALL(COUNTIF(Projektname_ODW, "&lt;" &amp; Projektname_ODW),ROW(921:921)),COUNTIF(Projektname_ODW, "&lt;" &amp; Projektname_ODW),0)),"")</f>
        <v/>
      </c>
    </row>
    <row r="923" spans="1:2">
      <c r="A923" s="13" t="str">
        <f t="array" aca="1" ref="A923" ca="1">IFERROR(INDEX(Projektname,SMALL(IF(FREQUENCY(IF(Projektname&lt;&gt;"",MATCH(Projektname,Projektname,0)),ROW(Projektname)-ROW(Data!$A$4)+1),ROW(Projektname)-ROW(Data!$A$4)+1),ROWS(A$2:A923))),"")</f>
        <v/>
      </c>
      <c r="B923" s="13" t="str">
        <f t="array" aca="1" ref="B923" ca="1">IFERROR(INDEX(Projektname_ODW,MATCH(SMALL(COUNTIF(Projektname_ODW, "&lt;" &amp; Projektname_ODW),ROW(922:922)),COUNTIF(Projektname_ODW, "&lt;" &amp; Projektname_ODW),0)),"")</f>
        <v/>
      </c>
    </row>
    <row r="924" spans="1:2">
      <c r="A924" s="13" t="str">
        <f t="array" aca="1" ref="A924" ca="1">IFERROR(INDEX(Projektname,SMALL(IF(FREQUENCY(IF(Projektname&lt;&gt;"",MATCH(Projektname,Projektname,0)),ROW(Projektname)-ROW(Data!$A$4)+1),ROW(Projektname)-ROW(Data!$A$4)+1),ROWS(A$2:A924))),"")</f>
        <v/>
      </c>
      <c r="B924" s="13" t="str">
        <f t="array" aca="1" ref="B924" ca="1">IFERROR(INDEX(Projektname_ODW,MATCH(SMALL(COUNTIF(Projektname_ODW, "&lt;" &amp; Projektname_ODW),ROW(923:923)),COUNTIF(Projektname_ODW, "&lt;" &amp; Projektname_ODW),0)),"")</f>
        <v/>
      </c>
    </row>
    <row r="925" spans="1:2">
      <c r="A925" s="13" t="str">
        <f t="array" aca="1" ref="A925" ca="1">IFERROR(INDEX(Projektname,SMALL(IF(FREQUENCY(IF(Projektname&lt;&gt;"",MATCH(Projektname,Projektname,0)),ROW(Projektname)-ROW(Data!$A$4)+1),ROW(Projektname)-ROW(Data!$A$4)+1),ROWS(A$2:A925))),"")</f>
        <v/>
      </c>
      <c r="B925" s="13" t="str">
        <f t="array" aca="1" ref="B925" ca="1">IFERROR(INDEX(Projektname_ODW,MATCH(SMALL(COUNTIF(Projektname_ODW, "&lt;" &amp; Projektname_ODW),ROW(924:924)),COUNTIF(Projektname_ODW, "&lt;" &amp; Projektname_ODW),0)),"")</f>
        <v/>
      </c>
    </row>
    <row r="926" spans="1:2">
      <c r="A926" s="13" t="str">
        <f t="array" aca="1" ref="A926" ca="1">IFERROR(INDEX(Projektname,SMALL(IF(FREQUENCY(IF(Projektname&lt;&gt;"",MATCH(Projektname,Projektname,0)),ROW(Projektname)-ROW(Data!$A$4)+1),ROW(Projektname)-ROW(Data!$A$4)+1),ROWS(A$2:A926))),"")</f>
        <v/>
      </c>
      <c r="B926" s="13" t="str">
        <f t="array" aca="1" ref="B926" ca="1">IFERROR(INDEX(Projektname_ODW,MATCH(SMALL(COUNTIF(Projektname_ODW, "&lt;" &amp; Projektname_ODW),ROW(925:925)),COUNTIF(Projektname_ODW, "&lt;" &amp; Projektname_ODW),0)),"")</f>
        <v/>
      </c>
    </row>
    <row r="927" spans="1:2">
      <c r="A927" s="13" t="str">
        <f t="array" aca="1" ref="A927" ca="1">IFERROR(INDEX(Projektname,SMALL(IF(FREQUENCY(IF(Projektname&lt;&gt;"",MATCH(Projektname,Projektname,0)),ROW(Projektname)-ROW(Data!$A$4)+1),ROW(Projektname)-ROW(Data!$A$4)+1),ROWS(A$2:A927))),"")</f>
        <v/>
      </c>
      <c r="B927" s="13" t="str">
        <f t="array" aca="1" ref="B927" ca="1">IFERROR(INDEX(Projektname_ODW,MATCH(SMALL(COUNTIF(Projektname_ODW, "&lt;" &amp; Projektname_ODW),ROW(926:926)),COUNTIF(Projektname_ODW, "&lt;" &amp; Projektname_ODW),0)),"")</f>
        <v/>
      </c>
    </row>
    <row r="928" spans="1:2">
      <c r="A928" s="13" t="str">
        <f t="array" aca="1" ref="A928" ca="1">IFERROR(INDEX(Projektname,SMALL(IF(FREQUENCY(IF(Projektname&lt;&gt;"",MATCH(Projektname,Projektname,0)),ROW(Projektname)-ROW(Data!$A$4)+1),ROW(Projektname)-ROW(Data!$A$4)+1),ROWS(A$2:A928))),"")</f>
        <v/>
      </c>
      <c r="B928" s="13" t="str">
        <f t="array" aca="1" ref="B928" ca="1">IFERROR(INDEX(Projektname_ODW,MATCH(SMALL(COUNTIF(Projektname_ODW, "&lt;" &amp; Projektname_ODW),ROW(927:927)),COUNTIF(Projektname_ODW, "&lt;" &amp; Projektname_ODW),0)),"")</f>
        <v/>
      </c>
    </row>
    <row r="929" spans="1:2">
      <c r="A929" s="13" t="str">
        <f t="array" aca="1" ref="A929" ca="1">IFERROR(INDEX(Projektname,SMALL(IF(FREQUENCY(IF(Projektname&lt;&gt;"",MATCH(Projektname,Projektname,0)),ROW(Projektname)-ROW(Data!$A$4)+1),ROW(Projektname)-ROW(Data!$A$4)+1),ROWS(A$2:A929))),"")</f>
        <v/>
      </c>
      <c r="B929" s="13" t="str">
        <f t="array" aca="1" ref="B929" ca="1">IFERROR(INDEX(Projektname_ODW,MATCH(SMALL(COUNTIF(Projektname_ODW, "&lt;" &amp; Projektname_ODW),ROW(928:928)),COUNTIF(Projektname_ODW, "&lt;" &amp; Projektname_ODW),0)),"")</f>
        <v/>
      </c>
    </row>
    <row r="930" spans="1:2">
      <c r="A930" s="13" t="str">
        <f t="array" aca="1" ref="A930" ca="1">IFERROR(INDEX(Projektname,SMALL(IF(FREQUENCY(IF(Projektname&lt;&gt;"",MATCH(Projektname,Projektname,0)),ROW(Projektname)-ROW(Data!$A$4)+1),ROW(Projektname)-ROW(Data!$A$4)+1),ROWS(A$2:A930))),"")</f>
        <v/>
      </c>
      <c r="B930" s="13" t="str">
        <f t="array" aca="1" ref="B930" ca="1">IFERROR(INDEX(Projektname_ODW,MATCH(SMALL(COUNTIF(Projektname_ODW, "&lt;" &amp; Projektname_ODW),ROW(929:929)),COUNTIF(Projektname_ODW, "&lt;" &amp; Projektname_ODW),0)),"")</f>
        <v/>
      </c>
    </row>
    <row r="931" spans="1:2">
      <c r="A931" s="13" t="str">
        <f t="array" aca="1" ref="A931" ca="1">IFERROR(INDEX(Projektname,SMALL(IF(FREQUENCY(IF(Projektname&lt;&gt;"",MATCH(Projektname,Projektname,0)),ROW(Projektname)-ROW(Data!$A$4)+1),ROW(Projektname)-ROW(Data!$A$4)+1),ROWS(A$2:A931))),"")</f>
        <v/>
      </c>
      <c r="B931" s="13" t="str">
        <f t="array" aca="1" ref="B931" ca="1">IFERROR(INDEX(Projektname_ODW,MATCH(SMALL(COUNTIF(Projektname_ODW, "&lt;" &amp; Projektname_ODW),ROW(930:930)),COUNTIF(Projektname_ODW, "&lt;" &amp; Projektname_ODW),0)),"")</f>
        <v/>
      </c>
    </row>
    <row r="932" spans="1:2">
      <c r="A932" s="13" t="str">
        <f t="array" aca="1" ref="A932" ca="1">IFERROR(INDEX(Projektname,SMALL(IF(FREQUENCY(IF(Projektname&lt;&gt;"",MATCH(Projektname,Projektname,0)),ROW(Projektname)-ROW(Data!$A$4)+1),ROW(Projektname)-ROW(Data!$A$4)+1),ROWS(A$2:A932))),"")</f>
        <v/>
      </c>
      <c r="B932" s="13" t="str">
        <f t="array" aca="1" ref="B932" ca="1">IFERROR(INDEX(Projektname_ODW,MATCH(SMALL(COUNTIF(Projektname_ODW, "&lt;" &amp; Projektname_ODW),ROW(931:931)),COUNTIF(Projektname_ODW, "&lt;" &amp; Projektname_ODW),0)),"")</f>
        <v/>
      </c>
    </row>
    <row r="933" spans="1:2">
      <c r="A933" s="13" t="str">
        <f t="array" aca="1" ref="A933" ca="1">IFERROR(INDEX(Projektname,SMALL(IF(FREQUENCY(IF(Projektname&lt;&gt;"",MATCH(Projektname,Projektname,0)),ROW(Projektname)-ROW(Data!$A$4)+1),ROW(Projektname)-ROW(Data!$A$4)+1),ROWS(A$2:A933))),"")</f>
        <v/>
      </c>
      <c r="B933" s="13" t="str">
        <f t="array" aca="1" ref="B933" ca="1">IFERROR(INDEX(Projektname_ODW,MATCH(SMALL(COUNTIF(Projektname_ODW, "&lt;" &amp; Projektname_ODW),ROW(932:932)),COUNTIF(Projektname_ODW, "&lt;" &amp; Projektname_ODW),0)),"")</f>
        <v/>
      </c>
    </row>
    <row r="934" spans="1:2">
      <c r="A934" s="13" t="str">
        <f t="array" aca="1" ref="A934" ca="1">IFERROR(INDEX(Projektname,SMALL(IF(FREQUENCY(IF(Projektname&lt;&gt;"",MATCH(Projektname,Projektname,0)),ROW(Projektname)-ROW(Data!$A$4)+1),ROW(Projektname)-ROW(Data!$A$4)+1),ROWS(A$2:A934))),"")</f>
        <v/>
      </c>
      <c r="B934" s="13" t="str">
        <f t="array" aca="1" ref="B934" ca="1">IFERROR(INDEX(Projektname_ODW,MATCH(SMALL(COUNTIF(Projektname_ODW, "&lt;" &amp; Projektname_ODW),ROW(933:933)),COUNTIF(Projektname_ODW, "&lt;" &amp; Projektname_ODW),0)),"")</f>
        <v/>
      </c>
    </row>
    <row r="935" spans="1:2">
      <c r="A935" s="13" t="str">
        <f t="array" aca="1" ref="A935" ca="1">IFERROR(INDEX(Projektname,SMALL(IF(FREQUENCY(IF(Projektname&lt;&gt;"",MATCH(Projektname,Projektname,0)),ROW(Projektname)-ROW(Data!$A$4)+1),ROW(Projektname)-ROW(Data!$A$4)+1),ROWS(A$2:A935))),"")</f>
        <v/>
      </c>
      <c r="B935" s="13" t="str">
        <f t="array" aca="1" ref="B935" ca="1">IFERROR(INDEX(Projektname_ODW,MATCH(SMALL(COUNTIF(Projektname_ODW, "&lt;" &amp; Projektname_ODW),ROW(934:934)),COUNTIF(Projektname_ODW, "&lt;" &amp; Projektname_ODW),0)),"")</f>
        <v/>
      </c>
    </row>
    <row r="936" spans="1:2">
      <c r="A936" s="13" t="str">
        <f t="array" aca="1" ref="A936" ca="1">IFERROR(INDEX(Projektname,SMALL(IF(FREQUENCY(IF(Projektname&lt;&gt;"",MATCH(Projektname,Projektname,0)),ROW(Projektname)-ROW(Data!$A$4)+1),ROW(Projektname)-ROW(Data!$A$4)+1),ROWS(A$2:A936))),"")</f>
        <v/>
      </c>
      <c r="B936" s="13" t="str">
        <f t="array" aca="1" ref="B936" ca="1">IFERROR(INDEX(Projektname_ODW,MATCH(SMALL(COUNTIF(Projektname_ODW, "&lt;" &amp; Projektname_ODW),ROW(935:935)),COUNTIF(Projektname_ODW, "&lt;" &amp; Projektname_ODW),0)),"")</f>
        <v/>
      </c>
    </row>
    <row r="937" spans="1:2">
      <c r="A937" s="13" t="str">
        <f t="array" aca="1" ref="A937" ca="1">IFERROR(INDEX(Projektname,SMALL(IF(FREQUENCY(IF(Projektname&lt;&gt;"",MATCH(Projektname,Projektname,0)),ROW(Projektname)-ROW(Data!$A$4)+1),ROW(Projektname)-ROW(Data!$A$4)+1),ROWS(A$2:A937))),"")</f>
        <v/>
      </c>
      <c r="B937" s="13" t="str">
        <f t="array" aca="1" ref="B937" ca="1">IFERROR(INDEX(Projektname_ODW,MATCH(SMALL(COUNTIF(Projektname_ODW, "&lt;" &amp; Projektname_ODW),ROW(936:936)),COUNTIF(Projektname_ODW, "&lt;" &amp; Projektname_ODW),0)),"")</f>
        <v/>
      </c>
    </row>
    <row r="938" spans="1:2">
      <c r="A938" s="13" t="str">
        <f t="array" aca="1" ref="A938" ca="1">IFERROR(INDEX(Projektname,SMALL(IF(FREQUENCY(IF(Projektname&lt;&gt;"",MATCH(Projektname,Projektname,0)),ROW(Projektname)-ROW(Data!$A$4)+1),ROW(Projektname)-ROW(Data!$A$4)+1),ROWS(A$2:A938))),"")</f>
        <v/>
      </c>
      <c r="B938" s="13" t="str">
        <f t="array" aca="1" ref="B938" ca="1">IFERROR(INDEX(Projektname_ODW,MATCH(SMALL(COUNTIF(Projektname_ODW, "&lt;" &amp; Projektname_ODW),ROW(937:937)),COUNTIF(Projektname_ODW, "&lt;" &amp; Projektname_ODW),0)),"")</f>
        <v/>
      </c>
    </row>
    <row r="939" spans="1:2">
      <c r="A939" s="13" t="str">
        <f t="array" aca="1" ref="A939" ca="1">IFERROR(INDEX(Projektname,SMALL(IF(FREQUENCY(IF(Projektname&lt;&gt;"",MATCH(Projektname,Projektname,0)),ROW(Projektname)-ROW(Data!$A$4)+1),ROW(Projektname)-ROW(Data!$A$4)+1),ROWS(A$2:A939))),"")</f>
        <v/>
      </c>
      <c r="B939" s="13" t="str">
        <f t="array" aca="1" ref="B939" ca="1">IFERROR(INDEX(Projektname_ODW,MATCH(SMALL(COUNTIF(Projektname_ODW, "&lt;" &amp; Projektname_ODW),ROW(938:938)),COUNTIF(Projektname_ODW, "&lt;" &amp; Projektname_ODW),0)),"")</f>
        <v/>
      </c>
    </row>
    <row r="940" spans="1:2">
      <c r="A940" s="13" t="str">
        <f t="array" aca="1" ref="A940" ca="1">IFERROR(INDEX(Projektname,SMALL(IF(FREQUENCY(IF(Projektname&lt;&gt;"",MATCH(Projektname,Projektname,0)),ROW(Projektname)-ROW(Data!$A$4)+1),ROW(Projektname)-ROW(Data!$A$4)+1),ROWS(A$2:A940))),"")</f>
        <v/>
      </c>
      <c r="B940" s="13" t="str">
        <f t="array" aca="1" ref="B940" ca="1">IFERROR(INDEX(Projektname_ODW,MATCH(SMALL(COUNTIF(Projektname_ODW, "&lt;" &amp; Projektname_ODW),ROW(939:939)),COUNTIF(Projektname_ODW, "&lt;" &amp; Projektname_ODW),0)),"")</f>
        <v/>
      </c>
    </row>
    <row r="941" spans="1:2">
      <c r="A941" s="13" t="str">
        <f t="array" aca="1" ref="A941" ca="1">IFERROR(INDEX(Projektname,SMALL(IF(FREQUENCY(IF(Projektname&lt;&gt;"",MATCH(Projektname,Projektname,0)),ROW(Projektname)-ROW(Data!$A$4)+1),ROW(Projektname)-ROW(Data!$A$4)+1),ROWS(A$2:A941))),"")</f>
        <v/>
      </c>
      <c r="B941" s="13" t="str">
        <f t="array" aca="1" ref="B941" ca="1">IFERROR(INDEX(Projektname_ODW,MATCH(SMALL(COUNTIF(Projektname_ODW, "&lt;" &amp; Projektname_ODW),ROW(940:940)),COUNTIF(Projektname_ODW, "&lt;" &amp; Projektname_ODW),0)),"")</f>
        <v/>
      </c>
    </row>
    <row r="942" spans="1:2">
      <c r="A942" s="13" t="str">
        <f t="array" aca="1" ref="A942" ca="1">IFERROR(INDEX(Projektname,SMALL(IF(FREQUENCY(IF(Projektname&lt;&gt;"",MATCH(Projektname,Projektname,0)),ROW(Projektname)-ROW(Data!$A$4)+1),ROW(Projektname)-ROW(Data!$A$4)+1),ROWS(A$2:A942))),"")</f>
        <v/>
      </c>
      <c r="B942" s="13" t="str">
        <f t="array" aca="1" ref="B942" ca="1">IFERROR(INDEX(Projektname_ODW,MATCH(SMALL(COUNTIF(Projektname_ODW, "&lt;" &amp; Projektname_ODW),ROW(941:941)),COUNTIF(Projektname_ODW, "&lt;" &amp; Projektname_ODW),0)),"")</f>
        <v/>
      </c>
    </row>
    <row r="943" spans="1:2">
      <c r="A943" s="13" t="str">
        <f t="array" aca="1" ref="A943" ca="1">IFERROR(INDEX(Projektname,SMALL(IF(FREQUENCY(IF(Projektname&lt;&gt;"",MATCH(Projektname,Projektname,0)),ROW(Projektname)-ROW(Data!$A$4)+1),ROW(Projektname)-ROW(Data!$A$4)+1),ROWS(A$2:A943))),"")</f>
        <v/>
      </c>
      <c r="B943" s="13" t="str">
        <f t="array" aca="1" ref="B943" ca="1">IFERROR(INDEX(Projektname_ODW,MATCH(SMALL(COUNTIF(Projektname_ODW, "&lt;" &amp; Projektname_ODW),ROW(942:942)),COUNTIF(Projektname_ODW, "&lt;" &amp; Projektname_ODW),0)),"")</f>
        <v/>
      </c>
    </row>
    <row r="944" spans="1:2">
      <c r="A944" s="13" t="str">
        <f t="array" aca="1" ref="A944" ca="1">IFERROR(INDEX(Projektname,SMALL(IF(FREQUENCY(IF(Projektname&lt;&gt;"",MATCH(Projektname,Projektname,0)),ROW(Projektname)-ROW(Data!$A$4)+1),ROW(Projektname)-ROW(Data!$A$4)+1),ROWS(A$2:A944))),"")</f>
        <v/>
      </c>
      <c r="B944" s="13" t="str">
        <f t="array" aca="1" ref="B944" ca="1">IFERROR(INDEX(Projektname_ODW,MATCH(SMALL(COUNTIF(Projektname_ODW, "&lt;" &amp; Projektname_ODW),ROW(943:943)),COUNTIF(Projektname_ODW, "&lt;" &amp; Projektname_ODW),0)),"")</f>
        <v/>
      </c>
    </row>
    <row r="945" spans="1:2">
      <c r="A945" s="13" t="str">
        <f t="array" aca="1" ref="A945" ca="1">IFERROR(INDEX(Projektname,SMALL(IF(FREQUENCY(IF(Projektname&lt;&gt;"",MATCH(Projektname,Projektname,0)),ROW(Projektname)-ROW(Data!$A$4)+1),ROW(Projektname)-ROW(Data!$A$4)+1),ROWS(A$2:A945))),"")</f>
        <v/>
      </c>
      <c r="B945" s="13" t="str">
        <f t="array" aca="1" ref="B945" ca="1">IFERROR(INDEX(Projektname_ODW,MATCH(SMALL(COUNTIF(Projektname_ODW, "&lt;" &amp; Projektname_ODW),ROW(944:944)),COUNTIF(Projektname_ODW, "&lt;" &amp; Projektname_ODW),0)),"")</f>
        <v/>
      </c>
    </row>
    <row r="946" spans="1:2">
      <c r="A946" s="13" t="str">
        <f t="array" aca="1" ref="A946" ca="1">IFERROR(INDEX(Projektname,SMALL(IF(FREQUENCY(IF(Projektname&lt;&gt;"",MATCH(Projektname,Projektname,0)),ROW(Projektname)-ROW(Data!$A$4)+1),ROW(Projektname)-ROW(Data!$A$4)+1),ROWS(A$2:A946))),"")</f>
        <v/>
      </c>
      <c r="B946" s="13" t="str">
        <f t="array" aca="1" ref="B946" ca="1">IFERROR(INDEX(Projektname_ODW,MATCH(SMALL(COUNTIF(Projektname_ODW, "&lt;" &amp; Projektname_ODW),ROW(945:945)),COUNTIF(Projektname_ODW, "&lt;" &amp; Projektname_ODW),0)),"")</f>
        <v/>
      </c>
    </row>
    <row r="947" spans="1:2">
      <c r="A947" s="13" t="str">
        <f t="array" aca="1" ref="A947" ca="1">IFERROR(INDEX(Projektname,SMALL(IF(FREQUENCY(IF(Projektname&lt;&gt;"",MATCH(Projektname,Projektname,0)),ROW(Projektname)-ROW(Data!$A$4)+1),ROW(Projektname)-ROW(Data!$A$4)+1),ROWS(A$2:A947))),"")</f>
        <v/>
      </c>
      <c r="B947" s="13" t="str">
        <f t="array" aca="1" ref="B947" ca="1">IFERROR(INDEX(Projektname_ODW,MATCH(SMALL(COUNTIF(Projektname_ODW, "&lt;" &amp; Projektname_ODW),ROW(946:946)),COUNTIF(Projektname_ODW, "&lt;" &amp; Projektname_ODW),0)),"")</f>
        <v/>
      </c>
    </row>
    <row r="948" spans="1:2">
      <c r="A948" s="13" t="str">
        <f t="array" aca="1" ref="A948" ca="1">IFERROR(INDEX(Projektname,SMALL(IF(FREQUENCY(IF(Projektname&lt;&gt;"",MATCH(Projektname,Projektname,0)),ROW(Projektname)-ROW(Data!$A$4)+1),ROW(Projektname)-ROW(Data!$A$4)+1),ROWS(A$2:A948))),"")</f>
        <v/>
      </c>
      <c r="B948" s="13" t="str">
        <f t="array" aca="1" ref="B948" ca="1">IFERROR(INDEX(Projektname_ODW,MATCH(SMALL(COUNTIF(Projektname_ODW, "&lt;" &amp; Projektname_ODW),ROW(947:947)),COUNTIF(Projektname_ODW, "&lt;" &amp; Projektname_ODW),0)),"")</f>
        <v/>
      </c>
    </row>
    <row r="949" spans="1:2">
      <c r="A949" s="13" t="str">
        <f t="array" aca="1" ref="A949" ca="1">IFERROR(INDEX(Projektname,SMALL(IF(FREQUENCY(IF(Projektname&lt;&gt;"",MATCH(Projektname,Projektname,0)),ROW(Projektname)-ROW(Data!$A$4)+1),ROW(Projektname)-ROW(Data!$A$4)+1),ROWS(A$2:A949))),"")</f>
        <v/>
      </c>
      <c r="B949" s="13" t="str">
        <f t="array" aca="1" ref="B949" ca="1">IFERROR(INDEX(Projektname_ODW,MATCH(SMALL(COUNTIF(Projektname_ODW, "&lt;" &amp; Projektname_ODW),ROW(948:948)),COUNTIF(Projektname_ODW, "&lt;" &amp; Projektname_ODW),0)),"")</f>
        <v/>
      </c>
    </row>
    <row r="950" spans="1:2">
      <c r="A950" s="13" t="str">
        <f t="array" aca="1" ref="A950" ca="1">IFERROR(INDEX(Projektname,SMALL(IF(FREQUENCY(IF(Projektname&lt;&gt;"",MATCH(Projektname,Projektname,0)),ROW(Projektname)-ROW(Data!$A$4)+1),ROW(Projektname)-ROW(Data!$A$4)+1),ROWS(A$2:A950))),"")</f>
        <v/>
      </c>
      <c r="B950" s="13" t="str">
        <f t="array" aca="1" ref="B950" ca="1">IFERROR(INDEX(Projektname_ODW,MATCH(SMALL(COUNTIF(Projektname_ODW, "&lt;" &amp; Projektname_ODW),ROW(949:949)),COUNTIF(Projektname_ODW, "&lt;" &amp; Projektname_ODW),0)),"")</f>
        <v/>
      </c>
    </row>
    <row r="951" spans="1:2">
      <c r="A951" s="13" t="str">
        <f t="array" aca="1" ref="A951" ca="1">IFERROR(INDEX(Projektname,SMALL(IF(FREQUENCY(IF(Projektname&lt;&gt;"",MATCH(Projektname,Projektname,0)),ROW(Projektname)-ROW(Data!$A$4)+1),ROW(Projektname)-ROW(Data!$A$4)+1),ROWS(A$2:A951))),"")</f>
        <v/>
      </c>
      <c r="B951" s="13" t="str">
        <f t="array" aca="1" ref="B951" ca="1">IFERROR(INDEX(Projektname_ODW,MATCH(SMALL(COUNTIF(Projektname_ODW, "&lt;" &amp; Projektname_ODW),ROW(950:950)),COUNTIF(Projektname_ODW, "&lt;" &amp; Projektname_ODW),0)),"")</f>
        <v/>
      </c>
    </row>
    <row r="952" spans="1:2">
      <c r="A952" s="13" t="str">
        <f t="array" aca="1" ref="A952" ca="1">IFERROR(INDEX(Projektname,SMALL(IF(FREQUENCY(IF(Projektname&lt;&gt;"",MATCH(Projektname,Projektname,0)),ROW(Projektname)-ROW(Data!$A$4)+1),ROW(Projektname)-ROW(Data!$A$4)+1),ROWS(A$2:A952))),"")</f>
        <v/>
      </c>
      <c r="B952" s="13" t="str">
        <f t="array" aca="1" ref="B952" ca="1">IFERROR(INDEX(Projektname_ODW,MATCH(SMALL(COUNTIF(Projektname_ODW, "&lt;" &amp; Projektname_ODW),ROW(951:951)),COUNTIF(Projektname_ODW, "&lt;" &amp; Projektname_ODW),0)),"")</f>
        <v/>
      </c>
    </row>
    <row r="953" spans="1:2">
      <c r="A953" s="13" t="str">
        <f t="array" aca="1" ref="A953" ca="1">IFERROR(INDEX(Projektname,SMALL(IF(FREQUENCY(IF(Projektname&lt;&gt;"",MATCH(Projektname,Projektname,0)),ROW(Projektname)-ROW(Data!$A$4)+1),ROW(Projektname)-ROW(Data!$A$4)+1),ROWS(A$2:A953))),"")</f>
        <v/>
      </c>
      <c r="B953" s="13" t="str">
        <f t="array" aca="1" ref="B953" ca="1">IFERROR(INDEX(Projektname_ODW,MATCH(SMALL(COUNTIF(Projektname_ODW, "&lt;" &amp; Projektname_ODW),ROW(952:952)),COUNTIF(Projektname_ODW, "&lt;" &amp; Projektname_ODW),0)),"")</f>
        <v/>
      </c>
    </row>
    <row r="954" spans="1:2">
      <c r="A954" s="13" t="str">
        <f t="array" aca="1" ref="A954" ca="1">IFERROR(INDEX(Projektname,SMALL(IF(FREQUENCY(IF(Projektname&lt;&gt;"",MATCH(Projektname,Projektname,0)),ROW(Projektname)-ROW(Data!$A$4)+1),ROW(Projektname)-ROW(Data!$A$4)+1),ROWS(A$2:A954))),"")</f>
        <v/>
      </c>
      <c r="B954" s="13" t="str">
        <f t="array" aca="1" ref="B954" ca="1">IFERROR(INDEX(Projektname_ODW,MATCH(SMALL(COUNTIF(Projektname_ODW, "&lt;" &amp; Projektname_ODW),ROW(953:953)),COUNTIF(Projektname_ODW, "&lt;" &amp; Projektname_ODW),0)),"")</f>
        <v/>
      </c>
    </row>
    <row r="955" spans="1:2">
      <c r="A955" s="13" t="str">
        <f t="array" aca="1" ref="A955" ca="1">IFERROR(INDEX(Projektname,SMALL(IF(FREQUENCY(IF(Projektname&lt;&gt;"",MATCH(Projektname,Projektname,0)),ROW(Projektname)-ROW(Data!$A$4)+1),ROW(Projektname)-ROW(Data!$A$4)+1),ROWS(A$2:A955))),"")</f>
        <v/>
      </c>
      <c r="B955" s="13" t="str">
        <f t="array" aca="1" ref="B955" ca="1">IFERROR(INDEX(Projektname_ODW,MATCH(SMALL(COUNTIF(Projektname_ODW, "&lt;" &amp; Projektname_ODW),ROW(954:954)),COUNTIF(Projektname_ODW, "&lt;" &amp; Projektname_ODW),0)),"")</f>
        <v/>
      </c>
    </row>
    <row r="956" spans="1:2">
      <c r="A956" s="13" t="str">
        <f t="array" aca="1" ref="A956" ca="1">IFERROR(INDEX(Projektname,SMALL(IF(FREQUENCY(IF(Projektname&lt;&gt;"",MATCH(Projektname,Projektname,0)),ROW(Projektname)-ROW(Data!$A$4)+1),ROW(Projektname)-ROW(Data!$A$4)+1),ROWS(A$2:A956))),"")</f>
        <v/>
      </c>
      <c r="B956" s="13" t="str">
        <f t="array" aca="1" ref="B956" ca="1">IFERROR(INDEX(Projektname_ODW,MATCH(SMALL(COUNTIF(Projektname_ODW, "&lt;" &amp; Projektname_ODW),ROW(955:955)),COUNTIF(Projektname_ODW, "&lt;" &amp; Projektname_ODW),0)),"")</f>
        <v/>
      </c>
    </row>
    <row r="957" spans="1:2">
      <c r="A957" s="13" t="str">
        <f t="array" aca="1" ref="A957" ca="1">IFERROR(INDEX(Projektname,SMALL(IF(FREQUENCY(IF(Projektname&lt;&gt;"",MATCH(Projektname,Projektname,0)),ROW(Projektname)-ROW(Data!$A$4)+1),ROW(Projektname)-ROW(Data!$A$4)+1),ROWS(A$2:A957))),"")</f>
        <v/>
      </c>
      <c r="B957" s="13" t="str">
        <f t="array" aca="1" ref="B957" ca="1">IFERROR(INDEX(Projektname_ODW,MATCH(SMALL(COUNTIF(Projektname_ODW, "&lt;" &amp; Projektname_ODW),ROW(956:956)),COUNTIF(Projektname_ODW, "&lt;" &amp; Projektname_ODW),0)),"")</f>
        <v/>
      </c>
    </row>
    <row r="958" spans="1:2">
      <c r="A958" s="13" t="str">
        <f t="array" aca="1" ref="A958" ca="1">IFERROR(INDEX(Projektname,SMALL(IF(FREQUENCY(IF(Projektname&lt;&gt;"",MATCH(Projektname,Projektname,0)),ROW(Projektname)-ROW(Data!$A$4)+1),ROW(Projektname)-ROW(Data!$A$4)+1),ROWS(A$2:A958))),"")</f>
        <v/>
      </c>
      <c r="B958" s="13" t="str">
        <f t="array" aca="1" ref="B958" ca="1">IFERROR(INDEX(Projektname_ODW,MATCH(SMALL(COUNTIF(Projektname_ODW, "&lt;" &amp; Projektname_ODW),ROW(957:957)),COUNTIF(Projektname_ODW, "&lt;" &amp; Projektname_ODW),0)),"")</f>
        <v/>
      </c>
    </row>
    <row r="959" spans="1:2">
      <c r="A959" s="13" t="str">
        <f t="array" aca="1" ref="A959" ca="1">IFERROR(INDEX(Projektname,SMALL(IF(FREQUENCY(IF(Projektname&lt;&gt;"",MATCH(Projektname,Projektname,0)),ROW(Projektname)-ROW(Data!$A$4)+1),ROW(Projektname)-ROW(Data!$A$4)+1),ROWS(A$2:A959))),"")</f>
        <v/>
      </c>
      <c r="B959" s="13" t="str">
        <f t="array" aca="1" ref="B959" ca="1">IFERROR(INDEX(Projektname_ODW,MATCH(SMALL(COUNTIF(Projektname_ODW, "&lt;" &amp; Projektname_ODW),ROW(958:958)),COUNTIF(Projektname_ODW, "&lt;" &amp; Projektname_ODW),0)),"")</f>
        <v/>
      </c>
    </row>
    <row r="960" spans="1:2">
      <c r="A960" s="13" t="str">
        <f t="array" aca="1" ref="A960" ca="1">IFERROR(INDEX(Projektname,SMALL(IF(FREQUENCY(IF(Projektname&lt;&gt;"",MATCH(Projektname,Projektname,0)),ROW(Projektname)-ROW(Data!$A$4)+1),ROW(Projektname)-ROW(Data!$A$4)+1),ROWS(A$2:A960))),"")</f>
        <v/>
      </c>
      <c r="B960" s="13" t="str">
        <f t="array" aca="1" ref="B960" ca="1">IFERROR(INDEX(Projektname_ODW,MATCH(SMALL(COUNTIF(Projektname_ODW, "&lt;" &amp; Projektname_ODW),ROW(959:959)),COUNTIF(Projektname_ODW, "&lt;" &amp; Projektname_ODW),0)),"")</f>
        <v/>
      </c>
    </row>
    <row r="961" spans="1:2">
      <c r="A961" s="13" t="str">
        <f t="array" aca="1" ref="A961" ca="1">IFERROR(INDEX(Projektname,SMALL(IF(FREQUENCY(IF(Projektname&lt;&gt;"",MATCH(Projektname,Projektname,0)),ROW(Projektname)-ROW(Data!$A$4)+1),ROW(Projektname)-ROW(Data!$A$4)+1),ROWS(A$2:A961))),"")</f>
        <v/>
      </c>
      <c r="B961" s="13" t="str">
        <f t="array" aca="1" ref="B961" ca="1">IFERROR(INDEX(Projektname_ODW,MATCH(SMALL(COUNTIF(Projektname_ODW, "&lt;" &amp; Projektname_ODW),ROW(960:960)),COUNTIF(Projektname_ODW, "&lt;" &amp; Projektname_ODW),0)),"")</f>
        <v/>
      </c>
    </row>
    <row r="962" spans="1:2">
      <c r="A962" s="13" t="str">
        <f t="array" aca="1" ref="A962" ca="1">IFERROR(INDEX(Projektname,SMALL(IF(FREQUENCY(IF(Projektname&lt;&gt;"",MATCH(Projektname,Projektname,0)),ROW(Projektname)-ROW(Data!$A$4)+1),ROW(Projektname)-ROW(Data!$A$4)+1),ROWS(A$2:A962))),"")</f>
        <v/>
      </c>
      <c r="B962" s="13" t="str">
        <f t="array" aca="1" ref="B962" ca="1">IFERROR(INDEX(Projektname_ODW,MATCH(SMALL(COUNTIF(Projektname_ODW, "&lt;" &amp; Projektname_ODW),ROW(961:961)),COUNTIF(Projektname_ODW, "&lt;" &amp; Projektname_ODW),0)),"")</f>
        <v/>
      </c>
    </row>
    <row r="963" spans="1:2">
      <c r="A963" s="13" t="str">
        <f t="array" aca="1" ref="A963" ca="1">IFERROR(INDEX(Projektname,SMALL(IF(FREQUENCY(IF(Projektname&lt;&gt;"",MATCH(Projektname,Projektname,0)),ROW(Projektname)-ROW(Data!$A$4)+1),ROW(Projektname)-ROW(Data!$A$4)+1),ROWS(A$2:A963))),"")</f>
        <v/>
      </c>
      <c r="B963" s="13" t="str">
        <f t="array" aca="1" ref="B963" ca="1">IFERROR(INDEX(Projektname_ODW,MATCH(SMALL(COUNTIF(Projektname_ODW, "&lt;" &amp; Projektname_ODW),ROW(962:962)),COUNTIF(Projektname_ODW, "&lt;" &amp; Projektname_ODW),0)),"")</f>
        <v/>
      </c>
    </row>
    <row r="964" spans="1:2">
      <c r="A964" s="13" t="str">
        <f t="array" aca="1" ref="A964" ca="1">IFERROR(INDEX(Projektname,SMALL(IF(FREQUENCY(IF(Projektname&lt;&gt;"",MATCH(Projektname,Projektname,0)),ROW(Projektname)-ROW(Data!$A$4)+1),ROW(Projektname)-ROW(Data!$A$4)+1),ROWS(A$2:A964))),"")</f>
        <v/>
      </c>
      <c r="B964" s="13" t="str">
        <f t="array" aca="1" ref="B964" ca="1">IFERROR(INDEX(Projektname_ODW,MATCH(SMALL(COUNTIF(Projektname_ODW, "&lt;" &amp; Projektname_ODW),ROW(963:963)),COUNTIF(Projektname_ODW, "&lt;" &amp; Projektname_ODW),0)),"")</f>
        <v/>
      </c>
    </row>
    <row r="965" spans="1:2">
      <c r="A965" s="13" t="str">
        <f t="array" aca="1" ref="A965" ca="1">IFERROR(INDEX(Projektname,SMALL(IF(FREQUENCY(IF(Projektname&lt;&gt;"",MATCH(Projektname,Projektname,0)),ROW(Projektname)-ROW(Data!$A$4)+1),ROW(Projektname)-ROW(Data!$A$4)+1),ROWS(A$2:A965))),"")</f>
        <v/>
      </c>
      <c r="B965" s="13" t="str">
        <f t="array" aca="1" ref="B965" ca="1">IFERROR(INDEX(Projektname_ODW,MATCH(SMALL(COUNTIF(Projektname_ODW, "&lt;" &amp; Projektname_ODW),ROW(964:964)),COUNTIF(Projektname_ODW, "&lt;" &amp; Projektname_ODW),0)),"")</f>
        <v/>
      </c>
    </row>
    <row r="966" spans="1:2">
      <c r="A966" s="13" t="str">
        <f t="array" aca="1" ref="A966" ca="1">IFERROR(INDEX(Projektname,SMALL(IF(FREQUENCY(IF(Projektname&lt;&gt;"",MATCH(Projektname,Projektname,0)),ROW(Projektname)-ROW(Data!$A$4)+1),ROW(Projektname)-ROW(Data!$A$4)+1),ROWS(A$2:A966))),"")</f>
        <v/>
      </c>
      <c r="B966" s="13" t="str">
        <f t="array" aca="1" ref="B966" ca="1">IFERROR(INDEX(Projektname_ODW,MATCH(SMALL(COUNTIF(Projektname_ODW, "&lt;" &amp; Projektname_ODW),ROW(965:965)),COUNTIF(Projektname_ODW, "&lt;" &amp; Projektname_ODW),0)),"")</f>
        <v/>
      </c>
    </row>
    <row r="967" spans="1:2">
      <c r="A967" s="13" t="str">
        <f t="array" aca="1" ref="A967" ca="1">IFERROR(INDEX(Projektname,SMALL(IF(FREQUENCY(IF(Projektname&lt;&gt;"",MATCH(Projektname,Projektname,0)),ROW(Projektname)-ROW(Data!$A$4)+1),ROW(Projektname)-ROW(Data!$A$4)+1),ROWS(A$2:A967))),"")</f>
        <v/>
      </c>
      <c r="B967" s="13" t="str">
        <f t="array" aca="1" ref="B967" ca="1">IFERROR(INDEX(Projektname_ODW,MATCH(SMALL(COUNTIF(Projektname_ODW, "&lt;" &amp; Projektname_ODW),ROW(966:966)),COUNTIF(Projektname_ODW, "&lt;" &amp; Projektname_ODW),0)),"")</f>
        <v/>
      </c>
    </row>
    <row r="968" spans="1:2">
      <c r="A968" s="13" t="str">
        <f t="array" aca="1" ref="A968" ca="1">IFERROR(INDEX(Projektname,SMALL(IF(FREQUENCY(IF(Projektname&lt;&gt;"",MATCH(Projektname,Projektname,0)),ROW(Projektname)-ROW(Data!$A$4)+1),ROW(Projektname)-ROW(Data!$A$4)+1),ROWS(A$2:A968))),"")</f>
        <v/>
      </c>
      <c r="B968" s="13" t="str">
        <f t="array" aca="1" ref="B968" ca="1">IFERROR(INDEX(Projektname_ODW,MATCH(SMALL(COUNTIF(Projektname_ODW, "&lt;" &amp; Projektname_ODW),ROW(967:967)),COUNTIF(Projektname_ODW, "&lt;" &amp; Projektname_ODW),0)),"")</f>
        <v/>
      </c>
    </row>
    <row r="969" spans="1:2">
      <c r="A969" s="13" t="str">
        <f t="array" aca="1" ref="A969" ca="1">IFERROR(INDEX(Projektname,SMALL(IF(FREQUENCY(IF(Projektname&lt;&gt;"",MATCH(Projektname,Projektname,0)),ROW(Projektname)-ROW(Data!$A$4)+1),ROW(Projektname)-ROW(Data!$A$4)+1),ROWS(A$2:A969))),"")</f>
        <v/>
      </c>
      <c r="B969" s="13" t="str">
        <f t="array" aca="1" ref="B969" ca="1">IFERROR(INDEX(Projektname_ODW,MATCH(SMALL(COUNTIF(Projektname_ODW, "&lt;" &amp; Projektname_ODW),ROW(968:968)),COUNTIF(Projektname_ODW, "&lt;" &amp; Projektname_ODW),0)),"")</f>
        <v/>
      </c>
    </row>
    <row r="970" spans="1:2">
      <c r="A970" s="13" t="str">
        <f t="array" aca="1" ref="A970" ca="1">IFERROR(INDEX(Projektname,SMALL(IF(FREQUENCY(IF(Projektname&lt;&gt;"",MATCH(Projektname,Projektname,0)),ROW(Projektname)-ROW(Data!$A$4)+1),ROW(Projektname)-ROW(Data!$A$4)+1),ROWS(A$2:A970))),"")</f>
        <v/>
      </c>
      <c r="B970" s="13" t="str">
        <f t="array" aca="1" ref="B970" ca="1">IFERROR(INDEX(Projektname_ODW,MATCH(SMALL(COUNTIF(Projektname_ODW, "&lt;" &amp; Projektname_ODW),ROW(969:969)),COUNTIF(Projektname_ODW, "&lt;" &amp; Projektname_ODW),0)),"")</f>
        <v/>
      </c>
    </row>
    <row r="971" spans="1:2">
      <c r="A971" s="13" t="str">
        <f t="array" aca="1" ref="A971" ca="1">IFERROR(INDEX(Projektname,SMALL(IF(FREQUENCY(IF(Projektname&lt;&gt;"",MATCH(Projektname,Projektname,0)),ROW(Projektname)-ROW(Data!$A$4)+1),ROW(Projektname)-ROW(Data!$A$4)+1),ROWS(A$2:A971))),"")</f>
        <v/>
      </c>
      <c r="B971" s="13" t="str">
        <f t="array" aca="1" ref="B971" ca="1">IFERROR(INDEX(Projektname_ODW,MATCH(SMALL(COUNTIF(Projektname_ODW, "&lt;" &amp; Projektname_ODW),ROW(970:970)),COUNTIF(Projektname_ODW, "&lt;" &amp; Projektname_ODW),0)),"")</f>
        <v/>
      </c>
    </row>
    <row r="972" spans="1:2">
      <c r="A972" s="13" t="str">
        <f t="array" aca="1" ref="A972" ca="1">IFERROR(INDEX(Projektname,SMALL(IF(FREQUENCY(IF(Projektname&lt;&gt;"",MATCH(Projektname,Projektname,0)),ROW(Projektname)-ROW(Data!$A$4)+1),ROW(Projektname)-ROW(Data!$A$4)+1),ROWS(A$2:A972))),"")</f>
        <v/>
      </c>
      <c r="B972" s="13" t="str">
        <f t="array" aca="1" ref="B972" ca="1">IFERROR(INDEX(Projektname_ODW,MATCH(SMALL(COUNTIF(Projektname_ODW, "&lt;" &amp; Projektname_ODW),ROW(971:971)),COUNTIF(Projektname_ODW, "&lt;" &amp; Projektname_ODW),0)),"")</f>
        <v/>
      </c>
    </row>
    <row r="973" spans="1:2">
      <c r="A973" s="13" t="str">
        <f t="array" aca="1" ref="A973" ca="1">IFERROR(INDEX(Projektname,SMALL(IF(FREQUENCY(IF(Projektname&lt;&gt;"",MATCH(Projektname,Projektname,0)),ROW(Projektname)-ROW(Data!$A$4)+1),ROW(Projektname)-ROW(Data!$A$4)+1),ROWS(A$2:A973))),"")</f>
        <v/>
      </c>
      <c r="B973" s="13" t="str">
        <f t="array" aca="1" ref="B973" ca="1">IFERROR(INDEX(Projektname_ODW,MATCH(SMALL(COUNTIF(Projektname_ODW, "&lt;" &amp; Projektname_ODW),ROW(972:972)),COUNTIF(Projektname_ODW, "&lt;" &amp; Projektname_ODW),0)),"")</f>
        <v/>
      </c>
    </row>
    <row r="974" spans="1:2">
      <c r="A974" s="13" t="str">
        <f t="array" aca="1" ref="A974" ca="1">IFERROR(INDEX(Projektname,SMALL(IF(FREQUENCY(IF(Projektname&lt;&gt;"",MATCH(Projektname,Projektname,0)),ROW(Projektname)-ROW(Data!$A$4)+1),ROW(Projektname)-ROW(Data!$A$4)+1),ROWS(A$2:A974))),"")</f>
        <v/>
      </c>
      <c r="B974" s="13" t="str">
        <f t="array" aca="1" ref="B974" ca="1">IFERROR(INDEX(Projektname_ODW,MATCH(SMALL(COUNTIF(Projektname_ODW, "&lt;" &amp; Projektname_ODW),ROW(973:973)),COUNTIF(Projektname_ODW, "&lt;" &amp; Projektname_ODW),0)),"")</f>
        <v/>
      </c>
    </row>
    <row r="975" spans="1:2">
      <c r="A975" s="13" t="str">
        <f t="array" aca="1" ref="A975" ca="1">IFERROR(INDEX(Projektname,SMALL(IF(FREQUENCY(IF(Projektname&lt;&gt;"",MATCH(Projektname,Projektname,0)),ROW(Projektname)-ROW(Data!$A$4)+1),ROW(Projektname)-ROW(Data!$A$4)+1),ROWS(A$2:A975))),"")</f>
        <v/>
      </c>
      <c r="B975" s="13" t="str">
        <f t="array" aca="1" ref="B975" ca="1">IFERROR(INDEX(Projektname_ODW,MATCH(SMALL(COUNTIF(Projektname_ODW, "&lt;" &amp; Projektname_ODW),ROW(974:974)),COUNTIF(Projektname_ODW, "&lt;" &amp; Projektname_ODW),0)),"")</f>
        <v/>
      </c>
    </row>
    <row r="976" spans="1:2">
      <c r="A976" s="13" t="str">
        <f t="array" aca="1" ref="A976" ca="1">IFERROR(INDEX(Projektname,SMALL(IF(FREQUENCY(IF(Projektname&lt;&gt;"",MATCH(Projektname,Projektname,0)),ROW(Projektname)-ROW(Data!$A$4)+1),ROW(Projektname)-ROW(Data!$A$4)+1),ROWS(A$2:A976))),"")</f>
        <v/>
      </c>
      <c r="B976" s="13" t="str">
        <f t="array" aca="1" ref="B976" ca="1">IFERROR(INDEX(Projektname_ODW,MATCH(SMALL(COUNTIF(Projektname_ODW, "&lt;" &amp; Projektname_ODW),ROW(975:975)),COUNTIF(Projektname_ODW, "&lt;" &amp; Projektname_ODW),0)),"")</f>
        <v/>
      </c>
    </row>
    <row r="977" spans="1:2">
      <c r="A977" s="13" t="str">
        <f t="array" aca="1" ref="A977" ca="1">IFERROR(INDEX(Projektname,SMALL(IF(FREQUENCY(IF(Projektname&lt;&gt;"",MATCH(Projektname,Projektname,0)),ROW(Projektname)-ROW(Data!$A$4)+1),ROW(Projektname)-ROW(Data!$A$4)+1),ROWS(A$2:A977))),"")</f>
        <v/>
      </c>
      <c r="B977" s="13" t="str">
        <f t="array" aca="1" ref="B977" ca="1">IFERROR(INDEX(Projektname_ODW,MATCH(SMALL(COUNTIF(Projektname_ODW, "&lt;" &amp; Projektname_ODW),ROW(976:976)),COUNTIF(Projektname_ODW, "&lt;" &amp; Projektname_ODW),0)),"")</f>
        <v/>
      </c>
    </row>
    <row r="978" spans="1:2">
      <c r="A978" s="13" t="str">
        <f t="array" aca="1" ref="A978" ca="1">IFERROR(INDEX(Projektname,SMALL(IF(FREQUENCY(IF(Projektname&lt;&gt;"",MATCH(Projektname,Projektname,0)),ROW(Projektname)-ROW(Data!$A$4)+1),ROW(Projektname)-ROW(Data!$A$4)+1),ROWS(A$2:A978))),"")</f>
        <v/>
      </c>
      <c r="B978" s="13" t="str">
        <f t="array" aca="1" ref="B978" ca="1">IFERROR(INDEX(Projektname_ODW,MATCH(SMALL(COUNTIF(Projektname_ODW, "&lt;" &amp; Projektname_ODW),ROW(977:977)),COUNTIF(Projektname_ODW, "&lt;" &amp; Projektname_ODW),0)),"")</f>
        <v/>
      </c>
    </row>
    <row r="979" spans="1:2">
      <c r="A979" s="13" t="str">
        <f t="array" aca="1" ref="A979" ca="1">IFERROR(INDEX(Projektname,SMALL(IF(FREQUENCY(IF(Projektname&lt;&gt;"",MATCH(Projektname,Projektname,0)),ROW(Projektname)-ROW(Data!$A$4)+1),ROW(Projektname)-ROW(Data!$A$4)+1),ROWS(A$2:A979))),"")</f>
        <v/>
      </c>
      <c r="B979" s="13" t="str">
        <f t="array" aca="1" ref="B979" ca="1">IFERROR(INDEX(Projektname_ODW,MATCH(SMALL(COUNTIF(Projektname_ODW, "&lt;" &amp; Projektname_ODW),ROW(978:978)),COUNTIF(Projektname_ODW, "&lt;" &amp; Projektname_ODW),0)),"")</f>
        <v/>
      </c>
    </row>
    <row r="980" spans="1:2">
      <c r="A980" s="13" t="str">
        <f t="array" aca="1" ref="A980" ca="1">IFERROR(INDEX(Projektname,SMALL(IF(FREQUENCY(IF(Projektname&lt;&gt;"",MATCH(Projektname,Projektname,0)),ROW(Projektname)-ROW(Data!$A$4)+1),ROW(Projektname)-ROW(Data!$A$4)+1),ROWS(A$2:A980))),"")</f>
        <v/>
      </c>
      <c r="B980" s="13" t="str">
        <f t="array" aca="1" ref="B980" ca="1">IFERROR(INDEX(Projektname_ODW,MATCH(SMALL(COUNTIF(Projektname_ODW, "&lt;" &amp; Projektname_ODW),ROW(979:979)),COUNTIF(Projektname_ODW, "&lt;" &amp; Projektname_ODW),0)),"")</f>
        <v/>
      </c>
    </row>
    <row r="981" spans="1:2">
      <c r="A981" s="13" t="str">
        <f t="array" aca="1" ref="A981" ca="1">IFERROR(INDEX(Projektname,SMALL(IF(FREQUENCY(IF(Projektname&lt;&gt;"",MATCH(Projektname,Projektname,0)),ROW(Projektname)-ROW(Data!$A$4)+1),ROW(Projektname)-ROW(Data!$A$4)+1),ROWS(A$2:A981))),"")</f>
        <v/>
      </c>
      <c r="B981" s="13" t="str">
        <f t="array" aca="1" ref="B981" ca="1">IFERROR(INDEX(Projektname_ODW,MATCH(SMALL(COUNTIF(Projektname_ODW, "&lt;" &amp; Projektname_ODW),ROW(980:980)),COUNTIF(Projektname_ODW, "&lt;" &amp; Projektname_ODW),0)),"")</f>
        <v/>
      </c>
    </row>
    <row r="982" spans="1:2">
      <c r="A982" s="13" t="str">
        <f t="array" aca="1" ref="A982" ca="1">IFERROR(INDEX(Projektname,SMALL(IF(FREQUENCY(IF(Projektname&lt;&gt;"",MATCH(Projektname,Projektname,0)),ROW(Projektname)-ROW(Data!$A$4)+1),ROW(Projektname)-ROW(Data!$A$4)+1),ROWS(A$2:A982))),"")</f>
        <v/>
      </c>
      <c r="B982" s="13" t="str">
        <f t="array" aca="1" ref="B982" ca="1">IFERROR(INDEX(Projektname_ODW,MATCH(SMALL(COUNTIF(Projektname_ODW, "&lt;" &amp; Projektname_ODW),ROW(981:981)),COUNTIF(Projektname_ODW, "&lt;" &amp; Projektname_ODW),0)),"")</f>
        <v/>
      </c>
    </row>
    <row r="983" spans="1:2">
      <c r="A983" s="13" t="str">
        <f t="array" aca="1" ref="A983" ca="1">IFERROR(INDEX(Projektname,SMALL(IF(FREQUENCY(IF(Projektname&lt;&gt;"",MATCH(Projektname,Projektname,0)),ROW(Projektname)-ROW(Data!$A$4)+1),ROW(Projektname)-ROW(Data!$A$4)+1),ROWS(A$2:A983))),"")</f>
        <v/>
      </c>
      <c r="B983" s="13" t="str">
        <f t="array" aca="1" ref="B983" ca="1">IFERROR(INDEX(Projektname_ODW,MATCH(SMALL(COUNTIF(Projektname_ODW, "&lt;" &amp; Projektname_ODW),ROW(982:982)),COUNTIF(Projektname_ODW, "&lt;" &amp; Projektname_ODW),0)),"")</f>
        <v/>
      </c>
    </row>
    <row r="984" spans="1:2">
      <c r="A984" s="13" t="str">
        <f t="array" aca="1" ref="A984" ca="1">IFERROR(INDEX(Projektname,SMALL(IF(FREQUENCY(IF(Projektname&lt;&gt;"",MATCH(Projektname,Projektname,0)),ROW(Projektname)-ROW(Data!$A$4)+1),ROW(Projektname)-ROW(Data!$A$4)+1),ROWS(A$2:A984))),"")</f>
        <v/>
      </c>
      <c r="B984" s="13" t="str">
        <f t="array" aca="1" ref="B984" ca="1">IFERROR(INDEX(Projektname_ODW,MATCH(SMALL(COUNTIF(Projektname_ODW, "&lt;" &amp; Projektname_ODW),ROW(983:983)),COUNTIF(Projektname_ODW, "&lt;" &amp; Projektname_ODW),0)),"")</f>
        <v/>
      </c>
    </row>
    <row r="985" spans="1:2">
      <c r="A985" s="13" t="str">
        <f t="array" aca="1" ref="A985" ca="1">IFERROR(INDEX(Projektname,SMALL(IF(FREQUENCY(IF(Projektname&lt;&gt;"",MATCH(Projektname,Projektname,0)),ROW(Projektname)-ROW(Data!$A$4)+1),ROW(Projektname)-ROW(Data!$A$4)+1),ROWS(A$2:A985))),"")</f>
        <v/>
      </c>
      <c r="B985" s="13" t="str">
        <f t="array" aca="1" ref="B985" ca="1">IFERROR(INDEX(Projektname_ODW,MATCH(SMALL(COUNTIF(Projektname_ODW, "&lt;" &amp; Projektname_ODW),ROW(984:984)),COUNTIF(Projektname_ODW, "&lt;" &amp; Projektname_ODW),0)),"")</f>
        <v/>
      </c>
    </row>
    <row r="986" spans="1:2">
      <c r="A986" s="13" t="str">
        <f t="array" aca="1" ref="A986" ca="1">IFERROR(INDEX(Projektname,SMALL(IF(FREQUENCY(IF(Projektname&lt;&gt;"",MATCH(Projektname,Projektname,0)),ROW(Projektname)-ROW(Data!$A$4)+1),ROW(Projektname)-ROW(Data!$A$4)+1),ROWS(A$2:A986))),"")</f>
        <v/>
      </c>
      <c r="B986" s="13" t="str">
        <f t="array" aca="1" ref="B986" ca="1">IFERROR(INDEX(Projektname_ODW,MATCH(SMALL(COUNTIF(Projektname_ODW, "&lt;" &amp; Projektname_ODW),ROW(985:985)),COUNTIF(Projektname_ODW, "&lt;" &amp; Projektname_ODW),0)),"")</f>
        <v/>
      </c>
    </row>
    <row r="987" spans="1:2">
      <c r="A987" s="13" t="str">
        <f t="array" aca="1" ref="A987" ca="1">IFERROR(INDEX(Projektname,SMALL(IF(FREQUENCY(IF(Projektname&lt;&gt;"",MATCH(Projektname,Projektname,0)),ROW(Projektname)-ROW(Data!$A$4)+1),ROW(Projektname)-ROW(Data!$A$4)+1),ROWS(A$2:A987))),"")</f>
        <v/>
      </c>
      <c r="B987" s="13" t="str">
        <f t="array" aca="1" ref="B987" ca="1">IFERROR(INDEX(Projektname_ODW,MATCH(SMALL(COUNTIF(Projektname_ODW, "&lt;" &amp; Projektname_ODW),ROW(986:986)),COUNTIF(Projektname_ODW, "&lt;" &amp; Projektname_ODW),0)),"")</f>
        <v/>
      </c>
    </row>
    <row r="988" spans="1:2">
      <c r="A988" s="13" t="str">
        <f t="array" aca="1" ref="A988" ca="1">IFERROR(INDEX(Projektname,SMALL(IF(FREQUENCY(IF(Projektname&lt;&gt;"",MATCH(Projektname,Projektname,0)),ROW(Projektname)-ROW(Data!$A$4)+1),ROW(Projektname)-ROW(Data!$A$4)+1),ROWS(A$2:A988))),"")</f>
        <v/>
      </c>
      <c r="B988" s="13" t="str">
        <f t="array" aca="1" ref="B988" ca="1">IFERROR(INDEX(Projektname_ODW,MATCH(SMALL(COUNTIF(Projektname_ODW, "&lt;" &amp; Projektname_ODW),ROW(987:987)),COUNTIF(Projektname_ODW, "&lt;" &amp; Projektname_ODW),0)),"")</f>
        <v/>
      </c>
    </row>
    <row r="989" spans="1:2">
      <c r="A989" s="13" t="str">
        <f t="array" aca="1" ref="A989" ca="1">IFERROR(INDEX(Projektname,SMALL(IF(FREQUENCY(IF(Projektname&lt;&gt;"",MATCH(Projektname,Projektname,0)),ROW(Projektname)-ROW(Data!$A$4)+1),ROW(Projektname)-ROW(Data!$A$4)+1),ROWS(A$2:A989))),"")</f>
        <v/>
      </c>
      <c r="B989" s="13" t="str">
        <f t="array" aca="1" ref="B989" ca="1">IFERROR(INDEX(Projektname_ODW,MATCH(SMALL(COUNTIF(Projektname_ODW, "&lt;" &amp; Projektname_ODW),ROW(988:988)),COUNTIF(Projektname_ODW, "&lt;" &amp; Projektname_ODW),0)),"")</f>
        <v/>
      </c>
    </row>
    <row r="990" spans="1:2">
      <c r="A990" s="13" t="str">
        <f t="array" aca="1" ref="A990" ca="1">IFERROR(INDEX(Projektname,SMALL(IF(FREQUENCY(IF(Projektname&lt;&gt;"",MATCH(Projektname,Projektname,0)),ROW(Projektname)-ROW(Data!$A$4)+1),ROW(Projektname)-ROW(Data!$A$4)+1),ROWS(A$2:A990))),"")</f>
        <v/>
      </c>
      <c r="B990" s="13" t="str">
        <f t="array" aca="1" ref="B990" ca="1">IFERROR(INDEX(Projektname_ODW,MATCH(SMALL(COUNTIF(Projektname_ODW, "&lt;" &amp; Projektname_ODW),ROW(989:989)),COUNTIF(Projektname_ODW, "&lt;" &amp; Projektname_ODW),0)),"")</f>
        <v/>
      </c>
    </row>
    <row r="991" spans="1:2">
      <c r="A991" s="13" t="str">
        <f t="array" aca="1" ref="A991" ca="1">IFERROR(INDEX(Projektname,SMALL(IF(FREQUENCY(IF(Projektname&lt;&gt;"",MATCH(Projektname,Projektname,0)),ROW(Projektname)-ROW(Data!$A$4)+1),ROW(Projektname)-ROW(Data!$A$4)+1),ROWS(A$2:A991))),"")</f>
        <v/>
      </c>
      <c r="B991" s="13" t="str">
        <f t="array" aca="1" ref="B991" ca="1">IFERROR(INDEX(Projektname_ODW,MATCH(SMALL(COUNTIF(Projektname_ODW, "&lt;" &amp; Projektname_ODW),ROW(990:990)),COUNTIF(Projektname_ODW, "&lt;" &amp; Projektname_ODW),0)),"")</f>
        <v/>
      </c>
    </row>
    <row r="992" spans="1:2">
      <c r="A992" s="13" t="str">
        <f t="array" aca="1" ref="A992" ca="1">IFERROR(INDEX(Projektname,SMALL(IF(FREQUENCY(IF(Projektname&lt;&gt;"",MATCH(Projektname,Projektname,0)),ROW(Projektname)-ROW(Data!$A$4)+1),ROW(Projektname)-ROW(Data!$A$4)+1),ROWS(A$2:A992))),"")</f>
        <v/>
      </c>
      <c r="B992" s="13" t="str">
        <f t="array" aca="1" ref="B992" ca="1">IFERROR(INDEX(Projektname_ODW,MATCH(SMALL(COUNTIF(Projektname_ODW, "&lt;" &amp; Projektname_ODW),ROW(991:991)),COUNTIF(Projektname_ODW, "&lt;" &amp; Projektname_ODW),0)),"")</f>
        <v/>
      </c>
    </row>
    <row r="993" spans="1:2">
      <c r="A993" s="13" t="str">
        <f t="array" aca="1" ref="A993" ca="1">IFERROR(INDEX(Projektname,SMALL(IF(FREQUENCY(IF(Projektname&lt;&gt;"",MATCH(Projektname,Projektname,0)),ROW(Projektname)-ROW(Data!$A$4)+1),ROW(Projektname)-ROW(Data!$A$4)+1),ROWS(A$2:A993))),"")</f>
        <v/>
      </c>
      <c r="B993" s="13" t="str">
        <f t="array" aca="1" ref="B993" ca="1">IFERROR(INDEX(Projektname_ODW,MATCH(SMALL(COUNTIF(Projektname_ODW, "&lt;" &amp; Projektname_ODW),ROW(992:992)),COUNTIF(Projektname_ODW, "&lt;" &amp; Projektname_ODW),0)),"")</f>
        <v/>
      </c>
    </row>
    <row r="994" spans="1:2">
      <c r="A994" s="13" t="str">
        <f t="array" aca="1" ref="A994" ca="1">IFERROR(INDEX(Projektname,SMALL(IF(FREQUENCY(IF(Projektname&lt;&gt;"",MATCH(Projektname,Projektname,0)),ROW(Projektname)-ROW(Data!$A$4)+1),ROW(Projektname)-ROW(Data!$A$4)+1),ROWS(A$2:A994))),"")</f>
        <v/>
      </c>
      <c r="B994" s="13" t="str">
        <f t="array" aca="1" ref="B994" ca="1">IFERROR(INDEX(Projektname_ODW,MATCH(SMALL(COUNTIF(Projektname_ODW, "&lt;" &amp; Projektname_ODW),ROW(993:993)),COUNTIF(Projektname_ODW, "&lt;" &amp; Projektname_ODW),0)),"")</f>
        <v/>
      </c>
    </row>
    <row r="995" spans="1:2">
      <c r="A995" s="13" t="str">
        <f t="array" aca="1" ref="A995" ca="1">IFERROR(INDEX(Projektname,SMALL(IF(FREQUENCY(IF(Projektname&lt;&gt;"",MATCH(Projektname,Projektname,0)),ROW(Projektname)-ROW(Data!$A$4)+1),ROW(Projektname)-ROW(Data!$A$4)+1),ROWS(A$2:A995))),"")</f>
        <v/>
      </c>
      <c r="B995" s="13" t="str">
        <f t="array" aca="1" ref="B995" ca="1">IFERROR(INDEX(Projektname_ODW,MATCH(SMALL(COUNTIF(Projektname_ODW, "&lt;" &amp; Projektname_ODW),ROW(994:994)),COUNTIF(Projektname_ODW, "&lt;" &amp; Projektname_ODW),0)),"")</f>
        <v/>
      </c>
    </row>
    <row r="996" spans="1:2">
      <c r="A996" s="13" t="str">
        <f t="array" aca="1" ref="A996" ca="1">IFERROR(INDEX(Projektname,SMALL(IF(FREQUENCY(IF(Projektname&lt;&gt;"",MATCH(Projektname,Projektname,0)),ROW(Projektname)-ROW(Data!$A$4)+1),ROW(Projektname)-ROW(Data!$A$4)+1),ROWS(A$2:A996))),"")</f>
        <v/>
      </c>
      <c r="B996" s="13" t="str">
        <f t="array" aca="1" ref="B996" ca="1">IFERROR(INDEX(Projektname_ODW,MATCH(SMALL(COUNTIF(Projektname_ODW, "&lt;" &amp; Projektname_ODW),ROW(995:995)),COUNTIF(Projektname_ODW, "&lt;" &amp; Projektname_ODW),0)),"")</f>
        <v/>
      </c>
    </row>
    <row r="997" spans="1:2">
      <c r="A997" s="13" t="str">
        <f t="array" aca="1" ref="A997" ca="1">IFERROR(INDEX(Projektname,SMALL(IF(FREQUENCY(IF(Projektname&lt;&gt;"",MATCH(Projektname,Projektname,0)),ROW(Projektname)-ROW(Data!$A$4)+1),ROW(Projektname)-ROW(Data!$A$4)+1),ROWS(A$2:A997))),"")</f>
        <v/>
      </c>
      <c r="B997" s="13" t="str">
        <f t="array" aca="1" ref="B997" ca="1">IFERROR(INDEX(Projektname_ODW,MATCH(SMALL(COUNTIF(Projektname_ODW, "&lt;" &amp; Projektname_ODW),ROW(996:996)),COUNTIF(Projektname_ODW, "&lt;" &amp; Projektname_ODW),0)),"")</f>
        <v/>
      </c>
    </row>
    <row r="998" spans="1:2">
      <c r="A998" s="13" t="str">
        <f t="array" aca="1" ref="A998" ca="1">IFERROR(INDEX(Projektname,SMALL(IF(FREQUENCY(IF(Projektname&lt;&gt;"",MATCH(Projektname,Projektname,0)),ROW(Projektname)-ROW(Data!$A$4)+1),ROW(Projektname)-ROW(Data!$A$4)+1),ROWS(A$2:A998))),"")</f>
        <v/>
      </c>
      <c r="B998" s="13" t="str">
        <f t="array" aca="1" ref="B998" ca="1">IFERROR(INDEX(Projektname_ODW,MATCH(SMALL(COUNTIF(Projektname_ODW, "&lt;" &amp; Projektname_ODW),ROW(997:997)),COUNTIF(Projektname_ODW, "&lt;" &amp; Projektname_ODW),0)),"")</f>
        <v/>
      </c>
    </row>
    <row r="999" spans="1:2">
      <c r="A999" s="13" t="str">
        <f t="array" aca="1" ref="A999" ca="1">IFERROR(INDEX(Projektname,SMALL(IF(FREQUENCY(IF(Projektname&lt;&gt;"",MATCH(Projektname,Projektname,0)),ROW(Projektname)-ROW(Data!$A$4)+1),ROW(Projektname)-ROW(Data!$A$4)+1),ROWS(A$2:A999))),"")</f>
        <v/>
      </c>
      <c r="B999" s="13" t="str">
        <f t="array" aca="1" ref="B999" ca="1">IFERROR(INDEX(Projektname_ODW,MATCH(SMALL(COUNTIF(Projektname_ODW, "&lt;" &amp; Projektname_ODW),ROW(998:998)),COUNTIF(Projektname_ODW, "&lt;" &amp; Projektname_ODW),0)),"")</f>
        <v/>
      </c>
    </row>
    <row r="1000" spans="1:2">
      <c r="A1000" s="13" t="str">
        <f t="array" aca="1" ref="A1000" ca="1">IFERROR(INDEX(Projektname,SMALL(IF(FREQUENCY(IF(Projektname&lt;&gt;"",MATCH(Projektname,Projektname,0)),ROW(Projektname)-ROW(Data!$A$4)+1),ROW(Projektname)-ROW(Data!$A$4)+1),ROWS(A$2:A1000))),"")</f>
        <v/>
      </c>
      <c r="B1000" s="13" t="str">
        <f t="array" aca="1" ref="B1000" ca="1">IFERROR(INDEX(Projektname_ODW,MATCH(SMALL(COUNTIF(Projektname_ODW, "&lt;" &amp; Projektname_ODW),ROW(999:999)),COUNTIF(Projektname_ODW, "&lt;" &amp; Projektname_ODW),0)),"")</f>
        <v/>
      </c>
    </row>
    <row r="1001" spans="1:2">
      <c r="A1001" s="13" t="str">
        <f t="array" aca="1" ref="A1001" ca="1">IFERROR(INDEX(Projektname,SMALL(IF(FREQUENCY(IF(Projektname&lt;&gt;"",MATCH(Projektname,Projektname,0)),ROW(Projektname)-ROW(Data!$A$4)+1),ROW(Projektname)-ROW(Data!$A$4)+1),ROWS(A$2:A1001))),"")</f>
        <v/>
      </c>
      <c r="B1001" s="13" t="str">
        <f t="array" aca="1" ref="B1001" ca="1">IFERROR(INDEX(Projektname_ODW,MATCH(SMALL(COUNTIF(Projektname_ODW, "&lt;" &amp; Projektname_ODW),ROW(1000:1000)),COUNTIF(Projektname_ODW, "&lt;" &amp; Projektname_ODW),0)),"")</f>
        <v/>
      </c>
    </row>
    <row r="1002" spans="1:2">
      <c r="A1002" s="1"/>
    </row>
  </sheetData>
  <pageMargins left="0.7" right="0.7" top="0.78740157499999996" bottom="0.78740157499999996"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Tabelle1">
    <pageSetUpPr fitToPage="1"/>
  </sheetPr>
  <dimension ref="B1:I174"/>
  <sheetViews>
    <sheetView workbookViewId="0">
      <selection activeCell="F21" sqref="F21"/>
    </sheetView>
  </sheetViews>
  <sheetFormatPr baseColWidth="10" defaultRowHeight="15"/>
  <cols>
    <col min="1" max="1" width="23.85546875" style="16" customWidth="1"/>
    <col min="2" max="2" width="50" style="16" customWidth="1"/>
    <col min="3" max="3" width="6.42578125" style="16" customWidth="1"/>
    <col min="4" max="4" width="50" style="16" customWidth="1"/>
    <col min="5" max="5" width="6.42578125" style="16" customWidth="1"/>
    <col min="6" max="6" width="50" style="16" customWidth="1"/>
    <col min="7" max="7" width="6.42578125" style="16" customWidth="1"/>
    <col min="8" max="8" width="50" style="16" customWidth="1"/>
    <col min="9" max="9" width="6.42578125" style="16" customWidth="1"/>
    <col min="10" max="16384" width="11.42578125" style="16"/>
  </cols>
  <sheetData>
    <row r="1" spans="2:9" ht="31.5">
      <c r="B1" s="57" t="s">
        <v>1036</v>
      </c>
      <c r="C1" s="57"/>
      <c r="D1" s="57"/>
      <c r="E1" s="57"/>
      <c r="F1" s="57"/>
      <c r="G1" s="57"/>
      <c r="H1" s="57"/>
      <c r="I1" s="57"/>
    </row>
    <row r="2" spans="2:9">
      <c r="B2" s="24" t="s">
        <v>1033</v>
      </c>
      <c r="D2" s="24" t="s">
        <v>1034</v>
      </c>
      <c r="F2" s="24" t="s">
        <v>1035</v>
      </c>
    </row>
    <row r="3" spans="2:9" ht="22.5" customHeight="1"/>
    <row r="5" spans="2:9" ht="22.5">
      <c r="B5" s="23" t="str">
        <f ca="1">B1&amp;": "&amp;Liste!C3&amp;" - "&amp;Liste!E3&amp;" - "&amp;Liste!F3</f>
        <v>Diagramme: Firma Test - 1. test1 - 0.0 test0 (E+A)</v>
      </c>
    </row>
    <row r="7" spans="2:9" ht="19.5">
      <c r="B7" s="17" t="s">
        <v>100</v>
      </c>
      <c r="C7" s="18"/>
      <c r="D7" s="19" t="str">
        <f ca="1">IFERROR(INDEX(Tab_DaBa[],MATCH(CONCATENATE(Liste!$C$3,Liste!$E$3,Liste!$F$3),Data!$BO:$BO,0),4),"")</f>
        <v>PLr_ges1_2</v>
      </c>
    </row>
    <row r="8" spans="2:9" ht="19.5">
      <c r="B8" s="21" t="s">
        <v>101</v>
      </c>
      <c r="C8" s="18"/>
      <c r="D8" s="22" t="str">
        <f ca="1">IFERROR("Performance Level: "&amp;INDEX(Tab_DaBa[],MATCH(CONCATENATE(Liste!$C$3,Liste!$E$3,Liste!$F$3),Data!$BO:$BO,0),5)&amp;"          PFH [1/h] = "&amp;10^9*INDEX(Tab_DaBa[],MATCH(CONCATENATE(Liste!$C$3,Liste!$E$3,Liste!$F$3),Data!$BO:$BO,0),6)&amp;"E-9","")</f>
        <v>Performance Level: Pl_ges1_2          PFH [1/h] = 2,7E-9</v>
      </c>
    </row>
    <row r="9" spans="2:9">
      <c r="C9" s="20"/>
    </row>
    <row r="10" spans="2:9" ht="22.5">
      <c r="B10" s="26" t="str">
        <f ca="1">IFERROR(INDEX(Tab_DaBa[],MATCH(CONCATENATE(Liste!$C$3,Liste!$E$3,Liste!$F$3),Data!$BO:$BO,0)-2,9),"")</f>
        <v>Eingang</v>
      </c>
      <c r="C10" s="60">
        <v>4</v>
      </c>
      <c r="D10" s="26" t="str">
        <f ca="1">IFERROR(IF(AND(Such_Log01="",Such_Log02="",Such_Log03="",Such_Log04="",Such_Log05="",Such_Log06="",Such_Log07="",Such_Log08="",Such_Log09="",Such_Log10=""),INDEX(Tab_DaBa[],MATCH(CONCATENATE(Liste!$C$3,Liste!$E$3,Liste!$F$3),Data!$BO:$BO,0)-2,14),INDEX(Tab_DaBa[],MATCH(CONCATENATE(Liste!$C$3,Liste!$E$3,Liste!$F$3),Data!$BO:$BO,0)-2,19)),"")</f>
        <v>Ausgang</v>
      </c>
      <c r="E10" s="59" t="str">
        <f ca="1">IF(F10="","",4)</f>
        <v/>
      </c>
      <c r="F10" s="30" t="str">
        <f ca="1">IFERROR(IF(AND(Such_Log01&lt;&gt;"",Such_Log02="",Such_Log03="",Such_Log04="",Such_Log05="",Such_Log06="",Such_Log07="",Such_Log08="",Such_Log09="",Such_Log10=""),INDEX(Tab_DaBa[],MATCH(CONCATENATE(Liste!$C$3,Liste!$E$3,Liste!$F$3),Data!$BO:$BO,0)-2,14),IF(AND(Such_Log02="",Such_Log03="",Such_Log04="",Such_Log05="",Such_Log06="",Such_Log07="",Such_Log08="",Such_Log09="",Such_Log10=""),"",INDEX(Tab_DaBa[],MATCH(CONCATENATE(Liste!$C$3,Liste!$E$3,Liste!$F$3),Data!$BO:$BO,0)-2,24))),"")</f>
        <v/>
      </c>
      <c r="G10" s="58" t="str">
        <f ca="1">IF(H10="","",4)</f>
        <v/>
      </c>
      <c r="H10" s="30" t="str">
        <f ca="1">IFERROR(IF(AND(Such_Log01&lt;&gt;"",Such_Log02&lt;&gt;"",Such_Log03="",Such_Log04="",Such_Log05="",Such_Log06="",Such_Log07="",Such_Log08="",Such_Log09="",Such_Log10=""),INDEX(Tab_DaBa[],MATCH(CONCATENATE(Liste!$C$3,Liste!$E$3,Liste!$F$3),Data!$BO:$BO,0)-2,14),IF(AND(Such_Log03="",Such_Log04="",Such_Log05="",Such_Log06="",Such_Log07="",Such_Log08="",Such_Log09="",Such_Log10=""),"",INDEX(Tab_DaBa[],MATCH(CONCATENATE(Liste!$C$3,Liste!$E$3,Liste!$F$3),Data!$BO:$BO,0)-2,29))),"")</f>
        <v/>
      </c>
      <c r="I10" s="58" t="str">
        <f ca="1">IF(B18="","",6)</f>
        <v/>
      </c>
    </row>
    <row r="11" spans="2:9" ht="22.5">
      <c r="B11" s="27" t="str">
        <f ca="1">IFERROR(INDEX(Tab_DaBa[],MATCH(CONCATENATE(Liste!$C$3,Liste!$E$3,Liste!$F$3),Data!$BO:$BO,0)-2,7),"")</f>
        <v>eeee-0000</v>
      </c>
      <c r="C11" s="60"/>
      <c r="D11" s="27" t="str">
        <f ca="1">IFERROR(IF(AND(Such_Log01="",Such_Log02="",Such_Log03="",Such_Log04="",Such_Log05="",Such_Log06="",Such_Log07="",Such_Log08="",Such_Log09="",Such_Log10=""),INDEX(Tab_DaBa[],MATCH(CONCATENATE(Liste!$C$3,Liste!$E$3,Liste!$F$3),Data!$BO:$BO,0)-2,12),INDEX(Tab_DaBa[],MATCH(CONCATENATE(Liste!$C$3,Liste!$E$3,Liste!$F$3),Data!$BO:$BO,0)-2,17)),"")</f>
        <v>aaaa-0000</v>
      </c>
      <c r="E11" s="59"/>
      <c r="F11" s="30" t="str">
        <f ca="1">IFERROR(IF(AND(Such_Log01&lt;&gt;"",Such_Log02="",Such_Log03="",Such_Log04="",Such_Log05="",Such_Log06="",Such_Log07="",Such_Log08="",Such_Log09="",Such_Log10=""),INDEX(Tab_DaBa[],MATCH(CONCATENATE(Liste!$C$3,Liste!$E$3,Liste!$F$3),Data!$BO:$BO,0)-2,12),IF(AND(Such_Log02="",Such_Log03="",Such_Log04="",Such_Log05="",Such_Log06="",Such_Log07="",Such_Log08="",Such_Log09="",Such_Log10=""),"",INDEX(Tab_DaBa[],MATCH(CONCATENATE(Liste!$C$3,Liste!$E$3,Liste!$F$3),Data!$BO:$BO,0)-2,22))),"")</f>
        <v/>
      </c>
      <c r="G11" s="58"/>
      <c r="H11" s="30" t="str">
        <f ca="1">IFERROR(IF(AND(Such_Log01&lt;&gt;"",Such_Log02&lt;&gt;"",Such_Log03="",Such_Log04="",Such_Log05="",Such_Log06="",Such_Log07="",Such_Log08="",Such_Log09="",Such_Log10=""),INDEX(Tab_DaBa[],MATCH(CONCATENATE(Liste!$C$3,Liste!$E$3,Liste!$F$3),Data!$BO:$BO,0)-2,12),IF(AND(Such_Log03="",Such_Log04="",Such_Log05="",Such_Log06="",Such_Log07="",Such_Log08="",Such_Log09="",Such_Log10=""),"",INDEX(Tab_DaBa[],MATCH(CONCATENATE(Liste!$C$3,Liste!$E$3,Liste!$F$3),Data!$BO:$BO,0)-2,27))),"")</f>
        <v/>
      </c>
      <c r="I11" s="58"/>
    </row>
    <row r="12" spans="2:9" ht="22.5">
      <c r="B12" s="27" t="str">
        <f ca="1">IFERROR(INDEX(Tab_DaBa[],MATCH(CONCATENATE(Liste!$C$3,Liste!$E$3,Liste!$F$3),Data!$BO:$BO,0)-2,8),"")</f>
        <v>Bez_Ein0</v>
      </c>
      <c r="C12" s="60"/>
      <c r="D12" s="27" t="str">
        <f ca="1">IFERROR(IF(AND(Such_Log01="",Such_Log02="",Such_Log03="",Such_Log04="",Such_Log05="",Such_Log06="",Such_Log07="",Such_Log08="",Such_Log09="",Such_Log10=""),INDEX(Tab_DaBa[],MATCH(CONCATENATE(Liste!$C$3,Liste!$E$3,Liste!$F$3),Data!$BO:$BO,0)-2,13),INDEX(Tab_DaBa[],MATCH(CONCATENATE(Liste!$C$3,Liste!$E$3,Liste!$F$3),Data!$BO:$BO,0)-2,18)),"")</f>
        <v>Bez_Aus0</v>
      </c>
      <c r="E12" s="59"/>
      <c r="F12" s="30" t="str">
        <f ca="1">IFERROR(IF(AND(Such_Log01&lt;&gt;"",Such_Log02="",Such_Log03="",Such_Log04="",Such_Log05="",Such_Log06="",Such_Log07="",Such_Log08="",Such_Log09="",Such_Log10=""),INDEX(Tab_DaBa[],MATCH(CONCATENATE(Liste!$C$3,Liste!$E$3,Liste!$F$3),Data!$BO:$BO,0)-2,13),IF(AND(Such_Log02="",Such_Log03="",Such_Log04="",Such_Log05="",Such_Log06="",Such_Log07="",Such_Log08="",Such_Log09="",Such_Log10=""),"",INDEX(Tab_DaBa[],MATCH(CONCATENATE(Liste!$C$3,Liste!$E$3,Liste!$F$3),Data!$BO:$BO,0)-2,23))),"")</f>
        <v/>
      </c>
      <c r="G12" s="58"/>
      <c r="H12" s="30" t="str">
        <f ca="1">IFERROR(IF(AND(Such_Log01&lt;&gt;"",Such_Log02&lt;&gt;"",Such_Log03="",Such_Log04="",Such_Log05="",Such_Log06="",Such_Log07="",Such_Log08="",Such_Log09="",Such_Log10=""),INDEX(Tab_DaBa[],MATCH(CONCATENATE(Liste!$C$3,Liste!$E$3,Liste!$F$3),Data!$BO:$BO,0)-2,13),IF(AND(Such_Log03="",Such_Log04="",Such_Log05="",Such_Log06="",Such_Log07="",Such_Log08="",Such_Log09="",Such_Log10=""),"",INDEX(Tab_DaBa[],MATCH(CONCATENATE(Liste!$C$3,Liste!$E$3,Liste!$F$3),Data!$BO:$BO,0)-2,28))),"")</f>
        <v/>
      </c>
      <c r="I12" s="58"/>
    </row>
    <row r="13" spans="2:9" ht="22.5">
      <c r="B13" s="27" t="str">
        <f ca="1">IFERROR("Performance Level: "&amp;INDEX(Tab_DaBa[],MATCH(CONCATENATE(Liste!$C$3,Liste!$E$3,Liste!$F$3),Data!$BO:$BO,0)-2,10),"")</f>
        <v>Performance Level: PL_Ein0</v>
      </c>
      <c r="C13" s="60"/>
      <c r="D13" s="27" t="str">
        <f ca="1">IFERROR(IF(AND(Such_Log01="",Such_Log02="",Such_Log03="",Such_Log04="",Such_Log05="",Such_Log06="",Such_Log07="",Such_Log08="",Such_Log09="",Such_Log10=""),"Performance Level: "&amp;INDEX(Tab_DaBa[],MATCH(CONCATENATE(Liste!$C$3,Liste!$E$3,Liste!$F$3),Data!$BO:$BO,0)-2,15),"Performance Level: "&amp;INDEX(Tab_DaBa[],MATCH(CONCATENATE(Liste!$C$3,Liste!$E$3,Liste!$F$3),Data!$BO:$BO,0)-2,20)),"")</f>
        <v>Performance Level: PL_Aus0</v>
      </c>
      <c r="E13" s="59"/>
      <c r="F13" s="30" t="str">
        <f ca="1">IFERROR(IF(AND(Such_Log01&lt;&gt;"",Such_Log02="",Such_Log03="",Such_Log04="",Such_Log05="",Such_Log06="",Such_Log07="",Such_Log08="",Such_Log09="",Such_Log10=""),"Performance Level: "&amp;INDEX(Tab_DaBa[],MATCH(CONCATENATE(Liste!$C$3,Liste!$E$3,Liste!$F$3),Data!$BO:$BO,0)-2,15),IF(AND(Such_Log02="",Such_Log03="",Such_Log04="",Such_Log05="",Such_Log06="",Such_Log07="",Such_Log08="",Such_Log09="",Such_Log10=""),"","Performance Level: "&amp;INDEX(Tab_DaBa[],MATCH(CONCATENATE(Liste!$C$3,Liste!$E$3,Liste!$F$3),Data!$BO:$BO,0)-2,25))),"")</f>
        <v/>
      </c>
      <c r="G13" s="58"/>
      <c r="H13" s="30" t="str">
        <f ca="1">IFERROR(IF(AND(Such_Log01&lt;&gt;"",Such_Log02&lt;&gt;"",Such_Log03="",Such_Log04="",Such_Log05="",Such_Log06="",Such_Log07="",Such_Log08="",Such_Log09="",Such_Log10=""),"Performance Level: "&amp;INDEX(Tab_DaBa[],MATCH(CONCATENATE(Liste!$C$3,Liste!$E$3,Liste!$F$3),Data!$BO:$BO,0)-2,15),IF(AND(Such_Log03="",Such_Log04="",Such_Log05="",Such_Log06="",Such_Log07="",Such_Log08="",Such_Log09="",Such_Log10=""),"","Performance Level: "&amp;INDEX(Tab_DaBa[],MATCH(CONCATENATE(Liste!$C$3,Liste!$E$3,Liste!$F$3),Data!$BO:$BO,0)-2,30))),"")</f>
        <v/>
      </c>
      <c r="I13" s="58"/>
    </row>
    <row r="14" spans="2:9" ht="22.5">
      <c r="B14" s="28" t="str">
        <f ca="1">IFERROR("PFH [1/h] = "&amp;10^9*INDEX(Tab_DaBa[],MATCH(CONCATENATE(Liste!$C$3,Liste!$E$3,Liste!$F$3),Data!$BO:$BO,0)-2,11)&amp;"E-9","")</f>
        <v>PFH [1/h] = 42,9E-9</v>
      </c>
      <c r="C14" s="60"/>
      <c r="D14" s="29" t="str">
        <f ca="1">IFERROR(IF(AND(Such_Log01="",Such_Log02="",Such_Log03="",Such_Log04="",Such_Log05="",Such_Log06="",Such_Log07="",Such_Log08="",Such_Log09="",Such_Log10=""),"PFH [1/h] = "&amp;10^9*INDEX(Tab_DaBa[],MATCH(CONCATENATE(Liste!$C$3,Liste!$E$3,Liste!$F$3),Data!$BO:$BO,0)-2,16)&amp;"E-9","PFH [1/h] = "&amp;10^9*INDEX(Tab_DaBa[],MATCH(CONCATENATE(Liste!$C$3,Liste!$E$3,Liste!$F$3),Data!$BO:$BO,0)-2,21)&amp;"E-9"),"")</f>
        <v>PFH [1/h] = 24,7E-9</v>
      </c>
      <c r="E14" s="59"/>
      <c r="F14" s="30" t="str">
        <f ca="1">IFERROR(IF(AND(Such_Log01&lt;&gt;"",Such_Log02="",Such_Log03="",Such_Log04="",Such_Log05="",Such_Log06="",Such_Log07="",Such_Log08="",Such_Log09="",Such_Log10=""),"PFH [1/h] = "&amp;10^9*INDEX(Tab_DaBa[],MATCH(CONCATENATE(Liste!$C$3,Liste!$E$3,Liste!$F$3),Data!$BO:$BO,0)-2,16)&amp;"E-9",IF(AND(Such_Log02="",Such_Log03="",Such_Log04="",Such_Log05="",Such_Log06="",Such_Log07="",Such_Log08="",Such_Log09="",Such_Log10=""),"","PFH [1/h] = "&amp;10^9*INDEX(Tab_DaBa[],MATCH(CONCATENATE(Liste!$C$3,Liste!$E$3,Liste!$F$3),Data!$BO:$BO,0)-2,26)&amp;"E-9")),"")</f>
        <v/>
      </c>
      <c r="G14" s="58"/>
      <c r="H14" s="30" t="str">
        <f ca="1">IFERROR(IF(AND(Such_Log01&lt;&gt;"",Such_Log02&lt;&gt;"",Such_Log03="",Such_Log04="",Such_Log05="",Such_Log06="",Such_Log07="",Such_Log08="",Such_Log09="",Such_Log10=""),"PFH [1/h] = "&amp;10^9*INDEX(Tab_DaBa[],MATCH(CONCATENATE(Liste!$C$3,Liste!$E$3,Liste!$F$3),Data!$BO:$BO,0)-2,16)&amp;"E-9",IF(AND(Such_Log03="",Such_Log04="",Such_Log05="",Such_Log06="",Such_Log07="",Such_Log08="",Such_Log09="",Such_Log10=""),"","PFH [1/h] = "&amp;10^9*INDEX(Tab_DaBa[],MATCH(CONCATENATE(Liste!$C$3,Liste!$E$3,Liste!$F$3),Data!$BO:$BO,0)-2,31)&amp;"E-9")),"")</f>
        <v/>
      </c>
      <c r="I14" s="58"/>
    </row>
    <row r="15" spans="2:9">
      <c r="C15" s="20"/>
    </row>
    <row r="16" spans="2:9" ht="26.25">
      <c r="B16" s="58" t="str">
        <f ca="1">IF(B18="","",6)</f>
        <v/>
      </c>
      <c r="C16" s="20"/>
      <c r="D16" s="25" t="str">
        <f ca="1">IF(B18="","",3)</f>
        <v/>
      </c>
      <c r="F16" s="25" t="str">
        <f ca="1">IF(B18="","",3)</f>
        <v/>
      </c>
      <c r="H16" s="25" t="str">
        <f ca="1">IF(B18="","",3)</f>
        <v/>
      </c>
    </row>
    <row r="17" spans="2:9">
      <c r="B17" s="58"/>
    </row>
    <row r="18" spans="2:9" ht="22.5">
      <c r="B18" s="30" t="str">
        <f ca="1">IFERROR(IF(AND(Such_Log01&lt;&gt;"",Such_Log02&lt;&gt;"",Such_Log03&lt;&gt;"",Such_Log04="",Such_Log05="",Such_Log06="",Such_Log07="",Such_Log08="",Such_Log09="",Such_Log10=""),INDEX(Tab_DaBa[],MATCH(CONCATENATE(Liste!$C$3,Liste!$E$3,Liste!$F$3),Data!$BO:$BO,0)-2,14),IF(AND(Such_Log04="",Such_Log05="",Such_Log06="",Such_Log07="",Such_Log08="",Such_Log09="",Such_Log10=""),"",INDEX(Tab_DaBa[],MATCH(CONCATENATE(Liste!$C$3,Liste!$E$3,Liste!$F$3),Data!$BO:$BO,0)-2,34))),"")</f>
        <v/>
      </c>
      <c r="C18" s="58" t="str">
        <f ca="1">IF(D18="","",4)</f>
        <v/>
      </c>
      <c r="D18" s="30" t="str">
        <f ca="1">IFERROR(IF(AND(Such_Log01&lt;&gt;"",Such_Log02&lt;&gt;"",Such_Log03&lt;&gt;"",Such_Log04&lt;&gt;"",Such_Log05="",Such_Log06="",Such_Log07="",Such_Log08="",Such_Log09="",Such_Log10=""),INDEX(Tab_DaBa[],MATCH(CONCATENATE(Liste!$C$3,Liste!$E$3,Liste!$F$3),Data!$BO:$BO,0)-2,14),IF(AND(Such_Log05="",Such_Log06="",Such_Log07="",Such_Log08="",Such_Log09="",Such_Log10=""),"",INDEX(Tab_DaBa[],MATCH(CONCATENATE(Liste!$C$3,Liste!$E$3,Liste!$F$3),Data!$BO:$BO,0)-2,39))),"")</f>
        <v/>
      </c>
      <c r="E18" s="58" t="str">
        <f ca="1">IF(F18="","",4)</f>
        <v/>
      </c>
      <c r="F18" s="31" t="str">
        <f ca="1">IFERROR(IF(AND(Such_Log01&lt;&gt;"",Such_Log02&lt;&gt;"",Such_Log03&lt;&gt;"",Such_Log04&lt;&gt;"",Such_Log05&lt;&gt;"",Such_Log06="",Such_Log07="",Such_Log08="",Such_Log09="",Such_Log10=""),INDEX(Tab_DaBa[],MATCH(CONCATENATE(Liste!$C$3,Liste!$E$3,Liste!$F$3),Data!$BO:$BO,0)-2,14),IF(AND(Such_Log06="",Such_Log07="",Such_Log08="",Such_Log09="",Such_Log10=""),"",INDEX(Tab_DaBa[],MATCH(CONCATENATE(Liste!$C$3,Liste!$E$3,Liste!$F$3),Data!$BO:$BO,0)-2,44))),"")</f>
        <v/>
      </c>
      <c r="G18" s="58" t="str">
        <f ca="1">IF(H18="","",4)</f>
        <v/>
      </c>
      <c r="H18" s="31" t="str">
        <f ca="1">IFERROR(IF(AND(Such_Log01&lt;&gt;"",Such_Log02&lt;&gt;"",Such_Log03&lt;&gt;"",Such_Log04&lt;&gt;"",Such_Log05&lt;&gt;"",Such_Log06&lt;&gt;"",Such_Log07="",Such_Log08="",Such_Log09="",Such_Log10=""),INDEX(Tab_DaBa[],MATCH(CONCATENATE(Liste!$C$3,Liste!$E$3,Liste!$F$3),Data!$BO:$BO,0)-2,14),IF(AND(Such_Log07="",Such_Log08="",Such_Log09="",Such_Log10=""),"",INDEX(Tab_DaBa[],MATCH(CONCATENATE(Liste!$C$3,Liste!$E$3,Liste!$F$3),Data!$BO:$BO,0)-2,49))),"")</f>
        <v/>
      </c>
      <c r="I18" s="58" t="str">
        <f ca="1">IF(B26="","",6)</f>
        <v/>
      </c>
    </row>
    <row r="19" spans="2:9" ht="22.5">
      <c r="B19" s="30" t="str">
        <f ca="1">IFERROR(IF(AND(Such_Log01&lt;&gt;"",Such_Log02&lt;&gt;"",Such_Log03&lt;&gt;"",Such_Log04="",Such_Log05="",Such_Log06="",Such_Log07="",Such_Log08="",Such_Log09="",Such_Log10=""),INDEX(Tab_DaBa[],MATCH(CONCATENATE(Liste!$C$3,Liste!$E$3,Liste!$F$3),Data!$BO:$BO,0)-2,12),IF(AND(Such_Log04="",Such_Log05="",Such_Log06="",Such_Log07="",Such_Log08="",Such_Log09="",Such_Log10=""),"",INDEX(Tab_DaBa[],MATCH(CONCATENATE(Liste!$C$3,Liste!$E$3,Liste!$F$3),Data!$BO:$BO,0)-2,32))),"")</f>
        <v/>
      </c>
      <c r="C19" s="58"/>
      <c r="D19" s="30" t="str">
        <f ca="1">IFERROR(IF(AND(Such_Log01&lt;&gt;"",Such_Log02&lt;&gt;"",Such_Log03&lt;&gt;"",Such_Log04&lt;&gt;"",Such_Log05="",Such_Log06="",Such_Log07="",Such_Log08="",Such_Log09="",Such_Log10=""),INDEX(Tab_DaBa[],MATCH(CONCATENATE(Liste!$C$3,Liste!$E$3,Liste!$F$3),Data!$BO:$BO,0)-2,12),IF(AND(Such_Log05="",Such_Log06="",Such_Log07="",Such_Log08="",Such_Log09="",Such_Log10=""),"",INDEX(Tab_DaBa[],MATCH(CONCATENATE(Liste!$C$3,Liste!$E$3,Liste!$F$3),Data!$BO:$BO,0)-2,37))),"")</f>
        <v/>
      </c>
      <c r="E19" s="58"/>
      <c r="F19" s="31" t="str">
        <f ca="1">IFERROR(IF(AND(Such_Log01&lt;&gt;"",Such_Log02&lt;&gt;"",Such_Log03&lt;&gt;"",Such_Log04&lt;&gt;"",Such_Log05&lt;&gt;"",Such_Log06="",Such_Log07="",Such_Log08="",Such_Log09="",Such_Log10=""),INDEX(Tab_DaBa[],MATCH(CONCATENATE(Liste!$C$3,Liste!$E$3,Liste!$F$3),Data!$BO:$BO,0)-2,12),IF(AND(Such_Log06="",Such_Log07="",Such_Log08="",Such_Log09="",Such_Log10=""),"",INDEX(Tab_DaBa[],MATCH(CONCATENATE(Liste!$C$3,Liste!$E$3,Liste!$F$3),Data!$BO:$BO,0)-2,42))),"")</f>
        <v/>
      </c>
      <c r="G19" s="58"/>
      <c r="H19" s="31" t="str">
        <f ca="1">IFERROR(IF(AND(Such_Log01&lt;&gt;"",Such_Log02&lt;&gt;"",Such_Log03&lt;&gt;"",Such_Log04&lt;&gt;"",Such_Log05&lt;&gt;"",Such_Log06&lt;&gt;"",Such_Log07="",Such_Log08="",Such_Log09="",Such_Log10=""),INDEX(Tab_DaBa[],MATCH(CONCATENATE(Liste!$C$3,Liste!$E$3,Liste!$F$3),Data!$BO:$BO,0)-2,12),IF(AND(Such_Log07="",Such_Log08="",Such_Log09="",Such_Log10=""),"",INDEX(Tab_DaBa[],MATCH(CONCATENATE(Liste!$C$3,Liste!$E$3,Liste!$F$3),Data!$BO:$BO,0)-2,47))),"")</f>
        <v/>
      </c>
      <c r="I19" s="58"/>
    </row>
    <row r="20" spans="2:9" ht="22.5">
      <c r="B20" s="30" t="str">
        <f ca="1">IFERROR(IF(AND(Such_Log01&lt;&gt;"",Such_Log02&lt;&gt;"",Such_Log03&lt;&gt;"",Such_Log04="",Such_Log05="",Such_Log06="",Such_Log07="",Such_Log08="",Such_Log09="",Such_Log10=""),INDEX(Tab_DaBa[],MATCH(CONCATENATE(Liste!$C$3,Liste!$E$3,Liste!$F$3),Data!$BO:$BO,0)-2,13),IF(AND(Such_Log04="",Such_Log05="",Such_Log06="",Such_Log07="",Such_Log08="",Such_Log09="",Such_Log10=""),"",INDEX(Tab_DaBa[],MATCH(CONCATENATE(Liste!$C$3,Liste!$E$3,Liste!$F$3),Data!$BO:$BO,0)-2,33))),"")</f>
        <v/>
      </c>
      <c r="C20" s="58"/>
      <c r="D20" s="30" t="str">
        <f ca="1">IFERROR(IF(AND(Such_Log01&lt;&gt;"",Such_Log02&lt;&gt;"",Such_Log03&lt;&gt;"",Such_Log04&lt;&gt;"",Such_Log05="",Such_Log06="",Such_Log07="",Such_Log08="",Such_Log09="",Such_Log10=""),INDEX(Tab_DaBa[],MATCH(CONCATENATE(Liste!$C$3,Liste!$E$3,Liste!$F$3),Data!$BO:$BO,0)-2,13),IF(AND(Such_Log05="",Such_Log06="",Such_Log07="",Such_Log08="",Such_Log09="",Such_Log10=""),"",INDEX(Tab_DaBa[],MATCH(CONCATENATE(Liste!$C$3,Liste!$E$3,Liste!$F$3),Data!$BO:$BO,0)-2,38))),"")</f>
        <v/>
      </c>
      <c r="E20" s="58"/>
      <c r="F20" s="31" t="str">
        <f ca="1">IFERROR(IF(AND(Such_Log01&lt;&gt;"",Such_Log02&lt;&gt;"",Such_Log03&lt;&gt;"",Such_Log04&lt;&gt;"",Such_Log05&lt;&gt;"",Such_Log06="",Such_Log07="",Such_Log08="",Such_Log09="",Such_Log10=""),INDEX(Tab_DaBa[],MATCH(CONCATENATE(Liste!$C$3,Liste!$E$3,Liste!$F$3),Data!$BO:$BO,0)-2,13),IF(AND(Such_Log06="",Such_Log07="",Such_Log08="",Such_Log09="",Such_Log10=""),"",INDEX(Tab_DaBa[],MATCH(CONCATENATE(Liste!$C$3,Liste!$E$3,Liste!$F$3),Data!$BO:$BO,0)-2,43))),"")</f>
        <v/>
      </c>
      <c r="G20" s="58"/>
      <c r="H20" s="31" t="str">
        <f ca="1">IFERROR(IF(AND(Such_Log01&lt;&gt;"",Such_Log02&lt;&gt;"",Such_Log03&lt;&gt;"",Such_Log04&lt;&gt;"",Such_Log05&lt;&gt;"",Such_Log06&lt;&gt;"",Such_Log07="",Such_Log08="",Such_Log09="",Such_Log10=""),INDEX(Tab_DaBa[],MATCH(CONCATENATE(Liste!$C$3,Liste!$E$3,Liste!$F$3),Data!$BO:$BO,0)-2,13),IF(AND(Such_Log07="",Such_Log08="",Such_Log09="",Such_Log10=""),"",INDEX(Tab_DaBa[],MATCH(CONCATENATE(Liste!$C$3,Liste!$E$3,Liste!$F$3),Data!$BO:$BO,0)-2,48))),"")</f>
        <v/>
      </c>
      <c r="I20" s="58"/>
    </row>
    <row r="21" spans="2:9" ht="22.5">
      <c r="B21" s="30" t="str">
        <f ca="1">IFERROR(IF(AND(Such_Log01&lt;&gt;"",Such_Log02&lt;&gt;"",Such_Log03&lt;&gt;"",Such_Log04="",Such_Log05="",Such_Log06="",Such_Log07="",Such_Log08="",Such_Log09="",Such_Log10=""),"Performance Level: "&amp;INDEX(Tab_DaBa[],MATCH(CONCATENATE(Liste!$C$3,Liste!$E$3,Liste!$F$3),Data!$BO:$BO,0)-2,15),IF(AND(Such_Log04="",Such_Log05="",Such_Log06="",Such_Log07="",Such_Log08="",Such_Log09="",Such_Log10=""),"","Performance Level: "&amp;INDEX(Tab_DaBa[],MATCH(CONCATENATE(Liste!$C$3,Liste!$E$3,Liste!$F$3),Data!$BO:$BO,0)-2,35))),"")</f>
        <v/>
      </c>
      <c r="C21" s="58"/>
      <c r="D21" s="30" t="str">
        <f ca="1">IFERROR(IF(AND(Such_Log01&lt;&gt;"",Such_Log02&lt;&gt;"",Such_Log03&lt;&gt;"",Such_Log04&lt;&gt;"",Such_Log05="",Such_Log06="",Such_Log07="",Such_Log08="",Such_Log09="",Such_Log10=""),"Performance Level: "&amp;INDEX(Tab_DaBa[],MATCH(CONCATENATE(Liste!$C$3,Liste!$E$3,Liste!$F$3),Data!$BO:$BO,0)-2,15),IF(AND(Such_Log05="",Such_Log06="",Such_Log07="",Such_Log08="",Such_Log09="",Such_Log10=""),"","Performance Level: "&amp;INDEX(Tab_DaBa[],MATCH(CONCATENATE(Liste!$C$3,Liste!$E$3,Liste!$F$3),Data!$BO:$BO,0)-2,40))),"")</f>
        <v/>
      </c>
      <c r="E21" s="58"/>
      <c r="F21" s="31" t="str">
        <f ca="1">IFERROR(IF(AND(Such_Log01&lt;&gt;"",Such_Log02&lt;&gt;"",Such_Log03&lt;&gt;"",Such_Log04&lt;&gt;"",Such_Log05&lt;&gt;"",Such_Log06="",Such_Log07="",Such_Log08="",Such_Log09="",Such_Log10=""),"Performance Level: "&amp;INDEX(Tab_DaBa[],MATCH(CONCATENATE(Liste!$C$3,Liste!$E$3,Liste!$F$3),Data!$BO:$BO,0)-2,15),IF(AND(Such_Log06="",Such_Log07="",Such_Log08="",Such_Log09="",Such_Log10=""),"","Performance Level: "&amp;INDEX(Tab_DaBa[],MATCH(CONCATENATE(Liste!$C$3,Liste!$E$3,Liste!$F$3),Data!$BO:$BO,0)-2,45))),"")</f>
        <v/>
      </c>
      <c r="G21" s="58"/>
      <c r="H21" s="31" t="str">
        <f ca="1">IFERROR(IF(AND(Such_Log01&lt;&gt;"",Such_Log02&lt;&gt;"",Such_Log03&lt;&gt;"",Such_Log04&lt;&gt;"",Such_Log05&lt;&gt;"",Such_Log06&lt;&gt;"",Such_Log07="",Such_Log08="",Such_Log09="",Such_Log10=""),"Performance Level: "&amp;INDEX(Tab_DaBa[],MATCH(CONCATENATE(Liste!$C$3,Liste!$E$3,Liste!$F$3),Data!$BO:$BO,0)-2,15),IF(AND(Such_Log07="",Such_Log08="",Such_Log09="",Such_Log10=""),"","Performance Level: "&amp;INDEX(Tab_DaBa[],MATCH(CONCATENATE(Liste!$C$3,Liste!$E$3,Liste!$F$3),Data!$BO:$BO,0)-2,50))),"")</f>
        <v/>
      </c>
      <c r="I21" s="58"/>
    </row>
    <row r="22" spans="2:9" ht="22.5">
      <c r="B22" s="30" t="str">
        <f ca="1">IFERROR(IF(AND(Such_Log01&lt;&gt;"",Such_Log02&lt;&gt;"",Such_Log03&lt;&gt;"",Such_Log04="",Such_Log05="",Such_Log06="",Such_Log07="",Such_Log08="",Such_Log09="",Such_Log10=""),"PFH [1/h] = "&amp;10^9*INDEX(Tab_DaBa[],MATCH(CONCATENATE(Liste!$C$3,Liste!$E$3,Liste!$F$3),Data!$BO:$BO,0)-2,16)&amp;"E-9",IF(AND(Such_Log04="",Such_Log05="",Such_Log06="",Such_Log07="",Such_Log08="",Such_Log09="",Such_Log10=""),"","PFH [1/h] = "&amp;10^9*INDEX(Tab_DaBa[],MATCH(CONCATENATE(Liste!$C$3,Liste!$E$3,Liste!$F$3),Data!$BO:$BO,0)-2,36)&amp;"E-9")),"")</f>
        <v/>
      </c>
      <c r="C22" s="58"/>
      <c r="D22" s="30" t="str">
        <f ca="1">IFERROR(IF(AND(Such_Log01&lt;&gt;"",Such_Log02&lt;&gt;"",Such_Log03&lt;&gt;"",Such_Log04&lt;&gt;"",Such_Log05="",Such_Log06="",Such_Log07="",Such_Log08="",Such_Log09="",Such_Log10=""),"PFH [1/h] = "&amp;10^9*INDEX(Tab_DaBa[],MATCH(CONCATENATE(Liste!$C$3,Liste!$E$3,Liste!$F$3),Data!$BO:$BO,0)-2,16)&amp;"E-9",IF(AND(Such_Log05="",Such_Log06="",Such_Log07="",Such_Log08="",Such_Log09="",Such_Log10=""),"","PFH [1/h] = "&amp;10^9*INDEX(Tab_DaBa[],MATCH(CONCATENATE(Liste!$C$3,Liste!$E$3,Liste!$F$3),Data!$BO:$BO,0)-2,41)&amp;"E-9")),"")</f>
        <v/>
      </c>
      <c r="E22" s="58"/>
      <c r="F22" s="31" t="str">
        <f ca="1">IFERROR(IF(AND(Such_Log01&lt;&gt;"",Such_Log02&lt;&gt;"",Such_Log03&lt;&gt;"",Such_Log04&lt;&gt;"",Such_Log05&lt;&gt;"",Such_Log06="",Such_Log07="",Such_Log08="",Such_Log09="",Such_Log10=""),"PFH [1/h] = "&amp;10^9*INDEX(Tab_DaBa[],MATCH(CONCATENATE(Liste!$C$3,Liste!$E$3,Liste!$F$3),Data!$BO:$BO,0)-2,16)&amp;"E-9",IF(AND(Such_Log06="",Such_Log07="",Such_Log08="",Such_Log09="",Such_Log10=""),"","PFH [1/h] = "&amp;10^9*INDEX(Tab_DaBa[],MATCH(CONCATENATE(Liste!$C$3,Liste!$E$3,Liste!$F$3),Data!$BO:$BO,0)-2,46)&amp;"E-9")),"")</f>
        <v/>
      </c>
      <c r="G22" s="58"/>
      <c r="H22" s="31" t="str">
        <f ca="1">IFERROR(IF(AND(Such_Log01&lt;&gt;"",Such_Log02&lt;&gt;"",Such_Log03&lt;&gt;"",Such_Log04&lt;&gt;"",Such_Log05&lt;&gt;"",Such_Log06&lt;&gt;"",Such_Log07="",Such_Log08="",Such_Log09="",Such_Log10=""),"PFH [1/h] = "&amp;10^9*INDEX(Tab_DaBa[],MATCH(CONCATENATE(Liste!$C$3,Liste!$E$3,Liste!$F$3),Data!$BO:$BO,0)-2,16)&amp;"E-9",IF(AND(Such_Log07="",Such_Log08="",Such_Log09="",Such_Log10=""),"","PFH [1/h] = "&amp;10^9*INDEX(Tab_DaBa[],MATCH(CONCATENATE(Liste!$C$3,Liste!$E$3,Liste!$F$3),Data!$BO:$BO,0)-2,51)&amp;"E-9")),"")</f>
        <v/>
      </c>
      <c r="I22" s="58"/>
    </row>
    <row r="24" spans="2:9" ht="26.25">
      <c r="B24" s="58" t="str">
        <f ca="1">IF(B26="","",6)</f>
        <v/>
      </c>
      <c r="D24" s="25" t="str">
        <f ca="1">IF(B26="","",3)</f>
        <v/>
      </c>
      <c r="F24" s="25" t="str">
        <f ca="1">IF(B26="","",3)</f>
        <v/>
      </c>
      <c r="H24" s="25" t="str">
        <f ca="1">IF(B26="","",3)</f>
        <v/>
      </c>
    </row>
    <row r="25" spans="2:9">
      <c r="B25" s="59"/>
    </row>
    <row r="26" spans="2:9" ht="22.5">
      <c r="B26" s="30" t="str">
        <f ca="1">IFERROR(IF(AND(Such_Log01&lt;&gt;"",Such_Log02&lt;&gt;"",Such_Log03&lt;&gt;"",Such_Log04&lt;&gt;"",Such_Log05&lt;&gt;"",Such_Log06&lt;&gt;"",Such_Log07&lt;&gt;"",Such_Log08="",Such_Log09="",Such_Log10=""),INDEX(Tab_DaBa[],MATCH(CONCATENATE(Liste!$C$3,Liste!$E$3,Liste!$F$3),Data!$BO:$BO,0)-2,14),IF(AND(Such_Log08="",Such_Log09="",Such_Log10=""),"",INDEX(Tab_DaBa[],MATCH(CONCATENATE(Liste!$C$3,Liste!$E$3,Liste!$F$3),Data!$BO:$BO,0)-2,54))),"")</f>
        <v/>
      </c>
      <c r="C26" s="58" t="str">
        <f ca="1">IF(D26="","",4)</f>
        <v/>
      </c>
      <c r="D26" s="31" t="str">
        <f ca="1">IFERROR(IF(AND(Such_Log01&lt;&gt;"",Such_Log02&lt;&gt;"",Such_Log03&lt;&gt;"",Such_Log04&lt;&gt;"",Such_Log05&lt;&gt;"",Such_Log06&lt;&gt;"",Such_Log07&lt;&gt;"",Such_Log08&lt;&gt;"",Such_Log09="",Such_Log10=""),INDEX(Tab_DaBa[],MATCH(CONCATENATE(Liste!$C$3,Liste!$E$3,Liste!$F$3),Data!$BO:$BO,0)-2,14),IF(AND(Such_Log09="",Such_Log10=""),"",INDEX(Tab_DaBa[],MATCH(CONCATENATE(Liste!$C$3,Liste!$E$3,Liste!$F$3),Data!$BO:$BO,0)-2,59))),"")</f>
        <v/>
      </c>
      <c r="E26" s="58" t="str">
        <f ca="1">IF(F26="","",4)</f>
        <v/>
      </c>
      <c r="F26" s="31" t="str">
        <f ca="1">IFERROR(IF(AND(Such_Log01&lt;&gt;"",Such_Log02&lt;&gt;"",Such_Log03&lt;&gt;"",Such_Log04&lt;&gt;"",Such_Log05&lt;&gt;"",Such_Log06&lt;&gt;"",Such_Log07&lt;&gt;"",Such_Log08&lt;&gt;"",Such_Log09&lt;&gt;"",Such_Log10=""),INDEX(Tab_DaBa[],MATCH(CONCATENATE(Liste!$C$3,Liste!$E$3,Liste!$F$3),Data!$BO:$BO,0)-2,14),IF(AND(Such_Log10=""),"",INDEX(Tab_DaBa[],MATCH(CONCATENATE(Liste!$C$3,Liste!$E$3,Liste!$F$3),Data!$BO:$BO,0)-2,64))),"")</f>
        <v/>
      </c>
      <c r="G26" s="58" t="str">
        <f ca="1">IF(H26="","",4)</f>
        <v/>
      </c>
      <c r="H26" s="31" t="str">
        <f ca="1">IFERROR(IF(AND(Such_Log01&lt;&gt;"",Such_Log02&lt;&gt;"",Such_Log03&lt;&gt;"",Such_Log04&lt;&gt;"",Such_Log05&lt;&gt;"",Such_Log06&lt;&gt;"",Such_Log07&lt;&gt;"",Such_Log08&lt;&gt;"",Such_Log09&lt;&gt;"",Such_Log10&lt;&gt;""),INDEX(Tab_DaBa[],MATCH(CONCATENATE(Liste!$C$3,Liste!$E$3,Liste!$F$3),Data!$BO:$BO,0)-2,14),""),"")</f>
        <v/>
      </c>
    </row>
    <row r="27" spans="2:9" ht="22.5">
      <c r="B27" s="30" t="str">
        <f ca="1">IFERROR(IF(AND(Such_Log01&lt;&gt;"",Such_Log02&lt;&gt;"",Such_Log03&lt;&gt;"",Such_Log04&lt;&gt;"",Such_Log05&lt;&gt;"",Such_Log06&lt;&gt;"",Such_Log07&lt;&gt;"",Such_Log08="",Such_Log09="",Such_Log10=""),INDEX(Tab_DaBa[],MATCH(CONCATENATE(Liste!$C$3,Liste!$E$3,Liste!$F$3),Data!$BO:$BO,0)-2,12),IF(AND(Such_Log08="",Such_Log09="",Such_Log10=""),"",INDEX(Tab_DaBa[],MATCH(CONCATENATE(Liste!$C$3,Liste!$E$3,Liste!$F$3),Data!$BO:$BO,0)-2,52))),"")</f>
        <v/>
      </c>
      <c r="C27" s="58"/>
      <c r="D27" s="31" t="str">
        <f ca="1">IFERROR(IF(AND(Such_Log01&lt;&gt;"",Such_Log02&lt;&gt;"",Such_Log03&lt;&gt;"",Such_Log04&lt;&gt;"",Such_Log05&lt;&gt;"",Such_Log06&lt;&gt;"",Such_Log07&lt;&gt;"",Such_Log08&lt;&gt;"",Such_Log09="",Such_Log10=""),INDEX(Tab_DaBa[],MATCH(CONCATENATE(Liste!$C$3,Liste!$E$3,Liste!$F$3),Data!$BO:$BO,0)-2,12),IF(AND(Such_Log09="",Such_Log10=""),"",INDEX(Tab_DaBa[],MATCH(CONCATENATE(Liste!$C$3,Liste!$E$3,Liste!$F$3),Data!$BO:$BO,0)-2,57))),"")</f>
        <v/>
      </c>
      <c r="E27" s="58"/>
      <c r="F27" s="31" t="str">
        <f ca="1">IFERROR(IF(AND(Such_Log01&lt;&gt;"",Such_Log02&lt;&gt;"",Such_Log03&lt;&gt;"",Such_Log04&lt;&gt;"",Such_Log05&lt;&gt;"",Such_Log06&lt;&gt;"",Such_Log07&lt;&gt;"",Such_Log08&lt;&gt;"",Such_Log09&lt;&gt;"",Such_Log10=""),INDEX(Tab_DaBa[],MATCH(CONCATENATE(Liste!$C$3,Liste!$E$3,Liste!$F$3),Data!$BO:$BO,0)-2,12),IF(AND(Such_Log10=""),"",INDEX(Tab_DaBa[],MATCH(CONCATENATE(Liste!$C$3,Liste!$E$3,Liste!$F$3),Data!$BO:$BO,0)-2,62))),"")</f>
        <v/>
      </c>
      <c r="G27" s="58"/>
      <c r="H27" s="31" t="str">
        <f ca="1">IFERROR(IF(AND(Such_Log01&lt;&gt;"",Such_Log02&lt;&gt;"",Such_Log03&lt;&gt;"",Such_Log04&lt;&gt;"",Such_Log05&lt;&gt;"",Such_Log06&lt;&gt;"",Such_Log07&lt;&gt;"",Such_Log08&lt;&gt;"",Such_Log09&lt;&gt;"",Such_Log10&lt;&gt;""),INDEX(Tab_DaBa[],MATCH(CONCATENATE(Liste!$C$3,Liste!$E$3,Liste!$F$3),Data!$BO:$BO,0)-2,12),""),"")</f>
        <v/>
      </c>
    </row>
    <row r="28" spans="2:9" ht="22.5">
      <c r="B28" s="30" t="str">
        <f ca="1">IFERROR(IF(AND(Such_Log01&lt;&gt;"",Such_Log02&lt;&gt;"",Such_Log03&lt;&gt;"",Such_Log04&lt;&gt;"",Such_Log05&lt;&gt;"",Such_Log06&lt;&gt;"",Such_Log07&lt;&gt;"",Such_Log08="",Such_Log09="",Such_Log10=""),INDEX(Tab_DaBa[],MATCH(CONCATENATE(Liste!$C$3,Liste!$E$3,Liste!$F$3),Data!$BO:$BO,0)-2,13),IF(AND(Such_Log08="",Such_Log09="",Such_Log10=""),"",INDEX(Tab_DaBa[],MATCH(CONCATENATE(Liste!$C$3,Liste!$E$3,Liste!$F$3),Data!$BO:$BO,0)-2,53))),"")</f>
        <v/>
      </c>
      <c r="C28" s="58"/>
      <c r="D28" s="31" t="str">
        <f ca="1">IFERROR(IF(AND(Such_Log01&lt;&gt;"",Such_Log02&lt;&gt;"",Such_Log03&lt;&gt;"",Such_Log04&lt;&gt;"",Such_Log05&lt;&gt;"",Such_Log06&lt;&gt;"",Such_Log07&lt;&gt;"",Such_Log08&lt;&gt;"",Such_Log09="",Such_Log10=""),INDEX(Tab_DaBa[],MATCH(CONCATENATE(Liste!$C$3,Liste!$E$3,Liste!$F$3),Data!$BO:$BO,0)-2,13),IF(AND(Such_Log09="",Such_Log10=""),"",INDEX(Tab_DaBa[],MATCH(CONCATENATE(Liste!$C$3,Liste!$E$3,Liste!$F$3),Data!$BO:$BO,0)-2,58))),"")</f>
        <v/>
      </c>
      <c r="E28" s="58"/>
      <c r="F28" s="31" t="str">
        <f ca="1">IFERROR(IF(AND(Such_Log01&lt;&gt;"",Such_Log02&lt;&gt;"",Such_Log03&lt;&gt;"",Such_Log04&lt;&gt;"",Such_Log05&lt;&gt;"",Such_Log06&lt;&gt;"",Such_Log07&lt;&gt;"",Such_Log08&lt;&gt;"",Such_Log09&lt;&gt;"",Such_Log10=""),INDEX(Tab_DaBa[],MATCH(CONCATENATE(Liste!$C$3,Liste!$E$3,Liste!$F$3),Data!$BO:$BO,0)-2,13),IF(AND(Such_Log10=""),"",INDEX(Tab_DaBa[],MATCH(CONCATENATE(Liste!$C$3,Liste!$E$3,Liste!$F$3),Data!$BO:$BO,0)-2,63))),"")</f>
        <v/>
      </c>
      <c r="G28" s="58"/>
      <c r="H28" s="31" t="str">
        <f ca="1">IFERROR(IF(AND(Such_Log01&lt;&gt;"",Such_Log02&lt;&gt;"",Such_Log03&lt;&gt;"",Such_Log04&lt;&gt;"",Such_Log05&lt;&gt;"",Such_Log06&lt;&gt;"",Such_Log07&lt;&gt;"",Such_Log08&lt;&gt;"",Such_Log09&lt;&gt;"",Such_Log10&lt;&gt;""),INDEX(Tab_DaBa[],MATCH(CONCATENATE(Liste!$C$3,Liste!$E$3,Liste!$F$3),Data!$BO:$BO,0)-2,13),""),"")</f>
        <v/>
      </c>
    </row>
    <row r="29" spans="2:9" ht="22.5">
      <c r="B29" s="30" t="str">
        <f ca="1">IFERROR(IF(AND(Such_Log01&lt;&gt;"",Such_Log02&lt;&gt;"",Such_Log03&lt;&gt;"",Such_Log04&lt;&gt;"",Such_Log05&lt;&gt;"",Such_Log06&lt;&gt;"",Such_Log07&lt;&gt;"",Such_Log08="",Such_Log09="",Such_Log10=""),"Performance Level: "&amp;INDEX(Tab_DaBa[],MATCH(CONCATENATE(Liste!$C$3,Liste!$E$3,Liste!$F$3),Data!$BO:$BO,0)-2,15),IF(AND(Such_Log08="",Such_Log09="",Such_Log10=""),"","Performance Level: "&amp;INDEX(Tab_DaBa[],MATCH(CONCATENATE(Liste!$C$3,Liste!$E$3,Liste!$F$3),Data!$BO:$BO,0)-2,55))),"")</f>
        <v/>
      </c>
      <c r="C29" s="58"/>
      <c r="D29" s="31" t="str">
        <f ca="1">IFERROR(IF(AND(Such_Log01&lt;&gt;"",Such_Log02&lt;&gt;"",Such_Log03&lt;&gt;"",Such_Log04&lt;&gt;"",Such_Log05&lt;&gt;"",Such_Log06&lt;&gt;"",Such_Log07&lt;&gt;"",Such_Log08&lt;&gt;"",Such_Log09="",Such_Log10=""),"Performance Level: "&amp;INDEX(Tab_DaBa[],MATCH(CONCATENATE(Liste!$C$3,Liste!$E$3,Liste!$F$3),Data!$BO:$BO,0)-2,15),IF(AND(Such_Log09="",Such_Log10=""),"","Performance Level: "&amp;INDEX(Tab_DaBa[],MATCH(CONCATENATE(Liste!$C$3,Liste!$E$3,Liste!$F$3),Data!$BO:$BO,0)-2,60))),"")</f>
        <v/>
      </c>
      <c r="E29" s="58"/>
      <c r="F29" s="31" t="str">
        <f ca="1">IFERROR(IF(AND(Such_Log01&lt;&gt;"",Such_Log02&lt;&gt;"",Such_Log03&lt;&gt;"",Such_Log04&lt;&gt;"",Such_Log05&lt;&gt;"",Such_Log06&lt;&gt;"",Such_Log07&lt;&gt;"",Such_Log08&lt;&gt;"",Such_Log09&lt;&gt;"",Such_Log10=""),"Performance Level: "&amp;INDEX(Tab_DaBa[],MATCH(CONCATENATE(Liste!$C$3,Liste!$E$3,Liste!$F$3),Data!$BO:$BO,0)-2,15),IF(AND(Such_Log10=""),"","Performance Level: "&amp;INDEX(Tab_DaBa[],MATCH(CONCATENATE(Liste!$C$3,Liste!$E$3,Liste!$F$3),Data!$BO:$BO,0)-2,65))),"")</f>
        <v/>
      </c>
      <c r="G29" s="58"/>
      <c r="H29" s="31" t="str">
        <f ca="1">IFERROR(IF(AND(Such_Log01&lt;&gt;"",Such_Log02&lt;&gt;"",Such_Log03&lt;&gt;"",Such_Log04&lt;&gt;"",Such_Log05&lt;&gt;"",Such_Log06&lt;&gt;"",Such_Log07&lt;&gt;"",Such_Log08&lt;&gt;"",Such_Log09&lt;&gt;"",Such_Log10&lt;&gt;""),"Performance Level: "&amp;INDEX(Tab_DaBa[],MATCH(CONCATENATE(Liste!$C$3,Liste!$E$3,Liste!$F$3),Data!$BO:$BO,0)-2,15),""),"")</f>
        <v/>
      </c>
    </row>
    <row r="30" spans="2:9" ht="22.5">
      <c r="B30" s="30" t="str">
        <f ca="1">IFERROR(IF(AND(Such_Log01&lt;&gt;"",Such_Log02&lt;&gt;"",Such_Log03&lt;&gt;"",Such_Log04&lt;&gt;"",Such_Log05&lt;&gt;"",Such_Log06&lt;&gt;"",Such_Log07&lt;&gt;"",Such_Log08="",Such_Log09="",Such_Log10=""),"PFH [1/h] = "&amp;10^9*INDEX(Tab_DaBa[],MATCH(CONCATENATE(Liste!$C$3,Liste!$E$3,Liste!$F$3),Data!$BO:$BO,0)-2,16)&amp;"E-9",IF(AND(Such_Log08="",Such_Log09="",Such_Log10=""),"","PFH [1/h] = "&amp;10^9*INDEX(Tab_DaBa[],MATCH(CONCATENATE(Liste!$C$3,Liste!$E$3,Liste!$F$3),Data!$BO:$BO,0)-2,56)&amp;"E-9")),"")</f>
        <v/>
      </c>
      <c r="C30" s="58"/>
      <c r="D30" s="31" t="str">
        <f ca="1">IFERROR(IF(AND(Such_Log01&lt;&gt;"",Such_Log02&lt;&gt;"",Such_Log03&lt;&gt;"",Such_Log04&lt;&gt;"",Such_Log05&lt;&gt;"",Such_Log06&lt;&gt;"",Such_Log07&lt;&gt;"",Such_Log08&lt;&gt;"",Such_Log09="",Such_Log10=""),"PFH [1/h] = "&amp;10^9*INDEX(Tab_DaBa[],MATCH(CONCATENATE(Liste!$C$3,Liste!$E$3,Liste!$F$3),Data!$BO:$BO,0)-2,16)&amp;"E-9",IF(AND(Such_Log09="",Such_Log10=""),"","PFH [1/h] = "&amp;10^9*INDEX(Tab_DaBa[],MATCH(CONCATENATE(Liste!$C$3,Liste!$E$3,Liste!$F$3),Data!$BO:$BO,0)-2,61)&amp;"E-9")),"")</f>
        <v/>
      </c>
      <c r="E30" s="58"/>
      <c r="F30" s="31" t="str">
        <f ca="1">IFERROR(IF(AND(Such_Log01&lt;&gt;"",Such_Log02&lt;&gt;"",Such_Log03&lt;&gt;"",Such_Log04&lt;&gt;"",Such_Log05&lt;&gt;"",Such_Log06&lt;&gt;"",Such_Log07&lt;&gt;"",Such_Log08&lt;&gt;"",Such_Log09&lt;&gt;"",Such_Log10=""),"PFH [1/h] = "&amp;10^9*INDEX(Tab_DaBa[],MATCH(CONCATENATE(Liste!$C$3,Liste!$E$3,Liste!$F$3),Data!$BO:$BO,0)-2,16)&amp;"E-9",IF(AND(Such_Log10=""),"","PFH [1/h] = "&amp;10^9*INDEX(Tab_DaBa[],MATCH(CONCATENATE(Liste!$C$3,Liste!$E$3,Liste!$F$3),Data!$BO:$BO,0)-2,66)&amp;"E-9")),"")</f>
        <v/>
      </c>
      <c r="G30" s="58"/>
      <c r="H30" s="31" t="str">
        <f ca="1">IFERROR(IF(AND(Such_Log01&lt;&gt;"",Such_Log02&lt;&gt;"",Such_Log03&lt;&gt;"",Such_Log04&lt;&gt;"",Such_Log05&lt;&gt;"",Such_Log06&lt;&gt;"",Such_Log07&lt;&gt;"",Such_Log08&lt;&gt;"",Such_Log09&lt;&gt;"",Such_Log10&lt;&gt;""),"PFH [1/h] = "&amp;10^9*INDEX(Tab_DaBa[],MATCH(CONCATENATE(Liste!$C$3,Liste!$E$3,Liste!$F$3),Data!$BO:$BO,0)-2,16)&amp;"E-9",""),"")</f>
        <v/>
      </c>
    </row>
    <row r="34" spans="2:8">
      <c r="B34" s="32"/>
      <c r="D34" s="32"/>
      <c r="F34" s="32"/>
      <c r="H34" s="32"/>
    </row>
    <row r="35" spans="2:8">
      <c r="B35" s="32"/>
      <c r="D35" s="32"/>
      <c r="F35" s="32"/>
      <c r="H35" s="32"/>
    </row>
    <row r="36" spans="2:8">
      <c r="B36" s="32"/>
      <c r="D36" s="32"/>
      <c r="F36" s="32"/>
      <c r="H36" s="32"/>
    </row>
    <row r="37" spans="2:8">
      <c r="B37" s="32"/>
      <c r="D37" s="32"/>
      <c r="F37" s="32"/>
      <c r="H37" s="32"/>
    </row>
    <row r="38" spans="2:8">
      <c r="B38" s="32"/>
      <c r="D38" s="32"/>
      <c r="F38" s="32"/>
      <c r="H38" s="32"/>
    </row>
    <row r="42" spans="2:8">
      <c r="B42" s="32"/>
      <c r="D42" s="32"/>
      <c r="F42" s="32"/>
      <c r="H42" s="32"/>
    </row>
    <row r="43" spans="2:8">
      <c r="B43" s="32"/>
      <c r="D43" s="32"/>
      <c r="F43" s="32"/>
      <c r="H43" s="32"/>
    </row>
    <row r="44" spans="2:8">
      <c r="B44" s="32"/>
      <c r="D44" s="32"/>
      <c r="F44" s="32"/>
      <c r="H44" s="32"/>
    </row>
    <row r="45" spans="2:8">
      <c r="B45" s="32"/>
      <c r="D45" s="32"/>
      <c r="F45" s="32"/>
      <c r="H45" s="32"/>
    </row>
    <row r="46" spans="2:8">
      <c r="B46" s="32"/>
      <c r="D46" s="32"/>
      <c r="F46" s="32"/>
      <c r="H46" s="32"/>
    </row>
    <row r="50" spans="2:8">
      <c r="B50" s="32"/>
      <c r="D50" s="32"/>
      <c r="F50" s="32"/>
      <c r="H50" s="32"/>
    </row>
    <row r="51" spans="2:8">
      <c r="B51" s="32"/>
      <c r="D51" s="32"/>
      <c r="F51" s="32"/>
      <c r="H51" s="32"/>
    </row>
    <row r="52" spans="2:8">
      <c r="B52" s="32"/>
      <c r="D52" s="32"/>
      <c r="F52" s="32"/>
      <c r="H52" s="32"/>
    </row>
    <row r="53" spans="2:8">
      <c r="B53" s="32"/>
      <c r="D53" s="32"/>
      <c r="F53" s="32"/>
      <c r="H53" s="32"/>
    </row>
    <row r="54" spans="2:8">
      <c r="B54" s="32"/>
      <c r="D54" s="32"/>
      <c r="F54" s="32"/>
      <c r="H54" s="32"/>
    </row>
    <row r="58" spans="2:8">
      <c r="B58" s="32"/>
      <c r="D58" s="32"/>
      <c r="F58" s="32"/>
      <c r="H58" s="32"/>
    </row>
    <row r="59" spans="2:8">
      <c r="B59" s="32"/>
      <c r="D59" s="32"/>
      <c r="F59" s="32"/>
      <c r="H59" s="32"/>
    </row>
    <row r="60" spans="2:8">
      <c r="B60" s="32"/>
      <c r="D60" s="32"/>
      <c r="F60" s="32"/>
      <c r="H60" s="32"/>
    </row>
    <row r="61" spans="2:8">
      <c r="B61" s="32"/>
      <c r="D61" s="32"/>
      <c r="F61" s="32"/>
      <c r="H61" s="32"/>
    </row>
    <row r="62" spans="2:8">
      <c r="B62" s="32"/>
      <c r="D62" s="32"/>
      <c r="F62" s="32"/>
      <c r="H62" s="32"/>
    </row>
    <row r="66" spans="2:8">
      <c r="B66" s="32"/>
      <c r="D66" s="32"/>
      <c r="F66" s="32"/>
      <c r="H66" s="32"/>
    </row>
    <row r="67" spans="2:8">
      <c r="B67" s="32"/>
      <c r="D67" s="32"/>
      <c r="F67" s="32"/>
      <c r="H67" s="32"/>
    </row>
    <row r="68" spans="2:8">
      <c r="B68" s="32"/>
      <c r="D68" s="32"/>
      <c r="F68" s="32"/>
      <c r="H68" s="32"/>
    </row>
    <row r="69" spans="2:8">
      <c r="B69" s="32"/>
      <c r="D69" s="32"/>
      <c r="F69" s="32"/>
      <c r="H69" s="32"/>
    </row>
    <row r="70" spans="2:8">
      <c r="B70" s="32"/>
      <c r="D70" s="32"/>
      <c r="F70" s="32"/>
      <c r="H70" s="32"/>
    </row>
    <row r="74" spans="2:8">
      <c r="B74" s="32"/>
      <c r="D74" s="32"/>
      <c r="F74" s="32"/>
      <c r="H74" s="32"/>
    </row>
    <row r="75" spans="2:8">
      <c r="B75" s="32"/>
      <c r="D75" s="32"/>
      <c r="F75" s="32"/>
      <c r="H75" s="32"/>
    </row>
    <row r="76" spans="2:8">
      <c r="B76" s="32"/>
      <c r="D76" s="32"/>
      <c r="F76" s="32"/>
      <c r="H76" s="32"/>
    </row>
    <row r="77" spans="2:8">
      <c r="B77" s="32"/>
      <c r="D77" s="32"/>
      <c r="F77" s="32"/>
      <c r="H77" s="32"/>
    </row>
    <row r="78" spans="2:8">
      <c r="B78" s="32"/>
      <c r="D78" s="32"/>
      <c r="F78" s="32"/>
      <c r="H78" s="32"/>
    </row>
    <row r="82" spans="2:8">
      <c r="B82" s="32"/>
      <c r="D82" s="32"/>
      <c r="F82" s="32"/>
      <c r="H82" s="32"/>
    </row>
    <row r="83" spans="2:8">
      <c r="B83" s="32"/>
      <c r="D83" s="32"/>
      <c r="F83" s="32"/>
      <c r="H83" s="32"/>
    </row>
    <row r="84" spans="2:8">
      <c r="B84" s="32"/>
      <c r="D84" s="32"/>
      <c r="F84" s="32"/>
      <c r="H84" s="32"/>
    </row>
    <row r="85" spans="2:8">
      <c r="B85" s="32"/>
      <c r="D85" s="32"/>
      <c r="F85" s="32"/>
      <c r="H85" s="32"/>
    </row>
    <row r="86" spans="2:8">
      <c r="B86" s="32"/>
      <c r="D86" s="32"/>
      <c r="F86" s="32"/>
      <c r="H86" s="32"/>
    </row>
    <row r="90" spans="2:8">
      <c r="B90" s="32"/>
      <c r="D90" s="32"/>
      <c r="F90" s="32"/>
      <c r="H90" s="32"/>
    </row>
    <row r="91" spans="2:8">
      <c r="B91" s="32"/>
      <c r="D91" s="32"/>
      <c r="F91" s="32"/>
      <c r="H91" s="32"/>
    </row>
    <row r="92" spans="2:8">
      <c r="B92" s="32"/>
      <c r="D92" s="32"/>
      <c r="F92" s="32"/>
      <c r="H92" s="32"/>
    </row>
    <row r="93" spans="2:8">
      <c r="B93" s="32"/>
      <c r="D93" s="32"/>
      <c r="F93" s="32"/>
      <c r="H93" s="32"/>
    </row>
    <row r="94" spans="2:8">
      <c r="B94" s="32"/>
      <c r="D94" s="32"/>
      <c r="F94" s="32"/>
      <c r="H94" s="32"/>
    </row>
    <row r="98" spans="2:8">
      <c r="B98" s="32"/>
      <c r="D98" s="32"/>
      <c r="F98" s="32"/>
      <c r="H98" s="32"/>
    </row>
    <row r="99" spans="2:8">
      <c r="B99" s="32"/>
      <c r="D99" s="32"/>
      <c r="F99" s="32"/>
      <c r="H99" s="32"/>
    </row>
    <row r="100" spans="2:8">
      <c r="B100" s="32"/>
      <c r="D100" s="32"/>
      <c r="F100" s="32"/>
      <c r="H100" s="32"/>
    </row>
    <row r="101" spans="2:8">
      <c r="B101" s="32"/>
      <c r="D101" s="32"/>
      <c r="F101" s="32"/>
      <c r="H101" s="32"/>
    </row>
    <row r="102" spans="2:8">
      <c r="B102" s="32"/>
      <c r="D102" s="32"/>
      <c r="F102" s="32"/>
      <c r="H102" s="32"/>
    </row>
    <row r="106" spans="2:8">
      <c r="B106" s="32"/>
      <c r="D106" s="32"/>
      <c r="F106" s="32"/>
      <c r="H106" s="32"/>
    </row>
    <row r="107" spans="2:8">
      <c r="B107" s="32"/>
      <c r="D107" s="32"/>
      <c r="F107" s="32"/>
      <c r="H107" s="32"/>
    </row>
    <row r="108" spans="2:8">
      <c r="B108" s="32"/>
      <c r="D108" s="32"/>
      <c r="F108" s="32"/>
      <c r="H108" s="32"/>
    </row>
    <row r="109" spans="2:8">
      <c r="B109" s="32"/>
      <c r="D109" s="32"/>
      <c r="F109" s="32"/>
      <c r="H109" s="32"/>
    </row>
    <row r="110" spans="2:8">
      <c r="B110" s="32"/>
      <c r="D110" s="32"/>
      <c r="F110" s="32"/>
      <c r="H110" s="32"/>
    </row>
    <row r="114" spans="2:8">
      <c r="B114" s="32"/>
      <c r="D114" s="32"/>
      <c r="F114" s="32"/>
      <c r="H114" s="32"/>
    </row>
    <row r="115" spans="2:8">
      <c r="B115" s="32"/>
      <c r="D115" s="32"/>
      <c r="F115" s="32"/>
      <c r="H115" s="32"/>
    </row>
    <row r="116" spans="2:8">
      <c r="B116" s="32"/>
      <c r="D116" s="32"/>
      <c r="F116" s="32"/>
      <c r="H116" s="32"/>
    </row>
    <row r="117" spans="2:8">
      <c r="B117" s="32"/>
      <c r="D117" s="32"/>
      <c r="F117" s="32"/>
      <c r="H117" s="32"/>
    </row>
    <row r="118" spans="2:8">
      <c r="B118" s="32"/>
      <c r="D118" s="32"/>
      <c r="F118" s="32"/>
      <c r="H118" s="32"/>
    </row>
    <row r="122" spans="2:8">
      <c r="B122" s="32"/>
      <c r="D122" s="32"/>
      <c r="F122" s="32"/>
      <c r="H122" s="32"/>
    </row>
    <row r="123" spans="2:8">
      <c r="B123" s="32"/>
      <c r="D123" s="32"/>
      <c r="F123" s="32"/>
      <c r="H123" s="32"/>
    </row>
    <row r="124" spans="2:8">
      <c r="B124" s="32"/>
      <c r="D124" s="32"/>
      <c r="F124" s="32"/>
      <c r="H124" s="32"/>
    </row>
    <row r="125" spans="2:8">
      <c r="B125" s="32"/>
      <c r="D125" s="32"/>
      <c r="F125" s="32"/>
      <c r="H125" s="32"/>
    </row>
    <row r="126" spans="2:8">
      <c r="B126" s="32"/>
      <c r="D126" s="32"/>
      <c r="F126" s="32"/>
      <c r="H126" s="32"/>
    </row>
    <row r="130" spans="2:8">
      <c r="B130" s="32"/>
      <c r="D130" s="32"/>
      <c r="F130" s="32"/>
      <c r="H130" s="32"/>
    </row>
    <row r="131" spans="2:8">
      <c r="B131" s="32"/>
      <c r="D131" s="32"/>
      <c r="F131" s="32"/>
      <c r="H131" s="32"/>
    </row>
    <row r="132" spans="2:8">
      <c r="B132" s="32"/>
      <c r="D132" s="32"/>
      <c r="F132" s="32"/>
      <c r="H132" s="32"/>
    </row>
    <row r="133" spans="2:8">
      <c r="B133" s="32"/>
      <c r="D133" s="32"/>
      <c r="F133" s="32"/>
      <c r="H133" s="32"/>
    </row>
    <row r="134" spans="2:8">
      <c r="B134" s="32"/>
      <c r="D134" s="32"/>
      <c r="F134" s="32"/>
      <c r="H134" s="32"/>
    </row>
    <row r="138" spans="2:8">
      <c r="B138" s="32"/>
      <c r="D138" s="32"/>
      <c r="F138" s="32"/>
      <c r="H138" s="32"/>
    </row>
    <row r="139" spans="2:8">
      <c r="B139" s="32"/>
      <c r="D139" s="32"/>
      <c r="F139" s="32"/>
      <c r="H139" s="32"/>
    </row>
    <row r="140" spans="2:8">
      <c r="B140" s="32"/>
      <c r="D140" s="32"/>
      <c r="F140" s="32"/>
      <c r="H140" s="32"/>
    </row>
    <row r="141" spans="2:8">
      <c r="B141" s="32"/>
      <c r="D141" s="32"/>
      <c r="F141" s="32"/>
      <c r="H141" s="32"/>
    </row>
    <row r="142" spans="2:8">
      <c r="B142" s="32"/>
      <c r="D142" s="32"/>
      <c r="F142" s="32"/>
      <c r="H142" s="32"/>
    </row>
    <row r="146" spans="2:8">
      <c r="B146" s="32"/>
      <c r="D146" s="32"/>
      <c r="F146" s="32"/>
      <c r="H146" s="32"/>
    </row>
    <row r="147" spans="2:8">
      <c r="B147" s="32"/>
      <c r="D147" s="32"/>
      <c r="F147" s="32"/>
      <c r="H147" s="32"/>
    </row>
    <row r="148" spans="2:8">
      <c r="B148" s="32"/>
      <c r="D148" s="32"/>
      <c r="F148" s="32"/>
      <c r="H148" s="32"/>
    </row>
    <row r="149" spans="2:8">
      <c r="B149" s="32"/>
      <c r="D149" s="32"/>
      <c r="F149" s="32"/>
      <c r="H149" s="32"/>
    </row>
    <row r="150" spans="2:8">
      <c r="B150" s="32"/>
      <c r="D150" s="32"/>
      <c r="F150" s="32"/>
      <c r="H150" s="32"/>
    </row>
    <row r="154" spans="2:8">
      <c r="B154" s="32"/>
      <c r="D154" s="32"/>
      <c r="F154" s="32"/>
      <c r="H154" s="32"/>
    </row>
    <row r="155" spans="2:8">
      <c r="B155" s="32"/>
      <c r="D155" s="32"/>
      <c r="F155" s="32"/>
      <c r="H155" s="32"/>
    </row>
    <row r="156" spans="2:8">
      <c r="B156" s="32"/>
      <c r="D156" s="32"/>
      <c r="F156" s="32"/>
      <c r="H156" s="32"/>
    </row>
    <row r="157" spans="2:8">
      <c r="B157" s="32"/>
      <c r="D157" s="32"/>
      <c r="F157" s="32"/>
      <c r="H157" s="32"/>
    </row>
    <row r="158" spans="2:8">
      <c r="B158" s="32"/>
      <c r="D158" s="32"/>
      <c r="F158" s="32"/>
      <c r="H158" s="32"/>
    </row>
    <row r="162" spans="2:8">
      <c r="B162" s="32"/>
      <c r="D162" s="32"/>
      <c r="F162" s="32"/>
      <c r="H162" s="32"/>
    </row>
    <row r="163" spans="2:8">
      <c r="B163" s="32"/>
      <c r="D163" s="32"/>
      <c r="F163" s="32"/>
      <c r="H163" s="32"/>
    </row>
    <row r="164" spans="2:8">
      <c r="B164" s="32"/>
      <c r="D164" s="32"/>
      <c r="F164" s="32"/>
      <c r="H164" s="32"/>
    </row>
    <row r="165" spans="2:8">
      <c r="B165" s="32"/>
      <c r="D165" s="32"/>
      <c r="F165" s="32"/>
      <c r="H165" s="32"/>
    </row>
    <row r="166" spans="2:8">
      <c r="B166" s="32"/>
      <c r="D166" s="32"/>
      <c r="F166" s="32"/>
      <c r="H166" s="32"/>
    </row>
    <row r="170" spans="2:8">
      <c r="B170" s="32"/>
      <c r="D170" s="32"/>
      <c r="F170" s="32"/>
      <c r="H170" s="32"/>
    </row>
    <row r="171" spans="2:8">
      <c r="B171" s="32"/>
      <c r="D171" s="32"/>
      <c r="F171" s="32"/>
      <c r="H171" s="32"/>
    </row>
    <row r="172" spans="2:8">
      <c r="B172" s="32"/>
      <c r="D172" s="32"/>
      <c r="F172" s="32"/>
      <c r="H172" s="32"/>
    </row>
    <row r="173" spans="2:8">
      <c r="B173" s="32"/>
      <c r="D173" s="32"/>
      <c r="F173" s="32"/>
      <c r="H173" s="32"/>
    </row>
    <row r="174" spans="2:8">
      <c r="B174" s="32"/>
      <c r="D174" s="32"/>
      <c r="F174" s="32"/>
      <c r="H174" s="32"/>
    </row>
  </sheetData>
  <mergeCells count="14">
    <mergeCell ref="B24:B25"/>
    <mergeCell ref="C26:C30"/>
    <mergeCell ref="E26:E30"/>
    <mergeCell ref="G26:G30"/>
    <mergeCell ref="C10:C14"/>
    <mergeCell ref="E10:E14"/>
    <mergeCell ref="G10:G14"/>
    <mergeCell ref="B1:I1"/>
    <mergeCell ref="I10:I14"/>
    <mergeCell ref="C18:C22"/>
    <mergeCell ref="E18:E22"/>
    <mergeCell ref="G18:G22"/>
    <mergeCell ref="I18:I22"/>
    <mergeCell ref="B16:B17"/>
  </mergeCells>
  <conditionalFormatting sqref="F18:F22">
    <cfRule type="expression" dxfId="39" priority="45">
      <formula>$F$18&lt;&gt;""</formula>
    </cfRule>
  </conditionalFormatting>
  <conditionalFormatting sqref="F10:F14">
    <cfRule type="expression" dxfId="38" priority="42">
      <formula>$F$10&lt;&gt;""</formula>
    </cfRule>
  </conditionalFormatting>
  <conditionalFormatting sqref="F10">
    <cfRule type="expression" dxfId="37" priority="40">
      <formula>$F$10&lt;&gt;""</formula>
    </cfRule>
  </conditionalFormatting>
  <conditionalFormatting sqref="F14">
    <cfRule type="expression" dxfId="36" priority="39">
      <formula>$F$10&lt;&gt;""</formula>
    </cfRule>
  </conditionalFormatting>
  <conditionalFormatting sqref="E10:E14">
    <cfRule type="expression" dxfId="35" priority="38">
      <formula>$F$10&lt;&gt;""</formula>
    </cfRule>
  </conditionalFormatting>
  <conditionalFormatting sqref="G10:G14">
    <cfRule type="expression" dxfId="34" priority="37">
      <formula>$H$10&lt;&gt;""</formula>
    </cfRule>
  </conditionalFormatting>
  <conditionalFormatting sqref="H10:H14">
    <cfRule type="expression" dxfId="33" priority="36">
      <formula>$H$10&lt;&gt;""</formula>
    </cfRule>
  </conditionalFormatting>
  <conditionalFormatting sqref="H10">
    <cfRule type="expression" dxfId="32" priority="35">
      <formula>$H$10&lt;&gt;""</formula>
    </cfRule>
  </conditionalFormatting>
  <conditionalFormatting sqref="H14">
    <cfRule type="expression" dxfId="31" priority="34">
      <formula>$H$10&lt;&gt;""</formula>
    </cfRule>
  </conditionalFormatting>
  <conditionalFormatting sqref="I10:I16 B16:H16">
    <cfRule type="expression" dxfId="30" priority="33">
      <formula>$B$18&lt;&gt;""</formula>
    </cfRule>
  </conditionalFormatting>
  <conditionalFormatting sqref="B18:B22">
    <cfRule type="expression" dxfId="29" priority="32">
      <formula>$B$18&lt;&gt;""</formula>
    </cfRule>
  </conditionalFormatting>
  <conditionalFormatting sqref="B18">
    <cfRule type="expression" dxfId="28" priority="30">
      <formula>$B$18&lt;&gt;""</formula>
    </cfRule>
  </conditionalFormatting>
  <conditionalFormatting sqref="B22">
    <cfRule type="expression" dxfId="27" priority="29">
      <formula>$B$18&lt;&gt;""</formula>
    </cfRule>
  </conditionalFormatting>
  <conditionalFormatting sqref="D18:D22">
    <cfRule type="expression" dxfId="26" priority="28">
      <formula>$D$18&lt;&gt;""</formula>
    </cfRule>
  </conditionalFormatting>
  <conditionalFormatting sqref="D18">
    <cfRule type="expression" dxfId="25" priority="27">
      <formula>$D$18&lt;&gt;""</formula>
    </cfRule>
  </conditionalFormatting>
  <conditionalFormatting sqref="D22">
    <cfRule type="expression" dxfId="24" priority="25">
      <formula>$D$18&lt;&gt;""</formula>
    </cfRule>
  </conditionalFormatting>
  <conditionalFormatting sqref="C18:C22">
    <cfRule type="expression" dxfId="23" priority="24">
      <formula>$D$18&lt;&gt;""</formula>
    </cfRule>
  </conditionalFormatting>
  <conditionalFormatting sqref="F18">
    <cfRule type="expression" dxfId="22" priority="23">
      <formula>$F$18&lt;&gt;""</formula>
    </cfRule>
  </conditionalFormatting>
  <conditionalFormatting sqref="F22">
    <cfRule type="expression" dxfId="21" priority="22">
      <formula>$F$18&lt;&gt;""</formula>
    </cfRule>
  </conditionalFormatting>
  <conditionalFormatting sqref="E18:E22">
    <cfRule type="expression" dxfId="20" priority="21">
      <formula>$F$18&lt;&gt;""</formula>
    </cfRule>
  </conditionalFormatting>
  <conditionalFormatting sqref="H18:H22">
    <cfRule type="expression" dxfId="19" priority="20">
      <formula>$H$18&lt;&gt;""</formula>
    </cfRule>
  </conditionalFormatting>
  <conditionalFormatting sqref="H18">
    <cfRule type="expression" dxfId="18" priority="19">
      <formula>$H$18&lt;&gt;""</formula>
    </cfRule>
  </conditionalFormatting>
  <conditionalFormatting sqref="H22">
    <cfRule type="expression" dxfId="17" priority="18">
      <formula>$H$18&lt;&gt;""</formula>
    </cfRule>
  </conditionalFormatting>
  <conditionalFormatting sqref="G18:G22">
    <cfRule type="expression" dxfId="16" priority="17">
      <formula>$H$18&lt;&gt;""</formula>
    </cfRule>
  </conditionalFormatting>
  <conditionalFormatting sqref="I18:I24 C24:H24 B24:B25">
    <cfRule type="expression" dxfId="15" priority="16">
      <formula>$B$26&lt;&gt;""</formula>
    </cfRule>
  </conditionalFormatting>
  <conditionalFormatting sqref="B26:B30">
    <cfRule type="expression" dxfId="14" priority="15">
      <formula>$B$26&lt;&gt;""</formula>
    </cfRule>
  </conditionalFormatting>
  <conditionalFormatting sqref="B26">
    <cfRule type="expression" dxfId="13" priority="14">
      <formula>$B$26&lt;&gt;""</formula>
    </cfRule>
  </conditionalFormatting>
  <conditionalFormatting sqref="B30">
    <cfRule type="expression" dxfId="12" priority="13">
      <formula>$B$26&lt;&gt;""</formula>
    </cfRule>
  </conditionalFormatting>
  <conditionalFormatting sqref="D26:D30">
    <cfRule type="expression" dxfId="11" priority="12">
      <formula>$D$26&lt;&gt;""</formula>
    </cfRule>
  </conditionalFormatting>
  <conditionalFormatting sqref="D26">
    <cfRule type="expression" dxfId="10" priority="11">
      <formula>$D$26&lt;&gt;""</formula>
    </cfRule>
  </conditionalFormatting>
  <conditionalFormatting sqref="D30">
    <cfRule type="expression" dxfId="9" priority="10">
      <formula>$D$26&lt;&gt;""</formula>
    </cfRule>
  </conditionalFormatting>
  <conditionalFormatting sqref="C26:C30">
    <cfRule type="expression" dxfId="8" priority="9">
      <formula>$D$26&lt;&gt;""</formula>
    </cfRule>
  </conditionalFormatting>
  <conditionalFormatting sqref="F26:F30">
    <cfRule type="expression" dxfId="7" priority="8">
      <formula>$F$26&lt;&gt;""</formula>
    </cfRule>
  </conditionalFormatting>
  <conditionalFormatting sqref="F26">
    <cfRule type="expression" dxfId="6" priority="7">
      <formula>$F$26&lt;&gt;""</formula>
    </cfRule>
  </conditionalFormatting>
  <conditionalFormatting sqref="F30">
    <cfRule type="expression" dxfId="5" priority="6">
      <formula>$F$26&lt;&gt;""</formula>
    </cfRule>
  </conditionalFormatting>
  <conditionalFormatting sqref="E26:E30">
    <cfRule type="expression" dxfId="4" priority="5">
      <formula>$F$26&lt;&gt;""</formula>
    </cfRule>
  </conditionalFormatting>
  <conditionalFormatting sqref="H26:H30">
    <cfRule type="expression" dxfId="3" priority="4">
      <formula>$H$26&lt;&gt;""</formula>
    </cfRule>
  </conditionalFormatting>
  <conditionalFormatting sqref="H26">
    <cfRule type="expression" dxfId="2" priority="3">
      <formula>$H$26&lt;&gt;""</formula>
    </cfRule>
  </conditionalFormatting>
  <conditionalFormatting sqref="H30">
    <cfRule type="expression" dxfId="1" priority="2">
      <formula>$H$26&lt;&gt;""</formula>
    </cfRule>
  </conditionalFormatting>
  <conditionalFormatting sqref="G26:G30">
    <cfRule type="expression" dxfId="0" priority="1">
      <formula>$H$26&lt;&gt;""</formula>
    </cfRule>
  </conditionalFormatting>
  <pageMargins left="0.70866141732283472" right="0.70866141732283472" top="1.5748031496062993" bottom="0.78740157480314965" header="0.31496062992125984" footer="0.31496062992125984"/>
  <pageSetup paperSize="9" scale="58" fitToHeight="0" orientation="landscape"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Resultat souhaite</vt:lpstr>
      <vt:lpstr>Calculs</vt:lpstr>
      <vt:lpstr>Resultat</vt:lpstr>
      <vt:lpstr>Resultat_</vt:lpstr>
      <vt:lpstr>Data</vt:lpstr>
      <vt:lpstr>Liste</vt:lpstr>
      <vt:lpstr>Parametre</vt:lpstr>
      <vt:lpstr>Parametre!Zone_d_impression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Noumou, Christian</dc:creator>
  <cp:lastModifiedBy>LouReeD</cp:lastModifiedBy>
  <cp:lastPrinted>2017-08-02T13:46:38Z</cp:lastPrinted>
  <dcterms:created xsi:type="dcterms:W3CDTF">2017-07-31T08:35:08Z</dcterms:created>
  <dcterms:modified xsi:type="dcterms:W3CDTF">2017-08-15T20:39:11Z</dcterms:modified>
</cp:coreProperties>
</file>